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comments6.xml" ContentType="application/vnd.openxmlformats-officedocument.spreadsheetml.comments+xml"/>
  <Override PartName="/xl/pivotTables/pivotTable2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ore0.xml" ContentType="application/vnd.openxmlformats-package.core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openxmlformats.org/package/2006/relationships/meatadata/core-properties" Target="docProps/core0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G:\Shared drives\Cost Report\2024\Cost Report\Audit Adjustment Files\To Enter\"/>
    </mc:Choice>
  </mc:AlternateContent>
  <xr:revisionPtr revIDLastSave="0" documentId="13_ncr:1_{12FDEF3D-1502-4802-BA1F-4FA4DC843603}" xr6:coauthVersionLast="47" xr6:coauthVersionMax="47" xr10:uidLastSave="{00000000-0000-0000-0000-000000000000}"/>
  <bookViews>
    <workbookView xWindow="-28920" yWindow="-120" windowWidth="29040" windowHeight="15720" tabRatio="751" firstSheet="2" activeTab="11" xr2:uid="{83971267-8D8D-46E5-BB64-64664B3E790F}"/>
  </bookViews>
  <sheets>
    <sheet name="Detail Data 5 Tagging" sheetId="24" r:id="rId1"/>
    <sheet name="County allocation" sheetId="22" r:id="rId2"/>
    <sheet name="HHA-CDPAP" sheetId="23" r:id="rId3"/>
    <sheet name="TB" sheetId="3" r:id="rId4"/>
    <sheet name="TB Tagging" sheetId="4" r:id="rId5"/>
    <sheet name="Payroll Reports Input" sheetId="20" r:id="rId6"/>
    <sheet name="hide this" sheetId="51" state="hidden" r:id="rId7"/>
    <sheet name="Schedule 3b" sheetId="5" r:id="rId8"/>
    <sheet name="Schedule 3c" sheetId="6" r:id="rId9"/>
    <sheet name="Schedule 4b" sheetId="7" r:id="rId10"/>
    <sheet name="Schedule 4c" sheetId="50" r:id="rId11"/>
    <sheet name="schedule 5b" sheetId="9" r:id="rId12"/>
    <sheet name="schedule 5c" sheetId="29" r:id="rId13"/>
    <sheet name="Schedule 8b" sheetId="11" r:id="rId14"/>
    <sheet name="Schedule 8c" sheetId="12" r:id="rId15"/>
    <sheet name="Detail Data 10" sheetId="47" r:id="rId16"/>
    <sheet name="Sch 10B" sheetId="48" r:id="rId17"/>
    <sheet name="Sch 10C" sheetId="49" r:id="rId18"/>
    <sheet name="Schedule 11b" sheetId="13" r:id="rId19"/>
    <sheet name="Schedule 11c" sheetId="14" r:id="rId20"/>
    <sheet name="Schedule 12b" sheetId="15" r:id="rId21"/>
    <sheet name="Schedule 12c" sheetId="16" r:id="rId22"/>
    <sheet name="Schedule 17" sheetId="34" r:id="rId23"/>
    <sheet name="Schedule 18" sheetId="35" r:id="rId24"/>
    <sheet name="Schedule 19" sheetId="36" r:id="rId25"/>
    <sheet name="Schedule 17 b" sheetId="52" r:id="rId26"/>
    <sheet name="schedule 17 c" sheetId="53" r:id="rId27"/>
    <sheet name="Schedule 18 b" sheetId="54" r:id="rId28"/>
    <sheet name="Schedule 18 c" sheetId="55" r:id="rId29"/>
    <sheet name="Schedule 19 b" sheetId="56" r:id="rId30"/>
    <sheet name="Schedule 19 c" sheetId="57" r:id="rId31"/>
    <sheet name="G.10" sheetId="44" r:id="rId32"/>
    <sheet name="Private Pay Pivot" sheetId="38" r:id="rId33"/>
    <sheet name="Check" sheetId="37" r:id="rId34"/>
  </sheets>
  <definedNames>
    <definedName name="_xlnm._FilterDatabase" localSheetId="15" hidden="1">'Detail Data 10'!$A$1:$J$497</definedName>
    <definedName name="_xlnm._FilterDatabase" localSheetId="0" hidden="1">'Detail Data 5 Tagging'!$A$1:$AE$1647</definedName>
    <definedName name="_xlnm._FilterDatabase" localSheetId="5" hidden="1">'Payroll Reports Input'!$A$1:$M$545</definedName>
    <definedName name="_xlnm._FilterDatabase" localSheetId="18" hidden="1">'Schedule 11b'!$A$1:$X$1081</definedName>
    <definedName name="_xlnm._FilterDatabase" localSheetId="19" hidden="1">'Schedule 11c'!$A$1:$X$891</definedName>
    <definedName name="_xlnm._FilterDatabase" localSheetId="20" hidden="1">'Schedule 12b'!$A$1:$Q$1080</definedName>
    <definedName name="_xlnm._FilterDatabase" localSheetId="21" hidden="1">'Schedule 12c'!$A$1:$T$891</definedName>
    <definedName name="_xlnm._FilterDatabase" localSheetId="7" hidden="1">'Schedule 3b'!$A$1:$R$1080</definedName>
    <definedName name="_xlnm._FilterDatabase" localSheetId="8" hidden="1">'Schedule 3c'!$A$1:$R$830</definedName>
    <definedName name="_xlnm._FilterDatabase" localSheetId="9" hidden="1">'Schedule 4b'!$A$1:$I$1270</definedName>
    <definedName name="_xlnm._FilterDatabase" localSheetId="10" hidden="1">'Schedule 4c'!$A$1:$I$1233</definedName>
    <definedName name="_xlnm._FilterDatabase" localSheetId="13" hidden="1">'Schedule 8b'!$A$1:$W$646</definedName>
    <definedName name="_xlnm._FilterDatabase" localSheetId="14" hidden="1">'Schedule 8c'!$A$1:$N$521</definedName>
    <definedName name="_xlnm._FilterDatabase" localSheetId="3" hidden="1">TB!$A$4:$P$358</definedName>
    <definedName name="_xlnm._FilterDatabase" localSheetId="4" hidden="1">'TB Tagging'!$A$5:$E$226</definedName>
    <definedName name="LOCAL_MYSQL_DATE_FORMAT" localSheetId="33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1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2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22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23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24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10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12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_xlnm.Print_Area" localSheetId="18">'Schedule 11b'!$D$1:$U$19</definedName>
    <definedName name="_xlnm.Print_Area" localSheetId="19">'Schedule 11c'!$D$1:$U$16</definedName>
    <definedName name="_xlnm.Print_Area" localSheetId="20">'Schedule 12b'!$D$1:$Q$19</definedName>
    <definedName name="_xlnm.Print_Area" localSheetId="21">'Schedule 12c'!$D$1:$Q$16</definedName>
    <definedName name="_xlnm.Print_Area" localSheetId="7">'Schedule 3b'!$D$1:$P$17</definedName>
    <definedName name="_xlnm.Print_Area" localSheetId="8">'Schedule 3c'!$D$1:$P$15</definedName>
    <definedName name="_xlnm.Print_Area" localSheetId="9">'Schedule 4b'!$D$1:$G$21</definedName>
    <definedName name="_xlnm.Print_Area" localSheetId="10">'Schedule 4c'!$D$1:$G$21</definedName>
    <definedName name="_xlnm.Print_Area" localSheetId="13">'Schedule 8b'!$D$1:$W$12</definedName>
    <definedName name="_xlnm.Print_Area" localSheetId="14">'Schedule 8c'!$D$1:$N$10</definedName>
    <definedName name="Z_10D8DA5C_22B8_4D92_99FB_82CE7202D8C0_.wvu.FilterData" localSheetId="5" hidden="1">'Payroll Reports Input'!$B$4:$I$541</definedName>
    <definedName name="Z_3ACE1F12_3844_4D90_9B24_992DA32A7B7A_.wvu.FilterData" localSheetId="20" hidden="1">'Schedule 12b'!$Q$1:$Q$1229</definedName>
    <definedName name="Z_3ACE1F12_3844_4D90_9B24_992DA32A7B7A_.wvu.FilterData" localSheetId="4" hidden="1">'TB Tagging'!$A$1:$E$173</definedName>
    <definedName name="Z_3ACE1F12_3844_4D90_9B24_992DA32A7B7A_.wvu.PrintArea" localSheetId="18" hidden="1">'Schedule 11b'!$D$1:$U$19</definedName>
    <definedName name="Z_3ACE1F12_3844_4D90_9B24_992DA32A7B7A_.wvu.PrintArea" localSheetId="19" hidden="1">'Schedule 11c'!$D$1:$U$16</definedName>
    <definedName name="Z_3ACE1F12_3844_4D90_9B24_992DA32A7B7A_.wvu.PrintArea" localSheetId="20" hidden="1">'Schedule 12b'!$D$1:$Q$19</definedName>
    <definedName name="Z_3ACE1F12_3844_4D90_9B24_992DA32A7B7A_.wvu.PrintArea" localSheetId="21" hidden="1">'Schedule 12c'!$D$1:$Q$16</definedName>
    <definedName name="Z_3ACE1F12_3844_4D90_9B24_992DA32A7B7A_.wvu.PrintArea" localSheetId="7" hidden="1">'Schedule 3b'!$D$1:$P$17</definedName>
    <definedName name="Z_3ACE1F12_3844_4D90_9B24_992DA32A7B7A_.wvu.PrintArea" localSheetId="8" hidden="1">'Schedule 3c'!$D$1:$P$15</definedName>
    <definedName name="Z_3ACE1F12_3844_4D90_9B24_992DA32A7B7A_.wvu.PrintArea" localSheetId="9" hidden="1">'Schedule 4b'!$D$1:$G$21</definedName>
    <definedName name="Z_3ACE1F12_3844_4D90_9B24_992DA32A7B7A_.wvu.PrintArea" localSheetId="10" hidden="1">'Schedule 4c'!$D$1:$G$21</definedName>
    <definedName name="Z_3ACE1F12_3844_4D90_9B24_992DA32A7B7A_.wvu.PrintArea" localSheetId="13" hidden="1">'Schedule 8b'!$D$1:$W$12</definedName>
    <definedName name="Z_3ACE1F12_3844_4D90_9B24_992DA32A7B7A_.wvu.PrintArea" localSheetId="14" hidden="1">'Schedule 8c'!$D$1:$N$10</definedName>
    <definedName name="Z_5E776B4C_5A4B_403D_9639_98A58448D219_.wvu.FilterData" localSheetId="5" hidden="1">'Payroll Reports Input'!$A$1:$M$527</definedName>
    <definedName name="Z_61341CC4_82CB_4591_9185_41650414E4DB_.wvu.Cols" localSheetId="5" hidden="1">'Payroll Reports Input'!$K:$M</definedName>
    <definedName name="Z_61341CC4_82CB_4591_9185_41650414E4DB_.wvu.FilterData" localSheetId="5" hidden="1">'Payroll Reports Input'!$A$1:$M$527</definedName>
    <definedName name="Z_8D374BEA_58D2_4B8A_9A33_E222F08AD9F3_.wvu.FilterData" localSheetId="5" hidden="1">'Payroll Reports Input'!$A$1:$M$527</definedName>
    <definedName name="Z_DE5AAEC6_B417_4CB5_A2E1_8776196B56AA_.wvu.FilterData" localSheetId="20" hidden="1">'Schedule 12b'!$Q$1:$Q$1229</definedName>
    <definedName name="Z_DE5AAEC6_B417_4CB5_A2E1_8776196B56AA_.wvu.FilterData" localSheetId="4" hidden="1">'TB Tagging'!$A$1:$E$173</definedName>
    <definedName name="Z_DE5AAEC6_B417_4CB5_A2E1_8776196B56AA_.wvu.PrintArea" localSheetId="18" hidden="1">'Schedule 11b'!$D$1:$U$19</definedName>
    <definedName name="Z_DE5AAEC6_B417_4CB5_A2E1_8776196B56AA_.wvu.PrintArea" localSheetId="19" hidden="1">'Schedule 11c'!$D$1:$U$16</definedName>
    <definedName name="Z_DE5AAEC6_B417_4CB5_A2E1_8776196B56AA_.wvu.PrintArea" localSheetId="20" hidden="1">'Schedule 12b'!$D$1:$Q$19</definedName>
    <definedName name="Z_DE5AAEC6_B417_4CB5_A2E1_8776196B56AA_.wvu.PrintArea" localSheetId="21" hidden="1">'Schedule 12c'!$D$1:$Q$16</definedName>
    <definedName name="Z_DE5AAEC6_B417_4CB5_A2E1_8776196B56AA_.wvu.PrintArea" localSheetId="7" hidden="1">'Schedule 3b'!$D$1:$P$17</definedName>
    <definedName name="Z_DE5AAEC6_B417_4CB5_A2E1_8776196B56AA_.wvu.PrintArea" localSheetId="8" hidden="1">'Schedule 3c'!$D$1:$P$15</definedName>
    <definedName name="Z_DE5AAEC6_B417_4CB5_A2E1_8776196B56AA_.wvu.PrintArea" localSheetId="9" hidden="1">'Schedule 4b'!$D$1:$G$21</definedName>
    <definedName name="Z_DE5AAEC6_B417_4CB5_A2E1_8776196B56AA_.wvu.PrintArea" localSheetId="10" hidden="1">'Schedule 4c'!$D$1:$G$21</definedName>
    <definedName name="Z_DE5AAEC6_B417_4CB5_A2E1_8776196B56AA_.wvu.PrintArea" localSheetId="13" hidden="1">'Schedule 8b'!$D$1:$W$12</definedName>
    <definedName name="Z_DE5AAEC6_B417_4CB5_A2E1_8776196B56AA_.wvu.PrintArea" localSheetId="14" hidden="1">'Schedule 8c'!$D$1:$N$10</definedName>
  </definedNames>
  <calcPr calcId="191029"/>
  <customWorkbookViews>
    <customWorkbookView name="Yehoshua Wolf - Personal View" guid="{DE5AAEC6-B417-4CB5-A2E1-8776196B56AA}" mergeInterval="0" personalView="1" maximized="1" xWindow="-8" yWindow="-8" windowWidth="1382" windowHeight="744" tabRatio="852" activeSheetId="16"/>
    <customWorkbookView name="Rivkah Rothschild - Personal View" guid="{228EC571-292F-4EF7-9CD9-3C35CB138F85}" mergeInterval="0" personalView="1" maximized="1" xWindow="1912" yWindow="-8" windowWidth="1936" windowHeight="1176" activeSheetId="17"/>
    <customWorkbookView name="Chesky Smith - Personal View" guid="{D00AA2E3-C508-48EE-BF4D-7E18183FE3E5}" mergeInterval="0" personalView="1" maximized="1" xWindow="1912" yWindow="-8" windowWidth="1936" windowHeight="1056" activeSheetId="5" showComments="commIndAndComment"/>
    <customWorkbookView name="Mordechai Groner - Personal View" guid="{3ACE1F12-3844-4D90-9B24-992DA32A7B7A}" mergeInterval="0" personalView="1" maximized="1" xWindow="1912" yWindow="-8" windowWidth="1936" windowHeight="1056" tabRatio="852" activeSheetId="15"/>
  </customWorkbookViews>
  <pivotCaches>
    <pivotCache cacheId="0" r:id="rId35"/>
    <pivotCache cacheId="1" r:id="rId36"/>
    <pivotCache cacheId="2" r:id="rId37"/>
    <pivotCache cacheId="3" r:id="rId38"/>
    <pivotCache cacheId="4" r:id="rId3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67" i="7" l="1"/>
  <c r="L1" i="47" a="1"/>
  <c r="L1" i="47" s="1"/>
  <c r="F1" i="3"/>
  <c r="C31" i="35"/>
  <c r="T627" i="24"/>
  <c r="T862" i="24"/>
  <c r="D19" i="37"/>
  <c r="D18" i="37"/>
  <c r="F165" i="3"/>
  <c r="E165" i="3"/>
  <c r="E44" i="4"/>
  <c r="C14" i="56"/>
  <c r="C14" i="36"/>
  <c r="N343" i="24"/>
  <c r="Q343" i="24"/>
  <c r="Q362" i="24"/>
  <c r="T362" i="24" s="1"/>
  <c r="Q520" i="24"/>
  <c r="T520" i="24" s="1"/>
  <c r="Q950" i="24"/>
  <c r="T950" i="24" s="1"/>
  <c r="Q796" i="24"/>
  <c r="T796" i="24" s="1"/>
  <c r="Q804" i="24"/>
  <c r="T804" i="24" s="1"/>
  <c r="T952" i="24"/>
  <c r="T948" i="24"/>
  <c r="T795" i="24"/>
  <c r="T794" i="24"/>
  <c r="T793" i="24"/>
  <c r="T353" i="24"/>
  <c r="T352" i="24"/>
  <c r="T351" i="24"/>
  <c r="T350" i="24"/>
  <c r="T342" i="24"/>
  <c r="C21" i="57"/>
  <c r="C21" i="56"/>
  <c r="C35" i="56"/>
  <c r="C30" i="56"/>
  <c r="B36" i="7"/>
  <c r="B51" i="7"/>
  <c r="B8" i="7"/>
  <c r="B16" i="7"/>
  <c r="B21" i="7"/>
  <c r="B37" i="7"/>
  <c r="B27" i="7"/>
  <c r="B39" i="7"/>
  <c r="B22" i="7"/>
  <c r="B28" i="7"/>
  <c r="B14" i="7"/>
  <c r="B12" i="7"/>
  <c r="B57" i="7"/>
  <c r="B23" i="7"/>
  <c r="B59" i="7"/>
  <c r="B54" i="7"/>
  <c r="B53" i="7"/>
  <c r="B44" i="7"/>
  <c r="B25" i="7"/>
  <c r="B10" i="7"/>
  <c r="B4" i="7"/>
  <c r="B29" i="7"/>
  <c r="B65" i="7"/>
  <c r="B11" i="7"/>
  <c r="B9" i="7"/>
  <c r="B45" i="7"/>
  <c r="B50" i="7"/>
  <c r="B18" i="7"/>
  <c r="B13" i="7"/>
  <c r="B30" i="7"/>
  <c r="B41" i="7"/>
  <c r="B46" i="7"/>
  <c r="B61" i="7"/>
  <c r="B49" i="7"/>
  <c r="B26" i="7"/>
  <c r="B31" i="7"/>
  <c r="B33" i="7"/>
  <c r="B47" i="7"/>
  <c r="B62" i="7"/>
  <c r="B52" i="7"/>
  <c r="B17" i="7"/>
  <c r="B32" i="7"/>
  <c r="B15" i="7"/>
  <c r="B20" i="7"/>
  <c r="B38" i="7"/>
  <c r="B34" i="7"/>
  <c r="B24" i="7"/>
  <c r="B43" i="7"/>
  <c r="B7" i="7"/>
  <c r="B55" i="7"/>
  <c r="B60" i="7"/>
  <c r="B6" i="7"/>
  <c r="B35" i="7"/>
  <c r="B40" i="7"/>
  <c r="B58" i="7"/>
  <c r="B63" i="7"/>
  <c r="B42" i="7"/>
  <c r="B56" i="7"/>
  <c r="B19" i="7"/>
  <c r="B48" i="7"/>
  <c r="B64" i="7"/>
  <c r="B5" i="7"/>
  <c r="B68" i="7" l="1"/>
  <c r="B32" i="4"/>
  <c r="B24" i="4"/>
  <c r="B15" i="4"/>
  <c r="B6" i="4"/>
  <c r="C21" i="36"/>
  <c r="C14" i="57"/>
  <c r="C31" i="54"/>
  <c r="C31" i="55"/>
  <c r="C28" i="55"/>
  <c r="C19" i="55"/>
  <c r="C11" i="55"/>
  <c r="C28" i="54"/>
  <c r="C19" i="54"/>
  <c r="C11" i="54"/>
  <c r="C29" i="53"/>
  <c r="C28" i="53"/>
  <c r="C27" i="53"/>
  <c r="C26" i="53"/>
  <c r="C31" i="53" s="1"/>
  <c r="C9" i="53"/>
  <c r="C8" i="53"/>
  <c r="C38" i="52"/>
  <c r="C29" i="52"/>
  <c r="C28" i="52"/>
  <c r="C9" i="52"/>
  <c r="C8" i="52"/>
  <c r="AG23" i="20"/>
  <c r="C34" i="56"/>
  <c r="C35" i="57"/>
  <c r="C16" i="54"/>
  <c r="C34" i="57"/>
  <c r="C14" i="53"/>
  <c r="C5" i="53"/>
  <c r="C7" i="53"/>
  <c r="C28" i="56"/>
  <c r="C7" i="52"/>
  <c r="C38" i="53"/>
  <c r="C5" i="52"/>
  <c r="C6" i="55"/>
  <c r="C16" i="55"/>
  <c r="C28" i="57"/>
  <c r="C30" i="57"/>
  <c r="C8" i="55"/>
  <c r="C39" i="52"/>
  <c r="C14" i="52"/>
  <c r="C6" i="54"/>
  <c r="C27" i="52"/>
  <c r="C39" i="53"/>
  <c r="C26" i="52"/>
  <c r="C8" i="54"/>
  <c r="C36" i="57" l="1"/>
  <c r="C31" i="57"/>
  <c r="C22" i="57"/>
  <c r="C36" i="56"/>
  <c r="C31" i="56"/>
  <c r="C22" i="56"/>
  <c r="C20" i="55"/>
  <c r="C12" i="55"/>
  <c r="C20" i="54"/>
  <c r="C12" i="54"/>
  <c r="C40" i="53"/>
  <c r="C15" i="53"/>
  <c r="C31" i="52"/>
  <c r="C40" i="52"/>
  <c r="C15" i="52"/>
  <c r="C30" i="36"/>
  <c r="B17" i="37" l="1"/>
  <c r="B16" i="37"/>
  <c r="C21" i="54"/>
  <c r="C21" i="55"/>
  <c r="C42" i="52"/>
  <c r="C42" i="53"/>
  <c r="C38" i="57"/>
  <c r="C38" i="56"/>
  <c r="C35" i="36"/>
  <c r="C34" i="36"/>
  <c r="C14" i="34" l="1"/>
  <c r="E140" i="3"/>
  <c r="C28" i="36"/>
  <c r="E139" i="3" l="1"/>
  <c r="C16" i="35"/>
  <c r="C8" i="35"/>
  <c r="C6" i="35"/>
  <c r="C39" i="34"/>
  <c r="C7" i="34"/>
  <c r="C5" i="34"/>
  <c r="E110" i="3"/>
  <c r="D4" i="3" l="1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3" i="3"/>
  <c r="A224" i="4"/>
  <c r="A225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H30" i="4" a="1"/>
  <c r="H30" i="4" s="1"/>
  <c r="A24" i="37"/>
  <c r="W43" i="20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P7" i="20"/>
  <c r="C32" i="37"/>
  <c r="C33" i="37"/>
  <c r="C34" i="37"/>
  <c r="C35" i="37"/>
  <c r="C36" i="37"/>
  <c r="C37" i="37"/>
  <c r="C38" i="37"/>
  <c r="C41" i="37"/>
  <c r="C42" i="37"/>
  <c r="C43" i="37"/>
  <c r="C44" i="37"/>
  <c r="C45" i="37"/>
  <c r="C46" i="37"/>
  <c r="C31" i="37"/>
  <c r="A226" i="4" l="1"/>
  <c r="G4" i="36"/>
  <c r="G4" i="57"/>
  <c r="G4" i="56"/>
  <c r="AU10" i="20" l="1"/>
  <c r="AV10" i="20" s="1"/>
  <c r="J3" i="37"/>
  <c r="J4" i="37"/>
  <c r="J5" i="37"/>
  <c r="J6" i="37"/>
  <c r="J7" i="37"/>
  <c r="J8" i="37"/>
  <c r="J9" i="37"/>
  <c r="J10" i="37"/>
  <c r="J11" i="37"/>
  <c r="J12" i="37"/>
  <c r="J13" i="37"/>
  <c r="J14" i="37"/>
  <c r="J15" i="37"/>
  <c r="J16" i="37"/>
  <c r="J17" i="37"/>
  <c r="J18" i="37"/>
  <c r="J19" i="37"/>
  <c r="J20" i="37"/>
  <c r="J2" i="37"/>
  <c r="G5" i="56"/>
  <c r="G5" i="57"/>
  <c r="C5" i="57" l="1"/>
  <c r="C8" i="57"/>
  <c r="G6" i="57"/>
  <c r="J6" i="57" s="1"/>
  <c r="C5" i="56"/>
  <c r="J21" i="37"/>
  <c r="J22" i="37" s="1"/>
  <c r="AW10" i="20"/>
  <c r="G9" i="57"/>
  <c r="C7" i="57" l="1"/>
  <c r="C9" i="57"/>
  <c r="C10" i="57"/>
  <c r="C6" i="57"/>
  <c r="E6" i="57"/>
  <c r="E7" i="57" s="1"/>
  <c r="P10" i="20"/>
  <c r="P11" i="20"/>
  <c r="G6" i="4" s="1"/>
  <c r="B14" i="4" s="1"/>
  <c r="H29" i="4"/>
  <c r="H31" i="4" s="1"/>
  <c r="I31" i="4" s="1"/>
  <c r="C12" i="57" l="1"/>
  <c r="C16" i="57" s="1"/>
  <c r="C24" i="57" s="1"/>
  <c r="C39" i="57" s="1"/>
  <c r="C43" i="57" s="1"/>
  <c r="J2" i="4"/>
  <c r="E13" i="57" l="1"/>
  <c r="AV15" i="20" l="1"/>
  <c r="AW15" i="20"/>
  <c r="AV9" i="20" l="1"/>
  <c r="AV20" i="20" s="1"/>
  <c r="AW9" i="20"/>
  <c r="AW20" i="20" s="1"/>
  <c r="E92" i="4" l="1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3" i="4"/>
  <c r="C11" i="35" l="1"/>
  <c r="S6" i="47"/>
  <c r="T6" i="47"/>
  <c r="U6" i="47"/>
  <c r="S7" i="47"/>
  <c r="T7" i="47"/>
  <c r="U7" i="47"/>
  <c r="S8" i="47"/>
  <c r="T8" i="47"/>
  <c r="U8" i="47"/>
  <c r="S9" i="47"/>
  <c r="T9" i="47"/>
  <c r="U9" i="47"/>
  <c r="S10" i="47"/>
  <c r="T10" i="47"/>
  <c r="U10" i="47"/>
  <c r="S11" i="47"/>
  <c r="T11" i="47"/>
  <c r="U11" i="47"/>
  <c r="S12" i="47"/>
  <c r="T12" i="47"/>
  <c r="U12" i="47"/>
  <c r="S13" i="47"/>
  <c r="T13" i="47"/>
  <c r="U13" i="47"/>
  <c r="S14" i="47"/>
  <c r="T14" i="47"/>
  <c r="U14" i="47"/>
  <c r="S15" i="47"/>
  <c r="T15" i="47"/>
  <c r="U15" i="47"/>
  <c r="S16" i="47"/>
  <c r="T16" i="47"/>
  <c r="U16" i="47"/>
  <c r="S17" i="47"/>
  <c r="T17" i="47"/>
  <c r="U17" i="47"/>
  <c r="S18" i="47"/>
  <c r="T18" i="47"/>
  <c r="U18" i="47"/>
  <c r="S19" i="47"/>
  <c r="T19" i="47"/>
  <c r="U19" i="47"/>
  <c r="S20" i="47"/>
  <c r="T20" i="47"/>
  <c r="U20" i="47"/>
  <c r="S21" i="47"/>
  <c r="T21" i="47"/>
  <c r="U21" i="47"/>
  <c r="S22" i="47"/>
  <c r="T22" i="47"/>
  <c r="U22" i="47"/>
  <c r="S23" i="47"/>
  <c r="T23" i="47"/>
  <c r="U23" i="47"/>
  <c r="S24" i="47"/>
  <c r="T24" i="47"/>
  <c r="U24" i="47"/>
  <c r="S25" i="47"/>
  <c r="T25" i="47"/>
  <c r="U25" i="47"/>
  <c r="S26" i="47"/>
  <c r="T26" i="47"/>
  <c r="U26" i="47"/>
  <c r="S27" i="47"/>
  <c r="T27" i="47"/>
  <c r="U27" i="47"/>
  <c r="S28" i="47"/>
  <c r="T28" i="47"/>
  <c r="U28" i="47"/>
  <c r="S29" i="47"/>
  <c r="T29" i="47"/>
  <c r="U29" i="47"/>
  <c r="S30" i="47"/>
  <c r="T30" i="47"/>
  <c r="U30" i="47"/>
  <c r="S31" i="47"/>
  <c r="T31" i="47"/>
  <c r="U31" i="47"/>
  <c r="S32" i="47"/>
  <c r="T32" i="47"/>
  <c r="U32" i="47"/>
  <c r="S33" i="47"/>
  <c r="T33" i="47"/>
  <c r="U33" i="47"/>
  <c r="S34" i="47"/>
  <c r="T34" i="47"/>
  <c r="U34" i="47"/>
  <c r="S35" i="47"/>
  <c r="T35" i="47"/>
  <c r="U35" i="47"/>
  <c r="S36" i="47"/>
  <c r="T36" i="47"/>
  <c r="U36" i="47"/>
  <c r="S37" i="47"/>
  <c r="T37" i="47"/>
  <c r="U37" i="47"/>
  <c r="S38" i="47"/>
  <c r="T38" i="47"/>
  <c r="U38" i="47"/>
  <c r="S39" i="47"/>
  <c r="T39" i="47"/>
  <c r="U39" i="47"/>
  <c r="S40" i="47"/>
  <c r="T40" i="47"/>
  <c r="U40" i="47"/>
  <c r="S41" i="47"/>
  <c r="T41" i="47"/>
  <c r="U41" i="47"/>
  <c r="S42" i="47"/>
  <c r="T42" i="47"/>
  <c r="U42" i="47"/>
  <c r="S43" i="47"/>
  <c r="T43" i="47"/>
  <c r="U43" i="47"/>
  <c r="S44" i="47"/>
  <c r="T44" i="47"/>
  <c r="U44" i="47"/>
  <c r="S45" i="47"/>
  <c r="T45" i="47"/>
  <c r="U45" i="47"/>
  <c r="S46" i="47"/>
  <c r="T46" i="47"/>
  <c r="U46" i="47"/>
  <c r="S47" i="47"/>
  <c r="T47" i="47"/>
  <c r="U47" i="47"/>
  <c r="S48" i="47"/>
  <c r="T48" i="47"/>
  <c r="U48" i="47"/>
  <c r="S49" i="47"/>
  <c r="T49" i="47"/>
  <c r="U49" i="47"/>
  <c r="S50" i="47"/>
  <c r="T50" i="47"/>
  <c r="U50" i="47"/>
  <c r="S51" i="47"/>
  <c r="T51" i="47"/>
  <c r="U51" i="47"/>
  <c r="S52" i="47"/>
  <c r="T52" i="47"/>
  <c r="U52" i="47"/>
  <c r="S53" i="47"/>
  <c r="T53" i="47"/>
  <c r="U53" i="47"/>
  <c r="S54" i="47"/>
  <c r="T54" i="47"/>
  <c r="U54" i="47"/>
  <c r="S55" i="47"/>
  <c r="T55" i="47"/>
  <c r="U55" i="47"/>
  <c r="S56" i="47"/>
  <c r="T56" i="47"/>
  <c r="U56" i="47"/>
  <c r="S57" i="47"/>
  <c r="T57" i="47"/>
  <c r="U57" i="47"/>
  <c r="S58" i="47"/>
  <c r="T58" i="47"/>
  <c r="U58" i="47"/>
  <c r="S59" i="47"/>
  <c r="T59" i="47"/>
  <c r="U59" i="47"/>
  <c r="S60" i="47"/>
  <c r="T60" i="47"/>
  <c r="U60" i="47"/>
  <c r="S61" i="47"/>
  <c r="T61" i="47"/>
  <c r="U61" i="47"/>
  <c r="S62" i="47"/>
  <c r="T62" i="47"/>
  <c r="U62" i="47"/>
  <c r="S63" i="47"/>
  <c r="T63" i="47"/>
  <c r="U63" i="47"/>
  <c r="S64" i="47"/>
  <c r="T64" i="47"/>
  <c r="U64" i="47"/>
  <c r="S65" i="47"/>
  <c r="T65" i="47"/>
  <c r="U65" i="47"/>
  <c r="S66" i="47"/>
  <c r="T66" i="47"/>
  <c r="U66" i="47"/>
  <c r="S67" i="47"/>
  <c r="T67" i="47"/>
  <c r="U67" i="47"/>
  <c r="S68" i="47"/>
  <c r="T68" i="47"/>
  <c r="U68" i="47"/>
  <c r="S69" i="47"/>
  <c r="T69" i="47"/>
  <c r="U69" i="47"/>
  <c r="S70" i="47"/>
  <c r="T70" i="47"/>
  <c r="U70" i="47"/>
  <c r="S71" i="47"/>
  <c r="T71" i="47"/>
  <c r="U71" i="47"/>
  <c r="S72" i="47"/>
  <c r="T72" i="47"/>
  <c r="U72" i="47"/>
  <c r="U5" i="47"/>
  <c r="T5" i="47"/>
  <c r="S5" i="47"/>
  <c r="Q13" i="16"/>
  <c r="Q12" i="16"/>
  <c r="Q11" i="16"/>
  <c r="Q10" i="16"/>
  <c r="Q9" i="16"/>
  <c r="Q8" i="16"/>
  <c r="C26" i="34" l="1"/>
  <c r="AQ17" i="20"/>
  <c r="AR17" i="20"/>
  <c r="AQ16" i="20"/>
  <c r="AR16" i="20"/>
  <c r="T91" i="20"/>
  <c r="R91" i="20"/>
  <c r="P91" i="20"/>
  <c r="P42" i="20"/>
  <c r="Q42" i="20" s="1"/>
  <c r="S40" i="20"/>
  <c r="P40" i="20"/>
  <c r="Q40" i="20" s="1"/>
  <c r="AH37" i="20"/>
  <c r="P39" i="20"/>
  <c r="Q39" i="20" s="1"/>
  <c r="AH36" i="20"/>
  <c r="AG35" i="20"/>
  <c r="P6" i="16" s="1"/>
  <c r="AF35" i="20"/>
  <c r="O6" i="16" s="1"/>
  <c r="AE35" i="20"/>
  <c r="N6" i="16" s="1"/>
  <c r="AD35" i="20"/>
  <c r="M6" i="16" s="1"/>
  <c r="AC35" i="20"/>
  <c r="L6" i="16" s="1"/>
  <c r="AB35" i="20"/>
  <c r="K6" i="16" s="1"/>
  <c r="AA35" i="20"/>
  <c r="Z35" i="20"/>
  <c r="Y35" i="20"/>
  <c r="X35" i="20"/>
  <c r="W35" i="20"/>
  <c r="U35" i="20"/>
  <c r="AH34" i="20"/>
  <c r="AH33" i="20"/>
  <c r="AG32" i="20"/>
  <c r="AF32" i="20"/>
  <c r="AE32" i="20"/>
  <c r="AD32" i="20"/>
  <c r="AC32" i="20"/>
  <c r="AB32" i="20"/>
  <c r="AA32" i="20"/>
  <c r="Z32" i="20"/>
  <c r="Y32" i="20"/>
  <c r="X32" i="20"/>
  <c r="W32" i="20"/>
  <c r="V32" i="20" s="1"/>
  <c r="AH31" i="20"/>
  <c r="AH30" i="20"/>
  <c r="AH28" i="20"/>
  <c r="S28" i="20"/>
  <c r="AH27" i="20"/>
  <c r="AG26" i="20"/>
  <c r="AF26" i="20"/>
  <c r="AE26" i="20"/>
  <c r="AD26" i="20"/>
  <c r="AC26" i="20"/>
  <c r="AB26" i="20"/>
  <c r="AA26" i="20"/>
  <c r="Z26" i="20"/>
  <c r="Y26" i="20"/>
  <c r="X26" i="20"/>
  <c r="W26" i="20"/>
  <c r="V26" i="20" s="1"/>
  <c r="P28" i="20"/>
  <c r="AH20" i="20"/>
  <c r="AF20" i="20"/>
  <c r="AE20" i="20"/>
  <c r="AD20" i="20"/>
  <c r="AC20" i="20"/>
  <c r="AB20" i="20"/>
  <c r="AA20" i="20"/>
  <c r="Z20" i="20"/>
  <c r="Y20" i="20"/>
  <c r="X20" i="20"/>
  <c r="W20" i="20"/>
  <c r="V20" i="20"/>
  <c r="T19" i="20"/>
  <c r="T18" i="20"/>
  <c r="AH17" i="20"/>
  <c r="T16" i="20"/>
  <c r="AR15" i="20"/>
  <c r="AQ15" i="20"/>
  <c r="T15" i="20"/>
  <c r="AR14" i="20"/>
  <c r="AQ14" i="20"/>
  <c r="T14" i="20"/>
  <c r="AR13" i="20"/>
  <c r="AQ13" i="20"/>
  <c r="AH13" i="20"/>
  <c r="AF13" i="20"/>
  <c r="AE13" i="20"/>
  <c r="AD13" i="20"/>
  <c r="AC13" i="20"/>
  <c r="AB13" i="20"/>
  <c r="AA13" i="20"/>
  <c r="Z13" i="20"/>
  <c r="Y13" i="20"/>
  <c r="X13" i="20"/>
  <c r="W13" i="20"/>
  <c r="V13" i="20"/>
  <c r="AW14" i="20"/>
  <c r="AV14" i="20"/>
  <c r="AR12" i="20"/>
  <c r="AQ12" i="20"/>
  <c r="T12" i="20"/>
  <c r="AW13" i="20"/>
  <c r="AR11" i="20"/>
  <c r="AQ11" i="20"/>
  <c r="T11" i="20"/>
  <c r="AW12" i="20"/>
  <c r="AV12" i="20"/>
  <c r="AR10" i="20"/>
  <c r="AQ10" i="20"/>
  <c r="AW11" i="20"/>
  <c r="AV11" i="20"/>
  <c r="AR9" i="20"/>
  <c r="AQ9" i="20"/>
  <c r="T9" i="20"/>
  <c r="AZ8" i="20"/>
  <c r="AY8" i="20"/>
  <c r="AW8" i="20"/>
  <c r="AV8" i="20"/>
  <c r="AT8" i="20"/>
  <c r="AR8" i="20"/>
  <c r="AQ8" i="20"/>
  <c r="T8" i="20"/>
  <c r="AZ7" i="20"/>
  <c r="AY7" i="20"/>
  <c r="AW7" i="20"/>
  <c r="AR7" i="20"/>
  <c r="AQ7" i="20"/>
  <c r="T7" i="20"/>
  <c r="AZ6" i="20"/>
  <c r="AW6" i="20"/>
  <c r="AV6" i="20"/>
  <c r="AR6" i="20"/>
  <c r="AQ6" i="20"/>
  <c r="AH6" i="20"/>
  <c r="AF6" i="20"/>
  <c r="AE6" i="20"/>
  <c r="AD6" i="20"/>
  <c r="AC6" i="20"/>
  <c r="AB6" i="20"/>
  <c r="AA6" i="20"/>
  <c r="Z6" i="20"/>
  <c r="Y6" i="20"/>
  <c r="X6" i="20"/>
  <c r="W6" i="20"/>
  <c r="V6" i="20"/>
  <c r="AZ5" i="20"/>
  <c r="AY5" i="20"/>
  <c r="AW5" i="20"/>
  <c r="AV5" i="20"/>
  <c r="AT5" i="20"/>
  <c r="AR5" i="20"/>
  <c r="AQ5" i="20"/>
  <c r="R1" i="20"/>
  <c r="P1" i="20"/>
  <c r="P34" i="20"/>
  <c r="P33" i="20"/>
  <c r="V35" i="20" l="1"/>
  <c r="AO14" i="20"/>
  <c r="AO9" i="20"/>
  <c r="AO6" i="20"/>
  <c r="AO7" i="20"/>
  <c r="AO8" i="20"/>
  <c r="AO10" i="20"/>
  <c r="AO12" i="20"/>
  <c r="AO5" i="20"/>
  <c r="AO11" i="20"/>
  <c r="AO16" i="20"/>
  <c r="AO13" i="20"/>
  <c r="AO15" i="20"/>
  <c r="AQ18" i="20"/>
  <c r="AR18" i="20"/>
  <c r="T20" i="20"/>
  <c r="AW16" i="20"/>
  <c r="AV19" i="20"/>
  <c r="AH35" i="20"/>
  <c r="AG6" i="20"/>
  <c r="AW19" i="20"/>
  <c r="R3" i="20"/>
  <c r="T6" i="20"/>
  <c r="AW18" i="20"/>
  <c r="AG13" i="20"/>
  <c r="AG20" i="20"/>
  <c r="AV17" i="20"/>
  <c r="AH26" i="20"/>
  <c r="AW17" i="20"/>
  <c r="AH32" i="20"/>
  <c r="AV16" i="20"/>
  <c r="AE29" i="20"/>
  <c r="Y29" i="20"/>
  <c r="T28" i="20"/>
  <c r="AE17" i="20"/>
  <c r="Y17" i="20"/>
  <c r="AD29" i="20"/>
  <c r="X29" i="20"/>
  <c r="AD17" i="20"/>
  <c r="X17" i="20"/>
  <c r="AC29" i="20"/>
  <c r="W29" i="20"/>
  <c r="V29" i="20" s="1"/>
  <c r="AC17" i="20"/>
  <c r="W17" i="20"/>
  <c r="AB29" i="20"/>
  <c r="AB17" i="20"/>
  <c r="V17" i="20"/>
  <c r="AG29" i="20"/>
  <c r="AA29" i="20"/>
  <c r="AA17" i="20"/>
  <c r="AF29" i="20"/>
  <c r="Z29" i="20"/>
  <c r="AF17" i="20"/>
  <c r="Z17" i="20"/>
  <c r="AC38" i="20"/>
  <c r="L14" i="16" s="1"/>
  <c r="W38" i="20"/>
  <c r="V38" i="20" s="1"/>
  <c r="AC10" i="20"/>
  <c r="W10" i="20"/>
  <c r="AB38" i="20"/>
  <c r="K14" i="16" s="1"/>
  <c r="AH10" i="20"/>
  <c r="AB10" i="20"/>
  <c r="V10" i="20"/>
  <c r="AG38" i="20"/>
  <c r="P14" i="16" s="1"/>
  <c r="AA38" i="20"/>
  <c r="AA10" i="20"/>
  <c r="AF38" i="20"/>
  <c r="O14" i="16" s="1"/>
  <c r="Z38" i="20"/>
  <c r="AF10" i="20"/>
  <c r="Z10" i="20"/>
  <c r="AE38" i="20"/>
  <c r="N14" i="16" s="1"/>
  <c r="Y38" i="20"/>
  <c r="T29" i="20"/>
  <c r="AE10" i="20"/>
  <c r="Y10" i="20"/>
  <c r="AD38" i="20"/>
  <c r="X38" i="20"/>
  <c r="AD10" i="20"/>
  <c r="X10" i="20"/>
  <c r="P9" i="20"/>
  <c r="AZ9" i="20"/>
  <c r="T13" i="20"/>
  <c r="P12" i="20"/>
  <c r="R42" i="20"/>
  <c r="S26" i="20"/>
  <c r="P3" i="20"/>
  <c r="P27" i="20"/>
  <c r="AV13" i="20"/>
  <c r="H20" i="4" l="1"/>
  <c r="Z40" i="20"/>
  <c r="Y40" i="20"/>
  <c r="L15" i="16"/>
  <c r="O15" i="16"/>
  <c r="N15" i="16"/>
  <c r="AD40" i="20"/>
  <c r="M14" i="16"/>
  <c r="K15" i="16"/>
  <c r="P15" i="16"/>
  <c r="AE40" i="20"/>
  <c r="AA40" i="20"/>
  <c r="AG40" i="20"/>
  <c r="AB40" i="20"/>
  <c r="W40" i="20"/>
  <c r="W41" i="20" s="1"/>
  <c r="AC40" i="20"/>
  <c r="AF40" i="20"/>
  <c r="X40" i="20"/>
  <c r="AH38" i="20"/>
  <c r="AG17" i="20"/>
  <c r="T17" i="20"/>
  <c r="P8" i="20"/>
  <c r="P13" i="20" s="1"/>
  <c r="R39" i="20"/>
  <c r="R43" i="20" s="1"/>
  <c r="AG10" i="20"/>
  <c r="T10" i="20"/>
  <c r="AV7" i="20"/>
  <c r="AV18" i="20" s="1"/>
  <c r="AY6" i="20"/>
  <c r="R40" i="20"/>
  <c r="R44" i="20" s="1"/>
  <c r="P29" i="20"/>
  <c r="Q27" i="20" s="1"/>
  <c r="AH29" i="20"/>
  <c r="P17" i="20" l="1"/>
  <c r="M15" i="16"/>
  <c r="T22" i="20"/>
  <c r="T23" i="20" s="1"/>
  <c r="AH40" i="20"/>
  <c r="AH41" i="20" s="1"/>
  <c r="P30" i="20"/>
  <c r="Q28" i="20"/>
  <c r="P15" i="20" l="1"/>
  <c r="Q7" i="20" l="1"/>
  <c r="Q12" i="20"/>
  <c r="Q8" i="20"/>
  <c r="D1209" i="50"/>
  <c r="D1190" i="50"/>
  <c r="D1171" i="50"/>
  <c r="D1151" i="50"/>
  <c r="D1132" i="50"/>
  <c r="D1112" i="50"/>
  <c r="D1092" i="50"/>
  <c r="D1072" i="50"/>
  <c r="D1053" i="50"/>
  <c r="D1033" i="50"/>
  <c r="D1013" i="50"/>
  <c r="D993" i="50"/>
  <c r="D974" i="50"/>
  <c r="D954" i="50"/>
  <c r="D934" i="50"/>
  <c r="D914" i="50"/>
  <c r="D895" i="50"/>
  <c r="D875" i="50"/>
  <c r="D855" i="50"/>
  <c r="D836" i="50"/>
  <c r="D817" i="50"/>
  <c r="D797" i="50"/>
  <c r="D777" i="50"/>
  <c r="D757" i="50"/>
  <c r="D738" i="50"/>
  <c r="D718" i="50"/>
  <c r="D699" i="50"/>
  <c r="D679" i="50"/>
  <c r="D660" i="50"/>
  <c r="D640" i="50"/>
  <c r="D620" i="50"/>
  <c r="D600" i="50"/>
  <c r="D581" i="50"/>
  <c r="D561" i="50"/>
  <c r="D541" i="50"/>
  <c r="D521" i="50"/>
  <c r="D502" i="50"/>
  <c r="D482" i="50"/>
  <c r="D462" i="50"/>
  <c r="D442" i="50"/>
  <c r="D423" i="50"/>
  <c r="D403" i="50"/>
  <c r="D384" i="50"/>
  <c r="D365" i="50"/>
  <c r="D346" i="50"/>
  <c r="D327" i="50"/>
  <c r="D308" i="50"/>
  <c r="D289" i="50"/>
  <c r="D270" i="50"/>
  <c r="D251" i="50"/>
  <c r="D232" i="50"/>
  <c r="D213" i="50"/>
  <c r="D194" i="50"/>
  <c r="D175" i="50"/>
  <c r="D156" i="50"/>
  <c r="Q15" i="20" l="1"/>
  <c r="Q7" i="15"/>
  <c r="Q9" i="15"/>
  <c r="Q10" i="15"/>
  <c r="Q11" i="15"/>
  <c r="Q12" i="15"/>
  <c r="Q13" i="15"/>
  <c r="Q14" i="15"/>
  <c r="Q15" i="15"/>
  <c r="Q16" i="15"/>
  <c r="K8" i="15"/>
  <c r="L8" i="15"/>
  <c r="M8" i="15"/>
  <c r="N8" i="15"/>
  <c r="O8" i="15"/>
  <c r="P8" i="15"/>
  <c r="K6" i="15"/>
  <c r="L6" i="15"/>
  <c r="M6" i="15"/>
  <c r="N6" i="15"/>
  <c r="O6" i="15"/>
  <c r="P6" i="15"/>
  <c r="K8" i="13"/>
  <c r="L8" i="13"/>
  <c r="M8" i="13"/>
  <c r="N8" i="13"/>
  <c r="O8" i="13"/>
  <c r="K6" i="13"/>
  <c r="L6" i="13"/>
  <c r="N6" i="13"/>
  <c r="O6" i="13"/>
  <c r="K6" i="14"/>
  <c r="L6" i="14"/>
  <c r="M6" i="14"/>
  <c r="N6" i="14"/>
  <c r="O6" i="14"/>
  <c r="D1209" i="7"/>
  <c r="D1190" i="7"/>
  <c r="D1170" i="7"/>
  <c r="D1151" i="7"/>
  <c r="D1131" i="7"/>
  <c r="D1111" i="7"/>
  <c r="D1091" i="7"/>
  <c r="D1072" i="7"/>
  <c r="D1052" i="7"/>
  <c r="D1032" i="7"/>
  <c r="D1012" i="7"/>
  <c r="D993" i="7"/>
  <c r="D973" i="7"/>
  <c r="D953" i="7"/>
  <c r="D933" i="7"/>
  <c r="D914" i="7"/>
  <c r="D894" i="7"/>
  <c r="D874" i="7"/>
  <c r="D855" i="7"/>
  <c r="D836" i="7"/>
  <c r="D817" i="7"/>
  <c r="D797" i="7"/>
  <c r="D777" i="7"/>
  <c r="D757" i="7"/>
  <c r="D738" i="7"/>
  <c r="D718" i="7"/>
  <c r="D699" i="7"/>
  <c r="D679" i="7"/>
  <c r="D660" i="7"/>
  <c r="D640" i="7"/>
  <c r="D620" i="7"/>
  <c r="D600" i="7"/>
  <c r="D581" i="7"/>
  <c r="D561" i="7"/>
  <c r="D541" i="7"/>
  <c r="D521" i="7"/>
  <c r="D502" i="7"/>
  <c r="D482" i="7"/>
  <c r="D462" i="7"/>
  <c r="D442" i="7"/>
  <c r="D423" i="7"/>
  <c r="D403" i="7"/>
  <c r="D384" i="7"/>
  <c r="D365" i="7"/>
  <c r="D346" i="7"/>
  <c r="D327" i="7"/>
  <c r="D308" i="7"/>
  <c r="D289" i="7"/>
  <c r="D270" i="7"/>
  <c r="D251" i="7"/>
  <c r="D232" i="7"/>
  <c r="D213" i="7"/>
  <c r="D194" i="7"/>
  <c r="D175" i="7"/>
  <c r="D156" i="7"/>
  <c r="B32" i="50"/>
  <c r="B57" i="50"/>
  <c r="B24" i="50"/>
  <c r="B35" i="50"/>
  <c r="B29" i="50"/>
  <c r="B62" i="50"/>
  <c r="B7" i="50"/>
  <c r="B38" i="50"/>
  <c r="B8" i="50"/>
  <c r="B13" i="50"/>
  <c r="B59" i="50"/>
  <c r="B31" i="50"/>
  <c r="B25" i="50"/>
  <c r="B14" i="50"/>
  <c r="B42" i="50"/>
  <c r="B41" i="50"/>
  <c r="B17" i="50"/>
  <c r="B45" i="50"/>
  <c r="B28" i="50"/>
  <c r="B39" i="50"/>
  <c r="B48" i="50"/>
  <c r="B43" i="50"/>
  <c r="B51" i="50"/>
  <c r="B56" i="50"/>
  <c r="B63" i="50"/>
  <c r="B26" i="50"/>
  <c r="B12" i="50"/>
  <c r="B44" i="50"/>
  <c r="B23" i="50"/>
  <c r="B64" i="50"/>
  <c r="B40" i="50"/>
  <c r="B37" i="50"/>
  <c r="B54" i="50"/>
  <c r="B21" i="50"/>
  <c r="B65" i="50"/>
  <c r="B30" i="50"/>
  <c r="B22" i="50"/>
  <c r="B58" i="50"/>
  <c r="B6" i="50"/>
  <c r="B49" i="50"/>
  <c r="B10" i="50"/>
  <c r="B33" i="50"/>
  <c r="B11" i="50"/>
  <c r="B16" i="50"/>
  <c r="B46" i="50"/>
  <c r="B53" i="50"/>
  <c r="B27" i="50"/>
  <c r="B52" i="50"/>
  <c r="B18" i="50"/>
  <c r="B9" i="50"/>
  <c r="B19" i="50"/>
  <c r="B20" i="50"/>
  <c r="B47" i="50"/>
  <c r="B60" i="50"/>
  <c r="B36" i="50"/>
  <c r="B5" i="50"/>
  <c r="B50" i="50"/>
  <c r="B15" i="50"/>
  <c r="B61" i="50"/>
  <c r="B34" i="50"/>
  <c r="B55" i="50"/>
  <c r="E1209" i="50" l="1"/>
  <c r="C19" i="35"/>
  <c r="G1222" i="50" l="1"/>
  <c r="G1213" i="50"/>
  <c r="G1223" i="50"/>
  <c r="G1221" i="50"/>
  <c r="G1217" i="50"/>
  <c r="G1216" i="50"/>
  <c r="G1212" i="50"/>
  <c r="G1220" i="50"/>
  <c r="G1215" i="50"/>
  <c r="G1214" i="50"/>
  <c r="G1219" i="50"/>
  <c r="G1218" i="50"/>
  <c r="C27" i="34"/>
  <c r="C9" i="34"/>
  <c r="C8" i="34"/>
  <c r="T8" i="49" l="1"/>
  <c r="S8" i="49"/>
  <c r="R8" i="49"/>
  <c r="P8" i="49"/>
  <c r="O8" i="49"/>
  <c r="Q7" i="49"/>
  <c r="Q8" i="49" s="1"/>
  <c r="AE7" i="48"/>
  <c r="AE8" i="48"/>
  <c r="AE9" i="48"/>
  <c r="AC10" i="48"/>
  <c r="AD10" i="48"/>
  <c r="AF10" i="48"/>
  <c r="AG10" i="48"/>
  <c r="AH10" i="48"/>
  <c r="B4" i="50"/>
  <c r="I9" i="36"/>
  <c r="G8" i="36"/>
  <c r="I9" i="56" l="1"/>
  <c r="G8" i="56"/>
  <c r="AE10" i="48"/>
  <c r="C38" i="34"/>
  <c r="C29" i="34"/>
  <c r="C28" i="34"/>
  <c r="C20" i="35"/>
  <c r="C28" i="35"/>
  <c r="C36" i="36"/>
  <c r="G5" i="36"/>
  <c r="G7" i="36"/>
  <c r="G9" i="36"/>
  <c r="G9" i="56"/>
  <c r="G10" i="36"/>
  <c r="G7" i="56" l="1"/>
  <c r="G10" i="56"/>
  <c r="K9" i="56"/>
  <c r="C9" i="56"/>
  <c r="K8" i="56"/>
  <c r="C8" i="56"/>
  <c r="C31" i="36"/>
  <c r="C38" i="36" s="1"/>
  <c r="C12" i="35"/>
  <c r="C21" i="35" s="1"/>
  <c r="C40" i="34"/>
  <c r="C10" i="36"/>
  <c r="C9" i="36"/>
  <c r="G6" i="36"/>
  <c r="G6" i="56" s="1"/>
  <c r="C31" i="34"/>
  <c r="C15" i="34"/>
  <c r="C22" i="36"/>
  <c r="K6" i="56" l="1"/>
  <c r="E6" i="56"/>
  <c r="E7" i="56" s="1"/>
  <c r="C6" i="56"/>
  <c r="K10" i="56"/>
  <c r="C10" i="56"/>
  <c r="K7" i="56"/>
  <c r="C7" i="56"/>
  <c r="L3" i="48"/>
  <c r="E6" i="36"/>
  <c r="C42" i="34"/>
  <c r="C6" i="36"/>
  <c r="C8" i="36"/>
  <c r="C7" i="36"/>
  <c r="C5" i="36"/>
  <c r="C12" i="56" l="1"/>
  <c r="E7" i="36"/>
  <c r="J1" i="4" s="1"/>
  <c r="J3" i="4" s="1"/>
  <c r="C12" i="36"/>
  <c r="E13" i="56" l="1"/>
  <c r="C16" i="56"/>
  <c r="C24" i="56" s="1"/>
  <c r="C39" i="56" s="1"/>
  <c r="C43" i="56" s="1"/>
  <c r="G1" i="4"/>
  <c r="B7" i="4" s="1"/>
  <c r="H1" i="4"/>
  <c r="K3" i="48"/>
  <c r="C16" i="36"/>
  <c r="C24" i="36" s="1"/>
  <c r="C39" i="36" s="1"/>
  <c r="E13" i="36"/>
  <c r="Q9" i="48"/>
  <c r="B16" i="4" l="1"/>
  <c r="C43" i="36"/>
  <c r="U7" i="48"/>
  <c r="C32" i="55"/>
  <c r="Q7" i="48"/>
  <c r="D7" i="56" l="1"/>
  <c r="D7" i="57"/>
  <c r="C33" i="55"/>
  <c r="C35" i="55" s="1"/>
  <c r="C37" i="55" s="1"/>
  <c r="C32" i="35"/>
  <c r="C33" i="35" s="1"/>
  <c r="C35" i="35" s="1"/>
  <c r="C37" i="35" s="1"/>
  <c r="U8" i="48"/>
  <c r="Q10" i="48"/>
  <c r="H10" i="4"/>
  <c r="C32" i="54"/>
  <c r="C33" i="54" l="1"/>
  <c r="C35" i="54" s="1"/>
  <c r="C37" i="54" s="1"/>
  <c r="AI6" i="20"/>
  <c r="H14" i="4"/>
  <c r="AT7" i="20" l="1"/>
  <c r="AI13" i="20"/>
  <c r="AT6" i="20"/>
  <c r="T1" i="20"/>
  <c r="T3" i="20" s="1"/>
  <c r="AI10" i="20"/>
  <c r="AI17" i="20"/>
  <c r="AI20" i="20"/>
  <c r="H15" i="4" l="1"/>
  <c r="H16" i="4" s="1"/>
  <c r="I16" i="4" s="1"/>
  <c r="I15" i="5"/>
  <c r="I17" i="5"/>
  <c r="I825" i="6" l="1"/>
  <c r="I812" i="6"/>
  <c r="I799" i="6"/>
  <c r="I786" i="6"/>
  <c r="I773" i="6"/>
  <c r="I760" i="6"/>
  <c r="I747" i="6"/>
  <c r="I734" i="6"/>
  <c r="I721" i="6"/>
  <c r="I708" i="6"/>
  <c r="I695" i="6"/>
  <c r="I682" i="6"/>
  <c r="I669" i="6"/>
  <c r="I656" i="6"/>
  <c r="I643" i="6"/>
  <c r="I630" i="6"/>
  <c r="I617" i="6"/>
  <c r="I604" i="6"/>
  <c r="I591" i="6"/>
  <c r="I578" i="6"/>
  <c r="I565" i="6"/>
  <c r="I552" i="6"/>
  <c r="I539" i="6"/>
  <c r="I526" i="6"/>
  <c r="I513" i="6"/>
  <c r="I500" i="6"/>
  <c r="I487" i="6"/>
  <c r="I474" i="6"/>
  <c r="I461" i="6"/>
  <c r="I448" i="6"/>
  <c r="I435" i="6"/>
  <c r="I422" i="6"/>
  <c r="I409" i="6"/>
  <c r="I396" i="6"/>
  <c r="I383" i="6"/>
  <c r="I370" i="6"/>
  <c r="I357" i="6"/>
  <c r="I344" i="6"/>
  <c r="I331" i="6"/>
  <c r="I318" i="6"/>
  <c r="I305" i="6"/>
  <c r="I292" i="6"/>
  <c r="I279" i="6"/>
  <c r="I266" i="6"/>
  <c r="I253" i="6"/>
  <c r="I240" i="6"/>
  <c r="I227" i="6" l="1"/>
  <c r="I214" i="6"/>
  <c r="I201" i="6"/>
  <c r="I188" i="6"/>
  <c r="I175" i="6"/>
  <c r="I162" i="6"/>
  <c r="I149" i="6"/>
  <c r="I136" i="6"/>
  <c r="I123" i="6"/>
  <c r="I110" i="6"/>
  <c r="I97" i="6"/>
  <c r="D204" i="6"/>
  <c r="D815" i="6"/>
  <c r="D802" i="6"/>
  <c r="D789" i="6"/>
  <c r="D776" i="6"/>
  <c r="D763" i="6"/>
  <c r="D750" i="6"/>
  <c r="D737" i="6"/>
  <c r="D724" i="6"/>
  <c r="D711" i="6"/>
  <c r="D698" i="6"/>
  <c r="D685" i="6"/>
  <c r="D672" i="6"/>
  <c r="D659" i="6"/>
  <c r="D646" i="6"/>
  <c r="D633" i="6"/>
  <c r="D620" i="6"/>
  <c r="D607" i="6"/>
  <c r="D594" i="6"/>
  <c r="D581" i="6"/>
  <c r="D568" i="6"/>
  <c r="D555" i="6"/>
  <c r="D542" i="6"/>
  <c r="D529" i="6"/>
  <c r="D516" i="6"/>
  <c r="D503" i="6"/>
  <c r="D490" i="6"/>
  <c r="D477" i="6"/>
  <c r="D464" i="6"/>
  <c r="D451" i="6"/>
  <c r="D438" i="6"/>
  <c r="D425" i="6"/>
  <c r="D412" i="6"/>
  <c r="D399" i="6"/>
  <c r="D386" i="6"/>
  <c r="D373" i="6"/>
  <c r="D360" i="6"/>
  <c r="D347" i="6"/>
  <c r="D334" i="6"/>
  <c r="D321" i="6"/>
  <c r="D308" i="6"/>
  <c r="D295" i="6"/>
  <c r="D282" i="6"/>
  <c r="D269" i="6"/>
  <c r="D256" i="6"/>
  <c r="D243" i="6"/>
  <c r="D230" i="6"/>
  <c r="D217" i="6"/>
  <c r="D191" i="6"/>
  <c r="D178" i="6"/>
  <c r="D165" i="6"/>
  <c r="D152" i="6"/>
  <c r="D139" i="6"/>
  <c r="D126" i="6"/>
  <c r="D113" i="6"/>
  <c r="D100" i="6"/>
  <c r="D87" i="6"/>
  <c r="D74" i="6"/>
  <c r="D61" i="6"/>
  <c r="D48" i="6"/>
  <c r="D35" i="6"/>
  <c r="D21" i="6"/>
  <c r="I84" i="6"/>
  <c r="I71" i="6"/>
  <c r="I58" i="6"/>
  <c r="I45" i="6"/>
  <c r="I31" i="6"/>
  <c r="D1060" i="5" l="1"/>
  <c r="D1043" i="5"/>
  <c r="D1026" i="5"/>
  <c r="D1009" i="5"/>
  <c r="D992" i="5"/>
  <c r="D975" i="5"/>
  <c r="D958" i="5"/>
  <c r="D941" i="5"/>
  <c r="D924" i="5"/>
  <c r="D907" i="5"/>
  <c r="D890" i="5"/>
  <c r="D873" i="5"/>
  <c r="D856" i="5"/>
  <c r="D839" i="5"/>
  <c r="D822" i="5"/>
  <c r="D805" i="5"/>
  <c r="D788" i="5"/>
  <c r="D771" i="5"/>
  <c r="D754" i="5"/>
  <c r="D737" i="5"/>
  <c r="D720" i="5"/>
  <c r="D703" i="5"/>
  <c r="D686" i="5"/>
  <c r="D669" i="5"/>
  <c r="D652" i="5"/>
  <c r="D635" i="5"/>
  <c r="D618" i="5"/>
  <c r="D601" i="5"/>
  <c r="D584" i="5"/>
  <c r="D567" i="5"/>
  <c r="D550" i="5"/>
  <c r="D533" i="5"/>
  <c r="D516" i="5"/>
  <c r="D499" i="5"/>
  <c r="D482" i="5"/>
  <c r="D465" i="5"/>
  <c r="D448" i="5"/>
  <c r="D431" i="5"/>
  <c r="D414" i="5"/>
  <c r="D397" i="5"/>
  <c r="D380" i="5"/>
  <c r="D363" i="5"/>
  <c r="D346" i="5"/>
  <c r="D329" i="5"/>
  <c r="D312" i="5"/>
  <c r="D295" i="5"/>
  <c r="D278" i="5"/>
  <c r="D261" i="5"/>
  <c r="D244" i="5"/>
  <c r="D227" i="5"/>
  <c r="D210" i="5"/>
  <c r="D193" i="5"/>
  <c r="D176" i="5"/>
  <c r="D159" i="5"/>
  <c r="D142" i="5"/>
  <c r="D125" i="5"/>
  <c r="D108" i="5"/>
  <c r="D91" i="5"/>
  <c r="D74" i="5"/>
  <c r="D57" i="5"/>
  <c r="D40" i="5"/>
  <c r="D22" i="5"/>
  <c r="D137" i="50" l="1"/>
  <c r="D118" i="50"/>
  <c r="D99" i="50"/>
  <c r="D80" i="50"/>
  <c r="D61" i="50"/>
  <c r="D42" i="50"/>
  <c r="D23" i="50"/>
  <c r="L17" i="15" l="1"/>
  <c r="P17" i="15"/>
  <c r="M17" i="15"/>
  <c r="N17" i="15"/>
  <c r="K17" i="15"/>
  <c r="O17" i="15"/>
  <c r="L17" i="13"/>
  <c r="M17" i="13"/>
  <c r="K17" i="13"/>
  <c r="O17" i="13"/>
  <c r="K14" i="14"/>
  <c r="O14" i="14"/>
  <c r="O15" i="14" s="1"/>
  <c r="L14" i="14"/>
  <c r="L15" i="14" s="1"/>
  <c r="M14" i="14"/>
  <c r="N14" i="14"/>
  <c r="E403" i="50"/>
  <c r="E1072" i="50"/>
  <c r="E954" i="50"/>
  <c r="E993" i="50"/>
  <c r="E1033" i="50"/>
  <c r="E213" i="50"/>
  <c r="E251" i="50"/>
  <c r="E289" i="50"/>
  <c r="E327" i="50"/>
  <c r="E365" i="50"/>
  <c r="E482" i="50"/>
  <c r="E620" i="50"/>
  <c r="E660" i="50"/>
  <c r="E699" i="50"/>
  <c r="E738" i="50"/>
  <c r="E777" i="50"/>
  <c r="E875" i="50"/>
  <c r="E1171" i="50"/>
  <c r="E23" i="50"/>
  <c r="E80" i="50"/>
  <c r="E118" i="50"/>
  <c r="E156" i="50"/>
  <c r="E442" i="50"/>
  <c r="E521" i="50"/>
  <c r="E561" i="50"/>
  <c r="E600" i="50"/>
  <c r="E797" i="50"/>
  <c r="E836" i="50"/>
  <c r="E61" i="50"/>
  <c r="E137" i="50"/>
  <c r="E175" i="50"/>
  <c r="E42" i="50"/>
  <c r="E99" i="50"/>
  <c r="E194" i="50"/>
  <c r="E270" i="50"/>
  <c r="E346" i="50"/>
  <c r="E423" i="50"/>
  <c r="E308" i="50"/>
  <c r="E232" i="50"/>
  <c r="E384" i="50"/>
  <c r="E502" i="50"/>
  <c r="E462" i="50"/>
  <c r="E541" i="50"/>
  <c r="E581" i="50"/>
  <c r="E679" i="50"/>
  <c r="E640" i="50"/>
  <c r="E718" i="50"/>
  <c r="E757" i="50"/>
  <c r="E817" i="50"/>
  <c r="E855" i="50"/>
  <c r="E1092" i="50"/>
  <c r="E914" i="50"/>
  <c r="E895" i="50"/>
  <c r="E934" i="50"/>
  <c r="E1013" i="50"/>
  <c r="E974" i="50"/>
  <c r="E1132" i="50"/>
  <c r="E1053" i="50"/>
  <c r="E1112" i="50"/>
  <c r="E1151" i="50"/>
  <c r="E1190" i="50"/>
  <c r="O18" i="15" l="1"/>
  <c r="N18" i="15"/>
  <c r="M18" i="15"/>
  <c r="L18" i="15"/>
  <c r="N17" i="13"/>
  <c r="K18" i="13"/>
  <c r="O18" i="13"/>
  <c r="L18" i="13"/>
  <c r="G987" i="50"/>
  <c r="G979" i="50"/>
  <c r="G989" i="50"/>
  <c r="G985" i="50"/>
  <c r="G983" i="50"/>
  <c r="G981" i="50"/>
  <c r="G977" i="50"/>
  <c r="G978" i="50"/>
  <c r="F989" i="50"/>
  <c r="G988" i="50"/>
  <c r="G982" i="50"/>
  <c r="G986" i="50"/>
  <c r="G984" i="50"/>
  <c r="G980" i="50"/>
  <c r="G929" i="50"/>
  <c r="G925" i="50"/>
  <c r="G923" i="50"/>
  <c r="G921" i="50"/>
  <c r="G917" i="50"/>
  <c r="F929" i="50"/>
  <c r="G928" i="50"/>
  <c r="G927" i="50"/>
  <c r="G919" i="50"/>
  <c r="G924" i="50"/>
  <c r="G920" i="50"/>
  <c r="G918" i="50"/>
  <c r="G922" i="50"/>
  <c r="G926" i="50"/>
  <c r="G772" i="50"/>
  <c r="G768" i="50"/>
  <c r="G766" i="50"/>
  <c r="G764" i="50"/>
  <c r="G760" i="50"/>
  <c r="F772" i="50"/>
  <c r="G771" i="50"/>
  <c r="G767" i="50"/>
  <c r="G765" i="50"/>
  <c r="G763" i="50"/>
  <c r="G770" i="50"/>
  <c r="G762" i="50"/>
  <c r="G761" i="50"/>
  <c r="G769" i="50"/>
  <c r="G596" i="50"/>
  <c r="G592" i="50"/>
  <c r="G590" i="50"/>
  <c r="G588" i="50"/>
  <c r="G584" i="50"/>
  <c r="F596" i="50"/>
  <c r="G594" i="50"/>
  <c r="G586" i="50"/>
  <c r="G585" i="50"/>
  <c r="G595" i="50"/>
  <c r="G589" i="50"/>
  <c r="G593" i="50"/>
  <c r="G591" i="50"/>
  <c r="G587" i="50"/>
  <c r="G400" i="50"/>
  <c r="G396" i="50"/>
  <c r="G388" i="50"/>
  <c r="F400" i="50"/>
  <c r="G399" i="50"/>
  <c r="G395" i="50"/>
  <c r="G393" i="50"/>
  <c r="G391" i="50"/>
  <c r="G387" i="50"/>
  <c r="F399" i="50"/>
  <c r="G398" i="50"/>
  <c r="G394" i="50"/>
  <c r="G392" i="50"/>
  <c r="G390" i="50"/>
  <c r="G397" i="50"/>
  <c r="G389" i="50"/>
  <c r="G323" i="50"/>
  <c r="G319" i="50"/>
  <c r="G317" i="50"/>
  <c r="G315" i="50"/>
  <c r="G311" i="50"/>
  <c r="F323" i="50"/>
  <c r="G322" i="50"/>
  <c r="G318" i="50"/>
  <c r="G316" i="50"/>
  <c r="G314" i="50"/>
  <c r="G321" i="50"/>
  <c r="G313" i="50"/>
  <c r="G320" i="50"/>
  <c r="G312" i="50"/>
  <c r="G207" i="50"/>
  <c r="G199" i="50"/>
  <c r="G209" i="50"/>
  <c r="G205" i="50"/>
  <c r="G203" i="50"/>
  <c r="G201" i="50"/>
  <c r="G197" i="50"/>
  <c r="G206" i="50"/>
  <c r="G204" i="50"/>
  <c r="G200" i="50"/>
  <c r="G198" i="50"/>
  <c r="F209" i="50"/>
  <c r="G208" i="50"/>
  <c r="G202" i="50"/>
  <c r="G54" i="50"/>
  <c r="G57" i="50"/>
  <c r="G53" i="50"/>
  <c r="G50" i="50"/>
  <c r="G48" i="50"/>
  <c r="G46" i="50"/>
  <c r="F57" i="50"/>
  <c r="G56" i="50"/>
  <c r="G52" i="50"/>
  <c r="G51" i="50"/>
  <c r="G45" i="50"/>
  <c r="G47" i="50"/>
  <c r="G55" i="50"/>
  <c r="G49" i="50"/>
  <c r="F851" i="50"/>
  <c r="G850" i="50"/>
  <c r="G846" i="50"/>
  <c r="G844" i="50"/>
  <c r="G842" i="50"/>
  <c r="G849" i="50"/>
  <c r="G841" i="50"/>
  <c r="G848" i="50"/>
  <c r="G840" i="50"/>
  <c r="G847" i="50"/>
  <c r="G845" i="50"/>
  <c r="G843" i="50"/>
  <c r="G851" i="50"/>
  <c r="G839" i="50"/>
  <c r="G534" i="50"/>
  <c r="G526" i="50"/>
  <c r="G533" i="50"/>
  <c r="G525" i="50"/>
  <c r="G536" i="50"/>
  <c r="G532" i="50"/>
  <c r="G530" i="50"/>
  <c r="G528" i="50"/>
  <c r="G524" i="50"/>
  <c r="F536" i="50"/>
  <c r="G535" i="50"/>
  <c r="G531" i="50"/>
  <c r="G529" i="50"/>
  <c r="G527" i="50"/>
  <c r="F95" i="50"/>
  <c r="G94" i="50"/>
  <c r="G90" i="50"/>
  <c r="G88" i="50"/>
  <c r="G86" i="50"/>
  <c r="G93" i="50"/>
  <c r="G85" i="50"/>
  <c r="G92" i="50"/>
  <c r="G84" i="50"/>
  <c r="G91" i="50"/>
  <c r="G89" i="50"/>
  <c r="G87" i="50"/>
  <c r="G95" i="50"/>
  <c r="G83" i="50"/>
  <c r="G792" i="50"/>
  <c r="G788" i="50"/>
  <c r="G786" i="50"/>
  <c r="G784" i="50"/>
  <c r="G780" i="50"/>
  <c r="G790" i="50"/>
  <c r="G782" i="50"/>
  <c r="G781" i="50"/>
  <c r="F792" i="50"/>
  <c r="G791" i="50"/>
  <c r="G785" i="50"/>
  <c r="G789" i="50"/>
  <c r="G787" i="50"/>
  <c r="G783" i="50"/>
  <c r="G632" i="50"/>
  <c r="G624" i="50"/>
  <c r="F635" i="50"/>
  <c r="G634" i="50"/>
  <c r="G630" i="50"/>
  <c r="G628" i="50"/>
  <c r="G626" i="50"/>
  <c r="G635" i="50"/>
  <c r="G629" i="50"/>
  <c r="G623" i="50"/>
  <c r="G633" i="50"/>
  <c r="G631" i="50"/>
  <c r="G627" i="50"/>
  <c r="G625" i="50"/>
  <c r="F304" i="50"/>
  <c r="G303" i="50"/>
  <c r="G299" i="50"/>
  <c r="G297" i="50"/>
  <c r="G295" i="50"/>
  <c r="G302" i="50"/>
  <c r="G294" i="50"/>
  <c r="G301" i="50"/>
  <c r="G293" i="50"/>
  <c r="G298" i="50"/>
  <c r="G296" i="50"/>
  <c r="G304" i="50"/>
  <c r="G292" i="50"/>
  <c r="G300" i="50"/>
  <c r="F1008" i="50"/>
  <c r="G1007" i="50"/>
  <c r="G1003" i="50"/>
  <c r="G1001" i="50"/>
  <c r="G999" i="50"/>
  <c r="G1005" i="50"/>
  <c r="G997" i="50"/>
  <c r="G1004" i="50"/>
  <c r="G1000" i="50"/>
  <c r="G998" i="50"/>
  <c r="G1008" i="50"/>
  <c r="G1002" i="50"/>
  <c r="G996" i="50"/>
  <c r="G1006" i="50"/>
  <c r="G1166" i="50"/>
  <c r="G1162" i="50"/>
  <c r="G1160" i="50"/>
  <c r="G1158" i="50"/>
  <c r="G1154" i="50"/>
  <c r="G1164" i="50"/>
  <c r="G1156" i="50"/>
  <c r="F1166" i="50"/>
  <c r="G1165" i="50"/>
  <c r="G1159" i="50"/>
  <c r="G1163" i="50"/>
  <c r="G1161" i="50"/>
  <c r="G1157" i="50"/>
  <c r="G1155" i="50"/>
  <c r="G1125" i="50"/>
  <c r="G1117" i="50"/>
  <c r="G1124" i="50"/>
  <c r="G1116" i="50"/>
  <c r="G1127" i="50"/>
  <c r="G1123" i="50"/>
  <c r="G1121" i="50"/>
  <c r="G1119" i="50"/>
  <c r="G1115" i="50"/>
  <c r="F1127" i="50"/>
  <c r="G1120" i="50"/>
  <c r="G1126" i="50"/>
  <c r="G1122" i="50"/>
  <c r="G1118" i="50"/>
  <c r="G1028" i="50"/>
  <c r="G1024" i="50"/>
  <c r="G1022" i="50"/>
  <c r="G1020" i="50"/>
  <c r="G1016" i="50"/>
  <c r="F1028" i="50"/>
  <c r="G1027" i="50"/>
  <c r="G1023" i="50"/>
  <c r="G1021" i="50"/>
  <c r="G1026" i="50"/>
  <c r="G1018" i="50"/>
  <c r="G1025" i="50"/>
  <c r="G1019" i="50"/>
  <c r="G1017" i="50"/>
  <c r="G1104" i="50"/>
  <c r="G1107" i="50"/>
  <c r="F1107" i="50"/>
  <c r="G1106" i="50"/>
  <c r="G1102" i="50"/>
  <c r="G1100" i="50"/>
  <c r="G1103" i="50"/>
  <c r="G1095" i="50"/>
  <c r="G1105" i="50"/>
  <c r="G1101" i="50"/>
  <c r="G1099" i="50"/>
  <c r="G1097" i="50"/>
  <c r="G1098" i="50"/>
  <c r="G1096" i="50"/>
  <c r="G731" i="50"/>
  <c r="G723" i="50"/>
  <c r="G730" i="50"/>
  <c r="G722" i="50"/>
  <c r="G733" i="50"/>
  <c r="G729" i="50"/>
  <c r="G727" i="50"/>
  <c r="G725" i="50"/>
  <c r="G721" i="50"/>
  <c r="F733" i="50"/>
  <c r="G726" i="50"/>
  <c r="G724" i="50"/>
  <c r="G732" i="50"/>
  <c r="G728" i="50"/>
  <c r="F556" i="50"/>
  <c r="G555" i="50"/>
  <c r="G551" i="50"/>
  <c r="G549" i="50"/>
  <c r="G547" i="50"/>
  <c r="G554" i="50"/>
  <c r="G546" i="50"/>
  <c r="G553" i="50"/>
  <c r="G545" i="50"/>
  <c r="G556" i="50"/>
  <c r="G552" i="50"/>
  <c r="G550" i="50"/>
  <c r="G548" i="50"/>
  <c r="G544" i="50"/>
  <c r="G247" i="50"/>
  <c r="G243" i="50"/>
  <c r="G241" i="50"/>
  <c r="G239" i="50"/>
  <c r="G235" i="50"/>
  <c r="G245" i="50"/>
  <c r="G237" i="50"/>
  <c r="G236" i="50"/>
  <c r="G242" i="50"/>
  <c r="G238" i="50"/>
  <c r="F247" i="50"/>
  <c r="G246" i="50"/>
  <c r="G240" i="50"/>
  <c r="G244" i="50"/>
  <c r="F438" i="50"/>
  <c r="G437" i="50"/>
  <c r="G433" i="50"/>
  <c r="G431" i="50"/>
  <c r="G429" i="50"/>
  <c r="G436" i="50"/>
  <c r="G428" i="50"/>
  <c r="G435" i="50"/>
  <c r="G427" i="50"/>
  <c r="G438" i="50"/>
  <c r="G434" i="50"/>
  <c r="G432" i="50"/>
  <c r="G430" i="50"/>
  <c r="G426" i="50"/>
  <c r="G187" i="50"/>
  <c r="G179" i="50"/>
  <c r="F190" i="50"/>
  <c r="G189" i="50"/>
  <c r="G186" i="50"/>
  <c r="G180" i="50"/>
  <c r="G184" i="50"/>
  <c r="G181" i="50"/>
  <c r="G178" i="50"/>
  <c r="G190" i="50"/>
  <c r="G183" i="50"/>
  <c r="G182" i="50"/>
  <c r="G188" i="50"/>
  <c r="G185" i="50"/>
  <c r="G809" i="50"/>
  <c r="G801" i="50"/>
  <c r="F812" i="50"/>
  <c r="G811" i="50"/>
  <c r="G807" i="50"/>
  <c r="G805" i="50"/>
  <c r="G803" i="50"/>
  <c r="G808" i="50"/>
  <c r="G804" i="50"/>
  <c r="G802" i="50"/>
  <c r="G812" i="50"/>
  <c r="G806" i="50"/>
  <c r="G800" i="50"/>
  <c r="G810" i="50"/>
  <c r="G454" i="50"/>
  <c r="G446" i="50"/>
  <c r="F457" i="50"/>
  <c r="G456" i="50"/>
  <c r="G452" i="50"/>
  <c r="G450" i="50"/>
  <c r="G448" i="50"/>
  <c r="G457" i="50"/>
  <c r="G451" i="50"/>
  <c r="G445" i="50"/>
  <c r="G455" i="50"/>
  <c r="G453" i="50"/>
  <c r="G449" i="50"/>
  <c r="G447" i="50"/>
  <c r="E1229" i="50"/>
  <c r="G37" i="50"/>
  <c r="G35" i="50"/>
  <c r="G33" i="50"/>
  <c r="G31" i="50"/>
  <c r="G29" i="50"/>
  <c r="G27" i="50"/>
  <c r="G38" i="50"/>
  <c r="G1225" i="50" s="1"/>
  <c r="G36" i="50"/>
  <c r="G34" i="50"/>
  <c r="G32" i="50"/>
  <c r="G30" i="50"/>
  <c r="G28" i="50"/>
  <c r="G26" i="50"/>
  <c r="F38" i="50"/>
  <c r="F1225" i="50" s="1"/>
  <c r="F753" i="50"/>
  <c r="G752" i="50"/>
  <c r="G748" i="50"/>
  <c r="G746" i="50"/>
  <c r="G744" i="50"/>
  <c r="G751" i="50"/>
  <c r="G743" i="50"/>
  <c r="G750" i="50"/>
  <c r="G742" i="50"/>
  <c r="G749" i="50"/>
  <c r="G747" i="50"/>
  <c r="G745" i="50"/>
  <c r="G753" i="50"/>
  <c r="G741" i="50"/>
  <c r="G497" i="50"/>
  <c r="G493" i="50"/>
  <c r="G491" i="50"/>
  <c r="G489" i="50"/>
  <c r="G485" i="50"/>
  <c r="F497" i="50"/>
  <c r="G496" i="50"/>
  <c r="G492" i="50"/>
  <c r="G490" i="50"/>
  <c r="G488" i="50"/>
  <c r="G495" i="50"/>
  <c r="G487" i="50"/>
  <c r="G494" i="50"/>
  <c r="G486" i="50"/>
  <c r="G263" i="50"/>
  <c r="G255" i="50"/>
  <c r="F266" i="50"/>
  <c r="G265" i="50"/>
  <c r="G261" i="50"/>
  <c r="G259" i="50"/>
  <c r="G257" i="50"/>
  <c r="G262" i="50"/>
  <c r="G258" i="50"/>
  <c r="G264" i="50"/>
  <c r="G256" i="50"/>
  <c r="G266" i="50"/>
  <c r="G260" i="50"/>
  <c r="G254" i="50"/>
  <c r="G966" i="50"/>
  <c r="G958" i="50"/>
  <c r="G967" i="50"/>
  <c r="G964" i="50"/>
  <c r="G963" i="50"/>
  <c r="G968" i="50"/>
  <c r="G965" i="50"/>
  <c r="G959" i="50"/>
  <c r="G969" i="50"/>
  <c r="G960" i="50"/>
  <c r="G957" i="50"/>
  <c r="G962" i="50"/>
  <c r="F969" i="50"/>
  <c r="G961" i="50"/>
  <c r="G1066" i="50"/>
  <c r="G1058" i="50"/>
  <c r="G1068" i="50"/>
  <c r="G1064" i="50"/>
  <c r="G1062" i="50"/>
  <c r="G1060" i="50"/>
  <c r="G1056" i="50"/>
  <c r="G1063" i="50"/>
  <c r="G1059" i="50"/>
  <c r="G1057" i="50"/>
  <c r="F1068" i="50"/>
  <c r="G1067" i="50"/>
  <c r="G1061" i="50"/>
  <c r="G1065" i="50"/>
  <c r="G949" i="50"/>
  <c r="G945" i="50"/>
  <c r="G943" i="50"/>
  <c r="G941" i="50"/>
  <c r="G937" i="50"/>
  <c r="F949" i="50"/>
  <c r="G946" i="50"/>
  <c r="G942" i="50"/>
  <c r="G947" i="50"/>
  <c r="G944" i="50"/>
  <c r="G938" i="50"/>
  <c r="G948" i="50"/>
  <c r="G939" i="50"/>
  <c r="G940" i="50"/>
  <c r="G870" i="50"/>
  <c r="G866" i="50"/>
  <c r="G864" i="50"/>
  <c r="G862" i="50"/>
  <c r="G858" i="50"/>
  <c r="F870" i="50"/>
  <c r="G869" i="50"/>
  <c r="G865" i="50"/>
  <c r="G863" i="50"/>
  <c r="G861" i="50"/>
  <c r="G868" i="50"/>
  <c r="G860" i="50"/>
  <c r="G859" i="50"/>
  <c r="G867" i="50"/>
  <c r="G653" i="50"/>
  <c r="G645" i="50"/>
  <c r="G655" i="50"/>
  <c r="G651" i="50"/>
  <c r="G649" i="50"/>
  <c r="G647" i="50"/>
  <c r="G643" i="50"/>
  <c r="G644" i="50"/>
  <c r="F655" i="50"/>
  <c r="G654" i="50"/>
  <c r="G648" i="50"/>
  <c r="G652" i="50"/>
  <c r="G650" i="50"/>
  <c r="G646" i="50"/>
  <c r="F477" i="50"/>
  <c r="G476" i="50"/>
  <c r="G472" i="50"/>
  <c r="G475" i="50"/>
  <c r="G467" i="50"/>
  <c r="G477" i="50"/>
  <c r="G473" i="50"/>
  <c r="G471" i="50"/>
  <c r="G469" i="50"/>
  <c r="G465" i="50"/>
  <c r="G466" i="50"/>
  <c r="G474" i="50"/>
  <c r="G470" i="50"/>
  <c r="G468" i="50"/>
  <c r="F361" i="50"/>
  <c r="G360" i="50"/>
  <c r="G356" i="50"/>
  <c r="G354" i="50"/>
  <c r="G352" i="50"/>
  <c r="G359" i="50"/>
  <c r="G351" i="50"/>
  <c r="G358" i="50"/>
  <c r="G350" i="50"/>
  <c r="G361" i="50"/>
  <c r="G357" i="50"/>
  <c r="G355" i="50"/>
  <c r="G353" i="50"/>
  <c r="G349" i="50"/>
  <c r="G150" i="50"/>
  <c r="G142" i="50"/>
  <c r="G149" i="50"/>
  <c r="G141" i="50"/>
  <c r="G152" i="50"/>
  <c r="G148" i="50"/>
  <c r="G146" i="50"/>
  <c r="G144" i="50"/>
  <c r="G140" i="50"/>
  <c r="F152" i="50"/>
  <c r="G145" i="50"/>
  <c r="G143" i="50"/>
  <c r="G151" i="50"/>
  <c r="G147" i="50"/>
  <c r="G613" i="50"/>
  <c r="G605" i="50"/>
  <c r="G612" i="50"/>
  <c r="G604" i="50"/>
  <c r="G615" i="50"/>
  <c r="G611" i="50"/>
  <c r="G609" i="50"/>
  <c r="G607" i="50"/>
  <c r="G603" i="50"/>
  <c r="F615" i="50"/>
  <c r="G614" i="50"/>
  <c r="G610" i="50"/>
  <c r="G608" i="50"/>
  <c r="G606" i="50"/>
  <c r="F171" i="50"/>
  <c r="G170" i="50"/>
  <c r="G166" i="50"/>
  <c r="G164" i="50"/>
  <c r="G162" i="50"/>
  <c r="G171" i="50"/>
  <c r="G169" i="50"/>
  <c r="G161" i="50"/>
  <c r="G168" i="50"/>
  <c r="G160" i="50"/>
  <c r="G167" i="50"/>
  <c r="G165" i="50"/>
  <c r="G159" i="50"/>
  <c r="G163" i="50"/>
  <c r="G1183" i="50"/>
  <c r="G1175" i="50"/>
  <c r="G1186" i="50"/>
  <c r="G1182" i="50"/>
  <c r="G1180" i="50"/>
  <c r="G1178" i="50"/>
  <c r="F1186" i="50"/>
  <c r="G1185" i="50"/>
  <c r="G1181" i="50"/>
  <c r="G1179" i="50"/>
  <c r="G1177" i="50"/>
  <c r="G1176" i="50"/>
  <c r="G1174" i="50"/>
  <c r="G1184" i="50"/>
  <c r="G711" i="50"/>
  <c r="G703" i="50"/>
  <c r="G714" i="50"/>
  <c r="G710" i="50"/>
  <c r="G708" i="50"/>
  <c r="G706" i="50"/>
  <c r="G702" i="50"/>
  <c r="F714" i="50"/>
  <c r="G713" i="50"/>
  <c r="G709" i="50"/>
  <c r="G707" i="50"/>
  <c r="G705" i="50"/>
  <c r="G704" i="50"/>
  <c r="G712" i="50"/>
  <c r="G380" i="50"/>
  <c r="G376" i="50"/>
  <c r="G374" i="50"/>
  <c r="G372" i="50"/>
  <c r="G368" i="50"/>
  <c r="F380" i="50"/>
  <c r="G379" i="50"/>
  <c r="G375" i="50"/>
  <c r="G373" i="50"/>
  <c r="G371" i="50"/>
  <c r="G378" i="50"/>
  <c r="G370" i="50"/>
  <c r="G377" i="50"/>
  <c r="G369" i="50"/>
  <c r="F228" i="50"/>
  <c r="G227" i="50"/>
  <c r="G223" i="50"/>
  <c r="G221" i="50"/>
  <c r="G219" i="50"/>
  <c r="G225" i="50"/>
  <c r="G217" i="50"/>
  <c r="G228" i="50"/>
  <c r="G222" i="50"/>
  <c r="G216" i="50"/>
  <c r="G226" i="50"/>
  <c r="G224" i="50"/>
  <c r="G220" i="50"/>
  <c r="G218" i="50"/>
  <c r="F1087" i="50"/>
  <c r="G1086" i="50"/>
  <c r="G1082" i="50"/>
  <c r="G1080" i="50"/>
  <c r="G1078" i="50"/>
  <c r="G1084" i="50"/>
  <c r="G1076" i="50"/>
  <c r="G1085" i="50"/>
  <c r="G1083" i="50"/>
  <c r="G1079" i="50"/>
  <c r="G1077" i="50"/>
  <c r="G1075" i="50"/>
  <c r="G1087" i="50"/>
  <c r="G1081" i="50"/>
  <c r="G1205" i="50"/>
  <c r="G1201" i="50"/>
  <c r="G1199" i="50"/>
  <c r="G1197" i="50"/>
  <c r="G1203" i="50"/>
  <c r="G1202" i="50"/>
  <c r="G1200" i="50"/>
  <c r="G1195" i="50"/>
  <c r="G1194" i="50"/>
  <c r="G1196" i="50"/>
  <c r="G1193" i="50"/>
  <c r="G1204" i="50"/>
  <c r="G1198" i="50"/>
  <c r="F1205" i="50"/>
  <c r="F1147" i="50"/>
  <c r="G1146" i="50"/>
  <c r="G1144" i="50"/>
  <c r="G1145" i="50"/>
  <c r="G1142" i="50"/>
  <c r="G1140" i="50"/>
  <c r="G1138" i="50"/>
  <c r="G1137" i="50"/>
  <c r="G1136" i="50"/>
  <c r="G1143" i="50"/>
  <c r="G1139" i="50"/>
  <c r="G1141" i="50"/>
  <c r="G1147" i="50"/>
  <c r="G1135" i="50"/>
  <c r="G908" i="50"/>
  <c r="G900" i="50"/>
  <c r="G910" i="50"/>
  <c r="G906" i="50"/>
  <c r="G904" i="50"/>
  <c r="G902" i="50"/>
  <c r="G898" i="50"/>
  <c r="G899" i="50"/>
  <c r="F910" i="50"/>
  <c r="G909" i="50"/>
  <c r="G903" i="50"/>
  <c r="G907" i="50"/>
  <c r="G905" i="50"/>
  <c r="G901" i="50"/>
  <c r="G830" i="50"/>
  <c r="G822" i="50"/>
  <c r="G832" i="50"/>
  <c r="G828" i="50"/>
  <c r="G826" i="50"/>
  <c r="G824" i="50"/>
  <c r="G820" i="50"/>
  <c r="G829" i="50"/>
  <c r="G827" i="50"/>
  <c r="G823" i="50"/>
  <c r="G821" i="50"/>
  <c r="F832" i="50"/>
  <c r="G831" i="50"/>
  <c r="G825" i="50"/>
  <c r="G694" i="50"/>
  <c r="G690" i="50"/>
  <c r="G688" i="50"/>
  <c r="G686" i="50"/>
  <c r="G682" i="50"/>
  <c r="F694" i="50"/>
  <c r="G693" i="50"/>
  <c r="G689" i="50"/>
  <c r="G687" i="50"/>
  <c r="G685" i="50"/>
  <c r="G692" i="50"/>
  <c r="G684" i="50"/>
  <c r="G683" i="50"/>
  <c r="G691" i="50"/>
  <c r="G514" i="50"/>
  <c r="G506" i="50"/>
  <c r="G517" i="50"/>
  <c r="G513" i="50"/>
  <c r="G511" i="50"/>
  <c r="G509" i="50"/>
  <c r="G505" i="50"/>
  <c r="F517" i="50"/>
  <c r="G516" i="50"/>
  <c r="G512" i="50"/>
  <c r="G510" i="50"/>
  <c r="G508" i="50"/>
  <c r="G515" i="50"/>
  <c r="G507" i="50"/>
  <c r="G283" i="50"/>
  <c r="G275" i="50"/>
  <c r="G282" i="50"/>
  <c r="G285" i="50"/>
  <c r="G281" i="50"/>
  <c r="G279" i="50"/>
  <c r="G277" i="50"/>
  <c r="G273" i="50"/>
  <c r="G278" i="50"/>
  <c r="G284" i="50"/>
  <c r="G276" i="50"/>
  <c r="G280" i="50"/>
  <c r="G274" i="50"/>
  <c r="F285" i="50"/>
  <c r="G114" i="50"/>
  <c r="G110" i="50"/>
  <c r="G108" i="50"/>
  <c r="G106" i="50"/>
  <c r="G102" i="50"/>
  <c r="F114" i="50"/>
  <c r="G113" i="50"/>
  <c r="G109" i="50"/>
  <c r="G107" i="50"/>
  <c r="G105" i="50"/>
  <c r="G112" i="50"/>
  <c r="G104" i="50"/>
  <c r="G103" i="50"/>
  <c r="G111" i="50"/>
  <c r="G74" i="50"/>
  <c r="G66" i="50"/>
  <c r="G73" i="50"/>
  <c r="G65" i="50"/>
  <c r="G76" i="50"/>
  <c r="G72" i="50"/>
  <c r="G70" i="50"/>
  <c r="G68" i="50"/>
  <c r="G64" i="50"/>
  <c r="F76" i="50"/>
  <c r="G69" i="50"/>
  <c r="G67" i="50"/>
  <c r="G75" i="50"/>
  <c r="G71" i="50"/>
  <c r="G576" i="50"/>
  <c r="G572" i="50"/>
  <c r="G570" i="50"/>
  <c r="G568" i="50"/>
  <c r="G564" i="50"/>
  <c r="F576" i="50"/>
  <c r="G575" i="50"/>
  <c r="G571" i="50"/>
  <c r="G569" i="50"/>
  <c r="G567" i="50"/>
  <c r="G574" i="50"/>
  <c r="G566" i="50"/>
  <c r="G573" i="50"/>
  <c r="G565" i="50"/>
  <c r="G130" i="50"/>
  <c r="G122" i="50"/>
  <c r="G133" i="50"/>
  <c r="G129" i="50"/>
  <c r="G127" i="50"/>
  <c r="G125" i="50"/>
  <c r="G121" i="50"/>
  <c r="F133" i="50"/>
  <c r="G132" i="50"/>
  <c r="G128" i="50"/>
  <c r="G126" i="50"/>
  <c r="G124" i="50"/>
  <c r="G123" i="50"/>
  <c r="G131" i="50"/>
  <c r="G887" i="50"/>
  <c r="F890" i="50"/>
  <c r="G889" i="50"/>
  <c r="G885" i="50"/>
  <c r="G883" i="50"/>
  <c r="G890" i="50"/>
  <c r="G884" i="50"/>
  <c r="G879" i="50"/>
  <c r="G888" i="50"/>
  <c r="G882" i="50"/>
  <c r="G878" i="50"/>
  <c r="G886" i="50"/>
  <c r="G881" i="50"/>
  <c r="G880" i="50"/>
  <c r="F675" i="50"/>
  <c r="G674" i="50"/>
  <c r="G670" i="50"/>
  <c r="G668" i="50"/>
  <c r="G666" i="50"/>
  <c r="G672" i="50"/>
  <c r="G664" i="50"/>
  <c r="G671" i="50"/>
  <c r="G667" i="50"/>
  <c r="G673" i="50"/>
  <c r="G669" i="50"/>
  <c r="G665" i="50"/>
  <c r="G675" i="50"/>
  <c r="G663" i="50"/>
  <c r="G340" i="50"/>
  <c r="G332" i="50"/>
  <c r="G339" i="50"/>
  <c r="G331" i="50"/>
  <c r="G342" i="50"/>
  <c r="G338" i="50"/>
  <c r="G336" i="50"/>
  <c r="G334" i="50"/>
  <c r="G330" i="50"/>
  <c r="F342" i="50"/>
  <c r="G341" i="50"/>
  <c r="G337" i="50"/>
  <c r="G335" i="50"/>
  <c r="G333" i="50"/>
  <c r="G1045" i="50"/>
  <c r="F1048" i="50"/>
  <c r="G1047" i="50"/>
  <c r="G1043" i="50"/>
  <c r="G1041" i="50"/>
  <c r="G1039" i="50"/>
  <c r="G1048" i="50"/>
  <c r="G1038" i="50"/>
  <c r="G1046" i="50"/>
  <c r="G1037" i="50"/>
  <c r="G1042" i="50"/>
  <c r="G1044" i="50"/>
  <c r="G1040" i="50"/>
  <c r="G1036" i="50"/>
  <c r="G416" i="50"/>
  <c r="G408" i="50"/>
  <c r="G415" i="50"/>
  <c r="G407" i="50"/>
  <c r="G418" i="50"/>
  <c r="G414" i="50"/>
  <c r="G412" i="50"/>
  <c r="G410" i="50"/>
  <c r="G406" i="50"/>
  <c r="F418" i="50"/>
  <c r="G417" i="50"/>
  <c r="G413" i="50"/>
  <c r="G411" i="50"/>
  <c r="G409" i="50"/>
  <c r="E3" i="50"/>
  <c r="E3" i="5"/>
  <c r="E3" i="6"/>
  <c r="G19" i="50" l="1"/>
  <c r="G77" i="50" s="1"/>
  <c r="F15" i="50"/>
  <c r="F946" i="50" s="1"/>
  <c r="F7" i="50"/>
  <c r="F1213" i="50" s="1"/>
  <c r="F12" i="50"/>
  <c r="F1218" i="50" s="1"/>
  <c r="F11" i="50"/>
  <c r="F903" i="50" s="1"/>
  <c r="F9" i="50"/>
  <c r="F1215" i="50" s="1"/>
  <c r="F8" i="50"/>
  <c r="F1214" i="50" s="1"/>
  <c r="F6" i="50"/>
  <c r="F682" i="50" s="1"/>
  <c r="F13" i="50"/>
  <c r="F223" i="50" s="1"/>
  <c r="F990" i="50"/>
  <c r="P5" i="5"/>
  <c r="O5" i="5"/>
  <c r="M5" i="5"/>
  <c r="N5" i="5"/>
  <c r="M23" i="6"/>
  <c r="N23" i="6"/>
  <c r="O23" i="6"/>
  <c r="P23" i="6"/>
  <c r="N18" i="13"/>
  <c r="G401" i="50"/>
  <c r="F241" i="50" l="1"/>
  <c r="F70" i="50"/>
  <c r="G636" i="50"/>
  <c r="G616" i="50"/>
  <c r="F184" i="50"/>
  <c r="F688" i="50"/>
  <c r="F203" i="50"/>
  <c r="F923" i="50"/>
  <c r="F786" i="50"/>
  <c r="G734" i="50"/>
  <c r="G115" i="50"/>
  <c r="G248" i="50"/>
  <c r="G343" i="50"/>
  <c r="G793" i="50"/>
  <c r="G58" i="50"/>
  <c r="G210" i="50"/>
  <c r="G1187" i="50"/>
  <c r="G172" i="50"/>
  <c r="G1029" i="50"/>
  <c r="G871" i="50"/>
  <c r="F1081" i="50"/>
  <c r="F222" i="50"/>
  <c r="F279" i="50"/>
  <c r="F590" i="50"/>
  <c r="F904" i="50"/>
  <c r="F1121" i="50"/>
  <c r="F1062" i="50"/>
  <c r="F165" i="50"/>
  <c r="F1101" i="50"/>
  <c r="F146" i="50"/>
  <c r="F826" i="50"/>
  <c r="F412" i="50"/>
  <c r="F805" i="50"/>
  <c r="G597" i="50"/>
  <c r="G1108" i="50"/>
  <c r="G930" i="50"/>
  <c r="G518" i="50"/>
  <c r="G96" i="50"/>
  <c r="G813" i="50"/>
  <c r="G1049" i="50"/>
  <c r="F727" i="50"/>
  <c r="F336" i="50"/>
  <c r="F1141" i="50"/>
  <c r="F393" i="50"/>
  <c r="F511" i="50"/>
  <c r="F570" i="50"/>
  <c r="G1128" i="50"/>
  <c r="G39" i="50"/>
  <c r="G498" i="50"/>
  <c r="G656" i="50"/>
  <c r="G1088" i="50"/>
  <c r="G950" i="50"/>
  <c r="F766" i="50"/>
  <c r="F355" i="50"/>
  <c r="F629" i="50"/>
  <c r="F1180" i="50"/>
  <c r="F963" i="50"/>
  <c r="F89" i="50"/>
  <c r="F1022" i="50"/>
  <c r="G970" i="50"/>
  <c r="G419" i="50"/>
  <c r="G381" i="50"/>
  <c r="G773" i="50"/>
  <c r="F609" i="50"/>
  <c r="F806" i="50"/>
  <c r="F708" i="50"/>
  <c r="F864" i="50"/>
  <c r="F32" i="50"/>
  <c r="G324" i="50"/>
  <c r="G1009" i="50"/>
  <c r="G557" i="50"/>
  <c r="G577" i="50"/>
  <c r="G676" i="50"/>
  <c r="G1206" i="50"/>
  <c r="G458" i="50"/>
  <c r="G267" i="50"/>
  <c r="G439" i="50"/>
  <c r="G191" i="50"/>
  <c r="G1167" i="50"/>
  <c r="G153" i="50"/>
  <c r="G911" i="50"/>
  <c r="G715" i="50"/>
  <c r="G833" i="50"/>
  <c r="G537" i="50"/>
  <c r="G852" i="50"/>
  <c r="G305" i="50"/>
  <c r="G362" i="50"/>
  <c r="G754" i="50"/>
  <c r="G891" i="50"/>
  <c r="G286" i="50"/>
  <c r="G695" i="50"/>
  <c r="F1038" i="50"/>
  <c r="F1058" i="50"/>
  <c r="F85" i="50"/>
  <c r="F979" i="50"/>
  <c r="F566" i="50"/>
  <c r="F47" i="50"/>
  <c r="F1195" i="50"/>
  <c r="F1156" i="50"/>
  <c r="F802" i="50"/>
  <c r="F900" i="50"/>
  <c r="F142" i="50"/>
  <c r="F1077" i="50"/>
  <c r="F645" i="50"/>
  <c r="F389" i="50"/>
  <c r="F199" i="50"/>
  <c r="F723" i="50"/>
  <c r="F123" i="50"/>
  <c r="F998" i="50"/>
  <c r="F28" i="50"/>
  <c r="F218" i="50"/>
  <c r="F66" i="50"/>
  <c r="F684" i="50"/>
  <c r="F526" i="50"/>
  <c r="F256" i="50"/>
  <c r="F605" i="50"/>
  <c r="F665" i="50"/>
  <c r="F959" i="50"/>
  <c r="F841" i="50"/>
  <c r="F546" i="50"/>
  <c r="F161" i="50"/>
  <c r="F408" i="50"/>
  <c r="F919" i="50"/>
  <c r="F1117" i="50"/>
  <c r="F332" i="50"/>
  <c r="F237" i="50"/>
  <c r="F822" i="50"/>
  <c r="F782" i="50"/>
  <c r="F1176" i="50"/>
  <c r="F762" i="50"/>
  <c r="F625" i="50"/>
  <c r="F704" i="50"/>
  <c r="F370" i="50"/>
  <c r="F313" i="50"/>
  <c r="F1018" i="50"/>
  <c r="F939" i="50"/>
  <c r="F507" i="50"/>
  <c r="F428" i="50"/>
  <c r="F860" i="50"/>
  <c r="F180" i="50"/>
  <c r="F880" i="50"/>
  <c r="F586" i="50"/>
  <c r="F275" i="50"/>
  <c r="F743" i="50"/>
  <c r="F294" i="50"/>
  <c r="F447" i="50"/>
  <c r="F104" i="50"/>
  <c r="F1137" i="50"/>
  <c r="F487" i="50"/>
  <c r="F467" i="50"/>
  <c r="F351" i="50"/>
  <c r="F1097" i="50"/>
  <c r="F917" i="50"/>
  <c r="F780" i="50"/>
  <c r="F254" i="50"/>
  <c r="F197" i="50"/>
  <c r="F702" i="50"/>
  <c r="F584" i="50"/>
  <c r="F45" i="50"/>
  <c r="F445" i="50"/>
  <c r="F349" i="50"/>
  <c r="F643" i="50"/>
  <c r="F564" i="50"/>
  <c r="F311" i="50"/>
  <c r="F800" i="50"/>
  <c r="F216" i="50"/>
  <c r="F83" i="50"/>
  <c r="F721" i="50"/>
  <c r="F1193" i="50"/>
  <c r="F839" i="50"/>
  <c r="F140" i="50"/>
  <c r="F1056" i="50"/>
  <c r="F485" i="50"/>
  <c r="F603" i="50"/>
  <c r="F292" i="50"/>
  <c r="F623" i="50"/>
  <c r="F178" i="50"/>
  <c r="F1135" i="50"/>
  <c r="F1095" i="50"/>
  <c r="F544" i="50"/>
  <c r="F1154" i="50"/>
  <c r="F760" i="50"/>
  <c r="F505" i="50"/>
  <c r="F235" i="50"/>
  <c r="F368" i="50"/>
  <c r="F937" i="50"/>
  <c r="F102" i="50"/>
  <c r="F741" i="50"/>
  <c r="F1016" i="50"/>
  <c r="F387" i="50"/>
  <c r="F957" i="50"/>
  <c r="F64" i="50"/>
  <c r="F426" i="50"/>
  <c r="F820" i="50"/>
  <c r="F159" i="50"/>
  <c r="F529" i="50"/>
  <c r="F726" i="50"/>
  <c r="F787" i="50"/>
  <c r="F569" i="50"/>
  <c r="F335" i="50"/>
  <c r="F907" i="50"/>
  <c r="F149" i="50"/>
  <c r="F1082" i="50"/>
  <c r="F670" i="50"/>
  <c r="F944" i="50"/>
  <c r="F1003" i="50"/>
  <c r="F356" i="50"/>
  <c r="F1043" i="50"/>
  <c r="F728" i="50"/>
  <c r="F668" i="50"/>
  <c r="F107" i="50"/>
  <c r="F92" i="50"/>
  <c r="F1021" i="50"/>
  <c r="F846" i="50"/>
  <c r="F433" i="50"/>
  <c r="F1023" i="50"/>
  <c r="F373" i="50"/>
  <c r="F130" i="50"/>
  <c r="F984" i="50"/>
  <c r="F394" i="50"/>
  <c r="F865" i="50"/>
  <c r="F472" i="50"/>
  <c r="F807" i="50"/>
  <c r="F982" i="50"/>
  <c r="F240" i="50"/>
  <c r="F648" i="50"/>
  <c r="F454" i="50"/>
  <c r="F512" i="50"/>
  <c r="F431" i="50"/>
  <c r="F126" i="50"/>
  <c r="F69" i="50"/>
  <c r="F413" i="50"/>
  <c r="F1104" i="50"/>
  <c r="F571" i="50"/>
  <c r="F983" i="50"/>
  <c r="F530" i="50"/>
  <c r="F127" i="50"/>
  <c r="F1042" i="50"/>
  <c r="F845" i="50"/>
  <c r="F1160" i="50"/>
  <c r="F550" i="50"/>
  <c r="F747" i="50"/>
  <c r="F471" i="50"/>
  <c r="F108" i="50"/>
  <c r="F669" i="50"/>
  <c r="F1199" i="50"/>
  <c r="F884" i="50"/>
  <c r="F317" i="50"/>
  <c r="F298" i="50"/>
  <c r="F451" i="50"/>
  <c r="F943" i="50"/>
  <c r="F649" i="50"/>
  <c r="F977" i="50"/>
  <c r="F51" i="50"/>
  <c r="F996" i="50"/>
  <c r="F260" i="50"/>
  <c r="F1181" i="50"/>
  <c r="F524" i="50"/>
  <c r="F1002" i="50"/>
  <c r="F147" i="50"/>
  <c r="F374" i="50"/>
  <c r="F491" i="50"/>
  <c r="F1115" i="50"/>
  <c r="F650" i="50"/>
  <c r="F898" i="50"/>
  <c r="F663" i="50"/>
  <c r="F299" i="50"/>
  <c r="F748" i="50"/>
  <c r="F465" i="50"/>
  <c r="F1075" i="50"/>
  <c r="F432" i="50"/>
  <c r="F88" i="50"/>
  <c r="F844" i="50"/>
  <c r="F551" i="50"/>
  <c r="F26" i="50"/>
  <c r="F997" i="50"/>
  <c r="F1179" i="50"/>
  <c r="F470" i="50"/>
  <c r="F905" i="50"/>
  <c r="F358" i="50"/>
  <c r="F492" i="50"/>
  <c r="F858" i="50"/>
  <c r="F318" i="50"/>
  <c r="F1122" i="50"/>
  <c r="F452" i="50"/>
  <c r="F261" i="50"/>
  <c r="F610" i="50"/>
  <c r="F767" i="50"/>
  <c r="F531" i="50"/>
  <c r="F924" i="50"/>
  <c r="F827" i="50"/>
  <c r="F885" i="50"/>
  <c r="F90" i="50"/>
  <c r="F1163" i="50"/>
  <c r="F589" i="50"/>
  <c r="F1161" i="50"/>
  <c r="F242" i="50"/>
  <c r="F785" i="50"/>
  <c r="F1142" i="50"/>
  <c r="F450" i="50"/>
  <c r="F711" i="50"/>
  <c r="F145" i="50"/>
  <c r="F71" i="50"/>
  <c r="F354" i="50"/>
  <c r="F1061" i="50"/>
  <c r="F687" i="50"/>
  <c r="F1120" i="50"/>
  <c r="F1159" i="50"/>
  <c r="F848" i="50"/>
  <c r="F128" i="50"/>
  <c r="F435" i="50"/>
  <c r="F166" i="50"/>
  <c r="F280" i="50"/>
  <c r="F263" i="50"/>
  <c r="F204" i="50"/>
  <c r="F630" i="50"/>
  <c r="F1102" i="50"/>
  <c r="F33" i="50"/>
  <c r="F964" i="50"/>
  <c r="F591" i="50"/>
  <c r="F1063" i="50"/>
  <c r="F185" i="50"/>
  <c r="F1200" i="50"/>
  <c r="F689" i="50"/>
  <c r="F52" i="50"/>
  <c r="F628" i="50"/>
  <c r="F1100" i="50"/>
  <c r="F765" i="50"/>
  <c r="F1001" i="50"/>
  <c r="F533" i="50"/>
  <c r="F494" i="50"/>
  <c r="F1084" i="50"/>
  <c r="F50" i="50"/>
  <c r="F164" i="50"/>
  <c r="F922" i="50"/>
  <c r="F825" i="50"/>
  <c r="F608" i="50"/>
  <c r="F510" i="50"/>
  <c r="F183" i="50"/>
  <c r="F746" i="50"/>
  <c r="F375" i="50"/>
  <c r="F672" i="50"/>
  <c r="F35" i="50"/>
  <c r="F709" i="50"/>
  <c r="F652" i="50"/>
  <c r="F1065" i="50"/>
  <c r="F122" i="50"/>
  <c r="F626" i="50"/>
  <c r="F801" i="50"/>
  <c r="F861" i="50"/>
  <c r="F742" i="50"/>
  <c r="F537" i="50"/>
  <c r="F616" i="50"/>
  <c r="F286" i="50"/>
  <c r="F305" i="50"/>
  <c r="F238" i="50"/>
  <c r="F46" i="50"/>
  <c r="F773" i="50"/>
  <c r="F585" i="50"/>
  <c r="F448" i="50"/>
  <c r="F295" i="50"/>
  <c r="F1138" i="50"/>
  <c r="F1177" i="50"/>
  <c r="F978" i="50"/>
  <c r="F683" i="50"/>
  <c r="F685" i="50"/>
  <c r="F191" i="50"/>
  <c r="F498" i="50"/>
  <c r="F783" i="50"/>
  <c r="F429" i="50"/>
  <c r="F1116" i="50"/>
  <c r="F124" i="50"/>
  <c r="F67" i="50"/>
  <c r="F160" i="50"/>
  <c r="F179" i="50"/>
  <c r="F1076" i="50"/>
  <c r="F200" i="50"/>
  <c r="F970" i="50"/>
  <c r="F115" i="50"/>
  <c r="F761" i="50"/>
  <c r="F293" i="50"/>
  <c r="F624" i="50"/>
  <c r="F920" i="50"/>
  <c r="F371" i="50"/>
  <c r="F181" i="50"/>
  <c r="F823" i="50"/>
  <c r="F604" i="50"/>
  <c r="F722" i="50"/>
  <c r="F867" i="50"/>
  <c r="F320" i="50"/>
  <c r="F1202" i="50"/>
  <c r="F1025" i="50"/>
  <c r="F1183" i="50"/>
  <c r="F1045" i="50"/>
  <c r="F324" i="50"/>
  <c r="F632" i="50"/>
  <c r="F1124" i="50"/>
  <c r="F31" i="50"/>
  <c r="F707" i="50"/>
  <c r="F612" i="50"/>
  <c r="F769" i="50"/>
  <c r="F962" i="50"/>
  <c r="F221" i="50"/>
  <c r="F168" i="50"/>
  <c r="F282" i="50"/>
  <c r="F793" i="50"/>
  <c r="F557" i="50"/>
  <c r="F316" i="50"/>
  <c r="F392" i="50"/>
  <c r="F863" i="50"/>
  <c r="F225" i="50"/>
  <c r="F301" i="50"/>
  <c r="F206" i="50"/>
  <c r="F1144" i="50"/>
  <c r="F691" i="50"/>
  <c r="F789" i="50"/>
  <c r="F829" i="50"/>
  <c r="F73" i="50"/>
  <c r="F926" i="50"/>
  <c r="F514" i="50"/>
  <c r="F573" i="50"/>
  <c r="F986" i="50"/>
  <c r="F809" i="50"/>
  <c r="F871" i="50"/>
  <c r="F396" i="50"/>
  <c r="F553" i="50"/>
  <c r="F54" i="50"/>
  <c r="F593" i="50"/>
  <c r="F187" i="50"/>
  <c r="F966" i="50"/>
  <c r="F244" i="50"/>
  <c r="F730" i="50"/>
  <c r="F377" i="50"/>
  <c r="F439" i="50"/>
  <c r="F911" i="50"/>
  <c r="F1009" i="50"/>
  <c r="F1187" i="50"/>
  <c r="F1148" i="50"/>
  <c r="F833" i="50"/>
  <c r="F267" i="50"/>
  <c r="F852" i="50"/>
  <c r="F172" i="50"/>
  <c r="F248" i="50"/>
  <c r="F1029" i="50"/>
  <c r="F1128" i="50"/>
  <c r="F1098" i="50"/>
  <c r="F587" i="50"/>
  <c r="F960" i="50"/>
  <c r="F198" i="50"/>
  <c r="F918" i="50"/>
  <c r="F468" i="50"/>
  <c r="F369" i="50"/>
  <c r="F1136" i="50"/>
  <c r="F1059" i="50"/>
  <c r="F881" i="50"/>
  <c r="F803" i="50"/>
  <c r="F901" i="50"/>
  <c r="F488" i="50"/>
  <c r="F567" i="50"/>
  <c r="F48" i="50"/>
  <c r="F705" i="50"/>
  <c r="F744" i="50"/>
  <c r="F217" i="50"/>
  <c r="F407" i="50"/>
  <c r="F821" i="50"/>
  <c r="F236" i="50"/>
  <c r="F859" i="50"/>
  <c r="F466" i="50"/>
  <c r="F446" i="50"/>
  <c r="F350" i="50"/>
  <c r="F65" i="50"/>
  <c r="F781" i="50"/>
  <c r="F141" i="50"/>
  <c r="F506" i="50"/>
  <c r="F958" i="50"/>
  <c r="F143" i="50"/>
  <c r="F1219" i="50"/>
  <c r="F109" i="50"/>
  <c r="F337" i="50"/>
  <c r="F1217" i="50"/>
  <c r="F202" i="50"/>
  <c r="F942" i="50"/>
  <c r="F278" i="50"/>
  <c r="F297" i="50"/>
  <c r="F490" i="50"/>
  <c r="F259" i="50"/>
  <c r="F883" i="50"/>
  <c r="F411" i="50"/>
  <c r="F1041" i="50"/>
  <c r="F549" i="50"/>
  <c r="F1080" i="50"/>
  <c r="F1140" i="50"/>
  <c r="F1198" i="50"/>
  <c r="F1221" i="50"/>
  <c r="F1005" i="50"/>
  <c r="F474" i="50"/>
  <c r="F111" i="50"/>
  <c r="F887" i="50"/>
  <c r="F339" i="50"/>
  <c r="F750" i="50"/>
  <c r="F415" i="50"/>
  <c r="F656" i="50"/>
  <c r="F891" i="50"/>
  <c r="F695" i="50"/>
  <c r="F210" i="50"/>
  <c r="F478" i="50"/>
  <c r="F343" i="50"/>
  <c r="F636" i="50"/>
  <c r="F1167" i="50"/>
  <c r="F362" i="50"/>
  <c r="F1088" i="50"/>
  <c r="F1049" i="50"/>
  <c r="F58" i="50"/>
  <c r="F1108" i="50"/>
  <c r="F458" i="50"/>
  <c r="F153" i="50"/>
  <c r="F518" i="50"/>
  <c r="F77" i="50"/>
  <c r="F381" i="50"/>
  <c r="F527" i="50"/>
  <c r="F388" i="50"/>
  <c r="F1019" i="50"/>
  <c r="F842" i="50"/>
  <c r="F724" i="50"/>
  <c r="F980" i="50"/>
  <c r="F999" i="50"/>
  <c r="F312" i="50"/>
  <c r="F1194" i="50"/>
  <c r="F666" i="50"/>
  <c r="F606" i="50"/>
  <c r="F333" i="50"/>
  <c r="F940" i="50"/>
  <c r="F409" i="50"/>
  <c r="F352" i="50"/>
  <c r="F219" i="50"/>
  <c r="F545" i="50"/>
  <c r="F644" i="50"/>
  <c r="F27" i="50"/>
  <c r="F331" i="50"/>
  <c r="F664" i="50"/>
  <c r="F1037" i="50"/>
  <c r="F486" i="50"/>
  <c r="F879" i="50"/>
  <c r="F274" i="50"/>
  <c r="F1017" i="50"/>
  <c r="F1175" i="50"/>
  <c r="F899" i="50"/>
  <c r="F508" i="50"/>
  <c r="F1212" i="50"/>
  <c r="F878" i="50"/>
  <c r="F121" i="50"/>
  <c r="F1036" i="50"/>
  <c r="F406" i="50"/>
  <c r="F330" i="50"/>
  <c r="F273" i="50"/>
  <c r="F1174" i="50"/>
  <c r="F39" i="50"/>
  <c r="F134" i="50"/>
  <c r="F1206" i="50"/>
  <c r="F597" i="50"/>
  <c r="F96" i="50"/>
  <c r="F950" i="50"/>
  <c r="F715" i="50"/>
  <c r="F419" i="50"/>
  <c r="F930" i="50"/>
  <c r="F734" i="50"/>
  <c r="F229" i="50"/>
  <c r="F813" i="50"/>
  <c r="F577" i="50"/>
  <c r="F754" i="50"/>
  <c r="F676" i="50"/>
  <c r="F86" i="50"/>
  <c r="F84" i="50"/>
  <c r="F390" i="50"/>
  <c r="F1157" i="50"/>
  <c r="F547" i="50"/>
  <c r="F1118" i="50"/>
  <c r="F427" i="50"/>
  <c r="F1155" i="50"/>
  <c r="F763" i="50"/>
  <c r="F646" i="50"/>
  <c r="F314" i="50"/>
  <c r="F1039" i="50"/>
  <c r="F1196" i="50"/>
  <c r="F105" i="50"/>
  <c r="F1078" i="50"/>
  <c r="F29" i="50"/>
  <c r="F162" i="50"/>
  <c r="F276" i="50"/>
  <c r="F525" i="50"/>
  <c r="F938" i="50"/>
  <c r="F1096" i="50"/>
  <c r="F255" i="50"/>
  <c r="F840" i="50"/>
  <c r="F1057" i="50"/>
  <c r="F565" i="50"/>
  <c r="F703" i="50"/>
  <c r="F103" i="50"/>
  <c r="F257" i="50"/>
  <c r="G990" i="50"/>
  <c r="G1148" i="50"/>
  <c r="G478" i="50"/>
  <c r="G229" i="50"/>
  <c r="G134" i="50"/>
  <c r="G18" i="7"/>
  <c r="F18" i="7"/>
  <c r="D1248" i="7"/>
  <c r="D1229" i="7"/>
  <c r="D137" i="7"/>
  <c r="D118" i="7"/>
  <c r="D99" i="7"/>
  <c r="D80" i="7"/>
  <c r="D61" i="7"/>
  <c r="D42" i="7"/>
  <c r="D23" i="7"/>
  <c r="H18" i="7" l="1"/>
  <c r="E874" i="7"/>
  <c r="E384" i="7"/>
  <c r="H19" i="7"/>
  <c r="J2" i="5"/>
  <c r="G888" i="7" l="1"/>
  <c r="G882" i="7"/>
  <c r="G879" i="7"/>
  <c r="G885" i="7"/>
  <c r="G883" i="7"/>
  <c r="G886" i="7"/>
  <c r="G887" i="7"/>
  <c r="G884" i="7"/>
  <c r="G880" i="7"/>
  <c r="G881" i="7"/>
  <c r="G877" i="7"/>
  <c r="G878" i="7"/>
  <c r="H11" i="4" l="1"/>
  <c r="H12" i="4" s="1"/>
  <c r="I12" i="4" s="1"/>
  <c r="B49" i="6"/>
  <c r="B47" i="6"/>
  <c r="B44" i="6"/>
  <c r="B58" i="6"/>
  <c r="B52" i="6"/>
  <c r="B37" i="6"/>
  <c r="B54" i="6"/>
  <c r="B31" i="6"/>
  <c r="B64" i="6"/>
  <c r="B45" i="6"/>
  <c r="B63" i="6"/>
  <c r="B36" i="6"/>
  <c r="B53" i="6"/>
  <c r="B30" i="6"/>
  <c r="B55" i="6"/>
  <c r="B38" i="6"/>
  <c r="B42" i="6"/>
  <c r="B60" i="6"/>
  <c r="B35" i="6"/>
  <c r="B48" i="6"/>
  <c r="B40" i="6"/>
  <c r="B56" i="6"/>
  <c r="B33" i="6"/>
  <c r="B39" i="6"/>
  <c r="B29" i="6"/>
  <c r="B62" i="6"/>
  <c r="B43" i="6"/>
  <c r="B61" i="6"/>
  <c r="B50" i="6"/>
  <c r="B59" i="6"/>
  <c r="B41" i="6"/>
  <c r="E3" i="7"/>
  <c r="B57" i="6"/>
  <c r="B51" i="6"/>
  <c r="B34" i="6"/>
  <c r="B12" i="6"/>
  <c r="B13" i="6"/>
  <c r="B65" i="6"/>
  <c r="B46" i="6"/>
  <c r="O353" i="6"/>
  <c r="O545" i="6"/>
  <c r="O403" i="6"/>
  <c r="O407" i="6"/>
  <c r="O107" i="6"/>
  <c r="O732" i="6"/>
  <c r="O771" i="6"/>
  <c r="O53" i="6"/>
  <c r="O390" i="6"/>
  <c r="O793" i="6"/>
  <c r="O95" i="6"/>
  <c r="O194" i="6"/>
  <c r="O784" i="6"/>
  <c r="O589" i="6"/>
  <c r="O212" i="6"/>
  <c r="O779" i="6"/>
  <c r="O494" i="6"/>
  <c r="O716" i="6"/>
  <c r="O612" i="6"/>
  <c r="O66" i="6"/>
  <c r="O289" i="6"/>
  <c r="O273" i="6"/>
  <c r="O758" i="6"/>
  <c r="O160" i="6"/>
  <c r="O823" i="6"/>
  <c r="O290" i="6"/>
  <c r="O248" i="6"/>
  <c r="O260" i="6"/>
  <c r="O381" i="6"/>
  <c r="O327" i="6"/>
  <c r="O431" i="6"/>
  <c r="O302" i="6"/>
  <c r="O198" i="6"/>
  <c r="O523" i="6"/>
  <c r="O341" i="6"/>
  <c r="O274" i="6"/>
  <c r="O223" i="6"/>
  <c r="O106" i="6"/>
  <c r="O90" i="6"/>
  <c r="O821" i="6"/>
  <c r="O690" i="6"/>
  <c r="O549" i="6"/>
  <c r="O404" i="6"/>
  <c r="O81" i="6"/>
  <c r="O783" i="6"/>
  <c r="O689" i="6"/>
  <c r="O392" i="6"/>
  <c r="O611" i="6"/>
  <c r="O116" i="6"/>
  <c r="O809" i="6"/>
  <c r="O171" i="6"/>
  <c r="O235" i="6"/>
  <c r="O181" i="6"/>
  <c r="O379" i="6"/>
  <c r="O472" i="6"/>
  <c r="O640" i="6"/>
  <c r="O368" i="6"/>
  <c r="O469" i="6"/>
  <c r="O131" i="6"/>
  <c r="O675" i="6"/>
  <c r="O406" i="6"/>
  <c r="O238" i="6"/>
  <c r="O337" i="6"/>
  <c r="O572" i="6"/>
  <c r="O797" i="6"/>
  <c r="O170" i="6"/>
  <c r="O719" i="6"/>
  <c r="O183" i="6"/>
  <c r="O754" i="6"/>
  <c r="O663" i="6"/>
  <c r="O537" i="6"/>
  <c r="O69" i="6"/>
  <c r="O768" i="6"/>
  <c r="O808" i="6"/>
  <c r="O340" i="6"/>
  <c r="O678" i="6"/>
  <c r="O730" i="6"/>
  <c r="O509" i="6"/>
  <c r="O677" i="6"/>
  <c r="O68" i="6"/>
  <c r="O588" i="6"/>
  <c r="O209" i="6"/>
  <c r="O506" i="6"/>
  <c r="O326" i="6"/>
  <c r="O42" i="6"/>
  <c r="O521" i="6"/>
  <c r="O600" i="6"/>
  <c r="O29" i="6"/>
  <c r="O755" i="6"/>
  <c r="O79" i="6"/>
  <c r="O704" i="6"/>
  <c r="O376" i="6"/>
  <c r="O366" i="6"/>
  <c r="O796" i="6"/>
  <c r="O688" i="6"/>
  <c r="O805" i="6"/>
  <c r="O641" i="6"/>
  <c r="O705" i="6"/>
  <c r="O130" i="6"/>
  <c r="O781" i="6"/>
  <c r="O795" i="6"/>
  <c r="O652" i="6"/>
  <c r="O770" i="6"/>
  <c r="O794" i="6"/>
  <c r="O729" i="6"/>
  <c r="O142" i="6"/>
  <c r="O623" i="6"/>
  <c r="O782" i="6"/>
  <c r="O535" i="6"/>
  <c r="O728" i="6"/>
  <c r="O147" i="6"/>
  <c r="O628" i="6"/>
  <c r="O767" i="6"/>
  <c r="O173" i="6"/>
  <c r="O247" i="6"/>
  <c r="O680" i="6"/>
  <c r="O559" i="6"/>
  <c r="O172" i="6"/>
  <c r="O234" i="6"/>
  <c r="O352" i="6"/>
  <c r="O756" i="6"/>
  <c r="O481" i="6"/>
  <c r="O221" i="6"/>
  <c r="O548" i="6"/>
  <c r="O757" i="6"/>
  <c r="O676" i="6"/>
  <c r="O94" i="6"/>
  <c r="O639" i="6"/>
  <c r="O65" i="6"/>
  <c r="O470" i="6"/>
  <c r="O459" i="6"/>
  <c r="O717" i="6"/>
  <c r="O457" i="6"/>
  <c r="O133" i="6"/>
  <c r="O303" i="6"/>
  <c r="O64" i="6"/>
  <c r="O199" i="6"/>
  <c r="O287" i="6"/>
  <c r="O430" i="6"/>
  <c r="O28" i="6"/>
  <c r="O313" i="6"/>
  <c r="O454" i="6"/>
  <c r="O272" i="6"/>
  <c r="O105" i="6"/>
  <c r="O807" i="6"/>
  <c r="O575" i="6"/>
  <c r="O182" i="6"/>
  <c r="O104" i="6"/>
  <c r="O496" i="6"/>
  <c r="O146" i="6"/>
  <c r="O288" i="6"/>
  <c r="O92" i="6"/>
  <c r="O264" i="6"/>
  <c r="O300" i="6"/>
  <c r="O649" i="6"/>
  <c r="O524" i="6"/>
  <c r="O250" i="6"/>
  <c r="O442" i="6"/>
  <c r="O558" i="6"/>
  <c r="O51" i="6"/>
  <c r="O275" i="6"/>
  <c r="O445" i="6"/>
  <c r="O610" i="6"/>
  <c r="O625" i="6"/>
  <c r="O67" i="6"/>
  <c r="O666" i="6"/>
  <c r="O522" i="6"/>
  <c r="O546" i="6"/>
  <c r="O576" i="6"/>
  <c r="O394" i="6"/>
  <c r="O703" i="6"/>
  <c r="O740" i="6"/>
  <c r="O38" i="6"/>
  <c r="O446" i="6"/>
  <c r="O702" i="6"/>
  <c r="O536" i="6"/>
  <c r="O350" i="6"/>
  <c r="O662" i="6"/>
  <c r="O314" i="6"/>
  <c r="O520" i="6"/>
  <c r="O246" i="6"/>
  <c r="O420" i="6"/>
  <c r="O586" i="6"/>
  <c r="O654" i="6"/>
  <c r="O519" i="6"/>
  <c r="O80" i="6"/>
  <c r="O56" i="6"/>
  <c r="O727" i="6"/>
  <c r="O324" i="6"/>
  <c r="O458" i="6"/>
  <c r="O159" i="6"/>
  <c r="O627" i="6"/>
  <c r="O298" i="6"/>
  <c r="O507" i="6"/>
  <c r="O820" i="6"/>
  <c r="O195" i="6"/>
  <c r="O455" i="6"/>
  <c r="O134" i="6"/>
  <c r="O364" i="6"/>
  <c r="O312" i="6"/>
  <c r="O693" i="6"/>
  <c r="O363" i="6"/>
  <c r="O428" i="6"/>
  <c r="O638" i="6"/>
  <c r="O145" i="6"/>
  <c r="O550" i="6"/>
  <c r="O741" i="6"/>
  <c r="O325" i="6"/>
  <c r="O315" i="6"/>
  <c r="O562" i="6"/>
  <c r="O597" i="6"/>
  <c r="O342" i="6"/>
  <c r="O41" i="6"/>
  <c r="O43" i="6"/>
  <c r="O573" i="6"/>
  <c r="O118" i="6"/>
  <c r="O276" i="6"/>
  <c r="O25" i="6"/>
  <c r="O532" i="6"/>
  <c r="O508" i="6"/>
  <c r="O651" i="6"/>
  <c r="O78" i="6"/>
  <c r="O637" i="6"/>
  <c r="O121" i="6"/>
  <c r="O664" i="6"/>
  <c r="O665" i="6"/>
  <c r="O236" i="6"/>
  <c r="O701" i="6"/>
  <c r="O498" i="6"/>
  <c r="O429" i="6"/>
  <c r="O571" i="6"/>
  <c r="O483" i="6"/>
  <c r="O561" i="6"/>
  <c r="O745" i="6"/>
  <c r="O55" i="6"/>
  <c r="O393" i="6"/>
  <c r="O534" i="6"/>
  <c r="O718" i="6"/>
  <c r="O237" i="6"/>
  <c r="O402" i="6"/>
  <c r="O351" i="6"/>
  <c r="O715" i="6"/>
  <c r="O584" i="6"/>
  <c r="O144" i="6"/>
  <c r="O108" i="6"/>
  <c r="O391" i="6"/>
  <c r="O418" i="6"/>
  <c r="O533" i="6"/>
  <c r="O339" i="6"/>
  <c r="O380" i="6"/>
  <c r="O417" i="6"/>
  <c r="O444" i="6"/>
  <c r="O432" i="6"/>
  <c r="O497" i="6"/>
  <c r="O311" i="6"/>
  <c r="O482" i="6"/>
  <c r="O129" i="6"/>
  <c r="O262" i="6"/>
  <c r="O39" i="6"/>
  <c r="O286" i="6"/>
  <c r="O233" i="6"/>
  <c r="O120" i="6"/>
  <c r="O91" i="6"/>
  <c r="O52" i="6"/>
  <c r="O77" i="6"/>
  <c r="O766" i="6"/>
  <c r="O667" i="6"/>
  <c r="O338" i="6"/>
  <c r="O249" i="6"/>
  <c r="O598" i="6"/>
  <c r="O471" i="6"/>
  <c r="O259" i="6"/>
  <c r="O415" i="6"/>
  <c r="O143" i="6"/>
  <c r="O744" i="6"/>
  <c r="O467" i="6"/>
  <c r="O225" i="6"/>
  <c r="O614" i="6"/>
  <c r="O389" i="6"/>
  <c r="O443" i="6"/>
  <c r="O158" i="6"/>
  <c r="O560" i="6"/>
  <c r="O184" i="6"/>
  <c r="O714" i="6"/>
  <c r="O27" i="6"/>
  <c r="O301" i="6"/>
  <c r="O484" i="6"/>
  <c r="O416" i="6"/>
  <c r="O731" i="6"/>
  <c r="O329" i="6"/>
  <c r="O285" i="6"/>
  <c r="O792" i="6"/>
  <c r="O185" i="6"/>
  <c r="O493" i="6"/>
  <c r="O196" i="6"/>
  <c r="O168" i="6"/>
  <c r="O742" i="6"/>
  <c r="O563" i="6"/>
  <c r="O54" i="6"/>
  <c r="O819" i="6"/>
  <c r="O780" i="6"/>
  <c r="O208" i="6"/>
  <c r="O186" i="6"/>
  <c r="O806" i="6"/>
  <c r="O26" i="6"/>
  <c r="O24" i="6"/>
  <c r="O441" i="6"/>
  <c r="O419" i="6"/>
  <c r="O468" i="6"/>
  <c r="O510" i="6"/>
  <c r="O691" i="6"/>
  <c r="O367" i="6"/>
  <c r="O650" i="6"/>
  <c r="O585" i="6"/>
  <c r="O377" i="6"/>
  <c r="O602" i="6"/>
  <c r="O224" i="6"/>
  <c r="O599" i="6"/>
  <c r="O456" i="6"/>
  <c r="O156" i="6"/>
  <c r="O197" i="6"/>
  <c r="O511" i="6"/>
  <c r="O82" i="6"/>
  <c r="O624" i="6"/>
  <c r="O355" i="6"/>
  <c r="O613" i="6"/>
  <c r="O405" i="6"/>
  <c r="O211" i="6"/>
  <c r="O769" i="6"/>
  <c r="O378" i="6"/>
  <c r="O547" i="6"/>
  <c r="O822" i="6"/>
  <c r="O753" i="6"/>
  <c r="O679" i="6"/>
  <c r="O251" i="6"/>
  <c r="O222" i="6"/>
  <c r="O40" i="6"/>
  <c r="O365" i="6"/>
  <c r="O93" i="6"/>
  <c r="O601" i="6"/>
  <c r="O103" i="6"/>
  <c r="O261" i="6"/>
  <c r="O117" i="6"/>
  <c r="O706" i="6"/>
  <c r="O626" i="6"/>
  <c r="O277" i="6"/>
  <c r="O354" i="6"/>
  <c r="O132" i="6"/>
  <c r="O433" i="6"/>
  <c r="O636" i="6"/>
  <c r="O220" i="6"/>
  <c r="O743" i="6"/>
  <c r="O480" i="6"/>
  <c r="O207" i="6"/>
  <c r="O119" i="6"/>
  <c r="O818" i="6"/>
  <c r="O316" i="6"/>
  <c r="O157" i="6"/>
  <c r="O210" i="6"/>
  <c r="O299" i="6"/>
  <c r="O810" i="6"/>
  <c r="O615" i="6"/>
  <c r="O587" i="6"/>
  <c r="O485" i="6"/>
  <c r="O328" i="6"/>
  <c r="O495" i="6"/>
  <c r="O169" i="6"/>
  <c r="O692" i="6"/>
  <c r="O653" i="6"/>
  <c r="O574" i="6"/>
  <c r="O263" i="6"/>
  <c r="O155" i="6"/>
  <c r="B64" i="5"/>
  <c r="B60" i="5"/>
  <c r="B46" i="5"/>
  <c r="B54" i="5"/>
  <c r="B25" i="5"/>
  <c r="B31" i="5"/>
  <c r="B50" i="5"/>
  <c r="B36" i="5"/>
  <c r="B37" i="5"/>
  <c r="B48" i="5"/>
  <c r="B23" i="5"/>
  <c r="B62" i="5"/>
  <c r="B28" i="5"/>
  <c r="B56" i="5"/>
  <c r="B52" i="5"/>
  <c r="B47" i="5"/>
  <c r="B43" i="5"/>
  <c r="B51" i="5"/>
  <c r="B58" i="5"/>
  <c r="B35" i="5"/>
  <c r="B24" i="5"/>
  <c r="B19" i="5"/>
  <c r="B18" i="5"/>
  <c r="B65" i="5"/>
  <c r="B40" i="5"/>
  <c r="B33" i="5"/>
  <c r="B55" i="5"/>
  <c r="B32" i="5"/>
  <c r="B21" i="5"/>
  <c r="B42" i="5"/>
  <c r="B14" i="5"/>
  <c r="B30" i="5"/>
  <c r="B44" i="5"/>
  <c r="B63" i="5"/>
  <c r="B38" i="5"/>
  <c r="B17" i="5"/>
  <c r="B45" i="5"/>
  <c r="B59" i="5"/>
  <c r="B34" i="5"/>
  <c r="B27" i="5"/>
  <c r="B57" i="5"/>
  <c r="B49" i="5"/>
  <c r="B16" i="5"/>
  <c r="B20" i="5"/>
  <c r="B39" i="5"/>
  <c r="B41" i="5"/>
  <c r="B53" i="5"/>
  <c r="B22" i="5"/>
  <c r="B26" i="5"/>
  <c r="B15" i="5"/>
  <c r="B61" i="5"/>
  <c r="B29" i="5"/>
  <c r="O174" i="6" l="1"/>
  <c r="O176" i="6"/>
  <c r="O239" i="6"/>
  <c r="O241" i="6"/>
  <c r="O603" i="6"/>
  <c r="O605" i="6"/>
  <c r="O540" i="6"/>
  <c r="O538" i="6"/>
  <c r="O514" i="6"/>
  <c r="O512" i="6"/>
  <c r="E720" i="5"/>
  <c r="O135" i="6"/>
  <c r="O137" i="6"/>
  <c r="O748" i="6"/>
  <c r="O746" i="6"/>
  <c r="E941" i="5"/>
  <c r="E397" i="5"/>
  <c r="O811" i="6"/>
  <c r="O813" i="6"/>
  <c r="O423" i="6"/>
  <c r="O421" i="6"/>
  <c r="E924" i="5"/>
  <c r="O85" i="6"/>
  <c r="O83" i="6"/>
  <c r="O525" i="6"/>
  <c r="O527" i="6"/>
  <c r="E958" i="5"/>
  <c r="E329" i="5"/>
  <c r="O384" i="6"/>
  <c r="O382" i="6"/>
  <c r="E499" i="5"/>
  <c r="E295" i="5"/>
  <c r="E448" i="5"/>
  <c r="O293" i="6"/>
  <c r="O291" i="6"/>
  <c r="E516" i="5"/>
  <c r="O98" i="6"/>
  <c r="O96" i="6"/>
  <c r="O410" i="6"/>
  <c r="O408" i="6"/>
  <c r="E278" i="5"/>
  <c r="E839" i="5"/>
  <c r="O163" i="6"/>
  <c r="O161" i="6"/>
  <c r="O345" i="6"/>
  <c r="O343" i="6"/>
  <c r="O254" i="6"/>
  <c r="O252" i="6"/>
  <c r="O330" i="6"/>
  <c r="O332" i="6"/>
  <c r="O798" i="6"/>
  <c r="O800" i="6"/>
  <c r="E1043" i="5"/>
  <c r="E380" i="5"/>
  <c r="O553" i="6"/>
  <c r="O551" i="6"/>
  <c r="E261" i="5"/>
  <c r="O369" i="6"/>
  <c r="O371" i="6"/>
  <c r="E686" i="5"/>
  <c r="E414" i="5"/>
  <c r="O579" i="6"/>
  <c r="O577" i="6"/>
  <c r="O707" i="6"/>
  <c r="O709" i="6"/>
  <c r="E244" i="5"/>
  <c r="E737" i="5"/>
  <c r="O306" i="6"/>
  <c r="O304" i="6"/>
  <c r="E754" i="5"/>
  <c r="O670" i="6"/>
  <c r="O668" i="6"/>
  <c r="O486" i="6"/>
  <c r="O488" i="6"/>
  <c r="O111" i="6"/>
  <c r="O109" i="6"/>
  <c r="E703" i="5"/>
  <c r="O720" i="6"/>
  <c r="O722" i="6"/>
  <c r="O215" i="6"/>
  <c r="O213" i="6"/>
  <c r="O759" i="6"/>
  <c r="O761" i="6"/>
  <c r="E873" i="5"/>
  <c r="E822" i="5"/>
  <c r="E890" i="5"/>
  <c r="E1026" i="5"/>
  <c r="O501" i="6"/>
  <c r="O499" i="6"/>
  <c r="E907" i="5"/>
  <c r="E584" i="5"/>
  <c r="O644" i="6"/>
  <c r="O642" i="6"/>
  <c r="E346" i="5"/>
  <c r="O397" i="6"/>
  <c r="O395" i="6"/>
  <c r="E465" i="5"/>
  <c r="E312" i="5"/>
  <c r="E601" i="5"/>
  <c r="O592" i="6"/>
  <c r="O590" i="6"/>
  <c r="O631" i="6"/>
  <c r="O629" i="6"/>
  <c r="O122" i="6"/>
  <c r="O124" i="6"/>
  <c r="O265" i="6"/>
  <c r="O267" i="6"/>
  <c r="O278" i="6"/>
  <c r="O280" i="6"/>
  <c r="O824" i="6"/>
  <c r="O826" i="6"/>
  <c r="E975" i="5"/>
  <c r="E805" i="5"/>
  <c r="O319" i="6"/>
  <c r="O317" i="6"/>
  <c r="E567" i="5"/>
  <c r="O785" i="6"/>
  <c r="O787" i="6"/>
  <c r="O226" i="6"/>
  <c r="O228" i="6"/>
  <c r="E533" i="5"/>
  <c r="E431" i="5"/>
  <c r="O473" i="6"/>
  <c r="O475" i="6"/>
  <c r="E992" i="5"/>
  <c r="F6" i="7"/>
  <c r="F877" i="7" s="1"/>
  <c r="G19" i="7"/>
  <c r="F9" i="7"/>
  <c r="F880" i="7" s="1"/>
  <c r="F13" i="7"/>
  <c r="H13" i="7" s="1"/>
  <c r="F7" i="7"/>
  <c r="F878" i="7" s="1"/>
  <c r="F12" i="7"/>
  <c r="H12" i="7" s="1"/>
  <c r="F15" i="7"/>
  <c r="H15" i="7" s="1"/>
  <c r="F11" i="7"/>
  <c r="F882" i="7" s="1"/>
  <c r="F8" i="7"/>
  <c r="F879" i="7" s="1"/>
  <c r="E1009" i="5"/>
  <c r="O733" i="6"/>
  <c r="O735" i="6"/>
  <c r="O150" i="6"/>
  <c r="O148" i="6"/>
  <c r="E363" i="5"/>
  <c r="E618" i="5"/>
  <c r="E193" i="5"/>
  <c r="E652" i="5"/>
  <c r="O189" i="6"/>
  <c r="O187" i="6"/>
  <c r="O202" i="6"/>
  <c r="O200" i="6"/>
  <c r="E771" i="5"/>
  <c r="O358" i="6"/>
  <c r="O356" i="6"/>
  <c r="E482" i="5"/>
  <c r="O449" i="6"/>
  <c r="O447" i="6"/>
  <c r="E856" i="5"/>
  <c r="O57" i="6"/>
  <c r="O59" i="6"/>
  <c r="O655" i="6"/>
  <c r="O657" i="6"/>
  <c r="E788" i="5"/>
  <c r="O616" i="6"/>
  <c r="O618" i="6"/>
  <c r="O44" i="6"/>
  <c r="O46" i="6"/>
  <c r="O462" i="6"/>
  <c r="O460" i="6"/>
  <c r="E669" i="5"/>
  <c r="E1060" i="5"/>
  <c r="O694" i="6"/>
  <c r="O696" i="6"/>
  <c r="O774" i="6"/>
  <c r="O772" i="6"/>
  <c r="O681" i="6"/>
  <c r="O683" i="6"/>
  <c r="O70" i="6"/>
  <c r="O72" i="6"/>
  <c r="E210" i="5"/>
  <c r="E227" i="5"/>
  <c r="E635" i="5"/>
  <c r="E550" i="5"/>
  <c r="O436" i="6"/>
  <c r="O434" i="6"/>
  <c r="O566" i="6"/>
  <c r="O564" i="6"/>
  <c r="D874" i="16"/>
  <c r="D860" i="16"/>
  <c r="D846" i="16"/>
  <c r="D832" i="16"/>
  <c r="D818" i="16"/>
  <c r="D804" i="16"/>
  <c r="D790" i="16"/>
  <c r="D776" i="16"/>
  <c r="D762" i="16"/>
  <c r="D748" i="16"/>
  <c r="D734" i="16"/>
  <c r="D720" i="16"/>
  <c r="D706" i="16"/>
  <c r="D692" i="16"/>
  <c r="D678" i="16"/>
  <c r="D664" i="16"/>
  <c r="D650" i="16"/>
  <c r="D636" i="16"/>
  <c r="D622" i="16"/>
  <c r="D608" i="16"/>
  <c r="D594" i="16"/>
  <c r="D580" i="16"/>
  <c r="D566" i="16"/>
  <c r="D552" i="16"/>
  <c r="D538" i="16"/>
  <c r="D524" i="16"/>
  <c r="D510" i="16"/>
  <c r="D496" i="16"/>
  <c r="D482" i="16"/>
  <c r="D468" i="16"/>
  <c r="D454" i="16"/>
  <c r="D440" i="16"/>
  <c r="D426" i="16"/>
  <c r="D412" i="16"/>
  <c r="D398" i="16"/>
  <c r="D384" i="16"/>
  <c r="D370" i="16"/>
  <c r="D356" i="16"/>
  <c r="D342" i="16"/>
  <c r="D328" i="16"/>
  <c r="D314" i="16"/>
  <c r="D300" i="16"/>
  <c r="D1059" i="15"/>
  <c r="D1042" i="15"/>
  <c r="D1025" i="15"/>
  <c r="D1008" i="15"/>
  <c r="D991" i="15"/>
  <c r="D974" i="15"/>
  <c r="D957" i="15"/>
  <c r="D940" i="15"/>
  <c r="D923" i="15"/>
  <c r="D906" i="15"/>
  <c r="D889" i="15"/>
  <c r="D872" i="15"/>
  <c r="D855" i="15"/>
  <c r="D838" i="15"/>
  <c r="D821" i="15"/>
  <c r="D804" i="15"/>
  <c r="D787" i="15"/>
  <c r="D770" i="15"/>
  <c r="D753" i="15"/>
  <c r="D736" i="15"/>
  <c r="D719" i="15"/>
  <c r="D702" i="15"/>
  <c r="D685" i="15"/>
  <c r="D668" i="15"/>
  <c r="D651" i="15"/>
  <c r="D634" i="15"/>
  <c r="D617" i="15"/>
  <c r="D600" i="15"/>
  <c r="D583" i="15"/>
  <c r="D566" i="15"/>
  <c r="D549" i="15"/>
  <c r="D532" i="15"/>
  <c r="D515" i="15"/>
  <c r="D498" i="15"/>
  <c r="D481" i="15"/>
  <c r="D464" i="15"/>
  <c r="D447" i="15"/>
  <c r="D430" i="15"/>
  <c r="D413" i="15"/>
  <c r="D396" i="15"/>
  <c r="D379" i="15"/>
  <c r="D362" i="15"/>
  <c r="D508" i="12"/>
  <c r="D500" i="12"/>
  <c r="D492" i="12"/>
  <c r="D484" i="12"/>
  <c r="D476" i="12"/>
  <c r="D468" i="12"/>
  <c r="D460" i="12"/>
  <c r="D452" i="12"/>
  <c r="D444" i="12"/>
  <c r="D436" i="12"/>
  <c r="D428" i="12"/>
  <c r="D420" i="12"/>
  <c r="D412" i="12"/>
  <c r="D404" i="12"/>
  <c r="D396" i="12"/>
  <c r="D388" i="12"/>
  <c r="D380" i="12"/>
  <c r="D372" i="12"/>
  <c r="D364" i="12"/>
  <c r="D356" i="12"/>
  <c r="D348" i="12"/>
  <c r="D340" i="12"/>
  <c r="D332" i="12"/>
  <c r="D324" i="12"/>
  <c r="D316" i="12"/>
  <c r="D308" i="12"/>
  <c r="D300" i="12"/>
  <c r="D292" i="12"/>
  <c r="D284" i="12"/>
  <c r="D276" i="12"/>
  <c r="D268" i="12"/>
  <c r="D260" i="12"/>
  <c r="D252" i="12"/>
  <c r="D244" i="12"/>
  <c r="D236" i="12"/>
  <c r="D228" i="12"/>
  <c r="D220" i="12"/>
  <c r="D212" i="12"/>
  <c r="D204" i="12"/>
  <c r="D196" i="12"/>
  <c r="D188" i="12"/>
  <c r="D180" i="12"/>
  <c r="F883" i="7" l="1"/>
  <c r="H11" i="7"/>
  <c r="H8" i="7"/>
  <c r="F884" i="7"/>
  <c r="H9" i="7"/>
  <c r="F886" i="7"/>
  <c r="D633" i="11"/>
  <c r="D623" i="11"/>
  <c r="D613" i="11"/>
  <c r="D603" i="11"/>
  <c r="D592" i="11"/>
  <c r="D582" i="11"/>
  <c r="D572" i="11"/>
  <c r="D562" i="11"/>
  <c r="D552" i="11"/>
  <c r="D542" i="11"/>
  <c r="D532" i="11"/>
  <c r="D522" i="11"/>
  <c r="D512" i="11"/>
  <c r="D502" i="11"/>
  <c r="D492" i="11"/>
  <c r="D482" i="11"/>
  <c r="D472" i="11"/>
  <c r="D462" i="11"/>
  <c r="D452" i="11"/>
  <c r="D442" i="11"/>
  <c r="D432" i="11"/>
  <c r="D421" i="11"/>
  <c r="D411" i="11"/>
  <c r="D401" i="11"/>
  <c r="D391" i="11"/>
  <c r="D381" i="11"/>
  <c r="D371" i="11"/>
  <c r="D361" i="11"/>
  <c r="D351" i="11"/>
  <c r="D341" i="11"/>
  <c r="D331" i="11"/>
  <c r="D321" i="11"/>
  <c r="D311" i="11"/>
  <c r="D301" i="11"/>
  <c r="D291" i="11"/>
  <c r="D281" i="11"/>
  <c r="D271" i="11"/>
  <c r="D260" i="11"/>
  <c r="D250" i="11"/>
  <c r="D240" i="11"/>
  <c r="D230" i="11"/>
  <c r="D220" i="11"/>
  <c r="E802" i="6" l="1"/>
  <c r="E776" i="6"/>
  <c r="E750" i="6"/>
  <c r="E724" i="6"/>
  <c r="E698" i="6"/>
  <c r="E672" i="6"/>
  <c r="E646" i="6"/>
  <c r="E620" i="6"/>
  <c r="E594" i="6"/>
  <c r="E568" i="6"/>
  <c r="E542" i="6"/>
  <c r="E516" i="6"/>
  <c r="E490" i="6"/>
  <c r="E464" i="6"/>
  <c r="E438" i="6"/>
  <c r="E412" i="6"/>
  <c r="E360" i="6"/>
  <c r="E139" i="6"/>
  <c r="E815" i="6"/>
  <c r="E789" i="6"/>
  <c r="E763" i="6"/>
  <c r="E737" i="6"/>
  <c r="E711" i="6"/>
  <c r="E685" i="6"/>
  <c r="E659" i="6"/>
  <c r="E633" i="6"/>
  <c r="E607" i="6"/>
  <c r="E581" i="6"/>
  <c r="E555" i="6"/>
  <c r="E529" i="6"/>
  <c r="E503" i="6"/>
  <c r="E477" i="6"/>
  <c r="E451" i="6"/>
  <c r="E425" i="6"/>
  <c r="E399" i="6"/>
  <c r="E373" i="6"/>
  <c r="E347" i="6"/>
  <c r="E126" i="6"/>
  <c r="M8" i="11"/>
  <c r="D23" i="13"/>
  <c r="D40" i="13"/>
  <c r="D57" i="13"/>
  <c r="D74" i="13"/>
  <c r="D91" i="13"/>
  <c r="D108" i="13"/>
  <c r="D125" i="13"/>
  <c r="P18" i="15" l="1"/>
  <c r="Q13" i="14"/>
  <c r="Q12" i="14"/>
  <c r="Q11" i="14"/>
  <c r="Q10" i="14"/>
  <c r="Q9" i="14"/>
  <c r="Q8" i="14"/>
  <c r="Q1067" i="13"/>
  <c r="Q1050" i="13"/>
  <c r="Q1033" i="13"/>
  <c r="Q1016" i="13"/>
  <c r="Q999" i="13"/>
  <c r="Q982" i="13"/>
  <c r="Q965" i="13"/>
  <c r="Q948" i="13"/>
  <c r="Q931" i="13"/>
  <c r="Q914" i="13"/>
  <c r="Q897" i="13"/>
  <c r="Q880" i="13"/>
  <c r="Q863" i="13"/>
  <c r="Q846" i="13"/>
  <c r="Q829" i="13"/>
  <c r="Q812" i="13"/>
  <c r="Q795" i="13"/>
  <c r="Q778" i="13"/>
  <c r="Q761" i="13"/>
  <c r="Q744" i="13"/>
  <c r="Q727" i="13"/>
  <c r="Q710" i="13"/>
  <c r="Q693" i="13"/>
  <c r="Q676" i="13"/>
  <c r="Q659" i="13"/>
  <c r="Q642" i="13"/>
  <c r="Q625" i="13"/>
  <c r="Q608" i="13"/>
  <c r="Q591" i="13"/>
  <c r="Q574" i="13"/>
  <c r="Q557" i="13"/>
  <c r="Q506" i="13"/>
  <c r="Q489" i="13"/>
  <c r="Q472" i="13"/>
  <c r="Q455" i="13"/>
  <c r="Q438" i="13"/>
  <c r="Q421" i="13"/>
  <c r="Q404" i="13"/>
  <c r="Q387" i="13"/>
  <c r="Q370" i="13"/>
  <c r="Q353" i="13"/>
  <c r="Q336" i="13"/>
  <c r="Q319" i="13"/>
  <c r="Q302" i="13"/>
  <c r="Q285" i="13"/>
  <c r="Q268" i="13"/>
  <c r="Q251" i="13"/>
  <c r="Q234" i="13"/>
  <c r="Q217" i="13"/>
  <c r="Q200" i="13"/>
  <c r="Q183" i="13"/>
  <c r="Q166" i="13"/>
  <c r="Q149" i="13"/>
  <c r="Q132" i="13"/>
  <c r="Q115" i="13"/>
  <c r="Q98" i="13"/>
  <c r="Q81" i="13"/>
  <c r="Q64" i="13"/>
  <c r="Q47" i="13"/>
  <c r="Q30" i="13"/>
  <c r="Q7" i="13"/>
  <c r="W7" i="13" s="1"/>
  <c r="Q9" i="13"/>
  <c r="W9" i="13" s="1"/>
  <c r="Q10" i="13"/>
  <c r="W10" i="13" s="1"/>
  <c r="Q11" i="13"/>
  <c r="W11" i="13" s="1"/>
  <c r="Q12" i="13"/>
  <c r="W12" i="13" s="1"/>
  <c r="Q13" i="13"/>
  <c r="W13" i="13" s="1"/>
  <c r="Q14" i="13"/>
  <c r="W14" i="13" s="1"/>
  <c r="Q15" i="13"/>
  <c r="W15" i="13" s="1"/>
  <c r="Q16" i="13"/>
  <c r="W16" i="13" s="1"/>
  <c r="D1060" i="13" l="1"/>
  <c r="D1043" i="13"/>
  <c r="D1026" i="13"/>
  <c r="D1009" i="13"/>
  <c r="D992" i="13"/>
  <c r="D975" i="13"/>
  <c r="D958" i="13"/>
  <c r="D941" i="13"/>
  <c r="D924" i="13"/>
  <c r="D907" i="13"/>
  <c r="D890" i="13"/>
  <c r="D873" i="13"/>
  <c r="D856" i="13"/>
  <c r="D839" i="13"/>
  <c r="D822" i="13"/>
  <c r="D805" i="13"/>
  <c r="D788" i="13"/>
  <c r="D771" i="13"/>
  <c r="D754" i="13"/>
  <c r="D737" i="13"/>
  <c r="D720" i="13"/>
  <c r="D703" i="13"/>
  <c r="D686" i="13"/>
  <c r="D669" i="13"/>
  <c r="D652" i="13"/>
  <c r="D635" i="13"/>
  <c r="D618" i="13"/>
  <c r="D601" i="13"/>
  <c r="D584" i="13"/>
  <c r="D567" i="13"/>
  <c r="D550" i="13"/>
  <c r="D533" i="13"/>
  <c r="D516" i="13"/>
  <c r="D499" i="13"/>
  <c r="D482" i="13"/>
  <c r="D465" i="13"/>
  <c r="D448" i="13"/>
  <c r="D431" i="13"/>
  <c r="D414" i="13"/>
  <c r="D874" i="14"/>
  <c r="D860" i="14"/>
  <c r="D846" i="14"/>
  <c r="D832" i="14"/>
  <c r="D397" i="13"/>
  <c r="D380" i="13"/>
  <c r="D363" i="13"/>
  <c r="D468" i="14"/>
  <c r="D818" i="14"/>
  <c r="D804" i="14"/>
  <c r="D790" i="14"/>
  <c r="D776" i="14"/>
  <c r="D762" i="14"/>
  <c r="D748" i="14"/>
  <c r="D734" i="14"/>
  <c r="D720" i="14"/>
  <c r="D706" i="14"/>
  <c r="D692" i="14"/>
  <c r="D678" i="14"/>
  <c r="D664" i="14"/>
  <c r="D650" i="14"/>
  <c r="D636" i="14"/>
  <c r="D622" i="14"/>
  <c r="D608" i="14"/>
  <c r="D594" i="14"/>
  <c r="D580" i="14"/>
  <c r="D566" i="14"/>
  <c r="D552" i="14"/>
  <c r="D538" i="14"/>
  <c r="D524" i="14"/>
  <c r="D510" i="14"/>
  <c r="D496" i="14"/>
  <c r="D482" i="14"/>
  <c r="D454" i="14"/>
  <c r="D440" i="14"/>
  <c r="D426" i="14"/>
  <c r="D412" i="14"/>
  <c r="D398" i="14"/>
  <c r="D384" i="14"/>
  <c r="D370" i="14"/>
  <c r="D356" i="14"/>
  <c r="D342" i="14"/>
  <c r="D328" i="14"/>
  <c r="D314" i="14"/>
  <c r="D300" i="14"/>
  <c r="F16" i="50" l="1"/>
  <c r="F1222" i="50" s="1"/>
  <c r="F16" i="7"/>
  <c r="F10" i="50"/>
  <c r="F1216" i="50" s="1"/>
  <c r="F10" i="7"/>
  <c r="F14" i="50"/>
  <c r="F1220" i="50" s="1"/>
  <c r="F14" i="7"/>
  <c r="L8" i="11"/>
  <c r="F885" i="7" l="1"/>
  <c r="H14" i="7"/>
  <c r="F881" i="7"/>
  <c r="H10" i="7"/>
  <c r="F887" i="7"/>
  <c r="H16" i="7"/>
  <c r="F981" i="50"/>
  <c r="F921" i="50"/>
  <c r="F201" i="50"/>
  <c r="F49" i="50"/>
  <c r="F843" i="50"/>
  <c r="F87" i="50"/>
  <c r="F391" i="50"/>
  <c r="F764" i="50"/>
  <c r="F588" i="50"/>
  <c r="F528" i="50"/>
  <c r="F627" i="50"/>
  <c r="F296" i="50"/>
  <c r="F804" i="50"/>
  <c r="F449" i="50"/>
  <c r="F745" i="50"/>
  <c r="F1000" i="50"/>
  <c r="F1158" i="50"/>
  <c r="F315" i="50"/>
  <c r="F784" i="50"/>
  <c r="F548" i="50"/>
  <c r="F430" i="50"/>
  <c r="F961" i="50"/>
  <c r="F941" i="50"/>
  <c r="F862" i="50"/>
  <c r="F1119" i="50"/>
  <c r="F182" i="50"/>
  <c r="F489" i="50"/>
  <c r="F258" i="50"/>
  <c r="F1060" i="50"/>
  <c r="F353" i="50"/>
  <c r="F144" i="50"/>
  <c r="F163" i="50"/>
  <c r="F1020" i="50"/>
  <c r="F220" i="50"/>
  <c r="F1079" i="50"/>
  <c r="F1099" i="50"/>
  <c r="F725" i="50"/>
  <c r="F30" i="50"/>
  <c r="F706" i="50"/>
  <c r="F686" i="50"/>
  <c r="F277" i="50"/>
  <c r="F106" i="50"/>
  <c r="F568" i="50"/>
  <c r="F334" i="50"/>
  <c r="F410" i="50"/>
  <c r="F239" i="50"/>
  <c r="F647" i="50"/>
  <c r="F469" i="50"/>
  <c r="F607" i="50"/>
  <c r="F68" i="50"/>
  <c r="F125" i="50"/>
  <c r="F1040" i="50"/>
  <c r="F824" i="50"/>
  <c r="F509" i="50"/>
  <c r="F882" i="50"/>
  <c r="F1197" i="50"/>
  <c r="F1139" i="50"/>
  <c r="F667" i="50"/>
  <c r="F1178" i="50"/>
  <c r="F372" i="50"/>
  <c r="F902" i="50"/>
  <c r="F985" i="50"/>
  <c r="F925" i="50"/>
  <c r="F205" i="50"/>
  <c r="F53" i="50"/>
  <c r="F847" i="50"/>
  <c r="F91" i="50"/>
  <c r="F395" i="50"/>
  <c r="F319" i="50"/>
  <c r="F300" i="50"/>
  <c r="F808" i="50"/>
  <c r="F453" i="50"/>
  <c r="F749" i="50"/>
  <c r="F631" i="50"/>
  <c r="F1004" i="50"/>
  <c r="F1162" i="50"/>
  <c r="F1024" i="50"/>
  <c r="F1103" i="50"/>
  <c r="F243" i="50"/>
  <c r="F186" i="50"/>
  <c r="F592" i="50"/>
  <c r="F788" i="50"/>
  <c r="F866" i="50"/>
  <c r="F768" i="50"/>
  <c r="F532" i="50"/>
  <c r="F552" i="50"/>
  <c r="F434" i="50"/>
  <c r="F1064" i="50"/>
  <c r="F473" i="50"/>
  <c r="F357" i="50"/>
  <c r="F148" i="50"/>
  <c r="F167" i="50"/>
  <c r="F729" i="50"/>
  <c r="F224" i="50"/>
  <c r="F1083" i="50"/>
  <c r="F34" i="50"/>
  <c r="F493" i="50"/>
  <c r="F945" i="50"/>
  <c r="F611" i="50"/>
  <c r="F690" i="50"/>
  <c r="F110" i="50"/>
  <c r="F72" i="50"/>
  <c r="F572" i="50"/>
  <c r="F338" i="50"/>
  <c r="F414" i="50"/>
  <c r="F965" i="50"/>
  <c r="F651" i="50"/>
  <c r="F671" i="50"/>
  <c r="F1044" i="50"/>
  <c r="F1182" i="50"/>
  <c r="F376" i="50"/>
  <c r="F129" i="50"/>
  <c r="F886" i="50"/>
  <c r="F262" i="50"/>
  <c r="F710" i="50"/>
  <c r="F828" i="50"/>
  <c r="F513" i="50"/>
  <c r="F281" i="50"/>
  <c r="F1123" i="50"/>
  <c r="F1201" i="50"/>
  <c r="F1143" i="50"/>
  <c r="F906" i="50"/>
  <c r="F397" i="50"/>
  <c r="F55" i="50"/>
  <c r="F987" i="50"/>
  <c r="F321" i="50"/>
  <c r="F534" i="50"/>
  <c r="F770" i="50"/>
  <c r="F594" i="50"/>
  <c r="F790" i="50"/>
  <c r="F302" i="50"/>
  <c r="F849" i="50"/>
  <c r="F1164" i="50"/>
  <c r="F1026" i="50"/>
  <c r="F245" i="50"/>
  <c r="F264" i="50"/>
  <c r="F207" i="50"/>
  <c r="F554" i="50"/>
  <c r="F436" i="50"/>
  <c r="F36" i="50"/>
  <c r="F927" i="50"/>
  <c r="F633" i="50"/>
  <c r="F93" i="50"/>
  <c r="F810" i="50"/>
  <c r="F455" i="50"/>
  <c r="F653" i="50"/>
  <c r="F475" i="50"/>
  <c r="F359" i="50"/>
  <c r="F169" i="50"/>
  <c r="F1105" i="50"/>
  <c r="F751" i="50"/>
  <c r="F1006" i="50"/>
  <c r="F1125" i="50"/>
  <c r="F731" i="50"/>
  <c r="F188" i="50"/>
  <c r="F1066" i="50"/>
  <c r="F1184" i="50"/>
  <c r="F712" i="50"/>
  <c r="F495" i="50"/>
  <c r="F967" i="50"/>
  <c r="F112" i="50"/>
  <c r="F673" i="50"/>
  <c r="F150" i="50"/>
  <c r="F613" i="50"/>
  <c r="F378" i="50"/>
  <c r="F226" i="50"/>
  <c r="F908" i="50"/>
  <c r="F692" i="50"/>
  <c r="F515" i="50"/>
  <c r="F74" i="50"/>
  <c r="F1046" i="50"/>
  <c r="F868" i="50"/>
  <c r="F888" i="50"/>
  <c r="F340" i="50"/>
  <c r="F416" i="50"/>
  <c r="F947" i="50"/>
  <c r="F1145" i="50"/>
  <c r="F830" i="50"/>
  <c r="F574" i="50"/>
  <c r="F1085" i="50"/>
  <c r="F1203" i="50"/>
  <c r="F283" i="50"/>
  <c r="F131" i="50"/>
  <c r="G20" i="7"/>
  <c r="G991" i="50"/>
  <c r="G211" i="50"/>
  <c r="G538" i="50"/>
  <c r="G931" i="50"/>
  <c r="G774" i="50"/>
  <c r="G598" i="50"/>
  <c r="G325" i="50"/>
  <c r="G853" i="50"/>
  <c r="G1168" i="50"/>
  <c r="G794" i="50"/>
  <c r="G558" i="50"/>
  <c r="G440" i="50"/>
  <c r="G814" i="50"/>
  <c r="G97" i="50"/>
  <c r="G249" i="50"/>
  <c r="G499" i="50"/>
  <c r="G59" i="50"/>
  <c r="G306" i="50"/>
  <c r="G1030" i="50"/>
  <c r="G971" i="50"/>
  <c r="G1188" i="50"/>
  <c r="G1010" i="50"/>
  <c r="G1129" i="50"/>
  <c r="G735" i="50"/>
  <c r="G268" i="50"/>
  <c r="G1070" i="50"/>
  <c r="G951" i="50"/>
  <c r="G657" i="50"/>
  <c r="G154" i="50"/>
  <c r="G617" i="50"/>
  <c r="G479" i="50"/>
  <c r="G230" i="50"/>
  <c r="G637" i="50"/>
  <c r="G872" i="50"/>
  <c r="G363" i="50"/>
  <c r="G173" i="50"/>
  <c r="G382" i="50"/>
  <c r="G1089" i="50"/>
  <c r="G1149" i="50"/>
  <c r="G912" i="50"/>
  <c r="G519" i="50"/>
  <c r="G135" i="50"/>
  <c r="G20" i="50"/>
  <c r="G1109" i="50"/>
  <c r="G459" i="50"/>
  <c r="G755" i="50"/>
  <c r="G192" i="50"/>
  <c r="G344" i="50"/>
  <c r="G1050" i="50"/>
  <c r="G420" i="50"/>
  <c r="G116" i="50"/>
  <c r="G834" i="50"/>
  <c r="G696" i="50"/>
  <c r="G287" i="50"/>
  <c r="G578" i="50"/>
  <c r="G892" i="50"/>
  <c r="G1207" i="50"/>
  <c r="G78" i="50"/>
  <c r="G677" i="50"/>
  <c r="G716" i="50"/>
  <c r="G40" i="50" l="1"/>
  <c r="G1032" i="50" s="1"/>
  <c r="P853" i="15" l="1"/>
  <c r="N785" i="15"/>
  <c r="M1023" i="15"/>
  <c r="P411" i="15"/>
  <c r="O377" i="15"/>
  <c r="P972" i="15"/>
  <c r="O615" i="15"/>
  <c r="M496" i="15"/>
  <c r="K581" i="15"/>
  <c r="K955" i="15"/>
  <c r="L700" i="15"/>
  <c r="P870" i="15"/>
  <c r="O955" i="15"/>
  <c r="K615" i="15"/>
  <c r="N955" i="15"/>
  <c r="M683" i="15"/>
  <c r="L989" i="15"/>
  <c r="O632" i="15"/>
  <c r="P700" i="15"/>
  <c r="M598" i="15"/>
  <c r="K598" i="15"/>
  <c r="N394" i="15"/>
  <c r="L445" i="15"/>
  <c r="O938" i="15"/>
  <c r="L938" i="15"/>
  <c r="P377" i="15"/>
  <c r="M870" i="15"/>
  <c r="K972" i="15"/>
  <c r="O1023" i="15"/>
  <c r="K1023" i="15"/>
  <c r="M955" i="15"/>
  <c r="O853" i="15"/>
  <c r="M853" i="15"/>
  <c r="K496" i="15"/>
  <c r="P479" i="15"/>
  <c r="N479" i="15"/>
  <c r="L836" i="15"/>
  <c r="K462" i="15"/>
  <c r="N989" i="15"/>
  <c r="M904" i="15"/>
  <c r="N904" i="15"/>
  <c r="L632" i="15"/>
  <c r="K632" i="15"/>
  <c r="M700" i="15"/>
  <c r="P598" i="15"/>
  <c r="N598" i="15"/>
  <c r="L394" i="15"/>
  <c r="O394" i="15"/>
  <c r="M394" i="15"/>
  <c r="M445" i="15"/>
  <c r="N1057" i="15"/>
  <c r="L564" i="15"/>
  <c r="N377" i="15"/>
  <c r="N581" i="15"/>
  <c r="N972" i="15"/>
  <c r="L615" i="15"/>
  <c r="P1023" i="15"/>
  <c r="L955" i="15"/>
  <c r="M1074" i="15"/>
  <c r="N1074" i="15"/>
  <c r="L853" i="15"/>
  <c r="K666" i="15"/>
  <c r="O666" i="15"/>
  <c r="N666" i="15"/>
  <c r="O496" i="15"/>
  <c r="L496" i="15"/>
  <c r="O479" i="15"/>
  <c r="M479" i="15"/>
  <c r="M411" i="15"/>
  <c r="K411" i="15"/>
  <c r="K683" i="15"/>
  <c r="N921" i="15"/>
  <c r="P921" i="15"/>
  <c r="K785" i="15"/>
  <c r="O785" i="15"/>
  <c r="K768" i="15"/>
  <c r="N768" i="15"/>
  <c r="L768" i="15"/>
  <c r="P836" i="15"/>
  <c r="N836" i="15"/>
  <c r="M462" i="15"/>
  <c r="L462" i="15"/>
  <c r="P649" i="15"/>
  <c r="K649" i="15"/>
  <c r="L649" i="15"/>
  <c r="O989" i="15"/>
  <c r="O904" i="15"/>
  <c r="M836" i="15"/>
  <c r="O836" i="15"/>
  <c r="O462" i="15"/>
  <c r="N462" i="15"/>
  <c r="O649" i="15"/>
  <c r="K904" i="15"/>
  <c r="M632" i="15"/>
  <c r="P632" i="15"/>
  <c r="K700" i="15"/>
  <c r="N700" i="15"/>
  <c r="L598" i="15"/>
  <c r="O598" i="15"/>
  <c r="N445" i="15"/>
  <c r="O445" i="15"/>
  <c r="P938" i="15"/>
  <c r="K938" i="15"/>
  <c r="M938" i="15"/>
  <c r="K1057" i="15"/>
  <c r="O1057" i="15"/>
  <c r="P1057" i="15"/>
  <c r="N564" i="15"/>
  <c r="M564" i="15"/>
  <c r="L377" i="15"/>
  <c r="M377" i="15"/>
  <c r="K377" i="15"/>
  <c r="O870" i="15"/>
  <c r="M972" i="15"/>
  <c r="O972" i="15"/>
  <c r="M615" i="15"/>
  <c r="P615" i="15"/>
  <c r="L1023" i="15"/>
  <c r="N1023" i="15"/>
  <c r="P955" i="15"/>
  <c r="O1074" i="15"/>
  <c r="K853" i="15"/>
  <c r="P496" i="15"/>
  <c r="N496" i="15"/>
  <c r="N411" i="15"/>
  <c r="O411" i="15"/>
  <c r="L683" i="15"/>
  <c r="O683" i="15"/>
  <c r="P683" i="15"/>
  <c r="N683" i="15"/>
  <c r="O921" i="15"/>
  <c r="L785" i="15"/>
  <c r="N887" i="15"/>
  <c r="M887" i="15"/>
  <c r="M768" i="15"/>
  <c r="P768" i="15"/>
  <c r="N632" i="15"/>
  <c r="O700" i="15"/>
  <c r="K394" i="15"/>
  <c r="P394" i="15"/>
  <c r="K445" i="15"/>
  <c r="P445" i="15"/>
  <c r="N938" i="15"/>
  <c r="M1057" i="15"/>
  <c r="L1057" i="15"/>
  <c r="K564" i="15"/>
  <c r="O564" i="15"/>
  <c r="P564" i="15"/>
  <c r="L870" i="15"/>
  <c r="K870" i="15"/>
  <c r="N870" i="15"/>
  <c r="L581" i="15"/>
  <c r="M581" i="15"/>
  <c r="P581" i="15"/>
  <c r="O581" i="15"/>
  <c r="L972" i="15"/>
  <c r="N615" i="15"/>
  <c r="L1074" i="15"/>
  <c r="P1074" i="15"/>
  <c r="K1074" i="15"/>
  <c r="N853" i="15"/>
  <c r="M666" i="15"/>
  <c r="P666" i="15"/>
  <c r="L666" i="15"/>
  <c r="L479" i="15"/>
  <c r="K479" i="15"/>
  <c r="L411" i="15"/>
  <c r="K921" i="15"/>
  <c r="M921" i="15"/>
  <c r="L921" i="15"/>
  <c r="P785" i="15"/>
  <c r="M785" i="15"/>
  <c r="O887" i="15"/>
  <c r="P887" i="15"/>
  <c r="L887" i="15"/>
  <c r="K887" i="15"/>
  <c r="O768" i="15"/>
  <c r="K836" i="15"/>
  <c r="P462" i="15"/>
  <c r="N649" i="15"/>
  <c r="M649" i="15"/>
  <c r="M989" i="15"/>
  <c r="K989" i="15"/>
  <c r="P989" i="15"/>
  <c r="L904" i="15"/>
  <c r="P904" i="15"/>
  <c r="B35" i="15"/>
  <c r="B20" i="6"/>
  <c r="B35" i="12"/>
  <c r="B58" i="15"/>
  <c r="B17" i="15"/>
  <c r="B40" i="13"/>
  <c r="B49" i="13"/>
  <c r="B27" i="12"/>
  <c r="B31" i="15"/>
  <c r="B33" i="15"/>
  <c r="B7" i="6"/>
  <c r="B29" i="16"/>
  <c r="B5" i="15"/>
  <c r="B40" i="12"/>
  <c r="B65" i="12"/>
  <c r="B27" i="15"/>
  <c r="B21" i="13"/>
  <c r="B58" i="11"/>
  <c r="B14" i="12"/>
  <c r="B24" i="13"/>
  <c r="B8" i="6"/>
  <c r="B62" i="13"/>
  <c r="B7" i="16"/>
  <c r="B35" i="16"/>
  <c r="B56" i="13"/>
  <c r="B54" i="15"/>
  <c r="B20" i="16"/>
  <c r="B13" i="12"/>
  <c r="B44" i="14"/>
  <c r="B16" i="13"/>
  <c r="B29" i="13"/>
  <c r="B30" i="12"/>
  <c r="B12" i="13"/>
  <c r="B52" i="16"/>
  <c r="B23" i="16"/>
  <c r="B60" i="15"/>
  <c r="B39" i="12"/>
  <c r="B38" i="12"/>
  <c r="B59" i="16"/>
  <c r="B18" i="6"/>
  <c r="B8" i="15"/>
  <c r="B14" i="6"/>
  <c r="B18" i="13"/>
  <c r="B47" i="12"/>
  <c r="B59" i="12"/>
  <c r="B23" i="12"/>
  <c r="B59" i="11"/>
  <c r="B11" i="13"/>
  <c r="B23" i="15"/>
  <c r="B10" i="16"/>
  <c r="B51" i="15"/>
  <c r="B44" i="16"/>
  <c r="B34" i="13"/>
  <c r="B22" i="15"/>
  <c r="B47" i="13"/>
  <c r="B17" i="6"/>
  <c r="B29" i="12"/>
  <c r="B24" i="16"/>
  <c r="B56" i="14"/>
  <c r="B45" i="14"/>
  <c r="B34" i="14"/>
  <c r="B35" i="14"/>
  <c r="B51" i="14"/>
  <c r="B26" i="14"/>
  <c r="B48" i="11"/>
  <c r="B15" i="11"/>
  <c r="B9" i="11"/>
  <c r="B23" i="11"/>
  <c r="B39" i="11"/>
  <c r="B13" i="13"/>
  <c r="B43" i="12"/>
  <c r="B33" i="13"/>
  <c r="B46" i="13"/>
  <c r="B15" i="12"/>
  <c r="B19" i="13"/>
  <c r="B16" i="14"/>
  <c r="B23" i="14"/>
  <c r="B60" i="14"/>
  <c r="B24" i="14"/>
  <c r="B14" i="14"/>
  <c r="B10" i="14"/>
  <c r="B36" i="11"/>
  <c r="B60" i="16"/>
  <c r="B20" i="13"/>
  <c r="B64" i="12"/>
  <c r="B36" i="12"/>
  <c r="B8" i="12"/>
  <c r="B34" i="15"/>
  <c r="B61" i="16"/>
  <c r="B26" i="12"/>
  <c r="B16" i="6"/>
  <c r="B16" i="15"/>
  <c r="B25" i="15"/>
  <c r="B21" i="12"/>
  <c r="B24" i="6"/>
  <c r="B15" i="6"/>
  <c r="B41" i="13"/>
  <c r="B51" i="12"/>
  <c r="B55" i="16"/>
  <c r="B56" i="11"/>
  <c r="B58" i="12"/>
  <c r="B25" i="12"/>
  <c r="B18" i="16"/>
  <c r="B18" i="15"/>
  <c r="B21" i="6"/>
  <c r="B28" i="13"/>
  <c r="B42" i="16"/>
  <c r="B24" i="15"/>
  <c r="B11" i="12"/>
  <c r="B30" i="16"/>
  <c r="B31" i="13"/>
  <c r="B49" i="12"/>
  <c r="B53" i="15"/>
  <c r="B10" i="13"/>
  <c r="B54" i="16"/>
  <c r="B47" i="15"/>
  <c r="B22" i="16"/>
  <c r="B59" i="13"/>
  <c r="B53" i="16"/>
  <c r="B27" i="6"/>
  <c r="B57" i="13"/>
  <c r="B61" i="11"/>
  <c r="B5" i="16"/>
  <c r="B41" i="12"/>
  <c r="B55" i="11"/>
  <c r="B22" i="12"/>
  <c r="B27" i="13"/>
  <c r="B65" i="16"/>
  <c r="B40" i="15"/>
  <c r="B19" i="6"/>
  <c r="B10" i="6"/>
  <c r="B55" i="13"/>
  <c r="B38" i="13"/>
  <c r="B59" i="15"/>
  <c r="B45" i="16"/>
  <c r="B61" i="14"/>
  <c r="B47" i="14"/>
  <c r="B37" i="14"/>
  <c r="B48" i="14"/>
  <c r="B28" i="14"/>
  <c r="B52" i="14"/>
  <c r="B47" i="11"/>
  <c r="B19" i="11"/>
  <c r="B45" i="11"/>
  <c r="B7" i="11"/>
  <c r="B4" i="14"/>
  <c r="B8" i="14"/>
  <c r="B40" i="11"/>
  <c r="B24" i="11"/>
  <c r="B13" i="11"/>
  <c r="B41" i="11"/>
  <c r="B28" i="16"/>
  <c r="B5" i="12"/>
  <c r="B43" i="13"/>
  <c r="B38" i="15"/>
  <c r="B15" i="13"/>
  <c r="B45" i="13"/>
  <c r="B41" i="16"/>
  <c r="B51" i="16"/>
  <c r="B54" i="13"/>
  <c r="B64" i="13"/>
  <c r="B58" i="16"/>
  <c r="B40" i="16"/>
  <c r="B51" i="11"/>
  <c r="B57" i="16"/>
  <c r="B9" i="13"/>
  <c r="B22" i="6"/>
  <c r="B62" i="12"/>
  <c r="B57" i="15"/>
  <c r="B37" i="15"/>
  <c r="B32" i="15"/>
  <c r="B15" i="16"/>
  <c r="B19" i="12"/>
  <c r="B60" i="13"/>
  <c r="B17" i="13"/>
  <c r="B20" i="15"/>
  <c r="B18" i="12"/>
  <c r="B54" i="11"/>
  <c r="B36" i="13"/>
  <c r="B37" i="16"/>
  <c r="B55" i="14"/>
  <c r="B43" i="14"/>
  <c r="B53" i="14"/>
  <c r="B49" i="14"/>
  <c r="B65" i="14"/>
  <c r="B22" i="14"/>
  <c r="B42" i="11"/>
  <c r="B14" i="11"/>
  <c r="B10" i="11"/>
  <c r="B21" i="11"/>
  <c r="B43" i="11"/>
  <c r="B53" i="12"/>
  <c r="B34" i="12"/>
  <c r="B9" i="6"/>
  <c r="B32" i="6"/>
  <c r="B46" i="12"/>
  <c r="B49" i="16"/>
  <c r="B15" i="14"/>
  <c r="B30" i="14"/>
  <c r="B36" i="14"/>
  <c r="B31" i="14"/>
  <c r="B28" i="11"/>
  <c r="B31" i="11"/>
  <c r="B32" i="11"/>
  <c r="B39" i="16"/>
  <c r="B19" i="14"/>
  <c r="B33" i="12"/>
  <c r="B52" i="15"/>
  <c r="B65" i="11"/>
  <c r="B4" i="13"/>
  <c r="B63" i="12"/>
  <c r="B32" i="14"/>
  <c r="B27" i="11"/>
  <c r="B50" i="12"/>
  <c r="B40" i="14"/>
  <c r="B50" i="14"/>
  <c r="B34" i="11"/>
  <c r="B20" i="11"/>
  <c r="B22" i="11"/>
  <c r="B47" i="16"/>
  <c r="B46" i="14"/>
  <c r="B17" i="11"/>
  <c r="B65" i="15"/>
  <c r="B6" i="16"/>
  <c r="B63" i="16"/>
  <c r="B28" i="6"/>
  <c r="B32" i="16"/>
  <c r="B19" i="16"/>
  <c r="B49" i="11"/>
  <c r="B26" i="6"/>
  <c r="B42" i="13"/>
  <c r="B43" i="15"/>
  <c r="B62" i="15"/>
  <c r="B60" i="11"/>
  <c r="B8" i="13"/>
  <c r="B6" i="6"/>
  <c r="B39" i="15"/>
  <c r="B8" i="16"/>
  <c r="B36" i="16"/>
  <c r="B58" i="13"/>
  <c r="B16" i="16"/>
  <c r="B5" i="6"/>
  <c r="B25" i="16"/>
  <c r="B61" i="13"/>
  <c r="B44" i="13"/>
  <c r="B53" i="13"/>
  <c r="B32" i="13"/>
  <c r="B52" i="11"/>
  <c r="B14" i="15"/>
  <c r="B16" i="12"/>
  <c r="B12" i="14"/>
  <c r="B63" i="14"/>
  <c r="B59" i="14"/>
  <c r="B54" i="14"/>
  <c r="B58" i="14"/>
  <c r="B17" i="14"/>
  <c r="B16" i="11"/>
  <c r="B46" i="11"/>
  <c r="B29" i="11"/>
  <c r="B26" i="15"/>
  <c r="B7" i="12"/>
  <c r="B5" i="14"/>
  <c r="B9" i="14"/>
  <c r="B25" i="14"/>
  <c r="B21" i="14"/>
  <c r="B38" i="14"/>
  <c r="B20" i="14"/>
  <c r="B12" i="11"/>
  <c r="B35" i="11"/>
  <c r="B18" i="11"/>
  <c r="B11" i="11"/>
  <c r="B14" i="13"/>
  <c r="B56" i="12"/>
  <c r="B64" i="11"/>
  <c r="B36" i="15"/>
  <c r="B41" i="14"/>
  <c r="B11" i="14"/>
  <c r="B8" i="11"/>
  <c r="B5" i="11"/>
  <c r="B26" i="11"/>
  <c r="B6" i="15"/>
  <c r="B38" i="11"/>
  <c r="B9" i="16"/>
  <c r="B45" i="12"/>
  <c r="B5" i="13"/>
  <c r="B25" i="13"/>
  <c r="B7" i="15"/>
  <c r="B11" i="16"/>
  <c r="B50" i="15"/>
  <c r="B45" i="15"/>
  <c r="B15" i="15"/>
  <c r="B55" i="15"/>
  <c r="B13" i="16"/>
  <c r="B57" i="11"/>
  <c r="B64" i="15"/>
  <c r="B38" i="16"/>
  <c r="B29" i="15"/>
  <c r="B56" i="16"/>
  <c r="B31" i="16"/>
  <c r="B42" i="15"/>
  <c r="B66" i="12"/>
  <c r="B24" i="12"/>
  <c r="B30" i="15"/>
  <c r="B57" i="12"/>
  <c r="B18" i="14"/>
  <c r="B13" i="14"/>
  <c r="B33" i="11"/>
  <c r="B27" i="14"/>
  <c r="B7" i="13"/>
  <c r="B37" i="13"/>
  <c r="B62" i="14"/>
  <c r="B57" i="14"/>
  <c r="B37" i="11"/>
  <c r="B33" i="14"/>
  <c r="B30" i="11"/>
  <c r="B21" i="16"/>
  <c r="B65" i="13"/>
  <c r="B51" i="13"/>
  <c r="B9" i="12"/>
  <c r="B27" i="16"/>
  <c r="B35" i="13"/>
  <c r="B6" i="12"/>
  <c r="B54" i="12"/>
  <c r="B22" i="13"/>
  <c r="B53" i="11"/>
  <c r="B25" i="6"/>
  <c r="B48" i="12"/>
  <c r="B4" i="6"/>
  <c r="B34" i="16"/>
  <c r="B46" i="15"/>
  <c r="B10" i="15"/>
  <c r="B49" i="15"/>
  <c r="B60" i="12"/>
  <c r="B32" i="12"/>
  <c r="B61" i="12"/>
  <c r="B19" i="15"/>
  <c r="B50" i="13"/>
  <c r="B4" i="16"/>
  <c r="B64" i="16"/>
  <c r="B11" i="6"/>
  <c r="B6" i="13"/>
  <c r="B17" i="16"/>
  <c r="B48" i="13"/>
  <c r="B29" i="14"/>
  <c r="B28" i="15"/>
  <c r="B62" i="16"/>
  <c r="B66" i="11"/>
  <c r="B42" i="14"/>
  <c r="B6" i="11"/>
  <c r="B21" i="15"/>
  <c r="B46" i="16"/>
  <c r="B63" i="13"/>
  <c r="B44" i="12"/>
  <c r="B20" i="12"/>
  <c r="B52" i="13"/>
  <c r="B48" i="15"/>
  <c r="B42" i="12"/>
  <c r="B56" i="15"/>
  <c r="B39" i="13"/>
  <c r="B50" i="11"/>
  <c r="B48" i="16"/>
  <c r="B55" i="12"/>
  <c r="B12" i="12"/>
  <c r="B12" i="15"/>
  <c r="B26" i="16"/>
  <c r="B6" i="14"/>
  <c r="B64" i="14"/>
  <c r="B25" i="11"/>
  <c r="B41" i="15"/>
  <c r="B10" i="12"/>
  <c r="B39" i="14"/>
  <c r="B13" i="15"/>
  <c r="B50" i="16"/>
  <c r="B14" i="16"/>
  <c r="B61" i="15"/>
  <c r="B17" i="12"/>
  <c r="B33" i="16"/>
  <c r="B11" i="15"/>
  <c r="B63" i="15"/>
  <c r="B31" i="12"/>
  <c r="B4" i="15"/>
  <c r="B9" i="15"/>
  <c r="B52" i="12"/>
  <c r="B12" i="16"/>
  <c r="B23" i="6"/>
  <c r="B26" i="13"/>
  <c r="B23" i="13"/>
  <c r="B37" i="12"/>
  <c r="B44" i="15"/>
  <c r="B62" i="11"/>
  <c r="B63" i="11"/>
  <c r="B30" i="13"/>
  <c r="B43" i="16"/>
  <c r="B28" i="12"/>
  <c r="B7" i="14"/>
  <c r="B44" i="11"/>
  <c r="B12" i="5"/>
  <c r="B5" i="5"/>
  <c r="B13" i="5"/>
  <c r="B9" i="5"/>
  <c r="B6" i="5"/>
  <c r="B4" i="5"/>
  <c r="B8" i="5"/>
  <c r="B11" i="5"/>
  <c r="B10" i="5"/>
  <c r="B7" i="5"/>
  <c r="E341" i="11" l="1"/>
  <c r="E685" i="15"/>
  <c r="E351" i="11"/>
  <c r="E165" i="6"/>
  <c r="E992" i="13"/>
  <c r="E804" i="14"/>
  <c r="E35" i="6"/>
  <c r="E269" i="6"/>
  <c r="E370" i="14"/>
  <c r="E432" i="11"/>
  <c r="E384" i="14"/>
  <c r="E180" i="12"/>
  <c r="E706" i="16"/>
  <c r="E566" i="14"/>
  <c r="E669" i="13"/>
  <c r="E125" i="5"/>
  <c r="E664" i="16"/>
  <c r="E618" i="13"/>
  <c r="E256" i="6"/>
  <c r="E678" i="14"/>
  <c r="E401" i="11"/>
  <c r="E212" i="12"/>
  <c r="E397" i="13"/>
  <c r="E361" i="11"/>
  <c r="E142" i="5"/>
  <c r="E342" i="14"/>
  <c r="E650" i="14"/>
  <c r="E737" i="13"/>
  <c r="E468" i="16"/>
  <c r="E396" i="15"/>
  <c r="E328" i="16"/>
  <c r="E855" i="15"/>
  <c r="E125" i="13"/>
  <c r="E240" i="11"/>
  <c r="E340" i="12"/>
  <c r="E413" i="15"/>
  <c r="E23" i="13"/>
  <c r="E788" i="13"/>
  <c r="E839" i="13"/>
  <c r="E754" i="13"/>
  <c r="E1060" i="13"/>
  <c r="E492" i="11"/>
  <c r="E291" i="11"/>
  <c r="E356" i="12"/>
  <c r="E580" i="16"/>
  <c r="E567" i="13"/>
  <c r="E324" i="12"/>
  <c r="E452" i="11"/>
  <c r="E159" i="5"/>
  <c r="E974" i="15"/>
  <c r="E176" i="5"/>
  <c r="E74" i="13"/>
  <c r="E832" i="14"/>
  <c r="E650" i="16"/>
  <c r="E250" i="11"/>
  <c r="E719" i="15"/>
  <c r="E736" i="15"/>
  <c r="E748" i="16"/>
  <c r="E48" i="6"/>
  <c r="E108" i="5"/>
  <c r="E668" i="15"/>
  <c r="E906" i="15"/>
  <c r="E790" i="14"/>
  <c r="E204" i="6"/>
  <c r="E404" i="12"/>
  <c r="E720" i="13"/>
  <c r="E550" i="13"/>
  <c r="E515" i="15"/>
  <c r="E720" i="14"/>
  <c r="E686" i="13"/>
  <c r="E87" i="6"/>
  <c r="E608" i="14"/>
  <c r="E552" i="14"/>
  <c r="E332" i="12"/>
  <c r="E230" i="6"/>
  <c r="E386" i="6"/>
  <c r="E328" i="14"/>
  <c r="E472" i="11"/>
  <c r="E314" i="16"/>
  <c r="E552" i="16"/>
  <c r="E230" i="11"/>
  <c r="E372" i="12"/>
  <c r="E1059" i="15"/>
  <c r="E592" i="11"/>
  <c r="E430" i="15"/>
  <c r="E196" i="12"/>
  <c r="E633" i="11"/>
  <c r="E454" i="14"/>
  <c r="E454" i="16"/>
  <c r="E276" i="12"/>
  <c r="E440" i="14"/>
  <c r="E178" i="6"/>
  <c r="E191" i="6"/>
  <c r="E91" i="13"/>
  <c r="E872" i="15"/>
  <c r="E822" i="13"/>
  <c r="E821" i="15"/>
  <c r="E57" i="13"/>
  <c r="E532" i="11"/>
  <c r="E442" i="11"/>
  <c r="E924" i="13"/>
  <c r="E703" i="13"/>
  <c r="E452" i="12"/>
  <c r="E476" i="12"/>
  <c r="E552" i="11"/>
  <c r="E532" i="15"/>
  <c r="E412" i="16"/>
  <c r="E804" i="15"/>
  <c r="E381" i="11"/>
  <c r="E334" i="6"/>
  <c r="E91" i="5"/>
  <c r="E583" i="15"/>
  <c r="E692" i="16"/>
  <c r="E482" i="14"/>
  <c r="E790" i="16"/>
  <c r="E603" i="11"/>
  <c r="E566" i="15"/>
  <c r="E496" i="16"/>
  <c r="E771" i="13"/>
  <c r="E380" i="13"/>
  <c r="E923" i="15"/>
  <c r="E348" i="12"/>
  <c r="E580" i="14"/>
  <c r="E776" i="14"/>
  <c r="E1025" i="15"/>
  <c r="E311" i="11"/>
  <c r="E804" i="16"/>
  <c r="E958" i="13"/>
  <c r="E622" i="16"/>
  <c r="E271" i="11"/>
  <c r="E411" i="11"/>
  <c r="E321" i="6"/>
  <c r="E502" i="11"/>
  <c r="E617" i="15"/>
  <c r="E678" i="16"/>
  <c r="E362" i="15"/>
  <c r="E818" i="16"/>
  <c r="E1008" i="15"/>
  <c r="E152" i="6"/>
  <c r="E482" i="16"/>
  <c r="E874" i="14"/>
  <c r="E426" i="16"/>
  <c r="E308" i="12"/>
  <c r="E391" i="11"/>
  <c r="E243" i="6"/>
  <c r="E448" i="13"/>
  <c r="E594" i="14"/>
  <c r="E692" i="14"/>
  <c r="E538" i="14"/>
  <c r="E468" i="14"/>
  <c r="E398" i="14"/>
  <c r="E228" i="12"/>
  <c r="E889" i="15"/>
  <c r="E428" i="12"/>
  <c r="E100" i="6"/>
  <c r="E805" i="13"/>
  <c r="E510" i="14"/>
  <c r="E414" i="13"/>
  <c r="E284" i="12"/>
  <c r="E496" i="14"/>
  <c r="E566" i="16"/>
  <c r="E975" i="13"/>
  <c r="E379" i="15"/>
  <c r="E468" i="12"/>
  <c r="E108" i="13"/>
  <c r="E762" i="16"/>
  <c r="E268" i="12"/>
  <c r="E364" i="12"/>
  <c r="E873" i="13"/>
  <c r="E61" i="6"/>
  <c r="E484" i="12"/>
  <c r="E636" i="14"/>
  <c r="E753" i="15"/>
  <c r="E499" i="13"/>
  <c r="E420" i="12"/>
  <c r="E613" i="11"/>
  <c r="E482" i="13"/>
  <c r="E40" i="13"/>
  <c r="E384" i="16"/>
  <c r="E316" i="12"/>
  <c r="E396" i="12"/>
  <c r="E702" i="15"/>
  <c r="E1043" i="13"/>
  <c r="E651" i="15"/>
  <c r="E282" i="6"/>
  <c r="E356" i="16"/>
  <c r="E74" i="6"/>
  <c r="E1009" i="13"/>
  <c r="E874" i="16"/>
  <c r="E600" i="15"/>
  <c r="E636" i="16"/>
  <c r="E533" i="13"/>
  <c r="E301" i="11"/>
  <c r="E492" i="12"/>
  <c r="E856" i="13"/>
  <c r="E635" i="13"/>
  <c r="E300" i="16"/>
  <c r="E582" i="11"/>
  <c r="E762" i="14"/>
  <c r="E113" i="6"/>
  <c r="E500" i="12"/>
  <c r="E440" i="16"/>
  <c r="E542" i="11"/>
  <c r="E465" i="13"/>
  <c r="E300" i="14"/>
  <c r="E664" i="14"/>
  <c r="E363" i="13"/>
  <c r="E436" i="12"/>
  <c r="E957" i="15"/>
  <c r="E356" i="14"/>
  <c r="E748" i="14"/>
  <c r="E342" i="16"/>
  <c r="E522" i="11"/>
  <c r="E1026" i="13"/>
  <c r="E818" i="14"/>
  <c r="E584" i="13"/>
  <c r="E538" i="16"/>
  <c r="E634" i="15"/>
  <c r="E40" i="5"/>
  <c r="E220" i="12"/>
  <c r="E371" i="11"/>
  <c r="E444" i="12"/>
  <c r="E314" i="14"/>
  <c r="E846" i="16"/>
  <c r="E508" i="12"/>
  <c r="E300" i="12"/>
  <c r="E776" i="16"/>
  <c r="E524" i="16"/>
  <c r="E940" i="15"/>
  <c r="E594" i="16"/>
  <c r="E308" i="6"/>
  <c r="E188" i="12"/>
  <c r="E524" i="14"/>
  <c r="E838" i="15"/>
  <c r="E431" i="13"/>
  <c r="E770" i="15"/>
  <c r="E720" i="16"/>
  <c r="E991" i="15"/>
  <c r="E421" i="11"/>
  <c r="E380" i="12"/>
  <c r="E846" i="14"/>
  <c r="E321" i="11"/>
  <c r="E734" i="16"/>
  <c r="E787" i="15"/>
  <c r="E252" i="12"/>
  <c r="E217" i="6"/>
  <c r="E398" i="16"/>
  <c r="E549" i="15"/>
  <c r="E860" i="14"/>
  <c r="E244" i="12"/>
  <c r="E464" i="15"/>
  <c r="E1042" i="15"/>
  <c r="E706" i="14"/>
  <c r="E388" i="12"/>
  <c r="E74" i="5"/>
  <c r="E331" i="11"/>
  <c r="E907" i="13"/>
  <c r="E482" i="11"/>
  <c r="E295" i="6"/>
  <c r="E426" i="14"/>
  <c r="E890" i="13"/>
  <c r="E860" i="16"/>
  <c r="E260" i="11"/>
  <c r="E260" i="12"/>
  <c r="E447" i="15"/>
  <c r="E481" i="15"/>
  <c r="E57" i="5"/>
  <c r="E236" i="12"/>
  <c r="E622" i="14"/>
  <c r="E652" i="13"/>
  <c r="E734" i="14"/>
  <c r="E281" i="11"/>
  <c r="E572" i="11"/>
  <c r="E462" i="11"/>
  <c r="E601" i="13"/>
  <c r="E370" i="16"/>
  <c r="E460" i="12"/>
  <c r="E510" i="16"/>
  <c r="E562" i="11"/>
  <c r="E220" i="11"/>
  <c r="E512" i="11"/>
  <c r="E608" i="16"/>
  <c r="E412" i="12"/>
  <c r="E623" i="11"/>
  <c r="E204" i="12"/>
  <c r="E516" i="13"/>
  <c r="E292" i="12"/>
  <c r="E832" i="16"/>
  <c r="E941" i="13"/>
  <c r="E412" i="14"/>
  <c r="E498" i="15"/>
  <c r="J839" i="16" l="1"/>
  <c r="K835" i="16"/>
  <c r="K842" i="16"/>
  <c r="K839" i="16"/>
  <c r="P838" i="16"/>
  <c r="G839" i="16"/>
  <c r="G842" i="16"/>
  <c r="G841" i="16"/>
  <c r="N841" i="16"/>
  <c r="P842" i="16"/>
  <c r="M843" i="16"/>
  <c r="M840" i="16"/>
  <c r="P839" i="16"/>
  <c r="H840" i="16"/>
  <c r="H841" i="16"/>
  <c r="C832" i="16"/>
  <c r="C833" i="16" s="1"/>
  <c r="C834" i="16" s="1"/>
  <c r="C835" i="16" s="1"/>
  <c r="C836" i="16" s="1"/>
  <c r="C837" i="16" s="1"/>
  <c r="C838" i="16" s="1"/>
  <c r="C839" i="16" s="1"/>
  <c r="C840" i="16" s="1"/>
  <c r="C841" i="16" s="1"/>
  <c r="C842" i="16" s="1"/>
  <c r="C843" i="16" s="1"/>
  <c r="C844" i="16" s="1"/>
  <c r="O840" i="16"/>
  <c r="L838" i="16"/>
  <c r="O843" i="16"/>
  <c r="O837" i="16"/>
  <c r="M842" i="16"/>
  <c r="G837" i="16"/>
  <c r="I837" i="16"/>
  <c r="H842" i="16"/>
  <c r="M835" i="16"/>
  <c r="N843" i="16"/>
  <c r="N835" i="16"/>
  <c r="K838" i="16"/>
  <c r="P837" i="16"/>
  <c r="F841" i="16"/>
  <c r="J841" i="16"/>
  <c r="O838" i="16"/>
  <c r="L840" i="16"/>
  <c r="L837" i="16"/>
  <c r="P841" i="16"/>
  <c r="K837" i="16"/>
  <c r="J837" i="16"/>
  <c r="M841" i="16"/>
  <c r="I842" i="16"/>
  <c r="I838" i="16"/>
  <c r="N839" i="16"/>
  <c r="P840" i="16"/>
  <c r="N838" i="16"/>
  <c r="K843" i="16"/>
  <c r="N842" i="16"/>
  <c r="K841" i="16"/>
  <c r="F839" i="16"/>
  <c r="J840" i="16"/>
  <c r="L843" i="16"/>
  <c r="L841" i="16"/>
  <c r="H838" i="16"/>
  <c r="L839" i="16"/>
  <c r="M838" i="16"/>
  <c r="I841" i="16"/>
  <c r="F842" i="16"/>
  <c r="G838" i="16"/>
  <c r="P843" i="16"/>
  <c r="M837" i="16"/>
  <c r="O839" i="16"/>
  <c r="P835" i="16"/>
  <c r="F840" i="16"/>
  <c r="I840" i="16"/>
  <c r="F837" i="16"/>
  <c r="J842" i="16"/>
  <c r="G840" i="16"/>
  <c r="L835" i="16"/>
  <c r="M839" i="16"/>
  <c r="O841" i="16"/>
  <c r="K840" i="16"/>
  <c r="J838" i="16"/>
  <c r="F838" i="16"/>
  <c r="H839" i="16"/>
  <c r="O842" i="16"/>
  <c r="O835" i="16"/>
  <c r="N840" i="16"/>
  <c r="N837" i="16"/>
  <c r="H837" i="16"/>
  <c r="L842" i="16"/>
  <c r="I839" i="16"/>
  <c r="I617" i="16"/>
  <c r="M615" i="16"/>
  <c r="K613" i="16"/>
  <c r="O614" i="16"/>
  <c r="O613" i="16"/>
  <c r="L616" i="16"/>
  <c r="O617" i="16"/>
  <c r="G614" i="16"/>
  <c r="P616" i="16"/>
  <c r="N618" i="16"/>
  <c r="L613" i="16"/>
  <c r="O616" i="16"/>
  <c r="O618" i="16"/>
  <c r="C608" i="16"/>
  <c r="C609" i="16" s="1"/>
  <c r="C610" i="16" s="1"/>
  <c r="C611" i="16" s="1"/>
  <c r="C612" i="16" s="1"/>
  <c r="C613" i="16" s="1"/>
  <c r="C614" i="16" s="1"/>
  <c r="C615" i="16" s="1"/>
  <c r="C616" i="16" s="1"/>
  <c r="C617" i="16" s="1"/>
  <c r="C618" i="16" s="1"/>
  <c r="C619" i="16" s="1"/>
  <c r="C620" i="16" s="1"/>
  <c r="L611" i="16"/>
  <c r="K618" i="16"/>
  <c r="I618" i="16"/>
  <c r="L619" i="16"/>
  <c r="M618" i="16"/>
  <c r="H613" i="16"/>
  <c r="M613" i="16"/>
  <c r="J613" i="16"/>
  <c r="H615" i="16"/>
  <c r="G617" i="16"/>
  <c r="N617" i="16"/>
  <c r="H616" i="16"/>
  <c r="P615" i="16"/>
  <c r="N611" i="16"/>
  <c r="H614" i="16"/>
  <c r="N615" i="16"/>
  <c r="I613" i="16"/>
  <c r="P613" i="16"/>
  <c r="J616" i="16"/>
  <c r="F614" i="16"/>
  <c r="M617" i="16"/>
  <c r="K614" i="16"/>
  <c r="L615" i="16"/>
  <c r="F617" i="16"/>
  <c r="M619" i="16"/>
  <c r="L617" i="16"/>
  <c r="J615" i="16"/>
  <c r="M611" i="16"/>
  <c r="G618" i="16"/>
  <c r="H618" i="16"/>
  <c r="J617" i="16"/>
  <c r="N613" i="16"/>
  <c r="N619" i="16"/>
  <c r="O619" i="16"/>
  <c r="J618" i="16"/>
  <c r="F613" i="16"/>
  <c r="M616" i="16"/>
  <c r="O611" i="16"/>
  <c r="F615" i="16"/>
  <c r="P614" i="16"/>
  <c r="G613" i="16"/>
  <c r="K611" i="16"/>
  <c r="G615" i="16"/>
  <c r="P619" i="16"/>
  <c r="G616" i="16"/>
  <c r="K616" i="16"/>
  <c r="H617" i="16"/>
  <c r="M614" i="16"/>
  <c r="P617" i="16"/>
  <c r="I615" i="16"/>
  <c r="F616" i="16"/>
  <c r="O615" i="16"/>
  <c r="P611" i="16"/>
  <c r="I616" i="16"/>
  <c r="N616" i="16"/>
  <c r="P618" i="16"/>
  <c r="F618" i="16"/>
  <c r="K615" i="16"/>
  <c r="K617" i="16"/>
  <c r="N614" i="16"/>
  <c r="L614" i="16"/>
  <c r="J614" i="16"/>
  <c r="K619" i="16"/>
  <c r="L618" i="16"/>
  <c r="I614" i="16"/>
  <c r="K381" i="16"/>
  <c r="G380" i="16"/>
  <c r="G379" i="16"/>
  <c r="P375" i="16"/>
  <c r="G378" i="16"/>
  <c r="L373" i="16"/>
  <c r="O378" i="16"/>
  <c r="I378" i="16"/>
  <c r="N380" i="16"/>
  <c r="P379" i="16"/>
  <c r="I380" i="16"/>
  <c r="K375" i="16"/>
  <c r="I376" i="16"/>
  <c r="L377" i="16"/>
  <c r="K376" i="16"/>
  <c r="F376" i="16"/>
  <c r="O373" i="16"/>
  <c r="F379" i="16"/>
  <c r="O380" i="16"/>
  <c r="N377" i="16"/>
  <c r="K380" i="16"/>
  <c r="F378" i="16"/>
  <c r="P380" i="16"/>
  <c r="O377" i="16"/>
  <c r="P378" i="16"/>
  <c r="K373" i="16"/>
  <c r="O381" i="16"/>
  <c r="P373" i="16"/>
  <c r="L376" i="16"/>
  <c r="M381" i="16"/>
  <c r="M378" i="16"/>
  <c r="M376" i="16"/>
  <c r="L379" i="16"/>
  <c r="M375" i="16"/>
  <c r="J380" i="16"/>
  <c r="L375" i="16"/>
  <c r="G376" i="16"/>
  <c r="N378" i="16"/>
  <c r="P377" i="16"/>
  <c r="N373" i="16"/>
  <c r="O379" i="16"/>
  <c r="K377" i="16"/>
  <c r="M373" i="16"/>
  <c r="L381" i="16"/>
  <c r="H380" i="16"/>
  <c r="O376" i="16"/>
  <c r="N381" i="16"/>
  <c r="M379" i="16"/>
  <c r="I379" i="16"/>
  <c r="L378" i="16"/>
  <c r="C370" i="16"/>
  <c r="C371" i="16" s="1"/>
  <c r="C372" i="16" s="1"/>
  <c r="C373" i="16" s="1"/>
  <c r="C374" i="16" s="1"/>
  <c r="C375" i="16" s="1"/>
  <c r="C376" i="16" s="1"/>
  <c r="C377" i="16" s="1"/>
  <c r="C378" i="16" s="1"/>
  <c r="C379" i="16" s="1"/>
  <c r="C380" i="16" s="1"/>
  <c r="C381" i="16" s="1"/>
  <c r="C382" i="16" s="1"/>
  <c r="M377" i="16"/>
  <c r="P381" i="16"/>
  <c r="J378" i="16"/>
  <c r="H378" i="16"/>
  <c r="N376" i="16"/>
  <c r="F377" i="16"/>
  <c r="M380" i="16"/>
  <c r="J376" i="16"/>
  <c r="K379" i="16"/>
  <c r="H375" i="16"/>
  <c r="H377" i="16"/>
  <c r="J375" i="16"/>
  <c r="F375" i="16"/>
  <c r="O375" i="16"/>
  <c r="G375" i="16"/>
  <c r="P376" i="16"/>
  <c r="N375" i="16"/>
  <c r="G377" i="16"/>
  <c r="J377" i="16"/>
  <c r="L380" i="16"/>
  <c r="F380" i="16"/>
  <c r="I377" i="16"/>
  <c r="K378" i="16"/>
  <c r="N379" i="16"/>
  <c r="J379" i="16"/>
  <c r="H376" i="16"/>
  <c r="I375" i="16"/>
  <c r="H379" i="16"/>
  <c r="M663" i="13"/>
  <c r="R660" i="13"/>
  <c r="H658" i="13"/>
  <c r="F656" i="13"/>
  <c r="L663" i="13"/>
  <c r="F658" i="13"/>
  <c r="M661" i="13"/>
  <c r="N661" i="13"/>
  <c r="I661" i="13"/>
  <c r="J664" i="13"/>
  <c r="U664" i="13"/>
  <c r="G662" i="13"/>
  <c r="N655" i="13"/>
  <c r="G663" i="13"/>
  <c r="N665" i="13"/>
  <c r="L660" i="13"/>
  <c r="L664" i="13"/>
  <c r="O662" i="13"/>
  <c r="G665" i="13"/>
  <c r="N664" i="13"/>
  <c r="S660" i="13"/>
  <c r="M664" i="13"/>
  <c r="K666" i="13"/>
  <c r="P658" i="13"/>
  <c r="G660" i="13"/>
  <c r="P664" i="13"/>
  <c r="R664" i="13"/>
  <c r="H661" i="13"/>
  <c r="I664" i="13"/>
  <c r="C652" i="13"/>
  <c r="C653" i="13" s="1"/>
  <c r="C654" i="13" s="1"/>
  <c r="C655" i="13" s="1"/>
  <c r="C656" i="13" s="1"/>
  <c r="C657" i="13" s="1"/>
  <c r="C658" i="13" s="1"/>
  <c r="C659" i="13" s="1"/>
  <c r="C660" i="13" s="1"/>
  <c r="C661" i="13" s="1"/>
  <c r="C662" i="13" s="1"/>
  <c r="C663" i="13" s="1"/>
  <c r="C664" i="13" s="1"/>
  <c r="C665" i="13" s="1"/>
  <c r="C666" i="13" s="1"/>
  <c r="C667" i="13" s="1"/>
  <c r="O661" i="13"/>
  <c r="P656" i="13"/>
  <c r="I662" i="13"/>
  <c r="P665" i="13"/>
  <c r="O658" i="13"/>
  <c r="L655" i="13"/>
  <c r="T660" i="13"/>
  <c r="K661" i="13"/>
  <c r="F660" i="13"/>
  <c r="H656" i="13"/>
  <c r="J661" i="13"/>
  <c r="M665" i="13"/>
  <c r="J665" i="13"/>
  <c r="R661" i="13"/>
  <c r="K655" i="13"/>
  <c r="L656" i="13"/>
  <c r="O664" i="13"/>
  <c r="K664" i="13"/>
  <c r="O660" i="13"/>
  <c r="U665" i="13"/>
  <c r="R658" i="13"/>
  <c r="I665" i="13"/>
  <c r="R665" i="13"/>
  <c r="F661" i="13"/>
  <c r="S662" i="13"/>
  <c r="K658" i="13"/>
  <c r="O663" i="13"/>
  <c r="M660" i="13"/>
  <c r="K665" i="13"/>
  <c r="T658" i="13"/>
  <c r="M658" i="13"/>
  <c r="O657" i="13"/>
  <c r="U658" i="13"/>
  <c r="J663" i="13"/>
  <c r="S663" i="13"/>
  <c r="J656" i="13"/>
  <c r="G661" i="13"/>
  <c r="F665" i="13"/>
  <c r="O665" i="13"/>
  <c r="K660" i="13"/>
  <c r="N656" i="13"/>
  <c r="L657" i="13"/>
  <c r="S661" i="13"/>
  <c r="J658" i="13"/>
  <c r="P661" i="13"/>
  <c r="T662" i="13"/>
  <c r="U660" i="13"/>
  <c r="S664" i="13"/>
  <c r="J660" i="13"/>
  <c r="H662" i="13"/>
  <c r="J662" i="13"/>
  <c r="R662" i="13"/>
  <c r="O656" i="13"/>
  <c r="O666" i="13"/>
  <c r="N666" i="13"/>
  <c r="T665" i="13"/>
  <c r="F663" i="13"/>
  <c r="R656" i="13"/>
  <c r="F664" i="13"/>
  <c r="S665" i="13"/>
  <c r="H665" i="13"/>
  <c r="S658" i="13"/>
  <c r="I658" i="13"/>
  <c r="G658" i="13"/>
  <c r="I663" i="13"/>
  <c r="N657" i="13"/>
  <c r="O655" i="13"/>
  <c r="N663" i="13"/>
  <c r="K656" i="13"/>
  <c r="P663" i="13"/>
  <c r="S656" i="13"/>
  <c r="I656" i="13"/>
  <c r="U663" i="13"/>
  <c r="H660" i="13"/>
  <c r="I660" i="13"/>
  <c r="T656" i="13"/>
  <c r="T664" i="13"/>
  <c r="U661" i="13"/>
  <c r="L666" i="13"/>
  <c r="N658" i="13"/>
  <c r="L661" i="13"/>
  <c r="K662" i="13"/>
  <c r="U662" i="13"/>
  <c r="H664" i="13"/>
  <c r="G656" i="13"/>
  <c r="G664" i="13"/>
  <c r="T663" i="13"/>
  <c r="U656" i="13"/>
  <c r="M662" i="13"/>
  <c r="R663" i="13"/>
  <c r="L665" i="13"/>
  <c r="K663" i="13"/>
  <c r="K657" i="13"/>
  <c r="M656" i="13"/>
  <c r="P660" i="13"/>
  <c r="N662" i="13"/>
  <c r="T661" i="13"/>
  <c r="H663" i="13"/>
  <c r="P662" i="13"/>
  <c r="F662" i="13"/>
  <c r="L658" i="13"/>
  <c r="N660" i="13"/>
  <c r="L662" i="13"/>
  <c r="C260" i="12"/>
  <c r="C261" i="12" s="1"/>
  <c r="C262" i="12" s="1"/>
  <c r="C263" i="12" s="1"/>
  <c r="C264" i="12" s="1"/>
  <c r="C265" i="12" s="1"/>
  <c r="C266" i="12" s="1"/>
  <c r="K265" i="12"/>
  <c r="K266" i="12" s="1"/>
  <c r="I265" i="12"/>
  <c r="I266" i="12" s="1"/>
  <c r="J265" i="12"/>
  <c r="J266" i="12" s="1"/>
  <c r="K488" i="11"/>
  <c r="I487" i="11"/>
  <c r="H487" i="11"/>
  <c r="O489" i="11"/>
  <c r="F487" i="11"/>
  <c r="N488" i="11"/>
  <c r="G488" i="11"/>
  <c r="F489" i="11"/>
  <c r="M488" i="11"/>
  <c r="T488" i="11"/>
  <c r="S489" i="11"/>
  <c r="J488" i="11"/>
  <c r="G489" i="11"/>
  <c r="I489" i="11"/>
  <c r="C482" i="11"/>
  <c r="C483" i="11"/>
  <c r="C484" i="11" s="1"/>
  <c r="C485" i="11" s="1"/>
  <c r="C486" i="11" s="1"/>
  <c r="C487" i="11" s="1"/>
  <c r="C488" i="11" s="1"/>
  <c r="C489" i="11" s="1"/>
  <c r="C490" i="11" s="1"/>
  <c r="T489" i="11"/>
  <c r="R488" i="11"/>
  <c r="I488" i="11"/>
  <c r="H488" i="11"/>
  <c r="Q489" i="11"/>
  <c r="K487" i="11"/>
  <c r="L488" i="11"/>
  <c r="G487" i="11"/>
  <c r="T487" i="11"/>
  <c r="F488" i="11"/>
  <c r="O488" i="11"/>
  <c r="S487" i="11"/>
  <c r="J487" i="11"/>
  <c r="R487" i="11"/>
  <c r="J489" i="11"/>
  <c r="Q488" i="11"/>
  <c r="P488" i="11"/>
  <c r="Q487" i="11"/>
  <c r="R489" i="11"/>
  <c r="H489" i="11"/>
  <c r="K489" i="11"/>
  <c r="O487" i="11"/>
  <c r="P487" i="11"/>
  <c r="P489" i="11"/>
  <c r="S488" i="11"/>
  <c r="J1046" i="15"/>
  <c r="P1045" i="15"/>
  <c r="I1055" i="15"/>
  <c r="H1053" i="15"/>
  <c r="N1053" i="15"/>
  <c r="K1051" i="15"/>
  <c r="G1050" i="15"/>
  <c r="O1048" i="15"/>
  <c r="J1051" i="15"/>
  <c r="G1054" i="15"/>
  <c r="M1053" i="15"/>
  <c r="P1056" i="15"/>
  <c r="I1054" i="15"/>
  <c r="P1046" i="15"/>
  <c r="O1045" i="15"/>
  <c r="J1050" i="15"/>
  <c r="L1047" i="15"/>
  <c r="P1052" i="15"/>
  <c r="F1055" i="15"/>
  <c r="M1052" i="15"/>
  <c r="N1054" i="15"/>
  <c r="J1048" i="15"/>
  <c r="L1046" i="15"/>
  <c r="M1050" i="15"/>
  <c r="G1046" i="15"/>
  <c r="N1052" i="15"/>
  <c r="H1054" i="15"/>
  <c r="M1046" i="15"/>
  <c r="N1055" i="15"/>
  <c r="K1052" i="15"/>
  <c r="P1055" i="15"/>
  <c r="O1056" i="15"/>
  <c r="I1050" i="15"/>
  <c r="L1056" i="15"/>
  <c r="I1046" i="15"/>
  <c r="K1047" i="15"/>
  <c r="G1048" i="15"/>
  <c r="N1046" i="15"/>
  <c r="I1048" i="15"/>
  <c r="P1051" i="15"/>
  <c r="G1051" i="15"/>
  <c r="L1053" i="15"/>
  <c r="J1053" i="15"/>
  <c r="K1048" i="15"/>
  <c r="I1053" i="15"/>
  <c r="L1045" i="15"/>
  <c r="O1051" i="15"/>
  <c r="M1054" i="15"/>
  <c r="F1054" i="15"/>
  <c r="N1050" i="15"/>
  <c r="J1054" i="15"/>
  <c r="K1056" i="15"/>
  <c r="J1055" i="15"/>
  <c r="P1047" i="15"/>
  <c r="H1050" i="15"/>
  <c r="I1051" i="15"/>
  <c r="M1047" i="15"/>
  <c r="O1050" i="15"/>
  <c r="G1053" i="15"/>
  <c r="M1056" i="15"/>
  <c r="F1050" i="15"/>
  <c r="L1050" i="15"/>
  <c r="O1055" i="15"/>
  <c r="H1051" i="15"/>
  <c r="L1052" i="15"/>
  <c r="N1045" i="15"/>
  <c r="N1047" i="15"/>
  <c r="H1052" i="15"/>
  <c r="K1054" i="15"/>
  <c r="I1052" i="15"/>
  <c r="F1046" i="15"/>
  <c r="N1051" i="15"/>
  <c r="G1055" i="15"/>
  <c r="F1052" i="15"/>
  <c r="O1053" i="15"/>
  <c r="N1056" i="15"/>
  <c r="H1055" i="15"/>
  <c r="M1045" i="15"/>
  <c r="C1042" i="15"/>
  <c r="C1043" i="15" s="1"/>
  <c r="C1044" i="15" s="1"/>
  <c r="C1045" i="15" s="1"/>
  <c r="C1046" i="15" s="1"/>
  <c r="C1047" i="15" s="1"/>
  <c r="C1048" i="15" s="1"/>
  <c r="C1049" i="15" s="1"/>
  <c r="C1050" i="15" s="1"/>
  <c r="C1051" i="15" s="1"/>
  <c r="C1052" i="15" s="1"/>
  <c r="C1053" i="15" s="1"/>
  <c r="C1054" i="15" s="1"/>
  <c r="C1055" i="15" s="1"/>
  <c r="C1056" i="15" s="1"/>
  <c r="C1057" i="15" s="1"/>
  <c r="N1048" i="15"/>
  <c r="L1048" i="15"/>
  <c r="J1052" i="15"/>
  <c r="L1051" i="15"/>
  <c r="K1053" i="15"/>
  <c r="F1048" i="15"/>
  <c r="O1054" i="15"/>
  <c r="M1055" i="15"/>
  <c r="P1050" i="15"/>
  <c r="G1052" i="15"/>
  <c r="P1054" i="15"/>
  <c r="K1045" i="15"/>
  <c r="F1053" i="15"/>
  <c r="K1050" i="15"/>
  <c r="M1051" i="15"/>
  <c r="K1046" i="15"/>
  <c r="H1048" i="15"/>
  <c r="M1048" i="15"/>
  <c r="H1046" i="15"/>
  <c r="P1053" i="15"/>
  <c r="L1054" i="15"/>
  <c r="K1055" i="15"/>
  <c r="O1046" i="15"/>
  <c r="P1048" i="15"/>
  <c r="O1047" i="15"/>
  <c r="F1051" i="15"/>
  <c r="O1052" i="15"/>
  <c r="L1055" i="15"/>
  <c r="K385" i="12"/>
  <c r="K386" i="12" s="1"/>
  <c r="J385" i="12"/>
  <c r="J386" i="12" s="1"/>
  <c r="C380" i="12"/>
  <c r="C381" i="12" s="1"/>
  <c r="C382" i="12" s="1"/>
  <c r="C383" i="12" s="1"/>
  <c r="C384" i="12" s="1"/>
  <c r="C385" i="12" s="1"/>
  <c r="C386" i="12" s="1"/>
  <c r="I385" i="12"/>
  <c r="I386" i="12" s="1"/>
  <c r="L847" i="15"/>
  <c r="P849" i="15"/>
  <c r="K850" i="15"/>
  <c r="O848" i="15"/>
  <c r="K847" i="15"/>
  <c r="K849" i="15"/>
  <c r="O852" i="15"/>
  <c r="F849" i="15"/>
  <c r="G844" i="15"/>
  <c r="K848" i="15"/>
  <c r="O851" i="15"/>
  <c r="L842" i="15"/>
  <c r="J842" i="15"/>
  <c r="P848" i="15"/>
  <c r="I844" i="15"/>
  <c r="G842" i="15"/>
  <c r="G846" i="15"/>
  <c r="J848" i="15"/>
  <c r="M846" i="15"/>
  <c r="F842" i="15"/>
  <c r="J849" i="15"/>
  <c r="I850" i="15"/>
  <c r="I849" i="15"/>
  <c r="G850" i="15"/>
  <c r="I846" i="15"/>
  <c r="N850" i="15"/>
  <c r="M849" i="15"/>
  <c r="M842" i="15"/>
  <c r="F846" i="15"/>
  <c r="I851" i="15"/>
  <c r="M850" i="15"/>
  <c r="P852" i="15"/>
  <c r="L843" i="15"/>
  <c r="N849" i="15"/>
  <c r="O841" i="15"/>
  <c r="O846" i="15"/>
  <c r="N841" i="15"/>
  <c r="O843" i="15"/>
  <c r="N847" i="15"/>
  <c r="G847" i="15"/>
  <c r="H848" i="15"/>
  <c r="G851" i="15"/>
  <c r="P843" i="15"/>
  <c r="M852" i="15"/>
  <c r="N843" i="15"/>
  <c r="I847" i="15"/>
  <c r="M843" i="15"/>
  <c r="N848" i="15"/>
  <c r="F847" i="15"/>
  <c r="P850" i="15"/>
  <c r="H851" i="15"/>
  <c r="P846" i="15"/>
  <c r="G849" i="15"/>
  <c r="I842" i="15"/>
  <c r="L851" i="15"/>
  <c r="M851" i="15"/>
  <c r="L848" i="15"/>
  <c r="N852" i="15"/>
  <c r="H844" i="15"/>
  <c r="J850" i="15"/>
  <c r="F851" i="15"/>
  <c r="H842" i="15"/>
  <c r="L846" i="15"/>
  <c r="K846" i="15"/>
  <c r="K844" i="15"/>
  <c r="P847" i="15"/>
  <c r="M847" i="15"/>
  <c r="L844" i="15"/>
  <c r="M841" i="15"/>
  <c r="O850" i="15"/>
  <c r="H847" i="15"/>
  <c r="I848" i="15"/>
  <c r="H849" i="15"/>
  <c r="K842" i="15"/>
  <c r="O849" i="15"/>
  <c r="L849" i="15"/>
  <c r="O847" i="15"/>
  <c r="J844" i="15"/>
  <c r="L841" i="15"/>
  <c r="K851" i="15"/>
  <c r="F850" i="15"/>
  <c r="M848" i="15"/>
  <c r="K841" i="15"/>
  <c r="P841" i="15"/>
  <c r="L852" i="15"/>
  <c r="J847" i="15"/>
  <c r="F844" i="15"/>
  <c r="N851" i="15"/>
  <c r="C838" i="15"/>
  <c r="C839" i="15" s="1"/>
  <c r="C840" i="15" s="1"/>
  <c r="C841" i="15" s="1"/>
  <c r="C842" i="15" s="1"/>
  <c r="C843" i="15" s="1"/>
  <c r="C844" i="15" s="1"/>
  <c r="C845" i="15" s="1"/>
  <c r="C846" i="15" s="1"/>
  <c r="C847" i="15" s="1"/>
  <c r="C848" i="15" s="1"/>
  <c r="C849" i="15" s="1"/>
  <c r="C850" i="15" s="1"/>
  <c r="C851" i="15" s="1"/>
  <c r="C852" i="15" s="1"/>
  <c r="C853" i="15" s="1"/>
  <c r="M844" i="15"/>
  <c r="H850" i="15"/>
  <c r="O844" i="15"/>
  <c r="P842" i="15"/>
  <c r="G848" i="15"/>
  <c r="N842" i="15"/>
  <c r="J851" i="15"/>
  <c r="K843" i="15"/>
  <c r="P851" i="15"/>
  <c r="J846" i="15"/>
  <c r="H846" i="15"/>
  <c r="O842" i="15"/>
  <c r="P844" i="15"/>
  <c r="K852" i="15"/>
  <c r="N846" i="15"/>
  <c r="N844" i="15"/>
  <c r="F848" i="15"/>
  <c r="L850" i="15"/>
  <c r="H530" i="16"/>
  <c r="L534" i="16"/>
  <c r="K533" i="16"/>
  <c r="J531" i="16"/>
  <c r="H529" i="16"/>
  <c r="P531" i="16"/>
  <c r="K530" i="16"/>
  <c r="N529" i="16"/>
  <c r="F534" i="16"/>
  <c r="G533" i="16"/>
  <c r="M531" i="16"/>
  <c r="M529" i="16"/>
  <c r="O530" i="16"/>
  <c r="O529" i="16"/>
  <c r="M534" i="16"/>
  <c r="O533" i="16"/>
  <c r="C524" i="16"/>
  <c r="C525" i="16" s="1"/>
  <c r="C526" i="16" s="1"/>
  <c r="C527" i="16" s="1"/>
  <c r="C528" i="16" s="1"/>
  <c r="C529" i="16" s="1"/>
  <c r="C530" i="16" s="1"/>
  <c r="C531" i="16" s="1"/>
  <c r="C532" i="16" s="1"/>
  <c r="C533" i="16" s="1"/>
  <c r="C534" i="16" s="1"/>
  <c r="C535" i="16" s="1"/>
  <c r="C536" i="16" s="1"/>
  <c r="L533" i="16"/>
  <c r="K534" i="16"/>
  <c r="P534" i="16"/>
  <c r="G529" i="16"/>
  <c r="J534" i="16"/>
  <c r="O532" i="16"/>
  <c r="N527" i="16"/>
  <c r="K535" i="16"/>
  <c r="I532" i="16"/>
  <c r="L531" i="16"/>
  <c r="F529" i="16"/>
  <c r="I534" i="16"/>
  <c r="M530" i="16"/>
  <c r="L530" i="16"/>
  <c r="M527" i="16"/>
  <c r="I530" i="16"/>
  <c r="F530" i="16"/>
  <c r="M532" i="16"/>
  <c r="O535" i="16"/>
  <c r="H534" i="16"/>
  <c r="G532" i="16"/>
  <c r="H532" i="16"/>
  <c r="L535" i="16"/>
  <c r="F531" i="16"/>
  <c r="J532" i="16"/>
  <c r="N531" i="16"/>
  <c r="O527" i="16"/>
  <c r="H531" i="16"/>
  <c r="H533" i="16"/>
  <c r="L529" i="16"/>
  <c r="P527" i="16"/>
  <c r="N533" i="16"/>
  <c r="L532" i="16"/>
  <c r="K532" i="16"/>
  <c r="P533" i="16"/>
  <c r="O531" i="16"/>
  <c r="J533" i="16"/>
  <c r="P535" i="16"/>
  <c r="K531" i="16"/>
  <c r="F532" i="16"/>
  <c r="G530" i="16"/>
  <c r="K529" i="16"/>
  <c r="N530" i="16"/>
  <c r="J529" i="16"/>
  <c r="M535" i="16"/>
  <c r="P529" i="16"/>
  <c r="N534" i="16"/>
  <c r="I533" i="16"/>
  <c r="J530" i="16"/>
  <c r="N535" i="16"/>
  <c r="F533" i="16"/>
  <c r="I531" i="16"/>
  <c r="K527" i="16"/>
  <c r="N532" i="16"/>
  <c r="P530" i="16"/>
  <c r="O534" i="16"/>
  <c r="I529" i="16"/>
  <c r="G531" i="16"/>
  <c r="L527" i="16"/>
  <c r="M533" i="16"/>
  <c r="P532" i="16"/>
  <c r="G534" i="16"/>
  <c r="J449" i="12"/>
  <c r="J450" i="12" s="1"/>
  <c r="K449" i="12"/>
  <c r="K450" i="12" s="1"/>
  <c r="I449" i="12"/>
  <c r="I450" i="12" s="1"/>
  <c r="C444" i="12"/>
  <c r="C445" i="12" s="1"/>
  <c r="C446" i="12" s="1"/>
  <c r="C447" i="12" s="1"/>
  <c r="C448" i="12" s="1"/>
  <c r="C449" i="12" s="1"/>
  <c r="C450" i="12" s="1"/>
  <c r="K590" i="13"/>
  <c r="M590" i="13"/>
  <c r="U594" i="13"/>
  <c r="P588" i="13"/>
  <c r="T590" i="13"/>
  <c r="M596" i="13"/>
  <c r="O598" i="13"/>
  <c r="L594" i="13"/>
  <c r="J593" i="13"/>
  <c r="U588" i="13"/>
  <c r="I594" i="13"/>
  <c r="O597" i="13"/>
  <c r="L598" i="13"/>
  <c r="F594" i="13"/>
  <c r="T592" i="13"/>
  <c r="P590" i="13"/>
  <c r="K597" i="13"/>
  <c r="K592" i="13"/>
  <c r="C584" i="13"/>
  <c r="C585" i="13" s="1"/>
  <c r="C586" i="13" s="1"/>
  <c r="C587" i="13" s="1"/>
  <c r="C588" i="13" s="1"/>
  <c r="C589" i="13" s="1"/>
  <c r="C590" i="13" s="1"/>
  <c r="C591" i="13" s="1"/>
  <c r="C592" i="13" s="1"/>
  <c r="C593" i="13" s="1"/>
  <c r="C594" i="13" s="1"/>
  <c r="C595" i="13" s="1"/>
  <c r="C596" i="13" s="1"/>
  <c r="C597" i="13" s="1"/>
  <c r="C598" i="13" s="1"/>
  <c r="C599" i="13" s="1"/>
  <c r="I595" i="13"/>
  <c r="I590" i="13"/>
  <c r="P596" i="13"/>
  <c r="M594" i="13"/>
  <c r="L589" i="13"/>
  <c r="I596" i="13"/>
  <c r="P594" i="13"/>
  <c r="F588" i="13"/>
  <c r="K588" i="13"/>
  <c r="O588" i="13"/>
  <c r="T597" i="13"/>
  <c r="F593" i="13"/>
  <c r="S594" i="13"/>
  <c r="J592" i="13"/>
  <c r="L590" i="13"/>
  <c r="M592" i="13"/>
  <c r="F590" i="13"/>
  <c r="H588" i="13"/>
  <c r="H592" i="13"/>
  <c r="O592" i="13"/>
  <c r="N592" i="13"/>
  <c r="S595" i="13"/>
  <c r="J588" i="13"/>
  <c r="G592" i="13"/>
  <c r="R597" i="13"/>
  <c r="M588" i="13"/>
  <c r="K587" i="13"/>
  <c r="N598" i="13"/>
  <c r="F597" i="13"/>
  <c r="U592" i="13"/>
  <c r="G588" i="13"/>
  <c r="N594" i="13"/>
  <c r="O595" i="13"/>
  <c r="F595" i="13"/>
  <c r="R592" i="13"/>
  <c r="H597" i="13"/>
  <c r="G593" i="13"/>
  <c r="L596" i="13"/>
  <c r="K596" i="13"/>
  <c r="R593" i="13"/>
  <c r="N588" i="13"/>
  <c r="U595" i="13"/>
  <c r="L587" i="13"/>
  <c r="N597" i="13"/>
  <c r="J595" i="13"/>
  <c r="T594" i="13"/>
  <c r="I597" i="13"/>
  <c r="H594" i="13"/>
  <c r="K594" i="13"/>
  <c r="K595" i="13"/>
  <c r="H590" i="13"/>
  <c r="G597" i="13"/>
  <c r="F592" i="13"/>
  <c r="R594" i="13"/>
  <c r="M595" i="13"/>
  <c r="O587" i="13"/>
  <c r="P597" i="13"/>
  <c r="I588" i="13"/>
  <c r="T588" i="13"/>
  <c r="N595" i="13"/>
  <c r="O596" i="13"/>
  <c r="G596" i="13"/>
  <c r="R595" i="13"/>
  <c r="J597" i="13"/>
  <c r="S593" i="13"/>
  <c r="L597" i="13"/>
  <c r="M597" i="13"/>
  <c r="R596" i="13"/>
  <c r="H596" i="13"/>
  <c r="T596" i="13"/>
  <c r="O593" i="13"/>
  <c r="I593" i="13"/>
  <c r="O590" i="13"/>
  <c r="R588" i="13"/>
  <c r="M593" i="13"/>
  <c r="H593" i="13"/>
  <c r="N596" i="13"/>
  <c r="J596" i="13"/>
  <c r="K598" i="13"/>
  <c r="G590" i="13"/>
  <c r="L588" i="13"/>
  <c r="J594" i="13"/>
  <c r="N590" i="13"/>
  <c r="P593" i="13"/>
  <c r="L593" i="13"/>
  <c r="P595" i="13"/>
  <c r="L595" i="13"/>
  <c r="H595" i="13"/>
  <c r="N589" i="13"/>
  <c r="U596" i="13"/>
  <c r="K593" i="13"/>
  <c r="S596" i="13"/>
  <c r="J590" i="13"/>
  <c r="O589" i="13"/>
  <c r="T593" i="13"/>
  <c r="O594" i="13"/>
  <c r="S590" i="13"/>
  <c r="G595" i="13"/>
  <c r="F596" i="13"/>
  <c r="G594" i="13"/>
  <c r="S597" i="13"/>
  <c r="T595" i="13"/>
  <c r="R590" i="13"/>
  <c r="L592" i="13"/>
  <c r="I592" i="13"/>
  <c r="N593" i="13"/>
  <c r="P592" i="13"/>
  <c r="U590" i="13"/>
  <c r="U593" i="13"/>
  <c r="S592" i="13"/>
  <c r="K589" i="13"/>
  <c r="U597" i="13"/>
  <c r="N587" i="13"/>
  <c r="N599" i="13" s="1"/>
  <c r="S588" i="13"/>
  <c r="U366" i="14"/>
  <c r="F365" i="14"/>
  <c r="N362" i="14"/>
  <c r="O363" i="14"/>
  <c r="I363" i="14"/>
  <c r="U365" i="14"/>
  <c r="G361" i="14"/>
  <c r="S364" i="14"/>
  <c r="L365" i="14"/>
  <c r="T365" i="14"/>
  <c r="U363" i="14"/>
  <c r="K366" i="14"/>
  <c r="S363" i="14"/>
  <c r="T361" i="14"/>
  <c r="F364" i="14"/>
  <c r="M363" i="14"/>
  <c r="H362" i="14"/>
  <c r="L363" i="14"/>
  <c r="P364" i="14"/>
  <c r="L359" i="14"/>
  <c r="O362" i="14"/>
  <c r="K361" i="14"/>
  <c r="K362" i="14"/>
  <c r="I366" i="14"/>
  <c r="J363" i="14"/>
  <c r="M365" i="14"/>
  <c r="K365" i="14"/>
  <c r="G365" i="14"/>
  <c r="P366" i="14"/>
  <c r="I365" i="14"/>
  <c r="O365" i="14"/>
  <c r="J364" i="14"/>
  <c r="U361" i="14"/>
  <c r="F362" i="14"/>
  <c r="L366" i="14"/>
  <c r="J365" i="14"/>
  <c r="S366" i="14"/>
  <c r="M362" i="14"/>
  <c r="G363" i="14"/>
  <c r="P362" i="14"/>
  <c r="M361" i="14"/>
  <c r="P363" i="14"/>
  <c r="N364" i="14"/>
  <c r="N361" i="14"/>
  <c r="R361" i="14"/>
  <c r="G362" i="14"/>
  <c r="H366" i="14"/>
  <c r="C356" i="14"/>
  <c r="R365" i="14"/>
  <c r="T366" i="14"/>
  <c r="I364" i="14"/>
  <c r="O364" i="14"/>
  <c r="O361" i="14"/>
  <c r="M366" i="14"/>
  <c r="R362" i="14"/>
  <c r="R363" i="14"/>
  <c r="F361" i="14"/>
  <c r="R366" i="14"/>
  <c r="I362" i="14"/>
  <c r="P365" i="14"/>
  <c r="L367" i="14"/>
  <c r="U362" i="14"/>
  <c r="H364" i="14"/>
  <c r="N363" i="14"/>
  <c r="O367" i="14"/>
  <c r="N365" i="14"/>
  <c r="F366" i="14"/>
  <c r="L364" i="14"/>
  <c r="O359" i="14"/>
  <c r="K364" i="14"/>
  <c r="T364" i="14"/>
  <c r="G366" i="14"/>
  <c r="U364" i="14"/>
  <c r="L362" i="14"/>
  <c r="N366" i="14"/>
  <c r="P361" i="14"/>
  <c r="S365" i="14"/>
  <c r="L361" i="14"/>
  <c r="K363" i="14"/>
  <c r="M364" i="14"/>
  <c r="F363" i="14"/>
  <c r="S361" i="14"/>
  <c r="J366" i="14"/>
  <c r="O366" i="14"/>
  <c r="J361" i="14"/>
  <c r="T363" i="14"/>
  <c r="H361" i="14"/>
  <c r="S362" i="14"/>
  <c r="T362" i="14"/>
  <c r="I361" i="14"/>
  <c r="R364" i="14"/>
  <c r="G364" i="14"/>
  <c r="J362" i="14"/>
  <c r="H363" i="14"/>
  <c r="H365" i="14"/>
  <c r="S477" i="13"/>
  <c r="F474" i="13"/>
  <c r="G471" i="13"/>
  <c r="U475" i="13"/>
  <c r="G477" i="13"/>
  <c r="G478" i="13"/>
  <c r="I471" i="13"/>
  <c r="R475" i="13"/>
  <c r="U469" i="13"/>
  <c r="P478" i="13"/>
  <c r="J478" i="13"/>
  <c r="H475" i="13"/>
  <c r="G469" i="13"/>
  <c r="G474" i="13"/>
  <c r="J475" i="13"/>
  <c r="G473" i="13"/>
  <c r="T475" i="13"/>
  <c r="H477" i="13"/>
  <c r="F475" i="13"/>
  <c r="R474" i="13"/>
  <c r="S476" i="13"/>
  <c r="M478" i="13"/>
  <c r="F469" i="13"/>
  <c r="F473" i="13"/>
  <c r="R471" i="13"/>
  <c r="R476" i="13"/>
  <c r="P473" i="13"/>
  <c r="S471" i="13"/>
  <c r="M475" i="13"/>
  <c r="J477" i="13"/>
  <c r="S469" i="13"/>
  <c r="P477" i="13"/>
  <c r="K471" i="13"/>
  <c r="P475" i="13"/>
  <c r="J471" i="13"/>
  <c r="T476" i="13"/>
  <c r="J473" i="13"/>
  <c r="R477" i="13"/>
  <c r="S473" i="13"/>
  <c r="G476" i="13"/>
  <c r="I474" i="13"/>
  <c r="I476" i="13"/>
  <c r="K473" i="13"/>
  <c r="T471" i="13"/>
  <c r="K469" i="13"/>
  <c r="F478" i="13"/>
  <c r="M477" i="13"/>
  <c r="P469" i="13"/>
  <c r="K476" i="13"/>
  <c r="M473" i="13"/>
  <c r="P471" i="13"/>
  <c r="U474" i="13"/>
  <c r="K475" i="13"/>
  <c r="I478" i="13"/>
  <c r="U476" i="13"/>
  <c r="U471" i="13"/>
  <c r="J474" i="13"/>
  <c r="H469" i="13"/>
  <c r="H471" i="13"/>
  <c r="K477" i="13"/>
  <c r="J476" i="13"/>
  <c r="T474" i="13"/>
  <c r="T477" i="13"/>
  <c r="M471" i="13"/>
  <c r="F476" i="13"/>
  <c r="I477" i="13"/>
  <c r="P474" i="13"/>
  <c r="K478" i="13"/>
  <c r="H473" i="13"/>
  <c r="P476" i="13"/>
  <c r="R478" i="13"/>
  <c r="U473" i="13"/>
  <c r="J469" i="13"/>
  <c r="S474" i="13"/>
  <c r="M474" i="13"/>
  <c r="F471" i="13"/>
  <c r="R473" i="13"/>
  <c r="S475" i="13"/>
  <c r="K474" i="13"/>
  <c r="T478" i="13"/>
  <c r="U478" i="13"/>
  <c r="S478" i="13"/>
  <c r="U477" i="13"/>
  <c r="T473" i="13"/>
  <c r="H476" i="13"/>
  <c r="H478" i="13"/>
  <c r="I475" i="13"/>
  <c r="H474" i="13"/>
  <c r="M476" i="13"/>
  <c r="I473" i="13"/>
  <c r="I469" i="13"/>
  <c r="C465" i="13"/>
  <c r="C466" i="13" s="1"/>
  <c r="C467" i="13" s="1"/>
  <c r="C468" i="13" s="1"/>
  <c r="C469" i="13" s="1"/>
  <c r="C470" i="13" s="1"/>
  <c r="C471" i="13" s="1"/>
  <c r="C472" i="13" s="1"/>
  <c r="C473" i="13" s="1"/>
  <c r="C474" i="13" s="1"/>
  <c r="C475" i="13" s="1"/>
  <c r="C476" i="13" s="1"/>
  <c r="C477" i="13" s="1"/>
  <c r="C478" i="13" s="1"/>
  <c r="C479" i="13" s="1"/>
  <c r="C480" i="13" s="1"/>
  <c r="T469" i="13"/>
  <c r="R469" i="13"/>
  <c r="M469" i="13"/>
  <c r="F477" i="13"/>
  <c r="G475" i="13"/>
  <c r="F588" i="11"/>
  <c r="C583" i="11"/>
  <c r="C584" i="11" s="1"/>
  <c r="C585" i="11" s="1"/>
  <c r="C586" i="11" s="1"/>
  <c r="C587" i="11" s="1"/>
  <c r="C588" i="11" s="1"/>
  <c r="C589" i="11" s="1"/>
  <c r="C590" i="11" s="1"/>
  <c r="T589" i="11"/>
  <c r="J588" i="11"/>
  <c r="G587" i="11"/>
  <c r="I589" i="11"/>
  <c r="J587" i="11"/>
  <c r="R589" i="11"/>
  <c r="H587" i="11"/>
  <c r="P587" i="11"/>
  <c r="G589" i="11"/>
  <c r="T588" i="11"/>
  <c r="P588" i="11"/>
  <c r="F589" i="11"/>
  <c r="L588" i="11"/>
  <c r="C582" i="11"/>
  <c r="Q587" i="11"/>
  <c r="O587" i="11"/>
  <c r="Q589" i="11"/>
  <c r="I588" i="11"/>
  <c r="J589" i="11"/>
  <c r="K587" i="11"/>
  <c r="F587" i="11"/>
  <c r="N588" i="11"/>
  <c r="Q588" i="11"/>
  <c r="S588" i="11"/>
  <c r="I587" i="11"/>
  <c r="G588" i="11"/>
  <c r="S587" i="11"/>
  <c r="K589" i="11"/>
  <c r="H589" i="11"/>
  <c r="M588" i="11"/>
  <c r="O589" i="11"/>
  <c r="K588" i="11"/>
  <c r="O588" i="11"/>
  <c r="R587" i="11"/>
  <c r="S589" i="11"/>
  <c r="P589" i="11"/>
  <c r="T587" i="11"/>
  <c r="H588" i="11"/>
  <c r="R588" i="11"/>
  <c r="G539" i="13"/>
  <c r="T541" i="13"/>
  <c r="R544" i="13"/>
  <c r="O538" i="13"/>
  <c r="G540" i="13"/>
  <c r="N546" i="13"/>
  <c r="N542" i="13"/>
  <c r="J544" i="13"/>
  <c r="I537" i="13"/>
  <c r="H537" i="13"/>
  <c r="L541" i="13"/>
  <c r="P541" i="13"/>
  <c r="U537" i="13"/>
  <c r="N545" i="13"/>
  <c r="F539" i="13"/>
  <c r="F537" i="13"/>
  <c r="U546" i="13"/>
  <c r="L539" i="13"/>
  <c r="N540" i="13"/>
  <c r="S542" i="13"/>
  <c r="K540" i="13"/>
  <c r="I545" i="13"/>
  <c r="S540" i="13"/>
  <c r="M542" i="13"/>
  <c r="K547" i="13"/>
  <c r="K543" i="13"/>
  <c r="J545" i="13"/>
  <c r="T540" i="13"/>
  <c r="N541" i="13"/>
  <c r="K539" i="13"/>
  <c r="S541" i="13"/>
  <c r="L547" i="13"/>
  <c r="I541" i="13"/>
  <c r="S546" i="13"/>
  <c r="I539" i="13"/>
  <c r="H546" i="13"/>
  <c r="U539" i="13"/>
  <c r="F545" i="13"/>
  <c r="M545" i="13"/>
  <c r="O547" i="13"/>
  <c r="U542" i="13"/>
  <c r="O542" i="13"/>
  <c r="L542" i="13"/>
  <c r="K545" i="13"/>
  <c r="F543" i="13"/>
  <c r="U545" i="13"/>
  <c r="U541" i="13"/>
  <c r="H541" i="13"/>
  <c r="N538" i="13"/>
  <c r="R539" i="13"/>
  <c r="I544" i="13"/>
  <c r="O539" i="13"/>
  <c r="M543" i="13"/>
  <c r="M544" i="13"/>
  <c r="G543" i="13"/>
  <c r="T539" i="13"/>
  <c r="S545" i="13"/>
  <c r="O543" i="13"/>
  <c r="R537" i="13"/>
  <c r="P546" i="13"/>
  <c r="C533" i="13"/>
  <c r="C534" i="13" s="1"/>
  <c r="C535" i="13" s="1"/>
  <c r="C536" i="13" s="1"/>
  <c r="C537" i="13" s="1"/>
  <c r="C538" i="13" s="1"/>
  <c r="C539" i="13" s="1"/>
  <c r="C540" i="13" s="1"/>
  <c r="C541" i="13" s="1"/>
  <c r="C542" i="13" s="1"/>
  <c r="C543" i="13" s="1"/>
  <c r="C544" i="13" s="1"/>
  <c r="C545" i="13" s="1"/>
  <c r="C546" i="13" s="1"/>
  <c r="C547" i="13" s="1"/>
  <c r="C548" i="13" s="1"/>
  <c r="M541" i="13"/>
  <c r="J543" i="13"/>
  <c r="L545" i="13"/>
  <c r="M539" i="13"/>
  <c r="U543" i="13"/>
  <c r="G546" i="13"/>
  <c r="U544" i="13"/>
  <c r="T543" i="13"/>
  <c r="G542" i="13"/>
  <c r="O544" i="13"/>
  <c r="R546" i="13"/>
  <c r="M546" i="13"/>
  <c r="P539" i="13"/>
  <c r="M540" i="13"/>
  <c r="F541" i="13"/>
  <c r="M537" i="13"/>
  <c r="O545" i="13"/>
  <c r="R543" i="13"/>
  <c r="P537" i="13"/>
  <c r="T537" i="13"/>
  <c r="N544" i="13"/>
  <c r="U540" i="13"/>
  <c r="P543" i="13"/>
  <c r="R541" i="13"/>
  <c r="G537" i="13"/>
  <c r="O536" i="13"/>
  <c r="S539" i="13"/>
  <c r="L538" i="13"/>
  <c r="L546" i="13"/>
  <c r="K537" i="13"/>
  <c r="H540" i="13"/>
  <c r="K541" i="13"/>
  <c r="K536" i="13"/>
  <c r="J539" i="13"/>
  <c r="H539" i="13"/>
  <c r="G545" i="13"/>
  <c r="N547" i="13"/>
  <c r="P540" i="13"/>
  <c r="L537" i="13"/>
  <c r="O541" i="13"/>
  <c r="G544" i="13"/>
  <c r="O537" i="13"/>
  <c r="F542" i="13"/>
  <c r="I542" i="13"/>
  <c r="N543" i="13"/>
  <c r="J541" i="13"/>
  <c r="T544" i="13"/>
  <c r="L540" i="13"/>
  <c r="R545" i="13"/>
  <c r="J540" i="13"/>
  <c r="T546" i="13"/>
  <c r="N536" i="13"/>
  <c r="H542" i="13"/>
  <c r="H543" i="13"/>
  <c r="H545" i="13"/>
  <c r="O540" i="13"/>
  <c r="R540" i="13"/>
  <c r="T542" i="13"/>
  <c r="N539" i="13"/>
  <c r="H544" i="13"/>
  <c r="P544" i="13"/>
  <c r="S537" i="13"/>
  <c r="L536" i="13"/>
  <c r="S543" i="13"/>
  <c r="L543" i="13"/>
  <c r="P542" i="13"/>
  <c r="P545" i="13"/>
  <c r="J546" i="13"/>
  <c r="I546" i="13"/>
  <c r="K542" i="13"/>
  <c r="F540" i="13"/>
  <c r="F546" i="13"/>
  <c r="G541" i="13"/>
  <c r="N537" i="13"/>
  <c r="T545" i="13"/>
  <c r="K538" i="13"/>
  <c r="S544" i="13"/>
  <c r="K544" i="13"/>
  <c r="I543" i="13"/>
  <c r="J537" i="13"/>
  <c r="O546" i="13"/>
  <c r="K546" i="13"/>
  <c r="J542" i="13"/>
  <c r="R542" i="13"/>
  <c r="I540" i="13"/>
  <c r="F544" i="13"/>
  <c r="L544" i="13"/>
  <c r="L363" i="16"/>
  <c r="P367" i="16"/>
  <c r="H366" i="16"/>
  <c r="N366" i="16"/>
  <c r="K365" i="16"/>
  <c r="M363" i="16"/>
  <c r="L366" i="16"/>
  <c r="K361" i="16"/>
  <c r="I364" i="16"/>
  <c r="O362" i="16"/>
  <c r="M367" i="16"/>
  <c r="F365" i="16"/>
  <c r="J366" i="16"/>
  <c r="M366" i="16"/>
  <c r="H364" i="16"/>
  <c r="G361" i="16"/>
  <c r="O361" i="16"/>
  <c r="G364" i="16"/>
  <c r="P362" i="16"/>
  <c r="L359" i="16"/>
  <c r="I363" i="16"/>
  <c r="F366" i="16"/>
  <c r="N365" i="16"/>
  <c r="J362" i="16"/>
  <c r="P366" i="16"/>
  <c r="P361" i="16"/>
  <c r="F361" i="16"/>
  <c r="K362" i="16"/>
  <c r="P359" i="16"/>
  <c r="F364" i="16"/>
  <c r="N364" i="16"/>
  <c r="N363" i="16"/>
  <c r="I361" i="16"/>
  <c r="L362" i="16"/>
  <c r="H365" i="16"/>
  <c r="M359" i="16"/>
  <c r="L365" i="16"/>
  <c r="N361" i="16"/>
  <c r="N359" i="16"/>
  <c r="I362" i="16"/>
  <c r="J365" i="16"/>
  <c r="O365" i="16"/>
  <c r="G365" i="16"/>
  <c r="M361" i="16"/>
  <c r="P364" i="16"/>
  <c r="L364" i="16"/>
  <c r="K367" i="16"/>
  <c r="H362" i="16"/>
  <c r="N362" i="16"/>
  <c r="H361" i="16"/>
  <c r="L361" i="16"/>
  <c r="O367" i="16"/>
  <c r="H363" i="16"/>
  <c r="M365" i="16"/>
  <c r="G362" i="16"/>
  <c r="P363" i="16"/>
  <c r="J364" i="16"/>
  <c r="K364" i="16"/>
  <c r="F362" i="16"/>
  <c r="K363" i="16"/>
  <c r="F363" i="16"/>
  <c r="N367" i="16"/>
  <c r="I366" i="16"/>
  <c r="M364" i="16"/>
  <c r="G366" i="16"/>
  <c r="M362" i="16"/>
  <c r="C356" i="16"/>
  <c r="C357" i="16" s="1"/>
  <c r="C358" i="16" s="1"/>
  <c r="C359" i="16" s="1"/>
  <c r="C360" i="16" s="1"/>
  <c r="C361" i="16" s="1"/>
  <c r="C362" i="16" s="1"/>
  <c r="C363" i="16" s="1"/>
  <c r="C364" i="16" s="1"/>
  <c r="C365" i="16" s="1"/>
  <c r="C366" i="16" s="1"/>
  <c r="C367" i="16" s="1"/>
  <c r="C368" i="16" s="1"/>
  <c r="O359" i="16"/>
  <c r="G363" i="16"/>
  <c r="P365" i="16"/>
  <c r="J361" i="16"/>
  <c r="L367" i="16"/>
  <c r="K366" i="16"/>
  <c r="J363" i="16"/>
  <c r="K359" i="16"/>
  <c r="O366" i="16"/>
  <c r="O363" i="16"/>
  <c r="O364" i="16"/>
  <c r="I365" i="16"/>
  <c r="I321" i="12"/>
  <c r="I322" i="12" s="1"/>
  <c r="K321" i="12"/>
  <c r="K322" i="12" s="1"/>
  <c r="C316" i="12"/>
  <c r="C317" i="12" s="1"/>
  <c r="C318" i="12" s="1"/>
  <c r="C319" i="12" s="1"/>
  <c r="C320" i="12" s="1"/>
  <c r="C321" i="12" s="1"/>
  <c r="C322" i="12" s="1"/>
  <c r="J321" i="12"/>
  <c r="J322" i="12" s="1"/>
  <c r="O507" i="13"/>
  <c r="M505" i="13"/>
  <c r="F503" i="13"/>
  <c r="P511" i="13"/>
  <c r="G503" i="13"/>
  <c r="N511" i="13"/>
  <c r="N502" i="13"/>
  <c r="L511" i="13"/>
  <c r="P512" i="13"/>
  <c r="G512" i="13"/>
  <c r="S507" i="13"/>
  <c r="N503" i="13"/>
  <c r="O502" i="13"/>
  <c r="R509" i="13"/>
  <c r="C499" i="13"/>
  <c r="C500" i="13" s="1"/>
  <c r="C501" i="13" s="1"/>
  <c r="C502" i="13" s="1"/>
  <c r="C503" i="13" s="1"/>
  <c r="C504" i="13" s="1"/>
  <c r="C505" i="13" s="1"/>
  <c r="C506" i="13" s="1"/>
  <c r="C507" i="13" s="1"/>
  <c r="C508" i="13" s="1"/>
  <c r="C509" i="13" s="1"/>
  <c r="C510" i="13" s="1"/>
  <c r="C511" i="13" s="1"/>
  <c r="C512" i="13" s="1"/>
  <c r="C513" i="13" s="1"/>
  <c r="C514" i="13" s="1"/>
  <c r="J510" i="13"/>
  <c r="L507" i="13"/>
  <c r="N507" i="13"/>
  <c r="U511" i="13"/>
  <c r="S510" i="13"/>
  <c r="K510" i="13"/>
  <c r="I503" i="13"/>
  <c r="N512" i="13"/>
  <c r="L508" i="13"/>
  <c r="U512" i="13"/>
  <c r="T503" i="13"/>
  <c r="P505" i="13"/>
  <c r="K511" i="13"/>
  <c r="O509" i="13"/>
  <c r="S508" i="13"/>
  <c r="G511" i="13"/>
  <c r="H512" i="13"/>
  <c r="F512" i="13"/>
  <c r="M510" i="13"/>
  <c r="L502" i="13"/>
  <c r="H505" i="13"/>
  <c r="G508" i="13"/>
  <c r="U507" i="13"/>
  <c r="O505" i="13"/>
  <c r="M512" i="13"/>
  <c r="T507" i="13"/>
  <c r="T509" i="13"/>
  <c r="R512" i="13"/>
  <c r="S509" i="13"/>
  <c r="U510" i="13"/>
  <c r="O504" i="13"/>
  <c r="N508" i="13"/>
  <c r="K502" i="13"/>
  <c r="J509" i="13"/>
  <c r="F507" i="13"/>
  <c r="M509" i="13"/>
  <c r="L509" i="13"/>
  <c r="S511" i="13"/>
  <c r="G510" i="13"/>
  <c r="U505" i="13"/>
  <c r="I510" i="13"/>
  <c r="K509" i="13"/>
  <c r="O513" i="13"/>
  <c r="R505" i="13"/>
  <c r="S512" i="13"/>
  <c r="J512" i="13"/>
  <c r="L504" i="13"/>
  <c r="M503" i="13"/>
  <c r="I505" i="13"/>
  <c r="S503" i="13"/>
  <c r="I512" i="13"/>
  <c r="T511" i="13"/>
  <c r="M508" i="13"/>
  <c r="L512" i="13"/>
  <c r="I508" i="13"/>
  <c r="O511" i="13"/>
  <c r="H510" i="13"/>
  <c r="I509" i="13"/>
  <c r="N513" i="13"/>
  <c r="K504" i="13"/>
  <c r="F510" i="13"/>
  <c r="J508" i="13"/>
  <c r="R510" i="13"/>
  <c r="O503" i="13"/>
  <c r="K513" i="13"/>
  <c r="R507" i="13"/>
  <c r="U509" i="13"/>
  <c r="P507" i="13"/>
  <c r="H511" i="13"/>
  <c r="L505" i="13"/>
  <c r="L513" i="13"/>
  <c r="J507" i="13"/>
  <c r="G505" i="13"/>
  <c r="H503" i="13"/>
  <c r="L510" i="13"/>
  <c r="N505" i="13"/>
  <c r="H507" i="13"/>
  <c r="P508" i="13"/>
  <c r="P509" i="13"/>
  <c r="T505" i="13"/>
  <c r="K512" i="13"/>
  <c r="O512" i="13"/>
  <c r="J503" i="13"/>
  <c r="R503" i="13"/>
  <c r="T510" i="13"/>
  <c r="N510" i="13"/>
  <c r="K505" i="13"/>
  <c r="U508" i="13"/>
  <c r="T512" i="13"/>
  <c r="J511" i="13"/>
  <c r="F511" i="13"/>
  <c r="K503" i="13"/>
  <c r="N509" i="13"/>
  <c r="T508" i="13"/>
  <c r="J505" i="13"/>
  <c r="G509" i="13"/>
  <c r="N504" i="13"/>
  <c r="L503" i="13"/>
  <c r="F505" i="13"/>
  <c r="P503" i="13"/>
  <c r="R508" i="13"/>
  <c r="R511" i="13"/>
  <c r="O508" i="13"/>
  <c r="M507" i="13"/>
  <c r="I511" i="13"/>
  <c r="S505" i="13"/>
  <c r="U503" i="13"/>
  <c r="K508" i="13"/>
  <c r="O510" i="13"/>
  <c r="I507" i="13"/>
  <c r="H508" i="13"/>
  <c r="G507" i="13"/>
  <c r="F508" i="13"/>
  <c r="M511" i="13"/>
  <c r="K507" i="13"/>
  <c r="P510" i="13"/>
  <c r="H509" i="13"/>
  <c r="F509" i="13"/>
  <c r="C364" i="12"/>
  <c r="C365" i="12" s="1"/>
  <c r="C366" i="12" s="1"/>
  <c r="C367" i="12" s="1"/>
  <c r="C368" i="12" s="1"/>
  <c r="C369" i="12" s="1"/>
  <c r="C370" i="12" s="1"/>
  <c r="K369" i="12"/>
  <c r="K370" i="12" s="1"/>
  <c r="J369" i="12"/>
  <c r="J370" i="12" s="1"/>
  <c r="I369" i="12"/>
  <c r="I370" i="12" s="1"/>
  <c r="N984" i="13"/>
  <c r="H987" i="13"/>
  <c r="K980" i="13"/>
  <c r="L985" i="13"/>
  <c r="J981" i="13"/>
  <c r="H981" i="13"/>
  <c r="U979" i="13"/>
  <c r="P986" i="13"/>
  <c r="K985" i="13"/>
  <c r="H979" i="13"/>
  <c r="T983" i="13"/>
  <c r="J986" i="13"/>
  <c r="I979" i="13"/>
  <c r="O981" i="13"/>
  <c r="P981" i="13"/>
  <c r="M984" i="13"/>
  <c r="F985" i="13"/>
  <c r="J988" i="13"/>
  <c r="O980" i="13"/>
  <c r="N989" i="13"/>
  <c r="S985" i="13"/>
  <c r="U983" i="13"/>
  <c r="F987" i="13"/>
  <c r="R988" i="13"/>
  <c r="K986" i="13"/>
  <c r="G984" i="13"/>
  <c r="M987" i="13"/>
  <c r="U984" i="13"/>
  <c r="I986" i="13"/>
  <c r="J983" i="13"/>
  <c r="L988" i="13"/>
  <c r="T987" i="13"/>
  <c r="U988" i="13"/>
  <c r="K978" i="13"/>
  <c r="I987" i="13"/>
  <c r="L980" i="13"/>
  <c r="F983" i="13"/>
  <c r="N987" i="13"/>
  <c r="P983" i="13"/>
  <c r="I985" i="13"/>
  <c r="R987" i="13"/>
  <c r="S981" i="13"/>
  <c r="L984" i="13"/>
  <c r="N986" i="13"/>
  <c r="O989" i="13"/>
  <c r="N980" i="13"/>
  <c r="K979" i="13"/>
  <c r="J984" i="13"/>
  <c r="G986" i="13"/>
  <c r="S984" i="13"/>
  <c r="H986" i="13"/>
  <c r="S986" i="13"/>
  <c r="P984" i="13"/>
  <c r="O987" i="13"/>
  <c r="M985" i="13"/>
  <c r="C975" i="13"/>
  <c r="C976" i="13" s="1"/>
  <c r="C977" i="13" s="1"/>
  <c r="C978" i="13" s="1"/>
  <c r="C979" i="13" s="1"/>
  <c r="C980" i="13" s="1"/>
  <c r="C981" i="13" s="1"/>
  <c r="C982" i="13" s="1"/>
  <c r="C983" i="13" s="1"/>
  <c r="C984" i="13" s="1"/>
  <c r="C985" i="13" s="1"/>
  <c r="C986" i="13" s="1"/>
  <c r="C987" i="13" s="1"/>
  <c r="C988" i="13" s="1"/>
  <c r="C989" i="13" s="1"/>
  <c r="C990" i="13" s="1"/>
  <c r="L981" i="13"/>
  <c r="F981" i="13"/>
  <c r="F988" i="13"/>
  <c r="T988" i="13"/>
  <c r="U985" i="13"/>
  <c r="O988" i="13"/>
  <c r="T985" i="13"/>
  <c r="L983" i="13"/>
  <c r="P985" i="13"/>
  <c r="O984" i="13"/>
  <c r="I983" i="13"/>
  <c r="H984" i="13"/>
  <c r="G983" i="13"/>
  <c r="L986" i="13"/>
  <c r="R985" i="13"/>
  <c r="I988" i="13"/>
  <c r="J987" i="13"/>
  <c r="L989" i="13"/>
  <c r="J979" i="13"/>
  <c r="N979" i="13"/>
  <c r="O986" i="13"/>
  <c r="F984" i="13"/>
  <c r="N985" i="13"/>
  <c r="I984" i="13"/>
  <c r="T981" i="13"/>
  <c r="O983" i="13"/>
  <c r="N983" i="13"/>
  <c r="N988" i="13"/>
  <c r="F979" i="13"/>
  <c r="G979" i="13"/>
  <c r="R981" i="13"/>
  <c r="J985" i="13"/>
  <c r="R979" i="13"/>
  <c r="K987" i="13"/>
  <c r="M988" i="13"/>
  <c r="R986" i="13"/>
  <c r="K989" i="13"/>
  <c r="U987" i="13"/>
  <c r="R984" i="13"/>
  <c r="I981" i="13"/>
  <c r="M986" i="13"/>
  <c r="G985" i="13"/>
  <c r="H988" i="13"/>
  <c r="S983" i="13"/>
  <c r="H983" i="13"/>
  <c r="K984" i="13"/>
  <c r="L979" i="13"/>
  <c r="T979" i="13"/>
  <c r="O979" i="13"/>
  <c r="G987" i="13"/>
  <c r="N981" i="13"/>
  <c r="G988" i="13"/>
  <c r="U981" i="13"/>
  <c r="R983" i="13"/>
  <c r="P987" i="13"/>
  <c r="T984" i="13"/>
  <c r="K981" i="13"/>
  <c r="H985" i="13"/>
  <c r="M981" i="13"/>
  <c r="P988" i="13"/>
  <c r="M979" i="13"/>
  <c r="S988" i="13"/>
  <c r="U986" i="13"/>
  <c r="L978" i="13"/>
  <c r="S979" i="13"/>
  <c r="G981" i="13"/>
  <c r="K988" i="13"/>
  <c r="L987" i="13"/>
  <c r="P979" i="13"/>
  <c r="O985" i="13"/>
  <c r="K983" i="13"/>
  <c r="M983" i="13"/>
  <c r="N978" i="13"/>
  <c r="F986" i="13"/>
  <c r="O978" i="13"/>
  <c r="T986" i="13"/>
  <c r="S987" i="13"/>
  <c r="L815" i="13"/>
  <c r="K811" i="13"/>
  <c r="P816" i="13"/>
  <c r="I816" i="13"/>
  <c r="G815" i="13"/>
  <c r="F813" i="13"/>
  <c r="K809" i="13"/>
  <c r="L819" i="13"/>
  <c r="N813" i="13"/>
  <c r="K816" i="13"/>
  <c r="O816" i="13"/>
  <c r="N808" i="13"/>
  <c r="J814" i="13"/>
  <c r="H815" i="13"/>
  <c r="M814" i="13"/>
  <c r="U816" i="13"/>
  <c r="G816" i="13"/>
  <c r="O817" i="13"/>
  <c r="H809" i="13"/>
  <c r="S816" i="13"/>
  <c r="T809" i="13"/>
  <c r="M809" i="13"/>
  <c r="L810" i="13"/>
  <c r="R818" i="13"/>
  <c r="J816" i="13"/>
  <c r="F815" i="13"/>
  <c r="N817" i="13"/>
  <c r="O811" i="13"/>
  <c r="T814" i="13"/>
  <c r="J817" i="13"/>
  <c r="G817" i="13"/>
  <c r="K817" i="13"/>
  <c r="G811" i="13"/>
  <c r="S811" i="13"/>
  <c r="M818" i="13"/>
  <c r="P818" i="13"/>
  <c r="F809" i="13"/>
  <c r="L814" i="13"/>
  <c r="P813" i="13"/>
  <c r="G809" i="13"/>
  <c r="N810" i="13"/>
  <c r="P809" i="13"/>
  <c r="O814" i="13"/>
  <c r="F814" i="13"/>
  <c r="L816" i="13"/>
  <c r="U818" i="13"/>
  <c r="M816" i="13"/>
  <c r="O809" i="13"/>
  <c r="U814" i="13"/>
  <c r="N814" i="13"/>
  <c r="U817" i="13"/>
  <c r="L811" i="13"/>
  <c r="T817" i="13"/>
  <c r="L818" i="13"/>
  <c r="S813" i="13"/>
  <c r="L817" i="13"/>
  <c r="R815" i="13"/>
  <c r="K815" i="13"/>
  <c r="H816" i="13"/>
  <c r="J813" i="13"/>
  <c r="T811" i="13"/>
  <c r="L809" i="13"/>
  <c r="R811" i="13"/>
  <c r="I811" i="13"/>
  <c r="R813" i="13"/>
  <c r="H813" i="13"/>
  <c r="H811" i="13"/>
  <c r="S818" i="13"/>
  <c r="F816" i="13"/>
  <c r="I814" i="13"/>
  <c r="P811" i="13"/>
  <c r="R817" i="13"/>
  <c r="G814" i="13"/>
  <c r="F817" i="13"/>
  <c r="N815" i="13"/>
  <c r="J811" i="13"/>
  <c r="O813" i="13"/>
  <c r="R809" i="13"/>
  <c r="R814" i="13"/>
  <c r="U813" i="13"/>
  <c r="O818" i="13"/>
  <c r="C805" i="13"/>
  <c r="C806" i="13" s="1"/>
  <c r="C807" i="13" s="1"/>
  <c r="C808" i="13" s="1"/>
  <c r="C809" i="13" s="1"/>
  <c r="C810" i="13" s="1"/>
  <c r="C811" i="13" s="1"/>
  <c r="C812" i="13" s="1"/>
  <c r="C813" i="13" s="1"/>
  <c r="C814" i="13" s="1"/>
  <c r="C815" i="13" s="1"/>
  <c r="C816" i="13" s="1"/>
  <c r="C817" i="13" s="1"/>
  <c r="C818" i="13" s="1"/>
  <c r="C819" i="13" s="1"/>
  <c r="C820" i="13" s="1"/>
  <c r="N809" i="13"/>
  <c r="K813" i="13"/>
  <c r="G813" i="13"/>
  <c r="O819" i="13"/>
  <c r="H817" i="13"/>
  <c r="I809" i="13"/>
  <c r="L813" i="13"/>
  <c r="U811" i="13"/>
  <c r="I818" i="13"/>
  <c r="N818" i="13"/>
  <c r="P817" i="13"/>
  <c r="K814" i="13"/>
  <c r="F818" i="13"/>
  <c r="S815" i="13"/>
  <c r="R816" i="13"/>
  <c r="F811" i="13"/>
  <c r="U815" i="13"/>
  <c r="K808" i="13"/>
  <c r="O815" i="13"/>
  <c r="P814" i="13"/>
  <c r="I813" i="13"/>
  <c r="K819" i="13"/>
  <c r="I815" i="13"/>
  <c r="M811" i="13"/>
  <c r="I817" i="13"/>
  <c r="S809" i="13"/>
  <c r="S814" i="13"/>
  <c r="O810" i="13"/>
  <c r="K818" i="13"/>
  <c r="P815" i="13"/>
  <c r="H818" i="13"/>
  <c r="M815" i="13"/>
  <c r="J809" i="13"/>
  <c r="L808" i="13"/>
  <c r="S817" i="13"/>
  <c r="J815" i="13"/>
  <c r="T813" i="13"/>
  <c r="G818" i="13"/>
  <c r="O808" i="13"/>
  <c r="M813" i="13"/>
  <c r="K810" i="13"/>
  <c r="N811" i="13"/>
  <c r="U809" i="13"/>
  <c r="M817" i="13"/>
  <c r="T815" i="13"/>
  <c r="N819" i="13"/>
  <c r="H814" i="13"/>
  <c r="J818" i="13"/>
  <c r="T816" i="13"/>
  <c r="N816" i="13"/>
  <c r="T818" i="13"/>
  <c r="F474" i="14"/>
  <c r="N475" i="14"/>
  <c r="O475" i="14"/>
  <c r="J478" i="14"/>
  <c r="M475" i="14"/>
  <c r="F477" i="14"/>
  <c r="R476" i="14"/>
  <c r="S476" i="14"/>
  <c r="U478" i="14"/>
  <c r="M476" i="14"/>
  <c r="G477" i="14"/>
  <c r="I476" i="14"/>
  <c r="G475" i="14"/>
  <c r="L473" i="14"/>
  <c r="L474" i="14"/>
  <c r="O474" i="14"/>
  <c r="H478" i="14"/>
  <c r="J474" i="14"/>
  <c r="L476" i="14"/>
  <c r="J477" i="14"/>
  <c r="M478" i="14"/>
  <c r="O471" i="14"/>
  <c r="F476" i="14"/>
  <c r="G474" i="14"/>
  <c r="I478" i="14"/>
  <c r="R473" i="14"/>
  <c r="T478" i="14"/>
  <c r="L478" i="14"/>
  <c r="R477" i="14"/>
  <c r="H477" i="14"/>
  <c r="I473" i="14"/>
  <c r="N478" i="14"/>
  <c r="F478" i="14"/>
  <c r="L479" i="14"/>
  <c r="I475" i="14"/>
  <c r="M474" i="14"/>
  <c r="N473" i="14"/>
  <c r="N476" i="14"/>
  <c r="I477" i="14"/>
  <c r="U474" i="14"/>
  <c r="R474" i="14"/>
  <c r="S478" i="14"/>
  <c r="H476" i="14"/>
  <c r="R478" i="14"/>
  <c r="O478" i="14"/>
  <c r="K475" i="14"/>
  <c r="U476" i="14"/>
  <c r="J476" i="14"/>
  <c r="S477" i="14"/>
  <c r="K476" i="14"/>
  <c r="T474" i="14"/>
  <c r="J475" i="14"/>
  <c r="U473" i="14"/>
  <c r="J473" i="14"/>
  <c r="G478" i="14"/>
  <c r="P477" i="14"/>
  <c r="P473" i="14"/>
  <c r="O473" i="14"/>
  <c r="L477" i="14"/>
  <c r="P474" i="14"/>
  <c r="K478" i="14"/>
  <c r="O476" i="14"/>
  <c r="F475" i="14"/>
  <c r="S473" i="14"/>
  <c r="T476" i="14"/>
  <c r="T473" i="14"/>
  <c r="F473" i="14"/>
  <c r="N474" i="14"/>
  <c r="M473" i="14"/>
  <c r="I474" i="14"/>
  <c r="G473" i="14"/>
  <c r="U477" i="14"/>
  <c r="H475" i="14"/>
  <c r="H473" i="14"/>
  <c r="S475" i="14"/>
  <c r="M477" i="14"/>
  <c r="K474" i="14"/>
  <c r="H474" i="14"/>
  <c r="O479" i="14"/>
  <c r="G476" i="14"/>
  <c r="R475" i="14"/>
  <c r="C468" i="14"/>
  <c r="K473" i="14"/>
  <c r="U475" i="14"/>
  <c r="S474" i="14"/>
  <c r="L471" i="14"/>
  <c r="L475" i="14"/>
  <c r="P476" i="14"/>
  <c r="P475" i="14"/>
  <c r="T477" i="14"/>
  <c r="N477" i="14"/>
  <c r="O477" i="14"/>
  <c r="P478" i="14"/>
  <c r="T475" i="14"/>
  <c r="K477" i="14"/>
  <c r="Q396" i="11"/>
  <c r="C392" i="11"/>
  <c r="C393" i="11" s="1"/>
  <c r="C394" i="11" s="1"/>
  <c r="C395" i="11" s="1"/>
  <c r="C396" i="11" s="1"/>
  <c r="C397" i="11" s="1"/>
  <c r="C398" i="11" s="1"/>
  <c r="C399" i="11" s="1"/>
  <c r="R398" i="11"/>
  <c r="F398" i="11"/>
  <c r="H396" i="11"/>
  <c r="N397" i="11"/>
  <c r="J396" i="11"/>
  <c r="C391" i="11"/>
  <c r="I396" i="11"/>
  <c r="Q397" i="11"/>
  <c r="J397" i="11"/>
  <c r="F397" i="11"/>
  <c r="G397" i="11"/>
  <c r="K396" i="11"/>
  <c r="M397" i="11"/>
  <c r="J398" i="11"/>
  <c r="R396" i="11"/>
  <c r="T398" i="11"/>
  <c r="O397" i="11"/>
  <c r="T396" i="11"/>
  <c r="L397" i="11"/>
  <c r="I398" i="11"/>
  <c r="P397" i="11"/>
  <c r="I397" i="11"/>
  <c r="P396" i="11"/>
  <c r="S397" i="11"/>
  <c r="F396" i="11"/>
  <c r="H397" i="11"/>
  <c r="P398" i="11"/>
  <c r="K397" i="11"/>
  <c r="Q398" i="11"/>
  <c r="G398" i="11"/>
  <c r="H398" i="11"/>
  <c r="S396" i="11"/>
  <c r="R397" i="11"/>
  <c r="K398" i="11"/>
  <c r="O396" i="11"/>
  <c r="T397" i="11"/>
  <c r="O398" i="11"/>
  <c r="S398" i="11"/>
  <c r="G396" i="11"/>
  <c r="N1018" i="15"/>
  <c r="K1011" i="15"/>
  <c r="L1021" i="15"/>
  <c r="H1016" i="15"/>
  <c r="O1021" i="15"/>
  <c r="L1019" i="15"/>
  <c r="P1012" i="15"/>
  <c r="G1019" i="15"/>
  <c r="F1016" i="15"/>
  <c r="O1018" i="15"/>
  <c r="L1022" i="15"/>
  <c r="P1017" i="15"/>
  <c r="J1017" i="15"/>
  <c r="J1014" i="15"/>
  <c r="P1014" i="15"/>
  <c r="K1020" i="15"/>
  <c r="K1017" i="15"/>
  <c r="G1014" i="15"/>
  <c r="K1012" i="15"/>
  <c r="N1019" i="15"/>
  <c r="K1013" i="15"/>
  <c r="F1020" i="15"/>
  <c r="I1019" i="15"/>
  <c r="M1013" i="15"/>
  <c r="L1020" i="15"/>
  <c r="O1017" i="15"/>
  <c r="F1019" i="15"/>
  <c r="L1012" i="15"/>
  <c r="L1018" i="15"/>
  <c r="O1020" i="15"/>
  <c r="I1020" i="15"/>
  <c r="O1012" i="15"/>
  <c r="N1016" i="15"/>
  <c r="G1016" i="15"/>
  <c r="M1018" i="15"/>
  <c r="P1016" i="15"/>
  <c r="F1021" i="15"/>
  <c r="P1018" i="15"/>
  <c r="K1016" i="15"/>
  <c r="M1022" i="15"/>
  <c r="I1014" i="15"/>
  <c r="J1016" i="15"/>
  <c r="P1022" i="15"/>
  <c r="M1011" i="15"/>
  <c r="J1012" i="15"/>
  <c r="N1013" i="15"/>
  <c r="P1020" i="15"/>
  <c r="G1018" i="15"/>
  <c r="K1014" i="15"/>
  <c r="K1022" i="15"/>
  <c r="J1018" i="15"/>
  <c r="P1011" i="15"/>
  <c r="M1016" i="15"/>
  <c r="L1013" i="15"/>
  <c r="M1021" i="15"/>
  <c r="L1014" i="15"/>
  <c r="N1017" i="15"/>
  <c r="I1021" i="15"/>
  <c r="N1022" i="15"/>
  <c r="N1021" i="15"/>
  <c r="G1020" i="15"/>
  <c r="M1014" i="15"/>
  <c r="L1011" i="15"/>
  <c r="G1012" i="15"/>
  <c r="K1019" i="15"/>
  <c r="O1016" i="15"/>
  <c r="H1017" i="15"/>
  <c r="I1017" i="15"/>
  <c r="N1014" i="15"/>
  <c r="O1011" i="15"/>
  <c r="H1021" i="15"/>
  <c r="P1021" i="15"/>
  <c r="M1017" i="15"/>
  <c r="J1019" i="15"/>
  <c r="O1014" i="15"/>
  <c r="G1017" i="15"/>
  <c r="J1020" i="15"/>
  <c r="M1019" i="15"/>
  <c r="O1013" i="15"/>
  <c r="J1021" i="15"/>
  <c r="H1014" i="15"/>
  <c r="P1019" i="15"/>
  <c r="H1019" i="15"/>
  <c r="G1021" i="15"/>
  <c r="O1022" i="15"/>
  <c r="F1014" i="15"/>
  <c r="C1008" i="15"/>
  <c r="C1009" i="15" s="1"/>
  <c r="C1010" i="15" s="1"/>
  <c r="C1011" i="15" s="1"/>
  <c r="C1012" i="15" s="1"/>
  <c r="C1013" i="15" s="1"/>
  <c r="C1014" i="15" s="1"/>
  <c r="C1015" i="15" s="1"/>
  <c r="C1016" i="15" s="1"/>
  <c r="C1017" i="15" s="1"/>
  <c r="C1018" i="15" s="1"/>
  <c r="C1019" i="15" s="1"/>
  <c r="C1020" i="15" s="1"/>
  <c r="C1021" i="15" s="1"/>
  <c r="C1022" i="15" s="1"/>
  <c r="C1023" i="15" s="1"/>
  <c r="N1011" i="15"/>
  <c r="H1018" i="15"/>
  <c r="I1018" i="15"/>
  <c r="O1019" i="15"/>
  <c r="L1017" i="15"/>
  <c r="K1021" i="15"/>
  <c r="H1020" i="15"/>
  <c r="M1020" i="15"/>
  <c r="H1012" i="15"/>
  <c r="M1012" i="15"/>
  <c r="L1016" i="15"/>
  <c r="I1012" i="15"/>
  <c r="K1018" i="15"/>
  <c r="N1020" i="15"/>
  <c r="F1018" i="15"/>
  <c r="N1012" i="15"/>
  <c r="P1013" i="15"/>
  <c r="I1016" i="15"/>
  <c r="F1017" i="15"/>
  <c r="F1012" i="15"/>
  <c r="S318" i="11"/>
  <c r="S317" i="11"/>
  <c r="F316" i="11"/>
  <c r="R318" i="11"/>
  <c r="P318" i="11"/>
  <c r="G318" i="11"/>
  <c r="K318" i="11"/>
  <c r="Q316" i="11"/>
  <c r="O318" i="11"/>
  <c r="I316" i="11"/>
  <c r="N317" i="11"/>
  <c r="H317" i="11"/>
  <c r="O316" i="11"/>
  <c r="T317" i="11"/>
  <c r="G316" i="11"/>
  <c r="P316" i="11"/>
  <c r="J317" i="11"/>
  <c r="F317" i="11"/>
  <c r="P317" i="11"/>
  <c r="J318" i="11"/>
  <c r="C311" i="11"/>
  <c r="H316" i="11"/>
  <c r="O317" i="11"/>
  <c r="J316" i="11"/>
  <c r="F318" i="11"/>
  <c r="G317" i="11"/>
  <c r="T318" i="11"/>
  <c r="K316" i="11"/>
  <c r="C312" i="11"/>
  <c r="C313" i="11" s="1"/>
  <c r="C314" i="11" s="1"/>
  <c r="C315" i="11" s="1"/>
  <c r="C316" i="11" s="1"/>
  <c r="C317" i="11" s="1"/>
  <c r="C318" i="11" s="1"/>
  <c r="C319" i="11" s="1"/>
  <c r="T316" i="11"/>
  <c r="K317" i="11"/>
  <c r="S316" i="11"/>
  <c r="M317" i="11"/>
  <c r="H318" i="11"/>
  <c r="R316" i="11"/>
  <c r="I317" i="11"/>
  <c r="Q318" i="11"/>
  <c r="L317" i="11"/>
  <c r="R317" i="11"/>
  <c r="I318" i="11"/>
  <c r="Q317" i="11"/>
  <c r="T393" i="13"/>
  <c r="O392" i="13"/>
  <c r="L386" i="13"/>
  <c r="I393" i="13"/>
  <c r="N388" i="13"/>
  <c r="J391" i="13"/>
  <c r="U392" i="13"/>
  <c r="N394" i="13"/>
  <c r="R389" i="13"/>
  <c r="T391" i="13"/>
  <c r="H388" i="13"/>
  <c r="K394" i="13"/>
  <c r="T386" i="13"/>
  <c r="H392" i="13"/>
  <c r="O383" i="13"/>
  <c r="M390" i="13"/>
  <c r="M391" i="13"/>
  <c r="I384" i="13"/>
  <c r="K388" i="13"/>
  <c r="G390" i="13"/>
  <c r="H384" i="13"/>
  <c r="U384" i="13"/>
  <c r="L391" i="13"/>
  <c r="H386" i="13"/>
  <c r="J392" i="13"/>
  <c r="T390" i="13"/>
  <c r="M393" i="13"/>
  <c r="K390" i="13"/>
  <c r="K383" i="13"/>
  <c r="N392" i="13"/>
  <c r="R392" i="13"/>
  <c r="I391" i="13"/>
  <c r="G388" i="13"/>
  <c r="H389" i="13"/>
  <c r="P392" i="13"/>
  <c r="S384" i="13"/>
  <c r="K392" i="13"/>
  <c r="R393" i="13"/>
  <c r="J386" i="13"/>
  <c r="T384" i="13"/>
  <c r="M384" i="13"/>
  <c r="K386" i="13"/>
  <c r="R388" i="13"/>
  <c r="F392" i="13"/>
  <c r="L384" i="13"/>
  <c r="K391" i="13"/>
  <c r="K385" i="13"/>
  <c r="I392" i="13"/>
  <c r="F388" i="13"/>
  <c r="I388" i="13"/>
  <c r="F391" i="13"/>
  <c r="K393" i="13"/>
  <c r="P384" i="13"/>
  <c r="G393" i="13"/>
  <c r="L388" i="13"/>
  <c r="J390" i="13"/>
  <c r="F386" i="13"/>
  <c r="H391" i="13"/>
  <c r="M386" i="13"/>
  <c r="N384" i="13"/>
  <c r="O386" i="13"/>
  <c r="H393" i="13"/>
  <c r="O394" i="13"/>
  <c r="U391" i="13"/>
  <c r="P388" i="13"/>
  <c r="I389" i="13"/>
  <c r="P390" i="13"/>
  <c r="S391" i="13"/>
  <c r="U389" i="13"/>
  <c r="N385" i="13"/>
  <c r="U388" i="13"/>
  <c r="O385" i="13"/>
  <c r="P386" i="13"/>
  <c r="N389" i="13"/>
  <c r="L390" i="13"/>
  <c r="F384" i="13"/>
  <c r="O389" i="13"/>
  <c r="N386" i="13"/>
  <c r="O391" i="13"/>
  <c r="O384" i="13"/>
  <c r="I390" i="13"/>
  <c r="U393" i="13"/>
  <c r="S389" i="13"/>
  <c r="T388" i="13"/>
  <c r="M392" i="13"/>
  <c r="T392" i="13"/>
  <c r="J393" i="13"/>
  <c r="U390" i="13"/>
  <c r="F393" i="13"/>
  <c r="L383" i="13"/>
  <c r="J388" i="13"/>
  <c r="L385" i="13"/>
  <c r="G392" i="13"/>
  <c r="M388" i="13"/>
  <c r="M389" i="13"/>
  <c r="O390" i="13"/>
  <c r="F390" i="13"/>
  <c r="R390" i="13"/>
  <c r="R391" i="13"/>
  <c r="O388" i="13"/>
  <c r="N391" i="13"/>
  <c r="H390" i="13"/>
  <c r="S392" i="13"/>
  <c r="S388" i="13"/>
  <c r="R384" i="13"/>
  <c r="L392" i="13"/>
  <c r="O393" i="13"/>
  <c r="R386" i="13"/>
  <c r="S393" i="13"/>
  <c r="J384" i="13"/>
  <c r="S386" i="13"/>
  <c r="N383" i="13"/>
  <c r="P389" i="13"/>
  <c r="P393" i="13"/>
  <c r="I386" i="13"/>
  <c r="L393" i="13"/>
  <c r="L389" i="13"/>
  <c r="P391" i="13"/>
  <c r="N393" i="13"/>
  <c r="U386" i="13"/>
  <c r="N390" i="13"/>
  <c r="T389" i="13"/>
  <c r="K389" i="13"/>
  <c r="L394" i="13"/>
  <c r="K384" i="13"/>
  <c r="G391" i="13"/>
  <c r="J389" i="13"/>
  <c r="F389" i="13"/>
  <c r="G384" i="13"/>
  <c r="C380" i="13"/>
  <c r="C381" i="13" s="1"/>
  <c r="C382" i="13" s="1"/>
  <c r="C383" i="13" s="1"/>
  <c r="C384" i="13" s="1"/>
  <c r="C385" i="13" s="1"/>
  <c r="C386" i="13" s="1"/>
  <c r="C387" i="13" s="1"/>
  <c r="C388" i="13" s="1"/>
  <c r="C389" i="13" s="1"/>
  <c r="C390" i="13" s="1"/>
  <c r="C391" i="13" s="1"/>
  <c r="C392" i="13" s="1"/>
  <c r="C393" i="13" s="1"/>
  <c r="C394" i="13" s="1"/>
  <c r="C395" i="13" s="1"/>
  <c r="G386" i="13"/>
  <c r="S390" i="13"/>
  <c r="G389" i="13"/>
  <c r="L487" i="14"/>
  <c r="N488" i="14"/>
  <c r="U487" i="14"/>
  <c r="O485" i="14"/>
  <c r="J489" i="14"/>
  <c r="N491" i="14"/>
  <c r="N487" i="14"/>
  <c r="R487" i="14"/>
  <c r="H487" i="14"/>
  <c r="J490" i="14"/>
  <c r="N492" i="14"/>
  <c r="G488" i="14"/>
  <c r="G487" i="14"/>
  <c r="F488" i="14"/>
  <c r="I487" i="14"/>
  <c r="L488" i="14"/>
  <c r="F491" i="14"/>
  <c r="S491" i="14"/>
  <c r="T490" i="14"/>
  <c r="P492" i="14"/>
  <c r="R491" i="14"/>
  <c r="I488" i="14"/>
  <c r="R490" i="14"/>
  <c r="S492" i="14"/>
  <c r="K492" i="14"/>
  <c r="M491" i="14"/>
  <c r="L491" i="14"/>
  <c r="I489" i="14"/>
  <c r="R492" i="14"/>
  <c r="T491" i="14"/>
  <c r="R488" i="14"/>
  <c r="O490" i="14"/>
  <c r="M490" i="14"/>
  <c r="O492" i="14"/>
  <c r="O489" i="14"/>
  <c r="U490" i="14"/>
  <c r="N489" i="14"/>
  <c r="P487" i="14"/>
  <c r="P488" i="14"/>
  <c r="L490" i="14"/>
  <c r="T488" i="14"/>
  <c r="G489" i="14"/>
  <c r="I491" i="14"/>
  <c r="K489" i="14"/>
  <c r="M488" i="14"/>
  <c r="C482" i="14"/>
  <c r="S489" i="14"/>
  <c r="G490" i="14"/>
  <c r="F489" i="14"/>
  <c r="I490" i="14"/>
  <c r="L485" i="14"/>
  <c r="M492" i="14"/>
  <c r="K488" i="14"/>
  <c r="T487" i="14"/>
  <c r="P489" i="14"/>
  <c r="K491" i="14"/>
  <c r="H488" i="14"/>
  <c r="L489" i="14"/>
  <c r="H492" i="14"/>
  <c r="F490" i="14"/>
  <c r="U491" i="14"/>
  <c r="S488" i="14"/>
  <c r="H491" i="14"/>
  <c r="M487" i="14"/>
  <c r="H489" i="14"/>
  <c r="L492" i="14"/>
  <c r="O493" i="14"/>
  <c r="G492" i="14"/>
  <c r="M489" i="14"/>
  <c r="U492" i="14"/>
  <c r="K487" i="14"/>
  <c r="O491" i="14"/>
  <c r="R489" i="14"/>
  <c r="P490" i="14"/>
  <c r="T489" i="14"/>
  <c r="H490" i="14"/>
  <c r="O488" i="14"/>
  <c r="J491" i="14"/>
  <c r="P491" i="14"/>
  <c r="U488" i="14"/>
  <c r="K490" i="14"/>
  <c r="G491" i="14"/>
  <c r="N490" i="14"/>
  <c r="S487" i="14"/>
  <c r="L493" i="14"/>
  <c r="S490" i="14"/>
  <c r="J488" i="14"/>
  <c r="F492" i="14"/>
  <c r="J487" i="14"/>
  <c r="I492" i="14"/>
  <c r="F487" i="14"/>
  <c r="T492" i="14"/>
  <c r="U489" i="14"/>
  <c r="J492" i="14"/>
  <c r="O487" i="14"/>
  <c r="L810" i="15"/>
  <c r="L816" i="15"/>
  <c r="K817" i="15"/>
  <c r="I814" i="15"/>
  <c r="I816" i="15"/>
  <c r="I817" i="15"/>
  <c r="G814" i="15"/>
  <c r="H812" i="15"/>
  <c r="H816" i="15"/>
  <c r="M810" i="15"/>
  <c r="M816" i="15"/>
  <c r="L817" i="15"/>
  <c r="G810" i="15"/>
  <c r="F816" i="15"/>
  <c r="C804" i="15"/>
  <c r="C805" i="15" s="1"/>
  <c r="C806" i="15" s="1"/>
  <c r="C807" i="15" s="1"/>
  <c r="C808" i="15" s="1"/>
  <c r="C809" i="15" s="1"/>
  <c r="C810" i="15" s="1"/>
  <c r="C811" i="15" s="1"/>
  <c r="C812" i="15" s="1"/>
  <c r="C813" i="15" s="1"/>
  <c r="C814" i="15" s="1"/>
  <c r="C815" i="15" s="1"/>
  <c r="C816" i="15" s="1"/>
  <c r="C817" i="15" s="1"/>
  <c r="C818" i="15" s="1"/>
  <c r="C819" i="15" s="1"/>
  <c r="H810" i="15"/>
  <c r="L814" i="15"/>
  <c r="F813" i="15"/>
  <c r="N810" i="15"/>
  <c r="N816" i="15"/>
  <c r="M817" i="15"/>
  <c r="M814" i="15"/>
  <c r="F817" i="15"/>
  <c r="I808" i="15"/>
  <c r="J815" i="15"/>
  <c r="K807" i="15"/>
  <c r="H808" i="15"/>
  <c r="O808" i="15"/>
  <c r="O813" i="15"/>
  <c r="J814" i="15"/>
  <c r="M807" i="15"/>
  <c r="L807" i="15"/>
  <c r="O814" i="15"/>
  <c r="F814" i="15"/>
  <c r="P815" i="15"/>
  <c r="K812" i="15"/>
  <c r="P813" i="15"/>
  <c r="M808" i="15"/>
  <c r="I812" i="15"/>
  <c r="P809" i="15"/>
  <c r="M818" i="15"/>
  <c r="N807" i="15"/>
  <c r="O818" i="15"/>
  <c r="K815" i="15"/>
  <c r="L812" i="15"/>
  <c r="K813" i="15"/>
  <c r="L809" i="15"/>
  <c r="F812" i="15"/>
  <c r="H814" i="15"/>
  <c r="H817" i="15"/>
  <c r="N814" i="15"/>
  <c r="J812" i="15"/>
  <c r="N815" i="15"/>
  <c r="O816" i="15"/>
  <c r="N813" i="15"/>
  <c r="O817" i="15"/>
  <c r="H815" i="15"/>
  <c r="G813" i="15"/>
  <c r="G816" i="15"/>
  <c r="F808" i="15"/>
  <c r="L815" i="15"/>
  <c r="J808" i="15"/>
  <c r="H813" i="15"/>
  <c r="K818" i="15"/>
  <c r="O812" i="15"/>
  <c r="I815" i="15"/>
  <c r="N809" i="15"/>
  <c r="J813" i="15"/>
  <c r="K809" i="15"/>
  <c r="P808" i="15"/>
  <c r="P817" i="15"/>
  <c r="N808" i="15"/>
  <c r="N818" i="15"/>
  <c r="M813" i="15"/>
  <c r="I813" i="15"/>
  <c r="G812" i="15"/>
  <c r="L818" i="15"/>
  <c r="M812" i="15"/>
  <c r="G815" i="15"/>
  <c r="N817" i="15"/>
  <c r="I810" i="15"/>
  <c r="P812" i="15"/>
  <c r="O810" i="15"/>
  <c r="P810" i="15"/>
  <c r="K808" i="15"/>
  <c r="O807" i="15"/>
  <c r="K810" i="15"/>
  <c r="P814" i="15"/>
  <c r="F815" i="15"/>
  <c r="N812" i="15"/>
  <c r="O809" i="15"/>
  <c r="P818" i="15"/>
  <c r="L808" i="15"/>
  <c r="L813" i="15"/>
  <c r="G808" i="15"/>
  <c r="J816" i="15"/>
  <c r="F810" i="15"/>
  <c r="M809" i="15"/>
  <c r="J810" i="15"/>
  <c r="P816" i="15"/>
  <c r="J817" i="15"/>
  <c r="P807" i="15"/>
  <c r="K816" i="15"/>
  <c r="O815" i="15"/>
  <c r="M815" i="15"/>
  <c r="G817" i="15"/>
  <c r="K814" i="15"/>
  <c r="L708" i="13"/>
  <c r="L707" i="13"/>
  <c r="H711" i="13"/>
  <c r="P716" i="13"/>
  <c r="I712" i="13"/>
  <c r="I715" i="13"/>
  <c r="O708" i="13"/>
  <c r="N711" i="13"/>
  <c r="K714" i="13"/>
  <c r="I716" i="13"/>
  <c r="S707" i="13"/>
  <c r="L712" i="13"/>
  <c r="L716" i="13"/>
  <c r="T716" i="13"/>
  <c r="H709" i="13"/>
  <c r="F707" i="13"/>
  <c r="H716" i="13"/>
  <c r="O712" i="13"/>
  <c r="N706" i="13"/>
  <c r="J711" i="13"/>
  <c r="N708" i="13"/>
  <c r="T712" i="13"/>
  <c r="M715" i="13"/>
  <c r="O717" i="13"/>
  <c r="R712" i="13"/>
  <c r="F709" i="13"/>
  <c r="P715" i="13"/>
  <c r="M711" i="13"/>
  <c r="O716" i="13"/>
  <c r="U716" i="13"/>
  <c r="I707" i="13"/>
  <c r="G709" i="13"/>
  <c r="I713" i="13"/>
  <c r="N717" i="13"/>
  <c r="O706" i="13"/>
  <c r="H713" i="13"/>
  <c r="T713" i="13"/>
  <c r="J715" i="13"/>
  <c r="R715" i="13"/>
  <c r="K713" i="13"/>
  <c r="L717" i="13"/>
  <c r="J714" i="13"/>
  <c r="T709" i="13"/>
  <c r="J716" i="13"/>
  <c r="K707" i="13"/>
  <c r="M712" i="13"/>
  <c r="P707" i="13"/>
  <c r="H715" i="13"/>
  <c r="R714" i="13"/>
  <c r="M716" i="13"/>
  <c r="L709" i="13"/>
  <c r="I711" i="13"/>
  <c r="H712" i="13"/>
  <c r="U707" i="13"/>
  <c r="U713" i="13"/>
  <c r="K716" i="13"/>
  <c r="O714" i="13"/>
  <c r="U712" i="13"/>
  <c r="C703" i="13"/>
  <c r="C704" i="13" s="1"/>
  <c r="C705" i="13" s="1"/>
  <c r="C706" i="13" s="1"/>
  <c r="C707" i="13" s="1"/>
  <c r="C708" i="13" s="1"/>
  <c r="C709" i="13" s="1"/>
  <c r="C710" i="13" s="1"/>
  <c r="C711" i="13" s="1"/>
  <c r="C712" i="13" s="1"/>
  <c r="C713" i="13" s="1"/>
  <c r="C714" i="13" s="1"/>
  <c r="C715" i="13" s="1"/>
  <c r="C716" i="13" s="1"/>
  <c r="C717" i="13" s="1"/>
  <c r="C718" i="13" s="1"/>
  <c r="H714" i="13"/>
  <c r="N707" i="13"/>
  <c r="K717" i="13"/>
  <c r="L714" i="13"/>
  <c r="S712" i="13"/>
  <c r="T711" i="13"/>
  <c r="F711" i="13"/>
  <c r="N713" i="13"/>
  <c r="K711" i="13"/>
  <c r="G716" i="13"/>
  <c r="F715" i="13"/>
  <c r="J707" i="13"/>
  <c r="K708" i="13"/>
  <c r="L715" i="13"/>
  <c r="T707" i="13"/>
  <c r="R713" i="13"/>
  <c r="S713" i="13"/>
  <c r="U715" i="13"/>
  <c r="O711" i="13"/>
  <c r="N709" i="13"/>
  <c r="G715" i="13"/>
  <c r="R709" i="13"/>
  <c r="J712" i="13"/>
  <c r="L713" i="13"/>
  <c r="K709" i="13"/>
  <c r="F712" i="13"/>
  <c r="P711" i="13"/>
  <c r="S711" i="13"/>
  <c r="G714" i="13"/>
  <c r="N715" i="13"/>
  <c r="O709" i="13"/>
  <c r="F714" i="13"/>
  <c r="F713" i="13"/>
  <c r="R711" i="13"/>
  <c r="S714" i="13"/>
  <c r="L711" i="13"/>
  <c r="O707" i="13"/>
  <c r="T715" i="13"/>
  <c r="R707" i="13"/>
  <c r="U711" i="13"/>
  <c r="O713" i="13"/>
  <c r="K706" i="13"/>
  <c r="N716" i="13"/>
  <c r="G707" i="13"/>
  <c r="I709" i="13"/>
  <c r="G711" i="13"/>
  <c r="K712" i="13"/>
  <c r="M713" i="13"/>
  <c r="J713" i="13"/>
  <c r="S715" i="13"/>
  <c r="G713" i="13"/>
  <c r="T714" i="13"/>
  <c r="M709" i="13"/>
  <c r="M714" i="13"/>
  <c r="P712" i="13"/>
  <c r="S709" i="13"/>
  <c r="U709" i="13"/>
  <c r="P714" i="13"/>
  <c r="N714" i="13"/>
  <c r="O715" i="13"/>
  <c r="H707" i="13"/>
  <c r="J709" i="13"/>
  <c r="S716" i="13"/>
  <c r="K715" i="13"/>
  <c r="N712" i="13"/>
  <c r="I714" i="13"/>
  <c r="R716" i="13"/>
  <c r="F716" i="13"/>
  <c r="U714" i="13"/>
  <c r="M707" i="13"/>
  <c r="L706" i="13"/>
  <c r="G712" i="13"/>
  <c r="P713" i="13"/>
  <c r="P709" i="13"/>
  <c r="O833" i="13"/>
  <c r="O834" i="13"/>
  <c r="F835" i="13"/>
  <c r="S828" i="13"/>
  <c r="S826" i="13"/>
  <c r="K834" i="13"/>
  <c r="K835" i="13"/>
  <c r="G833" i="13"/>
  <c r="I835" i="13"/>
  <c r="P834" i="13"/>
  <c r="U826" i="13"/>
  <c r="M831" i="13"/>
  <c r="K827" i="13"/>
  <c r="S830" i="13"/>
  <c r="F826" i="13"/>
  <c r="I828" i="13"/>
  <c r="L833" i="13"/>
  <c r="O832" i="13"/>
  <c r="F833" i="13"/>
  <c r="S833" i="13"/>
  <c r="H835" i="13"/>
  <c r="T826" i="13"/>
  <c r="L827" i="13"/>
  <c r="L832" i="13"/>
  <c r="O830" i="13"/>
  <c r="J834" i="13"/>
  <c r="J830" i="13"/>
  <c r="N835" i="13"/>
  <c r="M835" i="13"/>
  <c r="H828" i="13"/>
  <c r="P826" i="13"/>
  <c r="G831" i="13"/>
  <c r="I832" i="13"/>
  <c r="L828" i="13"/>
  <c r="O825" i="13"/>
  <c r="R834" i="13"/>
  <c r="T833" i="13"/>
  <c r="R826" i="13"/>
  <c r="M832" i="13"/>
  <c r="N830" i="13"/>
  <c r="J826" i="13"/>
  <c r="P832" i="13"/>
  <c r="T830" i="13"/>
  <c r="I826" i="13"/>
  <c r="M830" i="13"/>
  <c r="L830" i="13"/>
  <c r="J828" i="13"/>
  <c r="P831" i="13"/>
  <c r="R828" i="13"/>
  <c r="U828" i="13"/>
  <c r="K836" i="13"/>
  <c r="O827" i="13"/>
  <c r="G830" i="13"/>
  <c r="J831" i="13"/>
  <c r="I833" i="13"/>
  <c r="S832" i="13"/>
  <c r="K832" i="13"/>
  <c r="O836" i="13"/>
  <c r="T831" i="13"/>
  <c r="C822" i="13"/>
  <c r="C823" i="13" s="1"/>
  <c r="C824" i="13" s="1"/>
  <c r="C825" i="13" s="1"/>
  <c r="C826" i="13" s="1"/>
  <c r="C827" i="13" s="1"/>
  <c r="C828" i="13" s="1"/>
  <c r="C829" i="13" s="1"/>
  <c r="C830" i="13" s="1"/>
  <c r="C831" i="13" s="1"/>
  <c r="C832" i="13" s="1"/>
  <c r="C833" i="13" s="1"/>
  <c r="C834" i="13" s="1"/>
  <c r="C835" i="13" s="1"/>
  <c r="C836" i="13" s="1"/>
  <c r="C837" i="13" s="1"/>
  <c r="H830" i="13"/>
  <c r="N825" i="13"/>
  <c r="K831" i="13"/>
  <c r="H831" i="13"/>
  <c r="U833" i="13"/>
  <c r="U830" i="13"/>
  <c r="U831" i="13"/>
  <c r="N828" i="13"/>
  <c r="M828" i="13"/>
  <c r="F828" i="13"/>
  <c r="S835" i="13"/>
  <c r="S831" i="13"/>
  <c r="P835" i="13"/>
  <c r="O831" i="13"/>
  <c r="L826" i="13"/>
  <c r="P828" i="13"/>
  <c r="J833" i="13"/>
  <c r="G828" i="13"/>
  <c r="O835" i="13"/>
  <c r="L836" i="13"/>
  <c r="N831" i="13"/>
  <c r="F830" i="13"/>
  <c r="H832" i="13"/>
  <c r="J832" i="13"/>
  <c r="N826" i="13"/>
  <c r="N836" i="13"/>
  <c r="S834" i="13"/>
  <c r="F834" i="13"/>
  <c r="R831" i="13"/>
  <c r="L825" i="13"/>
  <c r="K833" i="13"/>
  <c r="U832" i="13"/>
  <c r="H834" i="13"/>
  <c r="U835" i="13"/>
  <c r="T834" i="13"/>
  <c r="L831" i="13"/>
  <c r="L834" i="13"/>
  <c r="I834" i="13"/>
  <c r="K825" i="13"/>
  <c r="U834" i="13"/>
  <c r="N833" i="13"/>
  <c r="M833" i="13"/>
  <c r="G834" i="13"/>
  <c r="R832" i="13"/>
  <c r="R835" i="13"/>
  <c r="I830" i="13"/>
  <c r="L835" i="13"/>
  <c r="M826" i="13"/>
  <c r="I831" i="13"/>
  <c r="T828" i="13"/>
  <c r="F832" i="13"/>
  <c r="N834" i="13"/>
  <c r="O826" i="13"/>
  <c r="G832" i="13"/>
  <c r="R830" i="13"/>
  <c r="H833" i="13"/>
  <c r="O828" i="13"/>
  <c r="N827" i="13"/>
  <c r="K830" i="13"/>
  <c r="H826" i="13"/>
  <c r="P830" i="13"/>
  <c r="G835" i="13"/>
  <c r="K828" i="13"/>
  <c r="N832" i="13"/>
  <c r="R833" i="13"/>
  <c r="G826" i="13"/>
  <c r="P833" i="13"/>
  <c r="J835" i="13"/>
  <c r="K826" i="13"/>
  <c r="M834" i="13"/>
  <c r="F831" i="13"/>
  <c r="T832" i="13"/>
  <c r="T835" i="13"/>
  <c r="C276" i="12"/>
  <c r="C277" i="12" s="1"/>
  <c r="C278" i="12" s="1"/>
  <c r="C279" i="12" s="1"/>
  <c r="C280" i="12" s="1"/>
  <c r="C281" i="12" s="1"/>
  <c r="C282" i="12" s="1"/>
  <c r="J281" i="12"/>
  <c r="J282" i="12" s="1"/>
  <c r="I281" i="12"/>
  <c r="I282" i="12" s="1"/>
  <c r="K281" i="12"/>
  <c r="K282" i="12" s="1"/>
  <c r="S597" i="11"/>
  <c r="I597" i="11"/>
  <c r="F598" i="11"/>
  <c r="K599" i="11"/>
  <c r="J597" i="11"/>
  <c r="O598" i="11"/>
  <c r="T598" i="11"/>
  <c r="H597" i="11"/>
  <c r="M598" i="11"/>
  <c r="Q597" i="11"/>
  <c r="K598" i="11"/>
  <c r="I599" i="11"/>
  <c r="R599" i="11"/>
  <c r="Q598" i="11"/>
  <c r="G597" i="11"/>
  <c r="I598" i="11"/>
  <c r="G599" i="11"/>
  <c r="S598" i="11"/>
  <c r="S599" i="11"/>
  <c r="J599" i="11"/>
  <c r="R598" i="11"/>
  <c r="P599" i="11"/>
  <c r="H598" i="11"/>
  <c r="T597" i="11"/>
  <c r="Q599" i="11"/>
  <c r="J598" i="11"/>
  <c r="H599" i="11"/>
  <c r="O597" i="11"/>
  <c r="R597" i="11"/>
  <c r="P598" i="11"/>
  <c r="K597" i="11"/>
  <c r="C592" i="11"/>
  <c r="F597" i="11"/>
  <c r="F599" i="11"/>
  <c r="G598" i="11"/>
  <c r="T599" i="11"/>
  <c r="P597" i="11"/>
  <c r="N598" i="11"/>
  <c r="L598" i="11"/>
  <c r="O599" i="11"/>
  <c r="C593" i="11"/>
  <c r="C594" i="11" s="1"/>
  <c r="C595" i="11" s="1"/>
  <c r="C596" i="11" s="1"/>
  <c r="C597" i="11" s="1"/>
  <c r="C598" i="11" s="1"/>
  <c r="C599" i="11" s="1"/>
  <c r="C600" i="11" s="1"/>
  <c r="G478" i="11"/>
  <c r="C472" i="11"/>
  <c r="R478" i="11"/>
  <c r="I477" i="11"/>
  <c r="G479" i="11"/>
  <c r="J479" i="11"/>
  <c r="R479" i="11"/>
  <c r="G477" i="11"/>
  <c r="P479" i="11"/>
  <c r="L478" i="11"/>
  <c r="P477" i="11"/>
  <c r="K479" i="11"/>
  <c r="O478" i="11"/>
  <c r="H478" i="11"/>
  <c r="H479" i="11"/>
  <c r="C473" i="11"/>
  <c r="C474" i="11" s="1"/>
  <c r="C475" i="11" s="1"/>
  <c r="C476" i="11" s="1"/>
  <c r="C477" i="11" s="1"/>
  <c r="C478" i="11" s="1"/>
  <c r="C479" i="11" s="1"/>
  <c r="C480" i="11" s="1"/>
  <c r="K477" i="11"/>
  <c r="Q478" i="11"/>
  <c r="P478" i="11"/>
  <c r="S478" i="11"/>
  <c r="Q479" i="11"/>
  <c r="H477" i="11"/>
  <c r="S479" i="11"/>
  <c r="Q477" i="11"/>
  <c r="O479" i="11"/>
  <c r="S477" i="11"/>
  <c r="T479" i="11"/>
  <c r="T477" i="11"/>
  <c r="F478" i="11"/>
  <c r="M478" i="11"/>
  <c r="F479" i="11"/>
  <c r="K478" i="11"/>
  <c r="N478" i="11"/>
  <c r="I478" i="11"/>
  <c r="I479" i="11"/>
  <c r="J477" i="11"/>
  <c r="T478" i="11"/>
  <c r="O477" i="11"/>
  <c r="R477" i="11"/>
  <c r="F477" i="11"/>
  <c r="J478" i="11"/>
  <c r="P618" i="14"/>
  <c r="F615" i="14"/>
  <c r="H613" i="14"/>
  <c r="H617" i="14"/>
  <c r="N615" i="14"/>
  <c r="P615" i="14"/>
  <c r="J616" i="14"/>
  <c r="U614" i="14"/>
  <c r="J614" i="14"/>
  <c r="U618" i="14"/>
  <c r="U615" i="14"/>
  <c r="P616" i="14"/>
  <c r="I617" i="14"/>
  <c r="T616" i="14"/>
  <c r="H616" i="14"/>
  <c r="M617" i="14"/>
  <c r="O617" i="14"/>
  <c r="K616" i="14"/>
  <c r="P617" i="14"/>
  <c r="I614" i="14"/>
  <c r="O614" i="14"/>
  <c r="K618" i="14"/>
  <c r="M613" i="14"/>
  <c r="I613" i="14"/>
  <c r="L617" i="14"/>
  <c r="O615" i="14"/>
  <c r="F613" i="14"/>
  <c r="F617" i="14"/>
  <c r="S614" i="14"/>
  <c r="P613" i="14"/>
  <c r="L614" i="14"/>
  <c r="O618" i="14"/>
  <c r="M614" i="14"/>
  <c r="R615" i="14"/>
  <c r="F616" i="14"/>
  <c r="U617" i="14"/>
  <c r="L618" i="14"/>
  <c r="T613" i="14"/>
  <c r="J613" i="14"/>
  <c r="T617" i="14"/>
  <c r="I616" i="14"/>
  <c r="N618" i="14"/>
  <c r="G616" i="14"/>
  <c r="L616" i="14"/>
  <c r="T615" i="14"/>
  <c r="F614" i="14"/>
  <c r="S615" i="14"/>
  <c r="K615" i="14"/>
  <c r="L615" i="14"/>
  <c r="O619" i="14"/>
  <c r="S613" i="14"/>
  <c r="G617" i="14"/>
  <c r="I615" i="14"/>
  <c r="N616" i="14"/>
  <c r="H618" i="14"/>
  <c r="G613" i="14"/>
  <c r="H614" i="14"/>
  <c r="K617" i="14"/>
  <c r="U613" i="14"/>
  <c r="G615" i="14"/>
  <c r="J618" i="14"/>
  <c r="R613" i="14"/>
  <c r="P614" i="14"/>
  <c r="C608" i="14"/>
  <c r="R618" i="14"/>
  <c r="R614" i="14"/>
  <c r="O613" i="14"/>
  <c r="J617" i="14"/>
  <c r="L611" i="14"/>
  <c r="G614" i="14"/>
  <c r="K613" i="14"/>
  <c r="S618" i="14"/>
  <c r="H615" i="14"/>
  <c r="M615" i="14"/>
  <c r="T618" i="14"/>
  <c r="N614" i="14"/>
  <c r="M616" i="14"/>
  <c r="F618" i="14"/>
  <c r="J615" i="14"/>
  <c r="N617" i="14"/>
  <c r="T614" i="14"/>
  <c r="G618" i="14"/>
  <c r="M618" i="14"/>
  <c r="R617" i="14"/>
  <c r="U616" i="14"/>
  <c r="S617" i="14"/>
  <c r="N613" i="14"/>
  <c r="L613" i="14"/>
  <c r="O616" i="14"/>
  <c r="K614" i="14"/>
  <c r="L619" i="14"/>
  <c r="S616" i="14"/>
  <c r="O611" i="14"/>
  <c r="I618" i="14"/>
  <c r="R616" i="14"/>
  <c r="O733" i="13"/>
  <c r="L730" i="13"/>
  <c r="U729" i="13"/>
  <c r="O734" i="13"/>
  <c r="I726" i="13"/>
  <c r="K730" i="13"/>
  <c r="K734" i="13"/>
  <c r="S724" i="13"/>
  <c r="P729" i="13"/>
  <c r="T729" i="13"/>
  <c r="J726" i="13"/>
  <c r="L724" i="13"/>
  <c r="N734" i="13"/>
  <c r="R733" i="13"/>
  <c r="J724" i="13"/>
  <c r="T732" i="13"/>
  <c r="M724" i="13"/>
  <c r="N726" i="13"/>
  <c r="P724" i="13"/>
  <c r="P733" i="13"/>
  <c r="F733" i="13"/>
  <c r="P726" i="13"/>
  <c r="L734" i="13"/>
  <c r="N723" i="13"/>
  <c r="P728" i="13"/>
  <c r="J729" i="13"/>
  <c r="S730" i="13"/>
  <c r="T726" i="13"/>
  <c r="N731" i="13"/>
  <c r="O732" i="13"/>
  <c r="R731" i="13"/>
  <c r="U733" i="13"/>
  <c r="I724" i="13"/>
  <c r="G730" i="13"/>
  <c r="L733" i="13"/>
  <c r="M728" i="13"/>
  <c r="O730" i="13"/>
  <c r="H729" i="13"/>
  <c r="U728" i="13"/>
  <c r="O725" i="13"/>
  <c r="K731" i="13"/>
  <c r="R730" i="13"/>
  <c r="I729" i="13"/>
  <c r="H724" i="13"/>
  <c r="J731" i="13"/>
  <c r="M731" i="13"/>
  <c r="K725" i="13"/>
  <c r="I730" i="13"/>
  <c r="T731" i="13"/>
  <c r="I732" i="13"/>
  <c r="M729" i="13"/>
  <c r="H733" i="13"/>
  <c r="G731" i="13"/>
  <c r="K728" i="13"/>
  <c r="H730" i="13"/>
  <c r="S728" i="13"/>
  <c r="O729" i="13"/>
  <c r="N732" i="13"/>
  <c r="H731" i="13"/>
  <c r="T730" i="13"/>
  <c r="O726" i="13"/>
  <c r="H732" i="13"/>
  <c r="R732" i="13"/>
  <c r="F729" i="13"/>
  <c r="K723" i="13"/>
  <c r="U724" i="13"/>
  <c r="N730" i="13"/>
  <c r="N728" i="13"/>
  <c r="S729" i="13"/>
  <c r="R724" i="13"/>
  <c r="L732" i="13"/>
  <c r="L723" i="13"/>
  <c r="F731" i="13"/>
  <c r="F728" i="13"/>
  <c r="O723" i="13"/>
  <c r="P731" i="13"/>
  <c r="G728" i="13"/>
  <c r="S731" i="13"/>
  <c r="K729" i="13"/>
  <c r="U731" i="13"/>
  <c r="K733" i="13"/>
  <c r="L729" i="13"/>
  <c r="U730" i="13"/>
  <c r="H728" i="13"/>
  <c r="K726" i="13"/>
  <c r="G729" i="13"/>
  <c r="T733" i="13"/>
  <c r="C720" i="13"/>
  <c r="C721" i="13" s="1"/>
  <c r="C722" i="13" s="1"/>
  <c r="C723" i="13" s="1"/>
  <c r="C724" i="13" s="1"/>
  <c r="C725" i="13" s="1"/>
  <c r="C726" i="13" s="1"/>
  <c r="C727" i="13" s="1"/>
  <c r="C728" i="13" s="1"/>
  <c r="C729" i="13" s="1"/>
  <c r="C730" i="13" s="1"/>
  <c r="C731" i="13" s="1"/>
  <c r="C732" i="13" s="1"/>
  <c r="C733" i="13" s="1"/>
  <c r="C734" i="13" s="1"/>
  <c r="C735" i="13" s="1"/>
  <c r="N733" i="13"/>
  <c r="P732" i="13"/>
  <c r="J733" i="13"/>
  <c r="L728" i="13"/>
  <c r="G733" i="13"/>
  <c r="I733" i="13"/>
  <c r="N725" i="13"/>
  <c r="G726" i="13"/>
  <c r="J732" i="13"/>
  <c r="G732" i="13"/>
  <c r="L725" i="13"/>
  <c r="U732" i="13"/>
  <c r="I728" i="13"/>
  <c r="O728" i="13"/>
  <c r="O724" i="13"/>
  <c r="U726" i="13"/>
  <c r="R729" i="13"/>
  <c r="M730" i="13"/>
  <c r="R728" i="13"/>
  <c r="P730" i="13"/>
  <c r="N729" i="13"/>
  <c r="J728" i="13"/>
  <c r="K732" i="13"/>
  <c r="H726" i="13"/>
  <c r="L731" i="13"/>
  <c r="I731" i="13"/>
  <c r="T728" i="13"/>
  <c r="M732" i="13"/>
  <c r="N724" i="13"/>
  <c r="J730" i="13"/>
  <c r="F730" i="13"/>
  <c r="L726" i="13"/>
  <c r="R726" i="13"/>
  <c r="G724" i="13"/>
  <c r="O731" i="13"/>
  <c r="S732" i="13"/>
  <c r="F726" i="13"/>
  <c r="F724" i="13"/>
  <c r="M733" i="13"/>
  <c r="S726" i="13"/>
  <c r="T724" i="13"/>
  <c r="K724" i="13"/>
  <c r="M726" i="13"/>
  <c r="S733" i="13"/>
  <c r="F732" i="13"/>
  <c r="I656" i="16"/>
  <c r="O658" i="16"/>
  <c r="J660" i="16"/>
  <c r="N660" i="16"/>
  <c r="O656" i="16"/>
  <c r="P653" i="16"/>
  <c r="I655" i="16"/>
  <c r="C650" i="16"/>
  <c r="C651" i="16" s="1"/>
  <c r="C652" i="16" s="1"/>
  <c r="C653" i="16" s="1"/>
  <c r="C654" i="16" s="1"/>
  <c r="C655" i="16" s="1"/>
  <c r="C656" i="16" s="1"/>
  <c r="C657" i="16" s="1"/>
  <c r="C658" i="16" s="1"/>
  <c r="C659" i="16" s="1"/>
  <c r="C660" i="16" s="1"/>
  <c r="C661" i="16" s="1"/>
  <c r="C662" i="16" s="1"/>
  <c r="J655" i="16"/>
  <c r="L656" i="16"/>
  <c r="O660" i="16"/>
  <c r="L659" i="16"/>
  <c r="I658" i="16"/>
  <c r="J658" i="16"/>
  <c r="L661" i="16"/>
  <c r="P661" i="16"/>
  <c r="M658" i="16"/>
  <c r="P657" i="16"/>
  <c r="G658" i="16"/>
  <c r="J657" i="16"/>
  <c r="M656" i="16"/>
  <c r="K655" i="16"/>
  <c r="G655" i="16"/>
  <c r="N657" i="16"/>
  <c r="N661" i="16"/>
  <c r="O657" i="16"/>
  <c r="H655" i="16"/>
  <c r="G660" i="16"/>
  <c r="J656" i="16"/>
  <c r="P659" i="16"/>
  <c r="F658" i="16"/>
  <c r="H657" i="16"/>
  <c r="K660" i="16"/>
  <c r="I660" i="16"/>
  <c r="G659" i="16"/>
  <c r="F657" i="16"/>
  <c r="K661" i="16"/>
  <c r="O653" i="16"/>
  <c r="O655" i="16"/>
  <c r="G657" i="16"/>
  <c r="K656" i="16"/>
  <c r="N656" i="16"/>
  <c r="P658" i="16"/>
  <c r="F656" i="16"/>
  <c r="P655" i="16"/>
  <c r="M655" i="16"/>
  <c r="F655" i="16"/>
  <c r="H656" i="16"/>
  <c r="M653" i="16"/>
  <c r="L655" i="16"/>
  <c r="F660" i="16"/>
  <c r="G656" i="16"/>
  <c r="K659" i="16"/>
  <c r="K657" i="16"/>
  <c r="P656" i="16"/>
  <c r="M660" i="16"/>
  <c r="O661" i="16"/>
  <c r="M659" i="16"/>
  <c r="P660" i="16"/>
  <c r="L660" i="16"/>
  <c r="M661" i="16"/>
  <c r="L653" i="16"/>
  <c r="N655" i="16"/>
  <c r="I657" i="16"/>
  <c r="K658" i="16"/>
  <c r="M657" i="16"/>
  <c r="N659" i="16"/>
  <c r="H660" i="16"/>
  <c r="L658" i="16"/>
  <c r="K653" i="16"/>
  <c r="N653" i="16"/>
  <c r="J659" i="16"/>
  <c r="N658" i="16"/>
  <c r="O659" i="16"/>
  <c r="I659" i="16"/>
  <c r="L657" i="16"/>
  <c r="H659" i="16"/>
  <c r="F659" i="16"/>
  <c r="H658" i="16"/>
  <c r="I457" i="11"/>
  <c r="F457" i="11"/>
  <c r="C452" i="11"/>
  <c r="S459" i="11"/>
  <c r="P459" i="11"/>
  <c r="P457" i="11"/>
  <c r="P460" i="11" s="1"/>
  <c r="T457" i="11"/>
  <c r="F459" i="11"/>
  <c r="R458" i="11"/>
  <c r="G459" i="11"/>
  <c r="P458" i="11"/>
  <c r="S458" i="11"/>
  <c r="O457" i="11"/>
  <c r="T458" i="11"/>
  <c r="F458" i="11"/>
  <c r="O458" i="11"/>
  <c r="N458" i="11"/>
  <c r="R457" i="11"/>
  <c r="H458" i="11"/>
  <c r="Q459" i="11"/>
  <c r="J457" i="11"/>
  <c r="O459" i="11"/>
  <c r="Q457" i="11"/>
  <c r="T459" i="11"/>
  <c r="G458" i="11"/>
  <c r="G457" i="11"/>
  <c r="K457" i="11"/>
  <c r="S457" i="11"/>
  <c r="C453" i="11"/>
  <c r="C454" i="11" s="1"/>
  <c r="C455" i="11" s="1"/>
  <c r="C456" i="11" s="1"/>
  <c r="C457" i="11" s="1"/>
  <c r="C458" i="11" s="1"/>
  <c r="C459" i="11" s="1"/>
  <c r="C460" i="11" s="1"/>
  <c r="J459" i="11"/>
  <c r="R459" i="11"/>
  <c r="H457" i="11"/>
  <c r="K459" i="11"/>
  <c r="J458" i="11"/>
  <c r="L458" i="11"/>
  <c r="I458" i="11"/>
  <c r="M458" i="11"/>
  <c r="K458" i="11"/>
  <c r="Q458" i="11"/>
  <c r="I459" i="11"/>
  <c r="H459" i="11"/>
  <c r="K499" i="11"/>
  <c r="L498" i="11"/>
  <c r="M498" i="11"/>
  <c r="Q499" i="11"/>
  <c r="R498" i="11"/>
  <c r="Q497" i="11"/>
  <c r="J498" i="11"/>
  <c r="P497" i="11"/>
  <c r="O497" i="11"/>
  <c r="T499" i="11"/>
  <c r="T498" i="11"/>
  <c r="O499" i="11"/>
  <c r="G499" i="11"/>
  <c r="F498" i="11"/>
  <c r="K497" i="11"/>
  <c r="T497" i="11"/>
  <c r="J499" i="11"/>
  <c r="J497" i="11"/>
  <c r="P499" i="11"/>
  <c r="N498" i="11"/>
  <c r="H499" i="11"/>
  <c r="H498" i="11"/>
  <c r="S498" i="11"/>
  <c r="R497" i="11"/>
  <c r="O498" i="11"/>
  <c r="I499" i="11"/>
  <c r="F499" i="11"/>
  <c r="Q498" i="11"/>
  <c r="P498" i="11"/>
  <c r="F497" i="11"/>
  <c r="H497" i="11"/>
  <c r="G497" i="11"/>
  <c r="S499" i="11"/>
  <c r="C493" i="11"/>
  <c r="C494" i="11" s="1"/>
  <c r="C495" i="11" s="1"/>
  <c r="C496" i="11" s="1"/>
  <c r="C497" i="11" s="1"/>
  <c r="C498" i="11" s="1"/>
  <c r="C499" i="11" s="1"/>
  <c r="C500" i="11" s="1"/>
  <c r="I497" i="11"/>
  <c r="C492" i="11"/>
  <c r="I498" i="11"/>
  <c r="R499" i="11"/>
  <c r="S497" i="11"/>
  <c r="G498" i="11"/>
  <c r="K498" i="11"/>
  <c r="K424" i="15"/>
  <c r="G417" i="15"/>
  <c r="I426" i="15"/>
  <c r="N427" i="15"/>
  <c r="O426" i="15"/>
  <c r="P421" i="15"/>
  <c r="N424" i="15"/>
  <c r="I422" i="15"/>
  <c r="J417" i="15"/>
  <c r="G419" i="15"/>
  <c r="N421" i="15"/>
  <c r="L422" i="15"/>
  <c r="F419" i="15"/>
  <c r="H422" i="15"/>
  <c r="M417" i="15"/>
  <c r="H424" i="15"/>
  <c r="I425" i="15"/>
  <c r="M427" i="15"/>
  <c r="H417" i="15"/>
  <c r="J422" i="15"/>
  <c r="L421" i="15"/>
  <c r="N419" i="15"/>
  <c r="O416" i="15"/>
  <c r="H423" i="15"/>
  <c r="O421" i="15"/>
  <c r="M423" i="15"/>
  <c r="H425" i="15"/>
  <c r="G425" i="15"/>
  <c r="N416" i="15"/>
  <c r="I419" i="15"/>
  <c r="O425" i="15"/>
  <c r="O419" i="15"/>
  <c r="G423" i="15"/>
  <c r="F417" i="15"/>
  <c r="O423" i="15"/>
  <c r="C413" i="15"/>
  <c r="C414" i="15" s="1"/>
  <c r="C415" i="15" s="1"/>
  <c r="C416" i="15" s="1"/>
  <c r="C417" i="15" s="1"/>
  <c r="C418" i="15" s="1"/>
  <c r="C419" i="15" s="1"/>
  <c r="C420" i="15" s="1"/>
  <c r="C421" i="15" s="1"/>
  <c r="C422" i="15" s="1"/>
  <c r="C423" i="15" s="1"/>
  <c r="C424" i="15" s="1"/>
  <c r="C425" i="15" s="1"/>
  <c r="C426" i="15" s="1"/>
  <c r="C427" i="15" s="1"/>
  <c r="C428" i="15" s="1"/>
  <c r="N423" i="15"/>
  <c r="F425" i="15"/>
  <c r="F423" i="15"/>
  <c r="J424" i="15"/>
  <c r="M425" i="15"/>
  <c r="L418" i="15"/>
  <c r="L423" i="15"/>
  <c r="L417" i="15"/>
  <c r="P425" i="15"/>
  <c r="G422" i="15"/>
  <c r="N425" i="15"/>
  <c r="H419" i="15"/>
  <c r="K426" i="15"/>
  <c r="I417" i="15"/>
  <c r="K417" i="15"/>
  <c r="K425" i="15"/>
  <c r="K419" i="15"/>
  <c r="K423" i="15"/>
  <c r="I424" i="15"/>
  <c r="K421" i="15"/>
  <c r="N418" i="15"/>
  <c r="I423" i="15"/>
  <c r="F421" i="15"/>
  <c r="P426" i="15"/>
  <c r="M416" i="15"/>
  <c r="M418" i="15"/>
  <c r="O417" i="15"/>
  <c r="H421" i="15"/>
  <c r="O424" i="15"/>
  <c r="J426" i="15"/>
  <c r="P422" i="15"/>
  <c r="H426" i="15"/>
  <c r="L416" i="15"/>
  <c r="M422" i="15"/>
  <c r="K427" i="15"/>
  <c r="F426" i="15"/>
  <c r="K418" i="15"/>
  <c r="G426" i="15"/>
  <c r="P416" i="15"/>
  <c r="P423" i="15"/>
  <c r="O427" i="15"/>
  <c r="P418" i="15"/>
  <c r="I421" i="15"/>
  <c r="O418" i="15"/>
  <c r="M419" i="15"/>
  <c r="J423" i="15"/>
  <c r="M421" i="15"/>
  <c r="O422" i="15"/>
  <c r="J421" i="15"/>
  <c r="K416" i="15"/>
  <c r="P417" i="15"/>
  <c r="G421" i="15"/>
  <c r="L419" i="15"/>
  <c r="J425" i="15"/>
  <c r="F422" i="15"/>
  <c r="J419" i="15"/>
  <c r="N417" i="15"/>
  <c r="P419" i="15"/>
  <c r="P424" i="15"/>
  <c r="M424" i="15"/>
  <c r="N426" i="15"/>
  <c r="K422" i="15"/>
  <c r="L427" i="15"/>
  <c r="P427" i="15"/>
  <c r="F424" i="15"/>
  <c r="L426" i="15"/>
  <c r="N422" i="15"/>
  <c r="L424" i="15"/>
  <c r="M426" i="15"/>
  <c r="G424" i="15"/>
  <c r="L425" i="15"/>
  <c r="K406" i="15"/>
  <c r="J405" i="15"/>
  <c r="I408" i="15"/>
  <c r="H406" i="15"/>
  <c r="P400" i="15"/>
  <c r="J409" i="15"/>
  <c r="F407" i="15"/>
  <c r="L406" i="15"/>
  <c r="P401" i="15"/>
  <c r="L404" i="15"/>
  <c r="M406" i="15"/>
  <c r="O402" i="15"/>
  <c r="H402" i="15"/>
  <c r="J406" i="15"/>
  <c r="C396" i="15"/>
  <c r="C397" i="15" s="1"/>
  <c r="C398" i="15" s="1"/>
  <c r="C399" i="15" s="1"/>
  <c r="C400" i="15" s="1"/>
  <c r="C401" i="15" s="1"/>
  <c r="C402" i="15" s="1"/>
  <c r="C403" i="15" s="1"/>
  <c r="C404" i="15" s="1"/>
  <c r="C405" i="15" s="1"/>
  <c r="C406" i="15" s="1"/>
  <c r="C407" i="15" s="1"/>
  <c r="C408" i="15" s="1"/>
  <c r="C409" i="15" s="1"/>
  <c r="C410" i="15" s="1"/>
  <c r="C411" i="15" s="1"/>
  <c r="P408" i="15"/>
  <c r="O400" i="15"/>
  <c r="I409" i="15"/>
  <c r="H405" i="15"/>
  <c r="L410" i="15"/>
  <c r="P405" i="15"/>
  <c r="L401" i="15"/>
  <c r="P406" i="15"/>
  <c r="F408" i="15"/>
  <c r="N410" i="15"/>
  <c r="N408" i="15"/>
  <c r="N404" i="15"/>
  <c r="L405" i="15"/>
  <c r="K407" i="15"/>
  <c r="G407" i="15"/>
  <c r="N400" i="15"/>
  <c r="I405" i="15"/>
  <c r="M404" i="15"/>
  <c r="O407" i="15"/>
  <c r="I404" i="15"/>
  <c r="O409" i="15"/>
  <c r="L400" i="15"/>
  <c r="P410" i="15"/>
  <c r="P407" i="15"/>
  <c r="G402" i="15"/>
  <c r="J400" i="15"/>
  <c r="K400" i="15"/>
  <c r="H400" i="15"/>
  <c r="K409" i="15"/>
  <c r="J407" i="15"/>
  <c r="K402" i="15"/>
  <c r="O404" i="15"/>
  <c r="H404" i="15"/>
  <c r="P409" i="15"/>
  <c r="M402" i="15"/>
  <c r="N399" i="15"/>
  <c r="K410" i="15"/>
  <c r="G409" i="15"/>
  <c r="M407" i="15"/>
  <c r="G404" i="15"/>
  <c r="I407" i="15"/>
  <c r="O399" i="15"/>
  <c r="H408" i="15"/>
  <c r="F409" i="15"/>
  <c r="I402" i="15"/>
  <c r="J402" i="15"/>
  <c r="G406" i="15"/>
  <c r="O410" i="15"/>
  <c r="L399" i="15"/>
  <c r="O405" i="15"/>
  <c r="K408" i="15"/>
  <c r="G408" i="15"/>
  <c r="M409" i="15"/>
  <c r="G400" i="15"/>
  <c r="N406" i="15"/>
  <c r="K405" i="15"/>
  <c r="H407" i="15"/>
  <c r="H409" i="15"/>
  <c r="O406" i="15"/>
  <c r="L402" i="15"/>
  <c r="P404" i="15"/>
  <c r="P399" i="15"/>
  <c r="K404" i="15"/>
  <c r="F406" i="15"/>
  <c r="M399" i="15"/>
  <c r="M401" i="15"/>
  <c r="L409" i="15"/>
  <c r="P402" i="15"/>
  <c r="O408" i="15"/>
  <c r="M405" i="15"/>
  <c r="N405" i="15"/>
  <c r="M400" i="15"/>
  <c r="N407" i="15"/>
  <c r="L407" i="15"/>
  <c r="F405" i="15"/>
  <c r="N409" i="15"/>
  <c r="J404" i="15"/>
  <c r="L408" i="15"/>
  <c r="N402" i="15"/>
  <c r="G405" i="15"/>
  <c r="K399" i="15"/>
  <c r="I406" i="15"/>
  <c r="I400" i="15"/>
  <c r="K401" i="15"/>
  <c r="N401" i="15"/>
  <c r="M408" i="15"/>
  <c r="F400" i="15"/>
  <c r="F402" i="15"/>
  <c r="F404" i="15"/>
  <c r="M410" i="15"/>
  <c r="O401" i="15"/>
  <c r="J408" i="15"/>
  <c r="S368" i="11"/>
  <c r="P366" i="11"/>
  <c r="O368" i="11"/>
  <c r="K367" i="11"/>
  <c r="H367" i="11"/>
  <c r="T368" i="11"/>
  <c r="S367" i="11"/>
  <c r="T367" i="11"/>
  <c r="Q367" i="11"/>
  <c r="P368" i="11"/>
  <c r="M367" i="11"/>
  <c r="J367" i="11"/>
  <c r="F367" i="11"/>
  <c r="R367" i="11"/>
  <c r="C362" i="11"/>
  <c r="C363" i="11" s="1"/>
  <c r="C364" i="11" s="1"/>
  <c r="C365" i="11" s="1"/>
  <c r="C366" i="11" s="1"/>
  <c r="C367" i="11" s="1"/>
  <c r="C368" i="11" s="1"/>
  <c r="C369" i="11" s="1"/>
  <c r="C361" i="11"/>
  <c r="S366" i="11"/>
  <c r="G368" i="11"/>
  <c r="H368" i="11"/>
  <c r="O367" i="11"/>
  <c r="T366" i="11"/>
  <c r="G367" i="11"/>
  <c r="I368" i="11"/>
  <c r="F368" i="11"/>
  <c r="K366" i="11"/>
  <c r="R368" i="11"/>
  <c r="F366" i="11"/>
  <c r="J368" i="11"/>
  <c r="J366" i="11"/>
  <c r="R366" i="11"/>
  <c r="Q368" i="11"/>
  <c r="K368" i="11"/>
  <c r="G366" i="11"/>
  <c r="I367" i="11"/>
  <c r="N367" i="11"/>
  <c r="O366" i="11"/>
  <c r="P367" i="11"/>
  <c r="L367" i="11"/>
  <c r="Q366" i="11"/>
  <c r="H366" i="11"/>
  <c r="I366" i="11"/>
  <c r="M630" i="13"/>
  <c r="K623" i="13"/>
  <c r="N629" i="13"/>
  <c r="G629" i="13"/>
  <c r="O629" i="13"/>
  <c r="H628" i="13"/>
  <c r="O623" i="13"/>
  <c r="O627" i="13"/>
  <c r="R626" i="13"/>
  <c r="I624" i="13"/>
  <c r="I622" i="13"/>
  <c r="J622" i="13"/>
  <c r="M626" i="13"/>
  <c r="C618" i="13"/>
  <c r="C619" i="13" s="1"/>
  <c r="C620" i="13" s="1"/>
  <c r="C621" i="13" s="1"/>
  <c r="C622" i="13" s="1"/>
  <c r="C623" i="13" s="1"/>
  <c r="C624" i="13" s="1"/>
  <c r="C625" i="13" s="1"/>
  <c r="C626" i="13" s="1"/>
  <c r="C627" i="13" s="1"/>
  <c r="C628" i="13" s="1"/>
  <c r="C629" i="13" s="1"/>
  <c r="C630" i="13" s="1"/>
  <c r="C631" i="13" s="1"/>
  <c r="C632" i="13" s="1"/>
  <c r="C633" i="13" s="1"/>
  <c r="T626" i="13"/>
  <c r="H631" i="13"/>
  <c r="J626" i="13"/>
  <c r="M624" i="13"/>
  <c r="N627" i="13"/>
  <c r="T624" i="13"/>
  <c r="H622" i="13"/>
  <c r="G627" i="13"/>
  <c r="H626" i="13"/>
  <c r="O630" i="13"/>
  <c r="K630" i="13"/>
  <c r="K626" i="13"/>
  <c r="F626" i="13"/>
  <c r="R627" i="13"/>
  <c r="F630" i="13"/>
  <c r="L627" i="13"/>
  <c r="M628" i="13"/>
  <c r="T622" i="13"/>
  <c r="R629" i="13"/>
  <c r="I631" i="13"/>
  <c r="N631" i="13"/>
  <c r="O626" i="13"/>
  <c r="P629" i="13"/>
  <c r="G631" i="13"/>
  <c r="G630" i="13"/>
  <c r="U628" i="13"/>
  <c r="K632" i="13"/>
  <c r="P627" i="13"/>
  <c r="J628" i="13"/>
  <c r="F627" i="13"/>
  <c r="S629" i="13"/>
  <c r="M631" i="13"/>
  <c r="L629" i="13"/>
  <c r="F628" i="13"/>
  <c r="F622" i="13"/>
  <c r="J627" i="13"/>
  <c r="H624" i="13"/>
  <c r="P631" i="13"/>
  <c r="L632" i="13"/>
  <c r="S627" i="13"/>
  <c r="G626" i="13"/>
  <c r="S631" i="13"/>
  <c r="N630" i="13"/>
  <c r="O632" i="13"/>
  <c r="K622" i="13"/>
  <c r="U629" i="13"/>
  <c r="R624" i="13"/>
  <c r="T630" i="13"/>
  <c r="O631" i="13"/>
  <c r="N623" i="13"/>
  <c r="I630" i="13"/>
  <c r="J629" i="13"/>
  <c r="S630" i="13"/>
  <c r="P624" i="13"/>
  <c r="L621" i="13"/>
  <c r="G622" i="13"/>
  <c r="I627" i="13"/>
  <c r="G624" i="13"/>
  <c r="N622" i="13"/>
  <c r="O621" i="13"/>
  <c r="L623" i="13"/>
  <c r="U624" i="13"/>
  <c r="S626" i="13"/>
  <c r="H627" i="13"/>
  <c r="K621" i="13"/>
  <c r="L630" i="13"/>
  <c r="I629" i="13"/>
  <c r="H630" i="13"/>
  <c r="T629" i="13"/>
  <c r="M622" i="13"/>
  <c r="L626" i="13"/>
  <c r="P628" i="13"/>
  <c r="U631" i="13"/>
  <c r="N632" i="13"/>
  <c r="U630" i="13"/>
  <c r="P626" i="13"/>
  <c r="U627" i="13"/>
  <c r="L624" i="13"/>
  <c r="H629" i="13"/>
  <c r="L628" i="13"/>
  <c r="I628" i="13"/>
  <c r="K629" i="13"/>
  <c r="F631" i="13"/>
  <c r="N626" i="13"/>
  <c r="G628" i="13"/>
  <c r="M627" i="13"/>
  <c r="S622" i="13"/>
  <c r="K631" i="13"/>
  <c r="S624" i="13"/>
  <c r="K628" i="13"/>
  <c r="R628" i="13"/>
  <c r="L631" i="13"/>
  <c r="J631" i="13"/>
  <c r="K624" i="13"/>
  <c r="T628" i="13"/>
  <c r="O628" i="13"/>
  <c r="F624" i="13"/>
  <c r="I626" i="13"/>
  <c r="K627" i="13"/>
  <c r="R631" i="13"/>
  <c r="N621" i="13"/>
  <c r="J624" i="13"/>
  <c r="R630" i="13"/>
  <c r="O622" i="13"/>
  <c r="M629" i="13"/>
  <c r="T627" i="13"/>
  <c r="N624" i="13"/>
  <c r="S628" i="13"/>
  <c r="P630" i="13"/>
  <c r="T631" i="13"/>
  <c r="L622" i="13"/>
  <c r="J630" i="13"/>
  <c r="R622" i="13"/>
  <c r="P622" i="13"/>
  <c r="U626" i="13"/>
  <c r="O624" i="13"/>
  <c r="U622" i="13"/>
  <c r="N628" i="13"/>
  <c r="F629" i="13"/>
  <c r="I185" i="12"/>
  <c r="I186" i="12" s="1"/>
  <c r="K185" i="12"/>
  <c r="K186" i="12" s="1"/>
  <c r="J185" i="12"/>
  <c r="J186" i="12" s="1"/>
  <c r="C180" i="12"/>
  <c r="C181" i="12" s="1"/>
  <c r="C182" i="12" s="1"/>
  <c r="C183" i="12" s="1"/>
  <c r="C184" i="12" s="1"/>
  <c r="C185" i="12" s="1"/>
  <c r="C186" i="12" s="1"/>
  <c r="J809" i="14"/>
  <c r="L810" i="14"/>
  <c r="U813" i="14"/>
  <c r="H809" i="14"/>
  <c r="K810" i="14"/>
  <c r="O814" i="14"/>
  <c r="R811" i="14"/>
  <c r="G812" i="14"/>
  <c r="S813" i="14"/>
  <c r="U814" i="14"/>
  <c r="F811" i="14"/>
  <c r="O811" i="14"/>
  <c r="L812" i="14"/>
  <c r="I814" i="14"/>
  <c r="L811" i="14"/>
  <c r="O810" i="14"/>
  <c r="L813" i="14"/>
  <c r="M810" i="14"/>
  <c r="S810" i="14"/>
  <c r="P813" i="14"/>
  <c r="F809" i="14"/>
  <c r="C804" i="14"/>
  <c r="N811" i="14"/>
  <c r="P812" i="14"/>
  <c r="K814" i="14"/>
  <c r="T812" i="14"/>
  <c r="G809" i="14"/>
  <c r="S814" i="14"/>
  <c r="N812" i="14"/>
  <c r="J810" i="14"/>
  <c r="P809" i="14"/>
  <c r="G810" i="14"/>
  <c r="O812" i="14"/>
  <c r="F814" i="14"/>
  <c r="T809" i="14"/>
  <c r="H811" i="14"/>
  <c r="T810" i="14"/>
  <c r="M811" i="14"/>
  <c r="I810" i="14"/>
  <c r="R813" i="14"/>
  <c r="P811" i="14"/>
  <c r="H814" i="14"/>
  <c r="O807" i="14"/>
  <c r="H812" i="14"/>
  <c r="K809" i="14"/>
  <c r="S811" i="14"/>
  <c r="K813" i="14"/>
  <c r="S809" i="14"/>
  <c r="T811" i="14"/>
  <c r="J811" i="14"/>
  <c r="L814" i="14"/>
  <c r="L815" i="14"/>
  <c r="O813" i="14"/>
  <c r="L807" i="14"/>
  <c r="H813" i="14"/>
  <c r="I812" i="14"/>
  <c r="R814" i="14"/>
  <c r="I811" i="14"/>
  <c r="G814" i="14"/>
  <c r="M812" i="14"/>
  <c r="I813" i="14"/>
  <c r="U809" i="14"/>
  <c r="K812" i="14"/>
  <c r="K811" i="14"/>
  <c r="T813" i="14"/>
  <c r="G813" i="14"/>
  <c r="U811" i="14"/>
  <c r="F813" i="14"/>
  <c r="F812" i="14"/>
  <c r="H810" i="14"/>
  <c r="O815" i="14"/>
  <c r="R809" i="14"/>
  <c r="N810" i="14"/>
  <c r="M809" i="14"/>
  <c r="N809" i="14"/>
  <c r="U810" i="14"/>
  <c r="R812" i="14"/>
  <c r="T814" i="14"/>
  <c r="J813" i="14"/>
  <c r="O809" i="14"/>
  <c r="F810" i="14"/>
  <c r="S812" i="14"/>
  <c r="J814" i="14"/>
  <c r="P814" i="14"/>
  <c r="I809" i="14"/>
  <c r="R810" i="14"/>
  <c r="J812" i="14"/>
  <c r="N813" i="14"/>
  <c r="U812" i="14"/>
  <c r="M813" i="14"/>
  <c r="P810" i="14"/>
  <c r="N814" i="14"/>
  <c r="M814" i="14"/>
  <c r="L809" i="14"/>
  <c r="G811" i="14"/>
  <c r="I297" i="12"/>
  <c r="I298" i="12" s="1"/>
  <c r="K297" i="12"/>
  <c r="K298" i="12" s="1"/>
  <c r="C292" i="12"/>
  <c r="C293" i="12" s="1"/>
  <c r="C294" i="12" s="1"/>
  <c r="C295" i="12" s="1"/>
  <c r="C296" i="12" s="1"/>
  <c r="C297" i="12" s="1"/>
  <c r="C298" i="12" s="1"/>
  <c r="J297" i="12"/>
  <c r="J298" i="12" s="1"/>
  <c r="K517" i="11"/>
  <c r="C513" i="11"/>
  <c r="C514" i="11" s="1"/>
  <c r="C515" i="11" s="1"/>
  <c r="C516" i="11" s="1"/>
  <c r="C517" i="11" s="1"/>
  <c r="C518" i="11" s="1"/>
  <c r="C519" i="11" s="1"/>
  <c r="C520" i="11" s="1"/>
  <c r="P517" i="11"/>
  <c r="H519" i="11"/>
  <c r="R519" i="11"/>
  <c r="S518" i="11"/>
  <c r="O519" i="11"/>
  <c r="K518" i="11"/>
  <c r="K519" i="11"/>
  <c r="L518" i="11"/>
  <c r="Q518" i="11"/>
  <c r="P518" i="11"/>
  <c r="G519" i="11"/>
  <c r="C512" i="11"/>
  <c r="T517" i="11"/>
  <c r="O517" i="11"/>
  <c r="H517" i="11"/>
  <c r="O518" i="11"/>
  <c r="Q519" i="11"/>
  <c r="F519" i="11"/>
  <c r="S519" i="11"/>
  <c r="F518" i="11"/>
  <c r="J519" i="11"/>
  <c r="F517" i="11"/>
  <c r="R517" i="11"/>
  <c r="G518" i="11"/>
  <c r="S517" i="11"/>
  <c r="P519" i="11"/>
  <c r="H518" i="11"/>
  <c r="J517" i="11"/>
  <c r="G517" i="11"/>
  <c r="I517" i="11"/>
  <c r="M518" i="11"/>
  <c r="J518" i="11"/>
  <c r="Q517" i="11"/>
  <c r="T518" i="11"/>
  <c r="T519" i="11"/>
  <c r="N518" i="11"/>
  <c r="R518" i="11"/>
  <c r="I518" i="11"/>
  <c r="I519" i="11"/>
  <c r="N610" i="13"/>
  <c r="K610" i="13"/>
  <c r="P609" i="13"/>
  <c r="F610" i="13"/>
  <c r="J607" i="13"/>
  <c r="R609" i="13"/>
  <c r="L612" i="13"/>
  <c r="O609" i="13"/>
  <c r="I610" i="13"/>
  <c r="O604" i="13"/>
  <c r="T612" i="13"/>
  <c r="M612" i="13"/>
  <c r="N605" i="13"/>
  <c r="S609" i="13"/>
  <c r="P614" i="13"/>
  <c r="T610" i="13"/>
  <c r="T605" i="13"/>
  <c r="M610" i="13"/>
  <c r="O610" i="13"/>
  <c r="R613" i="13"/>
  <c r="H613" i="13"/>
  <c r="G612" i="13"/>
  <c r="L614" i="13"/>
  <c r="M609" i="13"/>
  <c r="F614" i="13"/>
  <c r="R610" i="13"/>
  <c r="S611" i="13"/>
  <c r="H610" i="13"/>
  <c r="K612" i="13"/>
  <c r="K611" i="13"/>
  <c r="H605" i="13"/>
  <c r="J610" i="13"/>
  <c r="P607" i="13"/>
  <c r="O606" i="13"/>
  <c r="L611" i="13"/>
  <c r="P610" i="13"/>
  <c r="G607" i="13"/>
  <c r="U610" i="13"/>
  <c r="I611" i="13"/>
  <c r="O613" i="13"/>
  <c r="K605" i="13"/>
  <c r="J612" i="13"/>
  <c r="J614" i="13"/>
  <c r="P605" i="13"/>
  <c r="K609" i="13"/>
  <c r="K606" i="13"/>
  <c r="P613" i="13"/>
  <c r="H609" i="13"/>
  <c r="H607" i="13"/>
  <c r="K607" i="13"/>
  <c r="O611" i="13"/>
  <c r="S612" i="13"/>
  <c r="F613" i="13"/>
  <c r="T613" i="13"/>
  <c r="J605" i="13"/>
  <c r="O605" i="13"/>
  <c r="M613" i="13"/>
  <c r="F609" i="13"/>
  <c r="K614" i="13"/>
  <c r="U611" i="13"/>
  <c r="O614" i="13"/>
  <c r="L610" i="13"/>
  <c r="U614" i="13"/>
  <c r="G611" i="13"/>
  <c r="G613" i="13"/>
  <c r="R614" i="13"/>
  <c r="N609" i="13"/>
  <c r="O615" i="13"/>
  <c r="N611" i="13"/>
  <c r="G614" i="13"/>
  <c r="T607" i="13"/>
  <c r="L604" i="13"/>
  <c r="K613" i="13"/>
  <c r="S610" i="13"/>
  <c r="U609" i="13"/>
  <c r="U605" i="13"/>
  <c r="G605" i="13"/>
  <c r="N604" i="13"/>
  <c r="L609" i="13"/>
  <c r="P611" i="13"/>
  <c r="R612" i="13"/>
  <c r="P612" i="13"/>
  <c r="L607" i="13"/>
  <c r="N613" i="13"/>
  <c r="F611" i="13"/>
  <c r="J613" i="13"/>
  <c r="H614" i="13"/>
  <c r="S614" i="13"/>
  <c r="L605" i="13"/>
  <c r="I614" i="13"/>
  <c r="N607" i="13"/>
  <c r="T611" i="13"/>
  <c r="M614" i="13"/>
  <c r="S613" i="13"/>
  <c r="L606" i="13"/>
  <c r="H611" i="13"/>
  <c r="O612" i="13"/>
  <c r="T609" i="13"/>
  <c r="M607" i="13"/>
  <c r="S607" i="13"/>
  <c r="M605" i="13"/>
  <c r="F607" i="13"/>
  <c r="N612" i="13"/>
  <c r="F612" i="13"/>
  <c r="N615" i="13"/>
  <c r="U607" i="13"/>
  <c r="K615" i="13"/>
  <c r="J611" i="13"/>
  <c r="R611" i="13"/>
  <c r="I605" i="13"/>
  <c r="I612" i="13"/>
  <c r="U613" i="13"/>
  <c r="N606" i="13"/>
  <c r="G610" i="13"/>
  <c r="G609" i="13"/>
  <c r="I607" i="13"/>
  <c r="I609" i="13"/>
  <c r="M611" i="13"/>
  <c r="R607" i="13"/>
  <c r="C601" i="13"/>
  <c r="C602" i="13" s="1"/>
  <c r="C603" i="13" s="1"/>
  <c r="C604" i="13" s="1"/>
  <c r="C605" i="13" s="1"/>
  <c r="C606" i="13" s="1"/>
  <c r="C607" i="13" s="1"/>
  <c r="C608" i="13" s="1"/>
  <c r="C609" i="13" s="1"/>
  <c r="C610" i="13" s="1"/>
  <c r="C611" i="13" s="1"/>
  <c r="C612" i="13" s="1"/>
  <c r="C613" i="13" s="1"/>
  <c r="C614" i="13" s="1"/>
  <c r="C615" i="13" s="1"/>
  <c r="C616" i="13" s="1"/>
  <c r="F605" i="13"/>
  <c r="R605" i="13"/>
  <c r="O607" i="13"/>
  <c r="T614" i="13"/>
  <c r="L615" i="13"/>
  <c r="I613" i="13"/>
  <c r="H612" i="13"/>
  <c r="L613" i="13"/>
  <c r="J609" i="13"/>
  <c r="N614" i="13"/>
  <c r="S605" i="13"/>
  <c r="K604" i="13"/>
  <c r="U612" i="13"/>
  <c r="F629" i="14"/>
  <c r="M630" i="14"/>
  <c r="T632" i="14"/>
  <c r="G628" i="14"/>
  <c r="J627" i="14"/>
  <c r="G631" i="14"/>
  <c r="L627" i="14"/>
  <c r="N630" i="14"/>
  <c r="O627" i="14"/>
  <c r="K629" i="14"/>
  <c r="F627" i="14"/>
  <c r="H632" i="14"/>
  <c r="N632" i="14"/>
  <c r="L629" i="14"/>
  <c r="U627" i="14"/>
  <c r="M627" i="14"/>
  <c r="K631" i="14"/>
  <c r="G632" i="14"/>
  <c r="U628" i="14"/>
  <c r="S631" i="14"/>
  <c r="U632" i="14"/>
  <c r="I632" i="14"/>
  <c r="U631" i="14"/>
  <c r="O633" i="14"/>
  <c r="J630" i="14"/>
  <c r="R629" i="14"/>
  <c r="N629" i="14"/>
  <c r="U630" i="14"/>
  <c r="S627" i="14"/>
  <c r="T630" i="14"/>
  <c r="N627" i="14"/>
  <c r="S632" i="14"/>
  <c r="I627" i="14"/>
  <c r="O625" i="14"/>
  <c r="L632" i="14"/>
  <c r="R627" i="14"/>
  <c r="R632" i="14"/>
  <c r="K628" i="14"/>
  <c r="O629" i="14"/>
  <c r="J628" i="14"/>
  <c r="L628" i="14"/>
  <c r="M632" i="14"/>
  <c r="H629" i="14"/>
  <c r="M629" i="14"/>
  <c r="H628" i="14"/>
  <c r="L625" i="14"/>
  <c r="R631" i="14"/>
  <c r="P627" i="14"/>
  <c r="F631" i="14"/>
  <c r="I630" i="14"/>
  <c r="S628" i="14"/>
  <c r="P630" i="14"/>
  <c r="F628" i="14"/>
  <c r="G627" i="14"/>
  <c r="P631" i="14"/>
  <c r="F630" i="14"/>
  <c r="S630" i="14"/>
  <c r="T628" i="14"/>
  <c r="L631" i="14"/>
  <c r="M631" i="14"/>
  <c r="R628" i="14"/>
  <c r="H627" i="14"/>
  <c r="J629" i="14"/>
  <c r="G629" i="14"/>
  <c r="M628" i="14"/>
  <c r="P632" i="14"/>
  <c r="O631" i="14"/>
  <c r="P628" i="14"/>
  <c r="R630" i="14"/>
  <c r="O630" i="14"/>
  <c r="C622" i="14"/>
  <c r="G630" i="14"/>
  <c r="S629" i="14"/>
  <c r="J632" i="14"/>
  <c r="N628" i="14"/>
  <c r="F632" i="14"/>
  <c r="L633" i="14"/>
  <c r="I628" i="14"/>
  <c r="T627" i="14"/>
  <c r="K627" i="14"/>
  <c r="T629" i="14"/>
  <c r="N631" i="14"/>
  <c r="I631" i="14"/>
  <c r="T631" i="14"/>
  <c r="O628" i="14"/>
  <c r="P629" i="14"/>
  <c r="I629" i="14"/>
  <c r="K630" i="14"/>
  <c r="L630" i="14"/>
  <c r="H630" i="14"/>
  <c r="U629" i="14"/>
  <c r="J631" i="14"/>
  <c r="K632" i="14"/>
  <c r="H631" i="14"/>
  <c r="O632" i="14"/>
  <c r="P266" i="11"/>
  <c r="I265" i="11"/>
  <c r="K265" i="11"/>
  <c r="G267" i="11"/>
  <c r="O265" i="11"/>
  <c r="C260" i="11"/>
  <c r="J267" i="11"/>
  <c r="K267" i="11"/>
  <c r="I266" i="11"/>
  <c r="T266" i="11"/>
  <c r="L266" i="11"/>
  <c r="P265" i="11"/>
  <c r="R265" i="11"/>
  <c r="M266" i="11"/>
  <c r="H265" i="11"/>
  <c r="G265" i="11"/>
  <c r="R267" i="11"/>
  <c r="H266" i="11"/>
  <c r="S267" i="11"/>
  <c r="C261" i="11"/>
  <c r="C262" i="11" s="1"/>
  <c r="C263" i="11" s="1"/>
  <c r="C264" i="11" s="1"/>
  <c r="C265" i="11" s="1"/>
  <c r="C266" i="11" s="1"/>
  <c r="C267" i="11" s="1"/>
  <c r="C268" i="11" s="1"/>
  <c r="G266" i="11"/>
  <c r="R266" i="11"/>
  <c r="K266" i="11"/>
  <c r="T265" i="11"/>
  <c r="I267" i="11"/>
  <c r="N266" i="11"/>
  <c r="F266" i="11"/>
  <c r="J265" i="11"/>
  <c r="P267" i="11"/>
  <c r="Q266" i="11"/>
  <c r="O266" i="11"/>
  <c r="T267" i="11"/>
  <c r="Q267" i="11"/>
  <c r="F265" i="11"/>
  <c r="S266" i="11"/>
  <c r="H267" i="11"/>
  <c r="O267" i="11"/>
  <c r="J266" i="11"/>
  <c r="S265" i="11"/>
  <c r="Q265" i="11"/>
  <c r="F267" i="11"/>
  <c r="U916" i="13"/>
  <c r="H917" i="13"/>
  <c r="L917" i="13"/>
  <c r="L913" i="13"/>
  <c r="O913" i="13"/>
  <c r="L919" i="13"/>
  <c r="N916" i="13"/>
  <c r="M920" i="13"/>
  <c r="J920" i="13"/>
  <c r="I920" i="13"/>
  <c r="R911" i="13"/>
  <c r="S919" i="13"/>
  <c r="R918" i="13"/>
  <c r="S911" i="13"/>
  <c r="T919" i="13"/>
  <c r="H915" i="13"/>
  <c r="K915" i="13"/>
  <c r="M918" i="13"/>
  <c r="P918" i="13"/>
  <c r="F911" i="13"/>
  <c r="K919" i="13"/>
  <c r="K911" i="13"/>
  <c r="P916" i="13"/>
  <c r="M917" i="13"/>
  <c r="L910" i="13"/>
  <c r="P917" i="13"/>
  <c r="N915" i="13"/>
  <c r="N920" i="13"/>
  <c r="I915" i="13"/>
  <c r="U911" i="13"/>
  <c r="P920" i="13"/>
  <c r="H918" i="13"/>
  <c r="F915" i="13"/>
  <c r="R915" i="13"/>
  <c r="G915" i="13"/>
  <c r="H919" i="13"/>
  <c r="G913" i="13"/>
  <c r="K918" i="13"/>
  <c r="N918" i="13"/>
  <c r="O921" i="13"/>
  <c r="K910" i="13"/>
  <c r="N919" i="13"/>
  <c r="S916" i="13"/>
  <c r="R916" i="13"/>
  <c r="O918" i="13"/>
  <c r="O911" i="13"/>
  <c r="L912" i="13"/>
  <c r="P919" i="13"/>
  <c r="K920" i="13"/>
  <c r="J916" i="13"/>
  <c r="R919" i="13"/>
  <c r="F920" i="13"/>
  <c r="F916" i="13"/>
  <c r="J919" i="13"/>
  <c r="T916" i="13"/>
  <c r="S917" i="13"/>
  <c r="G920" i="13"/>
  <c r="R917" i="13"/>
  <c r="K917" i="13"/>
  <c r="N921" i="13"/>
  <c r="O919" i="13"/>
  <c r="K921" i="13"/>
  <c r="L916" i="13"/>
  <c r="I913" i="13"/>
  <c r="M916" i="13"/>
  <c r="S915" i="13"/>
  <c r="G911" i="13"/>
  <c r="O910" i="13"/>
  <c r="O915" i="13"/>
  <c r="H916" i="13"/>
  <c r="U917" i="13"/>
  <c r="N912" i="13"/>
  <c r="T918" i="13"/>
  <c r="F913" i="13"/>
  <c r="S918" i="13"/>
  <c r="F918" i="13"/>
  <c r="F919" i="13"/>
  <c r="O916" i="13"/>
  <c r="K913" i="13"/>
  <c r="L918" i="13"/>
  <c r="L911" i="13"/>
  <c r="M915" i="13"/>
  <c r="G917" i="13"/>
  <c r="U920" i="13"/>
  <c r="T911" i="13"/>
  <c r="S913" i="13"/>
  <c r="L920" i="13"/>
  <c r="J918" i="13"/>
  <c r="T920" i="13"/>
  <c r="R913" i="13"/>
  <c r="C907" i="13"/>
  <c r="C908" i="13" s="1"/>
  <c r="C909" i="13" s="1"/>
  <c r="C910" i="13" s="1"/>
  <c r="C911" i="13" s="1"/>
  <c r="C912" i="13" s="1"/>
  <c r="C913" i="13" s="1"/>
  <c r="C914" i="13" s="1"/>
  <c r="C915" i="13" s="1"/>
  <c r="C916" i="13" s="1"/>
  <c r="C917" i="13" s="1"/>
  <c r="C918" i="13" s="1"/>
  <c r="C919" i="13" s="1"/>
  <c r="C920" i="13" s="1"/>
  <c r="C921" i="13" s="1"/>
  <c r="C922" i="13" s="1"/>
  <c r="G919" i="13"/>
  <c r="T913" i="13"/>
  <c r="I917" i="13"/>
  <c r="J917" i="13"/>
  <c r="N917" i="13"/>
  <c r="K916" i="13"/>
  <c r="O912" i="13"/>
  <c r="P911" i="13"/>
  <c r="P913" i="13"/>
  <c r="M919" i="13"/>
  <c r="M913" i="13"/>
  <c r="O920" i="13"/>
  <c r="U919" i="13"/>
  <c r="U918" i="13"/>
  <c r="R920" i="13"/>
  <c r="I916" i="13"/>
  <c r="J911" i="13"/>
  <c r="L921" i="13"/>
  <c r="F917" i="13"/>
  <c r="I918" i="13"/>
  <c r="J913" i="13"/>
  <c r="I919" i="13"/>
  <c r="G916" i="13"/>
  <c r="H911" i="13"/>
  <c r="O917" i="13"/>
  <c r="N911" i="13"/>
  <c r="N913" i="13"/>
  <c r="N910" i="13"/>
  <c r="L915" i="13"/>
  <c r="P915" i="13"/>
  <c r="H913" i="13"/>
  <c r="K912" i="13"/>
  <c r="I911" i="13"/>
  <c r="T915" i="13"/>
  <c r="U913" i="13"/>
  <c r="U915" i="13"/>
  <c r="J915" i="13"/>
  <c r="H920" i="13"/>
  <c r="M911" i="13"/>
  <c r="T917" i="13"/>
  <c r="S920" i="13"/>
  <c r="G918" i="13"/>
  <c r="L470" i="15"/>
  <c r="M469" i="15"/>
  <c r="L469" i="15"/>
  <c r="L474" i="15"/>
  <c r="J470" i="15"/>
  <c r="N469" i="15"/>
  <c r="M473" i="15"/>
  <c r="H475" i="15"/>
  <c r="M475" i="15"/>
  <c r="G475" i="15"/>
  <c r="M467" i="15"/>
  <c r="L473" i="15"/>
  <c r="O473" i="15"/>
  <c r="N472" i="15"/>
  <c r="I473" i="15"/>
  <c r="M477" i="15"/>
  <c r="I472" i="15"/>
  <c r="G468" i="15"/>
  <c r="I474" i="15"/>
  <c r="G470" i="15"/>
  <c r="P472" i="15"/>
  <c r="F472" i="15"/>
  <c r="O469" i="15"/>
  <c r="P467" i="15"/>
  <c r="K468" i="15"/>
  <c r="H470" i="15"/>
  <c r="O474" i="15"/>
  <c r="H476" i="15"/>
  <c r="J474" i="15"/>
  <c r="O478" i="15"/>
  <c r="F477" i="15"/>
  <c r="P477" i="15"/>
  <c r="M476" i="15"/>
  <c r="F473" i="15"/>
  <c r="L472" i="15"/>
  <c r="I475" i="15"/>
  <c r="N467" i="15"/>
  <c r="N470" i="15"/>
  <c r="L467" i="15"/>
  <c r="O476" i="15"/>
  <c r="J475" i="15"/>
  <c r="N477" i="15"/>
  <c r="P470" i="15"/>
  <c r="H472" i="15"/>
  <c r="K475" i="15"/>
  <c r="H477" i="15"/>
  <c r="M472" i="15"/>
  <c r="N468" i="15"/>
  <c r="M470" i="15"/>
  <c r="L477" i="15"/>
  <c r="H474" i="15"/>
  <c r="P474" i="15"/>
  <c r="G474" i="15"/>
  <c r="F475" i="15"/>
  <c r="G477" i="15"/>
  <c r="H473" i="15"/>
  <c r="J473" i="15"/>
  <c r="N476" i="15"/>
  <c r="P473" i="15"/>
  <c r="J476" i="15"/>
  <c r="I476" i="15"/>
  <c r="I468" i="15"/>
  <c r="H468" i="15"/>
  <c r="J472" i="15"/>
  <c r="P469" i="15"/>
  <c r="K467" i="15"/>
  <c r="K469" i="15"/>
  <c r="C464" i="15"/>
  <c r="C465" i="15" s="1"/>
  <c r="C466" i="15" s="1"/>
  <c r="C467" i="15" s="1"/>
  <c r="C468" i="15" s="1"/>
  <c r="C469" i="15" s="1"/>
  <c r="C470" i="15" s="1"/>
  <c r="C471" i="15" s="1"/>
  <c r="C472" i="15" s="1"/>
  <c r="C473" i="15" s="1"/>
  <c r="C474" i="15" s="1"/>
  <c r="C475" i="15" s="1"/>
  <c r="C476" i="15" s="1"/>
  <c r="C477" i="15" s="1"/>
  <c r="C478" i="15" s="1"/>
  <c r="C479" i="15" s="1"/>
  <c r="L475" i="15"/>
  <c r="K474" i="15"/>
  <c r="F468" i="15"/>
  <c r="O470" i="15"/>
  <c r="K473" i="15"/>
  <c r="M468" i="15"/>
  <c r="O477" i="15"/>
  <c r="F474" i="15"/>
  <c r="O467" i="15"/>
  <c r="K470" i="15"/>
  <c r="G472" i="15"/>
  <c r="L478" i="15"/>
  <c r="P476" i="15"/>
  <c r="P475" i="15"/>
  <c r="N475" i="15"/>
  <c r="P478" i="15"/>
  <c r="I470" i="15"/>
  <c r="F476" i="15"/>
  <c r="K478" i="15"/>
  <c r="G473" i="15"/>
  <c r="N474" i="15"/>
  <c r="K472" i="15"/>
  <c r="I477" i="15"/>
  <c r="P468" i="15"/>
  <c r="K477" i="15"/>
  <c r="J477" i="15"/>
  <c r="O468" i="15"/>
  <c r="M474" i="15"/>
  <c r="N473" i="15"/>
  <c r="G476" i="15"/>
  <c r="L468" i="15"/>
  <c r="O472" i="15"/>
  <c r="M478" i="15"/>
  <c r="K476" i="15"/>
  <c r="F470" i="15"/>
  <c r="O475" i="15"/>
  <c r="J468" i="15"/>
  <c r="N478" i="15"/>
  <c r="L476" i="15"/>
  <c r="J257" i="12"/>
  <c r="J258" i="12" s="1"/>
  <c r="I257" i="12"/>
  <c r="I258" i="12" s="1"/>
  <c r="C252" i="12"/>
  <c r="C253" i="12" s="1"/>
  <c r="C254" i="12" s="1"/>
  <c r="C255" i="12" s="1"/>
  <c r="C256" i="12" s="1"/>
  <c r="C257" i="12" s="1"/>
  <c r="C258" i="12" s="1"/>
  <c r="K257" i="12"/>
  <c r="K258" i="12" s="1"/>
  <c r="J428" i="11"/>
  <c r="P426" i="11"/>
  <c r="S428" i="11"/>
  <c r="I427" i="11"/>
  <c r="Q426" i="11"/>
  <c r="R426" i="11"/>
  <c r="H427" i="11"/>
  <c r="F426" i="11"/>
  <c r="K427" i="11"/>
  <c r="J426" i="11"/>
  <c r="G427" i="11"/>
  <c r="T426" i="11"/>
  <c r="S427" i="11"/>
  <c r="M427" i="11"/>
  <c r="L427" i="11"/>
  <c r="I426" i="11"/>
  <c r="C421" i="11"/>
  <c r="R428" i="11"/>
  <c r="T428" i="11"/>
  <c r="G426" i="11"/>
  <c r="G428" i="11"/>
  <c r="R427" i="11"/>
  <c r="F427" i="11"/>
  <c r="I428" i="11"/>
  <c r="K428" i="11"/>
  <c r="K426" i="11"/>
  <c r="O428" i="11"/>
  <c r="O426" i="11"/>
  <c r="J427" i="11"/>
  <c r="Q428" i="11"/>
  <c r="P428" i="11"/>
  <c r="O427" i="11"/>
  <c r="N427" i="11"/>
  <c r="H426" i="11"/>
  <c r="C422" i="11"/>
  <c r="C423" i="11" s="1"/>
  <c r="C424" i="11" s="1"/>
  <c r="C425" i="11" s="1"/>
  <c r="C426" i="11" s="1"/>
  <c r="C427" i="11" s="1"/>
  <c r="C428" i="11" s="1"/>
  <c r="C429" i="11" s="1"/>
  <c r="H428" i="11"/>
  <c r="F428" i="11"/>
  <c r="T427" i="11"/>
  <c r="S426" i="11"/>
  <c r="Q427" i="11"/>
  <c r="P427" i="11"/>
  <c r="F530" i="14"/>
  <c r="S529" i="14"/>
  <c r="T529" i="14"/>
  <c r="N532" i="14"/>
  <c r="L531" i="14"/>
  <c r="G532" i="14"/>
  <c r="H530" i="14"/>
  <c r="N531" i="14"/>
  <c r="O534" i="14"/>
  <c r="R529" i="14"/>
  <c r="O529" i="14"/>
  <c r="P530" i="14"/>
  <c r="K534" i="14"/>
  <c r="S530" i="14"/>
  <c r="M531" i="14"/>
  <c r="P531" i="14"/>
  <c r="K530" i="14"/>
  <c r="O535" i="14"/>
  <c r="R534" i="14"/>
  <c r="L535" i="14"/>
  <c r="J533" i="14"/>
  <c r="L527" i="14"/>
  <c r="N533" i="14"/>
  <c r="S534" i="14"/>
  <c r="G529" i="14"/>
  <c r="N529" i="14"/>
  <c r="T532" i="14"/>
  <c r="M529" i="14"/>
  <c r="M530" i="14"/>
  <c r="U531" i="14"/>
  <c r="T533" i="14"/>
  <c r="L530" i="14"/>
  <c r="N534" i="14"/>
  <c r="I534" i="14"/>
  <c r="U530" i="14"/>
  <c r="U533" i="14"/>
  <c r="R530" i="14"/>
  <c r="H532" i="14"/>
  <c r="J531" i="14"/>
  <c r="O527" i="14"/>
  <c r="P534" i="14"/>
  <c r="J530" i="14"/>
  <c r="U529" i="14"/>
  <c r="M534" i="14"/>
  <c r="C524" i="14"/>
  <c r="G534" i="14"/>
  <c r="S533" i="14"/>
  <c r="F529" i="14"/>
  <c r="K533" i="14"/>
  <c r="U534" i="14"/>
  <c r="F533" i="14"/>
  <c r="K531" i="14"/>
  <c r="O532" i="14"/>
  <c r="T534" i="14"/>
  <c r="J534" i="14"/>
  <c r="R533" i="14"/>
  <c r="H534" i="14"/>
  <c r="O531" i="14"/>
  <c r="L534" i="14"/>
  <c r="O533" i="14"/>
  <c r="I533" i="14"/>
  <c r="S531" i="14"/>
  <c r="I530" i="14"/>
  <c r="S532" i="14"/>
  <c r="M533" i="14"/>
  <c r="G531" i="14"/>
  <c r="R532" i="14"/>
  <c r="J529" i="14"/>
  <c r="I529" i="14"/>
  <c r="K532" i="14"/>
  <c r="G533" i="14"/>
  <c r="T530" i="14"/>
  <c r="I531" i="14"/>
  <c r="L532" i="14"/>
  <c r="L529" i="14"/>
  <c r="F532" i="14"/>
  <c r="H531" i="14"/>
  <c r="J532" i="14"/>
  <c r="L533" i="14"/>
  <c r="K529" i="14"/>
  <c r="P529" i="14"/>
  <c r="M532" i="14"/>
  <c r="T531" i="14"/>
  <c r="P532" i="14"/>
  <c r="U532" i="14"/>
  <c r="O530" i="14"/>
  <c r="F531" i="14"/>
  <c r="N530" i="14"/>
  <c r="P533" i="14"/>
  <c r="H529" i="14"/>
  <c r="H533" i="14"/>
  <c r="G530" i="14"/>
  <c r="F534" i="14"/>
  <c r="R531" i="14"/>
  <c r="I532" i="14"/>
  <c r="I781" i="16"/>
  <c r="O784" i="16"/>
  <c r="L779" i="16"/>
  <c r="L783" i="16"/>
  <c r="F783" i="16"/>
  <c r="M779" i="16"/>
  <c r="P784" i="16"/>
  <c r="F785" i="16"/>
  <c r="M786" i="16"/>
  <c r="P783" i="16"/>
  <c r="I786" i="16"/>
  <c r="O787" i="16"/>
  <c r="I784" i="16"/>
  <c r="L781" i="16"/>
  <c r="G781" i="16"/>
  <c r="K779" i="16"/>
  <c r="H781" i="16"/>
  <c r="O786" i="16"/>
  <c r="L784" i="16"/>
  <c r="K787" i="16"/>
  <c r="H782" i="16"/>
  <c r="G785" i="16"/>
  <c r="N781" i="16"/>
  <c r="I782" i="16"/>
  <c r="L787" i="16"/>
  <c r="K783" i="16"/>
  <c r="O782" i="16"/>
  <c r="H785" i="16"/>
  <c r="P779" i="16"/>
  <c r="J781" i="16"/>
  <c r="N779" i="16"/>
  <c r="H786" i="16"/>
  <c r="M783" i="16"/>
  <c r="O781" i="16"/>
  <c r="L782" i="16"/>
  <c r="N782" i="16"/>
  <c r="O779" i="16"/>
  <c r="F782" i="16"/>
  <c r="K782" i="16"/>
  <c r="J786" i="16"/>
  <c r="C776" i="16"/>
  <c r="C777" i="16" s="1"/>
  <c r="C778" i="16" s="1"/>
  <c r="C779" i="16" s="1"/>
  <c r="C780" i="16" s="1"/>
  <c r="C781" i="16" s="1"/>
  <c r="C782" i="16" s="1"/>
  <c r="C783" i="16" s="1"/>
  <c r="C784" i="16" s="1"/>
  <c r="C785" i="16" s="1"/>
  <c r="C786" i="16" s="1"/>
  <c r="C787" i="16" s="1"/>
  <c r="C788" i="16" s="1"/>
  <c r="K786" i="16"/>
  <c r="F781" i="16"/>
  <c r="M787" i="16"/>
  <c r="H783" i="16"/>
  <c r="P785" i="16"/>
  <c r="F786" i="16"/>
  <c r="P781" i="16"/>
  <c r="L785" i="16"/>
  <c r="G786" i="16"/>
  <c r="N786" i="16"/>
  <c r="O785" i="16"/>
  <c r="M782" i="16"/>
  <c r="P787" i="16"/>
  <c r="G782" i="16"/>
  <c r="N787" i="16"/>
  <c r="K781" i="16"/>
  <c r="G783" i="16"/>
  <c r="F784" i="16"/>
  <c r="H784" i="16"/>
  <c r="O783" i="16"/>
  <c r="L786" i="16"/>
  <c r="P786" i="16"/>
  <c r="M781" i="16"/>
  <c r="G784" i="16"/>
  <c r="M784" i="16"/>
  <c r="J783" i="16"/>
  <c r="I783" i="16"/>
  <c r="M785" i="16"/>
  <c r="N785" i="16"/>
  <c r="I785" i="16"/>
  <c r="N783" i="16"/>
  <c r="K785" i="16"/>
  <c r="P782" i="16"/>
  <c r="K784" i="16"/>
  <c r="J782" i="16"/>
  <c r="N784" i="16"/>
  <c r="J785" i="16"/>
  <c r="J784" i="16"/>
  <c r="I377" i="11"/>
  <c r="R377" i="11"/>
  <c r="R376" i="11"/>
  <c r="Q378" i="11"/>
  <c r="G378" i="11"/>
  <c r="L377" i="11"/>
  <c r="F376" i="11"/>
  <c r="T376" i="11"/>
  <c r="F378" i="11"/>
  <c r="S378" i="11"/>
  <c r="F377" i="11"/>
  <c r="J377" i="11"/>
  <c r="Q376" i="11"/>
  <c r="S377" i="11"/>
  <c r="J376" i="11"/>
  <c r="I376" i="11"/>
  <c r="M377" i="11"/>
  <c r="J378" i="11"/>
  <c r="R378" i="11"/>
  <c r="I378" i="11"/>
  <c r="K377" i="11"/>
  <c r="T377" i="11"/>
  <c r="K376" i="11"/>
  <c r="N377" i="11"/>
  <c r="K378" i="11"/>
  <c r="P378" i="11"/>
  <c r="O378" i="11"/>
  <c r="H378" i="11"/>
  <c r="H376" i="11"/>
  <c r="P377" i="11"/>
  <c r="S376" i="11"/>
  <c r="H377" i="11"/>
  <c r="G376" i="11"/>
  <c r="P376" i="11"/>
  <c r="G377" i="11"/>
  <c r="C372" i="11"/>
  <c r="C373" i="11" s="1"/>
  <c r="C374" i="11" s="1"/>
  <c r="C375" i="11" s="1"/>
  <c r="C376" i="11" s="1"/>
  <c r="C377" i="11" s="1"/>
  <c r="C378" i="11" s="1"/>
  <c r="C379" i="11" s="1"/>
  <c r="C371" i="11"/>
  <c r="O377" i="11"/>
  <c r="T378" i="11"/>
  <c r="O376" i="11"/>
  <c r="Q377" i="11"/>
  <c r="O821" i="14"/>
  <c r="O827" i="14"/>
  <c r="L824" i="14"/>
  <c r="J828" i="14"/>
  <c r="G823" i="14"/>
  <c r="P826" i="14"/>
  <c r="I828" i="14"/>
  <c r="G825" i="14"/>
  <c r="U823" i="14"/>
  <c r="U827" i="14"/>
  <c r="I824" i="14"/>
  <c r="K827" i="14"/>
  <c r="O829" i="14"/>
  <c r="O825" i="14"/>
  <c r="I827" i="14"/>
  <c r="F828" i="14"/>
  <c r="S823" i="14"/>
  <c r="K826" i="14"/>
  <c r="J826" i="14"/>
  <c r="J827" i="14"/>
  <c r="H828" i="14"/>
  <c r="T825" i="14"/>
  <c r="R823" i="14"/>
  <c r="P823" i="14"/>
  <c r="T824" i="14"/>
  <c r="J825" i="14"/>
  <c r="I823" i="14"/>
  <c r="O824" i="14"/>
  <c r="U825" i="14"/>
  <c r="N826" i="14"/>
  <c r="M823" i="14"/>
  <c r="M826" i="14"/>
  <c r="H825" i="14"/>
  <c r="R828" i="14"/>
  <c r="H823" i="14"/>
  <c r="M824" i="14"/>
  <c r="U826" i="14"/>
  <c r="P827" i="14"/>
  <c r="O823" i="14"/>
  <c r="T827" i="14"/>
  <c r="L827" i="14"/>
  <c r="P828" i="14"/>
  <c r="L828" i="14"/>
  <c r="M828" i="14"/>
  <c r="F826" i="14"/>
  <c r="R824" i="14"/>
  <c r="R826" i="14"/>
  <c r="H826" i="14"/>
  <c r="I826" i="14"/>
  <c r="S826" i="14"/>
  <c r="G826" i="14"/>
  <c r="F823" i="14"/>
  <c r="K823" i="14"/>
  <c r="L821" i="14"/>
  <c r="U824" i="14"/>
  <c r="T826" i="14"/>
  <c r="G827" i="14"/>
  <c r="L829" i="14"/>
  <c r="G824" i="14"/>
  <c r="M827" i="14"/>
  <c r="N824" i="14"/>
  <c r="R827" i="14"/>
  <c r="M825" i="14"/>
  <c r="R825" i="14"/>
  <c r="F827" i="14"/>
  <c r="T823" i="14"/>
  <c r="T828" i="14"/>
  <c r="S825" i="14"/>
  <c r="S827" i="14"/>
  <c r="L823" i="14"/>
  <c r="N825" i="14"/>
  <c r="I825" i="14"/>
  <c r="O828" i="14"/>
  <c r="F824" i="14"/>
  <c r="N828" i="14"/>
  <c r="G828" i="14"/>
  <c r="N827" i="14"/>
  <c r="O826" i="14"/>
  <c r="H827" i="14"/>
  <c r="K824" i="14"/>
  <c r="J823" i="14"/>
  <c r="P824" i="14"/>
  <c r="U828" i="14"/>
  <c r="N823" i="14"/>
  <c r="S824" i="14"/>
  <c r="J824" i="14"/>
  <c r="L825" i="14"/>
  <c r="K828" i="14"/>
  <c r="H824" i="14"/>
  <c r="K825" i="14"/>
  <c r="S828" i="14"/>
  <c r="L826" i="14"/>
  <c r="F825" i="14"/>
  <c r="P825" i="14"/>
  <c r="C818" i="14"/>
  <c r="J968" i="15"/>
  <c r="L967" i="15"/>
  <c r="M969" i="15"/>
  <c r="F963" i="15"/>
  <c r="M961" i="15"/>
  <c r="N965" i="15"/>
  <c r="C957" i="15"/>
  <c r="C958" i="15" s="1"/>
  <c r="C959" i="15" s="1"/>
  <c r="C960" i="15" s="1"/>
  <c r="C961" i="15" s="1"/>
  <c r="C962" i="15" s="1"/>
  <c r="C963" i="15" s="1"/>
  <c r="C964" i="15" s="1"/>
  <c r="C965" i="15" s="1"/>
  <c r="C966" i="15" s="1"/>
  <c r="C967" i="15" s="1"/>
  <c r="C968" i="15" s="1"/>
  <c r="C969" i="15" s="1"/>
  <c r="C970" i="15" s="1"/>
  <c r="C971" i="15" s="1"/>
  <c r="C972" i="15" s="1"/>
  <c r="M967" i="15"/>
  <c r="N969" i="15"/>
  <c r="G963" i="15"/>
  <c r="N961" i="15"/>
  <c r="O965" i="15"/>
  <c r="G967" i="15"/>
  <c r="L963" i="15"/>
  <c r="F970" i="15"/>
  <c r="H967" i="15"/>
  <c r="N968" i="15"/>
  <c r="I970" i="15"/>
  <c r="J963" i="15"/>
  <c r="M963" i="15"/>
  <c r="I965" i="15"/>
  <c r="F967" i="15"/>
  <c r="O968" i="15"/>
  <c r="J961" i="15"/>
  <c r="F966" i="15"/>
  <c r="N966" i="15"/>
  <c r="K961" i="15"/>
  <c r="P970" i="15"/>
  <c r="H961" i="15"/>
  <c r="M960" i="15"/>
  <c r="L961" i="15"/>
  <c r="H969" i="15"/>
  <c r="P965" i="15"/>
  <c r="N970" i="15"/>
  <c r="P966" i="15"/>
  <c r="H965" i="15"/>
  <c r="P967" i="15"/>
  <c r="P961" i="15"/>
  <c r="I961" i="15"/>
  <c r="O971" i="15"/>
  <c r="M962" i="15"/>
  <c r="N971" i="15"/>
  <c r="F961" i="15"/>
  <c r="H968" i="15"/>
  <c r="K968" i="15"/>
  <c r="O966" i="15"/>
  <c r="P969" i="15"/>
  <c r="H963" i="15"/>
  <c r="K962" i="15"/>
  <c r="O960" i="15"/>
  <c r="K971" i="15"/>
  <c r="O962" i="15"/>
  <c r="J967" i="15"/>
  <c r="O969" i="15"/>
  <c r="O961" i="15"/>
  <c r="J965" i="15"/>
  <c r="L962" i="15"/>
  <c r="G969" i="15"/>
  <c r="L966" i="15"/>
  <c r="I969" i="15"/>
  <c r="L969" i="15"/>
  <c r="K970" i="15"/>
  <c r="I963" i="15"/>
  <c r="M971" i="15"/>
  <c r="F968" i="15"/>
  <c r="G966" i="15"/>
  <c r="K965" i="15"/>
  <c r="K966" i="15"/>
  <c r="L970" i="15"/>
  <c r="K969" i="15"/>
  <c r="K963" i="15"/>
  <c r="M970" i="15"/>
  <c r="N960" i="15"/>
  <c r="H970" i="15"/>
  <c r="L968" i="15"/>
  <c r="I967" i="15"/>
  <c r="P971" i="15"/>
  <c r="L960" i="15"/>
  <c r="G970" i="15"/>
  <c r="L971" i="15"/>
  <c r="G961" i="15"/>
  <c r="F969" i="15"/>
  <c r="O963" i="15"/>
  <c r="H966" i="15"/>
  <c r="P962" i="15"/>
  <c r="O967" i="15"/>
  <c r="F965" i="15"/>
  <c r="M965" i="15"/>
  <c r="K967" i="15"/>
  <c r="J966" i="15"/>
  <c r="M968" i="15"/>
  <c r="I966" i="15"/>
  <c r="G968" i="15"/>
  <c r="N962" i="15"/>
  <c r="I968" i="15"/>
  <c r="P960" i="15"/>
  <c r="J969" i="15"/>
  <c r="P968" i="15"/>
  <c r="K960" i="15"/>
  <c r="O970" i="15"/>
  <c r="G965" i="15"/>
  <c r="N963" i="15"/>
  <c r="M966" i="15"/>
  <c r="P963" i="15"/>
  <c r="N967" i="15"/>
  <c r="J970" i="15"/>
  <c r="L965" i="15"/>
  <c r="Q547" i="11"/>
  <c r="L548" i="11"/>
  <c r="C542" i="11"/>
  <c r="I547" i="11"/>
  <c r="G549" i="11"/>
  <c r="P547" i="11"/>
  <c r="H547" i="11"/>
  <c r="N548" i="11"/>
  <c r="R547" i="11"/>
  <c r="F547" i="11"/>
  <c r="Q549" i="11"/>
  <c r="K549" i="11"/>
  <c r="O549" i="11"/>
  <c r="J548" i="11"/>
  <c r="C543" i="11"/>
  <c r="C544" i="11" s="1"/>
  <c r="C545" i="11" s="1"/>
  <c r="C546" i="11" s="1"/>
  <c r="C547" i="11" s="1"/>
  <c r="C548" i="11" s="1"/>
  <c r="C549" i="11" s="1"/>
  <c r="C550" i="11" s="1"/>
  <c r="F549" i="11"/>
  <c r="G547" i="11"/>
  <c r="O547" i="11"/>
  <c r="S547" i="11"/>
  <c r="H549" i="11"/>
  <c r="H548" i="11"/>
  <c r="S548" i="11"/>
  <c r="M548" i="11"/>
  <c r="K547" i="11"/>
  <c r="S549" i="11"/>
  <c r="I549" i="11"/>
  <c r="R548" i="11"/>
  <c r="P548" i="11"/>
  <c r="J549" i="11"/>
  <c r="Q548" i="11"/>
  <c r="G548" i="11"/>
  <c r="T549" i="11"/>
  <c r="R549" i="11"/>
  <c r="P549" i="11"/>
  <c r="K548" i="11"/>
  <c r="O548" i="11"/>
  <c r="F548" i="11"/>
  <c r="I548" i="11"/>
  <c r="J547" i="11"/>
  <c r="T548" i="11"/>
  <c r="T547" i="11"/>
  <c r="T550" i="11" s="1"/>
  <c r="J305" i="16"/>
  <c r="P305" i="16"/>
  <c r="O310" i="16"/>
  <c r="G310" i="16"/>
  <c r="H310" i="16"/>
  <c r="L303" i="16"/>
  <c r="N311" i="16"/>
  <c r="J310" i="16"/>
  <c r="N309" i="16"/>
  <c r="M311" i="16"/>
  <c r="I309" i="16"/>
  <c r="M309" i="16"/>
  <c r="L310" i="16"/>
  <c r="J307" i="16"/>
  <c r="M307" i="16"/>
  <c r="N306" i="16"/>
  <c r="H305" i="16"/>
  <c r="O308" i="16"/>
  <c r="K310" i="16"/>
  <c r="I305" i="16"/>
  <c r="I308" i="16"/>
  <c r="P303" i="16"/>
  <c r="N308" i="16"/>
  <c r="J308" i="16"/>
  <c r="N307" i="16"/>
  <c r="M306" i="16"/>
  <c r="I310" i="16"/>
  <c r="L308" i="16"/>
  <c r="N303" i="16"/>
  <c r="O305" i="16"/>
  <c r="L309" i="16"/>
  <c r="H308" i="16"/>
  <c r="K306" i="16"/>
  <c r="G307" i="16"/>
  <c r="P311" i="16"/>
  <c r="J309" i="16"/>
  <c r="N305" i="16"/>
  <c r="F308" i="16"/>
  <c r="M303" i="16"/>
  <c r="L306" i="16"/>
  <c r="P309" i="16"/>
  <c r="L311" i="16"/>
  <c r="F310" i="16"/>
  <c r="P306" i="16"/>
  <c r="I307" i="16"/>
  <c r="O309" i="16"/>
  <c r="J306" i="16"/>
  <c r="M305" i="16"/>
  <c r="H307" i="16"/>
  <c r="K308" i="16"/>
  <c r="N310" i="16"/>
  <c r="F305" i="16"/>
  <c r="O311" i="16"/>
  <c r="F309" i="16"/>
  <c r="O306" i="16"/>
  <c r="F306" i="16"/>
  <c r="L305" i="16"/>
  <c r="C300" i="16"/>
  <c r="C301" i="16" s="1"/>
  <c r="C302" i="16" s="1"/>
  <c r="C303" i="16" s="1"/>
  <c r="C304" i="16" s="1"/>
  <c r="C305" i="16" s="1"/>
  <c r="C306" i="16" s="1"/>
  <c r="C307" i="16" s="1"/>
  <c r="C308" i="16" s="1"/>
  <c r="C309" i="16" s="1"/>
  <c r="C310" i="16" s="1"/>
  <c r="C311" i="16" s="1"/>
  <c r="C312" i="16" s="1"/>
  <c r="K303" i="16"/>
  <c r="G305" i="16"/>
  <c r="P307" i="16"/>
  <c r="K309" i="16"/>
  <c r="H306" i="16"/>
  <c r="L307" i="16"/>
  <c r="G309" i="16"/>
  <c r="P310" i="16"/>
  <c r="G306" i="16"/>
  <c r="K307" i="16"/>
  <c r="G308" i="16"/>
  <c r="K311" i="16"/>
  <c r="K305" i="16"/>
  <c r="P308" i="16"/>
  <c r="O307" i="16"/>
  <c r="F307" i="16"/>
  <c r="M310" i="16"/>
  <c r="M308" i="16"/>
  <c r="I306" i="16"/>
  <c r="O303" i="16"/>
  <c r="H309" i="16"/>
  <c r="H642" i="16"/>
  <c r="N647" i="16"/>
  <c r="P647" i="16"/>
  <c r="F641" i="16"/>
  <c r="K646" i="16"/>
  <c r="N639" i="16"/>
  <c r="J642" i="16"/>
  <c r="M643" i="16"/>
  <c r="G642" i="16"/>
  <c r="L641" i="16"/>
  <c r="K639" i="16"/>
  <c r="G643" i="16"/>
  <c r="P645" i="16"/>
  <c r="F646" i="16"/>
  <c r="P643" i="16"/>
  <c r="K645" i="16"/>
  <c r="I644" i="16"/>
  <c r="O643" i="16"/>
  <c r="K644" i="16"/>
  <c r="G641" i="16"/>
  <c r="L642" i="16"/>
  <c r="I643" i="16"/>
  <c r="P639" i="16"/>
  <c r="J645" i="16"/>
  <c r="N644" i="16"/>
  <c r="I645" i="16"/>
  <c r="N645" i="16"/>
  <c r="N646" i="16"/>
  <c r="O647" i="16"/>
  <c r="H644" i="16"/>
  <c r="M646" i="16"/>
  <c r="I646" i="16"/>
  <c r="L644" i="16"/>
  <c r="M642" i="16"/>
  <c r="K641" i="16"/>
  <c r="O639" i="16"/>
  <c r="G644" i="16"/>
  <c r="M639" i="16"/>
  <c r="J646" i="16"/>
  <c r="P642" i="16"/>
  <c r="O644" i="16"/>
  <c r="C636" i="16"/>
  <c r="C637" i="16" s="1"/>
  <c r="C638" i="16" s="1"/>
  <c r="C639" i="16" s="1"/>
  <c r="C640" i="16" s="1"/>
  <c r="C641" i="16" s="1"/>
  <c r="C642" i="16" s="1"/>
  <c r="C643" i="16" s="1"/>
  <c r="C644" i="16" s="1"/>
  <c r="C645" i="16" s="1"/>
  <c r="C646" i="16" s="1"/>
  <c r="C647" i="16" s="1"/>
  <c r="C648" i="16" s="1"/>
  <c r="O641" i="16"/>
  <c r="L645" i="16"/>
  <c r="N641" i="16"/>
  <c r="K643" i="16"/>
  <c r="G646" i="16"/>
  <c r="N643" i="16"/>
  <c r="H643" i="16"/>
  <c r="M641" i="16"/>
  <c r="M644" i="16"/>
  <c r="J644" i="16"/>
  <c r="P644" i="16"/>
  <c r="F643" i="16"/>
  <c r="K642" i="16"/>
  <c r="I641" i="16"/>
  <c r="P641" i="16"/>
  <c r="F644" i="16"/>
  <c r="L646" i="16"/>
  <c r="J641" i="16"/>
  <c r="L647" i="16"/>
  <c r="J643" i="16"/>
  <c r="O645" i="16"/>
  <c r="G645" i="16"/>
  <c r="M645" i="16"/>
  <c r="H646" i="16"/>
  <c r="F645" i="16"/>
  <c r="P646" i="16"/>
  <c r="O646" i="16"/>
  <c r="N642" i="16"/>
  <c r="O642" i="16"/>
  <c r="L643" i="16"/>
  <c r="H641" i="16"/>
  <c r="F642" i="16"/>
  <c r="M647" i="16"/>
  <c r="H645" i="16"/>
  <c r="I642" i="16"/>
  <c r="K647" i="16"/>
  <c r="L639" i="16"/>
  <c r="L393" i="16"/>
  <c r="K393" i="16"/>
  <c r="N391" i="16"/>
  <c r="G392" i="16"/>
  <c r="J393" i="16"/>
  <c r="N390" i="16"/>
  <c r="N393" i="16"/>
  <c r="N395" i="16"/>
  <c r="G389" i="16"/>
  <c r="P393" i="16"/>
  <c r="J394" i="16"/>
  <c r="P391" i="16"/>
  <c r="P390" i="16"/>
  <c r="F394" i="16"/>
  <c r="O395" i="16"/>
  <c r="I394" i="16"/>
  <c r="H389" i="16"/>
  <c r="L395" i="16"/>
  <c r="O389" i="16"/>
  <c r="P392" i="16"/>
  <c r="F393" i="16"/>
  <c r="P389" i="16"/>
  <c r="G393" i="16"/>
  <c r="L389" i="16"/>
  <c r="H390" i="16"/>
  <c r="I393" i="16"/>
  <c r="P387" i="16"/>
  <c r="F390" i="16"/>
  <c r="J391" i="16"/>
  <c r="L394" i="16"/>
  <c r="P395" i="16"/>
  <c r="L391" i="16"/>
  <c r="F391" i="16"/>
  <c r="G394" i="16"/>
  <c r="I390" i="16"/>
  <c r="K395" i="16"/>
  <c r="F389" i="16"/>
  <c r="K394" i="16"/>
  <c r="M387" i="16"/>
  <c r="K392" i="16"/>
  <c r="G391" i="16"/>
  <c r="P394" i="16"/>
  <c r="O387" i="16"/>
  <c r="K391" i="16"/>
  <c r="J389" i="16"/>
  <c r="H391" i="16"/>
  <c r="M392" i="16"/>
  <c r="K389" i="16"/>
  <c r="M393" i="16"/>
  <c r="O394" i="16"/>
  <c r="N389" i="16"/>
  <c r="H394" i="16"/>
  <c r="O392" i="16"/>
  <c r="G390" i="16"/>
  <c r="O391" i="16"/>
  <c r="M395" i="16"/>
  <c r="J390" i="16"/>
  <c r="M391" i="16"/>
  <c r="K390" i="16"/>
  <c r="F392" i="16"/>
  <c r="N392" i="16"/>
  <c r="H392" i="16"/>
  <c r="H393" i="16"/>
  <c r="N387" i="16"/>
  <c r="I392" i="16"/>
  <c r="L387" i="16"/>
  <c r="M389" i="16"/>
  <c r="M394" i="16"/>
  <c r="I389" i="16"/>
  <c r="O393" i="16"/>
  <c r="L390" i="16"/>
  <c r="C384" i="16"/>
  <c r="C385" i="16" s="1"/>
  <c r="C386" i="16" s="1"/>
  <c r="C387" i="16" s="1"/>
  <c r="C388" i="16" s="1"/>
  <c r="C389" i="16" s="1"/>
  <c r="C390" i="16" s="1"/>
  <c r="C391" i="16" s="1"/>
  <c r="C392" i="16" s="1"/>
  <c r="C393" i="16" s="1"/>
  <c r="C394" i="16" s="1"/>
  <c r="C395" i="16" s="1"/>
  <c r="C396" i="16" s="1"/>
  <c r="N394" i="16"/>
  <c r="I391" i="16"/>
  <c r="J392" i="16"/>
  <c r="L392" i="16"/>
  <c r="K387" i="16"/>
  <c r="M390" i="16"/>
  <c r="O390" i="16"/>
  <c r="K761" i="15"/>
  <c r="M763" i="15"/>
  <c r="J759" i="15"/>
  <c r="M761" i="15"/>
  <c r="O765" i="15"/>
  <c r="L764" i="15"/>
  <c r="O757" i="15"/>
  <c r="K767" i="15"/>
  <c r="I762" i="15"/>
  <c r="L756" i="15"/>
  <c r="N759" i="15"/>
  <c r="I759" i="15"/>
  <c r="K762" i="15"/>
  <c r="H766" i="15"/>
  <c r="H759" i="15"/>
  <c r="J763" i="15"/>
  <c r="N763" i="15"/>
  <c r="G759" i="15"/>
  <c r="O762" i="15"/>
  <c r="H762" i="15"/>
  <c r="M759" i="15"/>
  <c r="N756" i="15"/>
  <c r="P758" i="15"/>
  <c r="N765" i="15"/>
  <c r="K757" i="15"/>
  <c r="G762" i="15"/>
  <c r="P765" i="15"/>
  <c r="M757" i="15"/>
  <c r="J766" i="15"/>
  <c r="L765" i="15"/>
  <c r="N762" i="15"/>
  <c r="P764" i="15"/>
  <c r="O764" i="15"/>
  <c r="P761" i="15"/>
  <c r="O767" i="15"/>
  <c r="F761" i="15"/>
  <c r="M764" i="15"/>
  <c r="H761" i="15"/>
  <c r="P766" i="15"/>
  <c r="H757" i="15"/>
  <c r="H765" i="15"/>
  <c r="L766" i="15"/>
  <c r="F766" i="15"/>
  <c r="H763" i="15"/>
  <c r="N757" i="15"/>
  <c r="J761" i="15"/>
  <c r="C753" i="15"/>
  <c r="C754" i="15" s="1"/>
  <c r="C755" i="15" s="1"/>
  <c r="C756" i="15" s="1"/>
  <c r="C757" i="15" s="1"/>
  <c r="C758" i="15" s="1"/>
  <c r="C759" i="15" s="1"/>
  <c r="C760" i="15" s="1"/>
  <c r="C761" i="15" s="1"/>
  <c r="C762" i="15" s="1"/>
  <c r="C763" i="15" s="1"/>
  <c r="C764" i="15" s="1"/>
  <c r="C765" i="15" s="1"/>
  <c r="C766" i="15" s="1"/>
  <c r="C767" i="15" s="1"/>
  <c r="C768" i="15" s="1"/>
  <c r="P756" i="15"/>
  <c r="O763" i="15"/>
  <c r="K758" i="15"/>
  <c r="P763" i="15"/>
  <c r="L763" i="15"/>
  <c r="F759" i="15"/>
  <c r="I766" i="15"/>
  <c r="J762" i="15"/>
  <c r="L761" i="15"/>
  <c r="N764" i="15"/>
  <c r="F765" i="15"/>
  <c r="O766" i="15"/>
  <c r="M756" i="15"/>
  <c r="M758" i="15"/>
  <c r="O756" i="15"/>
  <c r="K764" i="15"/>
  <c r="I757" i="15"/>
  <c r="P762" i="15"/>
  <c r="G764" i="15"/>
  <c r="H764" i="15"/>
  <c r="L762" i="15"/>
  <c r="G763" i="15"/>
  <c r="J757" i="15"/>
  <c r="K763" i="15"/>
  <c r="N758" i="15"/>
  <c r="J764" i="15"/>
  <c r="O758" i="15"/>
  <c r="L759" i="15"/>
  <c r="G761" i="15"/>
  <c r="P757" i="15"/>
  <c r="I761" i="15"/>
  <c r="G766" i="15"/>
  <c r="L757" i="15"/>
  <c r="G765" i="15"/>
  <c r="K765" i="15"/>
  <c r="O759" i="15"/>
  <c r="I764" i="15"/>
  <c r="M765" i="15"/>
  <c r="L758" i="15"/>
  <c r="O761" i="15"/>
  <c r="N761" i="15"/>
  <c r="I765" i="15"/>
  <c r="K756" i="15"/>
  <c r="M767" i="15"/>
  <c r="N767" i="15"/>
  <c r="F763" i="15"/>
  <c r="K766" i="15"/>
  <c r="F762" i="15"/>
  <c r="K759" i="15"/>
  <c r="M766" i="15"/>
  <c r="J765" i="15"/>
  <c r="F757" i="15"/>
  <c r="N766" i="15"/>
  <c r="P759" i="15"/>
  <c r="F764" i="15"/>
  <c r="L767" i="15"/>
  <c r="P767" i="15"/>
  <c r="G757" i="15"/>
  <c r="I763" i="15"/>
  <c r="M762" i="15"/>
  <c r="K273" i="12"/>
  <c r="K274" i="12" s="1"/>
  <c r="I273" i="12"/>
  <c r="I274" i="12" s="1"/>
  <c r="J273" i="12"/>
  <c r="J274" i="12" s="1"/>
  <c r="C268" i="12"/>
  <c r="C269" i="12" s="1"/>
  <c r="C270" i="12" s="1"/>
  <c r="C271" i="12" s="1"/>
  <c r="C272" i="12" s="1"/>
  <c r="C273" i="12" s="1"/>
  <c r="C274" i="12" s="1"/>
  <c r="I571" i="16"/>
  <c r="L575" i="16"/>
  <c r="M569" i="16"/>
  <c r="P572" i="16"/>
  <c r="J572" i="16"/>
  <c r="L577" i="16"/>
  <c r="H576" i="16"/>
  <c r="P574" i="16"/>
  <c r="M576" i="16"/>
  <c r="G571" i="16"/>
  <c r="O577" i="16"/>
  <c r="K573" i="16"/>
  <c r="M572" i="16"/>
  <c r="O576" i="16"/>
  <c r="I576" i="16"/>
  <c r="L573" i="16"/>
  <c r="L574" i="16"/>
  <c r="J574" i="16"/>
  <c r="L571" i="16"/>
  <c r="K575" i="16"/>
  <c r="I572" i="16"/>
  <c r="M571" i="16"/>
  <c r="O571" i="16"/>
  <c r="I573" i="16"/>
  <c r="L576" i="16"/>
  <c r="M574" i="16"/>
  <c r="G572" i="16"/>
  <c r="M575" i="16"/>
  <c r="F575" i="16"/>
  <c r="K569" i="16"/>
  <c r="H574" i="16"/>
  <c r="N573" i="16"/>
  <c r="N575" i="16"/>
  <c r="J571" i="16"/>
  <c r="N574" i="16"/>
  <c r="F574" i="16"/>
  <c r="F573" i="16"/>
  <c r="M573" i="16"/>
  <c r="O573" i="16"/>
  <c r="N577" i="16"/>
  <c r="F571" i="16"/>
  <c r="K577" i="16"/>
  <c r="P576" i="16"/>
  <c r="H571" i="16"/>
  <c r="O575" i="16"/>
  <c r="I575" i="16"/>
  <c r="H575" i="16"/>
  <c r="G576" i="16"/>
  <c r="P571" i="16"/>
  <c r="N572" i="16"/>
  <c r="I574" i="16"/>
  <c r="K571" i="16"/>
  <c r="C566" i="16"/>
  <c r="C567" i="16" s="1"/>
  <c r="C568" i="16" s="1"/>
  <c r="C569" i="16" s="1"/>
  <c r="C570" i="16" s="1"/>
  <c r="C571" i="16" s="1"/>
  <c r="C572" i="16" s="1"/>
  <c r="C573" i="16" s="1"/>
  <c r="C574" i="16" s="1"/>
  <c r="C575" i="16" s="1"/>
  <c r="C576" i="16" s="1"/>
  <c r="C577" i="16" s="1"/>
  <c r="C578" i="16" s="1"/>
  <c r="N569" i="16"/>
  <c r="K574" i="16"/>
  <c r="O572" i="16"/>
  <c r="J576" i="16"/>
  <c r="J573" i="16"/>
  <c r="G573" i="16"/>
  <c r="G575" i="16"/>
  <c r="P575" i="16"/>
  <c r="K572" i="16"/>
  <c r="L572" i="16"/>
  <c r="H573" i="16"/>
  <c r="F572" i="16"/>
  <c r="P577" i="16"/>
  <c r="N571" i="16"/>
  <c r="P573" i="16"/>
  <c r="J575" i="16"/>
  <c r="G574" i="16"/>
  <c r="F576" i="16"/>
  <c r="M577" i="16"/>
  <c r="O569" i="16"/>
  <c r="P569" i="16"/>
  <c r="H572" i="16"/>
  <c r="K576" i="16"/>
  <c r="L569" i="16"/>
  <c r="N576" i="16"/>
  <c r="O574" i="16"/>
  <c r="U547" i="14"/>
  <c r="S548" i="14"/>
  <c r="T547" i="14"/>
  <c r="G546" i="14"/>
  <c r="P544" i="14"/>
  <c r="H545" i="14"/>
  <c r="K544" i="14"/>
  <c r="O547" i="14"/>
  <c r="M546" i="14"/>
  <c r="F544" i="14"/>
  <c r="O544" i="14"/>
  <c r="F543" i="14"/>
  <c r="M543" i="14"/>
  <c r="G545" i="14"/>
  <c r="K548" i="14"/>
  <c r="K547" i="14"/>
  <c r="O541" i="14"/>
  <c r="I546" i="14"/>
  <c r="N545" i="14"/>
  <c r="S543" i="14"/>
  <c r="F546" i="14"/>
  <c r="N547" i="14"/>
  <c r="N548" i="14"/>
  <c r="F548" i="14"/>
  <c r="U543" i="14"/>
  <c r="R543" i="14"/>
  <c r="I544" i="14"/>
  <c r="I547" i="14"/>
  <c r="G548" i="14"/>
  <c r="L541" i="14"/>
  <c r="S544" i="14"/>
  <c r="G547" i="14"/>
  <c r="L545" i="14"/>
  <c r="J543" i="14"/>
  <c r="O545" i="14"/>
  <c r="M548" i="14"/>
  <c r="J547" i="14"/>
  <c r="U546" i="14"/>
  <c r="T548" i="14"/>
  <c r="I548" i="14"/>
  <c r="P547" i="14"/>
  <c r="G544" i="14"/>
  <c r="N546" i="14"/>
  <c r="O549" i="14"/>
  <c r="R546" i="14"/>
  <c r="R547" i="14"/>
  <c r="N543" i="14"/>
  <c r="R544" i="14"/>
  <c r="H544" i="14"/>
  <c r="P548" i="14"/>
  <c r="P543" i="14"/>
  <c r="F547" i="14"/>
  <c r="H547" i="14"/>
  <c r="J546" i="14"/>
  <c r="J545" i="14"/>
  <c r="H546" i="14"/>
  <c r="G543" i="14"/>
  <c r="P545" i="14"/>
  <c r="I545" i="14"/>
  <c r="C538" i="14"/>
  <c r="P546" i="14"/>
  <c r="M544" i="14"/>
  <c r="U545" i="14"/>
  <c r="L544" i="14"/>
  <c r="T543" i="14"/>
  <c r="S546" i="14"/>
  <c r="I543" i="14"/>
  <c r="J544" i="14"/>
  <c r="M545" i="14"/>
  <c r="O543" i="14"/>
  <c r="L548" i="14"/>
  <c r="T545" i="14"/>
  <c r="M547" i="14"/>
  <c r="J548" i="14"/>
  <c r="T544" i="14"/>
  <c r="R548" i="14"/>
  <c r="N544" i="14"/>
  <c r="U544" i="14"/>
  <c r="S545" i="14"/>
  <c r="K543" i="14"/>
  <c r="L546" i="14"/>
  <c r="O548" i="14"/>
  <c r="L543" i="14"/>
  <c r="T546" i="14"/>
  <c r="L549" i="14"/>
  <c r="L547" i="14"/>
  <c r="R545" i="14"/>
  <c r="K546" i="14"/>
  <c r="K545" i="14"/>
  <c r="F545" i="14"/>
  <c r="O546" i="14"/>
  <c r="H548" i="14"/>
  <c r="U548" i="14"/>
  <c r="H543" i="14"/>
  <c r="S547" i="14"/>
  <c r="J313" i="12"/>
  <c r="J314" i="12" s="1"/>
  <c r="K313" i="12"/>
  <c r="K314" i="12" s="1"/>
  <c r="I313" i="12"/>
  <c r="I314" i="12" s="1"/>
  <c r="C308" i="12"/>
  <c r="C309" i="12" s="1"/>
  <c r="C310" i="12" s="1"/>
  <c r="C311" i="12" s="1"/>
  <c r="C312" i="12" s="1"/>
  <c r="C313" i="12" s="1"/>
  <c r="C314" i="12" s="1"/>
  <c r="I823" i="16"/>
  <c r="K823" i="16"/>
  <c r="G826" i="16"/>
  <c r="J827" i="16"/>
  <c r="N826" i="16"/>
  <c r="G825" i="16"/>
  <c r="J825" i="16"/>
  <c r="K824" i="16"/>
  <c r="O827" i="16"/>
  <c r="J826" i="16"/>
  <c r="P826" i="16"/>
  <c r="M829" i="16"/>
  <c r="M821" i="16"/>
  <c r="H824" i="16"/>
  <c r="N825" i="16"/>
  <c r="J828" i="16"/>
  <c r="N824" i="16"/>
  <c r="J824" i="16"/>
  <c r="M826" i="16"/>
  <c r="L827" i="16"/>
  <c r="F826" i="16"/>
  <c r="G827" i="16"/>
  <c r="K821" i="16"/>
  <c r="G828" i="16"/>
  <c r="O826" i="16"/>
  <c r="L826" i="16"/>
  <c r="F828" i="16"/>
  <c r="O824" i="16"/>
  <c r="P824" i="16"/>
  <c r="H827" i="16"/>
  <c r="H826" i="16"/>
  <c r="L821" i="16"/>
  <c r="P825" i="16"/>
  <c r="H828" i="16"/>
  <c r="L825" i="16"/>
  <c r="N828" i="16"/>
  <c r="F827" i="16"/>
  <c r="P821" i="16"/>
  <c r="O825" i="16"/>
  <c r="I826" i="16"/>
  <c r="P827" i="16"/>
  <c r="K829" i="16"/>
  <c r="C818" i="16"/>
  <c r="C819" i="16" s="1"/>
  <c r="C820" i="16" s="1"/>
  <c r="C821" i="16" s="1"/>
  <c r="C822" i="16" s="1"/>
  <c r="C823" i="16" s="1"/>
  <c r="C824" i="16" s="1"/>
  <c r="C825" i="16" s="1"/>
  <c r="C826" i="16" s="1"/>
  <c r="C827" i="16" s="1"/>
  <c r="C828" i="16" s="1"/>
  <c r="C829" i="16" s="1"/>
  <c r="C830" i="16" s="1"/>
  <c r="K828" i="16"/>
  <c r="N823" i="16"/>
  <c r="F825" i="16"/>
  <c r="L828" i="16"/>
  <c r="P829" i="16"/>
  <c r="M825" i="16"/>
  <c r="J823" i="16"/>
  <c r="P823" i="16"/>
  <c r="L823" i="16"/>
  <c r="I824" i="16"/>
  <c r="M828" i="16"/>
  <c r="L829" i="16"/>
  <c r="O828" i="16"/>
  <c r="H823" i="16"/>
  <c r="F823" i="16"/>
  <c r="O823" i="16"/>
  <c r="P828" i="16"/>
  <c r="M824" i="16"/>
  <c r="F824" i="16"/>
  <c r="K825" i="16"/>
  <c r="K826" i="16"/>
  <c r="N827" i="16"/>
  <c r="K827" i="16"/>
  <c r="H825" i="16"/>
  <c r="M823" i="16"/>
  <c r="M827" i="16"/>
  <c r="N821" i="16"/>
  <c r="G823" i="16"/>
  <c r="I827" i="16"/>
  <c r="N829" i="16"/>
  <c r="O821" i="16"/>
  <c r="G824" i="16"/>
  <c r="I825" i="16"/>
  <c r="O829" i="16"/>
  <c r="L824" i="16"/>
  <c r="I828" i="16"/>
  <c r="F417" i="11"/>
  <c r="O416" i="11"/>
  <c r="J418" i="11"/>
  <c r="G417" i="11"/>
  <c r="T416" i="11"/>
  <c r="R416" i="11"/>
  <c r="G418" i="11"/>
  <c r="N417" i="11"/>
  <c r="H417" i="11"/>
  <c r="O418" i="11"/>
  <c r="P417" i="11"/>
  <c r="J417" i="11"/>
  <c r="R418" i="11"/>
  <c r="I416" i="11"/>
  <c r="S418" i="11"/>
  <c r="S417" i="11"/>
  <c r="O417" i="11"/>
  <c r="H418" i="11"/>
  <c r="T418" i="11"/>
  <c r="M417" i="11"/>
  <c r="K417" i="11"/>
  <c r="H416" i="11"/>
  <c r="Q417" i="11"/>
  <c r="T417" i="11"/>
  <c r="G416" i="11"/>
  <c r="K418" i="11"/>
  <c r="K416" i="11"/>
  <c r="F418" i="11"/>
  <c r="R417" i="11"/>
  <c r="Q418" i="11"/>
  <c r="C411" i="11"/>
  <c r="F416" i="11"/>
  <c r="Q416" i="11"/>
  <c r="J416" i="11"/>
  <c r="P418" i="11"/>
  <c r="S416" i="11"/>
  <c r="I418" i="11"/>
  <c r="L417" i="11"/>
  <c r="C412" i="11"/>
  <c r="C413" i="11" s="1"/>
  <c r="C414" i="11" s="1"/>
  <c r="C415" i="11" s="1"/>
  <c r="C416" i="11" s="1"/>
  <c r="C417" i="11" s="1"/>
  <c r="C418" i="11" s="1"/>
  <c r="C419" i="11" s="1"/>
  <c r="P416" i="11"/>
  <c r="I417" i="11"/>
  <c r="G1029" i="15"/>
  <c r="P1033" i="15"/>
  <c r="M1036" i="15"/>
  <c r="F1031" i="15"/>
  <c r="O1030" i="15"/>
  <c r="N1029" i="15"/>
  <c r="K1033" i="15"/>
  <c r="K1037" i="15"/>
  <c r="P1029" i="15"/>
  <c r="O1033" i="15"/>
  <c r="J1038" i="15"/>
  <c r="N1030" i="15"/>
  <c r="K1034" i="15"/>
  <c r="H1033" i="15"/>
  <c r="L1039" i="15"/>
  <c r="K1030" i="15"/>
  <c r="F1035" i="15"/>
  <c r="O1038" i="15"/>
  <c r="L1036" i="15"/>
  <c r="N1033" i="15"/>
  <c r="K1029" i="15"/>
  <c r="M1038" i="15"/>
  <c r="M1030" i="15"/>
  <c r="J1035" i="15"/>
  <c r="F1034" i="15"/>
  <c r="G1033" i="15"/>
  <c r="H1029" i="15"/>
  <c r="K1035" i="15"/>
  <c r="N1038" i="15"/>
  <c r="J1036" i="15"/>
  <c r="M1035" i="15"/>
  <c r="N1035" i="15"/>
  <c r="N1039" i="15"/>
  <c r="K1028" i="15"/>
  <c r="M1029" i="15"/>
  <c r="F1033" i="15"/>
  <c r="I1031" i="15"/>
  <c r="L1037" i="15"/>
  <c r="P1034" i="15"/>
  <c r="K1039" i="15"/>
  <c r="N1036" i="15"/>
  <c r="J1037" i="15"/>
  <c r="N1034" i="15"/>
  <c r="H1034" i="15"/>
  <c r="M1031" i="15"/>
  <c r="L1028" i="15"/>
  <c r="F1036" i="15"/>
  <c r="O1031" i="15"/>
  <c r="C1025" i="15"/>
  <c r="C1026" i="15" s="1"/>
  <c r="C1027" i="15" s="1"/>
  <c r="C1028" i="15" s="1"/>
  <c r="C1029" i="15" s="1"/>
  <c r="C1030" i="15" s="1"/>
  <c r="C1031" i="15" s="1"/>
  <c r="C1032" i="15" s="1"/>
  <c r="C1033" i="15" s="1"/>
  <c r="C1034" i="15" s="1"/>
  <c r="C1035" i="15" s="1"/>
  <c r="C1036" i="15" s="1"/>
  <c r="C1037" i="15" s="1"/>
  <c r="C1038" i="15" s="1"/>
  <c r="C1039" i="15" s="1"/>
  <c r="C1040" i="15" s="1"/>
  <c r="P1035" i="15"/>
  <c r="L1030" i="15"/>
  <c r="J1029" i="15"/>
  <c r="H1035" i="15"/>
  <c r="G1031" i="15"/>
  <c r="H1031" i="15"/>
  <c r="O1028" i="15"/>
  <c r="I1029" i="15"/>
  <c r="P1031" i="15"/>
  <c r="F1029" i="15"/>
  <c r="I1034" i="15"/>
  <c r="O1029" i="15"/>
  <c r="M1033" i="15"/>
  <c r="I1038" i="15"/>
  <c r="M1028" i="15"/>
  <c r="P1030" i="15"/>
  <c r="I1036" i="15"/>
  <c r="M1039" i="15"/>
  <c r="M1034" i="15"/>
  <c r="L1033" i="15"/>
  <c r="L1034" i="15"/>
  <c r="I1033" i="15"/>
  <c r="N1028" i="15"/>
  <c r="H1036" i="15"/>
  <c r="K1038" i="15"/>
  <c r="J1033" i="15"/>
  <c r="L1029" i="15"/>
  <c r="H1037" i="15"/>
  <c r="P1039" i="15"/>
  <c r="N1037" i="15"/>
  <c r="H1038" i="15"/>
  <c r="L1038" i="15"/>
  <c r="G1035" i="15"/>
  <c r="L1035" i="15"/>
  <c r="P1036" i="15"/>
  <c r="F1038" i="15"/>
  <c r="O1035" i="15"/>
  <c r="K1031" i="15"/>
  <c r="O1039" i="15"/>
  <c r="J1031" i="15"/>
  <c r="K1036" i="15"/>
  <c r="G1034" i="15"/>
  <c r="M1037" i="15"/>
  <c r="F1037" i="15"/>
  <c r="O1036" i="15"/>
  <c r="L1031" i="15"/>
  <c r="P1038" i="15"/>
  <c r="G1036" i="15"/>
  <c r="N1031" i="15"/>
  <c r="P1028" i="15"/>
  <c r="J1034" i="15"/>
  <c r="P1037" i="15"/>
  <c r="G1038" i="15"/>
  <c r="I1035" i="15"/>
  <c r="O1037" i="15"/>
  <c r="I1037" i="15"/>
  <c r="G1037" i="15"/>
  <c r="O1034" i="15"/>
  <c r="F780" i="13"/>
  <c r="T784" i="13"/>
  <c r="T783" i="13"/>
  <c r="O779" i="13"/>
  <c r="N783" i="13"/>
  <c r="L776" i="13"/>
  <c r="L777" i="13"/>
  <c r="I777" i="13"/>
  <c r="U783" i="13"/>
  <c r="P779" i="13"/>
  <c r="T780" i="13"/>
  <c r="S782" i="13"/>
  <c r="F779" i="13"/>
  <c r="J779" i="13"/>
  <c r="R782" i="13"/>
  <c r="J784" i="13"/>
  <c r="U784" i="13"/>
  <c r="O780" i="13"/>
  <c r="K779" i="13"/>
  <c r="N776" i="13"/>
  <c r="O782" i="13"/>
  <c r="N775" i="13"/>
  <c r="L784" i="13"/>
  <c r="O776" i="13"/>
  <c r="G781" i="13"/>
  <c r="U780" i="13"/>
  <c r="S777" i="13"/>
  <c r="R784" i="13"/>
  <c r="G779" i="13"/>
  <c r="I779" i="13"/>
  <c r="K775" i="13"/>
  <c r="K781" i="13"/>
  <c r="L780" i="13"/>
  <c r="K777" i="13"/>
  <c r="N780" i="13"/>
  <c r="L781" i="13"/>
  <c r="K780" i="13"/>
  <c r="H775" i="13"/>
  <c r="H777" i="13"/>
  <c r="O775" i="13"/>
  <c r="C771" i="13"/>
  <c r="C772" i="13" s="1"/>
  <c r="C773" i="13" s="1"/>
  <c r="C774" i="13" s="1"/>
  <c r="C775" i="13" s="1"/>
  <c r="C776" i="13" s="1"/>
  <c r="C777" i="13" s="1"/>
  <c r="C778" i="13" s="1"/>
  <c r="C779" i="13" s="1"/>
  <c r="C780" i="13" s="1"/>
  <c r="C781" i="13" s="1"/>
  <c r="C782" i="13" s="1"/>
  <c r="C783" i="13" s="1"/>
  <c r="C784" i="13" s="1"/>
  <c r="C785" i="13" s="1"/>
  <c r="C786" i="13" s="1"/>
  <c r="U781" i="13"/>
  <c r="L785" i="13"/>
  <c r="P780" i="13"/>
  <c r="S784" i="13"/>
  <c r="U775" i="13"/>
  <c r="T777" i="13"/>
  <c r="N774" i="13"/>
  <c r="M784" i="13"/>
  <c r="M777" i="13"/>
  <c r="M780" i="13"/>
  <c r="K783" i="13"/>
  <c r="R777" i="13"/>
  <c r="G777" i="13"/>
  <c r="T779" i="13"/>
  <c r="I783" i="13"/>
  <c r="R780" i="13"/>
  <c r="J775" i="13"/>
  <c r="O774" i="13"/>
  <c r="J780" i="13"/>
  <c r="R775" i="13"/>
  <c r="I780" i="13"/>
  <c r="H779" i="13"/>
  <c r="T781" i="13"/>
  <c r="P784" i="13"/>
  <c r="M783" i="13"/>
  <c r="K776" i="13"/>
  <c r="N784" i="13"/>
  <c r="L782" i="13"/>
  <c r="I775" i="13"/>
  <c r="M779" i="13"/>
  <c r="P783" i="13"/>
  <c r="P782" i="13"/>
  <c r="F777" i="13"/>
  <c r="U782" i="13"/>
  <c r="H784" i="13"/>
  <c r="R779" i="13"/>
  <c r="S781" i="13"/>
  <c r="N781" i="13"/>
  <c r="O785" i="13"/>
  <c r="S775" i="13"/>
  <c r="I784" i="13"/>
  <c r="M775" i="13"/>
  <c r="M782" i="13"/>
  <c r="G784" i="13"/>
  <c r="L775" i="13"/>
  <c r="N785" i="13"/>
  <c r="U779" i="13"/>
  <c r="K784" i="13"/>
  <c r="K782" i="13"/>
  <c r="F784" i="13"/>
  <c r="S780" i="13"/>
  <c r="U777" i="13"/>
  <c r="F775" i="13"/>
  <c r="N777" i="13"/>
  <c r="N782" i="13"/>
  <c r="O777" i="13"/>
  <c r="H783" i="13"/>
  <c r="G783" i="13"/>
  <c r="P781" i="13"/>
  <c r="K785" i="13"/>
  <c r="K774" i="13"/>
  <c r="I781" i="13"/>
  <c r="F783" i="13"/>
  <c r="P775" i="13"/>
  <c r="N779" i="13"/>
  <c r="J783" i="13"/>
  <c r="G780" i="13"/>
  <c r="H782" i="13"/>
  <c r="T775" i="13"/>
  <c r="S783" i="13"/>
  <c r="R783" i="13"/>
  <c r="T782" i="13"/>
  <c r="L783" i="13"/>
  <c r="H781" i="13"/>
  <c r="F782" i="13"/>
  <c r="J781" i="13"/>
  <c r="L779" i="13"/>
  <c r="L774" i="13"/>
  <c r="P777" i="13"/>
  <c r="S779" i="13"/>
  <c r="G782" i="13"/>
  <c r="O784" i="13"/>
  <c r="H780" i="13"/>
  <c r="I782" i="13"/>
  <c r="O783" i="13"/>
  <c r="G775" i="13"/>
  <c r="R781" i="13"/>
  <c r="J777" i="13"/>
  <c r="J782" i="13"/>
  <c r="F781" i="13"/>
  <c r="M781" i="13"/>
  <c r="O781" i="13"/>
  <c r="C692" i="16"/>
  <c r="C693" i="16" s="1"/>
  <c r="C694" i="16" s="1"/>
  <c r="C695" i="16" s="1"/>
  <c r="C696" i="16" s="1"/>
  <c r="C697" i="16" s="1"/>
  <c r="C698" i="16" s="1"/>
  <c r="C699" i="16" s="1"/>
  <c r="C700" i="16" s="1"/>
  <c r="C701" i="16" s="1"/>
  <c r="C702" i="16" s="1"/>
  <c r="C703" i="16" s="1"/>
  <c r="C704" i="16" s="1"/>
  <c r="K698" i="16"/>
  <c r="M703" i="16"/>
  <c r="K702" i="16"/>
  <c r="I698" i="16"/>
  <c r="I701" i="16"/>
  <c r="K695" i="16"/>
  <c r="H701" i="16"/>
  <c r="O702" i="16"/>
  <c r="J699" i="16"/>
  <c r="J698" i="16"/>
  <c r="M697" i="16"/>
  <c r="P701" i="16"/>
  <c r="K700" i="16"/>
  <c r="O703" i="16"/>
  <c r="N699" i="16"/>
  <c r="N702" i="16"/>
  <c r="F701" i="16"/>
  <c r="L697" i="16"/>
  <c r="L701" i="16"/>
  <c r="F699" i="16"/>
  <c r="J701" i="16"/>
  <c r="L703" i="16"/>
  <c r="O698" i="16"/>
  <c r="N703" i="16"/>
  <c r="G698" i="16"/>
  <c r="P700" i="16"/>
  <c r="F702" i="16"/>
  <c r="M702" i="16"/>
  <c r="K697" i="16"/>
  <c r="N695" i="16"/>
  <c r="I697" i="16"/>
  <c r="K703" i="16"/>
  <c r="H697" i="16"/>
  <c r="M701" i="16"/>
  <c r="O695" i="16"/>
  <c r="J702" i="16"/>
  <c r="F697" i="16"/>
  <c r="M700" i="16"/>
  <c r="H698" i="16"/>
  <c r="I700" i="16"/>
  <c r="K699" i="16"/>
  <c r="F700" i="16"/>
  <c r="G697" i="16"/>
  <c r="M695" i="16"/>
  <c r="N697" i="16"/>
  <c r="H699" i="16"/>
  <c r="I702" i="16"/>
  <c r="F698" i="16"/>
  <c r="P698" i="16"/>
  <c r="G702" i="16"/>
  <c r="L695" i="16"/>
  <c r="J700" i="16"/>
  <c r="N698" i="16"/>
  <c r="L700" i="16"/>
  <c r="N700" i="16"/>
  <c r="O697" i="16"/>
  <c r="M699" i="16"/>
  <c r="O700" i="16"/>
  <c r="G699" i="16"/>
  <c r="L699" i="16"/>
  <c r="L702" i="16"/>
  <c r="L698" i="16"/>
  <c r="M698" i="16"/>
  <c r="O699" i="16"/>
  <c r="N701" i="16"/>
  <c r="H702" i="16"/>
  <c r="P695" i="16"/>
  <c r="P697" i="16"/>
  <c r="G701" i="16"/>
  <c r="G700" i="16"/>
  <c r="K701" i="16"/>
  <c r="P703" i="16"/>
  <c r="P699" i="16"/>
  <c r="O701" i="16"/>
  <c r="H700" i="16"/>
  <c r="J697" i="16"/>
  <c r="P702" i="16"/>
  <c r="I699" i="16"/>
  <c r="H417" i="16"/>
  <c r="O415" i="16"/>
  <c r="L417" i="16"/>
  <c r="F418" i="16"/>
  <c r="J418" i="16"/>
  <c r="M423" i="16"/>
  <c r="G419" i="16"/>
  <c r="M419" i="16"/>
  <c r="C412" i="16"/>
  <c r="C413" i="16" s="1"/>
  <c r="C414" i="16" s="1"/>
  <c r="C415" i="16" s="1"/>
  <c r="C416" i="16" s="1"/>
  <c r="C417" i="16" s="1"/>
  <c r="C418" i="16" s="1"/>
  <c r="C419" i="16" s="1"/>
  <c r="C420" i="16" s="1"/>
  <c r="C421" i="16" s="1"/>
  <c r="C422" i="16" s="1"/>
  <c r="C423" i="16" s="1"/>
  <c r="C424" i="16" s="1"/>
  <c r="F419" i="16"/>
  <c r="L418" i="16"/>
  <c r="K423" i="16"/>
  <c r="I422" i="16"/>
  <c r="K419" i="16"/>
  <c r="N415" i="16"/>
  <c r="L422" i="16"/>
  <c r="N423" i="16"/>
  <c r="K421" i="16"/>
  <c r="J421" i="16"/>
  <c r="M420" i="16"/>
  <c r="G418" i="16"/>
  <c r="N419" i="16"/>
  <c r="O417" i="16"/>
  <c r="H418" i="16"/>
  <c r="F417" i="16"/>
  <c r="M422" i="16"/>
  <c r="K418" i="16"/>
  <c r="I418" i="16"/>
  <c r="K415" i="16"/>
  <c r="J417" i="16"/>
  <c r="H422" i="16"/>
  <c r="L421" i="16"/>
  <c r="I417" i="16"/>
  <c r="I421" i="16"/>
  <c r="G420" i="16"/>
  <c r="L415" i="16"/>
  <c r="G417" i="16"/>
  <c r="H421" i="16"/>
  <c r="O419" i="16"/>
  <c r="K417" i="16"/>
  <c r="N421" i="16"/>
  <c r="H420" i="16"/>
  <c r="P417" i="16"/>
  <c r="P415" i="16"/>
  <c r="L420" i="16"/>
  <c r="L423" i="16"/>
  <c r="K420" i="16"/>
  <c r="J420" i="16"/>
  <c r="I420" i="16"/>
  <c r="O420" i="16"/>
  <c r="F422" i="16"/>
  <c r="O418" i="16"/>
  <c r="M417" i="16"/>
  <c r="J419" i="16"/>
  <c r="O421" i="16"/>
  <c r="P421" i="16"/>
  <c r="O422" i="16"/>
  <c r="N420" i="16"/>
  <c r="G422" i="16"/>
  <c r="N422" i="16"/>
  <c r="F421" i="16"/>
  <c r="N417" i="16"/>
  <c r="P420" i="16"/>
  <c r="M421" i="16"/>
  <c r="P418" i="16"/>
  <c r="N418" i="16"/>
  <c r="O423" i="16"/>
  <c r="P423" i="16"/>
  <c r="L419" i="16"/>
  <c r="F420" i="16"/>
  <c r="P419" i="16"/>
  <c r="P422" i="16"/>
  <c r="H419" i="16"/>
  <c r="M415" i="16"/>
  <c r="M418" i="16"/>
  <c r="J422" i="16"/>
  <c r="G421" i="16"/>
  <c r="K422" i="16"/>
  <c r="I419" i="16"/>
  <c r="I934" i="13"/>
  <c r="I930" i="13"/>
  <c r="N928" i="13"/>
  <c r="K927" i="13"/>
  <c r="P933" i="13"/>
  <c r="L930" i="13"/>
  <c r="T935" i="13"/>
  <c r="N934" i="13"/>
  <c r="G933" i="13"/>
  <c r="K929" i="13"/>
  <c r="G932" i="13"/>
  <c r="H934" i="13"/>
  <c r="P930" i="13"/>
  <c r="F934" i="13"/>
  <c r="M935" i="13"/>
  <c r="O934" i="13"/>
  <c r="L933" i="13"/>
  <c r="T936" i="13"/>
  <c r="U935" i="13"/>
  <c r="M933" i="13"/>
  <c r="L938" i="13"/>
  <c r="O927" i="13"/>
  <c r="J933" i="13"/>
  <c r="H936" i="13"/>
  <c r="I936" i="13"/>
  <c r="M928" i="13"/>
  <c r="N937" i="13"/>
  <c r="G934" i="13"/>
  <c r="I928" i="13"/>
  <c r="S933" i="13"/>
  <c r="R934" i="13"/>
  <c r="P928" i="13"/>
  <c r="L932" i="13"/>
  <c r="F933" i="13"/>
  <c r="U937" i="13"/>
  <c r="U934" i="13"/>
  <c r="F930" i="13"/>
  <c r="O936" i="13"/>
  <c r="R936" i="13"/>
  <c r="N938" i="13"/>
  <c r="O938" i="13"/>
  <c r="N930" i="13"/>
  <c r="K938" i="13"/>
  <c r="K932" i="13"/>
  <c r="F932" i="13"/>
  <c r="H935" i="13"/>
  <c r="G928" i="13"/>
  <c r="S928" i="13"/>
  <c r="R935" i="13"/>
  <c r="P934" i="13"/>
  <c r="G930" i="13"/>
  <c r="P935" i="13"/>
  <c r="P936" i="13"/>
  <c r="H930" i="13"/>
  <c r="I933" i="13"/>
  <c r="M932" i="13"/>
  <c r="H937" i="13"/>
  <c r="K936" i="13"/>
  <c r="O929" i="13"/>
  <c r="O933" i="13"/>
  <c r="S937" i="13"/>
  <c r="P937" i="13"/>
  <c r="O930" i="13"/>
  <c r="L935" i="13"/>
  <c r="G936" i="13"/>
  <c r="J928" i="13"/>
  <c r="T928" i="13"/>
  <c r="F935" i="13"/>
  <c r="R930" i="13"/>
  <c r="N932" i="13"/>
  <c r="N929" i="13"/>
  <c r="N935" i="13"/>
  <c r="G937" i="13"/>
  <c r="K934" i="13"/>
  <c r="P932" i="13"/>
  <c r="C924" i="13"/>
  <c r="C925" i="13" s="1"/>
  <c r="C926" i="13" s="1"/>
  <c r="C927" i="13" s="1"/>
  <c r="C928" i="13" s="1"/>
  <c r="C929" i="13" s="1"/>
  <c r="C930" i="13" s="1"/>
  <c r="C931" i="13" s="1"/>
  <c r="C932" i="13" s="1"/>
  <c r="C933" i="13" s="1"/>
  <c r="C934" i="13" s="1"/>
  <c r="C935" i="13" s="1"/>
  <c r="C936" i="13" s="1"/>
  <c r="C937" i="13" s="1"/>
  <c r="C938" i="13" s="1"/>
  <c r="C939" i="13" s="1"/>
  <c r="O935" i="13"/>
  <c r="K933" i="13"/>
  <c r="N933" i="13"/>
  <c r="L936" i="13"/>
  <c r="U928" i="13"/>
  <c r="F928" i="13"/>
  <c r="L927" i="13"/>
  <c r="M934" i="13"/>
  <c r="O937" i="13"/>
  <c r="O928" i="13"/>
  <c r="L934" i="13"/>
  <c r="R928" i="13"/>
  <c r="H932" i="13"/>
  <c r="J934" i="13"/>
  <c r="U936" i="13"/>
  <c r="J936" i="13"/>
  <c r="L929" i="13"/>
  <c r="K928" i="13"/>
  <c r="F936" i="13"/>
  <c r="L937" i="13"/>
  <c r="N927" i="13"/>
  <c r="M930" i="13"/>
  <c r="K937" i="13"/>
  <c r="M937" i="13"/>
  <c r="O932" i="13"/>
  <c r="S936" i="13"/>
  <c r="J935" i="13"/>
  <c r="T933" i="13"/>
  <c r="K935" i="13"/>
  <c r="I937" i="13"/>
  <c r="R937" i="13"/>
  <c r="U933" i="13"/>
  <c r="R932" i="13"/>
  <c r="T932" i="13"/>
  <c r="K930" i="13"/>
  <c r="M936" i="13"/>
  <c r="S935" i="13"/>
  <c r="T930" i="13"/>
  <c r="T934" i="13"/>
  <c r="H928" i="13"/>
  <c r="F937" i="13"/>
  <c r="L928" i="13"/>
  <c r="G935" i="13"/>
  <c r="I935" i="13"/>
  <c r="I932" i="13"/>
  <c r="N936" i="13"/>
  <c r="R933" i="13"/>
  <c r="J937" i="13"/>
  <c r="S930" i="13"/>
  <c r="H933" i="13"/>
  <c r="J930" i="13"/>
  <c r="T937" i="13"/>
  <c r="J932" i="13"/>
  <c r="U932" i="13"/>
  <c r="S932" i="13"/>
  <c r="U930" i="13"/>
  <c r="S934" i="13"/>
  <c r="I881" i="15"/>
  <c r="K884" i="15"/>
  <c r="O884" i="15"/>
  <c r="L876" i="15"/>
  <c r="H880" i="15"/>
  <c r="L881" i="15"/>
  <c r="N885" i="15"/>
  <c r="M886" i="15"/>
  <c r="P885" i="15"/>
  <c r="H884" i="15"/>
  <c r="C872" i="15"/>
  <c r="C873" i="15" s="1"/>
  <c r="C874" i="15" s="1"/>
  <c r="C875" i="15" s="1"/>
  <c r="C876" i="15" s="1"/>
  <c r="C877" i="15" s="1"/>
  <c r="C878" i="15" s="1"/>
  <c r="C879" i="15" s="1"/>
  <c r="C880" i="15" s="1"/>
  <c r="C881" i="15" s="1"/>
  <c r="C882" i="15" s="1"/>
  <c r="C883" i="15" s="1"/>
  <c r="C884" i="15" s="1"/>
  <c r="C885" i="15" s="1"/>
  <c r="C886" i="15" s="1"/>
  <c r="C887" i="15" s="1"/>
  <c r="F880" i="15"/>
  <c r="O885" i="15"/>
  <c r="L886" i="15"/>
  <c r="I880" i="15"/>
  <c r="M876" i="15"/>
  <c r="P882" i="15"/>
  <c r="L882" i="15"/>
  <c r="I876" i="15"/>
  <c r="K881" i="15"/>
  <c r="K876" i="15"/>
  <c r="F878" i="15"/>
  <c r="O886" i="15"/>
  <c r="F882" i="15"/>
  <c r="J876" i="15"/>
  <c r="O881" i="15"/>
  <c r="K883" i="15"/>
  <c r="K878" i="15"/>
  <c r="O882" i="15"/>
  <c r="K880" i="15"/>
  <c r="F876" i="15"/>
  <c r="J885" i="15"/>
  <c r="L878" i="15"/>
  <c r="L877" i="15"/>
  <c r="K885" i="15"/>
  <c r="O880" i="15"/>
  <c r="M878" i="15"/>
  <c r="N877" i="15"/>
  <c r="L883" i="15"/>
  <c r="L880" i="15"/>
  <c r="G884" i="15"/>
  <c r="I884" i="15"/>
  <c r="M881" i="15"/>
  <c r="M880" i="15"/>
  <c r="O875" i="15"/>
  <c r="H881" i="15"/>
  <c r="J878" i="15"/>
  <c r="I878" i="15"/>
  <c r="N880" i="15"/>
  <c r="P886" i="15"/>
  <c r="K882" i="15"/>
  <c r="G881" i="15"/>
  <c r="J882" i="15"/>
  <c r="G880" i="15"/>
  <c r="K875" i="15"/>
  <c r="M882" i="15"/>
  <c r="N876" i="15"/>
  <c r="M875" i="15"/>
  <c r="M883" i="15"/>
  <c r="O883" i="15"/>
  <c r="N878" i="15"/>
  <c r="J884" i="15"/>
  <c r="G882" i="15"/>
  <c r="G876" i="15"/>
  <c r="M885" i="15"/>
  <c r="O876" i="15"/>
  <c r="K877" i="15"/>
  <c r="P876" i="15"/>
  <c r="O878" i="15"/>
  <c r="P877" i="15"/>
  <c r="N875" i="15"/>
  <c r="J881" i="15"/>
  <c r="H876" i="15"/>
  <c r="P880" i="15"/>
  <c r="O877" i="15"/>
  <c r="N883" i="15"/>
  <c r="P881" i="15"/>
  <c r="K886" i="15"/>
  <c r="N881" i="15"/>
  <c r="N882" i="15"/>
  <c r="G878" i="15"/>
  <c r="F881" i="15"/>
  <c r="J880" i="15"/>
  <c r="H883" i="15"/>
  <c r="J883" i="15"/>
  <c r="P884" i="15"/>
  <c r="N886" i="15"/>
  <c r="N884" i="15"/>
  <c r="P875" i="15"/>
  <c r="P883" i="15"/>
  <c r="H882" i="15"/>
  <c r="G885" i="15"/>
  <c r="H885" i="15"/>
  <c r="G883" i="15"/>
  <c r="F883" i="15"/>
  <c r="H878" i="15"/>
  <c r="P878" i="15"/>
  <c r="L885" i="15"/>
  <c r="F884" i="15"/>
  <c r="M877" i="15"/>
  <c r="I885" i="15"/>
  <c r="M884" i="15"/>
  <c r="F885" i="15"/>
  <c r="L875" i="15"/>
  <c r="I883" i="15"/>
  <c r="L884" i="15"/>
  <c r="I882" i="15"/>
  <c r="J463" i="16"/>
  <c r="F461" i="16"/>
  <c r="M460" i="16"/>
  <c r="P457" i="16"/>
  <c r="M459" i="16"/>
  <c r="H459" i="16"/>
  <c r="O460" i="16"/>
  <c r="H461" i="16"/>
  <c r="N464" i="16"/>
  <c r="K464" i="16"/>
  <c r="M461" i="16"/>
  <c r="H460" i="16"/>
  <c r="N461" i="16"/>
  <c r="J461" i="16"/>
  <c r="G462" i="16"/>
  <c r="P464" i="16"/>
  <c r="M464" i="16"/>
  <c r="K465" i="16"/>
  <c r="P461" i="16"/>
  <c r="O465" i="16"/>
  <c r="L457" i="16"/>
  <c r="L459" i="16"/>
  <c r="F463" i="16"/>
  <c r="I464" i="16"/>
  <c r="K457" i="16"/>
  <c r="K459" i="16"/>
  <c r="F462" i="16"/>
  <c r="K463" i="16"/>
  <c r="P463" i="16"/>
  <c r="I463" i="16"/>
  <c r="I462" i="16"/>
  <c r="G460" i="16"/>
  <c r="L461" i="16"/>
  <c r="O459" i="16"/>
  <c r="L463" i="16"/>
  <c r="L460" i="16"/>
  <c r="F459" i="16"/>
  <c r="M463" i="16"/>
  <c r="N465" i="16"/>
  <c r="N457" i="16"/>
  <c r="C454" i="16"/>
  <c r="C455" i="16" s="1"/>
  <c r="C456" i="16" s="1"/>
  <c r="C457" i="16" s="1"/>
  <c r="C458" i="16" s="1"/>
  <c r="C459" i="16" s="1"/>
  <c r="C460" i="16" s="1"/>
  <c r="C461" i="16" s="1"/>
  <c r="C462" i="16" s="1"/>
  <c r="C463" i="16" s="1"/>
  <c r="C464" i="16" s="1"/>
  <c r="C465" i="16" s="1"/>
  <c r="C466" i="16" s="1"/>
  <c r="I459" i="16"/>
  <c r="I460" i="16"/>
  <c r="F460" i="16"/>
  <c r="J462" i="16"/>
  <c r="J460" i="16"/>
  <c r="M465" i="16"/>
  <c r="F464" i="16"/>
  <c r="P462" i="16"/>
  <c r="P460" i="16"/>
  <c r="N460" i="16"/>
  <c r="L464" i="16"/>
  <c r="O464" i="16"/>
  <c r="O463" i="16"/>
  <c r="H464" i="16"/>
  <c r="L462" i="16"/>
  <c r="J464" i="16"/>
  <c r="J459" i="16"/>
  <c r="P459" i="16"/>
  <c r="H462" i="16"/>
  <c r="G464" i="16"/>
  <c r="G459" i="16"/>
  <c r="K461" i="16"/>
  <c r="L465" i="16"/>
  <c r="O462" i="16"/>
  <c r="N463" i="16"/>
  <c r="N459" i="16"/>
  <c r="N462" i="16"/>
  <c r="P465" i="16"/>
  <c r="M457" i="16"/>
  <c r="G463" i="16"/>
  <c r="M462" i="16"/>
  <c r="O457" i="16"/>
  <c r="H463" i="16"/>
  <c r="K460" i="16"/>
  <c r="O461" i="16"/>
  <c r="G461" i="16"/>
  <c r="K462" i="16"/>
  <c r="I461" i="16"/>
  <c r="C1059" i="15"/>
  <c r="C1060" i="15" s="1"/>
  <c r="C1061" i="15" s="1"/>
  <c r="C1062" i="15" s="1"/>
  <c r="C1063" i="15" s="1"/>
  <c r="C1064" i="15" s="1"/>
  <c r="C1065" i="15" s="1"/>
  <c r="C1066" i="15" s="1"/>
  <c r="C1067" i="15" s="1"/>
  <c r="C1068" i="15" s="1"/>
  <c r="C1069" i="15" s="1"/>
  <c r="C1070" i="15" s="1"/>
  <c r="C1071" i="15" s="1"/>
  <c r="C1072" i="15" s="1"/>
  <c r="C1073" i="15" s="1"/>
  <c r="C1074" i="15" s="1"/>
  <c r="P1071" i="15"/>
  <c r="K1070" i="15"/>
  <c r="N1067" i="15"/>
  <c r="G1071" i="15"/>
  <c r="I1067" i="15"/>
  <c r="N1069" i="15"/>
  <c r="M1064" i="15"/>
  <c r="H1072" i="15"/>
  <c r="J1069" i="15"/>
  <c r="N1064" i="15"/>
  <c r="L1070" i="15"/>
  <c r="P1062" i="15"/>
  <c r="G1063" i="15"/>
  <c r="K1072" i="15"/>
  <c r="O1069" i="15"/>
  <c r="L1073" i="15"/>
  <c r="O1067" i="15"/>
  <c r="F1068" i="15"/>
  <c r="N1062" i="15"/>
  <c r="M1070" i="15"/>
  <c r="H1070" i="15"/>
  <c r="I1069" i="15"/>
  <c r="L1072" i="15"/>
  <c r="P1065" i="15"/>
  <c r="M1071" i="15"/>
  <c r="H1065" i="15"/>
  <c r="H1071" i="15"/>
  <c r="K1063" i="15"/>
  <c r="N1070" i="15"/>
  <c r="N1071" i="15"/>
  <c r="G1070" i="15"/>
  <c r="M1072" i="15"/>
  <c r="L1064" i="15"/>
  <c r="O1062" i="15"/>
  <c r="G1068" i="15"/>
  <c r="H1067" i="15"/>
  <c r="L1063" i="15"/>
  <c r="O1070" i="15"/>
  <c r="P1073" i="15"/>
  <c r="F1072" i="15"/>
  <c r="N1072" i="15"/>
  <c r="O1073" i="15"/>
  <c r="I1072" i="15"/>
  <c r="G1072" i="15"/>
  <c r="J1067" i="15"/>
  <c r="M1063" i="15"/>
  <c r="P1072" i="15"/>
  <c r="J1063" i="15"/>
  <c r="G1065" i="15"/>
  <c r="O1072" i="15"/>
  <c r="K1065" i="15"/>
  <c r="L1067" i="15"/>
  <c r="H1063" i="15"/>
  <c r="L1068" i="15"/>
  <c r="P1069" i="15"/>
  <c r="K1071" i="15"/>
  <c r="F1070" i="15"/>
  <c r="I1065" i="15"/>
  <c r="K1073" i="15"/>
  <c r="N1065" i="15"/>
  <c r="L1071" i="15"/>
  <c r="H1069" i="15"/>
  <c r="M1068" i="15"/>
  <c r="K1062" i="15"/>
  <c r="O1071" i="15"/>
  <c r="I1068" i="15"/>
  <c r="F1063" i="15"/>
  <c r="K1069" i="15"/>
  <c r="O1065" i="15"/>
  <c r="P1067" i="15"/>
  <c r="F1069" i="15"/>
  <c r="M1067" i="15"/>
  <c r="L1065" i="15"/>
  <c r="K1068" i="15"/>
  <c r="L1062" i="15"/>
  <c r="M1065" i="15"/>
  <c r="N1068" i="15"/>
  <c r="I1070" i="15"/>
  <c r="P1070" i="15"/>
  <c r="O1068" i="15"/>
  <c r="F1067" i="15"/>
  <c r="K1064" i="15"/>
  <c r="N1063" i="15"/>
  <c r="H1068" i="15"/>
  <c r="P1063" i="15"/>
  <c r="O1063" i="15"/>
  <c r="G1067" i="15"/>
  <c r="J1065" i="15"/>
  <c r="M1062" i="15"/>
  <c r="J1072" i="15"/>
  <c r="J1070" i="15"/>
  <c r="M1073" i="15"/>
  <c r="F1071" i="15"/>
  <c r="K1067" i="15"/>
  <c r="F1065" i="15"/>
  <c r="P1064" i="15"/>
  <c r="P1068" i="15"/>
  <c r="J1071" i="15"/>
  <c r="N1073" i="15"/>
  <c r="O1064" i="15"/>
  <c r="I1063" i="15"/>
  <c r="I1071" i="15"/>
  <c r="L1069" i="15"/>
  <c r="G1069" i="15"/>
  <c r="J1068" i="15"/>
  <c r="M1069" i="15"/>
  <c r="C328" i="14"/>
  <c r="L331" i="14"/>
  <c r="O339" i="14"/>
  <c r="O331" i="14"/>
  <c r="L339" i="14"/>
  <c r="J409" i="12"/>
  <c r="J410" i="12" s="1"/>
  <c r="K409" i="12"/>
  <c r="K410" i="12" s="1"/>
  <c r="I409" i="12"/>
  <c r="I410" i="12" s="1"/>
  <c r="C404" i="12"/>
  <c r="C405" i="12" s="1"/>
  <c r="C406" i="12" s="1"/>
  <c r="C407" i="12" s="1"/>
  <c r="C408" i="12" s="1"/>
  <c r="C409" i="12" s="1"/>
  <c r="C410" i="12" s="1"/>
  <c r="O835" i="14"/>
  <c r="P840" i="14"/>
  <c r="S838" i="14"/>
  <c r="O837" i="14"/>
  <c r="T842" i="14"/>
  <c r="N839" i="14"/>
  <c r="G842" i="14"/>
  <c r="T840" i="14"/>
  <c r="R842" i="14"/>
  <c r="N838" i="14"/>
  <c r="P842" i="14"/>
  <c r="L842" i="14"/>
  <c r="P837" i="14"/>
  <c r="C832" i="14"/>
  <c r="G841" i="14"/>
  <c r="S837" i="14"/>
  <c r="O842" i="14"/>
  <c r="O840" i="14"/>
  <c r="U839" i="14"/>
  <c r="K840" i="14"/>
  <c r="J839" i="14"/>
  <c r="J840" i="14"/>
  <c r="T838" i="14"/>
  <c r="M840" i="14"/>
  <c r="H842" i="14"/>
  <c r="T837" i="14"/>
  <c r="U838" i="14"/>
  <c r="U842" i="14"/>
  <c r="U841" i="14"/>
  <c r="M839" i="14"/>
  <c r="L839" i="14"/>
  <c r="N842" i="14"/>
  <c r="M841" i="14"/>
  <c r="R837" i="14"/>
  <c r="I841" i="14"/>
  <c r="K842" i="14"/>
  <c r="L835" i="14"/>
  <c r="O838" i="14"/>
  <c r="L837" i="14"/>
  <c r="J838" i="14"/>
  <c r="P839" i="14"/>
  <c r="S839" i="14"/>
  <c r="S841" i="14"/>
  <c r="I837" i="14"/>
  <c r="U837" i="14"/>
  <c r="F837" i="14"/>
  <c r="F840" i="14"/>
  <c r="J842" i="14"/>
  <c r="M842" i="14"/>
  <c r="J841" i="14"/>
  <c r="R841" i="14"/>
  <c r="O841" i="14"/>
  <c r="F841" i="14"/>
  <c r="N841" i="14"/>
  <c r="G839" i="14"/>
  <c r="F838" i="14"/>
  <c r="R840" i="14"/>
  <c r="F839" i="14"/>
  <c r="I840" i="14"/>
  <c r="H838" i="14"/>
  <c r="S842" i="14"/>
  <c r="M837" i="14"/>
  <c r="T841" i="14"/>
  <c r="P838" i="14"/>
  <c r="G837" i="14"/>
  <c r="O843" i="14"/>
  <c r="L838" i="14"/>
  <c r="I842" i="14"/>
  <c r="J837" i="14"/>
  <c r="T839" i="14"/>
  <c r="F842" i="14"/>
  <c r="L843" i="14"/>
  <c r="L840" i="14"/>
  <c r="H837" i="14"/>
  <c r="S840" i="14"/>
  <c r="K837" i="14"/>
  <c r="H839" i="14"/>
  <c r="I838" i="14"/>
  <c r="N840" i="14"/>
  <c r="G840" i="14"/>
  <c r="U840" i="14"/>
  <c r="L841" i="14"/>
  <c r="H840" i="14"/>
  <c r="R839" i="14"/>
  <c r="I839" i="14"/>
  <c r="K841" i="14"/>
  <c r="R838" i="14"/>
  <c r="M838" i="14"/>
  <c r="P841" i="14"/>
  <c r="H841" i="14"/>
  <c r="G838" i="14"/>
  <c r="K839" i="14"/>
  <c r="K838" i="14"/>
  <c r="N837" i="14"/>
  <c r="O839" i="14"/>
  <c r="K329" i="12"/>
  <c r="K330" i="12" s="1"/>
  <c r="I329" i="12"/>
  <c r="I330" i="12" s="1"/>
  <c r="J329" i="12"/>
  <c r="J330" i="12" s="1"/>
  <c r="C324" i="12"/>
  <c r="C325" i="12" s="1"/>
  <c r="C326" i="12" s="1"/>
  <c r="C327" i="12" s="1"/>
  <c r="C328" i="12" s="1"/>
  <c r="C329" i="12" s="1"/>
  <c r="C330" i="12" s="1"/>
  <c r="H1066" i="13"/>
  <c r="N1068" i="13"/>
  <c r="M1072" i="13"/>
  <c r="O1066" i="13"/>
  <c r="K1063" i="13"/>
  <c r="F1068" i="13"/>
  <c r="H1068" i="13"/>
  <c r="J1069" i="13"/>
  <c r="K1065" i="13"/>
  <c r="O1065" i="13"/>
  <c r="O1072" i="13"/>
  <c r="N1063" i="13"/>
  <c r="J1072" i="13"/>
  <c r="F1072" i="13"/>
  <c r="S1068" i="13"/>
  <c r="F1073" i="13"/>
  <c r="U1064" i="13"/>
  <c r="P1064" i="13"/>
  <c r="M1064" i="13"/>
  <c r="M1070" i="13"/>
  <c r="O1071" i="13"/>
  <c r="M1066" i="13"/>
  <c r="P1072" i="13"/>
  <c r="I1069" i="13"/>
  <c r="F1064" i="13"/>
  <c r="J1073" i="13"/>
  <c r="S1073" i="13"/>
  <c r="U1069" i="13"/>
  <c r="K1073" i="13"/>
  <c r="L1064" i="13"/>
  <c r="K1071" i="13"/>
  <c r="M1068" i="13"/>
  <c r="I1072" i="13"/>
  <c r="U1070" i="13"/>
  <c r="G1069" i="13"/>
  <c r="H1070" i="13"/>
  <c r="R1071" i="13"/>
  <c r="S1071" i="13"/>
  <c r="N1071" i="13"/>
  <c r="O1073" i="13"/>
  <c r="L1074" i="13"/>
  <c r="K1069" i="13"/>
  <c r="G1066" i="13"/>
  <c r="H1073" i="13"/>
  <c r="R1066" i="13"/>
  <c r="S1064" i="13"/>
  <c r="T1073" i="13"/>
  <c r="M1073" i="13"/>
  <c r="K1064" i="13"/>
  <c r="M1071" i="13"/>
  <c r="M1069" i="13"/>
  <c r="N1065" i="13"/>
  <c r="F1069" i="13"/>
  <c r="J1070" i="13"/>
  <c r="P1073" i="13"/>
  <c r="G1068" i="13"/>
  <c r="T1070" i="13"/>
  <c r="P1070" i="13"/>
  <c r="P1068" i="13"/>
  <c r="K1066" i="13"/>
  <c r="O1064" i="13"/>
  <c r="L1070" i="13"/>
  <c r="O1070" i="13"/>
  <c r="U1071" i="13"/>
  <c r="S1066" i="13"/>
  <c r="S1070" i="13"/>
  <c r="H1072" i="13"/>
  <c r="K1072" i="13"/>
  <c r="N1064" i="13"/>
  <c r="K1070" i="13"/>
  <c r="L1071" i="13"/>
  <c r="N1072" i="13"/>
  <c r="I1070" i="13"/>
  <c r="U1072" i="13"/>
  <c r="T1064" i="13"/>
  <c r="T1069" i="13"/>
  <c r="U1068" i="13"/>
  <c r="H1069" i="13"/>
  <c r="L1068" i="13"/>
  <c r="N1074" i="13"/>
  <c r="L1073" i="13"/>
  <c r="L1069" i="13"/>
  <c r="I1068" i="13"/>
  <c r="G1072" i="13"/>
  <c r="G1073" i="13"/>
  <c r="F1066" i="13"/>
  <c r="U1066" i="13"/>
  <c r="F1071" i="13"/>
  <c r="H1064" i="13"/>
  <c r="G1070" i="13"/>
  <c r="N1066" i="13"/>
  <c r="N1070" i="13"/>
  <c r="G1064" i="13"/>
  <c r="I1064" i="13"/>
  <c r="R1064" i="13"/>
  <c r="I1073" i="13"/>
  <c r="R1073" i="13"/>
  <c r="F1070" i="13"/>
  <c r="R1072" i="13"/>
  <c r="L1072" i="13"/>
  <c r="N1073" i="13"/>
  <c r="L1063" i="13"/>
  <c r="K1074" i="13"/>
  <c r="J1064" i="13"/>
  <c r="R1069" i="13"/>
  <c r="T1072" i="13"/>
  <c r="P1066" i="13"/>
  <c r="T1066" i="13"/>
  <c r="T1068" i="13"/>
  <c r="O1069" i="13"/>
  <c r="J1071" i="13"/>
  <c r="R1070" i="13"/>
  <c r="P1071" i="13"/>
  <c r="C1060" i="13"/>
  <c r="C1061" i="13" s="1"/>
  <c r="C1062" i="13" s="1"/>
  <c r="C1063" i="13" s="1"/>
  <c r="C1064" i="13" s="1"/>
  <c r="C1065" i="13" s="1"/>
  <c r="C1066" i="13" s="1"/>
  <c r="C1067" i="13" s="1"/>
  <c r="C1068" i="13" s="1"/>
  <c r="C1069" i="13" s="1"/>
  <c r="C1070" i="13" s="1"/>
  <c r="C1071" i="13" s="1"/>
  <c r="C1072" i="13" s="1"/>
  <c r="C1073" i="13" s="1"/>
  <c r="C1074" i="13" s="1"/>
  <c r="C1075" i="13" s="1"/>
  <c r="U1073" i="13"/>
  <c r="J1068" i="13"/>
  <c r="G1071" i="13"/>
  <c r="O1068" i="13"/>
  <c r="N1069" i="13"/>
  <c r="O1074" i="13"/>
  <c r="S1072" i="13"/>
  <c r="S1069" i="13"/>
  <c r="P1069" i="13"/>
  <c r="L1065" i="13"/>
  <c r="H1071" i="13"/>
  <c r="J1066" i="13"/>
  <c r="I1071" i="13"/>
  <c r="O1063" i="13"/>
  <c r="L1066" i="13"/>
  <c r="K1068" i="13"/>
  <c r="T1071" i="13"/>
  <c r="I1066" i="13"/>
  <c r="R1068" i="13"/>
  <c r="J345" i="12"/>
  <c r="J346" i="12" s="1"/>
  <c r="I345" i="12"/>
  <c r="I346" i="12" s="1"/>
  <c r="C340" i="12"/>
  <c r="C341" i="12" s="1"/>
  <c r="C342" i="12" s="1"/>
  <c r="C343" i="12" s="1"/>
  <c r="C344" i="12" s="1"/>
  <c r="C345" i="12" s="1"/>
  <c r="C346" i="12" s="1"/>
  <c r="K345" i="12"/>
  <c r="K346" i="12" s="1"/>
  <c r="I477" i="16"/>
  <c r="M474" i="16"/>
  <c r="G475" i="16"/>
  <c r="N476" i="16"/>
  <c r="L473" i="16"/>
  <c r="G478" i="16"/>
  <c r="O478" i="16"/>
  <c r="J474" i="16"/>
  <c r="L478" i="16"/>
  <c r="O473" i="16"/>
  <c r="M475" i="16"/>
  <c r="I478" i="16"/>
  <c r="O477" i="16"/>
  <c r="M476" i="16"/>
  <c r="P475" i="16"/>
  <c r="N471" i="16"/>
  <c r="O476" i="16"/>
  <c r="K471" i="16"/>
  <c r="N477" i="16"/>
  <c r="H473" i="16"/>
  <c r="L476" i="16"/>
  <c r="J478" i="16"/>
  <c r="K474" i="16"/>
  <c r="K479" i="16"/>
  <c r="F473" i="16"/>
  <c r="L475" i="16"/>
  <c r="M471" i="16"/>
  <c r="H477" i="16"/>
  <c r="P474" i="16"/>
  <c r="K477" i="16"/>
  <c r="N475" i="16"/>
  <c r="P479" i="16"/>
  <c r="K473" i="16"/>
  <c r="G473" i="16"/>
  <c r="L471" i="16"/>
  <c r="O479" i="16"/>
  <c r="P471" i="16"/>
  <c r="J475" i="16"/>
  <c r="P477" i="16"/>
  <c r="K476" i="16"/>
  <c r="H478" i="16"/>
  <c r="H476" i="16"/>
  <c r="P478" i="16"/>
  <c r="G474" i="16"/>
  <c r="K475" i="16"/>
  <c r="H474" i="16"/>
  <c r="I474" i="16"/>
  <c r="J477" i="16"/>
  <c r="P473" i="16"/>
  <c r="M479" i="16"/>
  <c r="N473" i="16"/>
  <c r="O474" i="16"/>
  <c r="I476" i="16"/>
  <c r="O471" i="16"/>
  <c r="K478" i="16"/>
  <c r="F476" i="16"/>
  <c r="L474" i="16"/>
  <c r="F477" i="16"/>
  <c r="I473" i="16"/>
  <c r="M477" i="16"/>
  <c r="J476" i="16"/>
  <c r="F478" i="16"/>
  <c r="L479" i="16"/>
  <c r="I475" i="16"/>
  <c r="M478" i="16"/>
  <c r="N474" i="16"/>
  <c r="M473" i="16"/>
  <c r="J473" i="16"/>
  <c r="N478" i="16"/>
  <c r="G476" i="16"/>
  <c r="C468" i="16"/>
  <c r="C469" i="16" s="1"/>
  <c r="C470" i="16" s="1"/>
  <c r="C471" i="16" s="1"/>
  <c r="C472" i="16" s="1"/>
  <c r="C473" i="16" s="1"/>
  <c r="C474" i="16" s="1"/>
  <c r="C475" i="16" s="1"/>
  <c r="C476" i="16" s="1"/>
  <c r="C477" i="16" s="1"/>
  <c r="C478" i="16" s="1"/>
  <c r="C479" i="16" s="1"/>
  <c r="C480" i="16" s="1"/>
  <c r="F474" i="16"/>
  <c r="F475" i="16"/>
  <c r="H475" i="16"/>
  <c r="P476" i="16"/>
  <c r="N479" i="16"/>
  <c r="O475" i="16"/>
  <c r="L477" i="16"/>
  <c r="G477" i="16"/>
  <c r="O409" i="13"/>
  <c r="U407" i="13"/>
  <c r="M407" i="13"/>
  <c r="N400" i="13"/>
  <c r="M408" i="13"/>
  <c r="O410" i="13"/>
  <c r="J409" i="13"/>
  <c r="S409" i="13"/>
  <c r="J401" i="13"/>
  <c r="P406" i="13"/>
  <c r="L401" i="13"/>
  <c r="M405" i="13"/>
  <c r="R401" i="13"/>
  <c r="P405" i="13"/>
  <c r="H405" i="13"/>
  <c r="F403" i="13"/>
  <c r="O403" i="13"/>
  <c r="K409" i="13"/>
  <c r="I410" i="13"/>
  <c r="S403" i="13"/>
  <c r="G410" i="13"/>
  <c r="S401" i="13"/>
  <c r="L400" i="13"/>
  <c r="H403" i="13"/>
  <c r="L408" i="13"/>
  <c r="L409" i="13"/>
  <c r="O405" i="13"/>
  <c r="H407" i="13"/>
  <c r="U408" i="13"/>
  <c r="G401" i="13"/>
  <c r="G406" i="13"/>
  <c r="L405" i="13"/>
  <c r="K410" i="13"/>
  <c r="I406" i="13"/>
  <c r="K411" i="13"/>
  <c r="F406" i="13"/>
  <c r="I408" i="13"/>
  <c r="O400" i="13"/>
  <c r="T409" i="13"/>
  <c r="F401" i="13"/>
  <c r="R407" i="13"/>
  <c r="L410" i="13"/>
  <c r="H409" i="13"/>
  <c r="K407" i="13"/>
  <c r="H406" i="13"/>
  <c r="K403" i="13"/>
  <c r="L406" i="13"/>
  <c r="R405" i="13"/>
  <c r="R403" i="13"/>
  <c r="H410" i="13"/>
  <c r="I405" i="13"/>
  <c r="O406" i="13"/>
  <c r="O401" i="13"/>
  <c r="N405" i="13"/>
  <c r="T407" i="13"/>
  <c r="G405" i="13"/>
  <c r="J410" i="13"/>
  <c r="K405" i="13"/>
  <c r="N411" i="13"/>
  <c r="F405" i="13"/>
  <c r="G409" i="13"/>
  <c r="T406" i="13"/>
  <c r="I409" i="13"/>
  <c r="I401" i="13"/>
  <c r="U406" i="13"/>
  <c r="P407" i="13"/>
  <c r="F408" i="13"/>
  <c r="M409" i="13"/>
  <c r="T410" i="13"/>
  <c r="S405" i="13"/>
  <c r="F410" i="13"/>
  <c r="O407" i="13"/>
  <c r="P401" i="13"/>
  <c r="P403" i="13"/>
  <c r="K400" i="13"/>
  <c r="R406" i="13"/>
  <c r="T401" i="13"/>
  <c r="T403" i="13"/>
  <c r="K402" i="13"/>
  <c r="N401" i="13"/>
  <c r="N403" i="13"/>
  <c r="J407" i="13"/>
  <c r="J406" i="13"/>
  <c r="U405" i="13"/>
  <c r="C397" i="13"/>
  <c r="C398" i="13" s="1"/>
  <c r="C399" i="13" s="1"/>
  <c r="C400" i="13" s="1"/>
  <c r="C401" i="13" s="1"/>
  <c r="C402" i="13" s="1"/>
  <c r="C403" i="13" s="1"/>
  <c r="C404" i="13" s="1"/>
  <c r="C405" i="13" s="1"/>
  <c r="C406" i="13" s="1"/>
  <c r="C407" i="13" s="1"/>
  <c r="C408" i="13" s="1"/>
  <c r="C409" i="13" s="1"/>
  <c r="C410" i="13" s="1"/>
  <c r="C411" i="13" s="1"/>
  <c r="C412" i="13" s="1"/>
  <c r="G407" i="13"/>
  <c r="U410" i="13"/>
  <c r="P408" i="13"/>
  <c r="L403" i="13"/>
  <c r="T408" i="13"/>
  <c r="G408" i="13"/>
  <c r="U401" i="13"/>
  <c r="F407" i="13"/>
  <c r="N402" i="13"/>
  <c r="N409" i="13"/>
  <c r="N410" i="13"/>
  <c r="R408" i="13"/>
  <c r="J405" i="13"/>
  <c r="H401" i="13"/>
  <c r="S410" i="13"/>
  <c r="M403" i="13"/>
  <c r="N406" i="13"/>
  <c r="U409" i="13"/>
  <c r="U403" i="13"/>
  <c r="K401" i="13"/>
  <c r="O408" i="13"/>
  <c r="L411" i="13"/>
  <c r="M406" i="13"/>
  <c r="G403" i="13"/>
  <c r="P409" i="13"/>
  <c r="K408" i="13"/>
  <c r="O402" i="13"/>
  <c r="F409" i="13"/>
  <c r="R409" i="13"/>
  <c r="N407" i="13"/>
  <c r="K406" i="13"/>
  <c r="P410" i="13"/>
  <c r="S406" i="13"/>
  <c r="I403" i="13"/>
  <c r="I407" i="13"/>
  <c r="J403" i="13"/>
  <c r="L407" i="13"/>
  <c r="M401" i="13"/>
  <c r="S408" i="13"/>
  <c r="S407" i="13"/>
  <c r="H408" i="13"/>
  <c r="N408" i="13"/>
  <c r="O411" i="13"/>
  <c r="L402" i="13"/>
  <c r="R410" i="13"/>
  <c r="T405" i="13"/>
  <c r="J408" i="13"/>
  <c r="M410" i="13"/>
  <c r="L670" i="16"/>
  <c r="G673" i="16"/>
  <c r="L671" i="16"/>
  <c r="N667" i="16"/>
  <c r="J674" i="16"/>
  <c r="L674" i="16"/>
  <c r="P671" i="16"/>
  <c r="M669" i="16"/>
  <c r="F674" i="16"/>
  <c r="K671" i="16"/>
  <c r="H674" i="16"/>
  <c r="N671" i="16"/>
  <c r="P674" i="16"/>
  <c r="N673" i="16"/>
  <c r="L669" i="16"/>
  <c r="O673" i="16"/>
  <c r="K669" i="16"/>
  <c r="I673" i="16"/>
  <c r="J672" i="16"/>
  <c r="O675" i="16"/>
  <c r="P673" i="16"/>
  <c r="F673" i="16"/>
  <c r="N674" i="16"/>
  <c r="H670" i="16"/>
  <c r="H669" i="16"/>
  <c r="I671" i="16"/>
  <c r="J671" i="16"/>
  <c r="N670" i="16"/>
  <c r="K672" i="16"/>
  <c r="O674" i="16"/>
  <c r="M675" i="16"/>
  <c r="K675" i="16"/>
  <c r="I674" i="16"/>
  <c r="M673" i="16"/>
  <c r="G669" i="16"/>
  <c r="O669" i="16"/>
  <c r="M672" i="16"/>
  <c r="F669" i="16"/>
  <c r="L672" i="16"/>
  <c r="K673" i="16"/>
  <c r="F670" i="16"/>
  <c r="F672" i="16"/>
  <c r="P675" i="16"/>
  <c r="N669" i="16"/>
  <c r="C664" i="16"/>
  <c r="C665" i="16" s="1"/>
  <c r="C666" i="16" s="1"/>
  <c r="C667" i="16" s="1"/>
  <c r="C668" i="16" s="1"/>
  <c r="C669" i="16" s="1"/>
  <c r="C670" i="16" s="1"/>
  <c r="C671" i="16" s="1"/>
  <c r="C672" i="16" s="1"/>
  <c r="C673" i="16" s="1"/>
  <c r="C674" i="16" s="1"/>
  <c r="C675" i="16" s="1"/>
  <c r="C676" i="16" s="1"/>
  <c r="O672" i="16"/>
  <c r="L675" i="16"/>
  <c r="H672" i="16"/>
  <c r="J670" i="16"/>
  <c r="G671" i="16"/>
  <c r="L673" i="16"/>
  <c r="N675" i="16"/>
  <c r="M674" i="16"/>
  <c r="L667" i="16"/>
  <c r="H671" i="16"/>
  <c r="F671" i="16"/>
  <c r="H673" i="16"/>
  <c r="P667" i="16"/>
  <c r="K667" i="16"/>
  <c r="K674" i="16"/>
  <c r="M671" i="16"/>
  <c r="O671" i="16"/>
  <c r="G670" i="16"/>
  <c r="P670" i="16"/>
  <c r="N672" i="16"/>
  <c r="J669" i="16"/>
  <c r="O670" i="16"/>
  <c r="G674" i="16"/>
  <c r="O667" i="16"/>
  <c r="M670" i="16"/>
  <c r="P669" i="16"/>
  <c r="M667" i="16"/>
  <c r="P672" i="16"/>
  <c r="J673" i="16"/>
  <c r="I670" i="16"/>
  <c r="I669" i="16"/>
  <c r="G672" i="16"/>
  <c r="K670" i="16"/>
  <c r="I672" i="16"/>
  <c r="I389" i="14"/>
  <c r="L392" i="14"/>
  <c r="J392" i="14"/>
  <c r="K389" i="14"/>
  <c r="H394" i="14"/>
  <c r="K392" i="14"/>
  <c r="R390" i="14"/>
  <c r="P393" i="14"/>
  <c r="L389" i="14"/>
  <c r="L394" i="14"/>
  <c r="G392" i="14"/>
  <c r="O395" i="14"/>
  <c r="J393" i="14"/>
  <c r="F389" i="14"/>
  <c r="F390" i="14"/>
  <c r="J390" i="14"/>
  <c r="F393" i="14"/>
  <c r="T394" i="14"/>
  <c r="O387" i="14"/>
  <c r="P390" i="14"/>
  <c r="G393" i="14"/>
  <c r="S389" i="14"/>
  <c r="P389" i="14"/>
  <c r="N392" i="14"/>
  <c r="I391" i="14"/>
  <c r="M389" i="14"/>
  <c r="S394" i="14"/>
  <c r="M390" i="14"/>
  <c r="O393" i="14"/>
  <c r="S392" i="14"/>
  <c r="M391" i="14"/>
  <c r="O392" i="14"/>
  <c r="R394" i="14"/>
  <c r="H389" i="14"/>
  <c r="N390" i="14"/>
  <c r="M394" i="14"/>
  <c r="K393" i="14"/>
  <c r="P392" i="14"/>
  <c r="N393" i="14"/>
  <c r="L393" i="14"/>
  <c r="R392" i="14"/>
  <c r="G390" i="14"/>
  <c r="H393" i="14"/>
  <c r="T393" i="14"/>
  <c r="O390" i="14"/>
  <c r="U393" i="14"/>
  <c r="C384" i="14"/>
  <c r="L395" i="14"/>
  <c r="U394" i="14"/>
  <c r="M392" i="14"/>
  <c r="H390" i="14"/>
  <c r="U391" i="14"/>
  <c r="J394" i="14"/>
  <c r="I392" i="14"/>
  <c r="G391" i="14"/>
  <c r="O394" i="14"/>
  <c r="H392" i="14"/>
  <c r="G394" i="14"/>
  <c r="U389" i="14"/>
  <c r="O391" i="14"/>
  <c r="S391" i="14"/>
  <c r="L391" i="14"/>
  <c r="N394" i="14"/>
  <c r="R389" i="14"/>
  <c r="L390" i="14"/>
  <c r="N389" i="14"/>
  <c r="F391" i="14"/>
  <c r="K394" i="14"/>
  <c r="T389" i="14"/>
  <c r="R391" i="14"/>
  <c r="P394" i="14"/>
  <c r="T390" i="14"/>
  <c r="I393" i="14"/>
  <c r="F394" i="14"/>
  <c r="H391" i="14"/>
  <c r="P391" i="14"/>
  <c r="G389" i="14"/>
  <c r="S393" i="14"/>
  <c r="S390" i="14"/>
  <c r="J391" i="14"/>
  <c r="T392" i="14"/>
  <c r="K390" i="14"/>
  <c r="U392" i="14"/>
  <c r="J389" i="14"/>
  <c r="N391" i="14"/>
  <c r="I394" i="14"/>
  <c r="R393" i="14"/>
  <c r="T391" i="14"/>
  <c r="U390" i="14"/>
  <c r="O389" i="14"/>
  <c r="K391" i="14"/>
  <c r="I390" i="14"/>
  <c r="M393" i="14"/>
  <c r="L387" i="14"/>
  <c r="F392" i="14"/>
  <c r="N1005" i="13"/>
  <c r="G1003" i="13"/>
  <c r="T1000" i="13"/>
  <c r="N1003" i="13"/>
  <c r="M1001" i="13"/>
  <c r="F1003" i="13"/>
  <c r="N997" i="13"/>
  <c r="I1001" i="13"/>
  <c r="P1003" i="13"/>
  <c r="O1006" i="13"/>
  <c r="I1000" i="13"/>
  <c r="L998" i="13"/>
  <c r="P1000" i="13"/>
  <c r="S1005" i="13"/>
  <c r="N1002" i="13"/>
  <c r="O995" i="13"/>
  <c r="M996" i="13"/>
  <c r="P1002" i="13"/>
  <c r="F1005" i="13"/>
  <c r="U1003" i="13"/>
  <c r="K1001" i="13"/>
  <c r="J996" i="13"/>
  <c r="S1000" i="13"/>
  <c r="K1002" i="13"/>
  <c r="O997" i="13"/>
  <c r="J1003" i="13"/>
  <c r="T996" i="13"/>
  <c r="T1004" i="13"/>
  <c r="J998" i="13"/>
  <c r="M1004" i="13"/>
  <c r="T1002" i="13"/>
  <c r="K1000" i="13"/>
  <c r="R998" i="13"/>
  <c r="M1005" i="13"/>
  <c r="S1003" i="13"/>
  <c r="S1004" i="13"/>
  <c r="I1005" i="13"/>
  <c r="S1001" i="13"/>
  <c r="F1000" i="13"/>
  <c r="G1005" i="13"/>
  <c r="R996" i="13"/>
  <c r="M998" i="13"/>
  <c r="N1004" i="13"/>
  <c r="U1000" i="13"/>
  <c r="I998" i="13"/>
  <c r="R1002" i="13"/>
  <c r="I1004" i="13"/>
  <c r="L1004" i="13"/>
  <c r="K995" i="13"/>
  <c r="I1002" i="13"/>
  <c r="F1001" i="13"/>
  <c r="L1005" i="13"/>
  <c r="H1005" i="13"/>
  <c r="G1000" i="13"/>
  <c r="F1004" i="13"/>
  <c r="G996" i="13"/>
  <c r="N1006" i="13"/>
  <c r="J1002" i="13"/>
  <c r="N996" i="13"/>
  <c r="M1003" i="13"/>
  <c r="N995" i="13"/>
  <c r="T1003" i="13"/>
  <c r="H1001" i="13"/>
  <c r="O1003" i="13"/>
  <c r="O998" i="13"/>
  <c r="U1004" i="13"/>
  <c r="T998" i="13"/>
  <c r="H1003" i="13"/>
  <c r="K1006" i="13"/>
  <c r="N998" i="13"/>
  <c r="P998" i="13"/>
  <c r="S1002" i="13"/>
  <c r="H1004" i="13"/>
  <c r="O1002" i="13"/>
  <c r="U1001" i="13"/>
  <c r="P1005" i="13"/>
  <c r="G998" i="13"/>
  <c r="F998" i="13"/>
  <c r="S996" i="13"/>
  <c r="C992" i="13"/>
  <c r="C993" i="13" s="1"/>
  <c r="C994" i="13" s="1"/>
  <c r="C995" i="13" s="1"/>
  <c r="C996" i="13" s="1"/>
  <c r="C997" i="13" s="1"/>
  <c r="C998" i="13" s="1"/>
  <c r="C999" i="13" s="1"/>
  <c r="C1000" i="13" s="1"/>
  <c r="C1001" i="13" s="1"/>
  <c r="C1002" i="13" s="1"/>
  <c r="C1003" i="13" s="1"/>
  <c r="C1004" i="13" s="1"/>
  <c r="C1005" i="13" s="1"/>
  <c r="C1006" i="13" s="1"/>
  <c r="C1007" i="13" s="1"/>
  <c r="L995" i="13"/>
  <c r="G1001" i="13"/>
  <c r="K998" i="13"/>
  <c r="L1003" i="13"/>
  <c r="R1000" i="13"/>
  <c r="G1004" i="13"/>
  <c r="O1000" i="13"/>
  <c r="U1002" i="13"/>
  <c r="G1002" i="13"/>
  <c r="R1001" i="13"/>
  <c r="R1005" i="13"/>
  <c r="M1000" i="13"/>
  <c r="U998" i="13"/>
  <c r="K996" i="13"/>
  <c r="R1003" i="13"/>
  <c r="H998" i="13"/>
  <c r="H996" i="13"/>
  <c r="L996" i="13"/>
  <c r="O1005" i="13"/>
  <c r="O1004" i="13"/>
  <c r="L1000" i="13"/>
  <c r="T1005" i="13"/>
  <c r="K997" i="13"/>
  <c r="H1000" i="13"/>
  <c r="J1004" i="13"/>
  <c r="K1004" i="13"/>
  <c r="K1005" i="13"/>
  <c r="T1001" i="13"/>
  <c r="P996" i="13"/>
  <c r="N1000" i="13"/>
  <c r="P1004" i="13"/>
  <c r="I996" i="13"/>
  <c r="I1003" i="13"/>
  <c r="K1003" i="13"/>
  <c r="F1002" i="13"/>
  <c r="J1001" i="13"/>
  <c r="L1006" i="13"/>
  <c r="M1002" i="13"/>
  <c r="U996" i="13"/>
  <c r="J1000" i="13"/>
  <c r="S998" i="13"/>
  <c r="O996" i="13"/>
  <c r="R1004" i="13"/>
  <c r="O1001" i="13"/>
  <c r="J1005" i="13"/>
  <c r="H1002" i="13"/>
  <c r="L1002" i="13"/>
  <c r="F996" i="13"/>
  <c r="L997" i="13"/>
  <c r="P1001" i="13"/>
  <c r="N1001" i="13"/>
  <c r="U1005" i="13"/>
  <c r="L1001" i="13"/>
  <c r="O529" i="13"/>
  <c r="S526" i="13"/>
  <c r="K524" i="13"/>
  <c r="K522" i="13"/>
  <c r="R524" i="13"/>
  <c r="J520" i="13"/>
  <c r="M529" i="13"/>
  <c r="P527" i="13"/>
  <c r="H520" i="13"/>
  <c r="K526" i="13"/>
  <c r="M522" i="13"/>
  <c r="U522" i="13"/>
  <c r="U528" i="13"/>
  <c r="O521" i="13"/>
  <c r="T526" i="13"/>
  <c r="T523" i="13"/>
  <c r="S528" i="13"/>
  <c r="H528" i="13"/>
  <c r="F520" i="13"/>
  <c r="L520" i="13"/>
  <c r="G525" i="13"/>
  <c r="R525" i="13"/>
  <c r="O520" i="13"/>
  <c r="M523" i="13"/>
  <c r="K525" i="13"/>
  <c r="K520" i="13"/>
  <c r="F526" i="13"/>
  <c r="S520" i="13"/>
  <c r="M528" i="13"/>
  <c r="T528" i="13"/>
  <c r="S529" i="13"/>
  <c r="O526" i="13"/>
  <c r="J522" i="13"/>
  <c r="N530" i="13"/>
  <c r="K528" i="13"/>
  <c r="T520" i="13"/>
  <c r="M524" i="13"/>
  <c r="M526" i="13"/>
  <c r="J525" i="13"/>
  <c r="L530" i="13"/>
  <c r="U526" i="13"/>
  <c r="S523" i="13"/>
  <c r="O524" i="13"/>
  <c r="J524" i="13"/>
  <c r="H524" i="13"/>
  <c r="G526" i="13"/>
  <c r="O528" i="13"/>
  <c r="R527" i="13"/>
  <c r="U523" i="13"/>
  <c r="I522" i="13"/>
  <c r="P520" i="13"/>
  <c r="N519" i="13"/>
  <c r="H527" i="13"/>
  <c r="K523" i="13"/>
  <c r="K529" i="13"/>
  <c r="I525" i="13"/>
  <c r="U527" i="13"/>
  <c r="O519" i="13"/>
  <c r="R528" i="13"/>
  <c r="H529" i="13"/>
  <c r="I524" i="13"/>
  <c r="H522" i="13"/>
  <c r="L519" i="13"/>
  <c r="N522" i="13"/>
  <c r="K519" i="13"/>
  <c r="U520" i="13"/>
  <c r="O523" i="13"/>
  <c r="I527" i="13"/>
  <c r="U529" i="13"/>
  <c r="L522" i="13"/>
  <c r="F527" i="13"/>
  <c r="G528" i="13"/>
  <c r="N520" i="13"/>
  <c r="F525" i="13"/>
  <c r="H523" i="13"/>
  <c r="R523" i="13"/>
  <c r="L527" i="13"/>
  <c r="O527" i="13"/>
  <c r="J523" i="13"/>
  <c r="N521" i="13"/>
  <c r="I523" i="13"/>
  <c r="G520" i="13"/>
  <c r="N526" i="13"/>
  <c r="L526" i="13"/>
  <c r="I520" i="13"/>
  <c r="I526" i="13"/>
  <c r="N529" i="13"/>
  <c r="F529" i="13"/>
  <c r="P526" i="13"/>
  <c r="R522" i="13"/>
  <c r="P522" i="13"/>
  <c r="L521" i="13"/>
  <c r="U524" i="13"/>
  <c r="S522" i="13"/>
  <c r="J529" i="13"/>
  <c r="P525" i="13"/>
  <c r="M525" i="13"/>
  <c r="R520" i="13"/>
  <c r="L529" i="13"/>
  <c r="G529" i="13"/>
  <c r="T529" i="13"/>
  <c r="M527" i="13"/>
  <c r="I529" i="13"/>
  <c r="G522" i="13"/>
  <c r="O530" i="13"/>
  <c r="T527" i="13"/>
  <c r="K521" i="13"/>
  <c r="G524" i="13"/>
  <c r="N525" i="13"/>
  <c r="F522" i="13"/>
  <c r="I528" i="13"/>
  <c r="F528" i="13"/>
  <c r="S527" i="13"/>
  <c r="K527" i="13"/>
  <c r="P529" i="13"/>
  <c r="R529" i="13"/>
  <c r="P528" i="13"/>
  <c r="J527" i="13"/>
  <c r="K530" i="13"/>
  <c r="T524" i="13"/>
  <c r="T525" i="13"/>
  <c r="P524" i="13"/>
  <c r="G527" i="13"/>
  <c r="M520" i="13"/>
  <c r="F524" i="13"/>
  <c r="P523" i="13"/>
  <c r="J528" i="13"/>
  <c r="N523" i="13"/>
  <c r="N528" i="13"/>
  <c r="L525" i="13"/>
  <c r="C516" i="13"/>
  <c r="C517" i="13" s="1"/>
  <c r="C518" i="13" s="1"/>
  <c r="C519" i="13" s="1"/>
  <c r="C520" i="13" s="1"/>
  <c r="C521" i="13" s="1"/>
  <c r="C522" i="13" s="1"/>
  <c r="C523" i="13" s="1"/>
  <c r="C524" i="13" s="1"/>
  <c r="C525" i="13" s="1"/>
  <c r="C526" i="13" s="1"/>
  <c r="C527" i="13" s="1"/>
  <c r="C528" i="13" s="1"/>
  <c r="C529" i="13" s="1"/>
  <c r="C530" i="13" s="1"/>
  <c r="C531" i="13" s="1"/>
  <c r="J526" i="13"/>
  <c r="U525" i="13"/>
  <c r="N524" i="13"/>
  <c r="O522" i="13"/>
  <c r="N527" i="13"/>
  <c r="L524" i="13"/>
  <c r="G523" i="13"/>
  <c r="R526" i="13"/>
  <c r="F523" i="13"/>
  <c r="T522" i="13"/>
  <c r="L523" i="13"/>
  <c r="O525" i="13"/>
  <c r="H525" i="13"/>
  <c r="S524" i="13"/>
  <c r="S525" i="13"/>
  <c r="L528" i="13"/>
  <c r="H526" i="13"/>
  <c r="K225" i="11"/>
  <c r="G227" i="11"/>
  <c r="P225" i="11"/>
  <c r="R227" i="11"/>
  <c r="Q227" i="11"/>
  <c r="R225" i="11"/>
  <c r="F226" i="11"/>
  <c r="G226" i="11"/>
  <c r="T226" i="11"/>
  <c r="R226" i="11"/>
  <c r="O226" i="11"/>
  <c r="I226" i="11"/>
  <c r="I225" i="11"/>
  <c r="I227" i="11"/>
  <c r="K226" i="11"/>
  <c r="K227" i="11"/>
  <c r="H226" i="11"/>
  <c r="Q226" i="11"/>
  <c r="L226" i="11"/>
  <c r="S227" i="11"/>
  <c r="H227" i="11"/>
  <c r="M226" i="11"/>
  <c r="F225" i="11"/>
  <c r="O227" i="11"/>
  <c r="T225" i="11"/>
  <c r="C221" i="11"/>
  <c r="C222" i="11" s="1"/>
  <c r="C223" i="11" s="1"/>
  <c r="C224" i="11" s="1"/>
  <c r="C225" i="11" s="1"/>
  <c r="C226" i="11" s="1"/>
  <c r="C227" i="11" s="1"/>
  <c r="C228" i="11" s="1"/>
  <c r="P227" i="11"/>
  <c r="H225" i="11"/>
  <c r="G225" i="11"/>
  <c r="S225" i="11"/>
  <c r="P226" i="11"/>
  <c r="Q225" i="11"/>
  <c r="O225" i="11"/>
  <c r="S226" i="11"/>
  <c r="J226" i="11"/>
  <c r="J227" i="11"/>
  <c r="F227" i="11"/>
  <c r="T227" i="11"/>
  <c r="C220" i="11"/>
  <c r="J225" i="11"/>
  <c r="N226" i="11"/>
  <c r="K467" i="11"/>
  <c r="H469" i="11"/>
  <c r="F469" i="11"/>
  <c r="P467" i="11"/>
  <c r="C463" i="11"/>
  <c r="C464" i="11" s="1"/>
  <c r="C465" i="11" s="1"/>
  <c r="C466" i="11" s="1"/>
  <c r="C467" i="11" s="1"/>
  <c r="C468" i="11" s="1"/>
  <c r="C469" i="11" s="1"/>
  <c r="C470" i="11" s="1"/>
  <c r="T468" i="11"/>
  <c r="T469" i="11"/>
  <c r="P469" i="11"/>
  <c r="G469" i="11"/>
  <c r="F468" i="11"/>
  <c r="T467" i="11"/>
  <c r="O469" i="11"/>
  <c r="M468" i="11"/>
  <c r="J469" i="11"/>
  <c r="C462" i="11"/>
  <c r="I469" i="11"/>
  <c r="R468" i="11"/>
  <c r="N468" i="11"/>
  <c r="G468" i="11"/>
  <c r="H468" i="11"/>
  <c r="O468" i="11"/>
  <c r="Q469" i="11"/>
  <c r="I467" i="11"/>
  <c r="F467" i="11"/>
  <c r="S468" i="11"/>
  <c r="S467" i="11"/>
  <c r="R467" i="11"/>
  <c r="R469" i="11"/>
  <c r="J467" i="11"/>
  <c r="J470" i="11" s="1"/>
  <c r="Q467" i="11"/>
  <c r="S469" i="11"/>
  <c r="J468" i="11"/>
  <c r="H467" i="11"/>
  <c r="P468" i="11"/>
  <c r="L468" i="11"/>
  <c r="K469" i="11"/>
  <c r="O467" i="11"/>
  <c r="G467" i="11"/>
  <c r="Q468" i="11"/>
  <c r="I468" i="11"/>
  <c r="K468" i="11"/>
  <c r="J241" i="12"/>
  <c r="J242" i="12" s="1"/>
  <c r="C236" i="12"/>
  <c r="C237" i="12" s="1"/>
  <c r="C238" i="12" s="1"/>
  <c r="C239" i="12" s="1"/>
  <c r="C240" i="12" s="1"/>
  <c r="C241" i="12" s="1"/>
  <c r="C242" i="12" s="1"/>
  <c r="K241" i="12"/>
  <c r="K242" i="12" s="1"/>
  <c r="I241" i="12"/>
  <c r="I242" i="12" s="1"/>
  <c r="F869" i="16"/>
  <c r="K868" i="16"/>
  <c r="J870" i="16"/>
  <c r="G867" i="16"/>
  <c r="O866" i="16"/>
  <c r="M871" i="16"/>
  <c r="F865" i="16"/>
  <c r="P865" i="16"/>
  <c r="N866" i="16"/>
  <c r="F870" i="16"/>
  <c r="I866" i="16"/>
  <c r="L871" i="16"/>
  <c r="N868" i="16"/>
  <c r="L869" i="16"/>
  <c r="I865" i="16"/>
  <c r="G868" i="16"/>
  <c r="M869" i="16"/>
  <c r="J868" i="16"/>
  <c r="L870" i="16"/>
  <c r="P870" i="16"/>
  <c r="P868" i="16"/>
  <c r="J869" i="16"/>
  <c r="M870" i="16"/>
  <c r="L865" i="16"/>
  <c r="O871" i="16"/>
  <c r="F866" i="16"/>
  <c r="P866" i="16"/>
  <c r="H868" i="16"/>
  <c r="O863" i="16"/>
  <c r="F868" i="16"/>
  <c r="P869" i="16"/>
  <c r="K870" i="16"/>
  <c r="G866" i="16"/>
  <c r="O868" i="16"/>
  <c r="I869" i="16"/>
  <c r="H869" i="16"/>
  <c r="L866" i="16"/>
  <c r="N865" i="16"/>
  <c r="H866" i="16"/>
  <c r="P863" i="16"/>
  <c r="J867" i="16"/>
  <c r="J865" i="16"/>
  <c r="G870" i="16"/>
  <c r="N871" i="16"/>
  <c r="O870" i="16"/>
  <c r="P867" i="16"/>
  <c r="M863" i="16"/>
  <c r="K863" i="16"/>
  <c r="L863" i="16"/>
  <c r="N869" i="16"/>
  <c r="O867" i="16"/>
  <c r="F867" i="16"/>
  <c r="K869" i="16"/>
  <c r="K871" i="16"/>
  <c r="M867" i="16"/>
  <c r="K867" i="16"/>
  <c r="C860" i="16"/>
  <c r="C861" i="16" s="1"/>
  <c r="C862" i="16" s="1"/>
  <c r="C863" i="16" s="1"/>
  <c r="C864" i="16" s="1"/>
  <c r="C865" i="16" s="1"/>
  <c r="C866" i="16" s="1"/>
  <c r="C867" i="16" s="1"/>
  <c r="C868" i="16" s="1"/>
  <c r="C869" i="16" s="1"/>
  <c r="C870" i="16" s="1"/>
  <c r="C871" i="16" s="1"/>
  <c r="C872" i="16" s="1"/>
  <c r="M866" i="16"/>
  <c r="I870" i="16"/>
  <c r="O869" i="16"/>
  <c r="H865" i="16"/>
  <c r="P871" i="16"/>
  <c r="N867" i="16"/>
  <c r="L867" i="16"/>
  <c r="H870" i="16"/>
  <c r="G865" i="16"/>
  <c r="M868" i="16"/>
  <c r="I867" i="16"/>
  <c r="N870" i="16"/>
  <c r="G869" i="16"/>
  <c r="L868" i="16"/>
  <c r="O865" i="16"/>
  <c r="K865" i="16"/>
  <c r="K866" i="16"/>
  <c r="M865" i="16"/>
  <c r="H867" i="16"/>
  <c r="I868" i="16"/>
  <c r="N863" i="16"/>
  <c r="J866" i="16"/>
  <c r="H336" i="11"/>
  <c r="H338" i="11"/>
  <c r="T336" i="11"/>
  <c r="O338" i="11"/>
  <c r="P338" i="11"/>
  <c r="K338" i="11"/>
  <c r="I336" i="11"/>
  <c r="Q337" i="11"/>
  <c r="L337" i="11"/>
  <c r="T337" i="11"/>
  <c r="T338" i="11"/>
  <c r="P336" i="11"/>
  <c r="P337" i="11"/>
  <c r="C331" i="11"/>
  <c r="Q336" i="11"/>
  <c r="M337" i="11"/>
  <c r="J337" i="11"/>
  <c r="F336" i="11"/>
  <c r="S338" i="11"/>
  <c r="J336" i="11"/>
  <c r="H337" i="11"/>
  <c r="I337" i="11"/>
  <c r="C332" i="11"/>
  <c r="C333" i="11" s="1"/>
  <c r="C334" i="11" s="1"/>
  <c r="C335" i="11" s="1"/>
  <c r="C336" i="11" s="1"/>
  <c r="C337" i="11" s="1"/>
  <c r="C338" i="11" s="1"/>
  <c r="C339" i="11" s="1"/>
  <c r="F338" i="11"/>
  <c r="F337" i="11"/>
  <c r="G337" i="11"/>
  <c r="J338" i="11"/>
  <c r="O336" i="11"/>
  <c r="G338" i="11"/>
  <c r="K337" i="11"/>
  <c r="G336" i="11"/>
  <c r="I338" i="11"/>
  <c r="O337" i="11"/>
  <c r="S336" i="11"/>
  <c r="Q338" i="11"/>
  <c r="N337" i="11"/>
  <c r="K336" i="11"/>
  <c r="S337" i="11"/>
  <c r="R338" i="11"/>
  <c r="R336" i="11"/>
  <c r="R337" i="11"/>
  <c r="J249" i="12"/>
  <c r="J250" i="12" s="1"/>
  <c r="K249" i="12"/>
  <c r="K250" i="12" s="1"/>
  <c r="C244" i="12"/>
  <c r="C245" i="12" s="1"/>
  <c r="C246" i="12" s="1"/>
  <c r="C247" i="12" s="1"/>
  <c r="C248" i="12" s="1"/>
  <c r="C249" i="12" s="1"/>
  <c r="C250" i="12" s="1"/>
  <c r="I249" i="12"/>
  <c r="I250" i="12" s="1"/>
  <c r="I800" i="15"/>
  <c r="P798" i="15"/>
  <c r="P797" i="15"/>
  <c r="L800" i="15"/>
  <c r="P790" i="15"/>
  <c r="I799" i="15"/>
  <c r="N790" i="15"/>
  <c r="J797" i="15"/>
  <c r="N798" i="15"/>
  <c r="O799" i="15"/>
  <c r="F791" i="15"/>
  <c r="K790" i="15"/>
  <c r="J799" i="15"/>
  <c r="O795" i="15"/>
  <c r="P792" i="15"/>
  <c r="O800" i="15"/>
  <c r="M793" i="15"/>
  <c r="H795" i="15"/>
  <c r="L791" i="15"/>
  <c r="I796" i="15"/>
  <c r="N791" i="15"/>
  <c r="H791" i="15"/>
  <c r="K798" i="15"/>
  <c r="N797" i="15"/>
  <c r="M800" i="15"/>
  <c r="N792" i="15"/>
  <c r="K799" i="15"/>
  <c r="L801" i="15"/>
  <c r="L799" i="15"/>
  <c r="K793" i="15"/>
  <c r="H798" i="15"/>
  <c r="N801" i="15"/>
  <c r="F797" i="15"/>
  <c r="L790" i="15"/>
  <c r="M797" i="15"/>
  <c r="M801" i="15"/>
  <c r="N793" i="15"/>
  <c r="P800" i="15"/>
  <c r="O797" i="15"/>
  <c r="J795" i="15"/>
  <c r="O796" i="15"/>
  <c r="G797" i="15"/>
  <c r="M798" i="15"/>
  <c r="K797" i="15"/>
  <c r="N796" i="15"/>
  <c r="O801" i="15"/>
  <c r="O791" i="15"/>
  <c r="L797" i="15"/>
  <c r="N799" i="15"/>
  <c r="L793" i="15"/>
  <c r="F798" i="15"/>
  <c r="K791" i="15"/>
  <c r="F795" i="15"/>
  <c r="M792" i="15"/>
  <c r="K801" i="15"/>
  <c r="I793" i="15"/>
  <c r="F793" i="15"/>
  <c r="I791" i="15"/>
  <c r="H796" i="15"/>
  <c r="J791" i="15"/>
  <c r="K792" i="15"/>
  <c r="M796" i="15"/>
  <c r="O798" i="15"/>
  <c r="K795" i="15"/>
  <c r="N795" i="15"/>
  <c r="L795" i="15"/>
  <c r="G796" i="15"/>
  <c r="L796" i="15"/>
  <c r="I798" i="15"/>
  <c r="M795" i="15"/>
  <c r="G795" i="15"/>
  <c r="G798" i="15"/>
  <c r="F799" i="15"/>
  <c r="I795" i="15"/>
  <c r="P791" i="15"/>
  <c r="P796" i="15"/>
  <c r="F800" i="15"/>
  <c r="I797" i="15"/>
  <c r="L792" i="15"/>
  <c r="H799" i="15"/>
  <c r="K796" i="15"/>
  <c r="G791" i="15"/>
  <c r="H800" i="15"/>
  <c r="P795" i="15"/>
  <c r="C787" i="15"/>
  <c r="C788" i="15" s="1"/>
  <c r="C789" i="15" s="1"/>
  <c r="C790" i="15" s="1"/>
  <c r="C791" i="15" s="1"/>
  <c r="C792" i="15" s="1"/>
  <c r="C793" i="15" s="1"/>
  <c r="C794" i="15" s="1"/>
  <c r="C795" i="15" s="1"/>
  <c r="C796" i="15" s="1"/>
  <c r="C797" i="15" s="1"/>
  <c r="C798" i="15" s="1"/>
  <c r="C799" i="15" s="1"/>
  <c r="C800" i="15" s="1"/>
  <c r="C801" i="15" s="1"/>
  <c r="C802" i="15" s="1"/>
  <c r="O792" i="15"/>
  <c r="H797" i="15"/>
  <c r="P799" i="15"/>
  <c r="M790" i="15"/>
  <c r="J800" i="15"/>
  <c r="J798" i="15"/>
  <c r="K800" i="15"/>
  <c r="G799" i="15"/>
  <c r="O790" i="15"/>
  <c r="G800" i="15"/>
  <c r="L798" i="15"/>
  <c r="J796" i="15"/>
  <c r="J793" i="15"/>
  <c r="N800" i="15"/>
  <c r="P801" i="15"/>
  <c r="H793" i="15"/>
  <c r="M791" i="15"/>
  <c r="M799" i="15"/>
  <c r="F796" i="15"/>
  <c r="P793" i="15"/>
  <c r="O793" i="15"/>
  <c r="G793" i="15"/>
  <c r="F1000" i="15"/>
  <c r="F1004" i="15"/>
  <c r="G1002" i="15"/>
  <c r="H1002" i="15"/>
  <c r="H997" i="15"/>
  <c r="G995" i="15"/>
  <c r="J1001" i="15"/>
  <c r="F1001" i="15"/>
  <c r="F999" i="15"/>
  <c r="G1001" i="15"/>
  <c r="I1002" i="15"/>
  <c r="I997" i="15"/>
  <c r="H1001" i="15"/>
  <c r="H1000" i="15"/>
  <c r="C991" i="15"/>
  <c r="C992" i="15" s="1"/>
  <c r="C993" i="15" s="1"/>
  <c r="C994" i="15" s="1"/>
  <c r="C995" i="15" s="1"/>
  <c r="C996" i="15" s="1"/>
  <c r="C997" i="15" s="1"/>
  <c r="C998" i="15" s="1"/>
  <c r="C999" i="15" s="1"/>
  <c r="C1000" i="15" s="1"/>
  <c r="C1001" i="15" s="1"/>
  <c r="C1002" i="15" s="1"/>
  <c r="C1003" i="15" s="1"/>
  <c r="C1004" i="15" s="1"/>
  <c r="C1005" i="15" s="1"/>
  <c r="C1006" i="15" s="1"/>
  <c r="J999" i="15"/>
  <c r="G999" i="15"/>
  <c r="G1004" i="15"/>
  <c r="H1004" i="15"/>
  <c r="I1004" i="15"/>
  <c r="I999" i="15"/>
  <c r="H995" i="15"/>
  <c r="J1003" i="15"/>
  <c r="J1004" i="15"/>
  <c r="F995" i="15"/>
  <c r="I995" i="15"/>
  <c r="F1002" i="15"/>
  <c r="G997" i="15"/>
  <c r="J997" i="15"/>
  <c r="I1001" i="15"/>
  <c r="G1003" i="15"/>
  <c r="G1000" i="15"/>
  <c r="J995" i="15"/>
  <c r="I1000" i="15"/>
  <c r="J1000" i="15"/>
  <c r="J1002" i="15"/>
  <c r="H1003" i="15"/>
  <c r="F997" i="15"/>
  <c r="F1003" i="15"/>
  <c r="H999" i="15"/>
  <c r="I1003" i="15"/>
  <c r="C188" i="12"/>
  <c r="C189" i="12" s="1"/>
  <c r="C190" i="12" s="1"/>
  <c r="C191" i="12" s="1"/>
  <c r="C192" i="12" s="1"/>
  <c r="C193" i="12" s="1"/>
  <c r="C194" i="12" s="1"/>
  <c r="K193" i="12"/>
  <c r="K194" i="12" s="1"/>
  <c r="J193" i="12"/>
  <c r="J194" i="12" s="1"/>
  <c r="I193" i="12"/>
  <c r="I194" i="12" s="1"/>
  <c r="J305" i="12"/>
  <c r="J306" i="12" s="1"/>
  <c r="K305" i="12"/>
  <c r="K306" i="12" s="1"/>
  <c r="I305" i="12"/>
  <c r="I306" i="12" s="1"/>
  <c r="C300" i="12"/>
  <c r="C301" i="12" s="1"/>
  <c r="C302" i="12" s="1"/>
  <c r="C303" i="12" s="1"/>
  <c r="C304" i="12" s="1"/>
  <c r="C305" i="12" s="1"/>
  <c r="C306" i="12" s="1"/>
  <c r="I225" i="12"/>
  <c r="I226" i="12" s="1"/>
  <c r="K225" i="12"/>
  <c r="K226" i="12" s="1"/>
  <c r="C220" i="12"/>
  <c r="C221" i="12" s="1"/>
  <c r="C222" i="12" s="1"/>
  <c r="C223" i="12" s="1"/>
  <c r="C224" i="12" s="1"/>
  <c r="C225" i="12" s="1"/>
  <c r="C226" i="12" s="1"/>
  <c r="J225" i="12"/>
  <c r="J226" i="12" s="1"/>
  <c r="N1037" i="13"/>
  <c r="N1029" i="13"/>
  <c r="I1037" i="13"/>
  <c r="S1039" i="13"/>
  <c r="S1038" i="13"/>
  <c r="P1038" i="13"/>
  <c r="M1037" i="13"/>
  <c r="J1034" i="13"/>
  <c r="H1036" i="13"/>
  <c r="F1035" i="13"/>
  <c r="O1036" i="13"/>
  <c r="L1030" i="13"/>
  <c r="R1039" i="13"/>
  <c r="P1030" i="13"/>
  <c r="O1031" i="13"/>
  <c r="F1036" i="13"/>
  <c r="F1039" i="13"/>
  <c r="F1037" i="13"/>
  <c r="K1039" i="13"/>
  <c r="M1035" i="13"/>
  <c r="F1032" i="13"/>
  <c r="G1035" i="13"/>
  <c r="P1034" i="13"/>
  <c r="O1035" i="13"/>
  <c r="R1032" i="13"/>
  <c r="R1030" i="13"/>
  <c r="K1032" i="13"/>
  <c r="J1037" i="13"/>
  <c r="S1035" i="13"/>
  <c r="P1037" i="13"/>
  <c r="C1026" i="13"/>
  <c r="C1027" i="13" s="1"/>
  <c r="C1028" i="13" s="1"/>
  <c r="C1029" i="13" s="1"/>
  <c r="C1030" i="13" s="1"/>
  <c r="C1031" i="13" s="1"/>
  <c r="C1032" i="13" s="1"/>
  <c r="C1033" i="13" s="1"/>
  <c r="C1034" i="13" s="1"/>
  <c r="C1035" i="13" s="1"/>
  <c r="C1036" i="13" s="1"/>
  <c r="C1037" i="13" s="1"/>
  <c r="C1038" i="13" s="1"/>
  <c r="C1039" i="13" s="1"/>
  <c r="C1040" i="13" s="1"/>
  <c r="C1041" i="13" s="1"/>
  <c r="R1038" i="13"/>
  <c r="O1040" i="13"/>
  <c r="G1037" i="13"/>
  <c r="U1035" i="13"/>
  <c r="O1030" i="13"/>
  <c r="N1032" i="13"/>
  <c r="U1037" i="13"/>
  <c r="J1036" i="13"/>
  <c r="H1039" i="13"/>
  <c r="N1030" i="13"/>
  <c r="J1035" i="13"/>
  <c r="P1035" i="13"/>
  <c r="M1034" i="13"/>
  <c r="G1038" i="13"/>
  <c r="L1036" i="13"/>
  <c r="S1030" i="13"/>
  <c r="I1032" i="13"/>
  <c r="P1032" i="13"/>
  <c r="K1034" i="13"/>
  <c r="H1035" i="13"/>
  <c r="T1030" i="13"/>
  <c r="K1037" i="13"/>
  <c r="L1039" i="13"/>
  <c r="L1031" i="13"/>
  <c r="S1034" i="13"/>
  <c r="T1034" i="13"/>
  <c r="L1035" i="13"/>
  <c r="H1032" i="13"/>
  <c r="F1034" i="13"/>
  <c r="K1036" i="13"/>
  <c r="T1038" i="13"/>
  <c r="G1034" i="13"/>
  <c r="I1034" i="13"/>
  <c r="L1038" i="13"/>
  <c r="O1039" i="13"/>
  <c r="G1039" i="13"/>
  <c r="L1037" i="13"/>
  <c r="S1037" i="13"/>
  <c r="U1030" i="13"/>
  <c r="M1038" i="13"/>
  <c r="T1032" i="13"/>
  <c r="J1030" i="13"/>
  <c r="L1034" i="13"/>
  <c r="F1038" i="13"/>
  <c r="U1039" i="13"/>
  <c r="M1030" i="13"/>
  <c r="I1036" i="13"/>
  <c r="I1038" i="13"/>
  <c r="L1040" i="13"/>
  <c r="T1037" i="13"/>
  <c r="K1038" i="13"/>
  <c r="I1035" i="13"/>
  <c r="G1032" i="13"/>
  <c r="N1039" i="13"/>
  <c r="N1038" i="13"/>
  <c r="J1039" i="13"/>
  <c r="U1032" i="13"/>
  <c r="O1032" i="13"/>
  <c r="H1034" i="13"/>
  <c r="U1038" i="13"/>
  <c r="T1035" i="13"/>
  <c r="J1032" i="13"/>
  <c r="F1030" i="13"/>
  <c r="M1032" i="13"/>
  <c r="U1036" i="13"/>
  <c r="N1036" i="13"/>
  <c r="K1029" i="13"/>
  <c r="N1034" i="13"/>
  <c r="R1036" i="13"/>
  <c r="K1035" i="13"/>
  <c r="N1031" i="13"/>
  <c r="O1034" i="13"/>
  <c r="O1029" i="13"/>
  <c r="O1038" i="13"/>
  <c r="K1040" i="13"/>
  <c r="G1030" i="13"/>
  <c r="M1036" i="13"/>
  <c r="T1039" i="13"/>
  <c r="J1038" i="13"/>
  <c r="K1031" i="13"/>
  <c r="I1030" i="13"/>
  <c r="N1040" i="13"/>
  <c r="N1035" i="13"/>
  <c r="S1032" i="13"/>
  <c r="S1036" i="13"/>
  <c r="T1036" i="13"/>
  <c r="H1038" i="13"/>
  <c r="H1037" i="13"/>
  <c r="G1036" i="13"/>
  <c r="R1034" i="13"/>
  <c r="R1035" i="13"/>
  <c r="R1037" i="13"/>
  <c r="H1030" i="13"/>
  <c r="U1034" i="13"/>
  <c r="L1029" i="13"/>
  <c r="I1039" i="13"/>
  <c r="P1036" i="13"/>
  <c r="M1039" i="13"/>
  <c r="L1032" i="13"/>
  <c r="P1039" i="13"/>
  <c r="K1030" i="13"/>
  <c r="O1037" i="13"/>
  <c r="I441" i="12"/>
  <c r="I442" i="12" s="1"/>
  <c r="C436" i="12"/>
  <c r="C437" i="12" s="1"/>
  <c r="C438" i="12" s="1"/>
  <c r="C439" i="12" s="1"/>
  <c r="C440" i="12" s="1"/>
  <c r="C441" i="12" s="1"/>
  <c r="C442" i="12" s="1"/>
  <c r="K441" i="12"/>
  <c r="K442" i="12" s="1"/>
  <c r="J441" i="12"/>
  <c r="J442" i="12" s="1"/>
  <c r="J448" i="16"/>
  <c r="M449" i="16"/>
  <c r="J447" i="16"/>
  <c r="L451" i="16"/>
  <c r="O451" i="16"/>
  <c r="F449" i="16"/>
  <c r="O445" i="16"/>
  <c r="P450" i="16"/>
  <c r="F447" i="16"/>
  <c r="H445" i="16"/>
  <c r="O443" i="16"/>
  <c r="M448" i="16"/>
  <c r="K449" i="16"/>
  <c r="I450" i="16"/>
  <c r="H446" i="16"/>
  <c r="L447" i="16"/>
  <c r="I447" i="16"/>
  <c r="M447" i="16"/>
  <c r="N446" i="16"/>
  <c r="F448" i="16"/>
  <c r="K445" i="16"/>
  <c r="K448" i="16"/>
  <c r="F445" i="16"/>
  <c r="P445" i="16"/>
  <c r="O450" i="16"/>
  <c r="L443" i="16"/>
  <c r="N451" i="16"/>
  <c r="C440" i="16"/>
  <c r="C441" i="16" s="1"/>
  <c r="C442" i="16" s="1"/>
  <c r="C443" i="16" s="1"/>
  <c r="C444" i="16" s="1"/>
  <c r="C445" i="16" s="1"/>
  <c r="C446" i="16" s="1"/>
  <c r="C447" i="16" s="1"/>
  <c r="C448" i="16" s="1"/>
  <c r="C449" i="16" s="1"/>
  <c r="C450" i="16" s="1"/>
  <c r="C451" i="16" s="1"/>
  <c r="C452" i="16" s="1"/>
  <c r="G447" i="16"/>
  <c r="J446" i="16"/>
  <c r="J450" i="16"/>
  <c r="P449" i="16"/>
  <c r="L449" i="16"/>
  <c r="I448" i="16"/>
  <c r="N447" i="16"/>
  <c r="M446" i="16"/>
  <c r="G445" i="16"/>
  <c r="N449" i="16"/>
  <c r="L450" i="16"/>
  <c r="M451" i="16"/>
  <c r="H448" i="16"/>
  <c r="O449" i="16"/>
  <c r="G448" i="16"/>
  <c r="I446" i="16"/>
  <c r="K451" i="16"/>
  <c r="P451" i="16"/>
  <c r="I449" i="16"/>
  <c r="M445" i="16"/>
  <c r="N450" i="16"/>
  <c r="H449" i="16"/>
  <c r="P443" i="16"/>
  <c r="M443" i="16"/>
  <c r="O448" i="16"/>
  <c r="F446" i="16"/>
  <c r="L448" i="16"/>
  <c r="G450" i="16"/>
  <c r="O447" i="16"/>
  <c r="O446" i="16"/>
  <c r="F450" i="16"/>
  <c r="G449" i="16"/>
  <c r="K450" i="16"/>
  <c r="N443" i="16"/>
  <c r="J449" i="16"/>
  <c r="N445" i="16"/>
  <c r="P448" i="16"/>
  <c r="M450" i="16"/>
  <c r="G446" i="16"/>
  <c r="K443" i="16"/>
  <c r="I445" i="16"/>
  <c r="K447" i="16"/>
  <c r="L445" i="16"/>
  <c r="H450" i="16"/>
  <c r="P447" i="16"/>
  <c r="P446" i="16"/>
  <c r="H447" i="16"/>
  <c r="J445" i="16"/>
  <c r="N448" i="16"/>
  <c r="K446" i="16"/>
  <c r="L446" i="16"/>
  <c r="O647" i="13"/>
  <c r="O649" i="13"/>
  <c r="R641" i="13"/>
  <c r="P647" i="13"/>
  <c r="S648" i="13"/>
  <c r="C635" i="13"/>
  <c r="C636" i="13" s="1"/>
  <c r="C637" i="13" s="1"/>
  <c r="C638" i="13" s="1"/>
  <c r="C639" i="13" s="1"/>
  <c r="C640" i="13" s="1"/>
  <c r="C641" i="13" s="1"/>
  <c r="C642" i="13" s="1"/>
  <c r="C643" i="13" s="1"/>
  <c r="C644" i="13" s="1"/>
  <c r="C645" i="13" s="1"/>
  <c r="C646" i="13" s="1"/>
  <c r="C647" i="13" s="1"/>
  <c r="C648" i="13" s="1"/>
  <c r="C649" i="13" s="1"/>
  <c r="C650" i="13" s="1"/>
  <c r="N638" i="13"/>
  <c r="N645" i="13"/>
  <c r="T645" i="13"/>
  <c r="R647" i="13"/>
  <c r="T641" i="13"/>
  <c r="N644" i="13"/>
  <c r="K644" i="13"/>
  <c r="R639" i="13"/>
  <c r="S645" i="13"/>
  <c r="U641" i="13"/>
  <c r="R643" i="13"/>
  <c r="K643" i="13"/>
  <c r="L649" i="13"/>
  <c r="S641" i="13"/>
  <c r="P643" i="13"/>
  <c r="S644" i="13"/>
  <c r="N641" i="13"/>
  <c r="O644" i="13"/>
  <c r="P644" i="13"/>
  <c r="I639" i="13"/>
  <c r="R646" i="13"/>
  <c r="M645" i="13"/>
  <c r="K647" i="13"/>
  <c r="J646" i="13"/>
  <c r="I646" i="13"/>
  <c r="J643" i="13"/>
  <c r="G646" i="13"/>
  <c r="N649" i="13"/>
  <c r="N640" i="13"/>
  <c r="H639" i="13"/>
  <c r="U646" i="13"/>
  <c r="J648" i="13"/>
  <c r="L641" i="13"/>
  <c r="K649" i="13"/>
  <c r="L640" i="13"/>
  <c r="F648" i="13"/>
  <c r="J645" i="13"/>
  <c r="U644" i="13"/>
  <c r="L648" i="13"/>
  <c r="M643" i="13"/>
  <c r="I644" i="13"/>
  <c r="F644" i="13"/>
  <c r="P639" i="13"/>
  <c r="F641" i="13"/>
  <c r="O638" i="13"/>
  <c r="N647" i="13"/>
  <c r="G643" i="13"/>
  <c r="J641" i="13"/>
  <c r="S647" i="13"/>
  <c r="I643" i="13"/>
  <c r="M644" i="13"/>
  <c r="L643" i="13"/>
  <c r="F647" i="13"/>
  <c r="H646" i="13"/>
  <c r="I645" i="13"/>
  <c r="K641" i="13"/>
  <c r="O645" i="13"/>
  <c r="T647" i="13"/>
  <c r="G639" i="13"/>
  <c r="G647" i="13"/>
  <c r="F639" i="13"/>
  <c r="O641" i="13"/>
  <c r="M648" i="13"/>
  <c r="T646" i="13"/>
  <c r="U648" i="13"/>
  <c r="T648" i="13"/>
  <c r="T639" i="13"/>
  <c r="N643" i="13"/>
  <c r="O643" i="13"/>
  <c r="H648" i="13"/>
  <c r="H643" i="13"/>
  <c r="M639" i="13"/>
  <c r="M646" i="13"/>
  <c r="L638" i="13"/>
  <c r="K648" i="13"/>
  <c r="S643" i="13"/>
  <c r="U645" i="13"/>
  <c r="F645" i="13"/>
  <c r="O639" i="13"/>
  <c r="K638" i="13"/>
  <c r="R648" i="13"/>
  <c r="S639" i="13"/>
  <c r="J647" i="13"/>
  <c r="O640" i="13"/>
  <c r="S646" i="13"/>
  <c r="N648" i="13"/>
  <c r="U647" i="13"/>
  <c r="L645" i="13"/>
  <c r="H647" i="13"/>
  <c r="K640" i="13"/>
  <c r="I648" i="13"/>
  <c r="L646" i="13"/>
  <c r="T643" i="13"/>
  <c r="L644" i="13"/>
  <c r="R645" i="13"/>
  <c r="M647" i="13"/>
  <c r="H645" i="13"/>
  <c r="T644" i="13"/>
  <c r="H644" i="13"/>
  <c r="N639" i="13"/>
  <c r="G648" i="13"/>
  <c r="K645" i="13"/>
  <c r="F646" i="13"/>
  <c r="P645" i="13"/>
  <c r="J639" i="13"/>
  <c r="G645" i="13"/>
  <c r="K639" i="13"/>
  <c r="J644" i="13"/>
  <c r="U643" i="13"/>
  <c r="P646" i="13"/>
  <c r="H641" i="13"/>
  <c r="L647" i="13"/>
  <c r="U639" i="13"/>
  <c r="P641" i="13"/>
  <c r="I641" i="13"/>
  <c r="G644" i="13"/>
  <c r="L639" i="13"/>
  <c r="F643" i="13"/>
  <c r="O646" i="13"/>
  <c r="N646" i="13"/>
  <c r="R644" i="13"/>
  <c r="O648" i="13"/>
  <c r="P648" i="13"/>
  <c r="K646" i="13"/>
  <c r="G641" i="13"/>
  <c r="M641" i="13"/>
  <c r="I647" i="13"/>
  <c r="M606" i="15"/>
  <c r="K613" i="15"/>
  <c r="M608" i="15"/>
  <c r="K612" i="15"/>
  <c r="M604" i="15"/>
  <c r="J613" i="15"/>
  <c r="L613" i="15"/>
  <c r="O612" i="15"/>
  <c r="I613" i="15"/>
  <c r="H604" i="15"/>
  <c r="L614" i="15"/>
  <c r="K604" i="15"/>
  <c r="F609" i="15"/>
  <c r="I608" i="15"/>
  <c r="M609" i="15"/>
  <c r="L603" i="15"/>
  <c r="H610" i="15"/>
  <c r="K608" i="15"/>
  <c r="P613" i="15"/>
  <c r="F606" i="15"/>
  <c r="M603" i="15"/>
  <c r="N603" i="15"/>
  <c r="M611" i="15"/>
  <c r="N605" i="15"/>
  <c r="I609" i="15"/>
  <c r="K610" i="15"/>
  <c r="F611" i="15"/>
  <c r="M612" i="15"/>
  <c r="L605" i="15"/>
  <c r="I610" i="15"/>
  <c r="N610" i="15"/>
  <c r="F610" i="15"/>
  <c r="P604" i="15"/>
  <c r="L609" i="15"/>
  <c r="C600" i="15"/>
  <c r="C601" i="15" s="1"/>
  <c r="C602" i="15" s="1"/>
  <c r="C603" i="15" s="1"/>
  <c r="C604" i="15" s="1"/>
  <c r="C605" i="15" s="1"/>
  <c r="C606" i="15" s="1"/>
  <c r="C607" i="15" s="1"/>
  <c r="C608" i="15" s="1"/>
  <c r="C609" i="15" s="1"/>
  <c r="C610" i="15" s="1"/>
  <c r="C611" i="15" s="1"/>
  <c r="C612" i="15" s="1"/>
  <c r="C613" i="15" s="1"/>
  <c r="C614" i="15" s="1"/>
  <c r="C615" i="15" s="1"/>
  <c r="I606" i="15"/>
  <c r="N609" i="15"/>
  <c r="G608" i="15"/>
  <c r="H611" i="15"/>
  <c r="O613" i="15"/>
  <c r="P608" i="15"/>
  <c r="J608" i="15"/>
  <c r="L612" i="15"/>
  <c r="K609" i="15"/>
  <c r="M610" i="15"/>
  <c r="P610" i="15"/>
  <c r="G609" i="15"/>
  <c r="P606" i="15"/>
  <c r="M614" i="15"/>
  <c r="H613" i="15"/>
  <c r="N604" i="15"/>
  <c r="I604" i="15"/>
  <c r="O609" i="15"/>
  <c r="L604" i="15"/>
  <c r="I612" i="15"/>
  <c r="F604" i="15"/>
  <c r="G606" i="15"/>
  <c r="M613" i="15"/>
  <c r="J606" i="15"/>
  <c r="P614" i="15"/>
  <c r="O605" i="15"/>
  <c r="J609" i="15"/>
  <c r="O611" i="15"/>
  <c r="H612" i="15"/>
  <c r="K611" i="15"/>
  <c r="L610" i="15"/>
  <c r="G613" i="15"/>
  <c r="O608" i="15"/>
  <c r="J611" i="15"/>
  <c r="O606" i="15"/>
  <c r="G611" i="15"/>
  <c r="L608" i="15"/>
  <c r="P603" i="15"/>
  <c r="K603" i="15"/>
  <c r="J610" i="15"/>
  <c r="O610" i="15"/>
  <c r="F613" i="15"/>
  <c r="K606" i="15"/>
  <c r="K614" i="15"/>
  <c r="F608" i="15"/>
  <c r="L611" i="15"/>
  <c r="J612" i="15"/>
  <c r="I611" i="15"/>
  <c r="P609" i="15"/>
  <c r="H608" i="15"/>
  <c r="P611" i="15"/>
  <c r="O614" i="15"/>
  <c r="G612" i="15"/>
  <c r="K605" i="15"/>
  <c r="H606" i="15"/>
  <c r="N606" i="15"/>
  <c r="O604" i="15"/>
  <c r="J604" i="15"/>
  <c r="P612" i="15"/>
  <c r="M605" i="15"/>
  <c r="H609" i="15"/>
  <c r="N611" i="15"/>
  <c r="N612" i="15"/>
  <c r="N608" i="15"/>
  <c r="N614" i="15"/>
  <c r="O603" i="15"/>
  <c r="L606" i="15"/>
  <c r="F612" i="15"/>
  <c r="G610" i="15"/>
  <c r="N613" i="15"/>
  <c r="G604" i="15"/>
  <c r="P605" i="15"/>
  <c r="H657" i="15"/>
  <c r="G655" i="15"/>
  <c r="M660" i="15"/>
  <c r="F657" i="15"/>
  <c r="G664" i="15"/>
  <c r="P659" i="15"/>
  <c r="J657" i="15"/>
  <c r="L656" i="15"/>
  <c r="F663" i="15"/>
  <c r="I660" i="15"/>
  <c r="K655" i="15"/>
  <c r="K661" i="15"/>
  <c r="H659" i="15"/>
  <c r="N654" i="15"/>
  <c r="I664" i="15"/>
  <c r="O656" i="15"/>
  <c r="K663" i="15"/>
  <c r="H662" i="15"/>
  <c r="M657" i="15"/>
  <c r="F655" i="15"/>
  <c r="N656" i="15"/>
  <c r="N660" i="15"/>
  <c r="G659" i="15"/>
  <c r="L654" i="15"/>
  <c r="L655" i="15"/>
  <c r="F664" i="15"/>
  <c r="M665" i="15"/>
  <c r="M662" i="15"/>
  <c r="H661" i="15"/>
  <c r="N662" i="15"/>
  <c r="F659" i="15"/>
  <c r="K657" i="15"/>
  <c r="M661" i="15"/>
  <c r="O660" i="15"/>
  <c r="K664" i="15"/>
  <c r="N664" i="15"/>
  <c r="G663" i="15"/>
  <c r="P661" i="15"/>
  <c r="O657" i="15"/>
  <c r="I662" i="15"/>
  <c r="L665" i="15"/>
  <c r="L660" i="15"/>
  <c r="O655" i="15"/>
  <c r="M659" i="15"/>
  <c r="P662" i="15"/>
  <c r="O654" i="15"/>
  <c r="H664" i="15"/>
  <c r="H663" i="15"/>
  <c r="L664" i="15"/>
  <c r="P660" i="15"/>
  <c r="J664" i="15"/>
  <c r="L661" i="15"/>
  <c r="F661" i="15"/>
  <c r="N665" i="15"/>
  <c r="L663" i="15"/>
  <c r="F662" i="15"/>
  <c r="K654" i="15"/>
  <c r="L657" i="15"/>
  <c r="I659" i="15"/>
  <c r="M655" i="15"/>
  <c r="N655" i="15"/>
  <c r="J661" i="15"/>
  <c r="J663" i="15"/>
  <c r="J659" i="15"/>
  <c r="K656" i="15"/>
  <c r="L662" i="15"/>
  <c r="K659" i="15"/>
  <c r="I663" i="15"/>
  <c r="G660" i="15"/>
  <c r="M654" i="15"/>
  <c r="P665" i="15"/>
  <c r="K660" i="15"/>
  <c r="O661" i="15"/>
  <c r="M664" i="15"/>
  <c r="J655" i="15"/>
  <c r="C651" i="15"/>
  <c r="C652" i="15" s="1"/>
  <c r="C653" i="15" s="1"/>
  <c r="C654" i="15" s="1"/>
  <c r="C655" i="15" s="1"/>
  <c r="C656" i="15" s="1"/>
  <c r="C657" i="15" s="1"/>
  <c r="C658" i="15" s="1"/>
  <c r="C659" i="15" s="1"/>
  <c r="C660" i="15" s="1"/>
  <c r="C661" i="15" s="1"/>
  <c r="C662" i="15" s="1"/>
  <c r="C663" i="15" s="1"/>
  <c r="C664" i="15" s="1"/>
  <c r="C665" i="15" s="1"/>
  <c r="C666" i="15" s="1"/>
  <c r="O663" i="15"/>
  <c r="P663" i="15"/>
  <c r="G657" i="15"/>
  <c r="L659" i="15"/>
  <c r="N661" i="15"/>
  <c r="P654" i="15"/>
  <c r="I655" i="15"/>
  <c r="N657" i="15"/>
  <c r="O659" i="15"/>
  <c r="H660" i="15"/>
  <c r="G662" i="15"/>
  <c r="N663" i="15"/>
  <c r="M663" i="15"/>
  <c r="G661" i="15"/>
  <c r="P664" i="15"/>
  <c r="N659" i="15"/>
  <c r="J662" i="15"/>
  <c r="O664" i="15"/>
  <c r="F660" i="15"/>
  <c r="P657" i="15"/>
  <c r="I657" i="15"/>
  <c r="K662" i="15"/>
  <c r="P655" i="15"/>
  <c r="H655" i="15"/>
  <c r="M656" i="15"/>
  <c r="K665" i="15"/>
  <c r="I661" i="15"/>
  <c r="O665" i="15"/>
  <c r="P656" i="15"/>
  <c r="J660" i="15"/>
  <c r="O662" i="15"/>
  <c r="O45" i="13"/>
  <c r="N54" i="13"/>
  <c r="N49" i="13"/>
  <c r="N53" i="13"/>
  <c r="O53" i="13"/>
  <c r="O44" i="13"/>
  <c r="O50" i="13"/>
  <c r="N52" i="13"/>
  <c r="N48" i="13"/>
  <c r="N50" i="13"/>
  <c r="N44" i="13"/>
  <c r="N45" i="13"/>
  <c r="O48" i="13"/>
  <c r="O46" i="13"/>
  <c r="O52" i="13"/>
  <c r="O51" i="13"/>
  <c r="N43" i="13"/>
  <c r="O54" i="13"/>
  <c r="C40" i="13"/>
  <c r="C41" i="13" s="1"/>
  <c r="C42" i="13" s="1"/>
  <c r="C43" i="13" s="1"/>
  <c r="C44" i="13" s="1"/>
  <c r="C45" i="13" s="1"/>
  <c r="C46" i="13" s="1"/>
  <c r="C47" i="13" s="1"/>
  <c r="C48" i="13" s="1"/>
  <c r="C49" i="13" s="1"/>
  <c r="C50" i="13" s="1"/>
  <c r="C51" i="13" s="1"/>
  <c r="C52" i="13" s="1"/>
  <c r="C53" i="13" s="1"/>
  <c r="C54" i="13" s="1"/>
  <c r="C55" i="13" s="1"/>
  <c r="O49" i="13"/>
  <c r="O43" i="13"/>
  <c r="N51" i="13"/>
  <c r="N46" i="13"/>
  <c r="S642" i="14"/>
  <c r="H643" i="14"/>
  <c r="N645" i="14"/>
  <c r="M646" i="14"/>
  <c r="P643" i="14"/>
  <c r="C636" i="14"/>
  <c r="I645" i="14"/>
  <c r="I642" i="14"/>
  <c r="J642" i="14"/>
  <c r="J641" i="14"/>
  <c r="I643" i="14"/>
  <c r="P644" i="14"/>
  <c r="J643" i="14"/>
  <c r="P641" i="14"/>
  <c r="U643" i="14"/>
  <c r="R644" i="14"/>
  <c r="L645" i="14"/>
  <c r="M644" i="14"/>
  <c r="T646" i="14"/>
  <c r="G642" i="14"/>
  <c r="H645" i="14"/>
  <c r="O645" i="14"/>
  <c r="G641" i="14"/>
  <c r="S645" i="14"/>
  <c r="M642" i="14"/>
  <c r="R643" i="14"/>
  <c r="I646" i="14"/>
  <c r="U642" i="14"/>
  <c r="J644" i="14"/>
  <c r="R641" i="14"/>
  <c r="F646" i="14"/>
  <c r="P642" i="14"/>
  <c r="O646" i="14"/>
  <c r="S643" i="14"/>
  <c r="O647" i="14"/>
  <c r="H641" i="14"/>
  <c r="F644" i="14"/>
  <c r="O641" i="14"/>
  <c r="S644" i="14"/>
  <c r="U645" i="14"/>
  <c r="N644" i="14"/>
  <c r="G646" i="14"/>
  <c r="P645" i="14"/>
  <c r="N642" i="14"/>
  <c r="K642" i="14"/>
  <c r="F643" i="14"/>
  <c r="L642" i="14"/>
  <c r="J646" i="14"/>
  <c r="K646" i="14"/>
  <c r="T643" i="14"/>
  <c r="T645" i="14"/>
  <c r="M641" i="14"/>
  <c r="R645" i="14"/>
  <c r="O643" i="14"/>
  <c r="U646" i="14"/>
  <c r="L644" i="14"/>
  <c r="G644" i="14"/>
  <c r="L641" i="14"/>
  <c r="R646" i="14"/>
  <c r="M643" i="14"/>
  <c r="P646" i="14"/>
  <c r="K644" i="14"/>
  <c r="K643" i="14"/>
  <c r="T644" i="14"/>
  <c r="R642" i="14"/>
  <c r="N641" i="14"/>
  <c r="H642" i="14"/>
  <c r="U641" i="14"/>
  <c r="O642" i="14"/>
  <c r="O639" i="14"/>
  <c r="F641" i="14"/>
  <c r="I641" i="14"/>
  <c r="L646" i="14"/>
  <c r="G643" i="14"/>
  <c r="K645" i="14"/>
  <c r="O644" i="14"/>
  <c r="F642" i="14"/>
  <c r="T641" i="14"/>
  <c r="S646" i="14"/>
  <c r="N643" i="14"/>
  <c r="H644" i="14"/>
  <c r="L639" i="14"/>
  <c r="J645" i="14"/>
  <c r="L643" i="14"/>
  <c r="H646" i="14"/>
  <c r="S641" i="14"/>
  <c r="U644" i="14"/>
  <c r="L647" i="14"/>
  <c r="M645" i="14"/>
  <c r="G645" i="14"/>
  <c r="K641" i="14"/>
  <c r="T642" i="14"/>
  <c r="F645" i="14"/>
  <c r="I644" i="14"/>
  <c r="N646" i="14"/>
  <c r="P769" i="16"/>
  <c r="N770" i="16"/>
  <c r="G768" i="16"/>
  <c r="G769" i="16"/>
  <c r="K772" i="16"/>
  <c r="L770" i="16"/>
  <c r="H772" i="16"/>
  <c r="L772" i="16"/>
  <c r="M773" i="16"/>
  <c r="G767" i="16"/>
  <c r="M771" i="16"/>
  <c r="M772" i="16"/>
  <c r="P768" i="16"/>
  <c r="J770" i="16"/>
  <c r="O765" i="16"/>
  <c r="K765" i="16"/>
  <c r="J771" i="16"/>
  <c r="N768" i="16"/>
  <c r="L769" i="16"/>
  <c r="F770" i="16"/>
  <c r="H770" i="16"/>
  <c r="K768" i="16"/>
  <c r="O769" i="16"/>
  <c r="G771" i="16"/>
  <c r="P770" i="16"/>
  <c r="P772" i="16"/>
  <c r="O767" i="16"/>
  <c r="O768" i="16"/>
  <c r="J772" i="16"/>
  <c r="K773" i="16"/>
  <c r="I769" i="16"/>
  <c r="L767" i="16"/>
  <c r="N771" i="16"/>
  <c r="F767" i="16"/>
  <c r="K767" i="16"/>
  <c r="I771" i="16"/>
  <c r="O773" i="16"/>
  <c r="H768" i="16"/>
  <c r="L768" i="16"/>
  <c r="G770" i="16"/>
  <c r="K769" i="16"/>
  <c r="H771" i="16"/>
  <c r="L771" i="16"/>
  <c r="O771" i="16"/>
  <c r="C762" i="16"/>
  <c r="C763" i="16" s="1"/>
  <c r="C764" i="16" s="1"/>
  <c r="C765" i="16" s="1"/>
  <c r="C766" i="16" s="1"/>
  <c r="C767" i="16" s="1"/>
  <c r="C768" i="16" s="1"/>
  <c r="C769" i="16" s="1"/>
  <c r="C770" i="16" s="1"/>
  <c r="C771" i="16" s="1"/>
  <c r="C772" i="16" s="1"/>
  <c r="C773" i="16" s="1"/>
  <c r="C774" i="16" s="1"/>
  <c r="M770" i="16"/>
  <c r="I768" i="16"/>
  <c r="P773" i="16"/>
  <c r="G772" i="16"/>
  <c r="O772" i="16"/>
  <c r="F771" i="16"/>
  <c r="N765" i="16"/>
  <c r="L765" i="16"/>
  <c r="N767" i="16"/>
  <c r="I772" i="16"/>
  <c r="M768" i="16"/>
  <c r="H769" i="16"/>
  <c r="J767" i="16"/>
  <c r="I770" i="16"/>
  <c r="O770" i="16"/>
  <c r="F772" i="16"/>
  <c r="M769" i="16"/>
  <c r="M765" i="16"/>
  <c r="F768" i="16"/>
  <c r="N773" i="16"/>
  <c r="J768" i="16"/>
  <c r="P767" i="16"/>
  <c r="J769" i="16"/>
  <c r="P765" i="16"/>
  <c r="I767" i="16"/>
  <c r="N769" i="16"/>
  <c r="F769" i="16"/>
  <c r="M767" i="16"/>
  <c r="K770" i="16"/>
  <c r="N772" i="16"/>
  <c r="K771" i="16"/>
  <c r="L773" i="16"/>
  <c r="P771" i="16"/>
  <c r="H767" i="16"/>
  <c r="J502" i="14"/>
  <c r="L501" i="14"/>
  <c r="K501" i="14"/>
  <c r="J501" i="14"/>
  <c r="I505" i="14"/>
  <c r="U504" i="14"/>
  <c r="P501" i="14"/>
  <c r="P505" i="14"/>
  <c r="M503" i="14"/>
  <c r="L502" i="14"/>
  <c r="O507" i="14"/>
  <c r="O499" i="14"/>
  <c r="S503" i="14"/>
  <c r="J503" i="14"/>
  <c r="U505" i="14"/>
  <c r="R504" i="14"/>
  <c r="M505" i="14"/>
  <c r="L504" i="14"/>
  <c r="J504" i="14"/>
  <c r="S504" i="14"/>
  <c r="T505" i="14"/>
  <c r="S506" i="14"/>
  <c r="S501" i="14"/>
  <c r="I503" i="14"/>
  <c r="K505" i="14"/>
  <c r="F504" i="14"/>
  <c r="R503" i="14"/>
  <c r="N501" i="14"/>
  <c r="O502" i="14"/>
  <c r="U501" i="14"/>
  <c r="G501" i="14"/>
  <c r="R506" i="14"/>
  <c r="O503" i="14"/>
  <c r="N502" i="14"/>
  <c r="S502" i="14"/>
  <c r="H504" i="14"/>
  <c r="K506" i="14"/>
  <c r="P502" i="14"/>
  <c r="I502" i="14"/>
  <c r="L505" i="14"/>
  <c r="L499" i="14"/>
  <c r="H505" i="14"/>
  <c r="M506" i="14"/>
  <c r="M502" i="14"/>
  <c r="H502" i="14"/>
  <c r="K503" i="14"/>
  <c r="I504" i="14"/>
  <c r="O504" i="14"/>
  <c r="F505" i="14"/>
  <c r="R505" i="14"/>
  <c r="L503" i="14"/>
  <c r="R501" i="14"/>
  <c r="L507" i="14"/>
  <c r="H501" i="14"/>
  <c r="U506" i="14"/>
  <c r="P504" i="14"/>
  <c r="J506" i="14"/>
  <c r="N505" i="14"/>
  <c r="O505" i="14"/>
  <c r="T502" i="14"/>
  <c r="P503" i="14"/>
  <c r="I501" i="14"/>
  <c r="M501" i="14"/>
  <c r="G503" i="14"/>
  <c r="K504" i="14"/>
  <c r="G502" i="14"/>
  <c r="C496" i="14"/>
  <c r="O501" i="14"/>
  <c r="T501" i="14"/>
  <c r="T504" i="14"/>
  <c r="N503" i="14"/>
  <c r="U502" i="14"/>
  <c r="R502" i="14"/>
  <c r="K502" i="14"/>
  <c r="P506" i="14"/>
  <c r="J505" i="14"/>
  <c r="F502" i="14"/>
  <c r="I506" i="14"/>
  <c r="S505" i="14"/>
  <c r="N504" i="14"/>
  <c r="G506" i="14"/>
  <c r="M504" i="14"/>
  <c r="G505" i="14"/>
  <c r="U503" i="14"/>
  <c r="T506" i="14"/>
  <c r="F503" i="14"/>
  <c r="F506" i="14"/>
  <c r="O506" i="14"/>
  <c r="N506" i="14"/>
  <c r="F501" i="14"/>
  <c r="L506" i="14"/>
  <c r="G504" i="14"/>
  <c r="T503" i="14"/>
  <c r="H503" i="14"/>
  <c r="H506" i="14"/>
  <c r="J433" i="12"/>
  <c r="J434" i="12" s="1"/>
  <c r="I433" i="12"/>
  <c r="I434" i="12" s="1"/>
  <c r="K433" i="12"/>
  <c r="K434" i="12" s="1"/>
  <c r="C428" i="12"/>
  <c r="C429" i="12" s="1"/>
  <c r="C430" i="12" s="1"/>
  <c r="C431" i="12" s="1"/>
  <c r="C432" i="12" s="1"/>
  <c r="C433" i="12" s="1"/>
  <c r="C434" i="12" s="1"/>
  <c r="I699" i="14"/>
  <c r="S702" i="14"/>
  <c r="J700" i="14"/>
  <c r="L702" i="14"/>
  <c r="O695" i="14"/>
  <c r="L701" i="14"/>
  <c r="L700" i="14"/>
  <c r="L697" i="14"/>
  <c r="L699" i="14"/>
  <c r="O703" i="14"/>
  <c r="L703" i="14"/>
  <c r="J698" i="14"/>
  <c r="T698" i="14"/>
  <c r="M700" i="14"/>
  <c r="N698" i="14"/>
  <c r="G699" i="14"/>
  <c r="P702" i="14"/>
  <c r="N699" i="14"/>
  <c r="H698" i="14"/>
  <c r="T697" i="14"/>
  <c r="J697" i="14"/>
  <c r="F699" i="14"/>
  <c r="P699" i="14"/>
  <c r="F701" i="14"/>
  <c r="J701" i="14"/>
  <c r="H697" i="14"/>
  <c r="L695" i="14"/>
  <c r="N700" i="14"/>
  <c r="K700" i="14"/>
  <c r="I700" i="14"/>
  <c r="U700" i="14"/>
  <c r="O702" i="14"/>
  <c r="U701" i="14"/>
  <c r="U699" i="14"/>
  <c r="J699" i="14"/>
  <c r="R702" i="14"/>
  <c r="F700" i="14"/>
  <c r="H699" i="14"/>
  <c r="G697" i="14"/>
  <c r="U702" i="14"/>
  <c r="G701" i="14"/>
  <c r="G702" i="14"/>
  <c r="S697" i="14"/>
  <c r="T702" i="14"/>
  <c r="F698" i="14"/>
  <c r="T700" i="14"/>
  <c r="O700" i="14"/>
  <c r="S701" i="14"/>
  <c r="S698" i="14"/>
  <c r="U698" i="14"/>
  <c r="K699" i="14"/>
  <c r="I698" i="14"/>
  <c r="L698" i="14"/>
  <c r="T699" i="14"/>
  <c r="M702" i="14"/>
  <c r="R700" i="14"/>
  <c r="R697" i="14"/>
  <c r="I701" i="14"/>
  <c r="H701" i="14"/>
  <c r="F702" i="14"/>
  <c r="R701" i="14"/>
  <c r="T701" i="14"/>
  <c r="O698" i="14"/>
  <c r="K702" i="14"/>
  <c r="R698" i="14"/>
  <c r="S699" i="14"/>
  <c r="N697" i="14"/>
  <c r="N701" i="14"/>
  <c r="P701" i="14"/>
  <c r="G700" i="14"/>
  <c r="C692" i="14"/>
  <c r="F697" i="14"/>
  <c r="O701" i="14"/>
  <c r="M698" i="14"/>
  <c r="P700" i="14"/>
  <c r="N702" i="14"/>
  <c r="M697" i="14"/>
  <c r="H700" i="14"/>
  <c r="M699" i="14"/>
  <c r="J702" i="14"/>
  <c r="G698" i="14"/>
  <c r="U697" i="14"/>
  <c r="I702" i="14"/>
  <c r="O697" i="14"/>
  <c r="R699" i="14"/>
  <c r="H702" i="14"/>
  <c r="K697" i="14"/>
  <c r="K698" i="14"/>
  <c r="P698" i="14"/>
  <c r="P697" i="14"/>
  <c r="K701" i="14"/>
  <c r="S700" i="14"/>
  <c r="O699" i="14"/>
  <c r="M701" i="14"/>
  <c r="I697" i="14"/>
  <c r="O435" i="16"/>
  <c r="J431" i="16"/>
  <c r="P431" i="16"/>
  <c r="J436" i="16"/>
  <c r="G435" i="16"/>
  <c r="M433" i="16"/>
  <c r="O434" i="16"/>
  <c r="L434" i="16"/>
  <c r="I436" i="16"/>
  <c r="P435" i="16"/>
  <c r="N431" i="16"/>
  <c r="F436" i="16"/>
  <c r="M435" i="16"/>
  <c r="P433" i="16"/>
  <c r="P436" i="16"/>
  <c r="K437" i="16"/>
  <c r="G431" i="16"/>
  <c r="F433" i="16"/>
  <c r="I432" i="16"/>
  <c r="L429" i="16"/>
  <c r="O432" i="16"/>
  <c r="H432" i="16"/>
  <c r="F434" i="16"/>
  <c r="O436" i="16"/>
  <c r="P437" i="16"/>
  <c r="M431" i="16"/>
  <c r="I431" i="16"/>
  <c r="K432" i="16"/>
  <c r="F432" i="16"/>
  <c r="K431" i="16"/>
  <c r="L437" i="16"/>
  <c r="N435" i="16"/>
  <c r="L433" i="16"/>
  <c r="I434" i="16"/>
  <c r="G436" i="16"/>
  <c r="N433" i="16"/>
  <c r="P429" i="16"/>
  <c r="F431" i="16"/>
  <c r="M429" i="16"/>
  <c r="H431" i="16"/>
  <c r="P434" i="16"/>
  <c r="J434" i="16"/>
  <c r="I435" i="16"/>
  <c r="M437" i="16"/>
  <c r="L436" i="16"/>
  <c r="I433" i="16"/>
  <c r="H436" i="16"/>
  <c r="K433" i="16"/>
  <c r="H434" i="16"/>
  <c r="P432" i="16"/>
  <c r="L432" i="16"/>
  <c r="M436" i="16"/>
  <c r="J433" i="16"/>
  <c r="J435" i="16"/>
  <c r="L435" i="16"/>
  <c r="K436" i="16"/>
  <c r="O429" i="16"/>
  <c r="M434" i="16"/>
  <c r="G433" i="16"/>
  <c r="L431" i="16"/>
  <c r="O433" i="16"/>
  <c r="O437" i="16"/>
  <c r="M432" i="16"/>
  <c r="H433" i="16"/>
  <c r="N429" i="16"/>
  <c r="O431" i="16"/>
  <c r="N436" i="16"/>
  <c r="K434" i="16"/>
  <c r="G432" i="16"/>
  <c r="H435" i="16"/>
  <c r="K435" i="16"/>
  <c r="N434" i="16"/>
  <c r="G434" i="16"/>
  <c r="N432" i="16"/>
  <c r="C426" i="16"/>
  <c r="C427" i="16" s="1"/>
  <c r="C428" i="16" s="1"/>
  <c r="C429" i="16" s="1"/>
  <c r="C430" i="16" s="1"/>
  <c r="C431" i="16" s="1"/>
  <c r="C432" i="16" s="1"/>
  <c r="C433" i="16" s="1"/>
  <c r="C434" i="16" s="1"/>
  <c r="C435" i="16" s="1"/>
  <c r="C436" i="16" s="1"/>
  <c r="C437" i="16" s="1"/>
  <c r="C438" i="16" s="1"/>
  <c r="F435" i="16"/>
  <c r="K429" i="16"/>
  <c r="J432" i="16"/>
  <c r="N437" i="16"/>
  <c r="I368" i="15"/>
  <c r="H373" i="15"/>
  <c r="L371" i="15"/>
  <c r="M376" i="15"/>
  <c r="O366" i="15"/>
  <c r="J366" i="15"/>
  <c r="I366" i="15"/>
  <c r="N375" i="15"/>
  <c r="P376" i="15"/>
  <c r="F368" i="15"/>
  <c r="J371" i="15"/>
  <c r="O367" i="15"/>
  <c r="O372" i="15"/>
  <c r="M365" i="15"/>
  <c r="H366" i="15"/>
  <c r="M371" i="15"/>
  <c r="M372" i="15"/>
  <c r="N365" i="15"/>
  <c r="I370" i="15"/>
  <c r="I374" i="15"/>
  <c r="P365" i="15"/>
  <c r="P370" i="15"/>
  <c r="K371" i="15"/>
  <c r="F375" i="15"/>
  <c r="N368" i="15"/>
  <c r="L368" i="15"/>
  <c r="O370" i="15"/>
  <c r="F366" i="15"/>
  <c r="H374" i="15"/>
  <c r="K365" i="15"/>
  <c r="K366" i="15"/>
  <c r="L365" i="15"/>
  <c r="F374" i="15"/>
  <c r="P374" i="15"/>
  <c r="N374" i="15"/>
  <c r="L366" i="15"/>
  <c r="I372" i="15"/>
  <c r="C362" i="15"/>
  <c r="C363" i="15" s="1"/>
  <c r="C364" i="15" s="1"/>
  <c r="C365" i="15" s="1"/>
  <c r="C366" i="15" s="1"/>
  <c r="C367" i="15" s="1"/>
  <c r="C368" i="15" s="1"/>
  <c r="C369" i="15" s="1"/>
  <c r="C370" i="15" s="1"/>
  <c r="C371" i="15" s="1"/>
  <c r="C372" i="15" s="1"/>
  <c r="C373" i="15" s="1"/>
  <c r="C374" i="15" s="1"/>
  <c r="C375" i="15" s="1"/>
  <c r="C376" i="15" s="1"/>
  <c r="C377" i="15" s="1"/>
  <c r="M368" i="15"/>
  <c r="K373" i="15"/>
  <c r="O365" i="15"/>
  <c r="F370" i="15"/>
  <c r="O371" i="15"/>
  <c r="P367" i="15"/>
  <c r="N371" i="15"/>
  <c r="F372" i="15"/>
  <c r="G368" i="15"/>
  <c r="O374" i="15"/>
  <c r="P368" i="15"/>
  <c r="I373" i="15"/>
  <c r="G371" i="15"/>
  <c r="P366" i="15"/>
  <c r="O376" i="15"/>
  <c r="M373" i="15"/>
  <c r="J374" i="15"/>
  <c r="J368" i="15"/>
  <c r="P372" i="15"/>
  <c r="L375" i="15"/>
  <c r="J372" i="15"/>
  <c r="J375" i="15"/>
  <c r="P373" i="15"/>
  <c r="K370" i="15"/>
  <c r="N370" i="15"/>
  <c r="G375" i="15"/>
  <c r="M366" i="15"/>
  <c r="O368" i="15"/>
  <c r="L367" i="15"/>
  <c r="H370" i="15"/>
  <c r="I371" i="15"/>
  <c r="N376" i="15"/>
  <c r="M375" i="15"/>
  <c r="N366" i="15"/>
  <c r="G372" i="15"/>
  <c r="K374" i="15"/>
  <c r="K375" i="15"/>
  <c r="L376" i="15"/>
  <c r="J370" i="15"/>
  <c r="J373" i="15"/>
  <c r="N367" i="15"/>
  <c r="N373" i="15"/>
  <c r="L373" i="15"/>
  <c r="G370" i="15"/>
  <c r="L372" i="15"/>
  <c r="P371" i="15"/>
  <c r="L374" i="15"/>
  <c r="H368" i="15"/>
  <c r="G374" i="15"/>
  <c r="I375" i="15"/>
  <c r="M370" i="15"/>
  <c r="O373" i="15"/>
  <c r="H371" i="15"/>
  <c r="M374" i="15"/>
  <c r="N372" i="15"/>
  <c r="H375" i="15"/>
  <c r="K376" i="15"/>
  <c r="F373" i="15"/>
  <c r="K372" i="15"/>
  <c r="P375" i="15"/>
  <c r="K368" i="15"/>
  <c r="O375" i="15"/>
  <c r="G366" i="15"/>
  <c r="K367" i="15"/>
  <c r="H372" i="15"/>
  <c r="F371" i="15"/>
  <c r="M367" i="15"/>
  <c r="G373" i="15"/>
  <c r="L370" i="15"/>
  <c r="R278" i="11"/>
  <c r="F277" i="11"/>
  <c r="T277" i="11"/>
  <c r="K278" i="11"/>
  <c r="C271" i="11"/>
  <c r="I277" i="11"/>
  <c r="J277" i="11"/>
  <c r="I276" i="11"/>
  <c r="J278" i="11"/>
  <c r="G276" i="11"/>
  <c r="P276" i="11"/>
  <c r="S278" i="11"/>
  <c r="Q276" i="11"/>
  <c r="G278" i="11"/>
  <c r="R276" i="11"/>
  <c r="C272" i="11"/>
  <c r="C273" i="11" s="1"/>
  <c r="C274" i="11" s="1"/>
  <c r="C275" i="11" s="1"/>
  <c r="C276" i="11" s="1"/>
  <c r="C277" i="11" s="1"/>
  <c r="C278" i="11" s="1"/>
  <c r="C279" i="11" s="1"/>
  <c r="H276" i="11"/>
  <c r="F278" i="11"/>
  <c r="L277" i="11"/>
  <c r="H278" i="11"/>
  <c r="G277" i="11"/>
  <c r="P278" i="11"/>
  <c r="F276" i="11"/>
  <c r="K277" i="11"/>
  <c r="Q278" i="11"/>
  <c r="J276" i="11"/>
  <c r="N277" i="11"/>
  <c r="O277" i="11"/>
  <c r="T276" i="11"/>
  <c r="O276" i="11"/>
  <c r="K276" i="11"/>
  <c r="T278" i="11"/>
  <c r="Q277" i="11"/>
  <c r="O278" i="11"/>
  <c r="P277" i="11"/>
  <c r="H277" i="11"/>
  <c r="S277" i="11"/>
  <c r="I278" i="11"/>
  <c r="M277" i="11"/>
  <c r="R277" i="11"/>
  <c r="S276" i="11"/>
  <c r="U781" i="14"/>
  <c r="K784" i="14"/>
  <c r="L782" i="14"/>
  <c r="I786" i="14"/>
  <c r="S782" i="14"/>
  <c r="M784" i="14"/>
  <c r="U784" i="14"/>
  <c r="O783" i="14"/>
  <c r="L783" i="14"/>
  <c r="M785" i="14"/>
  <c r="R781" i="14"/>
  <c r="L787" i="14"/>
  <c r="P785" i="14"/>
  <c r="I785" i="14"/>
  <c r="O786" i="14"/>
  <c r="F785" i="14"/>
  <c r="G782" i="14"/>
  <c r="O787" i="14"/>
  <c r="U783" i="14"/>
  <c r="R783" i="14"/>
  <c r="L786" i="14"/>
  <c r="O784" i="14"/>
  <c r="P781" i="14"/>
  <c r="O781" i="14"/>
  <c r="O779" i="14"/>
  <c r="S781" i="14"/>
  <c r="O785" i="14"/>
  <c r="L784" i="14"/>
  <c r="N784" i="14"/>
  <c r="O782" i="14"/>
  <c r="J782" i="14"/>
  <c r="K781" i="14"/>
  <c r="L781" i="14"/>
  <c r="P783" i="14"/>
  <c r="G784" i="14"/>
  <c r="S784" i="14"/>
  <c r="U786" i="14"/>
  <c r="K786" i="14"/>
  <c r="H781" i="14"/>
  <c r="N781" i="14"/>
  <c r="J781" i="14"/>
  <c r="P784" i="14"/>
  <c r="F786" i="14"/>
  <c r="R786" i="14"/>
  <c r="G785" i="14"/>
  <c r="N782" i="14"/>
  <c r="N786" i="14"/>
  <c r="I782" i="14"/>
  <c r="H783" i="14"/>
  <c r="T785" i="14"/>
  <c r="M782" i="14"/>
  <c r="S786" i="14"/>
  <c r="I783" i="14"/>
  <c r="G786" i="14"/>
  <c r="G781" i="14"/>
  <c r="J786" i="14"/>
  <c r="N783" i="14"/>
  <c r="S785" i="14"/>
  <c r="M786" i="14"/>
  <c r="M783" i="14"/>
  <c r="C776" i="14"/>
  <c r="I781" i="14"/>
  <c r="R782" i="14"/>
  <c r="J784" i="14"/>
  <c r="J785" i="14"/>
  <c r="T784" i="14"/>
  <c r="R785" i="14"/>
  <c r="F784" i="14"/>
  <c r="K782" i="14"/>
  <c r="I784" i="14"/>
  <c r="T786" i="14"/>
  <c r="H782" i="14"/>
  <c r="J783" i="14"/>
  <c r="U782" i="14"/>
  <c r="T781" i="14"/>
  <c r="F782" i="14"/>
  <c r="U785" i="14"/>
  <c r="L779" i="14"/>
  <c r="K783" i="14"/>
  <c r="M781" i="14"/>
  <c r="F783" i="14"/>
  <c r="L785" i="14"/>
  <c r="T782" i="14"/>
  <c r="R784" i="14"/>
  <c r="H784" i="14"/>
  <c r="H786" i="14"/>
  <c r="F781" i="14"/>
  <c r="P786" i="14"/>
  <c r="K785" i="14"/>
  <c r="S783" i="14"/>
  <c r="T783" i="14"/>
  <c r="H785" i="14"/>
  <c r="N785" i="14"/>
  <c r="P782" i="14"/>
  <c r="G783" i="14"/>
  <c r="P501" i="16"/>
  <c r="K506" i="16"/>
  <c r="H501" i="16"/>
  <c r="O506" i="16"/>
  <c r="F503" i="16"/>
  <c r="N504" i="16"/>
  <c r="J505" i="16"/>
  <c r="O501" i="16"/>
  <c r="J506" i="16"/>
  <c r="M504" i="16"/>
  <c r="H504" i="16"/>
  <c r="L502" i="16"/>
  <c r="K507" i="16"/>
  <c r="C496" i="16"/>
  <c r="C497" i="16" s="1"/>
  <c r="C498" i="16" s="1"/>
  <c r="C499" i="16" s="1"/>
  <c r="C500" i="16" s="1"/>
  <c r="C501" i="16" s="1"/>
  <c r="C502" i="16" s="1"/>
  <c r="C503" i="16" s="1"/>
  <c r="C504" i="16" s="1"/>
  <c r="C505" i="16" s="1"/>
  <c r="C506" i="16" s="1"/>
  <c r="C507" i="16" s="1"/>
  <c r="C508" i="16" s="1"/>
  <c r="O503" i="16"/>
  <c r="K503" i="16"/>
  <c r="M506" i="16"/>
  <c r="K502" i="16"/>
  <c r="N503" i="16"/>
  <c r="P504" i="16"/>
  <c r="P499" i="16"/>
  <c r="K504" i="16"/>
  <c r="O505" i="16"/>
  <c r="L505" i="16"/>
  <c r="P505" i="16"/>
  <c r="G501" i="16"/>
  <c r="P506" i="16"/>
  <c r="H505" i="16"/>
  <c r="M505" i="16"/>
  <c r="G505" i="16"/>
  <c r="L504" i="16"/>
  <c r="F505" i="16"/>
  <c r="N505" i="16"/>
  <c r="M499" i="16"/>
  <c r="O502" i="16"/>
  <c r="J503" i="16"/>
  <c r="J502" i="16"/>
  <c r="I504" i="16"/>
  <c r="L507" i="16"/>
  <c r="M502" i="16"/>
  <c r="N506" i="16"/>
  <c r="O499" i="16"/>
  <c r="O504" i="16"/>
  <c r="M503" i="16"/>
  <c r="I502" i="16"/>
  <c r="M507" i="16"/>
  <c r="J504" i="16"/>
  <c r="O507" i="16"/>
  <c r="I501" i="16"/>
  <c r="K505" i="16"/>
  <c r="I506" i="16"/>
  <c r="G504" i="16"/>
  <c r="J501" i="16"/>
  <c r="P507" i="16"/>
  <c r="F501" i="16"/>
  <c r="N499" i="16"/>
  <c r="G502" i="16"/>
  <c r="K501" i="16"/>
  <c r="P503" i="16"/>
  <c r="M501" i="16"/>
  <c r="I505" i="16"/>
  <c r="N501" i="16"/>
  <c r="F502" i="16"/>
  <c r="L503" i="16"/>
  <c r="F504" i="16"/>
  <c r="L501" i="16"/>
  <c r="G503" i="16"/>
  <c r="N502" i="16"/>
  <c r="F506" i="16"/>
  <c r="P502" i="16"/>
  <c r="H502" i="16"/>
  <c r="I503" i="16"/>
  <c r="N507" i="16"/>
  <c r="G506" i="16"/>
  <c r="K499" i="16"/>
  <c r="H503" i="16"/>
  <c r="L506" i="16"/>
  <c r="H506" i="16"/>
  <c r="L499" i="16"/>
  <c r="F591" i="15"/>
  <c r="F595" i="15"/>
  <c r="P588" i="15"/>
  <c r="P595" i="15"/>
  <c r="L587" i="15"/>
  <c r="O594" i="15"/>
  <c r="P587" i="15"/>
  <c r="L592" i="15"/>
  <c r="J593" i="15"/>
  <c r="G596" i="15"/>
  <c r="F587" i="15"/>
  <c r="H593" i="15"/>
  <c r="K588" i="15"/>
  <c r="P596" i="15"/>
  <c r="P589" i="15"/>
  <c r="N595" i="15"/>
  <c r="N593" i="15"/>
  <c r="O589" i="15"/>
  <c r="L591" i="15"/>
  <c r="P594" i="15"/>
  <c r="G591" i="15"/>
  <c r="L586" i="15"/>
  <c r="G587" i="15"/>
  <c r="H592" i="15"/>
  <c r="H589" i="15"/>
  <c r="K596" i="15"/>
  <c r="L596" i="15"/>
  <c r="N592" i="15"/>
  <c r="K592" i="15"/>
  <c r="N596" i="15"/>
  <c r="G595" i="15"/>
  <c r="H594" i="15"/>
  <c r="I591" i="15"/>
  <c r="I596" i="15"/>
  <c r="F589" i="15"/>
  <c r="J589" i="15"/>
  <c r="L594" i="15"/>
  <c r="G592" i="15"/>
  <c r="I587" i="15"/>
  <c r="O592" i="15"/>
  <c r="O593" i="15"/>
  <c r="M587" i="15"/>
  <c r="M593" i="15"/>
  <c r="N587" i="15"/>
  <c r="M592" i="15"/>
  <c r="P591" i="15"/>
  <c r="K595" i="15"/>
  <c r="O588" i="15"/>
  <c r="O586" i="15"/>
  <c r="N589" i="15"/>
  <c r="P586" i="15"/>
  <c r="J596" i="15"/>
  <c r="K594" i="15"/>
  <c r="M597" i="15"/>
  <c r="G589" i="15"/>
  <c r="K587" i="15"/>
  <c r="L588" i="15"/>
  <c r="P592" i="15"/>
  <c r="L593" i="15"/>
  <c r="N597" i="15"/>
  <c r="J592" i="15"/>
  <c r="O596" i="15"/>
  <c r="N586" i="15"/>
  <c r="J591" i="15"/>
  <c r="L589" i="15"/>
  <c r="M588" i="15"/>
  <c r="H596" i="15"/>
  <c r="P593" i="15"/>
  <c r="J595" i="15"/>
  <c r="C583" i="15"/>
  <c r="C584" i="15" s="1"/>
  <c r="C585" i="15" s="1"/>
  <c r="C586" i="15" s="1"/>
  <c r="C587" i="15" s="1"/>
  <c r="C588" i="15" s="1"/>
  <c r="C589" i="15" s="1"/>
  <c r="C590" i="15" s="1"/>
  <c r="C591" i="15" s="1"/>
  <c r="C592" i="15" s="1"/>
  <c r="C593" i="15" s="1"/>
  <c r="C594" i="15" s="1"/>
  <c r="C595" i="15" s="1"/>
  <c r="C596" i="15" s="1"/>
  <c r="C597" i="15" s="1"/>
  <c r="C598" i="15" s="1"/>
  <c r="M595" i="15"/>
  <c r="N588" i="15"/>
  <c r="F596" i="15"/>
  <c r="K586" i="15"/>
  <c r="I595" i="15"/>
  <c r="J587" i="15"/>
  <c r="O597" i="15"/>
  <c r="L595" i="15"/>
  <c r="K593" i="15"/>
  <c r="F594" i="15"/>
  <c r="G594" i="15"/>
  <c r="M591" i="15"/>
  <c r="N591" i="15"/>
  <c r="O591" i="15"/>
  <c r="I589" i="15"/>
  <c r="M586" i="15"/>
  <c r="O587" i="15"/>
  <c r="F593" i="15"/>
  <c r="F592" i="15"/>
  <c r="P597" i="15"/>
  <c r="H591" i="15"/>
  <c r="J594" i="15"/>
  <c r="M589" i="15"/>
  <c r="H595" i="15"/>
  <c r="I592" i="15"/>
  <c r="O595" i="15"/>
  <c r="H587" i="15"/>
  <c r="K591" i="15"/>
  <c r="I593" i="15"/>
  <c r="K597" i="15"/>
  <c r="G593" i="15"/>
  <c r="L597" i="15"/>
  <c r="I594" i="15"/>
  <c r="M596" i="15"/>
  <c r="K589" i="15"/>
  <c r="N594" i="15"/>
  <c r="M594" i="15"/>
  <c r="M538" i="15"/>
  <c r="M540" i="15"/>
  <c r="J542" i="15"/>
  <c r="G536" i="15"/>
  <c r="P540" i="15"/>
  <c r="O540" i="15"/>
  <c r="N537" i="15"/>
  <c r="P541" i="15"/>
  <c r="I544" i="15"/>
  <c r="O544" i="15"/>
  <c r="F541" i="15"/>
  <c r="M542" i="15"/>
  <c r="K542" i="15"/>
  <c r="H538" i="15"/>
  <c r="O537" i="15"/>
  <c r="K546" i="15"/>
  <c r="M544" i="15"/>
  <c r="L535" i="15"/>
  <c r="L545" i="15"/>
  <c r="F543" i="15"/>
  <c r="G544" i="15"/>
  <c r="H545" i="15"/>
  <c r="O542" i="15"/>
  <c r="L537" i="15"/>
  <c r="I536" i="15"/>
  <c r="P542" i="15"/>
  <c r="N540" i="15"/>
  <c r="N544" i="15"/>
  <c r="I543" i="15"/>
  <c r="P536" i="15"/>
  <c r="K544" i="15"/>
  <c r="I540" i="15"/>
  <c r="I541" i="15"/>
  <c r="K535" i="15"/>
  <c r="F536" i="15"/>
  <c r="P545" i="15"/>
  <c r="O546" i="15"/>
  <c r="G542" i="15"/>
  <c r="L540" i="15"/>
  <c r="N546" i="15"/>
  <c r="J545" i="15"/>
  <c r="O536" i="15"/>
  <c r="H536" i="15"/>
  <c r="H541" i="15"/>
  <c r="N545" i="15"/>
  <c r="J538" i="15"/>
  <c r="I542" i="15"/>
  <c r="N535" i="15"/>
  <c r="M541" i="15"/>
  <c r="O541" i="15"/>
  <c r="L542" i="15"/>
  <c r="G541" i="15"/>
  <c r="N541" i="15"/>
  <c r="K537" i="15"/>
  <c r="F542" i="15"/>
  <c r="K541" i="15"/>
  <c r="F540" i="15"/>
  <c r="C532" i="15"/>
  <c r="C533" i="15" s="1"/>
  <c r="C534" i="15" s="1"/>
  <c r="C535" i="15" s="1"/>
  <c r="C536" i="15" s="1"/>
  <c r="C537" i="15" s="1"/>
  <c r="C538" i="15" s="1"/>
  <c r="C539" i="15" s="1"/>
  <c r="C540" i="15" s="1"/>
  <c r="C541" i="15" s="1"/>
  <c r="C542" i="15" s="1"/>
  <c r="C543" i="15" s="1"/>
  <c r="C544" i="15" s="1"/>
  <c r="C545" i="15" s="1"/>
  <c r="C546" i="15" s="1"/>
  <c r="C547" i="15" s="1"/>
  <c r="O538" i="15"/>
  <c r="J544" i="15"/>
  <c r="K540" i="15"/>
  <c r="G540" i="15"/>
  <c r="G538" i="15"/>
  <c r="N538" i="15"/>
  <c r="H544" i="15"/>
  <c r="K536" i="15"/>
  <c r="M535" i="15"/>
  <c r="M536" i="15"/>
  <c r="F544" i="15"/>
  <c r="P546" i="15"/>
  <c r="L538" i="15"/>
  <c r="P538" i="15"/>
  <c r="O545" i="15"/>
  <c r="G545" i="15"/>
  <c r="K545" i="15"/>
  <c r="P535" i="15"/>
  <c r="H542" i="15"/>
  <c r="I545" i="15"/>
  <c r="L541" i="15"/>
  <c r="L546" i="15"/>
  <c r="F538" i="15"/>
  <c r="N536" i="15"/>
  <c r="H543" i="15"/>
  <c r="K538" i="15"/>
  <c r="N543" i="15"/>
  <c r="J541" i="15"/>
  <c r="L536" i="15"/>
  <c r="K543" i="15"/>
  <c r="M546" i="15"/>
  <c r="J543" i="15"/>
  <c r="M545" i="15"/>
  <c r="H540" i="15"/>
  <c r="L543" i="15"/>
  <c r="F545" i="15"/>
  <c r="M543" i="15"/>
  <c r="N542" i="15"/>
  <c r="O535" i="15"/>
  <c r="J540" i="15"/>
  <c r="I538" i="15"/>
  <c r="P544" i="15"/>
  <c r="O543" i="15"/>
  <c r="P537" i="15"/>
  <c r="G543" i="15"/>
  <c r="P543" i="15"/>
  <c r="L544" i="15"/>
  <c r="M537" i="15"/>
  <c r="J536" i="15"/>
  <c r="K449" i="11"/>
  <c r="I447" i="11"/>
  <c r="J448" i="11"/>
  <c r="K447" i="11"/>
  <c r="L448" i="11"/>
  <c r="F449" i="11"/>
  <c r="S449" i="11"/>
  <c r="P448" i="11"/>
  <c r="C442" i="11"/>
  <c r="G447" i="11"/>
  <c r="O447" i="11"/>
  <c r="H448" i="11"/>
  <c r="F448" i="11"/>
  <c r="H447" i="11"/>
  <c r="I449" i="11"/>
  <c r="M448" i="11"/>
  <c r="P447" i="11"/>
  <c r="Q449" i="11"/>
  <c r="C443" i="11"/>
  <c r="C444" i="11" s="1"/>
  <c r="C445" i="11" s="1"/>
  <c r="C446" i="11" s="1"/>
  <c r="C447" i="11" s="1"/>
  <c r="C448" i="11" s="1"/>
  <c r="C449" i="11" s="1"/>
  <c r="C450" i="11" s="1"/>
  <c r="T449" i="11"/>
  <c r="S447" i="11"/>
  <c r="G448" i="11"/>
  <c r="J447" i="11"/>
  <c r="P449" i="11"/>
  <c r="N448" i="11"/>
  <c r="F447" i="11"/>
  <c r="H449" i="11"/>
  <c r="R448" i="11"/>
  <c r="S448" i="11"/>
  <c r="R447" i="11"/>
  <c r="O449" i="11"/>
  <c r="Q447" i="11"/>
  <c r="G449" i="11"/>
  <c r="T448" i="11"/>
  <c r="Q448" i="11"/>
  <c r="R449" i="11"/>
  <c r="K448" i="11"/>
  <c r="I448" i="11"/>
  <c r="O448" i="11"/>
  <c r="J449" i="11"/>
  <c r="T447" i="11"/>
  <c r="M104" i="13"/>
  <c r="L104" i="13"/>
  <c r="N102" i="13"/>
  <c r="K94" i="13"/>
  <c r="K100" i="13"/>
  <c r="L103" i="13"/>
  <c r="P97" i="13"/>
  <c r="K103" i="13"/>
  <c r="N95" i="13"/>
  <c r="K101" i="13"/>
  <c r="N103" i="13"/>
  <c r="O95" i="13"/>
  <c r="O96" i="13"/>
  <c r="M99" i="13"/>
  <c r="M97" i="13"/>
  <c r="L97" i="13"/>
  <c r="N104" i="13"/>
  <c r="L100" i="13"/>
  <c r="L94" i="13"/>
  <c r="K104" i="13"/>
  <c r="O99" i="13"/>
  <c r="P104" i="13"/>
  <c r="L101" i="13"/>
  <c r="O100" i="13"/>
  <c r="K105" i="13"/>
  <c r="N101" i="13"/>
  <c r="P102" i="13"/>
  <c r="N97" i="13"/>
  <c r="O105" i="13"/>
  <c r="L95" i="13"/>
  <c r="M103" i="13"/>
  <c r="O102" i="13"/>
  <c r="L102" i="13"/>
  <c r="O104" i="13"/>
  <c r="K95" i="13"/>
  <c r="L105" i="13"/>
  <c r="M95" i="13"/>
  <c r="M101" i="13"/>
  <c r="N99" i="13"/>
  <c r="C91" i="13"/>
  <c r="C92" i="13" s="1"/>
  <c r="C93" i="13" s="1"/>
  <c r="C94" i="13" s="1"/>
  <c r="C95" i="13" s="1"/>
  <c r="C96" i="13" s="1"/>
  <c r="C97" i="13" s="1"/>
  <c r="C98" i="13" s="1"/>
  <c r="C99" i="13" s="1"/>
  <c r="C100" i="13" s="1"/>
  <c r="C101" i="13" s="1"/>
  <c r="C102" i="13" s="1"/>
  <c r="C103" i="13" s="1"/>
  <c r="C104" i="13" s="1"/>
  <c r="C105" i="13" s="1"/>
  <c r="C106" i="13" s="1"/>
  <c r="O94" i="13"/>
  <c r="L99" i="13"/>
  <c r="O97" i="13"/>
  <c r="L96" i="13"/>
  <c r="P95" i="13"/>
  <c r="N96" i="13"/>
  <c r="O101" i="13"/>
  <c r="N105" i="13"/>
  <c r="P100" i="13"/>
  <c r="O103" i="13"/>
  <c r="M102" i="13"/>
  <c r="K97" i="13"/>
  <c r="N100" i="13"/>
  <c r="P103" i="13"/>
  <c r="K96" i="13"/>
  <c r="N94" i="13"/>
  <c r="K102" i="13"/>
  <c r="K99" i="13"/>
  <c r="P101" i="13"/>
  <c r="P99" i="13"/>
  <c r="M100" i="13"/>
  <c r="L459" i="14"/>
  <c r="R461" i="14"/>
  <c r="I462" i="14"/>
  <c r="I464" i="14"/>
  <c r="T461" i="14"/>
  <c r="T459" i="14"/>
  <c r="U461" i="14"/>
  <c r="M464" i="14"/>
  <c r="L462" i="14"/>
  <c r="N459" i="14"/>
  <c r="F460" i="14"/>
  <c r="T460" i="14"/>
  <c r="C454" i="14"/>
  <c r="M459" i="14"/>
  <c r="I460" i="14"/>
  <c r="F462" i="14"/>
  <c r="M463" i="14"/>
  <c r="H464" i="14"/>
  <c r="P461" i="14"/>
  <c r="K459" i="14"/>
  <c r="L463" i="14"/>
  <c r="N460" i="14"/>
  <c r="H461" i="14"/>
  <c r="P460" i="14"/>
  <c r="O460" i="14"/>
  <c r="T464" i="14"/>
  <c r="S461" i="14"/>
  <c r="J460" i="14"/>
  <c r="O464" i="14"/>
  <c r="R460" i="14"/>
  <c r="U459" i="14"/>
  <c r="I463" i="14"/>
  <c r="I461" i="14"/>
  <c r="F463" i="14"/>
  <c r="J461" i="14"/>
  <c r="K460" i="14"/>
  <c r="N464" i="14"/>
  <c r="R464" i="14"/>
  <c r="S460" i="14"/>
  <c r="G461" i="14"/>
  <c r="J463" i="14"/>
  <c r="J464" i="14"/>
  <c r="S459" i="14"/>
  <c r="H462" i="14"/>
  <c r="N461" i="14"/>
  <c r="R459" i="14"/>
  <c r="T462" i="14"/>
  <c r="H463" i="14"/>
  <c r="O461" i="14"/>
  <c r="K461" i="14"/>
  <c r="P462" i="14"/>
  <c r="G460" i="14"/>
  <c r="L461" i="14"/>
  <c r="J462" i="14"/>
  <c r="J459" i="14"/>
  <c r="U464" i="14"/>
  <c r="U462" i="14"/>
  <c r="K464" i="14"/>
  <c r="G459" i="14"/>
  <c r="L460" i="14"/>
  <c r="P463" i="14"/>
  <c r="L464" i="14"/>
  <c r="O462" i="14"/>
  <c r="H459" i="14"/>
  <c r="T463" i="14"/>
  <c r="K462" i="14"/>
  <c r="S464" i="14"/>
  <c r="K463" i="14"/>
  <c r="R463" i="14"/>
  <c r="H460" i="14"/>
  <c r="G463" i="14"/>
  <c r="G462" i="14"/>
  <c r="O459" i="14"/>
  <c r="R462" i="14"/>
  <c r="F461" i="14"/>
  <c r="I459" i="14"/>
  <c r="G464" i="14"/>
  <c r="L457" i="14"/>
  <c r="S462" i="14"/>
  <c r="O463" i="14"/>
  <c r="U463" i="14"/>
  <c r="L465" i="14"/>
  <c r="O465" i="14"/>
  <c r="F464" i="14"/>
  <c r="U460" i="14"/>
  <c r="P459" i="14"/>
  <c r="P464" i="14"/>
  <c r="F459" i="14"/>
  <c r="N462" i="14"/>
  <c r="S463" i="14"/>
  <c r="M461" i="14"/>
  <c r="O457" i="14"/>
  <c r="M460" i="14"/>
  <c r="N463" i="14"/>
  <c r="M462" i="14"/>
  <c r="C372" i="12"/>
  <c r="C373" i="12" s="1"/>
  <c r="C374" i="12" s="1"/>
  <c r="C375" i="12" s="1"/>
  <c r="C376" i="12" s="1"/>
  <c r="C377" i="12" s="1"/>
  <c r="C378" i="12" s="1"/>
  <c r="J377" i="12"/>
  <c r="J378" i="12" s="1"/>
  <c r="I377" i="12"/>
  <c r="I378" i="12" s="1"/>
  <c r="K377" i="12"/>
  <c r="K378" i="12" s="1"/>
  <c r="J690" i="13"/>
  <c r="G692" i="13"/>
  <c r="R692" i="13"/>
  <c r="T698" i="13"/>
  <c r="O695" i="13"/>
  <c r="K699" i="13"/>
  <c r="N695" i="13"/>
  <c r="R696" i="13"/>
  <c r="J697" i="13"/>
  <c r="K692" i="13"/>
  <c r="H698" i="13"/>
  <c r="U696" i="13"/>
  <c r="K696" i="13"/>
  <c r="F699" i="13"/>
  <c r="K694" i="13"/>
  <c r="P690" i="13"/>
  <c r="T696" i="13"/>
  <c r="U694" i="13"/>
  <c r="H694" i="13"/>
  <c r="F690" i="13"/>
  <c r="J694" i="13"/>
  <c r="R695" i="13"/>
  <c r="G694" i="13"/>
  <c r="S696" i="13"/>
  <c r="U697" i="13"/>
  <c r="L692" i="13"/>
  <c r="N689" i="13"/>
  <c r="N699" i="13"/>
  <c r="L700" i="13"/>
  <c r="O698" i="13"/>
  <c r="I698" i="13"/>
  <c r="H697" i="13"/>
  <c r="N696" i="13"/>
  <c r="F698" i="13"/>
  <c r="L697" i="13"/>
  <c r="U695" i="13"/>
  <c r="H699" i="13"/>
  <c r="M696" i="13"/>
  <c r="T699" i="13"/>
  <c r="K700" i="13"/>
  <c r="P692" i="13"/>
  <c r="N691" i="13"/>
  <c r="H690" i="13"/>
  <c r="O692" i="13"/>
  <c r="R697" i="13"/>
  <c r="I690" i="13"/>
  <c r="T692" i="13"/>
  <c r="O700" i="13"/>
  <c r="L695" i="13"/>
  <c r="F697" i="13"/>
  <c r="I695" i="13"/>
  <c r="I696" i="13"/>
  <c r="K691" i="13"/>
  <c r="S697" i="13"/>
  <c r="O696" i="13"/>
  <c r="U699" i="13"/>
  <c r="G697" i="13"/>
  <c r="N700" i="13"/>
  <c r="J699" i="13"/>
  <c r="I692" i="13"/>
  <c r="G690" i="13"/>
  <c r="S694" i="13"/>
  <c r="N697" i="13"/>
  <c r="S692" i="13"/>
  <c r="N694" i="13"/>
  <c r="H695" i="13"/>
  <c r="J698" i="13"/>
  <c r="K690" i="13"/>
  <c r="M697" i="13"/>
  <c r="T697" i="13"/>
  <c r="K695" i="13"/>
  <c r="P698" i="13"/>
  <c r="L698" i="13"/>
  <c r="T694" i="13"/>
  <c r="L696" i="13"/>
  <c r="P699" i="13"/>
  <c r="T690" i="13"/>
  <c r="O690" i="13"/>
  <c r="H692" i="13"/>
  <c r="G696" i="13"/>
  <c r="L694" i="13"/>
  <c r="P696" i="13"/>
  <c r="O694" i="13"/>
  <c r="G698" i="13"/>
  <c r="M695" i="13"/>
  <c r="O691" i="13"/>
  <c r="J695" i="13"/>
  <c r="M690" i="13"/>
  <c r="M698" i="13"/>
  <c r="L699" i="13"/>
  <c r="O689" i="13"/>
  <c r="L691" i="13"/>
  <c r="I694" i="13"/>
  <c r="U692" i="13"/>
  <c r="J696" i="13"/>
  <c r="R690" i="13"/>
  <c r="F692" i="13"/>
  <c r="P695" i="13"/>
  <c r="N692" i="13"/>
  <c r="I699" i="13"/>
  <c r="U690" i="13"/>
  <c r="C686" i="13"/>
  <c r="C687" i="13" s="1"/>
  <c r="C688" i="13" s="1"/>
  <c r="C689" i="13" s="1"/>
  <c r="C690" i="13" s="1"/>
  <c r="C691" i="13" s="1"/>
  <c r="C692" i="13" s="1"/>
  <c r="C693" i="13" s="1"/>
  <c r="C694" i="13" s="1"/>
  <c r="C695" i="13" s="1"/>
  <c r="C696" i="13" s="1"/>
  <c r="C697" i="13" s="1"/>
  <c r="C698" i="13" s="1"/>
  <c r="C699" i="13" s="1"/>
  <c r="C700" i="13" s="1"/>
  <c r="C701" i="13" s="1"/>
  <c r="G695" i="13"/>
  <c r="M699" i="13"/>
  <c r="S690" i="13"/>
  <c r="M694" i="13"/>
  <c r="I697" i="13"/>
  <c r="F695" i="13"/>
  <c r="K698" i="13"/>
  <c r="J692" i="13"/>
  <c r="F696" i="13"/>
  <c r="O697" i="13"/>
  <c r="M692" i="13"/>
  <c r="N698" i="13"/>
  <c r="R698" i="13"/>
  <c r="S699" i="13"/>
  <c r="U698" i="13"/>
  <c r="R699" i="13"/>
  <c r="K689" i="13"/>
  <c r="L689" i="13"/>
  <c r="H696" i="13"/>
  <c r="S695" i="13"/>
  <c r="L690" i="13"/>
  <c r="S698" i="13"/>
  <c r="N690" i="13"/>
  <c r="P697" i="13"/>
  <c r="R694" i="13"/>
  <c r="K697" i="13"/>
  <c r="P694" i="13"/>
  <c r="O699" i="13"/>
  <c r="T695" i="13"/>
  <c r="G699" i="13"/>
  <c r="F694" i="13"/>
  <c r="L754" i="16"/>
  <c r="N753" i="16"/>
  <c r="M757" i="16"/>
  <c r="J754" i="16"/>
  <c r="O751" i="16"/>
  <c r="P755" i="16"/>
  <c r="I754" i="16"/>
  <c r="N756" i="16"/>
  <c r="J756" i="16"/>
  <c r="G758" i="16"/>
  <c r="K754" i="16"/>
  <c r="M756" i="16"/>
  <c r="G757" i="16"/>
  <c r="L751" i="16"/>
  <c r="K751" i="16"/>
  <c r="G753" i="16"/>
  <c r="L758" i="16"/>
  <c r="N757" i="16"/>
  <c r="M754" i="16"/>
  <c r="H757" i="16"/>
  <c r="O756" i="16"/>
  <c r="P759" i="16"/>
  <c r="H756" i="16"/>
  <c r="M755" i="16"/>
  <c r="N758" i="16"/>
  <c r="G754" i="16"/>
  <c r="P758" i="16"/>
  <c r="J755" i="16"/>
  <c r="M758" i="16"/>
  <c r="C748" i="16"/>
  <c r="C749" i="16" s="1"/>
  <c r="C750" i="16" s="1"/>
  <c r="C751" i="16" s="1"/>
  <c r="C752" i="16" s="1"/>
  <c r="C753" i="16" s="1"/>
  <c r="C754" i="16" s="1"/>
  <c r="C755" i="16" s="1"/>
  <c r="C756" i="16" s="1"/>
  <c r="C757" i="16" s="1"/>
  <c r="C758" i="16" s="1"/>
  <c r="C759" i="16" s="1"/>
  <c r="C760" i="16" s="1"/>
  <c r="L759" i="16"/>
  <c r="N754" i="16"/>
  <c r="N755" i="16"/>
  <c r="I756" i="16"/>
  <c r="F753" i="16"/>
  <c r="L753" i="16"/>
  <c r="F755" i="16"/>
  <c r="K758" i="16"/>
  <c r="F756" i="16"/>
  <c r="O759" i="16"/>
  <c r="F758" i="16"/>
  <c r="L755" i="16"/>
  <c r="M759" i="16"/>
  <c r="O753" i="16"/>
  <c r="L757" i="16"/>
  <c r="I753" i="16"/>
  <c r="N759" i="16"/>
  <c r="J757" i="16"/>
  <c r="L756" i="16"/>
  <c r="F757" i="16"/>
  <c r="K753" i="16"/>
  <c r="F754" i="16"/>
  <c r="M753" i="16"/>
  <c r="H755" i="16"/>
  <c r="O758" i="16"/>
  <c r="P751" i="16"/>
  <c r="H758" i="16"/>
  <c r="K756" i="16"/>
  <c r="J753" i="16"/>
  <c r="O754" i="16"/>
  <c r="H754" i="16"/>
  <c r="P753" i="16"/>
  <c r="I755" i="16"/>
  <c r="M751" i="16"/>
  <c r="O757" i="16"/>
  <c r="P756" i="16"/>
  <c r="K759" i="16"/>
  <c r="I758" i="16"/>
  <c r="P754" i="16"/>
  <c r="J758" i="16"/>
  <c r="N751" i="16"/>
  <c r="G755" i="16"/>
  <c r="P757" i="16"/>
  <c r="G756" i="16"/>
  <c r="K757" i="16"/>
  <c r="K755" i="16"/>
  <c r="O755" i="16"/>
  <c r="H753" i="16"/>
  <c r="I757" i="16"/>
  <c r="C74" i="13"/>
  <c r="C75" i="13" s="1"/>
  <c r="C76" i="13" s="1"/>
  <c r="C77" i="13" s="1"/>
  <c r="C78" i="13" s="1"/>
  <c r="C79" i="13" s="1"/>
  <c r="C80" i="13" s="1"/>
  <c r="C81" i="13" s="1"/>
  <c r="C82" i="13" s="1"/>
  <c r="C83" i="13" s="1"/>
  <c r="C84" i="13" s="1"/>
  <c r="C85" i="13" s="1"/>
  <c r="C86" i="13" s="1"/>
  <c r="C87" i="13" s="1"/>
  <c r="C88" i="13" s="1"/>
  <c r="C89" i="13" s="1"/>
  <c r="N80" i="13"/>
  <c r="K84" i="13"/>
  <c r="K77" i="13"/>
  <c r="O82" i="13"/>
  <c r="O87" i="13"/>
  <c r="O84" i="13"/>
  <c r="N86" i="13"/>
  <c r="L80" i="13"/>
  <c r="M84" i="13"/>
  <c r="N79" i="13"/>
  <c r="N77" i="13"/>
  <c r="M80" i="13"/>
  <c r="L78" i="13"/>
  <c r="L85" i="13"/>
  <c r="K87" i="13"/>
  <c r="N78" i="13"/>
  <c r="O88" i="13"/>
  <c r="M85" i="13"/>
  <c r="N87" i="13"/>
  <c r="K79" i="13"/>
  <c r="O79" i="13"/>
  <c r="M82" i="13"/>
  <c r="K83" i="13"/>
  <c r="O78" i="13"/>
  <c r="L79" i="13"/>
  <c r="K85" i="13"/>
  <c r="N83" i="13"/>
  <c r="N84" i="13"/>
  <c r="O77" i="13"/>
  <c r="L84" i="13"/>
  <c r="O80" i="13"/>
  <c r="O85" i="13"/>
  <c r="M87" i="13"/>
  <c r="L83" i="13"/>
  <c r="O83" i="13"/>
  <c r="L77" i="13"/>
  <c r="N88" i="13"/>
  <c r="M86" i="13"/>
  <c r="K80" i="13"/>
  <c r="L82" i="13"/>
  <c r="L87" i="13"/>
  <c r="M78" i="13"/>
  <c r="O86" i="13"/>
  <c r="K82" i="13"/>
  <c r="L88" i="13"/>
  <c r="K88" i="13"/>
  <c r="N85" i="13"/>
  <c r="L86" i="13"/>
  <c r="K86" i="13"/>
  <c r="N82" i="13"/>
  <c r="K78" i="13"/>
  <c r="M83" i="13"/>
  <c r="N581" i="13"/>
  <c r="O572" i="13"/>
  <c r="P576" i="13"/>
  <c r="K578" i="13"/>
  <c r="P579" i="13"/>
  <c r="M577" i="13"/>
  <c r="S580" i="13"/>
  <c r="H580" i="13"/>
  <c r="N579" i="13"/>
  <c r="R579" i="13"/>
  <c r="O573" i="13"/>
  <c r="L581" i="13"/>
  <c r="N578" i="13"/>
  <c r="O581" i="13"/>
  <c r="G571" i="13"/>
  <c r="K573" i="13"/>
  <c r="S577" i="13"/>
  <c r="P578" i="13"/>
  <c r="S578" i="13"/>
  <c r="L575" i="13"/>
  <c r="L579" i="13"/>
  <c r="J577" i="13"/>
  <c r="N571" i="13"/>
  <c r="G580" i="13"/>
  <c r="M571" i="13"/>
  <c r="L580" i="13"/>
  <c r="F571" i="13"/>
  <c r="L576" i="13"/>
  <c r="U577" i="13"/>
  <c r="G576" i="13"/>
  <c r="H579" i="13"/>
  <c r="I577" i="13"/>
  <c r="N570" i="13"/>
  <c r="F575" i="13"/>
  <c r="H575" i="13"/>
  <c r="O571" i="13"/>
  <c r="R577" i="13"/>
  <c r="S573" i="13"/>
  <c r="O575" i="13"/>
  <c r="N576" i="13"/>
  <c r="R576" i="13"/>
  <c r="K577" i="13"/>
  <c r="M580" i="13"/>
  <c r="I576" i="13"/>
  <c r="K580" i="13"/>
  <c r="T575" i="13"/>
  <c r="U573" i="13"/>
  <c r="I573" i="13"/>
  <c r="F577" i="13"/>
  <c r="F578" i="13"/>
  <c r="G579" i="13"/>
  <c r="F579" i="13"/>
  <c r="M573" i="13"/>
  <c r="R571" i="13"/>
  <c r="N577" i="13"/>
  <c r="T578" i="13"/>
  <c r="K570" i="13"/>
  <c r="T579" i="13"/>
  <c r="G575" i="13"/>
  <c r="T577" i="13"/>
  <c r="O570" i="13"/>
  <c r="J579" i="13"/>
  <c r="U579" i="13"/>
  <c r="L578" i="13"/>
  <c r="S579" i="13"/>
  <c r="N575" i="13"/>
  <c r="T576" i="13"/>
  <c r="L577" i="13"/>
  <c r="J571" i="13"/>
  <c r="R578" i="13"/>
  <c r="N572" i="13"/>
  <c r="J578" i="13"/>
  <c r="H573" i="13"/>
  <c r="M579" i="13"/>
  <c r="L573" i="13"/>
  <c r="S571" i="13"/>
  <c r="R575" i="13"/>
  <c r="K579" i="13"/>
  <c r="S575" i="13"/>
  <c r="U580" i="13"/>
  <c r="J580" i="13"/>
  <c r="O576" i="13"/>
  <c r="P571" i="13"/>
  <c r="H577" i="13"/>
  <c r="L571" i="13"/>
  <c r="F576" i="13"/>
  <c r="S576" i="13"/>
  <c r="M575" i="13"/>
  <c r="U578" i="13"/>
  <c r="I579" i="13"/>
  <c r="R573" i="13"/>
  <c r="O578" i="13"/>
  <c r="L570" i="13"/>
  <c r="F573" i="13"/>
  <c r="F580" i="13"/>
  <c r="N580" i="13"/>
  <c r="K571" i="13"/>
  <c r="K576" i="13"/>
  <c r="I571" i="13"/>
  <c r="K575" i="13"/>
  <c r="M576" i="13"/>
  <c r="I580" i="13"/>
  <c r="P575" i="13"/>
  <c r="H571" i="13"/>
  <c r="O580" i="13"/>
  <c r="U575" i="13"/>
  <c r="T573" i="13"/>
  <c r="O577" i="13"/>
  <c r="H576" i="13"/>
  <c r="U571" i="13"/>
  <c r="G573" i="13"/>
  <c r="I578" i="13"/>
  <c r="R580" i="13"/>
  <c r="M578" i="13"/>
  <c r="J576" i="13"/>
  <c r="H578" i="13"/>
  <c r="J573" i="13"/>
  <c r="G578" i="13"/>
  <c r="P573" i="13"/>
  <c r="K581" i="13"/>
  <c r="G577" i="13"/>
  <c r="O579" i="13"/>
  <c r="J575" i="13"/>
  <c r="T580" i="13"/>
  <c r="I575" i="13"/>
  <c r="K572" i="13"/>
  <c r="P577" i="13"/>
  <c r="N573" i="13"/>
  <c r="C567" i="13"/>
  <c r="C568" i="13" s="1"/>
  <c r="C569" i="13" s="1"/>
  <c r="C570" i="13" s="1"/>
  <c r="C571" i="13" s="1"/>
  <c r="C572" i="13" s="1"/>
  <c r="C573" i="13" s="1"/>
  <c r="C574" i="13" s="1"/>
  <c r="C575" i="13" s="1"/>
  <c r="C576" i="13" s="1"/>
  <c r="C577" i="13" s="1"/>
  <c r="C578" i="13" s="1"/>
  <c r="C579" i="13" s="1"/>
  <c r="C580" i="13" s="1"/>
  <c r="C581" i="13" s="1"/>
  <c r="C582" i="13" s="1"/>
  <c r="P580" i="13"/>
  <c r="L572" i="13"/>
  <c r="T571" i="13"/>
  <c r="U576" i="13"/>
  <c r="N759" i="13"/>
  <c r="U763" i="13"/>
  <c r="O768" i="13"/>
  <c r="U766" i="13"/>
  <c r="G767" i="13"/>
  <c r="K762" i="13"/>
  <c r="O758" i="13"/>
  <c r="F760" i="13"/>
  <c r="M764" i="13"/>
  <c r="G760" i="13"/>
  <c r="H765" i="13"/>
  <c r="L757" i="13"/>
  <c r="J766" i="13"/>
  <c r="O767" i="13"/>
  <c r="P765" i="13"/>
  <c r="J764" i="13"/>
  <c r="S766" i="13"/>
  <c r="H767" i="13"/>
  <c r="K765" i="13"/>
  <c r="M758" i="13"/>
  <c r="N763" i="13"/>
  <c r="U765" i="13"/>
  <c r="F764" i="13"/>
  <c r="R758" i="13"/>
  <c r="M767" i="13"/>
  <c r="T763" i="13"/>
  <c r="J765" i="13"/>
  <c r="J763" i="13"/>
  <c r="P760" i="13"/>
  <c r="R764" i="13"/>
  <c r="S765" i="13"/>
  <c r="S760" i="13"/>
  <c r="R760" i="13"/>
  <c r="L763" i="13"/>
  <c r="M763" i="13"/>
  <c r="I763" i="13"/>
  <c r="N760" i="13"/>
  <c r="K760" i="13"/>
  <c r="P766" i="13"/>
  <c r="M760" i="13"/>
  <c r="M766" i="13"/>
  <c r="R763" i="13"/>
  <c r="H758" i="13"/>
  <c r="J760" i="13"/>
  <c r="F762" i="13"/>
  <c r="I760" i="13"/>
  <c r="K759" i="13"/>
  <c r="P758" i="13"/>
  <c r="H766" i="13"/>
  <c r="O763" i="13"/>
  <c r="M765" i="13"/>
  <c r="P767" i="13"/>
  <c r="U758" i="13"/>
  <c r="U764" i="13"/>
  <c r="K763" i="13"/>
  <c r="U760" i="13"/>
  <c r="T767" i="13"/>
  <c r="O759" i="13"/>
  <c r="F758" i="13"/>
  <c r="J762" i="13"/>
  <c r="R767" i="13"/>
  <c r="R766" i="13"/>
  <c r="I766" i="13"/>
  <c r="O762" i="13"/>
  <c r="N766" i="13"/>
  <c r="K768" i="13"/>
  <c r="L759" i="13"/>
  <c r="L762" i="13"/>
  <c r="T760" i="13"/>
  <c r="J758" i="13"/>
  <c r="U767" i="13"/>
  <c r="J767" i="13"/>
  <c r="I765" i="13"/>
  <c r="S764" i="13"/>
  <c r="S767" i="13"/>
  <c r="K758" i="13"/>
  <c r="N765" i="13"/>
  <c r="O765" i="13"/>
  <c r="R762" i="13"/>
  <c r="I767" i="13"/>
  <c r="H764" i="13"/>
  <c r="K757" i="13"/>
  <c r="F767" i="13"/>
  <c r="U762" i="13"/>
  <c r="S758" i="13"/>
  <c r="H763" i="13"/>
  <c r="N762" i="13"/>
  <c r="L760" i="13"/>
  <c r="I762" i="13"/>
  <c r="T762" i="13"/>
  <c r="K767" i="13"/>
  <c r="L768" i="13"/>
  <c r="N757" i="13"/>
  <c r="N758" i="13"/>
  <c r="I764" i="13"/>
  <c r="C754" i="13"/>
  <c r="C755" i="13" s="1"/>
  <c r="C756" i="13" s="1"/>
  <c r="C757" i="13" s="1"/>
  <c r="C758" i="13" s="1"/>
  <c r="C759" i="13" s="1"/>
  <c r="C760" i="13" s="1"/>
  <c r="C761" i="13" s="1"/>
  <c r="C762" i="13" s="1"/>
  <c r="C763" i="13" s="1"/>
  <c r="C764" i="13" s="1"/>
  <c r="C765" i="13" s="1"/>
  <c r="C766" i="13" s="1"/>
  <c r="C767" i="13" s="1"/>
  <c r="C768" i="13" s="1"/>
  <c r="C769" i="13" s="1"/>
  <c r="I758" i="13"/>
  <c r="H762" i="13"/>
  <c r="T765" i="13"/>
  <c r="P763" i="13"/>
  <c r="K764" i="13"/>
  <c r="O766" i="13"/>
  <c r="L758" i="13"/>
  <c r="S763" i="13"/>
  <c r="S762" i="13"/>
  <c r="L764" i="13"/>
  <c r="N768" i="13"/>
  <c r="G765" i="13"/>
  <c r="F763" i="13"/>
  <c r="T764" i="13"/>
  <c r="G762" i="13"/>
  <c r="L767" i="13"/>
  <c r="G766" i="13"/>
  <c r="F765" i="13"/>
  <c r="M762" i="13"/>
  <c r="O764" i="13"/>
  <c r="O757" i="13"/>
  <c r="L765" i="13"/>
  <c r="G758" i="13"/>
  <c r="T766" i="13"/>
  <c r="H760" i="13"/>
  <c r="P762" i="13"/>
  <c r="R765" i="13"/>
  <c r="G763" i="13"/>
  <c r="P764" i="13"/>
  <c r="F766" i="13"/>
  <c r="N767" i="13"/>
  <c r="L766" i="13"/>
  <c r="O760" i="13"/>
  <c r="G764" i="13"/>
  <c r="T758" i="13"/>
  <c r="N764" i="13"/>
  <c r="K766" i="13"/>
  <c r="H247" i="11"/>
  <c r="J245" i="11"/>
  <c r="O247" i="11"/>
  <c r="R245" i="11"/>
  <c r="J247" i="11"/>
  <c r="P247" i="11"/>
  <c r="T246" i="11"/>
  <c r="H245" i="11"/>
  <c r="C241" i="11"/>
  <c r="C242" i="11" s="1"/>
  <c r="C243" i="11" s="1"/>
  <c r="C244" i="11" s="1"/>
  <c r="C245" i="11" s="1"/>
  <c r="C246" i="11" s="1"/>
  <c r="C247" i="11" s="1"/>
  <c r="C248" i="11" s="1"/>
  <c r="K247" i="11"/>
  <c r="C240" i="11"/>
  <c r="H246" i="11"/>
  <c r="G246" i="11"/>
  <c r="Q247" i="11"/>
  <c r="F247" i="11"/>
  <c r="Q245" i="11"/>
  <c r="M246" i="11"/>
  <c r="F245" i="11"/>
  <c r="S247" i="11"/>
  <c r="J246" i="11"/>
  <c r="O246" i="11"/>
  <c r="S246" i="11"/>
  <c r="Q246" i="11"/>
  <c r="I247" i="11"/>
  <c r="L246" i="11"/>
  <c r="K246" i="11"/>
  <c r="I246" i="11"/>
  <c r="K245" i="11"/>
  <c r="N246" i="11"/>
  <c r="S245" i="11"/>
  <c r="F246" i="11"/>
  <c r="T245" i="11"/>
  <c r="R246" i="11"/>
  <c r="P246" i="11"/>
  <c r="G245" i="11"/>
  <c r="G247" i="11"/>
  <c r="P245" i="11"/>
  <c r="O245" i="11"/>
  <c r="I245" i="11"/>
  <c r="I248" i="11" s="1"/>
  <c r="R247" i="11"/>
  <c r="T247" i="11"/>
  <c r="H748" i="13"/>
  <c r="I746" i="13"/>
  <c r="G745" i="13"/>
  <c r="O742" i="13"/>
  <c r="I749" i="13"/>
  <c r="S750" i="13"/>
  <c r="P748" i="13"/>
  <c r="S743" i="13"/>
  <c r="L751" i="13"/>
  <c r="N750" i="13"/>
  <c r="I743" i="13"/>
  <c r="R745" i="13"/>
  <c r="O749" i="13"/>
  <c r="N742" i="13"/>
  <c r="J748" i="13"/>
  <c r="R746" i="13"/>
  <c r="T747" i="13"/>
  <c r="P741" i="13"/>
  <c r="S748" i="13"/>
  <c r="H745" i="13"/>
  <c r="O748" i="13"/>
  <c r="M745" i="13"/>
  <c r="I750" i="13"/>
  <c r="R749" i="13"/>
  <c r="O741" i="13"/>
  <c r="L747" i="13"/>
  <c r="P743" i="13"/>
  <c r="L748" i="13"/>
  <c r="F749" i="13"/>
  <c r="U747" i="13"/>
  <c r="J749" i="13"/>
  <c r="I741" i="13"/>
  <c r="R747" i="13"/>
  <c r="G748" i="13"/>
  <c r="G749" i="13"/>
  <c r="L749" i="13"/>
  <c r="F741" i="13"/>
  <c r="R748" i="13"/>
  <c r="K740" i="13"/>
  <c r="O746" i="13"/>
  <c r="T745" i="13"/>
  <c r="C737" i="13"/>
  <c r="C738" i="13" s="1"/>
  <c r="C739" i="13" s="1"/>
  <c r="C740" i="13" s="1"/>
  <c r="C741" i="13" s="1"/>
  <c r="C742" i="13" s="1"/>
  <c r="C743" i="13" s="1"/>
  <c r="C744" i="13" s="1"/>
  <c r="C745" i="13" s="1"/>
  <c r="C746" i="13" s="1"/>
  <c r="C747" i="13" s="1"/>
  <c r="C748" i="13" s="1"/>
  <c r="C749" i="13" s="1"/>
  <c r="C750" i="13" s="1"/>
  <c r="C751" i="13" s="1"/>
  <c r="C752" i="13" s="1"/>
  <c r="N741" i="13"/>
  <c r="N743" i="13"/>
  <c r="R750" i="13"/>
  <c r="P750" i="13"/>
  <c r="H741" i="13"/>
  <c r="G747" i="13"/>
  <c r="H747" i="13"/>
  <c r="M747" i="13"/>
  <c r="M749" i="13"/>
  <c r="N746" i="13"/>
  <c r="S747" i="13"/>
  <c r="J745" i="13"/>
  <c r="M750" i="13"/>
  <c r="J743" i="13"/>
  <c r="F750" i="13"/>
  <c r="R743" i="13"/>
  <c r="J747" i="13"/>
  <c r="N747" i="13"/>
  <c r="P747" i="13"/>
  <c r="O745" i="13"/>
  <c r="N748" i="13"/>
  <c r="T743" i="13"/>
  <c r="N740" i="13"/>
  <c r="H746" i="13"/>
  <c r="U741" i="13"/>
  <c r="L742" i="13"/>
  <c r="H749" i="13"/>
  <c r="L746" i="13"/>
  <c r="S741" i="13"/>
  <c r="K747" i="13"/>
  <c r="U750" i="13"/>
  <c r="G741" i="13"/>
  <c r="I748" i="13"/>
  <c r="L750" i="13"/>
  <c r="J750" i="13"/>
  <c r="N745" i="13"/>
  <c r="U749" i="13"/>
  <c r="K745" i="13"/>
  <c r="J746" i="13"/>
  <c r="I747" i="13"/>
  <c r="S749" i="13"/>
  <c r="P749" i="13"/>
  <c r="L743" i="13"/>
  <c r="G746" i="13"/>
  <c r="K750" i="13"/>
  <c r="M748" i="13"/>
  <c r="H750" i="13"/>
  <c r="K743" i="13"/>
  <c r="T746" i="13"/>
  <c r="K746" i="13"/>
  <c r="T750" i="13"/>
  <c r="O750" i="13"/>
  <c r="R741" i="13"/>
  <c r="M746" i="13"/>
  <c r="U746" i="13"/>
  <c r="O743" i="13"/>
  <c r="F743" i="13"/>
  <c r="F747" i="13"/>
  <c r="F748" i="13"/>
  <c r="L741" i="13"/>
  <c r="U748" i="13"/>
  <c r="S746" i="13"/>
  <c r="S745" i="13"/>
  <c r="G750" i="13"/>
  <c r="P746" i="13"/>
  <c r="L740" i="13"/>
  <c r="J741" i="13"/>
  <c r="L745" i="13"/>
  <c r="O747" i="13"/>
  <c r="K742" i="13"/>
  <c r="K749" i="13"/>
  <c r="H743" i="13"/>
  <c r="O740" i="13"/>
  <c r="G743" i="13"/>
  <c r="I745" i="13"/>
  <c r="O751" i="13"/>
  <c r="K741" i="13"/>
  <c r="N751" i="13"/>
  <c r="N749" i="13"/>
  <c r="F745" i="13"/>
  <c r="K751" i="13"/>
  <c r="T748" i="13"/>
  <c r="U743" i="13"/>
  <c r="U745" i="13"/>
  <c r="T749" i="13"/>
  <c r="F746" i="13"/>
  <c r="M741" i="13"/>
  <c r="K748" i="13"/>
  <c r="T741" i="13"/>
  <c r="P745" i="13"/>
  <c r="M743" i="13"/>
  <c r="K217" i="12"/>
  <c r="K218" i="12" s="1"/>
  <c r="C212" i="12"/>
  <c r="C213" i="12" s="1"/>
  <c r="C214" i="12" s="1"/>
  <c r="C215" i="12" s="1"/>
  <c r="C216" i="12" s="1"/>
  <c r="C217" i="12" s="1"/>
  <c r="C218" i="12" s="1"/>
  <c r="J217" i="12"/>
  <c r="J218" i="12" s="1"/>
  <c r="I217" i="12"/>
  <c r="I218" i="12" s="1"/>
  <c r="R438" i="11"/>
  <c r="C433" i="11"/>
  <c r="C434" i="11" s="1"/>
  <c r="C435" i="11" s="1"/>
  <c r="C436" i="11" s="1"/>
  <c r="C437" i="11" s="1"/>
  <c r="C438" i="11" s="1"/>
  <c r="C439" i="11" s="1"/>
  <c r="C440" i="11" s="1"/>
  <c r="R437" i="11"/>
  <c r="H437" i="11"/>
  <c r="I439" i="11"/>
  <c r="K439" i="11"/>
  <c r="F439" i="11"/>
  <c r="F437" i="11"/>
  <c r="S437" i="11"/>
  <c r="Q437" i="11"/>
  <c r="T439" i="11"/>
  <c r="J439" i="11"/>
  <c r="I437" i="11"/>
  <c r="F438" i="11"/>
  <c r="L438" i="11"/>
  <c r="O439" i="11"/>
  <c r="G437" i="11"/>
  <c r="M438" i="11"/>
  <c r="I438" i="11"/>
  <c r="Q439" i="11"/>
  <c r="P438" i="11"/>
  <c r="R439" i="11"/>
  <c r="J438" i="11"/>
  <c r="H439" i="11"/>
  <c r="Q438" i="11"/>
  <c r="C432" i="11"/>
  <c r="O438" i="11"/>
  <c r="T438" i="11"/>
  <c r="N438" i="11"/>
  <c r="O437" i="11"/>
  <c r="G439" i="11"/>
  <c r="S439" i="11"/>
  <c r="H438" i="11"/>
  <c r="T437" i="11"/>
  <c r="P439" i="11"/>
  <c r="J437" i="11"/>
  <c r="G438" i="11"/>
  <c r="K438" i="11"/>
  <c r="S438" i="11"/>
  <c r="K437" i="11"/>
  <c r="P437" i="11"/>
  <c r="N507" i="15"/>
  <c r="M506" i="15"/>
  <c r="M502" i="15"/>
  <c r="K506" i="15"/>
  <c r="K501" i="15"/>
  <c r="F510" i="15"/>
  <c r="G509" i="15"/>
  <c r="I506" i="15"/>
  <c r="J504" i="15"/>
  <c r="L503" i="15"/>
  <c r="L510" i="15"/>
  <c r="M507" i="15"/>
  <c r="K507" i="15"/>
  <c r="L508" i="15"/>
  <c r="I504" i="15"/>
  <c r="N506" i="15"/>
  <c r="L504" i="15"/>
  <c r="H504" i="15"/>
  <c r="F508" i="15"/>
  <c r="O510" i="15"/>
  <c r="G504" i="15"/>
  <c r="L507" i="15"/>
  <c r="P511" i="15"/>
  <c r="L511" i="15"/>
  <c r="J510" i="15"/>
  <c r="H507" i="15"/>
  <c r="K504" i="15"/>
  <c r="I510" i="15"/>
  <c r="J507" i="15"/>
  <c r="I502" i="15"/>
  <c r="G502" i="15"/>
  <c r="P512" i="15"/>
  <c r="K509" i="15"/>
  <c r="O512" i="15"/>
  <c r="F507" i="15"/>
  <c r="L506" i="15"/>
  <c r="P502" i="15"/>
  <c r="N503" i="15"/>
  <c r="K512" i="15"/>
  <c r="I507" i="15"/>
  <c r="O502" i="15"/>
  <c r="P503" i="15"/>
  <c r="H508" i="15"/>
  <c r="M508" i="15"/>
  <c r="O511" i="15"/>
  <c r="N511" i="15"/>
  <c r="G507" i="15"/>
  <c r="F509" i="15"/>
  <c r="N509" i="15"/>
  <c r="H510" i="15"/>
  <c r="N510" i="15"/>
  <c r="P510" i="15"/>
  <c r="O507" i="15"/>
  <c r="P506" i="15"/>
  <c r="L501" i="15"/>
  <c r="O506" i="15"/>
  <c r="K510" i="15"/>
  <c r="P504" i="15"/>
  <c r="I509" i="15"/>
  <c r="H502" i="15"/>
  <c r="O504" i="15"/>
  <c r="N501" i="15"/>
  <c r="J506" i="15"/>
  <c r="F511" i="15"/>
  <c r="G510" i="15"/>
  <c r="F506" i="15"/>
  <c r="P508" i="15"/>
  <c r="J511" i="15"/>
  <c r="O509" i="15"/>
  <c r="N504" i="15"/>
  <c r="C498" i="15"/>
  <c r="C499" i="15" s="1"/>
  <c r="C500" i="15" s="1"/>
  <c r="C501" i="15" s="1"/>
  <c r="C502" i="15" s="1"/>
  <c r="C503" i="15" s="1"/>
  <c r="C504" i="15" s="1"/>
  <c r="C505" i="15" s="1"/>
  <c r="C506" i="15" s="1"/>
  <c r="C507" i="15" s="1"/>
  <c r="C508" i="15" s="1"/>
  <c r="C509" i="15" s="1"/>
  <c r="C510" i="15" s="1"/>
  <c r="C511" i="15" s="1"/>
  <c r="C512" i="15" s="1"/>
  <c r="C513" i="15" s="1"/>
  <c r="M504" i="15"/>
  <c r="P501" i="15"/>
  <c r="K502" i="15"/>
  <c r="N508" i="15"/>
  <c r="I508" i="15"/>
  <c r="K508" i="15"/>
  <c r="J509" i="15"/>
  <c r="M510" i="15"/>
  <c r="P509" i="15"/>
  <c r="J502" i="15"/>
  <c r="H509" i="15"/>
  <c r="G508" i="15"/>
  <c r="L502" i="15"/>
  <c r="K503" i="15"/>
  <c r="L512" i="15"/>
  <c r="J508" i="15"/>
  <c r="K511" i="15"/>
  <c r="N512" i="15"/>
  <c r="L509" i="15"/>
  <c r="M503" i="15"/>
  <c r="M512" i="15"/>
  <c r="M511" i="15"/>
  <c r="M509" i="15"/>
  <c r="F502" i="15"/>
  <c r="I511" i="15"/>
  <c r="O503" i="15"/>
  <c r="M501" i="15"/>
  <c r="G506" i="15"/>
  <c r="O508" i="15"/>
  <c r="P507" i="15"/>
  <c r="H506" i="15"/>
  <c r="G511" i="15"/>
  <c r="N502" i="15"/>
  <c r="H511" i="15"/>
  <c r="F504" i="15"/>
  <c r="O501" i="15"/>
  <c r="K209" i="12"/>
  <c r="K210" i="12" s="1"/>
  <c r="I209" i="12"/>
  <c r="I210" i="12" s="1"/>
  <c r="J209" i="12"/>
  <c r="J210" i="12" s="1"/>
  <c r="C204" i="12"/>
  <c r="C205" i="12" s="1"/>
  <c r="C206" i="12" s="1"/>
  <c r="C207" i="12" s="1"/>
  <c r="C208" i="12" s="1"/>
  <c r="C209" i="12" s="1"/>
  <c r="C210" i="12" s="1"/>
  <c r="F569" i="11"/>
  <c r="P568" i="11"/>
  <c r="N568" i="11"/>
  <c r="O568" i="11"/>
  <c r="S567" i="11"/>
  <c r="T569" i="11"/>
  <c r="K568" i="11"/>
  <c r="K567" i="11"/>
  <c r="G569" i="11"/>
  <c r="P567" i="11"/>
  <c r="I568" i="11"/>
  <c r="I567" i="11"/>
  <c r="C562" i="11"/>
  <c r="J569" i="11"/>
  <c r="S568" i="11"/>
  <c r="R567" i="11"/>
  <c r="G568" i="11"/>
  <c r="H567" i="11"/>
  <c r="M568" i="11"/>
  <c r="Q567" i="11"/>
  <c r="J568" i="11"/>
  <c r="K569" i="11"/>
  <c r="G567" i="11"/>
  <c r="F568" i="11"/>
  <c r="C563" i="11"/>
  <c r="C564" i="11" s="1"/>
  <c r="C565" i="11" s="1"/>
  <c r="C566" i="11" s="1"/>
  <c r="C567" i="11" s="1"/>
  <c r="C568" i="11" s="1"/>
  <c r="C569" i="11" s="1"/>
  <c r="C570" i="11" s="1"/>
  <c r="H568" i="11"/>
  <c r="I569" i="11"/>
  <c r="T568" i="11"/>
  <c r="T567" i="11"/>
  <c r="J567" i="11"/>
  <c r="R569" i="11"/>
  <c r="Q569" i="11"/>
  <c r="H569" i="11"/>
  <c r="Q568" i="11"/>
  <c r="L568" i="11"/>
  <c r="O567" i="11"/>
  <c r="R568" i="11"/>
  <c r="O569" i="11"/>
  <c r="F567" i="11"/>
  <c r="P569" i="11"/>
  <c r="S569" i="11"/>
  <c r="C573" i="11"/>
  <c r="C574" i="11" s="1"/>
  <c r="C575" i="11" s="1"/>
  <c r="C576" i="11" s="1"/>
  <c r="C577" i="11" s="1"/>
  <c r="C578" i="11" s="1"/>
  <c r="C579" i="11" s="1"/>
  <c r="C580" i="11" s="1"/>
  <c r="P578" i="11"/>
  <c r="P577" i="11"/>
  <c r="O579" i="11"/>
  <c r="T579" i="11"/>
  <c r="G579" i="11"/>
  <c r="K579" i="11"/>
  <c r="T578" i="11"/>
  <c r="P579" i="11"/>
  <c r="J577" i="11"/>
  <c r="G577" i="11"/>
  <c r="M578" i="11"/>
  <c r="F577" i="11"/>
  <c r="O578" i="11"/>
  <c r="T577" i="11"/>
  <c r="L578" i="11"/>
  <c r="F578" i="11"/>
  <c r="S579" i="11"/>
  <c r="J579" i="11"/>
  <c r="Q579" i="11"/>
  <c r="R579" i="11"/>
  <c r="O577" i="11"/>
  <c r="H578" i="11"/>
  <c r="R577" i="11"/>
  <c r="S578" i="11"/>
  <c r="G578" i="11"/>
  <c r="R578" i="11"/>
  <c r="K577" i="11"/>
  <c r="S577" i="11"/>
  <c r="H577" i="11"/>
  <c r="H580" i="11" s="1"/>
  <c r="N578" i="11"/>
  <c r="I579" i="11"/>
  <c r="I578" i="11"/>
  <c r="H579" i="11"/>
  <c r="J578" i="11"/>
  <c r="Q577" i="11"/>
  <c r="Q578" i="11"/>
  <c r="F579" i="11"/>
  <c r="K578" i="11"/>
  <c r="I577" i="11"/>
  <c r="C572" i="11"/>
  <c r="N900" i="13"/>
  <c r="T899" i="13"/>
  <c r="L896" i="13"/>
  <c r="J899" i="13"/>
  <c r="G894" i="13"/>
  <c r="K902" i="13"/>
  <c r="T901" i="13"/>
  <c r="I900" i="13"/>
  <c r="N899" i="13"/>
  <c r="J903" i="13"/>
  <c r="C890" i="13"/>
  <c r="C891" i="13" s="1"/>
  <c r="C892" i="13" s="1"/>
  <c r="C893" i="13" s="1"/>
  <c r="C894" i="13" s="1"/>
  <c r="C895" i="13" s="1"/>
  <c r="C896" i="13" s="1"/>
  <c r="C897" i="13" s="1"/>
  <c r="C898" i="13" s="1"/>
  <c r="C899" i="13" s="1"/>
  <c r="C900" i="13" s="1"/>
  <c r="C901" i="13" s="1"/>
  <c r="C902" i="13" s="1"/>
  <c r="C903" i="13" s="1"/>
  <c r="C904" i="13" s="1"/>
  <c r="C905" i="13" s="1"/>
  <c r="T902" i="13"/>
  <c r="S902" i="13"/>
  <c r="G902" i="13"/>
  <c r="U900" i="13"/>
  <c r="R903" i="13"/>
  <c r="F899" i="13"/>
  <c r="R896" i="13"/>
  <c r="J896" i="13"/>
  <c r="S894" i="13"/>
  <c r="G899" i="13"/>
  <c r="K900" i="13"/>
  <c r="K894" i="13"/>
  <c r="L898" i="13"/>
  <c r="N898" i="13"/>
  <c r="K893" i="13"/>
  <c r="L894" i="13"/>
  <c r="N896" i="13"/>
  <c r="M896" i="13"/>
  <c r="F903" i="13"/>
  <c r="L893" i="13"/>
  <c r="F901" i="13"/>
  <c r="P896" i="13"/>
  <c r="R894" i="13"/>
  <c r="M900" i="13"/>
  <c r="N902" i="13"/>
  <c r="O901" i="13"/>
  <c r="R901" i="13"/>
  <c r="O895" i="13"/>
  <c r="H902" i="13"/>
  <c r="F896" i="13"/>
  <c r="K896" i="13"/>
  <c r="U903" i="13"/>
  <c r="H894" i="13"/>
  <c r="U898" i="13"/>
  <c r="O894" i="13"/>
  <c r="U899" i="13"/>
  <c r="T896" i="13"/>
  <c r="M902" i="13"/>
  <c r="P899" i="13"/>
  <c r="L901" i="13"/>
  <c r="J901" i="13"/>
  <c r="J902" i="13"/>
  <c r="N901" i="13"/>
  <c r="L899" i="13"/>
  <c r="P903" i="13"/>
  <c r="G898" i="13"/>
  <c r="R902" i="13"/>
  <c r="U902" i="13"/>
  <c r="M894" i="13"/>
  <c r="O900" i="13"/>
  <c r="H900" i="13"/>
  <c r="T894" i="13"/>
  <c r="O896" i="13"/>
  <c r="L895" i="13"/>
  <c r="J900" i="13"/>
  <c r="S901" i="13"/>
  <c r="L904" i="13"/>
  <c r="H896" i="13"/>
  <c r="P900" i="13"/>
  <c r="G896" i="13"/>
  <c r="O904" i="13"/>
  <c r="O899" i="13"/>
  <c r="R898" i="13"/>
  <c r="M901" i="13"/>
  <c r="P898" i="13"/>
  <c r="U894" i="13"/>
  <c r="N893" i="13"/>
  <c r="S903" i="13"/>
  <c r="N895" i="13"/>
  <c r="H898" i="13"/>
  <c r="O902" i="13"/>
  <c r="J894" i="13"/>
  <c r="G903" i="13"/>
  <c r="N903" i="13"/>
  <c r="J898" i="13"/>
  <c r="I898" i="13"/>
  <c r="P894" i="13"/>
  <c r="R900" i="13"/>
  <c r="I903" i="13"/>
  <c r="I894" i="13"/>
  <c r="O898" i="13"/>
  <c r="N904" i="13"/>
  <c r="P901" i="13"/>
  <c r="T900" i="13"/>
  <c r="U896" i="13"/>
  <c r="S898" i="13"/>
  <c r="I896" i="13"/>
  <c r="L903" i="13"/>
  <c r="S900" i="13"/>
  <c r="H903" i="13"/>
  <c r="H899" i="13"/>
  <c r="O903" i="13"/>
  <c r="O893" i="13"/>
  <c r="S896" i="13"/>
  <c r="F900" i="13"/>
  <c r="M899" i="13"/>
  <c r="S899" i="13"/>
  <c r="F898" i="13"/>
  <c r="R899" i="13"/>
  <c r="T898" i="13"/>
  <c r="G900" i="13"/>
  <c r="F894" i="13"/>
  <c r="K903" i="13"/>
  <c r="K904" i="13"/>
  <c r="H901" i="13"/>
  <c r="N894" i="13"/>
  <c r="K901" i="13"/>
  <c r="M898" i="13"/>
  <c r="G901" i="13"/>
  <c r="P902" i="13"/>
  <c r="M903" i="13"/>
  <c r="U901" i="13"/>
  <c r="T903" i="13"/>
  <c r="L902" i="13"/>
  <c r="K895" i="13"/>
  <c r="I899" i="13"/>
  <c r="K899" i="13"/>
  <c r="I901" i="13"/>
  <c r="I902" i="13"/>
  <c r="F902" i="13"/>
  <c r="K898" i="13"/>
  <c r="L900" i="13"/>
  <c r="L865" i="14"/>
  <c r="R868" i="14"/>
  <c r="G866" i="14"/>
  <c r="T867" i="14"/>
  <c r="O871" i="14"/>
  <c r="U866" i="14"/>
  <c r="U868" i="14"/>
  <c r="L863" i="14"/>
  <c r="J867" i="14"/>
  <c r="R866" i="14"/>
  <c r="L869" i="14"/>
  <c r="P868" i="14"/>
  <c r="F866" i="14"/>
  <c r="H870" i="14"/>
  <c r="N866" i="14"/>
  <c r="O866" i="14"/>
  <c r="S867" i="14"/>
  <c r="I869" i="14"/>
  <c r="L868" i="14"/>
  <c r="U865" i="14"/>
  <c r="P867" i="14"/>
  <c r="F865" i="14"/>
  <c r="J866" i="14"/>
  <c r="T865" i="14"/>
  <c r="R865" i="14"/>
  <c r="N865" i="14"/>
  <c r="K870" i="14"/>
  <c r="O870" i="14"/>
  <c r="J870" i="14"/>
  <c r="L867" i="14"/>
  <c r="U867" i="14"/>
  <c r="I866" i="14"/>
  <c r="M865" i="14"/>
  <c r="I867" i="14"/>
  <c r="T868" i="14"/>
  <c r="H865" i="14"/>
  <c r="K865" i="14"/>
  <c r="H867" i="14"/>
  <c r="P865" i="14"/>
  <c r="O865" i="14"/>
  <c r="L866" i="14"/>
  <c r="R869" i="14"/>
  <c r="M870" i="14"/>
  <c r="M868" i="14"/>
  <c r="F868" i="14"/>
  <c r="K867" i="14"/>
  <c r="K866" i="14"/>
  <c r="S869" i="14"/>
  <c r="S865" i="14"/>
  <c r="J865" i="14"/>
  <c r="O863" i="14"/>
  <c r="M867" i="14"/>
  <c r="M869" i="14"/>
  <c r="J869" i="14"/>
  <c r="P870" i="14"/>
  <c r="H868" i="14"/>
  <c r="H866" i="14"/>
  <c r="O869" i="14"/>
  <c r="P869" i="14"/>
  <c r="M866" i="14"/>
  <c r="I865" i="14"/>
  <c r="G868" i="14"/>
  <c r="G865" i="14"/>
  <c r="I870" i="14"/>
  <c r="O867" i="14"/>
  <c r="J868" i="14"/>
  <c r="O868" i="14"/>
  <c r="S866" i="14"/>
  <c r="K869" i="14"/>
  <c r="C860" i="14"/>
  <c r="N867" i="14"/>
  <c r="S870" i="14"/>
  <c r="T869" i="14"/>
  <c r="H869" i="14"/>
  <c r="R867" i="14"/>
  <c r="T866" i="14"/>
  <c r="I868" i="14"/>
  <c r="L871" i="14"/>
  <c r="K868" i="14"/>
  <c r="L870" i="14"/>
  <c r="S868" i="14"/>
  <c r="T870" i="14"/>
  <c r="F867" i="14"/>
  <c r="G870" i="14"/>
  <c r="G867" i="14"/>
  <c r="G869" i="14"/>
  <c r="U869" i="14"/>
  <c r="F869" i="14"/>
  <c r="P866" i="14"/>
  <c r="N869" i="14"/>
  <c r="N868" i="14"/>
  <c r="N870" i="14"/>
  <c r="F870" i="14"/>
  <c r="R870" i="14"/>
  <c r="U870" i="14"/>
  <c r="F741" i="16"/>
  <c r="M740" i="16"/>
  <c r="O745" i="16"/>
  <c r="G742" i="16"/>
  <c r="O742" i="16"/>
  <c r="M745" i="16"/>
  <c r="H740" i="16"/>
  <c r="J743" i="16"/>
  <c r="M741" i="16"/>
  <c r="L740" i="16"/>
  <c r="I742" i="16"/>
  <c r="P741" i="16"/>
  <c r="I743" i="16"/>
  <c r="O743" i="16"/>
  <c r="K741" i="16"/>
  <c r="J739" i="16"/>
  <c r="L742" i="16"/>
  <c r="K742" i="16"/>
  <c r="I740" i="16"/>
  <c r="J740" i="16"/>
  <c r="K739" i="16"/>
  <c r="M743" i="16"/>
  <c r="H739" i="16"/>
  <c r="L744" i="16"/>
  <c r="P745" i="16"/>
  <c r="I744" i="16"/>
  <c r="P742" i="16"/>
  <c r="N742" i="16"/>
  <c r="H741" i="16"/>
  <c r="N744" i="16"/>
  <c r="P743" i="16"/>
  <c r="H742" i="16"/>
  <c r="O740" i="16"/>
  <c r="M739" i="16"/>
  <c r="F739" i="16"/>
  <c r="G743" i="16"/>
  <c r="L741" i="16"/>
  <c r="N745" i="16"/>
  <c r="H743" i="16"/>
  <c r="C734" i="16"/>
  <c r="C735" i="16" s="1"/>
  <c r="C736" i="16" s="1"/>
  <c r="C737" i="16" s="1"/>
  <c r="C738" i="16" s="1"/>
  <c r="C739" i="16" s="1"/>
  <c r="C740" i="16" s="1"/>
  <c r="C741" i="16" s="1"/>
  <c r="C742" i="16" s="1"/>
  <c r="C743" i="16" s="1"/>
  <c r="C744" i="16" s="1"/>
  <c r="C745" i="16" s="1"/>
  <c r="C746" i="16" s="1"/>
  <c r="P739" i="16"/>
  <c r="K744" i="16"/>
  <c r="G741" i="16"/>
  <c r="O741" i="16"/>
  <c r="O737" i="16"/>
  <c r="G740" i="16"/>
  <c r="M744" i="16"/>
  <c r="K737" i="16"/>
  <c r="G739" i="16"/>
  <c r="F744" i="16"/>
  <c r="O744" i="16"/>
  <c r="L745" i="16"/>
  <c r="F740" i="16"/>
  <c r="H744" i="16"/>
  <c r="N741" i="16"/>
  <c r="M737" i="16"/>
  <c r="J744" i="16"/>
  <c r="L743" i="16"/>
  <c r="N740" i="16"/>
  <c r="I739" i="16"/>
  <c r="P744" i="16"/>
  <c r="P740" i="16"/>
  <c r="F742" i="16"/>
  <c r="N743" i="16"/>
  <c r="N739" i="16"/>
  <c r="G744" i="16"/>
  <c r="J742" i="16"/>
  <c r="K743" i="16"/>
  <c r="K745" i="16"/>
  <c r="J741" i="16"/>
  <c r="O739" i="16"/>
  <c r="P737" i="16"/>
  <c r="I741" i="16"/>
  <c r="M742" i="16"/>
  <c r="N737" i="16"/>
  <c r="F743" i="16"/>
  <c r="L737" i="16"/>
  <c r="L739" i="16"/>
  <c r="K740" i="16"/>
  <c r="P723" i="16"/>
  <c r="C720" i="16"/>
  <c r="C721" i="16" s="1"/>
  <c r="C722" i="16" s="1"/>
  <c r="C723" i="16" s="1"/>
  <c r="C724" i="16" s="1"/>
  <c r="C725" i="16" s="1"/>
  <c r="C726" i="16" s="1"/>
  <c r="C727" i="16" s="1"/>
  <c r="C728" i="16" s="1"/>
  <c r="C729" i="16" s="1"/>
  <c r="C730" i="16" s="1"/>
  <c r="C731" i="16" s="1"/>
  <c r="C732" i="16" s="1"/>
  <c r="F729" i="16"/>
  <c r="O729" i="16"/>
  <c r="K727" i="16"/>
  <c r="I729" i="16"/>
  <c r="J728" i="16"/>
  <c r="P727" i="16"/>
  <c r="P728" i="16"/>
  <c r="L729" i="16"/>
  <c r="G725" i="16"/>
  <c r="H725" i="16"/>
  <c r="I728" i="16"/>
  <c r="F726" i="16"/>
  <c r="O726" i="16"/>
  <c r="F730" i="16"/>
  <c r="P731" i="16"/>
  <c r="G727" i="16"/>
  <c r="F725" i="16"/>
  <c r="O727" i="16"/>
  <c r="K729" i="16"/>
  <c r="J730" i="16"/>
  <c r="G729" i="16"/>
  <c r="N726" i="16"/>
  <c r="N729" i="16"/>
  <c r="O731" i="16"/>
  <c r="N725" i="16"/>
  <c r="N727" i="16"/>
  <c r="J729" i="16"/>
  <c r="N731" i="16"/>
  <c r="M730" i="16"/>
  <c r="M727" i="16"/>
  <c r="J726" i="16"/>
  <c r="G730" i="16"/>
  <c r="I726" i="16"/>
  <c r="L730" i="16"/>
  <c r="K726" i="16"/>
  <c r="F728" i="16"/>
  <c r="L726" i="16"/>
  <c r="J727" i="16"/>
  <c r="I725" i="16"/>
  <c r="L723" i="16"/>
  <c r="M725" i="16"/>
  <c r="K728" i="16"/>
  <c r="G726" i="16"/>
  <c r="H728" i="16"/>
  <c r="L728" i="16"/>
  <c r="P730" i="16"/>
  <c r="H726" i="16"/>
  <c r="H729" i="16"/>
  <c r="M728" i="16"/>
  <c r="K723" i="16"/>
  <c r="F727" i="16"/>
  <c r="L725" i="16"/>
  <c r="H727" i="16"/>
  <c r="I730" i="16"/>
  <c r="M723" i="16"/>
  <c r="K730" i="16"/>
  <c r="O730" i="16"/>
  <c r="P726" i="16"/>
  <c r="P729" i="16"/>
  <c r="P725" i="16"/>
  <c r="J725" i="16"/>
  <c r="L727" i="16"/>
  <c r="M731" i="16"/>
  <c r="N723" i="16"/>
  <c r="O725" i="16"/>
  <c r="O728" i="16"/>
  <c r="H730" i="16"/>
  <c r="I727" i="16"/>
  <c r="M726" i="16"/>
  <c r="O723" i="16"/>
  <c r="K725" i="16"/>
  <c r="K731" i="16"/>
  <c r="G728" i="16"/>
  <c r="M729" i="16"/>
  <c r="L731" i="16"/>
  <c r="N730" i="16"/>
  <c r="N728" i="16"/>
  <c r="K513" i="12"/>
  <c r="K514" i="12" s="1"/>
  <c r="C508" i="12"/>
  <c r="C509" i="12" s="1"/>
  <c r="C510" i="12" s="1"/>
  <c r="C511" i="12" s="1"/>
  <c r="C512" i="12" s="1"/>
  <c r="C513" i="12" s="1"/>
  <c r="C514" i="12" s="1"/>
  <c r="I513" i="12"/>
  <c r="I514" i="12" s="1"/>
  <c r="J513" i="12"/>
  <c r="J514" i="12" s="1"/>
  <c r="C522" i="11"/>
  <c r="S528" i="11"/>
  <c r="S529" i="11"/>
  <c r="R529" i="11"/>
  <c r="F527" i="11"/>
  <c r="O527" i="11"/>
  <c r="H527" i="11"/>
  <c r="M528" i="11"/>
  <c r="K528" i="11"/>
  <c r="N528" i="11"/>
  <c r="T528" i="11"/>
  <c r="J529" i="11"/>
  <c r="G528" i="11"/>
  <c r="O528" i="11"/>
  <c r="F529" i="11"/>
  <c r="R528" i="11"/>
  <c r="J527" i="11"/>
  <c r="K529" i="11"/>
  <c r="G529" i="11"/>
  <c r="P529" i="11"/>
  <c r="K527" i="11"/>
  <c r="T529" i="11"/>
  <c r="R527" i="11"/>
  <c r="S527" i="11"/>
  <c r="Q527" i="11"/>
  <c r="O529" i="11"/>
  <c r="P527" i="11"/>
  <c r="T527" i="11"/>
  <c r="Q529" i="11"/>
  <c r="C523" i="11"/>
  <c r="C524" i="11" s="1"/>
  <c r="C525" i="11" s="1"/>
  <c r="C526" i="11" s="1"/>
  <c r="C527" i="11" s="1"/>
  <c r="C528" i="11" s="1"/>
  <c r="C529" i="11" s="1"/>
  <c r="C530" i="11" s="1"/>
  <c r="I529" i="11"/>
  <c r="L528" i="11"/>
  <c r="J528" i="11"/>
  <c r="G527" i="11"/>
  <c r="I528" i="11"/>
  <c r="P528" i="11"/>
  <c r="H528" i="11"/>
  <c r="I527" i="11"/>
  <c r="Q528" i="11"/>
  <c r="F528" i="11"/>
  <c r="H529" i="11"/>
  <c r="O373" i="13"/>
  <c r="H371" i="13"/>
  <c r="L371" i="13"/>
  <c r="R373" i="13"/>
  <c r="I375" i="13"/>
  <c r="K368" i="13"/>
  <c r="K371" i="13"/>
  <c r="U374" i="13"/>
  <c r="O367" i="13"/>
  <c r="S376" i="13"/>
  <c r="J367" i="13"/>
  <c r="L369" i="13"/>
  <c r="L372" i="13"/>
  <c r="O377" i="13"/>
  <c r="O376" i="13"/>
  <c r="G374" i="13"/>
  <c r="K375" i="13"/>
  <c r="I376" i="13"/>
  <c r="H373" i="13"/>
  <c r="O371" i="13"/>
  <c r="F375" i="13"/>
  <c r="O374" i="13"/>
  <c r="P376" i="13"/>
  <c r="I374" i="13"/>
  <c r="O369" i="13"/>
  <c r="G371" i="13"/>
  <c r="N372" i="13"/>
  <c r="R369" i="13"/>
  <c r="O368" i="13"/>
  <c r="N374" i="13"/>
  <c r="R367" i="13"/>
  <c r="N369" i="13"/>
  <c r="I372" i="13"/>
  <c r="P372" i="13"/>
  <c r="P375" i="13"/>
  <c r="T375" i="13"/>
  <c r="S371" i="13"/>
  <c r="M367" i="13"/>
  <c r="K366" i="13"/>
  <c r="H375" i="13"/>
  <c r="N367" i="13"/>
  <c r="O375" i="13"/>
  <c r="K377" i="13"/>
  <c r="M376" i="13"/>
  <c r="L366" i="13"/>
  <c r="F369" i="13"/>
  <c r="G373" i="13"/>
  <c r="T371" i="13"/>
  <c r="R376" i="13"/>
  <c r="U375" i="13"/>
  <c r="U367" i="13"/>
  <c r="I369" i="13"/>
  <c r="P367" i="13"/>
  <c r="P373" i="13"/>
  <c r="T369" i="13"/>
  <c r="I371" i="13"/>
  <c r="L374" i="13"/>
  <c r="F376" i="13"/>
  <c r="J375" i="13"/>
  <c r="K376" i="13"/>
  <c r="G376" i="13"/>
  <c r="S373" i="13"/>
  <c r="H376" i="13"/>
  <c r="P369" i="13"/>
  <c r="J374" i="13"/>
  <c r="S372" i="13"/>
  <c r="S374" i="13"/>
  <c r="T367" i="13"/>
  <c r="R371" i="13"/>
  <c r="R372" i="13"/>
  <c r="O372" i="13"/>
  <c r="O366" i="13"/>
  <c r="M372" i="13"/>
  <c r="F367" i="13"/>
  <c r="S367" i="13"/>
  <c r="L368" i="13"/>
  <c r="U371" i="13"/>
  <c r="J369" i="13"/>
  <c r="N368" i="13"/>
  <c r="G372" i="13"/>
  <c r="K373" i="13"/>
  <c r="U376" i="13"/>
  <c r="K369" i="13"/>
  <c r="G375" i="13"/>
  <c r="M373" i="13"/>
  <c r="M369" i="13"/>
  <c r="C363" i="13"/>
  <c r="C364" i="13" s="1"/>
  <c r="C365" i="13" s="1"/>
  <c r="C366" i="13" s="1"/>
  <c r="C367" i="13" s="1"/>
  <c r="C368" i="13" s="1"/>
  <c r="C369" i="13" s="1"/>
  <c r="C370" i="13" s="1"/>
  <c r="C371" i="13" s="1"/>
  <c r="C372" i="13" s="1"/>
  <c r="C373" i="13" s="1"/>
  <c r="C374" i="13" s="1"/>
  <c r="C375" i="13" s="1"/>
  <c r="C376" i="13" s="1"/>
  <c r="C377" i="13" s="1"/>
  <c r="C378" i="13" s="1"/>
  <c r="L377" i="13"/>
  <c r="U369" i="13"/>
  <c r="K372" i="13"/>
  <c r="H372" i="13"/>
  <c r="I373" i="13"/>
  <c r="S375" i="13"/>
  <c r="H374" i="13"/>
  <c r="G367" i="13"/>
  <c r="L367" i="13"/>
  <c r="R374" i="13"/>
  <c r="N373" i="13"/>
  <c r="H367" i="13"/>
  <c r="F374" i="13"/>
  <c r="F373" i="13"/>
  <c r="K367" i="13"/>
  <c r="N376" i="13"/>
  <c r="F372" i="13"/>
  <c r="K374" i="13"/>
  <c r="H369" i="13"/>
  <c r="J371" i="13"/>
  <c r="T374" i="13"/>
  <c r="P371" i="13"/>
  <c r="T376" i="13"/>
  <c r="L375" i="13"/>
  <c r="I367" i="13"/>
  <c r="M371" i="13"/>
  <c r="T373" i="13"/>
  <c r="T372" i="13"/>
  <c r="L373" i="13"/>
  <c r="U373" i="13"/>
  <c r="G369" i="13"/>
  <c r="N366" i="13"/>
  <c r="M375" i="13"/>
  <c r="U372" i="13"/>
  <c r="L376" i="13"/>
  <c r="F371" i="13"/>
  <c r="N377" i="13"/>
  <c r="N375" i="13"/>
  <c r="J372" i="13"/>
  <c r="J376" i="13"/>
  <c r="S369" i="13"/>
  <c r="N371" i="13"/>
  <c r="P374" i="13"/>
  <c r="J373" i="13"/>
  <c r="R375" i="13"/>
  <c r="M374" i="13"/>
  <c r="J505" i="12"/>
  <c r="J506" i="12" s="1"/>
  <c r="K505" i="12"/>
  <c r="K506" i="12" s="1"/>
  <c r="I505" i="12"/>
  <c r="I506" i="12" s="1"/>
  <c r="C500" i="12"/>
  <c r="C501" i="12" s="1"/>
  <c r="C502" i="12" s="1"/>
  <c r="C503" i="12" s="1"/>
  <c r="C504" i="12" s="1"/>
  <c r="C505" i="12" s="1"/>
  <c r="C506" i="12" s="1"/>
  <c r="N868" i="13"/>
  <c r="L866" i="13"/>
  <c r="P865" i="13"/>
  <c r="U869" i="13"/>
  <c r="F867" i="13"/>
  <c r="S865" i="13"/>
  <c r="N864" i="13"/>
  <c r="P866" i="13"/>
  <c r="G864" i="13"/>
  <c r="G866" i="13"/>
  <c r="S866" i="13"/>
  <c r="L869" i="13"/>
  <c r="L870" i="13"/>
  <c r="L860" i="13"/>
  <c r="U867" i="13"/>
  <c r="C856" i="13"/>
  <c r="C857" i="13" s="1"/>
  <c r="C858" i="13" s="1"/>
  <c r="C859" i="13" s="1"/>
  <c r="C860" i="13" s="1"/>
  <c r="C861" i="13" s="1"/>
  <c r="C862" i="13" s="1"/>
  <c r="C863" i="13" s="1"/>
  <c r="C864" i="13" s="1"/>
  <c r="C865" i="13" s="1"/>
  <c r="C866" i="13" s="1"/>
  <c r="C867" i="13" s="1"/>
  <c r="C868" i="13" s="1"/>
  <c r="C869" i="13" s="1"/>
  <c r="C870" i="13" s="1"/>
  <c r="C871" i="13" s="1"/>
  <c r="S860" i="13"/>
  <c r="O870" i="13"/>
  <c r="N865" i="13"/>
  <c r="J868" i="13"/>
  <c r="I860" i="13"/>
  <c r="U865" i="13"/>
  <c r="P867" i="13"/>
  <c r="K860" i="13"/>
  <c r="J869" i="13"/>
  <c r="H862" i="13"/>
  <c r="F865" i="13"/>
  <c r="M864" i="13"/>
  <c r="O861" i="13"/>
  <c r="L861" i="13"/>
  <c r="I864" i="13"/>
  <c r="K869" i="13"/>
  <c r="F869" i="13"/>
  <c r="O868" i="13"/>
  <c r="P869" i="13"/>
  <c r="O866" i="13"/>
  <c r="F866" i="13"/>
  <c r="H865" i="13"/>
  <c r="T862" i="13"/>
  <c r="M865" i="13"/>
  <c r="O867" i="13"/>
  <c r="R868" i="13"/>
  <c r="G869" i="13"/>
  <c r="I862" i="13"/>
  <c r="N859" i="13"/>
  <c r="U864" i="13"/>
  <c r="G868" i="13"/>
  <c r="P862" i="13"/>
  <c r="L865" i="13"/>
  <c r="T868" i="13"/>
  <c r="J867" i="13"/>
  <c r="K867" i="13"/>
  <c r="M866" i="13"/>
  <c r="T860" i="13"/>
  <c r="G862" i="13"/>
  <c r="N869" i="13"/>
  <c r="S869" i="13"/>
  <c r="H860" i="13"/>
  <c r="L868" i="13"/>
  <c r="M867" i="13"/>
  <c r="R867" i="13"/>
  <c r="H868" i="13"/>
  <c r="N861" i="13"/>
  <c r="M869" i="13"/>
  <c r="T864" i="13"/>
  <c r="S864" i="13"/>
  <c r="N867" i="13"/>
  <c r="J860" i="13"/>
  <c r="I866" i="13"/>
  <c r="M862" i="13"/>
  <c r="N866" i="13"/>
  <c r="I868" i="13"/>
  <c r="S862" i="13"/>
  <c r="P868" i="13"/>
  <c r="K859" i="13"/>
  <c r="K871" i="13" s="1"/>
  <c r="R860" i="13"/>
  <c r="S867" i="13"/>
  <c r="K865" i="13"/>
  <c r="P860" i="13"/>
  <c r="G865" i="13"/>
  <c r="J866" i="13"/>
  <c r="M860" i="13"/>
  <c r="U862" i="13"/>
  <c r="U860" i="13"/>
  <c r="O862" i="13"/>
  <c r="K866" i="13"/>
  <c r="F860" i="13"/>
  <c r="G867" i="13"/>
  <c r="P864" i="13"/>
  <c r="L859" i="13"/>
  <c r="R864" i="13"/>
  <c r="I867" i="13"/>
  <c r="O865" i="13"/>
  <c r="G860" i="13"/>
  <c r="H866" i="13"/>
  <c r="U866" i="13"/>
  <c r="N870" i="13"/>
  <c r="I869" i="13"/>
  <c r="T865" i="13"/>
  <c r="L864" i="13"/>
  <c r="O869" i="13"/>
  <c r="F862" i="13"/>
  <c r="R862" i="13"/>
  <c r="K862" i="13"/>
  <c r="T866" i="13"/>
  <c r="H864" i="13"/>
  <c r="J865" i="13"/>
  <c r="O860" i="13"/>
  <c r="S868" i="13"/>
  <c r="F868" i="13"/>
  <c r="M868" i="13"/>
  <c r="O864" i="13"/>
  <c r="I865" i="13"/>
  <c r="H867" i="13"/>
  <c r="L867" i="13"/>
  <c r="K870" i="13"/>
  <c r="H869" i="13"/>
  <c r="J864" i="13"/>
  <c r="N862" i="13"/>
  <c r="F864" i="13"/>
  <c r="K861" i="13"/>
  <c r="R866" i="13"/>
  <c r="N860" i="13"/>
  <c r="L862" i="13"/>
  <c r="K868" i="13"/>
  <c r="T869" i="13"/>
  <c r="T867" i="13"/>
  <c r="U868" i="13"/>
  <c r="O859" i="13"/>
  <c r="R869" i="13"/>
  <c r="R865" i="13"/>
  <c r="K864" i="13"/>
  <c r="J862" i="13"/>
  <c r="F884" i="16"/>
  <c r="H879" i="16"/>
  <c r="J883" i="16"/>
  <c r="M877" i="16"/>
  <c r="L881" i="16"/>
  <c r="H882" i="16"/>
  <c r="P881" i="16"/>
  <c r="M885" i="16"/>
  <c r="H881" i="16"/>
  <c r="O879" i="16"/>
  <c r="K884" i="16"/>
  <c r="G879" i="16"/>
  <c r="P884" i="16"/>
  <c r="L884" i="16"/>
  <c r="G884" i="16"/>
  <c r="P882" i="16"/>
  <c r="J880" i="16"/>
  <c r="H884" i="16"/>
  <c r="N882" i="16"/>
  <c r="C874" i="16"/>
  <c r="C875" i="16" s="1"/>
  <c r="C876" i="16" s="1"/>
  <c r="C877" i="16" s="1"/>
  <c r="C878" i="16" s="1"/>
  <c r="C879" i="16" s="1"/>
  <c r="C880" i="16" s="1"/>
  <c r="C881" i="16" s="1"/>
  <c r="C882" i="16" s="1"/>
  <c r="C883" i="16" s="1"/>
  <c r="C884" i="16" s="1"/>
  <c r="C885" i="16" s="1"/>
  <c r="C886" i="16" s="1"/>
  <c r="N885" i="16"/>
  <c r="I881" i="16"/>
  <c r="O884" i="16"/>
  <c r="N883" i="16"/>
  <c r="M881" i="16"/>
  <c r="O885" i="16"/>
  <c r="H883" i="16"/>
  <c r="O883" i="16"/>
  <c r="O882" i="16"/>
  <c r="G882" i="16"/>
  <c r="I884" i="16"/>
  <c r="O877" i="16"/>
  <c r="M880" i="16"/>
  <c r="H880" i="16"/>
  <c r="N880" i="16"/>
  <c r="P883" i="16"/>
  <c r="F883" i="16"/>
  <c r="K882" i="16"/>
  <c r="K880" i="16"/>
  <c r="J884" i="16"/>
  <c r="J881" i="16"/>
  <c r="J879" i="16"/>
  <c r="K877" i="16"/>
  <c r="P877" i="16"/>
  <c r="F882" i="16"/>
  <c r="L882" i="16"/>
  <c r="N881" i="16"/>
  <c r="J882" i="16"/>
  <c r="F880" i="16"/>
  <c r="M879" i="16"/>
  <c r="M882" i="16"/>
  <c r="I882" i="16"/>
  <c r="N884" i="16"/>
  <c r="P879" i="16"/>
  <c r="M884" i="16"/>
  <c r="K879" i="16"/>
  <c r="G881" i="16"/>
  <c r="L883" i="16"/>
  <c r="K883" i="16"/>
  <c r="I883" i="16"/>
  <c r="O881" i="16"/>
  <c r="O880" i="16"/>
  <c r="F881" i="16"/>
  <c r="F879" i="16"/>
  <c r="P885" i="16"/>
  <c r="K885" i="16"/>
  <c r="L879" i="16"/>
  <c r="G880" i="16"/>
  <c r="M883" i="16"/>
  <c r="N877" i="16"/>
  <c r="L885" i="16"/>
  <c r="I879" i="16"/>
  <c r="P880" i="16"/>
  <c r="L880" i="16"/>
  <c r="G883" i="16"/>
  <c r="I880" i="16"/>
  <c r="K881" i="16"/>
  <c r="L877" i="16"/>
  <c r="N879" i="16"/>
  <c r="O1052" i="13"/>
  <c r="F1047" i="13"/>
  <c r="S1053" i="13"/>
  <c r="O1047" i="13"/>
  <c r="N1053" i="13"/>
  <c r="P1053" i="13"/>
  <c r="H1055" i="13"/>
  <c r="N1049" i="13"/>
  <c r="L1057" i="13"/>
  <c r="G1054" i="13"/>
  <c r="G1049" i="13"/>
  <c r="M1051" i="13"/>
  <c r="G1052" i="13"/>
  <c r="R1049" i="13"/>
  <c r="R1053" i="13"/>
  <c r="K1055" i="13"/>
  <c r="K1046" i="13"/>
  <c r="S1055" i="13"/>
  <c r="U1055" i="13"/>
  <c r="L1053" i="13"/>
  <c r="G1056" i="13"/>
  <c r="F1049" i="13"/>
  <c r="H1051" i="13"/>
  <c r="O1053" i="13"/>
  <c r="I1056" i="13"/>
  <c r="I1053" i="13"/>
  <c r="R1047" i="13"/>
  <c r="O1051" i="13"/>
  <c r="P1051" i="13"/>
  <c r="F1052" i="13"/>
  <c r="M1053" i="13"/>
  <c r="S1054" i="13"/>
  <c r="K1051" i="13"/>
  <c r="J1055" i="13"/>
  <c r="F1056" i="13"/>
  <c r="O1057" i="13"/>
  <c r="U1049" i="13"/>
  <c r="N1056" i="13"/>
  <c r="U1056" i="13"/>
  <c r="U1054" i="13"/>
  <c r="L1054" i="13"/>
  <c r="I1055" i="13"/>
  <c r="J1056" i="13"/>
  <c r="K1057" i="13"/>
  <c r="G1051" i="13"/>
  <c r="H1056" i="13"/>
  <c r="M1054" i="13"/>
  <c r="T1049" i="13"/>
  <c r="M1056" i="13"/>
  <c r="R1054" i="13"/>
  <c r="T1047" i="13"/>
  <c r="M1052" i="13"/>
  <c r="S1051" i="13"/>
  <c r="J1054" i="13"/>
  <c r="K1047" i="13"/>
  <c r="S1049" i="13"/>
  <c r="O1055" i="13"/>
  <c r="L1049" i="13"/>
  <c r="T1052" i="13"/>
  <c r="K1056" i="13"/>
  <c r="I1049" i="13"/>
  <c r="R1052" i="13"/>
  <c r="L1052" i="13"/>
  <c r="U1052" i="13"/>
  <c r="U1047" i="13"/>
  <c r="N1048" i="13"/>
  <c r="H1054" i="13"/>
  <c r="N1055" i="13"/>
  <c r="S1047" i="13"/>
  <c r="H1052" i="13"/>
  <c r="M1055" i="13"/>
  <c r="F1055" i="13"/>
  <c r="O1046" i="13"/>
  <c r="J1053" i="13"/>
  <c r="J1051" i="13"/>
  <c r="K1048" i="13"/>
  <c r="G1055" i="13"/>
  <c r="M1049" i="13"/>
  <c r="F1054" i="13"/>
  <c r="S1052" i="13"/>
  <c r="K1049" i="13"/>
  <c r="P1056" i="13"/>
  <c r="L1056" i="13"/>
  <c r="F1051" i="13"/>
  <c r="O1054" i="13"/>
  <c r="G1053" i="13"/>
  <c r="R1056" i="13"/>
  <c r="N1054" i="13"/>
  <c r="J1047" i="13"/>
  <c r="N1051" i="13"/>
  <c r="P1055" i="13"/>
  <c r="I1047" i="13"/>
  <c r="H1053" i="13"/>
  <c r="G1047" i="13"/>
  <c r="P1054" i="13"/>
  <c r="H1047" i="13"/>
  <c r="N1052" i="13"/>
  <c r="T1051" i="13"/>
  <c r="L1055" i="13"/>
  <c r="R1051" i="13"/>
  <c r="C1043" i="13"/>
  <c r="C1044" i="13" s="1"/>
  <c r="C1045" i="13" s="1"/>
  <c r="C1046" i="13" s="1"/>
  <c r="C1047" i="13" s="1"/>
  <c r="C1048" i="13" s="1"/>
  <c r="C1049" i="13" s="1"/>
  <c r="C1050" i="13" s="1"/>
  <c r="C1051" i="13" s="1"/>
  <c r="C1052" i="13" s="1"/>
  <c r="C1053" i="13" s="1"/>
  <c r="C1054" i="13" s="1"/>
  <c r="C1055" i="13" s="1"/>
  <c r="C1056" i="13" s="1"/>
  <c r="C1057" i="13" s="1"/>
  <c r="C1058" i="13" s="1"/>
  <c r="I1052" i="13"/>
  <c r="R1055" i="13"/>
  <c r="N1046" i="13"/>
  <c r="U1051" i="13"/>
  <c r="I1051" i="13"/>
  <c r="J1052" i="13"/>
  <c r="S1056" i="13"/>
  <c r="T1054" i="13"/>
  <c r="T1056" i="13"/>
  <c r="U1053" i="13"/>
  <c r="K1053" i="13"/>
  <c r="T1053" i="13"/>
  <c r="O1048" i="13"/>
  <c r="L1048" i="13"/>
  <c r="H1049" i="13"/>
  <c r="P1052" i="13"/>
  <c r="O1049" i="13"/>
  <c r="K1054" i="13"/>
  <c r="N1057" i="13"/>
  <c r="K1052" i="13"/>
  <c r="M1047" i="13"/>
  <c r="L1047" i="13"/>
  <c r="T1055" i="13"/>
  <c r="F1053" i="13"/>
  <c r="N1047" i="13"/>
  <c r="L1046" i="13"/>
  <c r="L1058" i="13" s="1"/>
  <c r="O1056" i="13"/>
  <c r="I1054" i="13"/>
  <c r="P1049" i="13"/>
  <c r="P1047" i="13"/>
  <c r="L1051" i="13"/>
  <c r="J1049" i="13"/>
  <c r="U490" i="13"/>
  <c r="T488" i="13"/>
  <c r="G486" i="13"/>
  <c r="R490" i="13"/>
  <c r="U494" i="13"/>
  <c r="R488" i="13"/>
  <c r="R486" i="13"/>
  <c r="P490" i="13"/>
  <c r="I495" i="13"/>
  <c r="T495" i="13"/>
  <c r="H494" i="13"/>
  <c r="M488" i="13"/>
  <c r="M491" i="13"/>
  <c r="G490" i="13"/>
  <c r="F486" i="13"/>
  <c r="R493" i="13"/>
  <c r="F490" i="13"/>
  <c r="S490" i="13"/>
  <c r="G494" i="13"/>
  <c r="J491" i="13"/>
  <c r="M495" i="13"/>
  <c r="H495" i="13"/>
  <c r="J488" i="13"/>
  <c r="S491" i="13"/>
  <c r="G495" i="13"/>
  <c r="G488" i="13"/>
  <c r="F488" i="13"/>
  <c r="P495" i="13"/>
  <c r="U491" i="13"/>
  <c r="T486" i="13"/>
  <c r="U495" i="13"/>
  <c r="R494" i="13"/>
  <c r="M490" i="13"/>
  <c r="H491" i="13"/>
  <c r="F494" i="13"/>
  <c r="H492" i="13"/>
  <c r="F493" i="13"/>
  <c r="S492" i="13"/>
  <c r="J492" i="13"/>
  <c r="R492" i="13"/>
  <c r="I490" i="13"/>
  <c r="I491" i="13"/>
  <c r="T494" i="13"/>
  <c r="P492" i="13"/>
  <c r="T493" i="13"/>
  <c r="R495" i="13"/>
  <c r="U492" i="13"/>
  <c r="J486" i="13"/>
  <c r="U488" i="13"/>
  <c r="H486" i="13"/>
  <c r="S493" i="13"/>
  <c r="I486" i="13"/>
  <c r="F491" i="13"/>
  <c r="F492" i="13"/>
  <c r="P488" i="13"/>
  <c r="S486" i="13"/>
  <c r="U493" i="13"/>
  <c r="I488" i="13"/>
  <c r="M493" i="13"/>
  <c r="G493" i="13"/>
  <c r="C482" i="13"/>
  <c r="C483" i="13" s="1"/>
  <c r="C484" i="13" s="1"/>
  <c r="C485" i="13" s="1"/>
  <c r="C486" i="13" s="1"/>
  <c r="C487" i="13" s="1"/>
  <c r="C488" i="13" s="1"/>
  <c r="C489" i="13" s="1"/>
  <c r="C490" i="13" s="1"/>
  <c r="C491" i="13" s="1"/>
  <c r="C492" i="13" s="1"/>
  <c r="C493" i="13" s="1"/>
  <c r="C494" i="13" s="1"/>
  <c r="C495" i="13" s="1"/>
  <c r="C496" i="13" s="1"/>
  <c r="C497" i="13" s="1"/>
  <c r="P486" i="13"/>
  <c r="T491" i="13"/>
  <c r="H490" i="13"/>
  <c r="I493" i="13"/>
  <c r="G492" i="13"/>
  <c r="S488" i="13"/>
  <c r="U486" i="13"/>
  <c r="M494" i="13"/>
  <c r="I494" i="13"/>
  <c r="J490" i="13"/>
  <c r="P491" i="13"/>
  <c r="S494" i="13"/>
  <c r="I492" i="13"/>
  <c r="J494" i="13"/>
  <c r="F495" i="13"/>
  <c r="P494" i="13"/>
  <c r="S495" i="13"/>
  <c r="H488" i="13"/>
  <c r="T490" i="13"/>
  <c r="P493" i="13"/>
  <c r="H493" i="13"/>
  <c r="T492" i="13"/>
  <c r="R491" i="13"/>
  <c r="J493" i="13"/>
  <c r="J495" i="13"/>
  <c r="G491" i="13"/>
  <c r="M492" i="13"/>
  <c r="M486" i="13"/>
  <c r="C484" i="12"/>
  <c r="C485" i="12" s="1"/>
  <c r="C486" i="12" s="1"/>
  <c r="C487" i="12" s="1"/>
  <c r="C488" i="12" s="1"/>
  <c r="C489" i="12" s="1"/>
  <c r="C490" i="12" s="1"/>
  <c r="I489" i="12"/>
  <c r="I490" i="12" s="1"/>
  <c r="K489" i="12"/>
  <c r="K490" i="12" s="1"/>
  <c r="J489" i="12"/>
  <c r="J490" i="12" s="1"/>
  <c r="P116" i="13"/>
  <c r="P121" i="13"/>
  <c r="N113" i="13"/>
  <c r="K122" i="13"/>
  <c r="M116" i="13"/>
  <c r="P117" i="13"/>
  <c r="M118" i="13"/>
  <c r="M114" i="13"/>
  <c r="M120" i="13"/>
  <c r="N114" i="13"/>
  <c r="N120" i="13"/>
  <c r="K120" i="13"/>
  <c r="N118" i="13"/>
  <c r="L120" i="13"/>
  <c r="P112" i="13"/>
  <c r="L122" i="13"/>
  <c r="O113" i="13"/>
  <c r="K118" i="13"/>
  <c r="O116" i="13"/>
  <c r="L117" i="13"/>
  <c r="P119" i="13"/>
  <c r="L118" i="13"/>
  <c r="M121" i="13"/>
  <c r="O114" i="13"/>
  <c r="O112" i="13"/>
  <c r="O117" i="13"/>
  <c r="L121" i="13"/>
  <c r="O120" i="13"/>
  <c r="L113" i="13"/>
  <c r="O121" i="13"/>
  <c r="M119" i="13"/>
  <c r="K112" i="13"/>
  <c r="N119" i="13"/>
  <c r="K111" i="13"/>
  <c r="O119" i="13"/>
  <c r="K113" i="13"/>
  <c r="L112" i="13"/>
  <c r="K116" i="13"/>
  <c r="N116" i="13"/>
  <c r="K117" i="13"/>
  <c r="N117" i="13"/>
  <c r="O111" i="13"/>
  <c r="K114" i="13"/>
  <c r="O122" i="13"/>
  <c r="P114" i="13"/>
  <c r="L119" i="13"/>
  <c r="K119" i="13"/>
  <c r="N112" i="13"/>
  <c r="K121" i="13"/>
  <c r="L111" i="13"/>
  <c r="M112" i="13"/>
  <c r="O118" i="13"/>
  <c r="N111" i="13"/>
  <c r="N122" i="13"/>
  <c r="N121" i="13"/>
  <c r="P118" i="13"/>
  <c r="L114" i="13"/>
  <c r="C108" i="13"/>
  <c r="C109" i="13" s="1"/>
  <c r="C110" i="13" s="1"/>
  <c r="C111" i="13" s="1"/>
  <c r="C112" i="13" s="1"/>
  <c r="C113" i="13" s="1"/>
  <c r="C114" i="13" s="1"/>
  <c r="C115" i="13" s="1"/>
  <c r="C116" i="13" s="1"/>
  <c r="C117" i="13" s="1"/>
  <c r="C118" i="13" s="1"/>
  <c r="C119" i="13" s="1"/>
  <c r="C120" i="13" s="1"/>
  <c r="C121" i="13" s="1"/>
  <c r="C122" i="13" s="1"/>
  <c r="C123" i="13" s="1"/>
  <c r="M117" i="13"/>
  <c r="P120" i="13"/>
  <c r="L116" i="13"/>
  <c r="C284" i="12"/>
  <c r="C285" i="12" s="1"/>
  <c r="C286" i="12" s="1"/>
  <c r="C287" i="12" s="1"/>
  <c r="C288" i="12" s="1"/>
  <c r="C289" i="12" s="1"/>
  <c r="C290" i="12" s="1"/>
  <c r="J289" i="12"/>
  <c r="J290" i="12" s="1"/>
  <c r="K289" i="12"/>
  <c r="K290" i="12" s="1"/>
  <c r="I289" i="12"/>
  <c r="I290" i="12" s="1"/>
  <c r="H900" i="15"/>
  <c r="M903" i="15"/>
  <c r="M898" i="15"/>
  <c r="F897" i="15"/>
  <c r="L901" i="15"/>
  <c r="H899" i="15"/>
  <c r="I893" i="15"/>
  <c r="K894" i="15"/>
  <c r="M900" i="15"/>
  <c r="P895" i="15"/>
  <c r="N898" i="15"/>
  <c r="P893" i="15"/>
  <c r="G895" i="15"/>
  <c r="N903" i="15"/>
  <c r="I899" i="15"/>
  <c r="G900" i="15"/>
  <c r="H895" i="15"/>
  <c r="K902" i="15"/>
  <c r="K893" i="15"/>
  <c r="G898" i="15"/>
  <c r="P894" i="15"/>
  <c r="K892" i="15"/>
  <c r="J897" i="15"/>
  <c r="F899" i="15"/>
  <c r="P902" i="15"/>
  <c r="G902" i="15"/>
  <c r="M892" i="15"/>
  <c r="P892" i="15"/>
  <c r="F895" i="15"/>
  <c r="K899" i="15"/>
  <c r="L897" i="15"/>
  <c r="H893" i="15"/>
  <c r="G899" i="15"/>
  <c r="O903" i="15"/>
  <c r="K895" i="15"/>
  <c r="I900" i="15"/>
  <c r="F902" i="15"/>
  <c r="O893" i="15"/>
  <c r="O892" i="15"/>
  <c r="I901" i="15"/>
  <c r="H898" i="15"/>
  <c r="J898" i="15"/>
  <c r="J900" i="15"/>
  <c r="K897" i="15"/>
  <c r="M897" i="15"/>
  <c r="J902" i="15"/>
  <c r="O899" i="15"/>
  <c r="F898" i="15"/>
  <c r="O900" i="15"/>
  <c r="L893" i="15"/>
  <c r="M893" i="15"/>
  <c r="M894" i="15"/>
  <c r="K900" i="15"/>
  <c r="N895" i="15"/>
  <c r="I898" i="15"/>
  <c r="L900" i="15"/>
  <c r="N892" i="15"/>
  <c r="F900" i="15"/>
  <c r="N900" i="15"/>
  <c r="P903" i="15"/>
  <c r="K898" i="15"/>
  <c r="O902" i="15"/>
  <c r="O894" i="15"/>
  <c r="K901" i="15"/>
  <c r="F901" i="15"/>
  <c r="N901" i="15"/>
  <c r="L898" i="15"/>
  <c r="M895" i="15"/>
  <c r="H897" i="15"/>
  <c r="G897" i="15"/>
  <c r="I902" i="15"/>
  <c r="N902" i="15"/>
  <c r="L899" i="15"/>
  <c r="G893" i="15"/>
  <c r="O901" i="15"/>
  <c r="J899" i="15"/>
  <c r="K903" i="15"/>
  <c r="N893" i="15"/>
  <c r="P898" i="15"/>
  <c r="M901" i="15"/>
  <c r="F893" i="15"/>
  <c r="O898" i="15"/>
  <c r="L895" i="15"/>
  <c r="N894" i="15"/>
  <c r="O897" i="15"/>
  <c r="J895" i="15"/>
  <c r="P899" i="15"/>
  <c r="N897" i="15"/>
  <c r="L903" i="15"/>
  <c r="M902" i="15"/>
  <c r="L902" i="15"/>
  <c r="L894" i="15"/>
  <c r="H902" i="15"/>
  <c r="I897" i="15"/>
  <c r="N899" i="15"/>
  <c r="M899" i="15"/>
  <c r="C889" i="15"/>
  <c r="C890" i="15" s="1"/>
  <c r="C891" i="15" s="1"/>
  <c r="C892" i="15" s="1"/>
  <c r="C893" i="15" s="1"/>
  <c r="C894" i="15" s="1"/>
  <c r="C895" i="15" s="1"/>
  <c r="C896" i="15" s="1"/>
  <c r="C897" i="15" s="1"/>
  <c r="C898" i="15" s="1"/>
  <c r="C899" i="15" s="1"/>
  <c r="C900" i="15" s="1"/>
  <c r="C901" i="15" s="1"/>
  <c r="C902" i="15" s="1"/>
  <c r="C903" i="15" s="1"/>
  <c r="C904" i="15" s="1"/>
  <c r="P901" i="15"/>
  <c r="G901" i="15"/>
  <c r="P900" i="15"/>
  <c r="O895" i="15"/>
  <c r="J901" i="15"/>
  <c r="J893" i="15"/>
  <c r="H901" i="15"/>
  <c r="L892" i="15"/>
  <c r="P897" i="15"/>
  <c r="I895" i="15"/>
  <c r="G603" i="14"/>
  <c r="P603" i="14"/>
  <c r="H603" i="14"/>
  <c r="K600" i="14"/>
  <c r="F604" i="14"/>
  <c r="J599" i="14"/>
  <c r="K603" i="14"/>
  <c r="L600" i="14"/>
  <c r="I600" i="14"/>
  <c r="K602" i="14"/>
  <c r="F601" i="14"/>
  <c r="M601" i="14"/>
  <c r="F602" i="14"/>
  <c r="M599" i="14"/>
  <c r="S600" i="14"/>
  <c r="M603" i="14"/>
  <c r="L605" i="14"/>
  <c r="M604" i="14"/>
  <c r="U603" i="14"/>
  <c r="O603" i="14"/>
  <c r="J604" i="14"/>
  <c r="L597" i="14"/>
  <c r="R599" i="14"/>
  <c r="M600" i="14"/>
  <c r="U599" i="14"/>
  <c r="O604" i="14"/>
  <c r="O597" i="14"/>
  <c r="C594" i="14"/>
  <c r="U601" i="14"/>
  <c r="H604" i="14"/>
  <c r="S601" i="14"/>
  <c r="H600" i="14"/>
  <c r="P604" i="14"/>
  <c r="P600" i="14"/>
  <c r="U600" i="14"/>
  <c r="I602" i="14"/>
  <c r="O602" i="14"/>
  <c r="O605" i="14"/>
  <c r="T599" i="14"/>
  <c r="R601" i="14"/>
  <c r="F603" i="14"/>
  <c r="M602" i="14"/>
  <c r="G602" i="14"/>
  <c r="U604" i="14"/>
  <c r="J603" i="14"/>
  <c r="O600" i="14"/>
  <c r="L601" i="14"/>
  <c r="K599" i="14"/>
  <c r="N602" i="14"/>
  <c r="F600" i="14"/>
  <c r="T600" i="14"/>
  <c r="K601" i="14"/>
  <c r="F599" i="14"/>
  <c r="I603" i="14"/>
  <c r="U602" i="14"/>
  <c r="K604" i="14"/>
  <c r="L602" i="14"/>
  <c r="J601" i="14"/>
  <c r="L603" i="14"/>
  <c r="L604" i="14"/>
  <c r="N600" i="14"/>
  <c r="O601" i="14"/>
  <c r="J602" i="14"/>
  <c r="N601" i="14"/>
  <c r="S604" i="14"/>
  <c r="P601" i="14"/>
  <c r="I601" i="14"/>
  <c r="N603" i="14"/>
  <c r="G599" i="14"/>
  <c r="T601" i="14"/>
  <c r="H602" i="14"/>
  <c r="G600" i="14"/>
  <c r="J600" i="14"/>
  <c r="H599" i="14"/>
  <c r="T602" i="14"/>
  <c r="G604" i="14"/>
  <c r="R600" i="14"/>
  <c r="P602" i="14"/>
  <c r="R604" i="14"/>
  <c r="S603" i="14"/>
  <c r="T604" i="14"/>
  <c r="G601" i="14"/>
  <c r="L599" i="14"/>
  <c r="R602" i="14"/>
  <c r="S599" i="14"/>
  <c r="H601" i="14"/>
  <c r="T603" i="14"/>
  <c r="N599" i="14"/>
  <c r="R603" i="14"/>
  <c r="P599" i="14"/>
  <c r="O599" i="14"/>
  <c r="S602" i="14"/>
  <c r="I604" i="14"/>
  <c r="N604" i="14"/>
  <c r="I599" i="14"/>
  <c r="O879" i="14"/>
  <c r="S881" i="14"/>
  <c r="I883" i="14"/>
  <c r="G881" i="14"/>
  <c r="R882" i="14"/>
  <c r="H880" i="14"/>
  <c r="J883" i="14"/>
  <c r="G884" i="14"/>
  <c r="L877" i="14"/>
  <c r="S883" i="14"/>
  <c r="N882" i="14"/>
  <c r="I882" i="14"/>
  <c r="L881" i="14"/>
  <c r="R880" i="14"/>
  <c r="F880" i="14"/>
  <c r="M881" i="14"/>
  <c r="T880" i="14"/>
  <c r="N880" i="14"/>
  <c r="H882" i="14"/>
  <c r="H879" i="14"/>
  <c r="J879" i="14"/>
  <c r="U880" i="14"/>
  <c r="R883" i="14"/>
  <c r="G883" i="14"/>
  <c r="O880" i="14"/>
  <c r="R884" i="14"/>
  <c r="G882" i="14"/>
  <c r="P884" i="14"/>
  <c r="F879" i="14"/>
  <c r="J880" i="14"/>
  <c r="F881" i="14"/>
  <c r="N883" i="14"/>
  <c r="K879" i="14"/>
  <c r="P880" i="14"/>
  <c r="N881" i="14"/>
  <c r="P879" i="14"/>
  <c r="S879" i="14"/>
  <c r="S884" i="14"/>
  <c r="T883" i="14"/>
  <c r="O885" i="14"/>
  <c r="M884" i="14"/>
  <c r="N879" i="14"/>
  <c r="O882" i="14"/>
  <c r="U882" i="14"/>
  <c r="H883" i="14"/>
  <c r="G879" i="14"/>
  <c r="M880" i="14"/>
  <c r="U879" i="14"/>
  <c r="K884" i="14"/>
  <c r="M882" i="14"/>
  <c r="T881" i="14"/>
  <c r="L885" i="14"/>
  <c r="U883" i="14"/>
  <c r="S882" i="14"/>
  <c r="U881" i="14"/>
  <c r="H881" i="14"/>
  <c r="J884" i="14"/>
  <c r="R879" i="14"/>
  <c r="I880" i="14"/>
  <c r="N884" i="14"/>
  <c r="L882" i="14"/>
  <c r="L879" i="14"/>
  <c r="K880" i="14"/>
  <c r="C874" i="14"/>
  <c r="K883" i="14"/>
  <c r="F884" i="14"/>
  <c r="O884" i="14"/>
  <c r="K882" i="14"/>
  <c r="G880" i="14"/>
  <c r="I884" i="14"/>
  <c r="O883" i="14"/>
  <c r="R881" i="14"/>
  <c r="K881" i="14"/>
  <c r="P882" i="14"/>
  <c r="O881" i="14"/>
  <c r="F883" i="14"/>
  <c r="S880" i="14"/>
  <c r="I881" i="14"/>
  <c r="P883" i="14"/>
  <c r="F882" i="14"/>
  <c r="L883" i="14"/>
  <c r="T879" i="14"/>
  <c r="H884" i="14"/>
  <c r="L880" i="14"/>
  <c r="P881" i="14"/>
  <c r="J882" i="14"/>
  <c r="T884" i="14"/>
  <c r="L884" i="14"/>
  <c r="U884" i="14"/>
  <c r="I879" i="14"/>
  <c r="O877" i="14"/>
  <c r="M879" i="14"/>
  <c r="J881" i="14"/>
  <c r="T882" i="14"/>
  <c r="M883" i="14"/>
  <c r="P683" i="16"/>
  <c r="N685" i="16"/>
  <c r="N688" i="16"/>
  <c r="C678" i="16"/>
  <c r="C679" i="16" s="1"/>
  <c r="C680" i="16" s="1"/>
  <c r="C681" i="16" s="1"/>
  <c r="C682" i="16" s="1"/>
  <c r="C683" i="16" s="1"/>
  <c r="C684" i="16" s="1"/>
  <c r="C685" i="16" s="1"/>
  <c r="C686" i="16" s="1"/>
  <c r="C687" i="16" s="1"/>
  <c r="C688" i="16" s="1"/>
  <c r="C689" i="16" s="1"/>
  <c r="C690" i="16" s="1"/>
  <c r="M681" i="16"/>
  <c r="M687" i="16"/>
  <c r="L684" i="16"/>
  <c r="L687" i="16"/>
  <c r="G684" i="16"/>
  <c r="J685" i="16"/>
  <c r="F686" i="16"/>
  <c r="N687" i="16"/>
  <c r="H687" i="16"/>
  <c r="G685" i="16"/>
  <c r="P681" i="16"/>
  <c r="L683" i="16"/>
  <c r="M686" i="16"/>
  <c r="I687" i="16"/>
  <c r="H685" i="16"/>
  <c r="O686" i="16"/>
  <c r="K683" i="16"/>
  <c r="M683" i="16"/>
  <c r="O687" i="16"/>
  <c r="P686" i="16"/>
  <c r="K681" i="16"/>
  <c r="H684" i="16"/>
  <c r="N681" i="16"/>
  <c r="K687" i="16"/>
  <c r="M685" i="16"/>
  <c r="L689" i="16"/>
  <c r="P685" i="16"/>
  <c r="I685" i="16"/>
  <c r="F688" i="16"/>
  <c r="I684" i="16"/>
  <c r="O684" i="16"/>
  <c r="F687" i="16"/>
  <c r="K689" i="16"/>
  <c r="K684" i="16"/>
  <c r="G687" i="16"/>
  <c r="G686" i="16"/>
  <c r="I686" i="16"/>
  <c r="M689" i="16"/>
  <c r="L685" i="16"/>
  <c r="L688" i="16"/>
  <c r="O681" i="16"/>
  <c r="I688" i="16"/>
  <c r="H686" i="16"/>
  <c r="O688" i="16"/>
  <c r="K685" i="16"/>
  <c r="F685" i="16"/>
  <c r="O689" i="16"/>
  <c r="F684" i="16"/>
  <c r="O683" i="16"/>
  <c r="H688" i="16"/>
  <c r="L681" i="16"/>
  <c r="N684" i="16"/>
  <c r="L686" i="16"/>
  <c r="P684" i="16"/>
  <c r="J686" i="16"/>
  <c r="P689" i="16"/>
  <c r="J687" i="16"/>
  <c r="N686" i="16"/>
  <c r="M684" i="16"/>
  <c r="G683" i="16"/>
  <c r="O685" i="16"/>
  <c r="N683" i="16"/>
  <c r="J688" i="16"/>
  <c r="M688" i="16"/>
  <c r="G688" i="16"/>
  <c r="K688" i="16"/>
  <c r="H683" i="16"/>
  <c r="P687" i="16"/>
  <c r="I683" i="16"/>
  <c r="N689" i="16"/>
  <c r="F683" i="16"/>
  <c r="J684" i="16"/>
  <c r="K686" i="16"/>
  <c r="J683" i="16"/>
  <c r="P688" i="16"/>
  <c r="I629" i="16"/>
  <c r="O631" i="16"/>
  <c r="O632" i="16"/>
  <c r="F630" i="16"/>
  <c r="J631" i="16"/>
  <c r="L629" i="16"/>
  <c r="O625" i="16"/>
  <c r="H630" i="16"/>
  <c r="P633" i="16"/>
  <c r="M625" i="16"/>
  <c r="J629" i="16"/>
  <c r="L632" i="16"/>
  <c r="P632" i="16"/>
  <c r="G627" i="16"/>
  <c r="P630" i="16"/>
  <c r="N631" i="16"/>
  <c r="H629" i="16"/>
  <c r="F629" i="16"/>
  <c r="L625" i="16"/>
  <c r="N632" i="16"/>
  <c r="I632" i="16"/>
  <c r="M627" i="16"/>
  <c r="K629" i="16"/>
  <c r="J627" i="16"/>
  <c r="K632" i="16"/>
  <c r="N627" i="16"/>
  <c r="G629" i="16"/>
  <c r="K628" i="16"/>
  <c r="K630" i="16"/>
  <c r="G631" i="16"/>
  <c r="O629" i="16"/>
  <c r="O630" i="16"/>
  <c r="F631" i="16"/>
  <c r="G632" i="16"/>
  <c r="P627" i="16"/>
  <c r="M628" i="16"/>
  <c r="G630" i="16"/>
  <c r="L633" i="16"/>
  <c r="K633" i="16"/>
  <c r="J630" i="16"/>
  <c r="M631" i="16"/>
  <c r="M632" i="16"/>
  <c r="F628" i="16"/>
  <c r="N629" i="16"/>
  <c r="L630" i="16"/>
  <c r="G628" i="16"/>
  <c r="H627" i="16"/>
  <c r="O633" i="16"/>
  <c r="L627" i="16"/>
  <c r="F632" i="16"/>
  <c r="P631" i="16"/>
  <c r="M630" i="16"/>
  <c r="I627" i="16"/>
  <c r="N630" i="16"/>
  <c r="P629" i="16"/>
  <c r="C622" i="16"/>
  <c r="C623" i="16" s="1"/>
  <c r="C624" i="16" s="1"/>
  <c r="C625" i="16" s="1"/>
  <c r="C626" i="16" s="1"/>
  <c r="C627" i="16" s="1"/>
  <c r="C628" i="16" s="1"/>
  <c r="C629" i="16" s="1"/>
  <c r="C630" i="16" s="1"/>
  <c r="C631" i="16" s="1"/>
  <c r="C632" i="16" s="1"/>
  <c r="C633" i="16" s="1"/>
  <c r="C634" i="16" s="1"/>
  <c r="N625" i="16"/>
  <c r="P625" i="16"/>
  <c r="J632" i="16"/>
  <c r="O627" i="16"/>
  <c r="O628" i="16"/>
  <c r="I628" i="16"/>
  <c r="H631" i="16"/>
  <c r="K631" i="16"/>
  <c r="N628" i="16"/>
  <c r="F627" i="16"/>
  <c r="L631" i="16"/>
  <c r="M633" i="16"/>
  <c r="H628" i="16"/>
  <c r="H632" i="16"/>
  <c r="N633" i="16"/>
  <c r="K627" i="16"/>
  <c r="L628" i="16"/>
  <c r="K625" i="16"/>
  <c r="P628" i="16"/>
  <c r="J628" i="16"/>
  <c r="I631" i="16"/>
  <c r="M629" i="16"/>
  <c r="I630" i="16"/>
  <c r="G587" i="14"/>
  <c r="T585" i="14"/>
  <c r="L585" i="14"/>
  <c r="H590" i="14"/>
  <c r="F589" i="14"/>
  <c r="R586" i="14"/>
  <c r="U585" i="14"/>
  <c r="C580" i="14"/>
  <c r="R587" i="14"/>
  <c r="S585" i="14"/>
  <c r="O587" i="14"/>
  <c r="O589" i="14"/>
  <c r="F585" i="14"/>
  <c r="P590" i="14"/>
  <c r="P586" i="14"/>
  <c r="U586" i="14"/>
  <c r="L590" i="14"/>
  <c r="P589" i="14"/>
  <c r="S586" i="14"/>
  <c r="S587" i="14"/>
  <c r="K588" i="14"/>
  <c r="T586" i="14"/>
  <c r="R588" i="14"/>
  <c r="T587" i="14"/>
  <c r="P585" i="14"/>
  <c r="J590" i="14"/>
  <c r="O586" i="14"/>
  <c r="S588" i="14"/>
  <c r="T588" i="14"/>
  <c r="P587" i="14"/>
  <c r="G585" i="14"/>
  <c r="O591" i="14"/>
  <c r="R590" i="14"/>
  <c r="F586" i="14"/>
  <c r="L586" i="14"/>
  <c r="P588" i="14"/>
  <c r="I587" i="14"/>
  <c r="G589" i="14"/>
  <c r="M586" i="14"/>
  <c r="L588" i="14"/>
  <c r="U590" i="14"/>
  <c r="H586" i="14"/>
  <c r="F588" i="14"/>
  <c r="I590" i="14"/>
  <c r="L589" i="14"/>
  <c r="M589" i="14"/>
  <c r="T590" i="14"/>
  <c r="N586" i="14"/>
  <c r="M585" i="14"/>
  <c r="U589" i="14"/>
  <c r="J588" i="14"/>
  <c r="J589" i="14"/>
  <c r="J585" i="14"/>
  <c r="N588" i="14"/>
  <c r="O588" i="14"/>
  <c r="H587" i="14"/>
  <c r="K589" i="14"/>
  <c r="M588" i="14"/>
  <c r="I588" i="14"/>
  <c r="H589" i="14"/>
  <c r="K586" i="14"/>
  <c r="U588" i="14"/>
  <c r="M590" i="14"/>
  <c r="F590" i="14"/>
  <c r="H585" i="14"/>
  <c r="T589" i="14"/>
  <c r="F587" i="14"/>
  <c r="K587" i="14"/>
  <c r="G590" i="14"/>
  <c r="R585" i="14"/>
  <c r="O583" i="14"/>
  <c r="O585" i="14"/>
  <c r="R589" i="14"/>
  <c r="O590" i="14"/>
  <c r="L591" i="14"/>
  <c r="L587" i="14"/>
  <c r="S589" i="14"/>
  <c r="I585" i="14"/>
  <c r="N587" i="14"/>
  <c r="M587" i="14"/>
  <c r="S590" i="14"/>
  <c r="G588" i="14"/>
  <c r="L583" i="14"/>
  <c r="J586" i="14"/>
  <c r="K590" i="14"/>
  <c r="I586" i="14"/>
  <c r="K585" i="14"/>
  <c r="U587" i="14"/>
  <c r="N589" i="14"/>
  <c r="J587" i="14"/>
  <c r="N585" i="14"/>
  <c r="G586" i="14"/>
  <c r="I589" i="14"/>
  <c r="N590" i="14"/>
  <c r="H588" i="14"/>
  <c r="K572" i="15"/>
  <c r="P572" i="15"/>
  <c r="I570" i="15"/>
  <c r="L572" i="15"/>
  <c r="P569" i="15"/>
  <c r="K575" i="15"/>
  <c r="M576" i="15"/>
  <c r="I578" i="15"/>
  <c r="I575" i="15"/>
  <c r="M571" i="15"/>
  <c r="J577" i="15"/>
  <c r="G577" i="15"/>
  <c r="F577" i="15"/>
  <c r="M574" i="15"/>
  <c r="L578" i="15"/>
  <c r="F570" i="15"/>
  <c r="K580" i="15"/>
  <c r="N572" i="15"/>
  <c r="C566" i="15"/>
  <c r="C567" i="15" s="1"/>
  <c r="C568" i="15" s="1"/>
  <c r="C569" i="15" s="1"/>
  <c r="C570" i="15" s="1"/>
  <c r="C571" i="15" s="1"/>
  <c r="C572" i="15" s="1"/>
  <c r="C573" i="15" s="1"/>
  <c r="C574" i="15" s="1"/>
  <c r="C575" i="15" s="1"/>
  <c r="C576" i="15" s="1"/>
  <c r="C577" i="15" s="1"/>
  <c r="C578" i="15" s="1"/>
  <c r="C579" i="15" s="1"/>
  <c r="C580" i="15" s="1"/>
  <c r="C581" i="15" s="1"/>
  <c r="K579" i="15"/>
  <c r="P580" i="15"/>
  <c r="N570" i="15"/>
  <c r="M569" i="15"/>
  <c r="O570" i="15"/>
  <c r="L577" i="15"/>
  <c r="J576" i="15"/>
  <c r="H578" i="15"/>
  <c r="M575" i="15"/>
  <c r="I577" i="15"/>
  <c r="K578" i="15"/>
  <c r="N580" i="15"/>
  <c r="H577" i="15"/>
  <c r="N577" i="15"/>
  <c r="P574" i="15"/>
  <c r="J570" i="15"/>
  <c r="I576" i="15"/>
  <c r="I574" i="15"/>
  <c r="L569" i="15"/>
  <c r="L580" i="15"/>
  <c r="K570" i="15"/>
  <c r="N578" i="15"/>
  <c r="F575" i="15"/>
  <c r="M579" i="15"/>
  <c r="G574" i="15"/>
  <c r="G578" i="15"/>
  <c r="L570" i="15"/>
  <c r="K577" i="15"/>
  <c r="O572" i="15"/>
  <c r="K571" i="15"/>
  <c r="H570" i="15"/>
  <c r="K574" i="15"/>
  <c r="H576" i="15"/>
  <c r="O577" i="15"/>
  <c r="H579" i="15"/>
  <c r="G575" i="15"/>
  <c r="L575" i="15"/>
  <c r="L571" i="15"/>
  <c r="J578" i="15"/>
  <c r="L579" i="15"/>
  <c r="I572" i="15"/>
  <c r="P570" i="15"/>
  <c r="N579" i="15"/>
  <c r="F579" i="15"/>
  <c r="M570" i="15"/>
  <c r="O571" i="15"/>
  <c r="J574" i="15"/>
  <c r="L574" i="15"/>
  <c r="H574" i="15"/>
  <c r="O576" i="15"/>
  <c r="F576" i="15"/>
  <c r="F574" i="15"/>
  <c r="P579" i="15"/>
  <c r="L576" i="15"/>
  <c r="F572" i="15"/>
  <c r="N575" i="15"/>
  <c r="G570" i="15"/>
  <c r="O578" i="15"/>
  <c r="N569" i="15"/>
  <c r="K569" i="15"/>
  <c r="P578" i="15"/>
  <c r="J575" i="15"/>
  <c r="O575" i="15"/>
  <c r="O579" i="15"/>
  <c r="G576" i="15"/>
  <c r="N576" i="15"/>
  <c r="N571" i="15"/>
  <c r="P575" i="15"/>
  <c r="O580" i="15"/>
  <c r="H572" i="15"/>
  <c r="J572" i="15"/>
  <c r="O569" i="15"/>
  <c r="H575" i="15"/>
  <c r="I579" i="15"/>
  <c r="G579" i="15"/>
  <c r="M572" i="15"/>
  <c r="M580" i="15"/>
  <c r="G572" i="15"/>
  <c r="P577" i="15"/>
  <c r="M577" i="15"/>
  <c r="F578" i="15"/>
  <c r="P576" i="15"/>
  <c r="J579" i="15"/>
  <c r="K576" i="15"/>
  <c r="P571" i="15"/>
  <c r="O574" i="15"/>
  <c r="M578" i="15"/>
  <c r="N574" i="15"/>
  <c r="I558" i="11"/>
  <c r="M558" i="11"/>
  <c r="K557" i="11"/>
  <c r="H557" i="11"/>
  <c r="P558" i="11"/>
  <c r="O558" i="11"/>
  <c r="K558" i="11"/>
  <c r="F558" i="11"/>
  <c r="R557" i="11"/>
  <c r="T558" i="11"/>
  <c r="G557" i="11"/>
  <c r="C553" i="11"/>
  <c r="C554" i="11" s="1"/>
  <c r="C555" i="11" s="1"/>
  <c r="C556" i="11" s="1"/>
  <c r="C557" i="11" s="1"/>
  <c r="C558" i="11" s="1"/>
  <c r="C559" i="11" s="1"/>
  <c r="C560" i="11" s="1"/>
  <c r="J557" i="11"/>
  <c r="G559" i="11"/>
  <c r="O557" i="11"/>
  <c r="T557" i="11"/>
  <c r="G558" i="11"/>
  <c r="Q559" i="11"/>
  <c r="K559" i="11"/>
  <c r="K560" i="11" s="1"/>
  <c r="P557" i="11"/>
  <c r="Q558" i="11"/>
  <c r="H558" i="11"/>
  <c r="J558" i="11"/>
  <c r="R558" i="11"/>
  <c r="L558" i="11"/>
  <c r="F557" i="11"/>
  <c r="Q557" i="11"/>
  <c r="T559" i="11"/>
  <c r="F559" i="11"/>
  <c r="S558" i="11"/>
  <c r="I559" i="11"/>
  <c r="C552" i="11"/>
  <c r="I557" i="11"/>
  <c r="P559" i="11"/>
  <c r="N558" i="11"/>
  <c r="J559" i="11"/>
  <c r="H559" i="11"/>
  <c r="S559" i="11"/>
  <c r="S557" i="11"/>
  <c r="O559" i="11"/>
  <c r="R559" i="11"/>
  <c r="C532" i="11"/>
  <c r="P539" i="11"/>
  <c r="J539" i="11"/>
  <c r="G537" i="11"/>
  <c r="T538" i="11"/>
  <c r="O537" i="11"/>
  <c r="C533" i="11"/>
  <c r="C534" i="11" s="1"/>
  <c r="C535" i="11" s="1"/>
  <c r="C536" i="11" s="1"/>
  <c r="C537" i="11" s="1"/>
  <c r="C538" i="11" s="1"/>
  <c r="C539" i="11" s="1"/>
  <c r="C540" i="11" s="1"/>
  <c r="Q538" i="11"/>
  <c r="P537" i="11"/>
  <c r="H539" i="11"/>
  <c r="K538" i="11"/>
  <c r="O538" i="11"/>
  <c r="I537" i="11"/>
  <c r="S537" i="11"/>
  <c r="P538" i="11"/>
  <c r="L538" i="11"/>
  <c r="K539" i="11"/>
  <c r="H538" i="11"/>
  <c r="Q539" i="11"/>
  <c r="T539" i="11"/>
  <c r="S538" i="11"/>
  <c r="G539" i="11"/>
  <c r="R539" i="11"/>
  <c r="F537" i="11"/>
  <c r="F538" i="11"/>
  <c r="F539" i="11"/>
  <c r="O539" i="11"/>
  <c r="S539" i="11"/>
  <c r="R538" i="11"/>
  <c r="J538" i="11"/>
  <c r="N538" i="11"/>
  <c r="J537" i="11"/>
  <c r="H537" i="11"/>
  <c r="M538" i="11"/>
  <c r="Q537" i="11"/>
  <c r="K537" i="11"/>
  <c r="G538" i="11"/>
  <c r="I538" i="11"/>
  <c r="T537" i="11"/>
  <c r="I539" i="11"/>
  <c r="R537" i="11"/>
  <c r="I640" i="11"/>
  <c r="H638" i="11"/>
  <c r="M639" i="11"/>
  <c r="C633" i="11"/>
  <c r="T639" i="11"/>
  <c r="L639" i="11"/>
  <c r="S639" i="11"/>
  <c r="R640" i="11"/>
  <c r="J640" i="11"/>
  <c r="F640" i="11"/>
  <c r="J639" i="11"/>
  <c r="Q638" i="11"/>
  <c r="H640" i="11"/>
  <c r="H639" i="11"/>
  <c r="S640" i="11"/>
  <c r="P639" i="11"/>
  <c r="G639" i="11"/>
  <c r="P640" i="11"/>
  <c r="T638" i="11"/>
  <c r="T641" i="11" s="1"/>
  <c r="S638" i="11"/>
  <c r="Q640" i="11"/>
  <c r="G638" i="11"/>
  <c r="I639" i="11"/>
  <c r="F638" i="11"/>
  <c r="O639" i="11"/>
  <c r="R639" i="11"/>
  <c r="P638" i="11"/>
  <c r="P641" i="11" s="1"/>
  <c r="J638" i="11"/>
  <c r="R638" i="11"/>
  <c r="I638" i="11"/>
  <c r="C634" i="11"/>
  <c r="C635" i="11" s="1"/>
  <c r="C636" i="11" s="1"/>
  <c r="C637" i="11" s="1"/>
  <c r="C638" i="11" s="1"/>
  <c r="C639" i="11" s="1"/>
  <c r="C640" i="11" s="1"/>
  <c r="C641" i="11" s="1"/>
  <c r="K638" i="11"/>
  <c r="G640" i="11"/>
  <c r="N639" i="11"/>
  <c r="T640" i="11"/>
  <c r="Q639" i="11"/>
  <c r="F639" i="11"/>
  <c r="K639" i="11"/>
  <c r="O640" i="11"/>
  <c r="K640" i="11"/>
  <c r="O638" i="11"/>
  <c r="Q236" i="11"/>
  <c r="H235" i="11"/>
  <c r="P235" i="11"/>
  <c r="I237" i="11"/>
  <c r="H236" i="11"/>
  <c r="J237" i="11"/>
  <c r="R235" i="11"/>
  <c r="G236" i="11"/>
  <c r="O237" i="11"/>
  <c r="F235" i="11"/>
  <c r="G237" i="11"/>
  <c r="F237" i="11"/>
  <c r="T236" i="11"/>
  <c r="J236" i="11"/>
  <c r="K235" i="11"/>
  <c r="H237" i="11"/>
  <c r="R236" i="11"/>
  <c r="M236" i="11"/>
  <c r="J235" i="11"/>
  <c r="K237" i="11"/>
  <c r="C230" i="11"/>
  <c r="C231" i="11"/>
  <c r="C232" i="11" s="1"/>
  <c r="C233" i="11" s="1"/>
  <c r="C234" i="11" s="1"/>
  <c r="C235" i="11" s="1"/>
  <c r="C236" i="11" s="1"/>
  <c r="C237" i="11" s="1"/>
  <c r="C238" i="11" s="1"/>
  <c r="F236" i="11"/>
  <c r="S236" i="11"/>
  <c r="Q237" i="11"/>
  <c r="O236" i="11"/>
  <c r="S235" i="11"/>
  <c r="Q235" i="11"/>
  <c r="Q238" i="11" s="1"/>
  <c r="S237" i="11"/>
  <c r="T237" i="11"/>
  <c r="N236" i="11"/>
  <c r="K236" i="11"/>
  <c r="G235" i="11"/>
  <c r="P236" i="11"/>
  <c r="I235" i="11"/>
  <c r="I236" i="11"/>
  <c r="T235" i="11"/>
  <c r="T238" i="11" s="1"/>
  <c r="P237" i="11"/>
  <c r="R237" i="11"/>
  <c r="L236" i="11"/>
  <c r="O235" i="11"/>
  <c r="S730" i="14"/>
  <c r="M726" i="14"/>
  <c r="P728" i="14"/>
  <c r="O728" i="14"/>
  <c r="T727" i="14"/>
  <c r="G725" i="14"/>
  <c r="M725" i="14"/>
  <c r="H730" i="14"/>
  <c r="R728" i="14"/>
  <c r="N728" i="14"/>
  <c r="T730" i="14"/>
  <c r="L729" i="14"/>
  <c r="O729" i="14"/>
  <c r="P729" i="14"/>
  <c r="O727" i="14"/>
  <c r="U726" i="14"/>
  <c r="O723" i="14"/>
  <c r="T726" i="14"/>
  <c r="J726" i="14"/>
  <c r="U730" i="14"/>
  <c r="L730" i="14"/>
  <c r="J727" i="14"/>
  <c r="S728" i="14"/>
  <c r="O726" i="14"/>
  <c r="T725" i="14"/>
  <c r="G730" i="14"/>
  <c r="S725" i="14"/>
  <c r="G727" i="14"/>
  <c r="P725" i="14"/>
  <c r="I725" i="14"/>
  <c r="L726" i="14"/>
  <c r="K727" i="14"/>
  <c r="K730" i="14"/>
  <c r="P726" i="14"/>
  <c r="H726" i="14"/>
  <c r="I727" i="14"/>
  <c r="L731" i="14"/>
  <c r="I730" i="14"/>
  <c r="O731" i="14"/>
  <c r="F726" i="14"/>
  <c r="I729" i="14"/>
  <c r="K728" i="14"/>
  <c r="R726" i="14"/>
  <c r="P727" i="14"/>
  <c r="M729" i="14"/>
  <c r="J729" i="14"/>
  <c r="N726" i="14"/>
  <c r="H729" i="14"/>
  <c r="S726" i="14"/>
  <c r="F727" i="14"/>
  <c r="G728" i="14"/>
  <c r="L728" i="14"/>
  <c r="O725" i="14"/>
  <c r="I728" i="14"/>
  <c r="H728" i="14"/>
  <c r="K725" i="14"/>
  <c r="S727" i="14"/>
  <c r="F729" i="14"/>
  <c r="F730" i="14"/>
  <c r="K726" i="14"/>
  <c r="M728" i="14"/>
  <c r="F725" i="14"/>
  <c r="T728" i="14"/>
  <c r="N727" i="14"/>
  <c r="J728" i="14"/>
  <c r="U728" i="14"/>
  <c r="G726" i="14"/>
  <c r="P730" i="14"/>
  <c r="J725" i="14"/>
  <c r="N730" i="14"/>
  <c r="H727" i="14"/>
  <c r="U725" i="14"/>
  <c r="G729" i="14"/>
  <c r="R730" i="14"/>
  <c r="F728" i="14"/>
  <c r="M730" i="14"/>
  <c r="N729" i="14"/>
  <c r="I726" i="14"/>
  <c r="L727" i="14"/>
  <c r="N725" i="14"/>
  <c r="U727" i="14"/>
  <c r="R727" i="14"/>
  <c r="U729" i="14"/>
  <c r="H725" i="14"/>
  <c r="T729" i="14"/>
  <c r="S729" i="14"/>
  <c r="O730" i="14"/>
  <c r="L725" i="14"/>
  <c r="M727" i="14"/>
  <c r="L723" i="14"/>
  <c r="K729" i="14"/>
  <c r="R729" i="14"/>
  <c r="J730" i="14"/>
  <c r="R725" i="14"/>
  <c r="C720" i="14"/>
  <c r="I800" i="14"/>
  <c r="L800" i="14"/>
  <c r="N798" i="14"/>
  <c r="P797" i="14"/>
  <c r="G795" i="14"/>
  <c r="R799" i="14"/>
  <c r="G800" i="14"/>
  <c r="R800" i="14"/>
  <c r="U797" i="14"/>
  <c r="N797" i="14"/>
  <c r="I795" i="14"/>
  <c r="O801" i="14"/>
  <c r="T798" i="14"/>
  <c r="O798" i="14"/>
  <c r="F798" i="14"/>
  <c r="N800" i="14"/>
  <c r="J796" i="14"/>
  <c r="L793" i="14"/>
  <c r="K797" i="14"/>
  <c r="M795" i="14"/>
  <c r="O793" i="14"/>
  <c r="F796" i="14"/>
  <c r="K798" i="14"/>
  <c r="R796" i="14"/>
  <c r="H798" i="14"/>
  <c r="N795" i="14"/>
  <c r="M797" i="14"/>
  <c r="L796" i="14"/>
  <c r="U796" i="14"/>
  <c r="T795" i="14"/>
  <c r="M800" i="14"/>
  <c r="L797" i="14"/>
  <c r="O797" i="14"/>
  <c r="H800" i="14"/>
  <c r="M798" i="14"/>
  <c r="R798" i="14"/>
  <c r="P800" i="14"/>
  <c r="N799" i="14"/>
  <c r="H799" i="14"/>
  <c r="K796" i="14"/>
  <c r="F799" i="14"/>
  <c r="T799" i="14"/>
  <c r="G796" i="14"/>
  <c r="S797" i="14"/>
  <c r="F800" i="14"/>
  <c r="K799" i="14"/>
  <c r="R797" i="14"/>
  <c r="H795" i="14"/>
  <c r="L801" i="14"/>
  <c r="P799" i="14"/>
  <c r="F797" i="14"/>
  <c r="O796" i="14"/>
  <c r="J797" i="14"/>
  <c r="C790" i="14"/>
  <c r="L798" i="14"/>
  <c r="S800" i="14"/>
  <c r="M799" i="14"/>
  <c r="J800" i="14"/>
  <c r="L795" i="14"/>
  <c r="K800" i="14"/>
  <c r="O800" i="14"/>
  <c r="U800" i="14"/>
  <c r="J795" i="14"/>
  <c r="M796" i="14"/>
  <c r="O799" i="14"/>
  <c r="U798" i="14"/>
  <c r="I798" i="14"/>
  <c r="K795" i="14"/>
  <c r="L799" i="14"/>
  <c r="S796" i="14"/>
  <c r="P795" i="14"/>
  <c r="I796" i="14"/>
  <c r="G799" i="14"/>
  <c r="H796" i="14"/>
  <c r="O795" i="14"/>
  <c r="G797" i="14"/>
  <c r="U799" i="14"/>
  <c r="G798" i="14"/>
  <c r="S798" i="14"/>
  <c r="I797" i="14"/>
  <c r="T797" i="14"/>
  <c r="S795" i="14"/>
  <c r="P796" i="14"/>
  <c r="N796" i="14"/>
  <c r="H797" i="14"/>
  <c r="J798" i="14"/>
  <c r="J799" i="14"/>
  <c r="F795" i="14"/>
  <c r="U795" i="14"/>
  <c r="T796" i="14"/>
  <c r="R795" i="14"/>
  <c r="P798" i="14"/>
  <c r="T800" i="14"/>
  <c r="I799" i="14"/>
  <c r="S799" i="14"/>
  <c r="M740" i="15"/>
  <c r="O741" i="15"/>
  <c r="F742" i="15"/>
  <c r="K750" i="15"/>
  <c r="M747" i="15"/>
  <c r="K740" i="15"/>
  <c r="G744" i="15"/>
  <c r="J746" i="15"/>
  <c r="P744" i="15"/>
  <c r="N740" i="15"/>
  <c r="O750" i="15"/>
  <c r="F748" i="15"/>
  <c r="I747" i="15"/>
  <c r="F747" i="15"/>
  <c r="L750" i="15"/>
  <c r="L740" i="15"/>
  <c r="O740" i="15"/>
  <c r="K744" i="15"/>
  <c r="N742" i="15"/>
  <c r="P742" i="15"/>
  <c r="G742" i="15"/>
  <c r="K747" i="15"/>
  <c r="N750" i="15"/>
  <c r="M742" i="15"/>
  <c r="I746" i="15"/>
  <c r="F744" i="15"/>
  <c r="L744" i="15"/>
  <c r="L749" i="15"/>
  <c r="O747" i="15"/>
  <c r="G749" i="15"/>
  <c r="H744" i="15"/>
  <c r="I740" i="15"/>
  <c r="P747" i="15"/>
  <c r="M741" i="15"/>
  <c r="N745" i="15"/>
  <c r="M745" i="15"/>
  <c r="P739" i="15"/>
  <c r="P750" i="15"/>
  <c r="H748" i="15"/>
  <c r="N747" i="15"/>
  <c r="K745" i="15"/>
  <c r="N746" i="15"/>
  <c r="M748" i="15"/>
  <c r="G745" i="15"/>
  <c r="N749" i="15"/>
  <c r="M750" i="15"/>
  <c r="H747" i="15"/>
  <c r="M744" i="15"/>
  <c r="G748" i="15"/>
  <c r="I744" i="15"/>
  <c r="N748" i="15"/>
  <c r="H746" i="15"/>
  <c r="I748" i="15"/>
  <c r="O742" i="15"/>
  <c r="P746" i="15"/>
  <c r="F746" i="15"/>
  <c r="N739" i="15"/>
  <c r="N741" i="15"/>
  <c r="L746" i="15"/>
  <c r="H749" i="15"/>
  <c r="J745" i="15"/>
  <c r="K748" i="15"/>
  <c r="O746" i="15"/>
  <c r="L742" i="15"/>
  <c r="I745" i="15"/>
  <c r="J748" i="15"/>
  <c r="J740" i="15"/>
  <c r="O744" i="15"/>
  <c r="F749" i="15"/>
  <c r="J742" i="15"/>
  <c r="O739" i="15"/>
  <c r="P745" i="15"/>
  <c r="L748" i="15"/>
  <c r="G746" i="15"/>
  <c r="G740" i="15"/>
  <c r="H742" i="15"/>
  <c r="I749" i="15"/>
  <c r="K749" i="15"/>
  <c r="H740" i="15"/>
  <c r="L745" i="15"/>
  <c r="J749" i="15"/>
  <c r="F740" i="15"/>
  <c r="K746" i="15"/>
  <c r="K741" i="15"/>
  <c r="C736" i="15"/>
  <c r="C737" i="15" s="1"/>
  <c r="C738" i="15" s="1"/>
  <c r="C739" i="15" s="1"/>
  <c r="C740" i="15" s="1"/>
  <c r="C741" i="15" s="1"/>
  <c r="C742" i="15" s="1"/>
  <c r="C743" i="15" s="1"/>
  <c r="C744" i="15" s="1"/>
  <c r="C745" i="15" s="1"/>
  <c r="C746" i="15" s="1"/>
  <c r="C747" i="15" s="1"/>
  <c r="C748" i="15" s="1"/>
  <c r="C749" i="15" s="1"/>
  <c r="C750" i="15" s="1"/>
  <c r="C751" i="15" s="1"/>
  <c r="M749" i="15"/>
  <c r="K742" i="15"/>
  <c r="O748" i="15"/>
  <c r="L741" i="15"/>
  <c r="O749" i="15"/>
  <c r="P749" i="15"/>
  <c r="M746" i="15"/>
  <c r="F745" i="15"/>
  <c r="I742" i="15"/>
  <c r="P748" i="15"/>
  <c r="J744" i="15"/>
  <c r="O745" i="15"/>
  <c r="P741" i="15"/>
  <c r="J747" i="15"/>
  <c r="K739" i="15"/>
  <c r="P740" i="15"/>
  <c r="N744" i="15"/>
  <c r="M739" i="15"/>
  <c r="H745" i="15"/>
  <c r="G747" i="15"/>
  <c r="L747" i="15"/>
  <c r="L739" i="15"/>
  <c r="K587" i="16"/>
  <c r="L587" i="16"/>
  <c r="F588" i="16"/>
  <c r="M586" i="16"/>
  <c r="P589" i="16"/>
  <c r="H590" i="16"/>
  <c r="M589" i="16"/>
  <c r="L586" i="16"/>
  <c r="J585" i="16"/>
  <c r="I585" i="16"/>
  <c r="P591" i="16"/>
  <c r="P585" i="16"/>
  <c r="J587" i="16"/>
  <c r="O586" i="16"/>
  <c r="M591" i="16"/>
  <c r="F590" i="16"/>
  <c r="I589" i="16"/>
  <c r="N586" i="16"/>
  <c r="K589" i="16"/>
  <c r="H588" i="16"/>
  <c r="N591" i="16"/>
  <c r="K583" i="16"/>
  <c r="G586" i="16"/>
  <c r="L588" i="16"/>
  <c r="L590" i="16"/>
  <c r="F585" i="16"/>
  <c r="G590" i="16"/>
  <c r="P586" i="16"/>
  <c r="P588" i="16"/>
  <c r="H585" i="16"/>
  <c r="H589" i="16"/>
  <c r="O588" i="16"/>
  <c r="K585" i="16"/>
  <c r="J589" i="16"/>
  <c r="N590" i="16"/>
  <c r="M590" i="16"/>
  <c r="J590" i="16"/>
  <c r="K588" i="16"/>
  <c r="O590" i="16"/>
  <c r="J586" i="16"/>
  <c r="O589" i="16"/>
  <c r="K590" i="16"/>
  <c r="G588" i="16"/>
  <c r="P590" i="16"/>
  <c r="O587" i="16"/>
  <c r="M583" i="16"/>
  <c r="I588" i="16"/>
  <c r="L585" i="16"/>
  <c r="O591" i="16"/>
  <c r="G585" i="16"/>
  <c r="K591" i="16"/>
  <c r="N583" i="16"/>
  <c r="H587" i="16"/>
  <c r="F589" i="16"/>
  <c r="L591" i="16"/>
  <c r="I586" i="16"/>
  <c r="N585" i="16"/>
  <c r="N587" i="16"/>
  <c r="G589" i="16"/>
  <c r="G587" i="16"/>
  <c r="L583" i="16"/>
  <c r="M585" i="16"/>
  <c r="F587" i="16"/>
  <c r="L589" i="16"/>
  <c r="P583" i="16"/>
  <c r="F586" i="16"/>
  <c r="P587" i="16"/>
  <c r="N588" i="16"/>
  <c r="I587" i="16"/>
  <c r="O583" i="16"/>
  <c r="K586" i="16"/>
  <c r="C580" i="16"/>
  <c r="C581" i="16" s="1"/>
  <c r="C582" i="16" s="1"/>
  <c r="C583" i="16" s="1"/>
  <c r="C584" i="16" s="1"/>
  <c r="C585" i="16" s="1"/>
  <c r="C586" i="16" s="1"/>
  <c r="C587" i="16" s="1"/>
  <c r="C588" i="16" s="1"/>
  <c r="C589" i="16" s="1"/>
  <c r="C590" i="16" s="1"/>
  <c r="C591" i="16" s="1"/>
  <c r="C592" i="16" s="1"/>
  <c r="N589" i="16"/>
  <c r="O585" i="16"/>
  <c r="I590" i="16"/>
  <c r="H586" i="16"/>
  <c r="M588" i="16"/>
  <c r="M587" i="16"/>
  <c r="J588" i="16"/>
  <c r="G850" i="13"/>
  <c r="S847" i="13"/>
  <c r="O848" i="13"/>
  <c r="U849" i="13"/>
  <c r="O842" i="13"/>
  <c r="R849" i="13"/>
  <c r="R848" i="13"/>
  <c r="H845" i="13"/>
  <c r="K853" i="13"/>
  <c r="K852" i="13"/>
  <c r="R851" i="13"/>
  <c r="O845" i="13"/>
  <c r="U847" i="13"/>
  <c r="U850" i="13"/>
  <c r="P852" i="13"/>
  <c r="T850" i="13"/>
  <c r="H852" i="13"/>
  <c r="N852" i="13"/>
  <c r="L852" i="13"/>
  <c r="H851" i="13"/>
  <c r="F851" i="13"/>
  <c r="L848" i="13"/>
  <c r="K848" i="13"/>
  <c r="U851" i="13"/>
  <c r="K842" i="13"/>
  <c r="T843" i="13"/>
  <c r="K847" i="13"/>
  <c r="M845" i="13"/>
  <c r="G847" i="13"/>
  <c r="P849" i="13"/>
  <c r="I845" i="13"/>
  <c r="T849" i="13"/>
  <c r="P845" i="13"/>
  <c r="K850" i="13"/>
  <c r="K844" i="13"/>
  <c r="P851" i="13"/>
  <c r="M843" i="13"/>
  <c r="M852" i="13"/>
  <c r="G851" i="13"/>
  <c r="S849" i="13"/>
  <c r="L851" i="13"/>
  <c r="T847" i="13"/>
  <c r="I843" i="13"/>
  <c r="J843" i="13"/>
  <c r="I852" i="13"/>
  <c r="H849" i="13"/>
  <c r="J852" i="13"/>
  <c r="T851" i="13"/>
  <c r="J851" i="13"/>
  <c r="K845" i="13"/>
  <c r="L849" i="13"/>
  <c r="J848" i="13"/>
  <c r="O844" i="13"/>
  <c r="S851" i="13"/>
  <c r="S850" i="13"/>
  <c r="F847" i="13"/>
  <c r="M849" i="13"/>
  <c r="T848" i="13"/>
  <c r="L844" i="13"/>
  <c r="M851" i="13"/>
  <c r="S843" i="13"/>
  <c r="F848" i="13"/>
  <c r="J849" i="13"/>
  <c r="H843" i="13"/>
  <c r="J847" i="13"/>
  <c r="F845" i="13"/>
  <c r="L847" i="13"/>
  <c r="N842" i="13"/>
  <c r="H847" i="13"/>
  <c r="N849" i="13"/>
  <c r="S852" i="13"/>
  <c r="M847" i="13"/>
  <c r="G849" i="13"/>
  <c r="L853" i="13"/>
  <c r="P848" i="13"/>
  <c r="U852" i="13"/>
  <c r="G852" i="13"/>
  <c r="R845" i="13"/>
  <c r="R847" i="13"/>
  <c r="N853" i="13"/>
  <c r="N844" i="13"/>
  <c r="C839" i="13"/>
  <c r="C840" i="13" s="1"/>
  <c r="C841" i="13" s="1"/>
  <c r="C842" i="13" s="1"/>
  <c r="C843" i="13" s="1"/>
  <c r="C844" i="13" s="1"/>
  <c r="C845" i="13" s="1"/>
  <c r="C846" i="13" s="1"/>
  <c r="C847" i="13" s="1"/>
  <c r="C848" i="13" s="1"/>
  <c r="C849" i="13" s="1"/>
  <c r="C850" i="13" s="1"/>
  <c r="C851" i="13" s="1"/>
  <c r="C852" i="13" s="1"/>
  <c r="C853" i="13" s="1"/>
  <c r="C854" i="13" s="1"/>
  <c r="M850" i="13"/>
  <c r="S845" i="13"/>
  <c r="J850" i="13"/>
  <c r="L842" i="13"/>
  <c r="G843" i="13"/>
  <c r="F852" i="13"/>
  <c r="M848" i="13"/>
  <c r="L843" i="13"/>
  <c r="I848" i="13"/>
  <c r="N848" i="13"/>
  <c r="H850" i="13"/>
  <c r="O850" i="13"/>
  <c r="R852" i="13"/>
  <c r="N847" i="13"/>
  <c r="N851" i="13"/>
  <c r="F850" i="13"/>
  <c r="O853" i="13"/>
  <c r="P850" i="13"/>
  <c r="I850" i="13"/>
  <c r="P847" i="13"/>
  <c r="U848" i="13"/>
  <c r="U843" i="13"/>
  <c r="O851" i="13"/>
  <c r="K849" i="13"/>
  <c r="I849" i="13"/>
  <c r="I851" i="13"/>
  <c r="F843" i="13"/>
  <c r="N843" i="13"/>
  <c r="H848" i="13"/>
  <c r="K851" i="13"/>
  <c r="L850" i="13"/>
  <c r="I847" i="13"/>
  <c r="K843" i="13"/>
  <c r="S848" i="13"/>
  <c r="O847" i="13"/>
  <c r="O852" i="13"/>
  <c r="U845" i="13"/>
  <c r="T852" i="13"/>
  <c r="G848" i="13"/>
  <c r="N845" i="13"/>
  <c r="F849" i="13"/>
  <c r="T845" i="13"/>
  <c r="L845" i="13"/>
  <c r="O849" i="13"/>
  <c r="N850" i="13"/>
  <c r="R850" i="13"/>
  <c r="R843" i="13"/>
  <c r="O843" i="13"/>
  <c r="G845" i="13"/>
  <c r="P843" i="13"/>
  <c r="J845" i="13"/>
  <c r="M133" i="13"/>
  <c r="N134" i="13"/>
  <c r="K129" i="13"/>
  <c r="N136" i="13"/>
  <c r="L134" i="13"/>
  <c r="P135" i="13"/>
  <c r="M131" i="13"/>
  <c r="P134" i="13"/>
  <c r="N129" i="13"/>
  <c r="N139" i="13"/>
  <c r="N137" i="13"/>
  <c r="P133" i="13"/>
  <c r="N131" i="13"/>
  <c r="L133" i="13"/>
  <c r="O128" i="13"/>
  <c r="O135" i="13"/>
  <c r="O130" i="13"/>
  <c r="K136" i="13"/>
  <c r="K131" i="13"/>
  <c r="P138" i="13"/>
  <c r="M135" i="13"/>
  <c r="M137" i="13"/>
  <c r="O136" i="13"/>
  <c r="O138" i="13"/>
  <c r="P136" i="13"/>
  <c r="L139" i="13"/>
  <c r="K130" i="13"/>
  <c r="L130" i="13"/>
  <c r="L129" i="13"/>
  <c r="P137" i="13"/>
  <c r="O139" i="13"/>
  <c r="L131" i="13"/>
  <c r="L136" i="13"/>
  <c r="N138" i="13"/>
  <c r="N130" i="13"/>
  <c r="K137" i="13"/>
  <c r="N128" i="13"/>
  <c r="N133" i="13"/>
  <c r="K138" i="13"/>
  <c r="K134" i="13"/>
  <c r="L138" i="13"/>
  <c r="O129" i="13"/>
  <c r="P129" i="13"/>
  <c r="K128" i="13"/>
  <c r="L128" i="13"/>
  <c r="K139" i="13"/>
  <c r="L135" i="13"/>
  <c r="M134" i="13"/>
  <c r="O134" i="13"/>
  <c r="M136" i="13"/>
  <c r="L137" i="13"/>
  <c r="N135" i="13"/>
  <c r="M129" i="13"/>
  <c r="C125" i="13"/>
  <c r="C126" i="13" s="1"/>
  <c r="C127" i="13" s="1"/>
  <c r="C128" i="13" s="1"/>
  <c r="C129" i="13" s="1"/>
  <c r="C130" i="13" s="1"/>
  <c r="C131" i="13" s="1"/>
  <c r="C132" i="13" s="1"/>
  <c r="C133" i="13" s="1"/>
  <c r="C134" i="13" s="1"/>
  <c r="C135" i="13" s="1"/>
  <c r="C136" i="13" s="1"/>
  <c r="C137" i="13" s="1"/>
  <c r="C138" i="13" s="1"/>
  <c r="C139" i="13" s="1"/>
  <c r="C140" i="13" s="1"/>
  <c r="O133" i="13"/>
  <c r="O137" i="13"/>
  <c r="P131" i="13"/>
  <c r="M138" i="13"/>
  <c r="O131" i="13"/>
  <c r="K133" i="13"/>
  <c r="K135" i="13"/>
  <c r="M655" i="14"/>
  <c r="I656" i="14"/>
  <c r="R656" i="14"/>
  <c r="T659" i="14"/>
  <c r="M660" i="14"/>
  <c r="F657" i="14"/>
  <c r="O655" i="14"/>
  <c r="O656" i="14"/>
  <c r="K659" i="14"/>
  <c r="L658" i="14"/>
  <c r="U656" i="14"/>
  <c r="H655" i="14"/>
  <c r="O658" i="14"/>
  <c r="L660" i="14"/>
  <c r="M656" i="14"/>
  <c r="K655" i="14"/>
  <c r="K658" i="14"/>
  <c r="U659" i="14"/>
  <c r="J656" i="14"/>
  <c r="K660" i="14"/>
  <c r="F659" i="14"/>
  <c r="H660" i="14"/>
  <c r="H659" i="14"/>
  <c r="F658" i="14"/>
  <c r="N657" i="14"/>
  <c r="O660" i="14"/>
  <c r="H656" i="14"/>
  <c r="L657" i="14"/>
  <c r="L659" i="14"/>
  <c r="I657" i="14"/>
  <c r="U658" i="14"/>
  <c r="R655" i="14"/>
  <c r="J659" i="14"/>
  <c r="L656" i="14"/>
  <c r="S656" i="14"/>
  <c r="O657" i="14"/>
  <c r="M658" i="14"/>
  <c r="F656" i="14"/>
  <c r="L655" i="14"/>
  <c r="P656" i="14"/>
  <c r="K657" i="14"/>
  <c r="P655" i="14"/>
  <c r="M657" i="14"/>
  <c r="P660" i="14"/>
  <c r="G659" i="14"/>
  <c r="G655" i="14"/>
  <c r="I659" i="14"/>
  <c r="U657" i="14"/>
  <c r="U660" i="14"/>
  <c r="N660" i="14"/>
  <c r="N658" i="14"/>
  <c r="L661" i="14"/>
  <c r="P657" i="14"/>
  <c r="T657" i="14"/>
  <c r="H658" i="14"/>
  <c r="G658" i="14"/>
  <c r="M659" i="14"/>
  <c r="K656" i="14"/>
  <c r="S660" i="14"/>
  <c r="O661" i="14"/>
  <c r="N659" i="14"/>
  <c r="R657" i="14"/>
  <c r="U655" i="14"/>
  <c r="C650" i="14"/>
  <c r="I658" i="14"/>
  <c r="S658" i="14"/>
  <c r="F655" i="14"/>
  <c r="N656" i="14"/>
  <c r="F660" i="14"/>
  <c r="G656" i="14"/>
  <c r="L653" i="14"/>
  <c r="T658" i="14"/>
  <c r="I660" i="14"/>
  <c r="R659" i="14"/>
  <c r="J657" i="14"/>
  <c r="P658" i="14"/>
  <c r="S655" i="14"/>
  <c r="G660" i="14"/>
  <c r="T656" i="14"/>
  <c r="P659" i="14"/>
  <c r="G657" i="14"/>
  <c r="N655" i="14"/>
  <c r="J655" i="14"/>
  <c r="J660" i="14"/>
  <c r="R658" i="14"/>
  <c r="S659" i="14"/>
  <c r="I655" i="14"/>
  <c r="T655" i="14"/>
  <c r="H657" i="14"/>
  <c r="S657" i="14"/>
  <c r="R660" i="14"/>
  <c r="T660" i="14"/>
  <c r="O653" i="14"/>
  <c r="O659" i="14"/>
  <c r="J658" i="14"/>
  <c r="Q408" i="11"/>
  <c r="P407" i="11"/>
  <c r="G408" i="11"/>
  <c r="H406" i="11"/>
  <c r="Q407" i="11"/>
  <c r="K408" i="11"/>
  <c r="G406" i="11"/>
  <c r="T406" i="11"/>
  <c r="M407" i="11"/>
  <c r="I408" i="11"/>
  <c r="G407" i="11"/>
  <c r="I407" i="11"/>
  <c r="S406" i="11"/>
  <c r="C402" i="11"/>
  <c r="C403" i="11" s="1"/>
  <c r="C404" i="11" s="1"/>
  <c r="C405" i="11" s="1"/>
  <c r="C406" i="11" s="1"/>
  <c r="C407" i="11" s="1"/>
  <c r="C408" i="11" s="1"/>
  <c r="C409" i="11" s="1"/>
  <c r="F406" i="11"/>
  <c r="J406" i="11"/>
  <c r="O408" i="11"/>
  <c r="Q406" i="11"/>
  <c r="Q409" i="11" s="1"/>
  <c r="K407" i="11"/>
  <c r="K406" i="11"/>
  <c r="R408" i="11"/>
  <c r="H407" i="11"/>
  <c r="C401" i="11"/>
  <c r="L407" i="11"/>
  <c r="P406" i="11"/>
  <c r="R406" i="11"/>
  <c r="S408" i="11"/>
  <c r="F407" i="11"/>
  <c r="P408" i="11"/>
  <c r="R407" i="11"/>
  <c r="T407" i="11"/>
  <c r="O406" i="11"/>
  <c r="I406" i="11"/>
  <c r="T408" i="11"/>
  <c r="J408" i="11"/>
  <c r="S407" i="11"/>
  <c r="J407" i="11"/>
  <c r="O407" i="11"/>
  <c r="N407" i="11"/>
  <c r="H408" i="11"/>
  <c r="F408" i="11"/>
  <c r="O682" i="13"/>
  <c r="K679" i="13"/>
  <c r="K673" i="13"/>
  <c r="L682" i="13"/>
  <c r="P680" i="13"/>
  <c r="U673" i="13"/>
  <c r="G679" i="13"/>
  <c r="N681" i="13"/>
  <c r="M679" i="13"/>
  <c r="L674" i="13"/>
  <c r="S679" i="13"/>
  <c r="S680" i="13"/>
  <c r="N679" i="13"/>
  <c r="N672" i="13"/>
  <c r="P677" i="13"/>
  <c r="U677" i="13"/>
  <c r="H682" i="13"/>
  <c r="J679" i="13"/>
  <c r="R680" i="13"/>
  <c r="F675" i="13"/>
  <c r="K681" i="13"/>
  <c r="J680" i="13"/>
  <c r="I681" i="13"/>
  <c r="N677" i="13"/>
  <c r="O679" i="13"/>
  <c r="K677" i="13"/>
  <c r="N678" i="13"/>
  <c r="U679" i="13"/>
  <c r="H681" i="13"/>
  <c r="L677" i="13"/>
  <c r="M673" i="13"/>
  <c r="I680" i="13"/>
  <c r="S678" i="13"/>
  <c r="I682" i="13"/>
  <c r="L680" i="13"/>
  <c r="K675" i="13"/>
  <c r="J675" i="13"/>
  <c r="F673" i="13"/>
  <c r="P681" i="13"/>
  <c r="F678" i="13"/>
  <c r="I678" i="13"/>
  <c r="M680" i="13"/>
  <c r="G682" i="13"/>
  <c r="I673" i="13"/>
  <c r="O672" i="13"/>
  <c r="O674" i="13"/>
  <c r="L672" i="13"/>
  <c r="N682" i="13"/>
  <c r="P679" i="13"/>
  <c r="U681" i="13"/>
  <c r="R673" i="13"/>
  <c r="F681" i="13"/>
  <c r="G680" i="13"/>
  <c r="R679" i="13"/>
  <c r="J681" i="13"/>
  <c r="S673" i="13"/>
  <c r="N680" i="13"/>
  <c r="K672" i="13"/>
  <c r="M682" i="13"/>
  <c r="R678" i="13"/>
  <c r="T677" i="13"/>
  <c r="G678" i="13"/>
  <c r="P678" i="13"/>
  <c r="M675" i="13"/>
  <c r="O680" i="13"/>
  <c r="L673" i="13"/>
  <c r="R675" i="13"/>
  <c r="U678" i="13"/>
  <c r="H677" i="13"/>
  <c r="T681" i="13"/>
  <c r="K682" i="13"/>
  <c r="T678" i="13"/>
  <c r="H673" i="13"/>
  <c r="P673" i="13"/>
  <c r="K683" i="13"/>
  <c r="N683" i="13"/>
  <c r="C669" i="13"/>
  <c r="C670" i="13" s="1"/>
  <c r="C671" i="13" s="1"/>
  <c r="C672" i="13" s="1"/>
  <c r="C673" i="13" s="1"/>
  <c r="C674" i="13" s="1"/>
  <c r="C675" i="13" s="1"/>
  <c r="C676" i="13" s="1"/>
  <c r="C677" i="13" s="1"/>
  <c r="C678" i="13" s="1"/>
  <c r="C679" i="13" s="1"/>
  <c r="C680" i="13" s="1"/>
  <c r="C681" i="13" s="1"/>
  <c r="C682" i="13" s="1"/>
  <c r="C683" i="13" s="1"/>
  <c r="C684" i="13" s="1"/>
  <c r="I679" i="13"/>
  <c r="T679" i="13"/>
  <c r="U682" i="13"/>
  <c r="S682" i="13"/>
  <c r="O675" i="13"/>
  <c r="H675" i="13"/>
  <c r="H679" i="13"/>
  <c r="J677" i="13"/>
  <c r="U680" i="13"/>
  <c r="M681" i="13"/>
  <c r="L679" i="13"/>
  <c r="I675" i="13"/>
  <c r="G681" i="13"/>
  <c r="S681" i="13"/>
  <c r="S677" i="13"/>
  <c r="N675" i="13"/>
  <c r="L681" i="13"/>
  <c r="G675" i="13"/>
  <c r="P675" i="13"/>
  <c r="J678" i="13"/>
  <c r="U675" i="13"/>
  <c r="O677" i="13"/>
  <c r="T682" i="13"/>
  <c r="J673" i="13"/>
  <c r="G673" i="13"/>
  <c r="T680" i="13"/>
  <c r="L683" i="13"/>
  <c r="M677" i="13"/>
  <c r="O681" i="13"/>
  <c r="O683" i="13"/>
  <c r="H680" i="13"/>
  <c r="J682" i="13"/>
  <c r="O678" i="13"/>
  <c r="N673" i="13"/>
  <c r="R681" i="13"/>
  <c r="H678" i="13"/>
  <c r="P682" i="13"/>
  <c r="R677" i="13"/>
  <c r="N674" i="13"/>
  <c r="L678" i="13"/>
  <c r="O673" i="13"/>
  <c r="S675" i="13"/>
  <c r="F680" i="13"/>
  <c r="G677" i="13"/>
  <c r="F679" i="13"/>
  <c r="K680" i="13"/>
  <c r="K674" i="13"/>
  <c r="I677" i="13"/>
  <c r="T673" i="13"/>
  <c r="K678" i="13"/>
  <c r="M678" i="13"/>
  <c r="L675" i="13"/>
  <c r="F677" i="13"/>
  <c r="R682" i="13"/>
  <c r="T675" i="13"/>
  <c r="F682" i="13"/>
  <c r="L375" i="14"/>
  <c r="J375" i="14"/>
  <c r="P380" i="14"/>
  <c r="G380" i="14"/>
  <c r="K380" i="14"/>
  <c r="G376" i="14"/>
  <c r="R379" i="14"/>
  <c r="T377" i="14"/>
  <c r="I377" i="14"/>
  <c r="O379" i="14"/>
  <c r="L376" i="14"/>
  <c r="L377" i="14"/>
  <c r="L373" i="14"/>
  <c r="U375" i="14"/>
  <c r="O381" i="14"/>
  <c r="I376" i="14"/>
  <c r="O373" i="14"/>
  <c r="T378" i="14"/>
  <c r="C370" i="14"/>
  <c r="T375" i="14"/>
  <c r="G379" i="14"/>
  <c r="O375" i="14"/>
  <c r="H380" i="14"/>
  <c r="O378" i="14"/>
  <c r="K378" i="14"/>
  <c r="S376" i="14"/>
  <c r="O377" i="14"/>
  <c r="U376" i="14"/>
  <c r="P375" i="14"/>
  <c r="P379" i="14"/>
  <c r="J376" i="14"/>
  <c r="H376" i="14"/>
  <c r="K375" i="14"/>
  <c r="I380" i="14"/>
  <c r="H377" i="14"/>
  <c r="P377" i="14"/>
  <c r="G378" i="14"/>
  <c r="N376" i="14"/>
  <c r="N377" i="14"/>
  <c r="R376" i="14"/>
  <c r="M375" i="14"/>
  <c r="L379" i="14"/>
  <c r="M379" i="14"/>
  <c r="R380" i="14"/>
  <c r="S378" i="14"/>
  <c r="O376" i="14"/>
  <c r="P376" i="14"/>
  <c r="M380" i="14"/>
  <c r="L380" i="14"/>
  <c r="L378" i="14"/>
  <c r="F378" i="14"/>
  <c r="F377" i="14"/>
  <c r="U379" i="14"/>
  <c r="N379" i="14"/>
  <c r="R378" i="14"/>
  <c r="F379" i="14"/>
  <c r="N378" i="14"/>
  <c r="K379" i="14"/>
  <c r="H375" i="14"/>
  <c r="S375" i="14"/>
  <c r="O380" i="14"/>
  <c r="S379" i="14"/>
  <c r="N375" i="14"/>
  <c r="F375" i="14"/>
  <c r="H378" i="14"/>
  <c r="U377" i="14"/>
  <c r="T380" i="14"/>
  <c r="F376" i="14"/>
  <c r="I375" i="14"/>
  <c r="U378" i="14"/>
  <c r="T379" i="14"/>
  <c r="F380" i="14"/>
  <c r="R377" i="14"/>
  <c r="M376" i="14"/>
  <c r="U380" i="14"/>
  <c r="K376" i="14"/>
  <c r="G375" i="14"/>
  <c r="S380" i="14"/>
  <c r="I379" i="14"/>
  <c r="M377" i="14"/>
  <c r="P378" i="14"/>
  <c r="J380" i="14"/>
  <c r="L381" i="14"/>
  <c r="J377" i="14"/>
  <c r="G377" i="14"/>
  <c r="T376" i="14"/>
  <c r="J379" i="14"/>
  <c r="N380" i="14"/>
  <c r="R375" i="14"/>
  <c r="K377" i="14"/>
  <c r="H379" i="14"/>
  <c r="I378" i="14"/>
  <c r="M378" i="14"/>
  <c r="S377" i="14"/>
  <c r="J378" i="14"/>
  <c r="T358" i="11"/>
  <c r="C351" i="11"/>
  <c r="Q356" i="11"/>
  <c r="F356" i="11"/>
  <c r="I358" i="11"/>
  <c r="G356" i="11"/>
  <c r="R356" i="11"/>
  <c r="J358" i="11"/>
  <c r="S357" i="11"/>
  <c r="S356" i="11"/>
  <c r="R357" i="11"/>
  <c r="P357" i="11"/>
  <c r="P356" i="11"/>
  <c r="P359" i="11" s="1"/>
  <c r="P358" i="11"/>
  <c r="C352" i="11"/>
  <c r="C353" i="11" s="1"/>
  <c r="C354" i="11" s="1"/>
  <c r="C355" i="11" s="1"/>
  <c r="C356" i="11" s="1"/>
  <c r="C357" i="11" s="1"/>
  <c r="C358" i="11" s="1"/>
  <c r="C359" i="11" s="1"/>
  <c r="Q357" i="11"/>
  <c r="G358" i="11"/>
  <c r="H358" i="11"/>
  <c r="G357" i="11"/>
  <c r="J357" i="11"/>
  <c r="K356" i="11"/>
  <c r="I356" i="11"/>
  <c r="N357" i="11"/>
  <c r="R358" i="11"/>
  <c r="O357" i="11"/>
  <c r="J356" i="11"/>
  <c r="J359" i="11" s="1"/>
  <c r="O356" i="11"/>
  <c r="L357" i="11"/>
  <c r="Q358" i="11"/>
  <c r="I357" i="11"/>
  <c r="O358" i="11"/>
  <c r="T357" i="11"/>
  <c r="F358" i="11"/>
  <c r="H357" i="11"/>
  <c r="S358" i="11"/>
  <c r="K357" i="11"/>
  <c r="H356" i="11"/>
  <c r="H359" i="11" s="1"/>
  <c r="M357" i="11"/>
  <c r="F357" i="11"/>
  <c r="K358" i="11"/>
  <c r="T356" i="11"/>
  <c r="F418" i="14"/>
  <c r="F421" i="14"/>
  <c r="S420" i="14"/>
  <c r="R417" i="14"/>
  <c r="S421" i="14"/>
  <c r="L417" i="14"/>
  <c r="O422" i="14"/>
  <c r="O415" i="14"/>
  <c r="L423" i="14"/>
  <c r="R421" i="14"/>
  <c r="T421" i="14"/>
  <c r="I419" i="14"/>
  <c r="O423" i="14"/>
  <c r="L418" i="14"/>
  <c r="L422" i="14"/>
  <c r="G422" i="14"/>
  <c r="N419" i="14"/>
  <c r="R418" i="14"/>
  <c r="P420" i="14"/>
  <c r="L421" i="14"/>
  <c r="L419" i="14"/>
  <c r="O419" i="14"/>
  <c r="O420" i="14"/>
  <c r="H419" i="14"/>
  <c r="P418" i="14"/>
  <c r="L420" i="14"/>
  <c r="K417" i="14"/>
  <c r="O421" i="14"/>
  <c r="I417" i="14"/>
  <c r="F420" i="14"/>
  <c r="I420" i="14"/>
  <c r="T417" i="14"/>
  <c r="C412" i="14"/>
  <c r="K420" i="14"/>
  <c r="U422" i="14"/>
  <c r="U417" i="14"/>
  <c r="M420" i="14"/>
  <c r="M418" i="14"/>
  <c r="I418" i="14"/>
  <c r="N417" i="14"/>
  <c r="S418" i="14"/>
  <c r="K421" i="14"/>
  <c r="U419" i="14"/>
  <c r="J421" i="14"/>
  <c r="H420" i="14"/>
  <c r="F422" i="14"/>
  <c r="N418" i="14"/>
  <c r="M422" i="14"/>
  <c r="J419" i="14"/>
  <c r="G419" i="14"/>
  <c r="I421" i="14"/>
  <c r="J418" i="14"/>
  <c r="O418" i="14"/>
  <c r="G421" i="14"/>
  <c r="P417" i="14"/>
  <c r="R419" i="14"/>
  <c r="H418" i="14"/>
  <c r="T422" i="14"/>
  <c r="P422" i="14"/>
  <c r="F417" i="14"/>
  <c r="T419" i="14"/>
  <c r="P419" i="14"/>
  <c r="G417" i="14"/>
  <c r="M417" i="14"/>
  <c r="S422" i="14"/>
  <c r="J420" i="14"/>
  <c r="N421" i="14"/>
  <c r="U418" i="14"/>
  <c r="F419" i="14"/>
  <c r="J417" i="14"/>
  <c r="H421" i="14"/>
  <c r="U420" i="14"/>
  <c r="G420" i="14"/>
  <c r="O417" i="14"/>
  <c r="M419" i="14"/>
  <c r="R420" i="14"/>
  <c r="L415" i="14"/>
  <c r="R422" i="14"/>
  <c r="I422" i="14"/>
  <c r="T420" i="14"/>
  <c r="S417" i="14"/>
  <c r="U421" i="14"/>
  <c r="K419" i="14"/>
  <c r="H417" i="14"/>
  <c r="T418" i="14"/>
  <c r="K422" i="14"/>
  <c r="M421" i="14"/>
  <c r="N420" i="14"/>
  <c r="J422" i="14"/>
  <c r="N422" i="14"/>
  <c r="P421" i="14"/>
  <c r="K418" i="14"/>
  <c r="S419" i="14"/>
  <c r="H422" i="14"/>
  <c r="G418" i="14"/>
  <c r="H629" i="11"/>
  <c r="O628" i="11"/>
  <c r="S630" i="11"/>
  <c r="R628" i="11"/>
  <c r="P630" i="11"/>
  <c r="F628" i="11"/>
  <c r="N629" i="11"/>
  <c r="H628" i="11"/>
  <c r="J628" i="11"/>
  <c r="I630" i="11"/>
  <c r="J630" i="11"/>
  <c r="F630" i="11"/>
  <c r="M629" i="11"/>
  <c r="G629" i="11"/>
  <c r="T629" i="11"/>
  <c r="T628" i="11"/>
  <c r="O630" i="11"/>
  <c r="R630" i="11"/>
  <c r="T630" i="11"/>
  <c r="I628" i="11"/>
  <c r="G630" i="11"/>
  <c r="Q630" i="11"/>
  <c r="P628" i="11"/>
  <c r="K628" i="11"/>
  <c r="O629" i="11"/>
  <c r="K629" i="11"/>
  <c r="S628" i="11"/>
  <c r="S631" i="11" s="1"/>
  <c r="K630" i="11"/>
  <c r="C624" i="11"/>
  <c r="C625" i="11" s="1"/>
  <c r="C626" i="11" s="1"/>
  <c r="C627" i="11" s="1"/>
  <c r="C628" i="11" s="1"/>
  <c r="C629" i="11" s="1"/>
  <c r="C630" i="11" s="1"/>
  <c r="C631" i="11" s="1"/>
  <c r="H630" i="11"/>
  <c r="Q628" i="11"/>
  <c r="Q631" i="11" s="1"/>
  <c r="S629" i="11"/>
  <c r="R629" i="11"/>
  <c r="Q629" i="11"/>
  <c r="G628" i="11"/>
  <c r="F629" i="11"/>
  <c r="J629" i="11"/>
  <c r="P629" i="11"/>
  <c r="I629" i="11"/>
  <c r="C623" i="11"/>
  <c r="L629" i="11"/>
  <c r="H520" i="16"/>
  <c r="P515" i="16"/>
  <c r="P518" i="16"/>
  <c r="P517" i="16"/>
  <c r="H516" i="16"/>
  <c r="M515" i="16"/>
  <c r="F516" i="16"/>
  <c r="M520" i="16"/>
  <c r="P516" i="16"/>
  <c r="N513" i="16"/>
  <c r="G520" i="16"/>
  <c r="O520" i="16"/>
  <c r="K513" i="16"/>
  <c r="P520" i="16"/>
  <c r="K517" i="16"/>
  <c r="I516" i="16"/>
  <c r="P521" i="16"/>
  <c r="L517" i="16"/>
  <c r="H518" i="16"/>
  <c r="G517" i="16"/>
  <c r="L520" i="16"/>
  <c r="L518" i="16"/>
  <c r="O513" i="16"/>
  <c r="N517" i="16"/>
  <c r="I517" i="16"/>
  <c r="L519" i="16"/>
  <c r="I515" i="16"/>
  <c r="L515" i="16"/>
  <c r="M519" i="16"/>
  <c r="M513" i="16"/>
  <c r="M517" i="16"/>
  <c r="H515" i="16"/>
  <c r="L521" i="16"/>
  <c r="O516" i="16"/>
  <c r="P513" i="16"/>
  <c r="O517" i="16"/>
  <c r="J515" i="16"/>
  <c r="N520" i="16"/>
  <c r="K516" i="16"/>
  <c r="N516" i="16"/>
  <c r="O521" i="16"/>
  <c r="J517" i="16"/>
  <c r="K515" i="16"/>
  <c r="H517" i="16"/>
  <c r="J516" i="16"/>
  <c r="O515" i="16"/>
  <c r="N518" i="16"/>
  <c r="L513" i="16"/>
  <c r="M516" i="16"/>
  <c r="K518" i="16"/>
  <c r="M521" i="16"/>
  <c r="K521" i="16"/>
  <c r="F517" i="16"/>
  <c r="F520" i="16"/>
  <c r="G515" i="16"/>
  <c r="G516" i="16"/>
  <c r="F519" i="16"/>
  <c r="I520" i="16"/>
  <c r="L516" i="16"/>
  <c r="K520" i="16"/>
  <c r="F515" i="16"/>
  <c r="H519" i="16"/>
  <c r="I518" i="16"/>
  <c r="M518" i="16"/>
  <c r="C510" i="16"/>
  <c r="C511" i="16" s="1"/>
  <c r="C512" i="16" s="1"/>
  <c r="C513" i="16" s="1"/>
  <c r="C514" i="16" s="1"/>
  <c r="C515" i="16" s="1"/>
  <c r="C516" i="16" s="1"/>
  <c r="C517" i="16" s="1"/>
  <c r="C518" i="16" s="1"/>
  <c r="C519" i="16" s="1"/>
  <c r="C520" i="16" s="1"/>
  <c r="C521" i="16" s="1"/>
  <c r="C522" i="16" s="1"/>
  <c r="K519" i="16"/>
  <c r="N521" i="16"/>
  <c r="J518" i="16"/>
  <c r="F518" i="16"/>
  <c r="N519" i="16"/>
  <c r="J519" i="16"/>
  <c r="J520" i="16"/>
  <c r="I519" i="16"/>
  <c r="P519" i="16"/>
  <c r="N515" i="16"/>
  <c r="G519" i="16"/>
  <c r="O519" i="16"/>
  <c r="G518" i="16"/>
  <c r="O518" i="16"/>
  <c r="F287" i="11"/>
  <c r="Q286" i="11"/>
  <c r="K288" i="11"/>
  <c r="I288" i="11"/>
  <c r="P288" i="11"/>
  <c r="O286" i="11"/>
  <c r="M287" i="11"/>
  <c r="T287" i="11"/>
  <c r="L287" i="11"/>
  <c r="F288" i="11"/>
  <c r="K287" i="11"/>
  <c r="H286" i="11"/>
  <c r="S286" i="11"/>
  <c r="Q288" i="11"/>
  <c r="H287" i="11"/>
  <c r="O287" i="11"/>
  <c r="I286" i="11"/>
  <c r="N287" i="11"/>
  <c r="J286" i="11"/>
  <c r="G286" i="11"/>
  <c r="G288" i="11"/>
  <c r="G287" i="11"/>
  <c r="H288" i="11"/>
  <c r="R288" i="11"/>
  <c r="P286" i="11"/>
  <c r="T286" i="11"/>
  <c r="Q287" i="11"/>
  <c r="R287" i="11"/>
  <c r="R286" i="11"/>
  <c r="C282" i="11"/>
  <c r="C283" i="11" s="1"/>
  <c r="C284" i="11" s="1"/>
  <c r="C285" i="11" s="1"/>
  <c r="C286" i="11" s="1"/>
  <c r="C287" i="11" s="1"/>
  <c r="C288" i="11" s="1"/>
  <c r="C289" i="11" s="1"/>
  <c r="K286" i="11"/>
  <c r="T288" i="11"/>
  <c r="J288" i="11"/>
  <c r="P287" i="11"/>
  <c r="C281" i="11"/>
  <c r="J287" i="11"/>
  <c r="S288" i="11"/>
  <c r="S287" i="11"/>
  <c r="F286" i="11"/>
  <c r="I287" i="11"/>
  <c r="O288" i="11"/>
  <c r="P492" i="15"/>
  <c r="P491" i="15"/>
  <c r="F485" i="15"/>
  <c r="M487" i="15"/>
  <c r="O486" i="15"/>
  <c r="I485" i="15"/>
  <c r="L487" i="15"/>
  <c r="K492" i="15"/>
  <c r="J492" i="15"/>
  <c r="P486" i="15"/>
  <c r="K491" i="15"/>
  <c r="F494" i="15"/>
  <c r="P485" i="15"/>
  <c r="N489" i="15"/>
  <c r="I493" i="15"/>
  <c r="M493" i="15"/>
  <c r="L489" i="15"/>
  <c r="H493" i="15"/>
  <c r="M490" i="15"/>
  <c r="L490" i="15"/>
  <c r="F492" i="15"/>
  <c r="P493" i="15"/>
  <c r="N494" i="15"/>
  <c r="P495" i="15"/>
  <c r="H490" i="15"/>
  <c r="G487" i="15"/>
  <c r="O490" i="15"/>
  <c r="I492" i="15"/>
  <c r="M492" i="15"/>
  <c r="O493" i="15"/>
  <c r="J491" i="15"/>
  <c r="O494" i="15"/>
  <c r="L495" i="15"/>
  <c r="H489" i="15"/>
  <c r="N484" i="15"/>
  <c r="N493" i="15"/>
  <c r="K493" i="15"/>
  <c r="L493" i="15"/>
  <c r="I487" i="15"/>
  <c r="H487" i="15"/>
  <c r="L484" i="15"/>
  <c r="I494" i="15"/>
  <c r="O489" i="15"/>
  <c r="O484" i="15"/>
  <c r="H492" i="15"/>
  <c r="K486" i="15"/>
  <c r="F491" i="15"/>
  <c r="I491" i="15"/>
  <c r="L491" i="15"/>
  <c r="C481" i="15"/>
  <c r="C482" i="15" s="1"/>
  <c r="C483" i="15" s="1"/>
  <c r="C484" i="15" s="1"/>
  <c r="C485" i="15" s="1"/>
  <c r="C486" i="15" s="1"/>
  <c r="C487" i="15" s="1"/>
  <c r="C488" i="15" s="1"/>
  <c r="C489" i="15" s="1"/>
  <c r="C490" i="15" s="1"/>
  <c r="C491" i="15" s="1"/>
  <c r="C492" i="15" s="1"/>
  <c r="C493" i="15" s="1"/>
  <c r="C494" i="15" s="1"/>
  <c r="C495" i="15" s="1"/>
  <c r="C496" i="15" s="1"/>
  <c r="N492" i="15"/>
  <c r="L485" i="15"/>
  <c r="H494" i="15"/>
  <c r="J490" i="15"/>
  <c r="N495" i="15"/>
  <c r="K485" i="15"/>
  <c r="K495" i="15"/>
  <c r="I490" i="15"/>
  <c r="O485" i="15"/>
  <c r="P484" i="15"/>
  <c r="G492" i="15"/>
  <c r="N490" i="15"/>
  <c r="K487" i="15"/>
  <c r="J494" i="15"/>
  <c r="P494" i="15"/>
  <c r="M489" i="15"/>
  <c r="J489" i="15"/>
  <c r="O492" i="15"/>
  <c r="P490" i="15"/>
  <c r="P487" i="15"/>
  <c r="K489" i="15"/>
  <c r="G491" i="15"/>
  <c r="L492" i="15"/>
  <c r="O495" i="15"/>
  <c r="F493" i="15"/>
  <c r="G494" i="15"/>
  <c r="N487" i="15"/>
  <c r="G493" i="15"/>
  <c r="K494" i="15"/>
  <c r="K490" i="15"/>
  <c r="J485" i="15"/>
  <c r="O491" i="15"/>
  <c r="N486" i="15"/>
  <c r="G485" i="15"/>
  <c r="K484" i="15"/>
  <c r="M495" i="15"/>
  <c r="L494" i="15"/>
  <c r="M486" i="15"/>
  <c r="N485" i="15"/>
  <c r="G490" i="15"/>
  <c r="F487" i="15"/>
  <c r="F490" i="15"/>
  <c r="M491" i="15"/>
  <c r="M485" i="15"/>
  <c r="I489" i="15"/>
  <c r="M484" i="15"/>
  <c r="M494" i="15"/>
  <c r="J487" i="15"/>
  <c r="L486" i="15"/>
  <c r="G489" i="15"/>
  <c r="F489" i="15"/>
  <c r="O487" i="15"/>
  <c r="H485" i="15"/>
  <c r="J493" i="15"/>
  <c r="H491" i="15"/>
  <c r="N491" i="15"/>
  <c r="P489" i="15"/>
  <c r="R431" i="14"/>
  <c r="L435" i="14"/>
  <c r="J435" i="14"/>
  <c r="G434" i="14"/>
  <c r="T436" i="14"/>
  <c r="F434" i="14"/>
  <c r="L431" i="14"/>
  <c r="N431" i="14"/>
  <c r="N433" i="14"/>
  <c r="J434" i="14"/>
  <c r="F436" i="14"/>
  <c r="P434" i="14"/>
  <c r="H433" i="14"/>
  <c r="P436" i="14"/>
  <c r="R436" i="14"/>
  <c r="L434" i="14"/>
  <c r="O435" i="14"/>
  <c r="M435" i="14"/>
  <c r="T434" i="14"/>
  <c r="K433" i="14"/>
  <c r="T431" i="14"/>
  <c r="S432" i="14"/>
  <c r="M431" i="14"/>
  <c r="P431" i="14"/>
  <c r="K435" i="14"/>
  <c r="I431" i="14"/>
  <c r="O437" i="14"/>
  <c r="I436" i="14"/>
  <c r="L436" i="14"/>
  <c r="O429" i="14"/>
  <c r="J432" i="14"/>
  <c r="L432" i="14"/>
  <c r="L429" i="14"/>
  <c r="G432" i="14"/>
  <c r="S433" i="14"/>
  <c r="T433" i="14"/>
  <c r="N434" i="14"/>
  <c r="N435" i="14"/>
  <c r="H436" i="14"/>
  <c r="U436" i="14"/>
  <c r="U434" i="14"/>
  <c r="R433" i="14"/>
  <c r="F432" i="14"/>
  <c r="M432" i="14"/>
  <c r="U433" i="14"/>
  <c r="J431" i="14"/>
  <c r="L437" i="14"/>
  <c r="J436" i="14"/>
  <c r="I435" i="14"/>
  <c r="I433" i="14"/>
  <c r="S435" i="14"/>
  <c r="O432" i="14"/>
  <c r="T432" i="14"/>
  <c r="R434" i="14"/>
  <c r="P432" i="14"/>
  <c r="P435" i="14"/>
  <c r="T435" i="14"/>
  <c r="M434" i="14"/>
  <c r="K434" i="14"/>
  <c r="O433" i="14"/>
  <c r="H432" i="14"/>
  <c r="M436" i="14"/>
  <c r="H435" i="14"/>
  <c r="P433" i="14"/>
  <c r="G433" i="14"/>
  <c r="N436" i="14"/>
  <c r="G431" i="14"/>
  <c r="J433" i="14"/>
  <c r="I434" i="14"/>
  <c r="I432" i="14"/>
  <c r="U435" i="14"/>
  <c r="R432" i="14"/>
  <c r="M433" i="14"/>
  <c r="G436" i="14"/>
  <c r="O431" i="14"/>
  <c r="L433" i="14"/>
  <c r="F431" i="14"/>
  <c r="U431" i="14"/>
  <c r="K436" i="14"/>
  <c r="C426" i="14"/>
  <c r="H431" i="14"/>
  <c r="G435" i="14"/>
  <c r="K432" i="14"/>
  <c r="K431" i="14"/>
  <c r="S434" i="14"/>
  <c r="S431" i="14"/>
  <c r="O436" i="14"/>
  <c r="S436" i="14"/>
  <c r="R435" i="14"/>
  <c r="O434" i="14"/>
  <c r="F433" i="14"/>
  <c r="N432" i="14"/>
  <c r="H434" i="14"/>
  <c r="U432" i="14"/>
  <c r="F435" i="14"/>
  <c r="C388" i="12"/>
  <c r="C389" i="12" s="1"/>
  <c r="C390" i="12" s="1"/>
  <c r="C391" i="12" s="1"/>
  <c r="C392" i="12" s="1"/>
  <c r="C393" i="12" s="1"/>
  <c r="C394" i="12" s="1"/>
  <c r="J393" i="12"/>
  <c r="J394" i="12" s="1"/>
  <c r="I393" i="12"/>
  <c r="I394" i="12" s="1"/>
  <c r="K393" i="12"/>
  <c r="K394" i="12" s="1"/>
  <c r="M552" i="15"/>
  <c r="J560" i="15"/>
  <c r="M562" i="15"/>
  <c r="J559" i="15"/>
  <c r="M561" i="15"/>
  <c r="K562" i="15"/>
  <c r="I553" i="15"/>
  <c r="O553" i="15"/>
  <c r="P552" i="15"/>
  <c r="I555" i="15"/>
  <c r="J557" i="15"/>
  <c r="G557" i="15"/>
  <c r="L561" i="15"/>
  <c r="P554" i="15"/>
  <c r="H559" i="15"/>
  <c r="N562" i="15"/>
  <c r="J553" i="15"/>
  <c r="M563" i="15"/>
  <c r="L560" i="15"/>
  <c r="H557" i="15"/>
  <c r="M553" i="15"/>
  <c r="N552" i="15"/>
  <c r="O557" i="15"/>
  <c r="O562" i="15"/>
  <c r="I560" i="15"/>
  <c r="P559" i="15"/>
  <c r="O552" i="15"/>
  <c r="G558" i="15"/>
  <c r="P558" i="15"/>
  <c r="I557" i="15"/>
  <c r="N555" i="15"/>
  <c r="M558" i="15"/>
  <c r="G555" i="15"/>
  <c r="O560" i="15"/>
  <c r="L557" i="15"/>
  <c r="G561" i="15"/>
  <c r="F553" i="15"/>
  <c r="N558" i="15"/>
  <c r="N557" i="15"/>
  <c r="J561" i="15"/>
  <c r="K557" i="15"/>
  <c r="P561" i="15"/>
  <c r="O555" i="15"/>
  <c r="M555" i="15"/>
  <c r="H562" i="15"/>
  <c r="N559" i="15"/>
  <c r="M554" i="15"/>
  <c r="G559" i="15"/>
  <c r="K559" i="15"/>
  <c r="F561" i="15"/>
  <c r="N561" i="15"/>
  <c r="N563" i="15"/>
  <c r="O563" i="15"/>
  <c r="L562" i="15"/>
  <c r="G560" i="15"/>
  <c r="H558" i="15"/>
  <c r="O561" i="15"/>
  <c r="F557" i="15"/>
  <c r="P563" i="15"/>
  <c r="K563" i="15"/>
  <c r="H555" i="15"/>
  <c r="K552" i="15"/>
  <c r="F558" i="15"/>
  <c r="N553" i="15"/>
  <c r="K558" i="15"/>
  <c r="G553" i="15"/>
  <c r="M560" i="15"/>
  <c r="I558" i="15"/>
  <c r="P557" i="15"/>
  <c r="H553" i="15"/>
  <c r="I561" i="15"/>
  <c r="L553" i="15"/>
  <c r="K554" i="15"/>
  <c r="H561" i="15"/>
  <c r="P553" i="15"/>
  <c r="G562" i="15"/>
  <c r="K555" i="15"/>
  <c r="P562" i="15"/>
  <c r="F562" i="15"/>
  <c r="O558" i="15"/>
  <c r="L552" i="15"/>
  <c r="I562" i="15"/>
  <c r="L558" i="15"/>
  <c r="C549" i="15"/>
  <c r="C550" i="15" s="1"/>
  <c r="C551" i="15" s="1"/>
  <c r="C552" i="15" s="1"/>
  <c r="C553" i="15" s="1"/>
  <c r="C554" i="15" s="1"/>
  <c r="C555" i="15" s="1"/>
  <c r="C556" i="15" s="1"/>
  <c r="C557" i="15" s="1"/>
  <c r="C558" i="15" s="1"/>
  <c r="C559" i="15" s="1"/>
  <c r="C560" i="15" s="1"/>
  <c r="C561" i="15" s="1"/>
  <c r="C562" i="15" s="1"/>
  <c r="C563" i="15" s="1"/>
  <c r="C564" i="15" s="1"/>
  <c r="P560" i="15"/>
  <c r="M559" i="15"/>
  <c r="I559" i="15"/>
  <c r="F559" i="15"/>
  <c r="H560" i="15"/>
  <c r="K553" i="15"/>
  <c r="L559" i="15"/>
  <c r="F560" i="15"/>
  <c r="P555" i="15"/>
  <c r="J562" i="15"/>
  <c r="J555" i="15"/>
  <c r="L555" i="15"/>
  <c r="K561" i="15"/>
  <c r="N560" i="15"/>
  <c r="O554" i="15"/>
  <c r="F555" i="15"/>
  <c r="O559" i="15"/>
  <c r="N554" i="15"/>
  <c r="L563" i="15"/>
  <c r="J558" i="15"/>
  <c r="L554" i="15"/>
  <c r="K560" i="15"/>
  <c r="M557" i="15"/>
  <c r="H328" i="11"/>
  <c r="F328" i="11"/>
  <c r="S328" i="11"/>
  <c r="I326" i="11"/>
  <c r="J327" i="11"/>
  <c r="S327" i="11"/>
  <c r="O327" i="11"/>
  <c r="N327" i="11"/>
  <c r="P326" i="11"/>
  <c r="R326" i="11"/>
  <c r="C321" i="11"/>
  <c r="R328" i="11"/>
  <c r="S326" i="11"/>
  <c r="T327" i="11"/>
  <c r="L327" i="11"/>
  <c r="I327" i="11"/>
  <c r="R327" i="11"/>
  <c r="G326" i="11"/>
  <c r="T326" i="11"/>
  <c r="O326" i="11"/>
  <c r="T328" i="11"/>
  <c r="G328" i="11"/>
  <c r="P328" i="11"/>
  <c r="I328" i="11"/>
  <c r="C322" i="11"/>
  <c r="C323" i="11" s="1"/>
  <c r="C324" i="11" s="1"/>
  <c r="C325" i="11" s="1"/>
  <c r="C326" i="11" s="1"/>
  <c r="C327" i="11" s="1"/>
  <c r="C328" i="11" s="1"/>
  <c r="C329" i="11" s="1"/>
  <c r="H326" i="11"/>
  <c r="O328" i="11"/>
  <c r="Q328" i="11"/>
  <c r="J328" i="11"/>
  <c r="K326" i="11"/>
  <c r="F327" i="11"/>
  <c r="Q327" i="11"/>
  <c r="Q326" i="11"/>
  <c r="J326" i="11"/>
  <c r="H327" i="11"/>
  <c r="K327" i="11"/>
  <c r="P327" i="11"/>
  <c r="K328" i="11"/>
  <c r="M327" i="11"/>
  <c r="G327" i="11"/>
  <c r="F326" i="11"/>
  <c r="P784" i="15"/>
  <c r="P779" i="15"/>
  <c r="N780" i="15"/>
  <c r="M784" i="15"/>
  <c r="O784" i="15"/>
  <c r="H779" i="15"/>
  <c r="J780" i="15"/>
  <c r="G782" i="15"/>
  <c r="I778" i="15"/>
  <c r="J783" i="15"/>
  <c r="K775" i="15"/>
  <c r="J778" i="15"/>
  <c r="P780" i="15"/>
  <c r="F779" i="15"/>
  <c r="F783" i="15"/>
  <c r="M779" i="15"/>
  <c r="K782" i="15"/>
  <c r="M775" i="15"/>
  <c r="O775" i="15"/>
  <c r="G776" i="15"/>
  <c r="P776" i="15"/>
  <c r="L774" i="15"/>
  <c r="M782" i="15"/>
  <c r="N776" i="15"/>
  <c r="L780" i="15"/>
  <c r="H783" i="15"/>
  <c r="H774" i="15"/>
  <c r="H782" i="15"/>
  <c r="I783" i="15"/>
  <c r="I776" i="15"/>
  <c r="O780" i="15"/>
  <c r="J774" i="15"/>
  <c r="N784" i="15"/>
  <c r="F782" i="15"/>
  <c r="I779" i="15"/>
  <c r="I780" i="15"/>
  <c r="P775" i="15"/>
  <c r="P783" i="15"/>
  <c r="H778" i="15"/>
  <c r="O782" i="15"/>
  <c r="K784" i="15"/>
  <c r="N779" i="15"/>
  <c r="K774" i="15"/>
  <c r="J782" i="15"/>
  <c r="N775" i="15"/>
  <c r="J779" i="15"/>
  <c r="O783" i="15"/>
  <c r="O776" i="15"/>
  <c r="I774" i="15"/>
  <c r="F778" i="15"/>
  <c r="M774" i="15"/>
  <c r="N773" i="15"/>
  <c r="K781" i="15"/>
  <c r="I782" i="15"/>
  <c r="O779" i="15"/>
  <c r="L775" i="15"/>
  <c r="N783" i="15"/>
  <c r="G781" i="15"/>
  <c r="L778" i="15"/>
  <c r="L784" i="15"/>
  <c r="H780" i="15"/>
  <c r="H781" i="15"/>
  <c r="N778" i="15"/>
  <c r="F774" i="15"/>
  <c r="M781" i="15"/>
  <c r="K783" i="15"/>
  <c r="L779" i="15"/>
  <c r="J781" i="15"/>
  <c r="L773" i="15"/>
  <c r="P778" i="15"/>
  <c r="G780" i="15"/>
  <c r="O773" i="15"/>
  <c r="G778" i="15"/>
  <c r="N782" i="15"/>
  <c r="P781" i="15"/>
  <c r="M773" i="15"/>
  <c r="H776" i="15"/>
  <c r="L782" i="15"/>
  <c r="K778" i="15"/>
  <c r="K773" i="15"/>
  <c r="O778" i="15"/>
  <c r="J776" i="15"/>
  <c r="N774" i="15"/>
  <c r="O774" i="15"/>
  <c r="L776" i="15"/>
  <c r="K780" i="15"/>
  <c r="M776" i="15"/>
  <c r="G783" i="15"/>
  <c r="F780" i="15"/>
  <c r="K779" i="15"/>
  <c r="P773" i="15"/>
  <c r="N781" i="15"/>
  <c r="M780" i="15"/>
  <c r="M778" i="15"/>
  <c r="L783" i="15"/>
  <c r="F781" i="15"/>
  <c r="G774" i="15"/>
  <c r="M783" i="15"/>
  <c r="I781" i="15"/>
  <c r="F776" i="15"/>
  <c r="G779" i="15"/>
  <c r="P782" i="15"/>
  <c r="O781" i="15"/>
  <c r="L781" i="15"/>
  <c r="K776" i="15"/>
  <c r="C770" i="15"/>
  <c r="C771" i="15" s="1"/>
  <c r="C772" i="15" s="1"/>
  <c r="C773" i="15" s="1"/>
  <c r="C774" i="15" s="1"/>
  <c r="C775" i="15" s="1"/>
  <c r="C776" i="15" s="1"/>
  <c r="C777" i="15" s="1"/>
  <c r="C778" i="15" s="1"/>
  <c r="C779" i="15" s="1"/>
  <c r="C780" i="15" s="1"/>
  <c r="C781" i="15" s="1"/>
  <c r="C782" i="15" s="1"/>
  <c r="C783" i="15" s="1"/>
  <c r="C784" i="15" s="1"/>
  <c r="C785" i="15" s="1"/>
  <c r="P774" i="15"/>
  <c r="N603" i="16"/>
  <c r="G603" i="16"/>
  <c r="F600" i="16"/>
  <c r="F602" i="16"/>
  <c r="L605" i="16"/>
  <c r="K603" i="16"/>
  <c r="G600" i="16"/>
  <c r="O605" i="16"/>
  <c r="O602" i="16"/>
  <c r="P601" i="16"/>
  <c r="P603" i="16"/>
  <c r="N604" i="16"/>
  <c r="F599" i="16"/>
  <c r="G601" i="16"/>
  <c r="I599" i="16"/>
  <c r="I600" i="16"/>
  <c r="M603" i="16"/>
  <c r="P600" i="16"/>
  <c r="K601" i="16"/>
  <c r="L604" i="16"/>
  <c r="H604" i="16"/>
  <c r="I603" i="16"/>
  <c r="M601" i="16"/>
  <c r="L597" i="16"/>
  <c r="J601" i="16"/>
  <c r="O599" i="16"/>
  <c r="L601" i="16"/>
  <c r="L600" i="16"/>
  <c r="P605" i="16"/>
  <c r="O603" i="16"/>
  <c r="J604" i="16"/>
  <c r="H603" i="16"/>
  <c r="J602" i="16"/>
  <c r="H601" i="16"/>
  <c r="O597" i="16"/>
  <c r="H600" i="16"/>
  <c r="M604" i="16"/>
  <c r="K604" i="16"/>
  <c r="P599" i="16"/>
  <c r="N599" i="16"/>
  <c r="N597" i="16"/>
  <c r="K597" i="16"/>
  <c r="G604" i="16"/>
  <c r="M597" i="16"/>
  <c r="P597" i="16"/>
  <c r="J603" i="16"/>
  <c r="K605" i="16"/>
  <c r="K600" i="16"/>
  <c r="P604" i="16"/>
  <c r="H599" i="16"/>
  <c r="I602" i="16"/>
  <c r="K602" i="16"/>
  <c r="O600" i="16"/>
  <c r="I601" i="16"/>
  <c r="N605" i="16"/>
  <c r="N600" i="16"/>
  <c r="L602" i="16"/>
  <c r="M605" i="16"/>
  <c r="N601" i="16"/>
  <c r="F603" i="16"/>
  <c r="F601" i="16"/>
  <c r="O601" i="16"/>
  <c r="G602" i="16"/>
  <c r="K599" i="16"/>
  <c r="P602" i="16"/>
  <c r="G599" i="16"/>
  <c r="J599" i="16"/>
  <c r="L603" i="16"/>
  <c r="M600" i="16"/>
  <c r="F604" i="16"/>
  <c r="O604" i="16"/>
  <c r="L599" i="16"/>
  <c r="J600" i="16"/>
  <c r="M602" i="16"/>
  <c r="I604" i="16"/>
  <c r="C594" i="16"/>
  <c r="C595" i="16" s="1"/>
  <c r="C596" i="16" s="1"/>
  <c r="C597" i="16" s="1"/>
  <c r="C598" i="16" s="1"/>
  <c r="C599" i="16" s="1"/>
  <c r="C600" i="16" s="1"/>
  <c r="C601" i="16" s="1"/>
  <c r="C602" i="16" s="1"/>
  <c r="C603" i="16" s="1"/>
  <c r="C604" i="16" s="1"/>
  <c r="C605" i="16" s="1"/>
  <c r="C606" i="16" s="1"/>
  <c r="N602" i="16"/>
  <c r="M599" i="16"/>
  <c r="H602" i="16"/>
  <c r="J851" i="16"/>
  <c r="P856" i="16"/>
  <c r="K853" i="16"/>
  <c r="H855" i="16"/>
  <c r="J855" i="16"/>
  <c r="K849" i="16"/>
  <c r="O854" i="16"/>
  <c r="L849" i="16"/>
  <c r="I854" i="16"/>
  <c r="G853" i="16"/>
  <c r="P849" i="16"/>
  <c r="P851" i="16"/>
  <c r="M853" i="16"/>
  <c r="F852" i="16"/>
  <c r="J853" i="16"/>
  <c r="N857" i="16"/>
  <c r="I853" i="16"/>
  <c r="O852" i="16"/>
  <c r="O856" i="16"/>
  <c r="N849" i="16"/>
  <c r="H853" i="16"/>
  <c r="O855" i="16"/>
  <c r="I856" i="16"/>
  <c r="F855" i="16"/>
  <c r="L857" i="16"/>
  <c r="K851" i="16"/>
  <c r="F853" i="16"/>
  <c r="M855" i="16"/>
  <c r="H851" i="16"/>
  <c r="N855" i="16"/>
  <c r="M851" i="16"/>
  <c r="K852" i="16"/>
  <c r="N856" i="16"/>
  <c r="L856" i="16"/>
  <c r="P857" i="16"/>
  <c r="M852" i="16"/>
  <c r="I855" i="16"/>
  <c r="C846" i="16"/>
  <c r="C847" i="16" s="1"/>
  <c r="C848" i="16" s="1"/>
  <c r="C849" i="16" s="1"/>
  <c r="C850" i="16" s="1"/>
  <c r="C851" i="16" s="1"/>
  <c r="C852" i="16" s="1"/>
  <c r="C853" i="16" s="1"/>
  <c r="C854" i="16" s="1"/>
  <c r="C855" i="16" s="1"/>
  <c r="C856" i="16" s="1"/>
  <c r="C857" i="16" s="1"/>
  <c r="C858" i="16" s="1"/>
  <c r="G855" i="16"/>
  <c r="K855" i="16"/>
  <c r="K856" i="16"/>
  <c r="P854" i="16"/>
  <c r="G851" i="16"/>
  <c r="M856" i="16"/>
  <c r="N854" i="16"/>
  <c r="K857" i="16"/>
  <c r="H854" i="16"/>
  <c r="K854" i="16"/>
  <c r="M854" i="16"/>
  <c r="L854" i="16"/>
  <c r="M857" i="16"/>
  <c r="L852" i="16"/>
  <c r="I852" i="16"/>
  <c r="J854" i="16"/>
  <c r="F854" i="16"/>
  <c r="O857" i="16"/>
  <c r="H856" i="16"/>
  <c r="I851" i="16"/>
  <c r="L851" i="16"/>
  <c r="N853" i="16"/>
  <c r="L853" i="16"/>
  <c r="M849" i="16"/>
  <c r="J852" i="16"/>
  <c r="G854" i="16"/>
  <c r="J856" i="16"/>
  <c r="P852" i="16"/>
  <c r="P855" i="16"/>
  <c r="H852" i="16"/>
  <c r="O849" i="16"/>
  <c r="O853" i="16"/>
  <c r="O851" i="16"/>
  <c r="G852" i="16"/>
  <c r="G856" i="16"/>
  <c r="F856" i="16"/>
  <c r="N851" i="16"/>
  <c r="P853" i="16"/>
  <c r="N852" i="16"/>
  <c r="F851" i="16"/>
  <c r="L855" i="16"/>
  <c r="L645" i="15"/>
  <c r="L638" i="15"/>
  <c r="G638" i="15"/>
  <c r="N640" i="15"/>
  <c r="N646" i="15"/>
  <c r="P639" i="15"/>
  <c r="N645" i="15"/>
  <c r="M648" i="15"/>
  <c r="H646" i="15"/>
  <c r="K645" i="15"/>
  <c r="I643" i="15"/>
  <c r="P645" i="15"/>
  <c r="H643" i="15"/>
  <c r="O642" i="15"/>
  <c r="F646" i="15"/>
  <c r="O644" i="15"/>
  <c r="O643" i="15"/>
  <c r="F643" i="15"/>
  <c r="M646" i="15"/>
  <c r="F640" i="15"/>
  <c r="L640" i="15"/>
  <c r="I647" i="15"/>
  <c r="O637" i="15"/>
  <c r="P646" i="15"/>
  <c r="J645" i="15"/>
  <c r="L643" i="15"/>
  <c r="M640" i="15"/>
  <c r="M637" i="15"/>
  <c r="N639" i="15"/>
  <c r="O647" i="15"/>
  <c r="I646" i="15"/>
  <c r="C634" i="15"/>
  <c r="C635" i="15" s="1"/>
  <c r="C636" i="15" s="1"/>
  <c r="C637" i="15" s="1"/>
  <c r="C638" i="15" s="1"/>
  <c r="C639" i="15" s="1"/>
  <c r="C640" i="15" s="1"/>
  <c r="C641" i="15" s="1"/>
  <c r="C642" i="15" s="1"/>
  <c r="C643" i="15" s="1"/>
  <c r="C644" i="15" s="1"/>
  <c r="C645" i="15" s="1"/>
  <c r="C646" i="15" s="1"/>
  <c r="C647" i="15" s="1"/>
  <c r="C648" i="15" s="1"/>
  <c r="C649" i="15" s="1"/>
  <c r="L646" i="15"/>
  <c r="I645" i="15"/>
  <c r="M643" i="15"/>
  <c r="J642" i="15"/>
  <c r="M639" i="15"/>
  <c r="H647" i="15"/>
  <c r="P642" i="15"/>
  <c r="P647" i="15"/>
  <c r="H642" i="15"/>
  <c r="N638" i="15"/>
  <c r="K642" i="15"/>
  <c r="K640" i="15"/>
  <c r="H638" i="15"/>
  <c r="L642" i="15"/>
  <c r="O645" i="15"/>
  <c r="M645" i="15"/>
  <c r="L647" i="15"/>
  <c r="K639" i="15"/>
  <c r="I638" i="15"/>
  <c r="K648" i="15"/>
  <c r="N637" i="15"/>
  <c r="I642" i="15"/>
  <c r="F645" i="15"/>
  <c r="M642" i="15"/>
  <c r="G640" i="15"/>
  <c r="H640" i="15"/>
  <c r="J640" i="15"/>
  <c r="P637" i="15"/>
  <c r="K638" i="15"/>
  <c r="N642" i="15"/>
  <c r="G642" i="15"/>
  <c r="K646" i="15"/>
  <c r="N648" i="15"/>
  <c r="P648" i="15"/>
  <c r="P638" i="15"/>
  <c r="H645" i="15"/>
  <c r="O646" i="15"/>
  <c r="O639" i="15"/>
  <c r="K644" i="15"/>
  <c r="N644" i="15"/>
  <c r="I644" i="15"/>
  <c r="F647" i="15"/>
  <c r="O640" i="15"/>
  <c r="M647" i="15"/>
  <c r="H644" i="15"/>
  <c r="G645" i="15"/>
  <c r="G644" i="15"/>
  <c r="N643" i="15"/>
  <c r="F644" i="15"/>
  <c r="F638" i="15"/>
  <c r="P640" i="15"/>
  <c r="M644" i="15"/>
  <c r="G646" i="15"/>
  <c r="L644" i="15"/>
  <c r="O638" i="15"/>
  <c r="L637" i="15"/>
  <c r="L648" i="15"/>
  <c r="J643" i="15"/>
  <c r="N647" i="15"/>
  <c r="F642" i="15"/>
  <c r="P644" i="15"/>
  <c r="K643" i="15"/>
  <c r="J647" i="15"/>
  <c r="G647" i="15"/>
  <c r="G643" i="15"/>
  <c r="P643" i="15"/>
  <c r="K637" i="15"/>
  <c r="O648" i="15"/>
  <c r="J644" i="15"/>
  <c r="M638" i="15"/>
  <c r="K647" i="15"/>
  <c r="L639" i="15"/>
  <c r="J638" i="15"/>
  <c r="J646" i="15"/>
  <c r="I640" i="15"/>
  <c r="H349" i="16"/>
  <c r="P345" i="16"/>
  <c r="F349" i="16"/>
  <c r="H350" i="16"/>
  <c r="K345" i="16"/>
  <c r="O348" i="16"/>
  <c r="L347" i="16"/>
  <c r="I352" i="16"/>
  <c r="J348" i="16"/>
  <c r="N351" i="16"/>
  <c r="K348" i="16"/>
  <c r="J350" i="16"/>
  <c r="I349" i="16"/>
  <c r="G352" i="16"/>
  <c r="J347" i="16"/>
  <c r="I348" i="16"/>
  <c r="F350" i="16"/>
  <c r="K351" i="16"/>
  <c r="O350" i="16"/>
  <c r="N352" i="16"/>
  <c r="F348" i="16"/>
  <c r="J349" i="16"/>
  <c r="M347" i="16"/>
  <c r="L348" i="16"/>
  <c r="F351" i="16"/>
  <c r="I347" i="16"/>
  <c r="H348" i="16"/>
  <c r="F352" i="16"/>
  <c r="L350" i="16"/>
  <c r="M353" i="16"/>
  <c r="L351" i="16"/>
  <c r="H351" i="16"/>
  <c r="J352" i="16"/>
  <c r="M351" i="16"/>
  <c r="P348" i="16"/>
  <c r="N350" i="16"/>
  <c r="G349" i="16"/>
  <c r="O349" i="16"/>
  <c r="K350" i="16"/>
  <c r="L345" i="16"/>
  <c r="N353" i="16"/>
  <c r="M348" i="16"/>
  <c r="J351" i="16"/>
  <c r="C342" i="16"/>
  <c r="C343" i="16" s="1"/>
  <c r="C344" i="16" s="1"/>
  <c r="C345" i="16" s="1"/>
  <c r="C346" i="16" s="1"/>
  <c r="C347" i="16" s="1"/>
  <c r="C348" i="16" s="1"/>
  <c r="C349" i="16" s="1"/>
  <c r="C350" i="16" s="1"/>
  <c r="C351" i="16" s="1"/>
  <c r="C352" i="16" s="1"/>
  <c r="C353" i="16" s="1"/>
  <c r="C354" i="16" s="1"/>
  <c r="L353" i="16"/>
  <c r="P350" i="16"/>
  <c r="M352" i="16"/>
  <c r="F347" i="16"/>
  <c r="O351" i="16"/>
  <c r="N347" i="16"/>
  <c r="P347" i="16"/>
  <c r="L349" i="16"/>
  <c r="K352" i="16"/>
  <c r="G351" i="16"/>
  <c r="L352" i="16"/>
  <c r="P353" i="16"/>
  <c r="I351" i="16"/>
  <c r="P352" i="16"/>
  <c r="G350" i="16"/>
  <c r="O347" i="16"/>
  <c r="O352" i="16"/>
  <c r="G347" i="16"/>
  <c r="K349" i="16"/>
  <c r="M350" i="16"/>
  <c r="I350" i="16"/>
  <c r="O353" i="16"/>
  <c r="N349" i="16"/>
  <c r="P351" i="16"/>
  <c r="H347" i="16"/>
  <c r="M345" i="16"/>
  <c r="M349" i="16"/>
  <c r="H352" i="16"/>
  <c r="N348" i="16"/>
  <c r="N345" i="16"/>
  <c r="K353" i="16"/>
  <c r="G348" i="16"/>
  <c r="K347" i="16"/>
  <c r="O345" i="16"/>
  <c r="P349" i="16"/>
  <c r="K670" i="14"/>
  <c r="L673" i="14"/>
  <c r="S672" i="14"/>
  <c r="L672" i="14"/>
  <c r="I669" i="14"/>
  <c r="G670" i="14"/>
  <c r="K671" i="14"/>
  <c r="O670" i="14"/>
  <c r="F670" i="14"/>
  <c r="C664" i="14"/>
  <c r="O671" i="14"/>
  <c r="F674" i="14"/>
  <c r="U672" i="14"/>
  <c r="G672" i="14"/>
  <c r="S670" i="14"/>
  <c r="N670" i="14"/>
  <c r="I673" i="14"/>
  <c r="S671" i="14"/>
  <c r="G669" i="14"/>
  <c r="L674" i="14"/>
  <c r="K673" i="14"/>
  <c r="J673" i="14"/>
  <c r="K672" i="14"/>
  <c r="M674" i="14"/>
  <c r="P673" i="14"/>
  <c r="K669" i="14"/>
  <c r="P669" i="14"/>
  <c r="H673" i="14"/>
  <c r="O673" i="14"/>
  <c r="J674" i="14"/>
  <c r="M669" i="14"/>
  <c r="I670" i="14"/>
  <c r="G673" i="14"/>
  <c r="H672" i="14"/>
  <c r="R673" i="14"/>
  <c r="N669" i="14"/>
  <c r="T671" i="14"/>
  <c r="I674" i="14"/>
  <c r="F673" i="14"/>
  <c r="R672" i="14"/>
  <c r="U669" i="14"/>
  <c r="F669" i="14"/>
  <c r="P671" i="14"/>
  <c r="I671" i="14"/>
  <c r="R671" i="14"/>
  <c r="I672" i="14"/>
  <c r="M670" i="14"/>
  <c r="M673" i="14"/>
  <c r="R670" i="14"/>
  <c r="U673" i="14"/>
  <c r="T672" i="14"/>
  <c r="G671" i="14"/>
  <c r="K674" i="14"/>
  <c r="O675" i="14"/>
  <c r="N671" i="14"/>
  <c r="M672" i="14"/>
  <c r="H674" i="14"/>
  <c r="O669" i="14"/>
  <c r="H670" i="14"/>
  <c r="T674" i="14"/>
  <c r="J670" i="14"/>
  <c r="N672" i="14"/>
  <c r="U674" i="14"/>
  <c r="P670" i="14"/>
  <c r="F672" i="14"/>
  <c r="U671" i="14"/>
  <c r="J671" i="14"/>
  <c r="P672" i="14"/>
  <c r="S674" i="14"/>
  <c r="N673" i="14"/>
  <c r="H669" i="14"/>
  <c r="H671" i="14"/>
  <c r="L670" i="14"/>
  <c r="R674" i="14"/>
  <c r="R669" i="14"/>
  <c r="J672" i="14"/>
  <c r="O667" i="14"/>
  <c r="J669" i="14"/>
  <c r="S669" i="14"/>
  <c r="T669" i="14"/>
  <c r="S673" i="14"/>
  <c r="F671" i="14"/>
  <c r="P674" i="14"/>
  <c r="O674" i="14"/>
  <c r="L667" i="14"/>
  <c r="U670" i="14"/>
  <c r="T670" i="14"/>
  <c r="N674" i="14"/>
  <c r="M671" i="14"/>
  <c r="T673" i="14"/>
  <c r="L675" i="14"/>
  <c r="L671" i="14"/>
  <c r="L669" i="14"/>
  <c r="O672" i="14"/>
  <c r="G674" i="14"/>
  <c r="K497" i="12"/>
  <c r="K498" i="12" s="1"/>
  <c r="J497" i="12"/>
  <c r="J498" i="12" s="1"/>
  <c r="I497" i="12"/>
  <c r="I498" i="12" s="1"/>
  <c r="C492" i="12"/>
  <c r="C493" i="12" s="1"/>
  <c r="C494" i="12" s="1"/>
  <c r="C495" i="12" s="1"/>
  <c r="C496" i="12" s="1"/>
  <c r="C497" i="12" s="1"/>
  <c r="C498" i="12" s="1"/>
  <c r="O1019" i="13"/>
  <c r="K1012" i="13"/>
  <c r="H1019" i="13"/>
  <c r="N1017" i="13"/>
  <c r="L1023" i="13"/>
  <c r="N1012" i="13"/>
  <c r="O1014" i="13"/>
  <c r="L1021" i="13"/>
  <c r="U1015" i="13"/>
  <c r="U1017" i="13"/>
  <c r="I1019" i="13"/>
  <c r="I1018" i="13"/>
  <c r="M1021" i="13"/>
  <c r="L1012" i="13"/>
  <c r="H1017" i="13"/>
  <c r="I1013" i="13"/>
  <c r="T1015" i="13"/>
  <c r="L1018" i="13"/>
  <c r="M1018" i="13"/>
  <c r="S1020" i="13"/>
  <c r="F1018" i="13"/>
  <c r="F1013" i="13"/>
  <c r="F1022" i="13"/>
  <c r="N1019" i="13"/>
  <c r="N1022" i="13"/>
  <c r="J1017" i="13"/>
  <c r="P1019" i="13"/>
  <c r="R1015" i="13"/>
  <c r="U1019" i="13"/>
  <c r="M1017" i="13"/>
  <c r="L1022" i="13"/>
  <c r="I1020" i="13"/>
  <c r="G1019" i="13"/>
  <c r="L1015" i="13"/>
  <c r="H1015" i="13"/>
  <c r="R1021" i="13"/>
  <c r="H1022" i="13"/>
  <c r="M1020" i="13"/>
  <c r="F1021" i="13"/>
  <c r="G1020" i="13"/>
  <c r="N1020" i="13"/>
  <c r="O1013" i="13"/>
  <c r="T1018" i="13"/>
  <c r="G1017" i="13"/>
  <c r="K1014" i="13"/>
  <c r="T1013" i="13"/>
  <c r="N1021" i="13"/>
  <c r="S1015" i="13"/>
  <c r="K1022" i="13"/>
  <c r="P1021" i="13"/>
  <c r="M1013" i="13"/>
  <c r="K1017" i="13"/>
  <c r="S1013" i="13"/>
  <c r="I1017" i="13"/>
  <c r="R1019" i="13"/>
  <c r="M1022" i="13"/>
  <c r="N1015" i="13"/>
  <c r="G1013" i="13"/>
  <c r="H1020" i="13"/>
  <c r="R1020" i="13"/>
  <c r="J1015" i="13"/>
  <c r="O1018" i="13"/>
  <c r="K1015" i="13"/>
  <c r="U1022" i="13"/>
  <c r="H1013" i="13"/>
  <c r="P1018" i="13"/>
  <c r="L1019" i="13"/>
  <c r="O1021" i="13"/>
  <c r="L1013" i="13"/>
  <c r="I1015" i="13"/>
  <c r="S1019" i="13"/>
  <c r="F1020" i="13"/>
  <c r="S1017" i="13"/>
  <c r="L1014" i="13"/>
  <c r="N1018" i="13"/>
  <c r="O1015" i="13"/>
  <c r="S1022" i="13"/>
  <c r="T1020" i="13"/>
  <c r="N1013" i="13"/>
  <c r="C1009" i="13"/>
  <c r="C1010" i="13" s="1"/>
  <c r="C1011" i="13" s="1"/>
  <c r="C1012" i="13" s="1"/>
  <c r="C1013" i="13" s="1"/>
  <c r="C1014" i="13" s="1"/>
  <c r="C1015" i="13" s="1"/>
  <c r="C1016" i="13" s="1"/>
  <c r="C1017" i="13" s="1"/>
  <c r="C1018" i="13" s="1"/>
  <c r="C1019" i="13" s="1"/>
  <c r="C1020" i="13" s="1"/>
  <c r="C1021" i="13" s="1"/>
  <c r="C1022" i="13" s="1"/>
  <c r="C1023" i="13" s="1"/>
  <c r="C1024" i="13" s="1"/>
  <c r="S1018" i="13"/>
  <c r="R1013" i="13"/>
  <c r="R1022" i="13"/>
  <c r="P1020" i="13"/>
  <c r="K1019" i="13"/>
  <c r="O1020" i="13"/>
  <c r="G1022" i="13"/>
  <c r="H1021" i="13"/>
  <c r="T1019" i="13"/>
  <c r="K1018" i="13"/>
  <c r="L1020" i="13"/>
  <c r="J1013" i="13"/>
  <c r="P1013" i="13"/>
  <c r="G1015" i="13"/>
  <c r="U1013" i="13"/>
  <c r="J1021" i="13"/>
  <c r="M1015" i="13"/>
  <c r="K1020" i="13"/>
  <c r="N1023" i="13"/>
  <c r="I1021" i="13"/>
  <c r="P1022" i="13"/>
  <c r="J1020" i="13"/>
  <c r="K1023" i="13"/>
  <c r="O1022" i="13"/>
  <c r="S1021" i="13"/>
  <c r="I1022" i="13"/>
  <c r="F1015" i="13"/>
  <c r="J1018" i="13"/>
  <c r="L1017" i="13"/>
  <c r="O1023" i="13"/>
  <c r="F1017" i="13"/>
  <c r="T1021" i="13"/>
  <c r="J1022" i="13"/>
  <c r="N1014" i="13"/>
  <c r="M1019" i="13"/>
  <c r="H1018" i="13"/>
  <c r="T1022" i="13"/>
  <c r="U1018" i="13"/>
  <c r="J1019" i="13"/>
  <c r="P1017" i="13"/>
  <c r="T1017" i="13"/>
  <c r="G1021" i="13"/>
  <c r="O1017" i="13"/>
  <c r="G1018" i="13"/>
  <c r="U1020" i="13"/>
  <c r="U1021" i="13"/>
  <c r="K1021" i="13"/>
  <c r="O1012" i="13"/>
  <c r="P1015" i="13"/>
  <c r="R1018" i="13"/>
  <c r="K1013" i="13"/>
  <c r="F1019" i="13"/>
  <c r="R1017" i="13"/>
  <c r="N713" i="15"/>
  <c r="G714" i="15"/>
  <c r="L716" i="15"/>
  <c r="I712" i="15"/>
  <c r="K715" i="15"/>
  <c r="M713" i="15"/>
  <c r="H712" i="15"/>
  <c r="H713" i="15"/>
  <c r="G713" i="15"/>
  <c r="O711" i="15"/>
  <c r="O705" i="15"/>
  <c r="O716" i="15"/>
  <c r="P705" i="15"/>
  <c r="F711" i="15"/>
  <c r="G715" i="15"/>
  <c r="N714" i="15"/>
  <c r="M710" i="15"/>
  <c r="H710" i="15"/>
  <c r="F714" i="15"/>
  <c r="H711" i="15"/>
  <c r="L714" i="15"/>
  <c r="M708" i="15"/>
  <c r="F715" i="15"/>
  <c r="O710" i="15"/>
  <c r="G712" i="15"/>
  <c r="P716" i="15"/>
  <c r="I706" i="15"/>
  <c r="M711" i="15"/>
  <c r="P706" i="15"/>
  <c r="H715" i="15"/>
  <c r="L712" i="15"/>
  <c r="P711" i="15"/>
  <c r="O708" i="15"/>
  <c r="J710" i="15"/>
  <c r="K708" i="15"/>
  <c r="N705" i="15"/>
  <c r="G706" i="15"/>
  <c r="L707" i="15"/>
  <c r="P708" i="15"/>
  <c r="I714" i="15"/>
  <c r="M712" i="15"/>
  <c r="J713" i="15"/>
  <c r="O713" i="15"/>
  <c r="N716" i="15"/>
  <c r="L713" i="15"/>
  <c r="J714" i="15"/>
  <c r="M706" i="15"/>
  <c r="K706" i="15"/>
  <c r="F710" i="15"/>
  <c r="G710" i="15"/>
  <c r="P714" i="15"/>
  <c r="M716" i="15"/>
  <c r="F708" i="15"/>
  <c r="K714" i="15"/>
  <c r="M707" i="15"/>
  <c r="I710" i="15"/>
  <c r="P713" i="15"/>
  <c r="N712" i="15"/>
  <c r="K711" i="15"/>
  <c r="O714" i="15"/>
  <c r="I708" i="15"/>
  <c r="N706" i="15"/>
  <c r="H708" i="15"/>
  <c r="J712" i="15"/>
  <c r="I711" i="15"/>
  <c r="M705" i="15"/>
  <c r="F706" i="15"/>
  <c r="K716" i="15"/>
  <c r="O715" i="15"/>
  <c r="J715" i="15"/>
  <c r="J711" i="15"/>
  <c r="L711" i="15"/>
  <c r="P712" i="15"/>
  <c r="K705" i="15"/>
  <c r="H714" i="15"/>
  <c r="L705" i="15"/>
  <c r="L708" i="15"/>
  <c r="G708" i="15"/>
  <c r="P715" i="15"/>
  <c r="L706" i="15"/>
  <c r="N715" i="15"/>
  <c r="J706" i="15"/>
  <c r="O706" i="15"/>
  <c r="K712" i="15"/>
  <c r="F713" i="15"/>
  <c r="N707" i="15"/>
  <c r="K710" i="15"/>
  <c r="K713" i="15"/>
  <c r="O712" i="15"/>
  <c r="H706" i="15"/>
  <c r="I715" i="15"/>
  <c r="C702" i="15"/>
  <c r="C703" i="15" s="1"/>
  <c r="C704" i="15" s="1"/>
  <c r="C705" i="15" s="1"/>
  <c r="C706" i="15" s="1"/>
  <c r="C707" i="15" s="1"/>
  <c r="C708" i="15" s="1"/>
  <c r="C709" i="15" s="1"/>
  <c r="C710" i="15" s="1"/>
  <c r="C711" i="15" s="1"/>
  <c r="C712" i="15" s="1"/>
  <c r="C713" i="15" s="1"/>
  <c r="C714" i="15" s="1"/>
  <c r="C715" i="15" s="1"/>
  <c r="C716" i="15" s="1"/>
  <c r="C717" i="15" s="1"/>
  <c r="J708" i="15"/>
  <c r="G711" i="15"/>
  <c r="F712" i="15"/>
  <c r="L715" i="15"/>
  <c r="N711" i="15"/>
  <c r="O707" i="15"/>
  <c r="P710" i="15"/>
  <c r="N710" i="15"/>
  <c r="I713" i="15"/>
  <c r="L710" i="15"/>
  <c r="M715" i="15"/>
  <c r="M714" i="15"/>
  <c r="N708" i="15"/>
  <c r="K707" i="15"/>
  <c r="P707" i="15"/>
  <c r="C613" i="11"/>
  <c r="Q618" i="11"/>
  <c r="I618" i="11"/>
  <c r="Q620" i="11"/>
  <c r="G618" i="11"/>
  <c r="Q619" i="11"/>
  <c r="P618" i="11"/>
  <c r="F618" i="11"/>
  <c r="I619" i="11"/>
  <c r="R619" i="11"/>
  <c r="F619" i="11"/>
  <c r="S620" i="11"/>
  <c r="H618" i="11"/>
  <c r="C614" i="11"/>
  <c r="C615" i="11" s="1"/>
  <c r="C616" i="11" s="1"/>
  <c r="C617" i="11" s="1"/>
  <c r="C618" i="11" s="1"/>
  <c r="C619" i="11" s="1"/>
  <c r="C620" i="11" s="1"/>
  <c r="C621" i="11" s="1"/>
  <c r="P620" i="11"/>
  <c r="I620" i="11"/>
  <c r="O620" i="11"/>
  <c r="N619" i="11"/>
  <c r="G619" i="11"/>
  <c r="H619" i="11"/>
  <c r="G620" i="11"/>
  <c r="S618" i="11"/>
  <c r="L619" i="11"/>
  <c r="R618" i="11"/>
  <c r="O618" i="11"/>
  <c r="J619" i="11"/>
  <c r="K620" i="11"/>
  <c r="T618" i="11"/>
  <c r="T619" i="11"/>
  <c r="O619" i="11"/>
  <c r="J620" i="11"/>
  <c r="H620" i="11"/>
  <c r="K618" i="11"/>
  <c r="T620" i="11"/>
  <c r="J618" i="11"/>
  <c r="M619" i="11"/>
  <c r="P619" i="11"/>
  <c r="R620" i="11"/>
  <c r="S619" i="11"/>
  <c r="F620" i="11"/>
  <c r="K619" i="11"/>
  <c r="K473" i="12"/>
  <c r="K474" i="12" s="1"/>
  <c r="I473" i="12"/>
  <c r="I474" i="12" s="1"/>
  <c r="J473" i="12"/>
  <c r="J474" i="12" s="1"/>
  <c r="C468" i="12"/>
  <c r="C469" i="12" s="1"/>
  <c r="C470" i="12" s="1"/>
  <c r="C471" i="12" s="1"/>
  <c r="C472" i="12" s="1"/>
  <c r="C473" i="12" s="1"/>
  <c r="C474" i="12" s="1"/>
  <c r="H420" i="13"/>
  <c r="T418" i="13"/>
  <c r="N418" i="13"/>
  <c r="G420" i="13"/>
  <c r="U423" i="13"/>
  <c r="H418" i="13"/>
  <c r="O420" i="13"/>
  <c r="P427" i="13"/>
  <c r="N417" i="13"/>
  <c r="P426" i="13"/>
  <c r="M427" i="13"/>
  <c r="R424" i="13"/>
  <c r="K417" i="13"/>
  <c r="G425" i="13"/>
  <c r="P423" i="13"/>
  <c r="F418" i="13"/>
  <c r="I424" i="13"/>
  <c r="P420" i="13"/>
  <c r="S422" i="13"/>
  <c r="L428" i="13"/>
  <c r="S423" i="13"/>
  <c r="J426" i="13"/>
  <c r="M422" i="13"/>
  <c r="K423" i="13"/>
  <c r="O427" i="13"/>
  <c r="M420" i="13"/>
  <c r="K425" i="13"/>
  <c r="I418" i="13"/>
  <c r="I422" i="13"/>
  <c r="P425" i="13"/>
  <c r="U418" i="13"/>
  <c r="K427" i="13"/>
  <c r="S420" i="13"/>
  <c r="O424" i="13"/>
  <c r="T422" i="13"/>
  <c r="S418" i="13"/>
  <c r="G418" i="13"/>
  <c r="J424" i="13"/>
  <c r="L426" i="13"/>
  <c r="L424" i="13"/>
  <c r="H425" i="13"/>
  <c r="H424" i="13"/>
  <c r="F420" i="13"/>
  <c r="S424" i="13"/>
  <c r="R418" i="13"/>
  <c r="R427" i="13"/>
  <c r="H427" i="13"/>
  <c r="S426" i="13"/>
  <c r="P424" i="13"/>
  <c r="K419" i="13"/>
  <c r="K428" i="13"/>
  <c r="U426" i="13"/>
  <c r="F422" i="13"/>
  <c r="H423" i="13"/>
  <c r="S427" i="13"/>
  <c r="T423" i="13"/>
  <c r="T424" i="13"/>
  <c r="N419" i="13"/>
  <c r="I426" i="13"/>
  <c r="N422" i="13"/>
  <c r="O419" i="13"/>
  <c r="L422" i="13"/>
  <c r="K418" i="13"/>
  <c r="N425" i="13"/>
  <c r="M426" i="13"/>
  <c r="O422" i="13"/>
  <c r="P418" i="13"/>
  <c r="M418" i="13"/>
  <c r="N420" i="13"/>
  <c r="N426" i="13"/>
  <c r="J427" i="13"/>
  <c r="R426" i="13"/>
  <c r="G426" i="13"/>
  <c r="R423" i="13"/>
  <c r="J422" i="13"/>
  <c r="H426" i="13"/>
  <c r="F426" i="13"/>
  <c r="T425" i="13"/>
  <c r="L419" i="13"/>
  <c r="K420" i="13"/>
  <c r="G427" i="13"/>
  <c r="O423" i="13"/>
  <c r="O418" i="13"/>
  <c r="N428" i="13"/>
  <c r="K422" i="13"/>
  <c r="N427" i="13"/>
  <c r="I420" i="13"/>
  <c r="U420" i="13"/>
  <c r="R425" i="13"/>
  <c r="J418" i="13"/>
  <c r="N424" i="13"/>
  <c r="L423" i="13"/>
  <c r="U427" i="13"/>
  <c r="L427" i="13"/>
  <c r="K426" i="13"/>
  <c r="L425" i="13"/>
  <c r="I423" i="13"/>
  <c r="I427" i="13"/>
  <c r="S425" i="13"/>
  <c r="O426" i="13"/>
  <c r="C414" i="13"/>
  <c r="C415" i="13" s="1"/>
  <c r="C416" i="13" s="1"/>
  <c r="C417" i="13" s="1"/>
  <c r="C418" i="13" s="1"/>
  <c r="C419" i="13" s="1"/>
  <c r="C420" i="13" s="1"/>
  <c r="C421" i="13" s="1"/>
  <c r="C422" i="13" s="1"/>
  <c r="C423" i="13" s="1"/>
  <c r="C424" i="13" s="1"/>
  <c r="C425" i="13" s="1"/>
  <c r="C426" i="13" s="1"/>
  <c r="C427" i="13" s="1"/>
  <c r="C428" i="13" s="1"/>
  <c r="C429" i="13" s="1"/>
  <c r="T426" i="13"/>
  <c r="G424" i="13"/>
  <c r="G422" i="13"/>
  <c r="R422" i="13"/>
  <c r="I425" i="13"/>
  <c r="L418" i="13"/>
  <c r="J423" i="13"/>
  <c r="M423" i="13"/>
  <c r="O428" i="13"/>
  <c r="K424" i="13"/>
  <c r="R420" i="13"/>
  <c r="F425" i="13"/>
  <c r="M425" i="13"/>
  <c r="T427" i="13"/>
  <c r="F427" i="13"/>
  <c r="N423" i="13"/>
  <c r="L420" i="13"/>
  <c r="J425" i="13"/>
  <c r="U425" i="13"/>
  <c r="J420" i="13"/>
  <c r="F424" i="13"/>
  <c r="F423" i="13"/>
  <c r="O417" i="13"/>
  <c r="P422" i="13"/>
  <c r="U422" i="13"/>
  <c r="T420" i="13"/>
  <c r="O425" i="13"/>
  <c r="L417" i="13"/>
  <c r="M424" i="13"/>
  <c r="H422" i="13"/>
  <c r="U424" i="13"/>
  <c r="G423" i="13"/>
  <c r="I233" i="12"/>
  <c r="I234" i="12" s="1"/>
  <c r="C228" i="12"/>
  <c r="C229" i="12" s="1"/>
  <c r="C230" i="12" s="1"/>
  <c r="C231" i="12" s="1"/>
  <c r="C232" i="12" s="1"/>
  <c r="C233" i="12" s="1"/>
  <c r="C234" i="12" s="1"/>
  <c r="K233" i="12"/>
  <c r="K234" i="12" s="1"/>
  <c r="J233" i="12"/>
  <c r="J234" i="12" s="1"/>
  <c r="J457" i="13"/>
  <c r="J454" i="13"/>
  <c r="J460" i="13"/>
  <c r="N452" i="13"/>
  <c r="O452" i="13"/>
  <c r="N451" i="13"/>
  <c r="G459" i="13"/>
  <c r="N453" i="13"/>
  <c r="G460" i="13"/>
  <c r="O461" i="13"/>
  <c r="R456" i="13"/>
  <c r="J459" i="13"/>
  <c r="M457" i="13"/>
  <c r="N461" i="13"/>
  <c r="K459" i="13"/>
  <c r="L457" i="13"/>
  <c r="N459" i="13"/>
  <c r="L462" i="13"/>
  <c r="J461" i="13"/>
  <c r="H460" i="13"/>
  <c r="I452" i="13"/>
  <c r="R457" i="13"/>
  <c r="U452" i="13"/>
  <c r="O462" i="13"/>
  <c r="T452" i="13"/>
  <c r="K454" i="13"/>
  <c r="J458" i="13"/>
  <c r="O451" i="13"/>
  <c r="M456" i="13"/>
  <c r="O458" i="13"/>
  <c r="G457" i="13"/>
  <c r="P457" i="13"/>
  <c r="K456" i="13"/>
  <c r="L459" i="13"/>
  <c r="K460" i="13"/>
  <c r="L456" i="13"/>
  <c r="L451" i="13"/>
  <c r="K458" i="13"/>
  <c r="M459" i="13"/>
  <c r="I454" i="13"/>
  <c r="T457" i="13"/>
  <c r="I456" i="13"/>
  <c r="P458" i="13"/>
  <c r="S459" i="13"/>
  <c r="R454" i="13"/>
  <c r="N456" i="13"/>
  <c r="I461" i="13"/>
  <c r="L452" i="13"/>
  <c r="R458" i="13"/>
  <c r="U461" i="13"/>
  <c r="H459" i="13"/>
  <c r="O459" i="13"/>
  <c r="L458" i="13"/>
  <c r="K461" i="13"/>
  <c r="O457" i="13"/>
  <c r="M458" i="13"/>
  <c r="T461" i="13"/>
  <c r="F459" i="13"/>
  <c r="I460" i="13"/>
  <c r="N462" i="13"/>
  <c r="U457" i="13"/>
  <c r="F461" i="13"/>
  <c r="P461" i="13"/>
  <c r="U459" i="13"/>
  <c r="P459" i="13"/>
  <c r="L460" i="13"/>
  <c r="T458" i="13"/>
  <c r="I457" i="13"/>
  <c r="L453" i="13"/>
  <c r="O456" i="13"/>
  <c r="M461" i="13"/>
  <c r="N458" i="13"/>
  <c r="K451" i="13"/>
  <c r="I458" i="13"/>
  <c r="U456" i="13"/>
  <c r="H454" i="13"/>
  <c r="I459" i="13"/>
  <c r="H456" i="13"/>
  <c r="P456" i="13"/>
  <c r="S452" i="13"/>
  <c r="T454" i="13"/>
  <c r="R460" i="13"/>
  <c r="S458" i="13"/>
  <c r="N454" i="13"/>
  <c r="M454" i="13"/>
  <c r="F460" i="13"/>
  <c r="R459" i="13"/>
  <c r="L461" i="13"/>
  <c r="P454" i="13"/>
  <c r="G458" i="13"/>
  <c r="O454" i="13"/>
  <c r="F457" i="13"/>
  <c r="G456" i="13"/>
  <c r="J456" i="13"/>
  <c r="H457" i="13"/>
  <c r="S454" i="13"/>
  <c r="J452" i="13"/>
  <c r="T456" i="13"/>
  <c r="F454" i="13"/>
  <c r="S460" i="13"/>
  <c r="C448" i="13"/>
  <c r="C449" i="13" s="1"/>
  <c r="C450" i="13" s="1"/>
  <c r="C451" i="13" s="1"/>
  <c r="C452" i="13" s="1"/>
  <c r="C453" i="13" s="1"/>
  <c r="C454" i="13" s="1"/>
  <c r="C455" i="13" s="1"/>
  <c r="C456" i="13" s="1"/>
  <c r="C457" i="13" s="1"/>
  <c r="C458" i="13" s="1"/>
  <c r="C459" i="13" s="1"/>
  <c r="C460" i="13" s="1"/>
  <c r="C461" i="13" s="1"/>
  <c r="C462" i="13" s="1"/>
  <c r="C463" i="13" s="1"/>
  <c r="O453" i="13"/>
  <c r="M460" i="13"/>
  <c r="K453" i="13"/>
  <c r="K462" i="13"/>
  <c r="H458" i="13"/>
  <c r="T460" i="13"/>
  <c r="P460" i="13"/>
  <c r="F452" i="13"/>
  <c r="K452" i="13"/>
  <c r="K457" i="13"/>
  <c r="R461" i="13"/>
  <c r="F456" i="13"/>
  <c r="F458" i="13"/>
  <c r="H461" i="13"/>
  <c r="S456" i="13"/>
  <c r="P452" i="13"/>
  <c r="U458" i="13"/>
  <c r="G452" i="13"/>
  <c r="T459" i="13"/>
  <c r="O460" i="13"/>
  <c r="N460" i="13"/>
  <c r="N457" i="13"/>
  <c r="L454" i="13"/>
  <c r="H452" i="13"/>
  <c r="S457" i="13"/>
  <c r="R452" i="13"/>
  <c r="G454" i="13"/>
  <c r="S461" i="13"/>
  <c r="M452" i="13"/>
  <c r="U460" i="13"/>
  <c r="U454" i="13"/>
  <c r="G461" i="13"/>
  <c r="J488" i="16"/>
  <c r="F492" i="16"/>
  <c r="L489" i="16"/>
  <c r="P492" i="16"/>
  <c r="M487" i="16"/>
  <c r="O493" i="16"/>
  <c r="H487" i="16"/>
  <c r="I488" i="16"/>
  <c r="I491" i="16"/>
  <c r="K493" i="16"/>
  <c r="F489" i="16"/>
  <c r="L485" i="16"/>
  <c r="G489" i="16"/>
  <c r="O489" i="16"/>
  <c r="M493" i="16"/>
  <c r="K490" i="16"/>
  <c r="I490" i="16"/>
  <c r="K489" i="16"/>
  <c r="H489" i="16"/>
  <c r="K485" i="16"/>
  <c r="N485" i="16"/>
  <c r="O491" i="16"/>
  <c r="M491" i="16"/>
  <c r="N490" i="16"/>
  <c r="G492" i="16"/>
  <c r="O487" i="16"/>
  <c r="G488" i="16"/>
  <c r="G491" i="16"/>
  <c r="G487" i="16"/>
  <c r="J487" i="16"/>
  <c r="M485" i="16"/>
  <c r="N492" i="16"/>
  <c r="P485" i="16"/>
  <c r="M490" i="16"/>
  <c r="N487" i="16"/>
  <c r="K492" i="16"/>
  <c r="J489" i="16"/>
  <c r="I492" i="16"/>
  <c r="N491" i="16"/>
  <c r="C482" i="16"/>
  <c r="C483" i="16" s="1"/>
  <c r="C484" i="16" s="1"/>
  <c r="C485" i="16" s="1"/>
  <c r="C486" i="16" s="1"/>
  <c r="C487" i="16" s="1"/>
  <c r="C488" i="16" s="1"/>
  <c r="C489" i="16" s="1"/>
  <c r="C490" i="16" s="1"/>
  <c r="C491" i="16" s="1"/>
  <c r="C492" i="16" s="1"/>
  <c r="C493" i="16" s="1"/>
  <c r="C494" i="16" s="1"/>
  <c r="H488" i="16"/>
  <c r="F491" i="16"/>
  <c r="M488" i="16"/>
  <c r="L490" i="16"/>
  <c r="L488" i="16"/>
  <c r="L487" i="16"/>
  <c r="L491" i="16"/>
  <c r="H490" i="16"/>
  <c r="P489" i="16"/>
  <c r="L493" i="16"/>
  <c r="P490" i="16"/>
  <c r="H492" i="16"/>
  <c r="I487" i="16"/>
  <c r="K491" i="16"/>
  <c r="N488" i="16"/>
  <c r="F490" i="16"/>
  <c r="I489" i="16"/>
  <c r="O485" i="16"/>
  <c r="N489" i="16"/>
  <c r="P487" i="16"/>
  <c r="N493" i="16"/>
  <c r="M489" i="16"/>
  <c r="O488" i="16"/>
  <c r="K487" i="16"/>
  <c r="O492" i="16"/>
  <c r="J491" i="16"/>
  <c r="F487" i="16"/>
  <c r="P488" i="16"/>
  <c r="M492" i="16"/>
  <c r="J492" i="16"/>
  <c r="F488" i="16"/>
  <c r="L492" i="16"/>
  <c r="J490" i="16"/>
  <c r="H491" i="16"/>
  <c r="K488" i="16"/>
  <c r="P493" i="16"/>
  <c r="P491" i="16"/>
  <c r="O490" i="16"/>
  <c r="G490" i="16"/>
  <c r="O629" i="15"/>
  <c r="J623" i="15"/>
  <c r="P630" i="15"/>
  <c r="O622" i="15"/>
  <c r="N626" i="15"/>
  <c r="I630" i="15"/>
  <c r="G629" i="15"/>
  <c r="G625" i="15"/>
  <c r="K625" i="15"/>
  <c r="O620" i="15"/>
  <c r="L628" i="15"/>
  <c r="L631" i="15"/>
  <c r="K629" i="15"/>
  <c r="O630" i="15"/>
  <c r="O625" i="15"/>
  <c r="F625" i="15"/>
  <c r="G628" i="15"/>
  <c r="P631" i="15"/>
  <c r="K630" i="15"/>
  <c r="K627" i="15"/>
  <c r="N623" i="15"/>
  <c r="G621" i="15"/>
  <c r="P627" i="15"/>
  <c r="H630" i="15"/>
  <c r="I627" i="15"/>
  <c r="J630" i="15"/>
  <c r="O627" i="15"/>
  <c r="N621" i="15"/>
  <c r="N629" i="15"/>
  <c r="J627" i="15"/>
  <c r="M629" i="15"/>
  <c r="H629" i="15"/>
  <c r="I626" i="15"/>
  <c r="P620" i="15"/>
  <c r="P623" i="15"/>
  <c r="P626" i="15"/>
  <c r="I628" i="15"/>
  <c r="O626" i="15"/>
  <c r="K622" i="15"/>
  <c r="M627" i="15"/>
  <c r="N622" i="15"/>
  <c r="K621" i="15"/>
  <c r="J629" i="15"/>
  <c r="F627" i="15"/>
  <c r="N627" i="15"/>
  <c r="M620" i="15"/>
  <c r="M622" i="15"/>
  <c r="O623" i="15"/>
  <c r="K631" i="15"/>
  <c r="G623" i="15"/>
  <c r="L627" i="15"/>
  <c r="P622" i="15"/>
  <c r="H628" i="15"/>
  <c r="N630" i="15"/>
  <c r="K620" i="15"/>
  <c r="P628" i="15"/>
  <c r="M623" i="15"/>
  <c r="O628" i="15"/>
  <c r="I623" i="15"/>
  <c r="L623" i="15"/>
  <c r="G630" i="15"/>
  <c r="G627" i="15"/>
  <c r="F629" i="15"/>
  <c r="H627" i="15"/>
  <c r="N625" i="15"/>
  <c r="K626" i="15"/>
  <c r="N631" i="15"/>
  <c r="L620" i="15"/>
  <c r="P625" i="15"/>
  <c r="M621" i="15"/>
  <c r="M630" i="15"/>
  <c r="F628" i="15"/>
  <c r="H623" i="15"/>
  <c r="J628" i="15"/>
  <c r="L629" i="15"/>
  <c r="M631" i="15"/>
  <c r="L621" i="15"/>
  <c r="O631" i="15"/>
  <c r="P621" i="15"/>
  <c r="L622" i="15"/>
  <c r="M628" i="15"/>
  <c r="I629" i="15"/>
  <c r="H625" i="15"/>
  <c r="J621" i="15"/>
  <c r="L626" i="15"/>
  <c r="F626" i="15"/>
  <c r="K628" i="15"/>
  <c r="I625" i="15"/>
  <c r="F630" i="15"/>
  <c r="M626" i="15"/>
  <c r="J626" i="15"/>
  <c r="L625" i="15"/>
  <c r="N620" i="15"/>
  <c r="F621" i="15"/>
  <c r="H626" i="15"/>
  <c r="C617" i="15"/>
  <c r="C618" i="15" s="1"/>
  <c r="C619" i="15" s="1"/>
  <c r="C620" i="15" s="1"/>
  <c r="C621" i="15" s="1"/>
  <c r="C622" i="15" s="1"/>
  <c r="C623" i="15" s="1"/>
  <c r="C624" i="15" s="1"/>
  <c r="C625" i="15" s="1"/>
  <c r="C626" i="15" s="1"/>
  <c r="C627" i="15" s="1"/>
  <c r="C628" i="15" s="1"/>
  <c r="C629" i="15" s="1"/>
  <c r="C630" i="15" s="1"/>
  <c r="C631" i="15" s="1"/>
  <c r="C632" i="15" s="1"/>
  <c r="K623" i="15"/>
  <c r="N628" i="15"/>
  <c r="L630" i="15"/>
  <c r="P629" i="15"/>
  <c r="H621" i="15"/>
  <c r="O621" i="15"/>
  <c r="M625" i="15"/>
  <c r="G626" i="15"/>
  <c r="I621" i="15"/>
  <c r="F623" i="15"/>
  <c r="J625" i="15"/>
  <c r="N970" i="13"/>
  <c r="O964" i="13"/>
  <c r="U968" i="13"/>
  <c r="T966" i="13"/>
  <c r="P966" i="13"/>
  <c r="K969" i="13"/>
  <c r="K962" i="13"/>
  <c r="T968" i="13"/>
  <c r="F964" i="13"/>
  <c r="R971" i="13"/>
  <c r="P969" i="13"/>
  <c r="O968" i="13"/>
  <c r="M968" i="13"/>
  <c r="F968" i="13"/>
  <c r="H967" i="13"/>
  <c r="G969" i="13"/>
  <c r="S969" i="13"/>
  <c r="N971" i="13"/>
  <c r="L970" i="13"/>
  <c r="T970" i="13"/>
  <c r="J966" i="13"/>
  <c r="T964" i="13"/>
  <c r="M969" i="13"/>
  <c r="L972" i="13"/>
  <c r="H969" i="13"/>
  <c r="R966" i="13"/>
  <c r="H966" i="13"/>
  <c r="L968" i="13"/>
  <c r="O971" i="13"/>
  <c r="J971" i="13"/>
  <c r="U962" i="13"/>
  <c r="S966" i="13"/>
  <c r="I971" i="13"/>
  <c r="N961" i="13"/>
  <c r="K971" i="13"/>
  <c r="U966" i="13"/>
  <c r="N969" i="13"/>
  <c r="S970" i="13"/>
  <c r="O970" i="13"/>
  <c r="L963" i="13"/>
  <c r="K972" i="13"/>
  <c r="H971" i="13"/>
  <c r="G970" i="13"/>
  <c r="U964" i="13"/>
  <c r="M970" i="13"/>
  <c r="K963" i="13"/>
  <c r="U970" i="13"/>
  <c r="F967" i="13"/>
  <c r="F962" i="13"/>
  <c r="K967" i="13"/>
  <c r="L964" i="13"/>
  <c r="F970" i="13"/>
  <c r="T962" i="13"/>
  <c r="S971" i="13"/>
  <c r="J962" i="13"/>
  <c r="L962" i="13"/>
  <c r="K964" i="13"/>
  <c r="I962" i="13"/>
  <c r="I964" i="13"/>
  <c r="I969" i="13"/>
  <c r="M966" i="13"/>
  <c r="N964" i="13"/>
  <c r="U969" i="13"/>
  <c r="R969" i="13"/>
  <c r="G962" i="13"/>
  <c r="H968" i="13"/>
  <c r="N966" i="13"/>
  <c r="N972" i="13"/>
  <c r="R962" i="13"/>
  <c r="I968" i="13"/>
  <c r="P968" i="13"/>
  <c r="T969" i="13"/>
  <c r="O961" i="13"/>
  <c r="K966" i="13"/>
  <c r="P967" i="13"/>
  <c r="L966" i="13"/>
  <c r="J968" i="13"/>
  <c r="O962" i="13"/>
  <c r="K961" i="13"/>
  <c r="M967" i="13"/>
  <c r="I970" i="13"/>
  <c r="I967" i="13"/>
  <c r="G966" i="13"/>
  <c r="M971" i="13"/>
  <c r="N963" i="13"/>
  <c r="F966" i="13"/>
  <c r="R970" i="13"/>
  <c r="R967" i="13"/>
  <c r="P964" i="13"/>
  <c r="K970" i="13"/>
  <c r="M962" i="13"/>
  <c r="G971" i="13"/>
  <c r="J967" i="13"/>
  <c r="G967" i="13"/>
  <c r="S968" i="13"/>
  <c r="L971" i="13"/>
  <c r="K968" i="13"/>
  <c r="H962" i="13"/>
  <c r="H970" i="13"/>
  <c r="P971" i="13"/>
  <c r="O969" i="13"/>
  <c r="O966" i="13"/>
  <c r="F969" i="13"/>
  <c r="H964" i="13"/>
  <c r="S967" i="13"/>
  <c r="J964" i="13"/>
  <c r="N962" i="13"/>
  <c r="N968" i="13"/>
  <c r="J970" i="13"/>
  <c r="T971" i="13"/>
  <c r="R968" i="13"/>
  <c r="L967" i="13"/>
  <c r="O963" i="13"/>
  <c r="F971" i="13"/>
  <c r="U971" i="13"/>
  <c r="G968" i="13"/>
  <c r="P962" i="13"/>
  <c r="N967" i="13"/>
  <c r="O967" i="13"/>
  <c r="R964" i="13"/>
  <c r="T967" i="13"/>
  <c r="U967" i="13"/>
  <c r="M964" i="13"/>
  <c r="L969" i="13"/>
  <c r="I966" i="13"/>
  <c r="G964" i="13"/>
  <c r="J969" i="13"/>
  <c r="S964" i="13"/>
  <c r="O972" i="13"/>
  <c r="L961" i="13"/>
  <c r="P970" i="13"/>
  <c r="C958" i="13"/>
  <c r="C959" i="13" s="1"/>
  <c r="C960" i="13" s="1"/>
  <c r="C961" i="13" s="1"/>
  <c r="C962" i="13" s="1"/>
  <c r="C963" i="13" s="1"/>
  <c r="C964" i="13" s="1"/>
  <c r="C965" i="13" s="1"/>
  <c r="C966" i="13" s="1"/>
  <c r="C967" i="13" s="1"/>
  <c r="C968" i="13" s="1"/>
  <c r="C969" i="13" s="1"/>
  <c r="C970" i="13" s="1"/>
  <c r="C971" i="13" s="1"/>
  <c r="C972" i="13" s="1"/>
  <c r="C973" i="13" s="1"/>
  <c r="S962" i="13"/>
  <c r="K353" i="12"/>
  <c r="K354" i="12" s="1"/>
  <c r="J353" i="12"/>
  <c r="J354" i="12" s="1"/>
  <c r="I353" i="12"/>
  <c r="I354" i="12" s="1"/>
  <c r="C348" i="12"/>
  <c r="C349" i="12" s="1"/>
  <c r="C350" i="12" s="1"/>
  <c r="C351" i="12" s="1"/>
  <c r="C352" i="12" s="1"/>
  <c r="C353" i="12" s="1"/>
  <c r="C354" i="12" s="1"/>
  <c r="H609" i="11"/>
  <c r="K608" i="11"/>
  <c r="C603" i="11"/>
  <c r="S610" i="11"/>
  <c r="T609" i="11"/>
  <c r="M609" i="11"/>
  <c r="J610" i="11"/>
  <c r="Q609" i="11"/>
  <c r="R609" i="11"/>
  <c r="J609" i="11"/>
  <c r="H608" i="11"/>
  <c r="S608" i="11"/>
  <c r="G608" i="11"/>
  <c r="O609" i="11"/>
  <c r="Q608" i="11"/>
  <c r="S609" i="11"/>
  <c r="T610" i="11"/>
  <c r="K609" i="11"/>
  <c r="H610" i="11"/>
  <c r="F609" i="11"/>
  <c r="N609" i="11"/>
  <c r="P609" i="11"/>
  <c r="Q610" i="11"/>
  <c r="I610" i="11"/>
  <c r="G610" i="11"/>
  <c r="I608" i="11"/>
  <c r="I609" i="11"/>
  <c r="K610" i="11"/>
  <c r="L609" i="11"/>
  <c r="O608" i="11"/>
  <c r="J608" i="11"/>
  <c r="F610" i="11"/>
  <c r="P610" i="11"/>
  <c r="C604" i="11"/>
  <c r="C605" i="11" s="1"/>
  <c r="C606" i="11" s="1"/>
  <c r="C607" i="11" s="1"/>
  <c r="C608" i="11" s="1"/>
  <c r="C609" i="11" s="1"/>
  <c r="C610" i="11" s="1"/>
  <c r="C611" i="11" s="1"/>
  <c r="O610" i="11"/>
  <c r="T608" i="11"/>
  <c r="P608" i="11"/>
  <c r="F608" i="11"/>
  <c r="F611" i="11" s="1"/>
  <c r="R610" i="11"/>
  <c r="G609" i="11"/>
  <c r="R608" i="11"/>
  <c r="K481" i="12"/>
  <c r="K482" i="12" s="1"/>
  <c r="J481" i="12"/>
  <c r="J482" i="12" s="1"/>
  <c r="C476" i="12"/>
  <c r="C477" i="12" s="1"/>
  <c r="C478" i="12" s="1"/>
  <c r="C479" i="12" s="1"/>
  <c r="C480" i="12" s="1"/>
  <c r="C481" i="12" s="1"/>
  <c r="C482" i="12" s="1"/>
  <c r="I481" i="12"/>
  <c r="I482" i="12" s="1"/>
  <c r="K66" i="13"/>
  <c r="K65" i="13"/>
  <c r="L61" i="13"/>
  <c r="L63" i="13"/>
  <c r="N61" i="13"/>
  <c r="N70" i="13"/>
  <c r="K68" i="13"/>
  <c r="N68" i="13"/>
  <c r="K69" i="13"/>
  <c r="L67" i="13"/>
  <c r="O67" i="13"/>
  <c r="L70" i="13"/>
  <c r="N67" i="13"/>
  <c r="O69" i="13"/>
  <c r="K61" i="13"/>
  <c r="L60" i="13"/>
  <c r="K67" i="13"/>
  <c r="O61" i="13"/>
  <c r="L66" i="13"/>
  <c r="L62" i="13"/>
  <c r="L71" i="13"/>
  <c r="L69" i="13"/>
  <c r="N65" i="13"/>
  <c r="C57" i="13"/>
  <c r="C58" i="13" s="1"/>
  <c r="C59" i="13" s="1"/>
  <c r="C60" i="13" s="1"/>
  <c r="C61" i="13" s="1"/>
  <c r="C62" i="13" s="1"/>
  <c r="C63" i="13" s="1"/>
  <c r="C64" i="13" s="1"/>
  <c r="C65" i="13" s="1"/>
  <c r="C66" i="13" s="1"/>
  <c r="C67" i="13" s="1"/>
  <c r="C68" i="13" s="1"/>
  <c r="C69" i="13" s="1"/>
  <c r="C70" i="13" s="1"/>
  <c r="C71" i="13" s="1"/>
  <c r="C72" i="13" s="1"/>
  <c r="K70" i="13"/>
  <c r="N60" i="13"/>
  <c r="N69" i="13"/>
  <c r="O71" i="13"/>
  <c r="O68" i="13"/>
  <c r="L68" i="13"/>
  <c r="N62" i="13"/>
  <c r="O62" i="13"/>
  <c r="O60" i="13"/>
  <c r="O65" i="13"/>
  <c r="O63" i="13"/>
  <c r="K63" i="13"/>
  <c r="K71" i="13"/>
  <c r="K62" i="13"/>
  <c r="N71" i="13"/>
  <c r="N66" i="13"/>
  <c r="N63" i="13"/>
  <c r="O70" i="13"/>
  <c r="O66" i="13"/>
  <c r="L65" i="13"/>
  <c r="K60" i="13"/>
  <c r="I201" i="12"/>
  <c r="I202" i="12" s="1"/>
  <c r="K201" i="12"/>
  <c r="K202" i="12" s="1"/>
  <c r="C196" i="12"/>
  <c r="C197" i="12" s="1"/>
  <c r="C198" i="12" s="1"/>
  <c r="C199" i="12" s="1"/>
  <c r="C200" i="12" s="1"/>
  <c r="C201" i="12" s="1"/>
  <c r="C202" i="12" s="1"/>
  <c r="J201" i="12"/>
  <c r="J202" i="12" s="1"/>
  <c r="P557" i="16"/>
  <c r="P559" i="16"/>
  <c r="J559" i="16"/>
  <c r="P560" i="16"/>
  <c r="L562" i="16"/>
  <c r="J561" i="16"/>
  <c r="H557" i="16"/>
  <c r="P563" i="16"/>
  <c r="L563" i="16"/>
  <c r="F560" i="16"/>
  <c r="M558" i="16"/>
  <c r="N558" i="16"/>
  <c r="G558" i="16"/>
  <c r="N562" i="16"/>
  <c r="M557" i="16"/>
  <c r="I558" i="16"/>
  <c r="L555" i="16"/>
  <c r="O555" i="16"/>
  <c r="J557" i="16"/>
  <c r="O560" i="16"/>
  <c r="O561" i="16"/>
  <c r="G560" i="16"/>
  <c r="G562" i="16"/>
  <c r="K559" i="16"/>
  <c r="P561" i="16"/>
  <c r="H558" i="16"/>
  <c r="K555" i="16"/>
  <c r="I559" i="16"/>
  <c r="O562" i="16"/>
  <c r="N555" i="16"/>
  <c r="H561" i="16"/>
  <c r="N563" i="16"/>
  <c r="H562" i="16"/>
  <c r="O559" i="16"/>
  <c r="F562" i="16"/>
  <c r="M555" i="16"/>
  <c r="J560" i="16"/>
  <c r="M562" i="16"/>
  <c r="N560" i="16"/>
  <c r="L560" i="16"/>
  <c r="K561" i="16"/>
  <c r="N559" i="16"/>
  <c r="K562" i="16"/>
  <c r="F557" i="16"/>
  <c r="P558" i="16"/>
  <c r="G557" i="16"/>
  <c r="K557" i="16"/>
  <c r="I560" i="16"/>
  <c r="K563" i="16"/>
  <c r="L557" i="16"/>
  <c r="O558" i="16"/>
  <c r="M563" i="16"/>
  <c r="H559" i="16"/>
  <c r="O557" i="16"/>
  <c r="F559" i="16"/>
  <c r="O563" i="16"/>
  <c r="F561" i="16"/>
  <c r="M560" i="16"/>
  <c r="J558" i="16"/>
  <c r="K560" i="16"/>
  <c r="M561" i="16"/>
  <c r="L558" i="16"/>
  <c r="N561" i="16"/>
  <c r="I557" i="16"/>
  <c r="N557" i="16"/>
  <c r="H560" i="16"/>
  <c r="K558" i="16"/>
  <c r="J562" i="16"/>
  <c r="L559" i="16"/>
  <c r="G561" i="16"/>
  <c r="P562" i="16"/>
  <c r="P555" i="16"/>
  <c r="F558" i="16"/>
  <c r="M559" i="16"/>
  <c r="C552" i="16"/>
  <c r="C553" i="16" s="1"/>
  <c r="C554" i="16" s="1"/>
  <c r="C555" i="16" s="1"/>
  <c r="C556" i="16" s="1"/>
  <c r="C557" i="16" s="1"/>
  <c r="C558" i="16" s="1"/>
  <c r="C559" i="16" s="1"/>
  <c r="C560" i="16" s="1"/>
  <c r="C561" i="16" s="1"/>
  <c r="C562" i="16" s="1"/>
  <c r="C563" i="16" s="1"/>
  <c r="C564" i="16" s="1"/>
  <c r="L561" i="16"/>
  <c r="I561" i="16"/>
  <c r="I562" i="16"/>
  <c r="G559" i="16"/>
  <c r="J337" i="12"/>
  <c r="J338" i="12" s="1"/>
  <c r="I337" i="12"/>
  <c r="I338" i="12" s="1"/>
  <c r="C332" i="12"/>
  <c r="C333" i="12" s="1"/>
  <c r="C334" i="12" s="1"/>
  <c r="C335" i="12" s="1"/>
  <c r="C336" i="12" s="1"/>
  <c r="C337" i="12" s="1"/>
  <c r="C338" i="12" s="1"/>
  <c r="K337" i="12"/>
  <c r="K338" i="12" s="1"/>
  <c r="I519" i="15"/>
  <c r="G524" i="15"/>
  <c r="N524" i="15"/>
  <c r="P519" i="15"/>
  <c r="K528" i="15"/>
  <c r="L528" i="15"/>
  <c r="J523" i="15"/>
  <c r="J528" i="15"/>
  <c r="H527" i="15"/>
  <c r="M521" i="15"/>
  <c r="J525" i="15"/>
  <c r="L524" i="15"/>
  <c r="P528" i="15"/>
  <c r="M528" i="15"/>
  <c r="O519" i="15"/>
  <c r="G519" i="15"/>
  <c r="P521" i="15"/>
  <c r="H526" i="15"/>
  <c r="O521" i="15"/>
  <c r="P529" i="15"/>
  <c r="P527" i="15"/>
  <c r="N528" i="15"/>
  <c r="F527" i="15"/>
  <c r="L520" i="15"/>
  <c r="M527" i="15"/>
  <c r="J527" i="15"/>
  <c r="N520" i="15"/>
  <c r="O518" i="15"/>
  <c r="H528" i="15"/>
  <c r="G523" i="15"/>
  <c r="H524" i="15"/>
  <c r="F524" i="15"/>
  <c r="M523" i="15"/>
  <c r="F526" i="15"/>
  <c r="K525" i="15"/>
  <c r="N521" i="15"/>
  <c r="J519" i="15"/>
  <c r="K520" i="15"/>
  <c r="L518" i="15"/>
  <c r="J521" i="15"/>
  <c r="I526" i="15"/>
  <c r="L521" i="15"/>
  <c r="I525" i="15"/>
  <c r="N525" i="15"/>
  <c r="H525" i="15"/>
  <c r="L525" i="15"/>
  <c r="O523" i="15"/>
  <c r="I527" i="15"/>
  <c r="O520" i="15"/>
  <c r="L526" i="15"/>
  <c r="I528" i="15"/>
  <c r="G527" i="15"/>
  <c r="K529" i="15"/>
  <c r="P526" i="15"/>
  <c r="L519" i="15"/>
  <c r="F525" i="15"/>
  <c r="J524" i="15"/>
  <c r="I524" i="15"/>
  <c r="P524" i="15"/>
  <c r="O525" i="15"/>
  <c r="K527" i="15"/>
  <c r="M525" i="15"/>
  <c r="N526" i="15"/>
  <c r="M519" i="15"/>
  <c r="N529" i="15"/>
  <c r="M529" i="15"/>
  <c r="F523" i="15"/>
  <c r="N518" i="15"/>
  <c r="K518" i="15"/>
  <c r="G525" i="15"/>
  <c r="H523" i="15"/>
  <c r="K519" i="15"/>
  <c r="P518" i="15"/>
  <c r="K526" i="15"/>
  <c r="P523" i="15"/>
  <c r="N523" i="15"/>
  <c r="F519" i="15"/>
  <c r="M526" i="15"/>
  <c r="O528" i="15"/>
  <c r="G521" i="15"/>
  <c r="F528" i="15"/>
  <c r="C515" i="15"/>
  <c r="C516" i="15" s="1"/>
  <c r="C517" i="15" s="1"/>
  <c r="C518" i="15" s="1"/>
  <c r="C519" i="15" s="1"/>
  <c r="C520" i="15" s="1"/>
  <c r="C521" i="15" s="1"/>
  <c r="C522" i="15" s="1"/>
  <c r="C523" i="15" s="1"/>
  <c r="C524" i="15" s="1"/>
  <c r="C525" i="15" s="1"/>
  <c r="C526" i="15" s="1"/>
  <c r="C527" i="15" s="1"/>
  <c r="C528" i="15" s="1"/>
  <c r="C529" i="15" s="1"/>
  <c r="C530" i="15" s="1"/>
  <c r="O529" i="15"/>
  <c r="P525" i="15"/>
  <c r="K521" i="15"/>
  <c r="L529" i="15"/>
  <c r="N527" i="15"/>
  <c r="M520" i="15"/>
  <c r="J526" i="15"/>
  <c r="I523" i="15"/>
  <c r="M518" i="15"/>
  <c r="I521" i="15"/>
  <c r="K523" i="15"/>
  <c r="N519" i="15"/>
  <c r="F521" i="15"/>
  <c r="M524" i="15"/>
  <c r="G528" i="15"/>
  <c r="G526" i="15"/>
  <c r="H519" i="15"/>
  <c r="K524" i="15"/>
  <c r="L523" i="15"/>
  <c r="L527" i="15"/>
  <c r="O526" i="15"/>
  <c r="H521" i="15"/>
  <c r="O524" i="15"/>
  <c r="O527" i="15"/>
  <c r="P520" i="15"/>
  <c r="M915" i="15"/>
  <c r="F910" i="15"/>
  <c r="L919" i="15"/>
  <c r="K917" i="15"/>
  <c r="O914" i="15"/>
  <c r="F919" i="15"/>
  <c r="F918" i="15"/>
  <c r="J910" i="15"/>
  <c r="F916" i="15"/>
  <c r="K909" i="15"/>
  <c r="L912" i="15"/>
  <c r="N910" i="15"/>
  <c r="P917" i="15"/>
  <c r="K915" i="15"/>
  <c r="M918" i="15"/>
  <c r="F915" i="15"/>
  <c r="I918" i="15"/>
  <c r="C906" i="15"/>
  <c r="C907" i="15" s="1"/>
  <c r="C908" i="15" s="1"/>
  <c r="C909" i="15" s="1"/>
  <c r="C910" i="15" s="1"/>
  <c r="C911" i="15" s="1"/>
  <c r="C912" i="15" s="1"/>
  <c r="C913" i="15" s="1"/>
  <c r="C914" i="15" s="1"/>
  <c r="C915" i="15" s="1"/>
  <c r="C916" i="15" s="1"/>
  <c r="C917" i="15" s="1"/>
  <c r="C918" i="15" s="1"/>
  <c r="C919" i="15" s="1"/>
  <c r="C920" i="15" s="1"/>
  <c r="C921" i="15" s="1"/>
  <c r="L916" i="15"/>
  <c r="H917" i="15"/>
  <c r="M911" i="15"/>
  <c r="G917" i="15"/>
  <c r="O916" i="15"/>
  <c r="O915" i="15"/>
  <c r="O909" i="15"/>
  <c r="L914" i="15"/>
  <c r="G912" i="15"/>
  <c r="H918" i="15"/>
  <c r="I919" i="15"/>
  <c r="O917" i="15"/>
  <c r="N917" i="15"/>
  <c r="P914" i="15"/>
  <c r="K910" i="15"/>
  <c r="M919" i="15"/>
  <c r="P912" i="15"/>
  <c r="J919" i="15"/>
  <c r="M910" i="15"/>
  <c r="G919" i="15"/>
  <c r="P918" i="15"/>
  <c r="L918" i="15"/>
  <c r="O910" i="15"/>
  <c r="O911" i="15"/>
  <c r="L915" i="15"/>
  <c r="N918" i="15"/>
  <c r="J912" i="15"/>
  <c r="H919" i="15"/>
  <c r="G918" i="15"/>
  <c r="G914" i="15"/>
  <c r="O912" i="15"/>
  <c r="K920" i="15"/>
  <c r="M916" i="15"/>
  <c r="P919" i="15"/>
  <c r="M920" i="15"/>
  <c r="G910" i="15"/>
  <c r="M909" i="15"/>
  <c r="M914" i="15"/>
  <c r="H914" i="15"/>
  <c r="N920" i="15"/>
  <c r="L911" i="15"/>
  <c r="L910" i="15"/>
  <c r="N919" i="15"/>
  <c r="K911" i="15"/>
  <c r="K918" i="15"/>
  <c r="J915" i="15"/>
  <c r="J917" i="15"/>
  <c r="H912" i="15"/>
  <c r="P911" i="15"/>
  <c r="L917" i="15"/>
  <c r="P910" i="15"/>
  <c r="P920" i="15"/>
  <c r="K912" i="15"/>
  <c r="O918" i="15"/>
  <c r="F912" i="15"/>
  <c r="H916" i="15"/>
  <c r="I917" i="15"/>
  <c r="L920" i="15"/>
  <c r="N912" i="15"/>
  <c r="N916" i="15"/>
  <c r="L909" i="15"/>
  <c r="K919" i="15"/>
  <c r="N914" i="15"/>
  <c r="H915" i="15"/>
  <c r="G915" i="15"/>
  <c r="F917" i="15"/>
  <c r="J918" i="15"/>
  <c r="M912" i="15"/>
  <c r="O920" i="15"/>
  <c r="P909" i="15"/>
  <c r="I914" i="15"/>
  <c r="O919" i="15"/>
  <c r="H910" i="15"/>
  <c r="N915" i="15"/>
  <c r="M917" i="15"/>
  <c r="J914" i="15"/>
  <c r="P916" i="15"/>
  <c r="F914" i="15"/>
  <c r="I912" i="15"/>
  <c r="K914" i="15"/>
  <c r="N909" i="15"/>
  <c r="P915" i="15"/>
  <c r="G916" i="15"/>
  <c r="J916" i="15"/>
  <c r="N911" i="15"/>
  <c r="I915" i="15"/>
  <c r="I916" i="15"/>
  <c r="K916" i="15"/>
  <c r="I910" i="15"/>
  <c r="I732" i="15"/>
  <c r="M727" i="15"/>
  <c r="O724" i="15"/>
  <c r="N722" i="15"/>
  <c r="F728" i="15"/>
  <c r="G730" i="15"/>
  <c r="K730" i="15"/>
  <c r="O729" i="15"/>
  <c r="O733" i="15"/>
  <c r="G725" i="15"/>
  <c r="N727" i="15"/>
  <c r="K724" i="15"/>
  <c r="K732" i="15"/>
  <c r="C719" i="15"/>
  <c r="C720" i="15" s="1"/>
  <c r="C721" i="15" s="1"/>
  <c r="C722" i="15" s="1"/>
  <c r="C723" i="15" s="1"/>
  <c r="C724" i="15" s="1"/>
  <c r="C725" i="15" s="1"/>
  <c r="C726" i="15" s="1"/>
  <c r="C727" i="15" s="1"/>
  <c r="C728" i="15" s="1"/>
  <c r="C729" i="15" s="1"/>
  <c r="C730" i="15" s="1"/>
  <c r="C731" i="15" s="1"/>
  <c r="C732" i="15" s="1"/>
  <c r="C733" i="15" s="1"/>
  <c r="C734" i="15" s="1"/>
  <c r="J730" i="15"/>
  <c r="L731" i="15"/>
  <c r="P729" i="15"/>
  <c r="H730" i="15"/>
  <c r="F732" i="15"/>
  <c r="O727" i="15"/>
  <c r="P723" i="15"/>
  <c r="P725" i="15"/>
  <c r="G723" i="15"/>
  <c r="G732" i="15"/>
  <c r="M732" i="15"/>
  <c r="P722" i="15"/>
  <c r="I727" i="15"/>
  <c r="J723" i="15"/>
  <c r="P727" i="15"/>
  <c r="K731" i="15"/>
  <c r="L729" i="15"/>
  <c r="J725" i="15"/>
  <c r="H732" i="15"/>
  <c r="F730" i="15"/>
  <c r="O722" i="15"/>
  <c r="L732" i="15"/>
  <c r="P730" i="15"/>
  <c r="I730" i="15"/>
  <c r="K729" i="15"/>
  <c r="O732" i="15"/>
  <c r="K728" i="15"/>
  <c r="H727" i="15"/>
  <c r="H729" i="15"/>
  <c r="K722" i="15"/>
  <c r="L723" i="15"/>
  <c r="K723" i="15"/>
  <c r="H728" i="15"/>
  <c r="L730" i="15"/>
  <c r="P732" i="15"/>
  <c r="O730" i="15"/>
  <c r="G727" i="15"/>
  <c r="F725" i="15"/>
  <c r="M728" i="15"/>
  <c r="L724" i="15"/>
  <c r="G731" i="15"/>
  <c r="I723" i="15"/>
  <c r="O728" i="15"/>
  <c r="J729" i="15"/>
  <c r="M729" i="15"/>
  <c r="G728" i="15"/>
  <c r="P728" i="15"/>
  <c r="I728" i="15"/>
  <c r="P731" i="15"/>
  <c r="N733" i="15"/>
  <c r="G729" i="15"/>
  <c r="M723" i="15"/>
  <c r="M731" i="15"/>
  <c r="P724" i="15"/>
  <c r="H723" i="15"/>
  <c r="N723" i="15"/>
  <c r="J731" i="15"/>
  <c r="P733" i="15"/>
  <c r="N725" i="15"/>
  <c r="F729" i="15"/>
  <c r="L733" i="15"/>
  <c r="O731" i="15"/>
  <c r="M724" i="15"/>
  <c r="J728" i="15"/>
  <c r="M722" i="15"/>
  <c r="F723" i="15"/>
  <c r="N732" i="15"/>
  <c r="N730" i="15"/>
  <c r="J732" i="15"/>
  <c r="O725" i="15"/>
  <c r="L722" i="15"/>
  <c r="M733" i="15"/>
  <c r="L725" i="15"/>
  <c r="M730" i="15"/>
  <c r="F731" i="15"/>
  <c r="K733" i="15"/>
  <c r="M725" i="15"/>
  <c r="K725" i="15"/>
  <c r="I729" i="15"/>
  <c r="N724" i="15"/>
  <c r="F727" i="15"/>
  <c r="L727" i="15"/>
  <c r="H731" i="15"/>
  <c r="H725" i="15"/>
  <c r="L728" i="15"/>
  <c r="N728" i="15"/>
  <c r="J727" i="15"/>
  <c r="O723" i="15"/>
  <c r="N731" i="15"/>
  <c r="I731" i="15"/>
  <c r="N729" i="15"/>
  <c r="K727" i="15"/>
  <c r="I725" i="15"/>
  <c r="P987" i="15"/>
  <c r="L982" i="15"/>
  <c r="P985" i="15"/>
  <c r="I983" i="15"/>
  <c r="H984" i="15"/>
  <c r="L978" i="15"/>
  <c r="M977" i="15"/>
  <c r="M988" i="15"/>
  <c r="P980" i="15"/>
  <c r="J980" i="15"/>
  <c r="J984" i="15"/>
  <c r="J982" i="15"/>
  <c r="K986" i="15"/>
  <c r="G987" i="15"/>
  <c r="G983" i="15"/>
  <c r="L986" i="15"/>
  <c r="M978" i="15"/>
  <c r="N982" i="15"/>
  <c r="G978" i="15"/>
  <c r="N983" i="15"/>
  <c r="G984" i="15"/>
  <c r="N979" i="15"/>
  <c r="P988" i="15"/>
  <c r="L977" i="15"/>
  <c r="O987" i="15"/>
  <c r="O979" i="15"/>
  <c r="I985" i="15"/>
  <c r="O985" i="15"/>
  <c r="F982" i="15"/>
  <c r="P979" i="15"/>
  <c r="M985" i="15"/>
  <c r="O984" i="15"/>
  <c r="P986" i="15"/>
  <c r="N980" i="15"/>
  <c r="L983" i="15"/>
  <c r="I984" i="15"/>
  <c r="F984" i="15"/>
  <c r="K982" i="15"/>
  <c r="O988" i="15"/>
  <c r="O986" i="15"/>
  <c r="C974" i="15"/>
  <c r="C975" i="15" s="1"/>
  <c r="C976" i="15" s="1"/>
  <c r="C977" i="15" s="1"/>
  <c r="C978" i="15" s="1"/>
  <c r="C979" i="15" s="1"/>
  <c r="C980" i="15" s="1"/>
  <c r="C981" i="15" s="1"/>
  <c r="C982" i="15" s="1"/>
  <c r="C983" i="15" s="1"/>
  <c r="C984" i="15" s="1"/>
  <c r="C985" i="15" s="1"/>
  <c r="C986" i="15" s="1"/>
  <c r="C987" i="15" s="1"/>
  <c r="C988" i="15" s="1"/>
  <c r="C989" i="15" s="1"/>
  <c r="H987" i="15"/>
  <c r="K978" i="15"/>
  <c r="N977" i="15"/>
  <c r="P977" i="15"/>
  <c r="M983" i="15"/>
  <c r="L980" i="15"/>
  <c r="N987" i="15"/>
  <c r="M979" i="15"/>
  <c r="M982" i="15"/>
  <c r="M987" i="15"/>
  <c r="J983" i="15"/>
  <c r="M986" i="15"/>
  <c r="F978" i="15"/>
  <c r="K987" i="15"/>
  <c r="O977" i="15"/>
  <c r="P984" i="15"/>
  <c r="J986" i="15"/>
  <c r="O980" i="15"/>
  <c r="L987" i="15"/>
  <c r="F983" i="15"/>
  <c r="K977" i="15"/>
  <c r="K988" i="15"/>
  <c r="K985" i="15"/>
  <c r="H983" i="15"/>
  <c r="H985" i="15"/>
  <c r="K979" i="15"/>
  <c r="M984" i="15"/>
  <c r="N988" i="15"/>
  <c r="K983" i="15"/>
  <c r="O978" i="15"/>
  <c r="L985" i="15"/>
  <c r="P978" i="15"/>
  <c r="P983" i="15"/>
  <c r="F980" i="15"/>
  <c r="K980" i="15"/>
  <c r="F985" i="15"/>
  <c r="L984" i="15"/>
  <c r="J985" i="15"/>
  <c r="O982" i="15"/>
  <c r="O983" i="15"/>
  <c r="H986" i="15"/>
  <c r="K984" i="15"/>
  <c r="J987" i="15"/>
  <c r="N986" i="15"/>
  <c r="N978" i="15"/>
  <c r="P982" i="15"/>
  <c r="J978" i="15"/>
  <c r="F987" i="15"/>
  <c r="N984" i="15"/>
  <c r="H978" i="15"/>
  <c r="I980" i="15"/>
  <c r="L979" i="15"/>
  <c r="G980" i="15"/>
  <c r="G985" i="15"/>
  <c r="H982" i="15"/>
  <c r="I978" i="15"/>
  <c r="I987" i="15"/>
  <c r="L988" i="15"/>
  <c r="F986" i="15"/>
  <c r="G986" i="15"/>
  <c r="M980" i="15"/>
  <c r="H980" i="15"/>
  <c r="N985" i="15"/>
  <c r="I986" i="15"/>
  <c r="G982" i="15"/>
  <c r="I982" i="15"/>
  <c r="K361" i="12"/>
  <c r="K362" i="12" s="1"/>
  <c r="J361" i="12"/>
  <c r="J362" i="12" s="1"/>
  <c r="I361" i="12"/>
  <c r="I362" i="12" s="1"/>
  <c r="C356" i="12"/>
  <c r="C357" i="12" s="1"/>
  <c r="C358" i="12" s="1"/>
  <c r="C359" i="12" s="1"/>
  <c r="C360" i="12" s="1"/>
  <c r="C361" i="12" s="1"/>
  <c r="C362" i="12" s="1"/>
  <c r="O794" i="13"/>
  <c r="N796" i="13"/>
  <c r="L791" i="13"/>
  <c r="F801" i="13"/>
  <c r="P796" i="13"/>
  <c r="G792" i="13"/>
  <c r="G799" i="13"/>
  <c r="R799" i="13"/>
  <c r="M799" i="13"/>
  <c r="O799" i="13"/>
  <c r="P801" i="13"/>
  <c r="L796" i="13"/>
  <c r="K801" i="13"/>
  <c r="P800" i="13"/>
  <c r="J799" i="13"/>
  <c r="U798" i="13"/>
  <c r="K792" i="13"/>
  <c r="J798" i="13"/>
  <c r="T798" i="13"/>
  <c r="T801" i="13"/>
  <c r="M801" i="13"/>
  <c r="P792" i="13"/>
  <c r="I792" i="13"/>
  <c r="U799" i="13"/>
  <c r="F794" i="13"/>
  <c r="I796" i="13"/>
  <c r="F799" i="13"/>
  <c r="C788" i="13"/>
  <c r="C789" i="13" s="1"/>
  <c r="C790" i="13" s="1"/>
  <c r="C791" i="13" s="1"/>
  <c r="C792" i="13" s="1"/>
  <c r="C793" i="13" s="1"/>
  <c r="C794" i="13" s="1"/>
  <c r="C795" i="13" s="1"/>
  <c r="C796" i="13" s="1"/>
  <c r="C797" i="13" s="1"/>
  <c r="C798" i="13" s="1"/>
  <c r="C799" i="13" s="1"/>
  <c r="C800" i="13" s="1"/>
  <c r="C801" i="13" s="1"/>
  <c r="C802" i="13" s="1"/>
  <c r="C803" i="13" s="1"/>
  <c r="N797" i="13"/>
  <c r="L800" i="13"/>
  <c r="N794" i="13"/>
  <c r="K800" i="13"/>
  <c r="N791" i="13"/>
  <c r="S800" i="13"/>
  <c r="R796" i="13"/>
  <c r="U801" i="13"/>
  <c r="R794" i="13"/>
  <c r="S794" i="13"/>
  <c r="T799" i="13"/>
  <c r="S797" i="13"/>
  <c r="S798" i="13"/>
  <c r="F798" i="13"/>
  <c r="L792" i="13"/>
  <c r="L794" i="13"/>
  <c r="O800" i="13"/>
  <c r="N793" i="13"/>
  <c r="K797" i="13"/>
  <c r="M794" i="13"/>
  <c r="N799" i="13"/>
  <c r="K798" i="13"/>
  <c r="I799" i="13"/>
  <c r="I794" i="13"/>
  <c r="T792" i="13"/>
  <c r="H798" i="13"/>
  <c r="G797" i="13"/>
  <c r="L801" i="13"/>
  <c r="O791" i="13"/>
  <c r="M797" i="13"/>
  <c r="K791" i="13"/>
  <c r="N801" i="13"/>
  <c r="L798" i="13"/>
  <c r="L802" i="13"/>
  <c r="K802" i="13"/>
  <c r="K793" i="13"/>
  <c r="I798" i="13"/>
  <c r="H796" i="13"/>
  <c r="F797" i="13"/>
  <c r="I800" i="13"/>
  <c r="F796" i="13"/>
  <c r="U796" i="13"/>
  <c r="J794" i="13"/>
  <c r="P797" i="13"/>
  <c r="O792" i="13"/>
  <c r="M796" i="13"/>
  <c r="N800" i="13"/>
  <c r="L793" i="13"/>
  <c r="O796" i="13"/>
  <c r="H797" i="13"/>
  <c r="S792" i="13"/>
  <c r="R797" i="13"/>
  <c r="U794" i="13"/>
  <c r="J796" i="13"/>
  <c r="G794" i="13"/>
  <c r="J792" i="13"/>
  <c r="T794" i="13"/>
  <c r="F792" i="13"/>
  <c r="J801" i="13"/>
  <c r="K794" i="13"/>
  <c r="L799" i="13"/>
  <c r="L797" i="13"/>
  <c r="N798" i="13"/>
  <c r="T796" i="13"/>
  <c r="I801" i="13"/>
  <c r="H801" i="13"/>
  <c r="P794" i="13"/>
  <c r="U797" i="13"/>
  <c r="G798" i="13"/>
  <c r="F800" i="13"/>
  <c r="I797" i="13"/>
  <c r="H792" i="13"/>
  <c r="G800" i="13"/>
  <c r="R800" i="13"/>
  <c r="S801" i="13"/>
  <c r="H799" i="13"/>
  <c r="M798" i="13"/>
  <c r="N802" i="13"/>
  <c r="O798" i="13"/>
  <c r="M800" i="13"/>
  <c r="S796" i="13"/>
  <c r="T797" i="13"/>
  <c r="S799" i="13"/>
  <c r="R801" i="13"/>
  <c r="U800" i="13"/>
  <c r="H794" i="13"/>
  <c r="P799" i="13"/>
  <c r="P798" i="13"/>
  <c r="H800" i="13"/>
  <c r="K796" i="13"/>
  <c r="T800" i="13"/>
  <c r="R792" i="13"/>
  <c r="G796" i="13"/>
  <c r="N792" i="13"/>
  <c r="R798" i="13"/>
  <c r="O801" i="13"/>
  <c r="M792" i="13"/>
  <c r="G801" i="13"/>
  <c r="K799" i="13"/>
  <c r="J797" i="13"/>
  <c r="J800" i="13"/>
  <c r="O793" i="13"/>
  <c r="O802" i="13"/>
  <c r="U792" i="13"/>
  <c r="O797" i="13"/>
  <c r="I859" i="15"/>
  <c r="P859" i="15"/>
  <c r="M866" i="15"/>
  <c r="M858" i="15"/>
  <c r="G865" i="15"/>
  <c r="H865" i="15"/>
  <c r="N858" i="15"/>
  <c r="K867" i="15"/>
  <c r="M868" i="15"/>
  <c r="G866" i="15"/>
  <c r="K859" i="15"/>
  <c r="N866" i="15"/>
  <c r="P868" i="15"/>
  <c r="J863" i="15"/>
  <c r="F865" i="15"/>
  <c r="L869" i="15"/>
  <c r="L867" i="15"/>
  <c r="K869" i="15"/>
  <c r="G863" i="15"/>
  <c r="L859" i="15"/>
  <c r="O863" i="15"/>
  <c r="N868" i="15"/>
  <c r="J859" i="15"/>
  <c r="F861" i="15"/>
  <c r="P861" i="15"/>
  <c r="M867" i="15"/>
  <c r="L858" i="15"/>
  <c r="I867" i="15"/>
  <c r="M859" i="15"/>
  <c r="N860" i="15"/>
  <c r="P864" i="15"/>
  <c r="J865" i="15"/>
  <c r="J866" i="15"/>
  <c r="K861" i="15"/>
  <c r="N867" i="15"/>
  <c r="G868" i="15"/>
  <c r="J864" i="15"/>
  <c r="N859" i="15"/>
  <c r="O869" i="15"/>
  <c r="M864" i="15"/>
  <c r="I863" i="15"/>
  <c r="G859" i="15"/>
  <c r="L861" i="15"/>
  <c r="O864" i="15"/>
  <c r="I868" i="15"/>
  <c r="H867" i="15"/>
  <c r="O866" i="15"/>
  <c r="P863" i="15"/>
  <c r="M860" i="15"/>
  <c r="I864" i="15"/>
  <c r="G861" i="15"/>
  <c r="M861" i="15"/>
  <c r="L860" i="15"/>
  <c r="H864" i="15"/>
  <c r="F863" i="15"/>
  <c r="P858" i="15"/>
  <c r="K863" i="15"/>
  <c r="K868" i="15"/>
  <c r="H863" i="15"/>
  <c r="P865" i="15"/>
  <c r="N861" i="15"/>
  <c r="P869" i="15"/>
  <c r="F859" i="15"/>
  <c r="G867" i="15"/>
  <c r="O858" i="15"/>
  <c r="L863" i="15"/>
  <c r="O865" i="15"/>
  <c r="C855" i="15"/>
  <c r="C856" i="15" s="1"/>
  <c r="C857" i="15" s="1"/>
  <c r="C858" i="15" s="1"/>
  <c r="C859" i="15" s="1"/>
  <c r="C860" i="15" s="1"/>
  <c r="C861" i="15" s="1"/>
  <c r="C862" i="15" s="1"/>
  <c r="C863" i="15" s="1"/>
  <c r="C864" i="15" s="1"/>
  <c r="C865" i="15" s="1"/>
  <c r="C866" i="15" s="1"/>
  <c r="C867" i="15" s="1"/>
  <c r="C868" i="15" s="1"/>
  <c r="C869" i="15" s="1"/>
  <c r="C870" i="15" s="1"/>
  <c r="K865" i="15"/>
  <c r="O859" i="15"/>
  <c r="L868" i="15"/>
  <c r="F866" i="15"/>
  <c r="F868" i="15"/>
  <c r="N869" i="15"/>
  <c r="M863" i="15"/>
  <c r="L864" i="15"/>
  <c r="F864" i="15"/>
  <c r="L865" i="15"/>
  <c r="K858" i="15"/>
  <c r="P860" i="15"/>
  <c r="I866" i="15"/>
  <c r="J861" i="15"/>
  <c r="P866" i="15"/>
  <c r="N863" i="15"/>
  <c r="G864" i="15"/>
  <c r="J867" i="15"/>
  <c r="M865" i="15"/>
  <c r="O860" i="15"/>
  <c r="K864" i="15"/>
  <c r="I865" i="15"/>
  <c r="L866" i="15"/>
  <c r="N864" i="15"/>
  <c r="H866" i="15"/>
  <c r="N865" i="15"/>
  <c r="K860" i="15"/>
  <c r="F867" i="15"/>
  <c r="M869" i="15"/>
  <c r="J868" i="15"/>
  <c r="K866" i="15"/>
  <c r="O861" i="15"/>
  <c r="H861" i="15"/>
  <c r="O867" i="15"/>
  <c r="H868" i="15"/>
  <c r="O868" i="15"/>
  <c r="H859" i="15"/>
  <c r="I861" i="15"/>
  <c r="P867" i="15"/>
  <c r="R350" i="14"/>
  <c r="J347" i="14"/>
  <c r="L350" i="14"/>
  <c r="F350" i="14"/>
  <c r="O350" i="14"/>
  <c r="R347" i="14"/>
  <c r="R348" i="14"/>
  <c r="N350" i="14"/>
  <c r="M350" i="14"/>
  <c r="K347" i="14"/>
  <c r="H349" i="14"/>
  <c r="S348" i="14"/>
  <c r="G347" i="14"/>
  <c r="U350" i="14"/>
  <c r="M347" i="14"/>
  <c r="S347" i="14"/>
  <c r="N352" i="14"/>
  <c r="M348" i="14"/>
  <c r="J350" i="14"/>
  <c r="O345" i="14"/>
  <c r="L351" i="14"/>
  <c r="T352" i="14"/>
  <c r="K351" i="14"/>
  <c r="H348" i="14"/>
  <c r="P348" i="14"/>
  <c r="S350" i="14"/>
  <c r="N347" i="14"/>
  <c r="O347" i="14"/>
  <c r="U351" i="14"/>
  <c r="J351" i="14"/>
  <c r="O353" i="14"/>
  <c r="L353" i="14"/>
  <c r="S349" i="14"/>
  <c r="T350" i="14"/>
  <c r="K350" i="14"/>
  <c r="H352" i="14"/>
  <c r="G351" i="14"/>
  <c r="L347" i="14"/>
  <c r="L349" i="14"/>
  <c r="U348" i="14"/>
  <c r="P347" i="14"/>
  <c r="R352" i="14"/>
  <c r="U352" i="14"/>
  <c r="P350" i="14"/>
  <c r="H351" i="14"/>
  <c r="G349" i="14"/>
  <c r="T348" i="14"/>
  <c r="T349" i="14"/>
  <c r="U349" i="14"/>
  <c r="T351" i="14"/>
  <c r="K352" i="14"/>
  <c r="M352" i="14"/>
  <c r="I350" i="14"/>
  <c r="P349" i="14"/>
  <c r="J349" i="14"/>
  <c r="I348" i="14"/>
  <c r="L352" i="14"/>
  <c r="O352" i="14"/>
  <c r="O351" i="14"/>
  <c r="L345" i="14"/>
  <c r="G350" i="14"/>
  <c r="C342" i="14"/>
  <c r="R351" i="14"/>
  <c r="F347" i="14"/>
  <c r="M349" i="14"/>
  <c r="H347" i="14"/>
  <c r="O349" i="14"/>
  <c r="T347" i="14"/>
  <c r="N351" i="14"/>
  <c r="U347" i="14"/>
  <c r="O348" i="14"/>
  <c r="K348" i="14"/>
  <c r="L348" i="14"/>
  <c r="J352" i="14"/>
  <c r="N348" i="14"/>
  <c r="G348" i="14"/>
  <c r="I352" i="14"/>
  <c r="K349" i="14"/>
  <c r="P352" i="14"/>
  <c r="H350" i="14"/>
  <c r="F352" i="14"/>
  <c r="I351" i="14"/>
  <c r="F348" i="14"/>
  <c r="S352" i="14"/>
  <c r="I349" i="14"/>
  <c r="F349" i="14"/>
  <c r="R349" i="14"/>
  <c r="F351" i="14"/>
  <c r="M351" i="14"/>
  <c r="S351" i="14"/>
  <c r="G352" i="14"/>
  <c r="P351" i="14"/>
  <c r="J348" i="14"/>
  <c r="N349" i="14"/>
  <c r="I347" i="14"/>
  <c r="H683" i="14"/>
  <c r="N687" i="14"/>
  <c r="G685" i="14"/>
  <c r="F686" i="14"/>
  <c r="G684" i="14"/>
  <c r="U684" i="14"/>
  <c r="N684" i="14"/>
  <c r="C678" i="14"/>
  <c r="G688" i="14"/>
  <c r="P684" i="14"/>
  <c r="O685" i="14"/>
  <c r="J684" i="14"/>
  <c r="P685" i="14"/>
  <c r="S686" i="14"/>
  <c r="R688" i="14"/>
  <c r="G687" i="14"/>
  <c r="H686" i="14"/>
  <c r="O686" i="14"/>
  <c r="U683" i="14"/>
  <c r="F688" i="14"/>
  <c r="T686" i="14"/>
  <c r="J687" i="14"/>
  <c r="M688" i="14"/>
  <c r="S688" i="14"/>
  <c r="O684" i="14"/>
  <c r="M683" i="14"/>
  <c r="K685" i="14"/>
  <c r="T685" i="14"/>
  <c r="J683" i="14"/>
  <c r="P686" i="14"/>
  <c r="S685" i="14"/>
  <c r="U687" i="14"/>
  <c r="O681" i="14"/>
  <c r="L685" i="14"/>
  <c r="L689" i="14"/>
  <c r="O688" i="14"/>
  <c r="M686" i="14"/>
  <c r="H688" i="14"/>
  <c r="M684" i="14"/>
  <c r="U686" i="14"/>
  <c r="H685" i="14"/>
  <c r="R687" i="14"/>
  <c r="J685" i="14"/>
  <c r="M685" i="14"/>
  <c r="O689" i="14"/>
  <c r="H687" i="14"/>
  <c r="S687" i="14"/>
  <c r="P683" i="14"/>
  <c r="R684" i="14"/>
  <c r="M687" i="14"/>
  <c r="O683" i="14"/>
  <c r="F684" i="14"/>
  <c r="O687" i="14"/>
  <c r="I685" i="14"/>
  <c r="U685" i="14"/>
  <c r="I684" i="14"/>
  <c r="K687" i="14"/>
  <c r="N686" i="14"/>
  <c r="P687" i="14"/>
  <c r="J688" i="14"/>
  <c r="K686" i="14"/>
  <c r="L681" i="14"/>
  <c r="G686" i="14"/>
  <c r="I688" i="14"/>
  <c r="L687" i="14"/>
  <c r="G683" i="14"/>
  <c r="L686" i="14"/>
  <c r="K684" i="14"/>
  <c r="L688" i="14"/>
  <c r="S684" i="14"/>
  <c r="S683" i="14"/>
  <c r="T688" i="14"/>
  <c r="R686" i="14"/>
  <c r="N683" i="14"/>
  <c r="I687" i="14"/>
  <c r="F683" i="14"/>
  <c r="F687" i="14"/>
  <c r="L683" i="14"/>
  <c r="U688" i="14"/>
  <c r="K688" i="14"/>
  <c r="K683" i="14"/>
  <c r="I683" i="14"/>
  <c r="L684" i="14"/>
  <c r="I686" i="14"/>
  <c r="J686" i="14"/>
  <c r="P688" i="14"/>
  <c r="R685" i="14"/>
  <c r="F685" i="14"/>
  <c r="T687" i="14"/>
  <c r="T683" i="14"/>
  <c r="H684" i="14"/>
  <c r="N688" i="14"/>
  <c r="T684" i="14"/>
  <c r="R683" i="14"/>
  <c r="N685" i="14"/>
  <c r="G575" i="14"/>
  <c r="K575" i="14"/>
  <c r="L577" i="14"/>
  <c r="M575" i="14"/>
  <c r="O572" i="14"/>
  <c r="N572" i="14"/>
  <c r="T574" i="14"/>
  <c r="H575" i="14"/>
  <c r="T575" i="14"/>
  <c r="K573" i="14"/>
  <c r="O575" i="14"/>
  <c r="M573" i="14"/>
  <c r="F571" i="14"/>
  <c r="S573" i="14"/>
  <c r="G576" i="14"/>
  <c r="L574" i="14"/>
  <c r="T576" i="14"/>
  <c r="H572" i="14"/>
  <c r="J573" i="14"/>
  <c r="L569" i="14"/>
  <c r="J575" i="14"/>
  <c r="F573" i="14"/>
  <c r="R574" i="14"/>
  <c r="S571" i="14"/>
  <c r="O571" i="14"/>
  <c r="P575" i="14"/>
  <c r="P574" i="14"/>
  <c r="U576" i="14"/>
  <c r="L572" i="14"/>
  <c r="G574" i="14"/>
  <c r="P573" i="14"/>
  <c r="U575" i="14"/>
  <c r="U572" i="14"/>
  <c r="P571" i="14"/>
  <c r="R576" i="14"/>
  <c r="K574" i="14"/>
  <c r="M571" i="14"/>
  <c r="F574" i="14"/>
  <c r="K576" i="14"/>
  <c r="N571" i="14"/>
  <c r="N574" i="14"/>
  <c r="L575" i="14"/>
  <c r="S575" i="14"/>
  <c r="U571" i="14"/>
  <c r="H573" i="14"/>
  <c r="I575" i="14"/>
  <c r="M576" i="14"/>
  <c r="H574" i="14"/>
  <c r="O569" i="14"/>
  <c r="R573" i="14"/>
  <c r="P576" i="14"/>
  <c r="L571" i="14"/>
  <c r="O574" i="14"/>
  <c r="J572" i="14"/>
  <c r="O576" i="14"/>
  <c r="J576" i="14"/>
  <c r="T572" i="14"/>
  <c r="N573" i="14"/>
  <c r="G573" i="14"/>
  <c r="F572" i="14"/>
  <c r="C566" i="14"/>
  <c r="T571" i="14"/>
  <c r="J574" i="14"/>
  <c r="R575" i="14"/>
  <c r="K571" i="14"/>
  <c r="L576" i="14"/>
  <c r="I571" i="14"/>
  <c r="J571" i="14"/>
  <c r="I576" i="14"/>
  <c r="S576" i="14"/>
  <c r="G572" i="14"/>
  <c r="F576" i="14"/>
  <c r="U574" i="14"/>
  <c r="M572" i="14"/>
  <c r="T573" i="14"/>
  <c r="O573" i="14"/>
  <c r="M574" i="14"/>
  <c r="O577" i="14"/>
  <c r="H576" i="14"/>
  <c r="H571" i="14"/>
  <c r="S574" i="14"/>
  <c r="S572" i="14"/>
  <c r="L573" i="14"/>
  <c r="N575" i="14"/>
  <c r="P572" i="14"/>
  <c r="R572" i="14"/>
  <c r="K572" i="14"/>
  <c r="R571" i="14"/>
  <c r="G571" i="14"/>
  <c r="I574" i="14"/>
  <c r="U573" i="14"/>
  <c r="I573" i="14"/>
  <c r="N576" i="14"/>
  <c r="F575" i="14"/>
  <c r="I572" i="14"/>
  <c r="L697" i="15"/>
  <c r="N691" i="15"/>
  <c r="P695" i="15"/>
  <c r="K689" i="15"/>
  <c r="O689" i="15"/>
  <c r="H697" i="15"/>
  <c r="I693" i="15"/>
  <c r="H696" i="15"/>
  <c r="P693" i="15"/>
  <c r="P688" i="15"/>
  <c r="P690" i="15"/>
  <c r="P697" i="15"/>
  <c r="N690" i="15"/>
  <c r="O696" i="15"/>
  <c r="O694" i="15"/>
  <c r="O691" i="15"/>
  <c r="F694" i="15"/>
  <c r="J693" i="15"/>
  <c r="N688" i="15"/>
  <c r="P699" i="15"/>
  <c r="K688" i="15"/>
  <c r="K696" i="15"/>
  <c r="N693" i="15"/>
  <c r="P689" i="15"/>
  <c r="K698" i="15"/>
  <c r="H691" i="15"/>
  <c r="I694" i="15"/>
  <c r="H694" i="15"/>
  <c r="J696" i="15"/>
  <c r="L688" i="15"/>
  <c r="N698" i="15"/>
  <c r="P698" i="15"/>
  <c r="P696" i="15"/>
  <c r="P694" i="15"/>
  <c r="N695" i="15"/>
  <c r="P691" i="15"/>
  <c r="J695" i="15"/>
  <c r="I696" i="15"/>
  <c r="J689" i="15"/>
  <c r="F693" i="15"/>
  <c r="M696" i="15"/>
  <c r="M694" i="15"/>
  <c r="M691" i="15"/>
  <c r="K690" i="15"/>
  <c r="F696" i="15"/>
  <c r="H695" i="15"/>
  <c r="H689" i="15"/>
  <c r="J698" i="15"/>
  <c r="H698" i="15"/>
  <c r="L695" i="15"/>
  <c r="L693" i="15"/>
  <c r="O697" i="15"/>
  <c r="G697" i="15"/>
  <c r="I691" i="15"/>
  <c r="C685" i="15"/>
  <c r="C686" i="15" s="1"/>
  <c r="C687" i="15" s="1"/>
  <c r="C688" i="15" s="1"/>
  <c r="C689" i="15" s="1"/>
  <c r="C690" i="15" s="1"/>
  <c r="C691" i="15" s="1"/>
  <c r="C692" i="15" s="1"/>
  <c r="C693" i="15" s="1"/>
  <c r="C694" i="15" s="1"/>
  <c r="C695" i="15" s="1"/>
  <c r="C696" i="15" s="1"/>
  <c r="C697" i="15" s="1"/>
  <c r="C698" i="15" s="1"/>
  <c r="C699" i="15" s="1"/>
  <c r="C700" i="15" s="1"/>
  <c r="I698" i="15"/>
  <c r="F695" i="15"/>
  <c r="K693" i="15"/>
  <c r="O699" i="15"/>
  <c r="N694" i="15"/>
  <c r="N696" i="15"/>
  <c r="O695" i="15"/>
  <c r="K694" i="15"/>
  <c r="K691" i="15"/>
  <c r="G693" i="15"/>
  <c r="I697" i="15"/>
  <c r="M690" i="15"/>
  <c r="M699" i="15"/>
  <c r="O688" i="15"/>
  <c r="O690" i="15"/>
  <c r="H693" i="15"/>
  <c r="L689" i="15"/>
  <c r="M697" i="15"/>
  <c r="M695" i="15"/>
  <c r="F697" i="15"/>
  <c r="G694" i="15"/>
  <c r="L690" i="15"/>
  <c r="M688" i="15"/>
  <c r="K699" i="15"/>
  <c r="L698" i="15"/>
  <c r="L696" i="15"/>
  <c r="L694" i="15"/>
  <c r="L691" i="15"/>
  <c r="M693" i="15"/>
  <c r="G695" i="15"/>
  <c r="J697" i="15"/>
  <c r="F698" i="15"/>
  <c r="I689" i="15"/>
  <c r="N699" i="15"/>
  <c r="O693" i="15"/>
  <c r="M689" i="15"/>
  <c r="N697" i="15"/>
  <c r="M698" i="15"/>
  <c r="L699" i="15"/>
  <c r="I695" i="15"/>
  <c r="G689" i="15"/>
  <c r="G698" i="15"/>
  <c r="G691" i="15"/>
  <c r="N689" i="15"/>
  <c r="K697" i="15"/>
  <c r="K695" i="15"/>
  <c r="J694" i="15"/>
  <c r="J691" i="15"/>
  <c r="G696" i="15"/>
  <c r="F689" i="15"/>
  <c r="F691" i="15"/>
  <c r="O698" i="15"/>
  <c r="K954" i="13"/>
  <c r="P947" i="13"/>
  <c r="L955" i="13"/>
  <c r="H954" i="13"/>
  <c r="J951" i="13"/>
  <c r="J947" i="13"/>
  <c r="P950" i="13"/>
  <c r="O952" i="13"/>
  <c r="G945" i="13"/>
  <c r="T954" i="13"/>
  <c r="U952" i="13"/>
  <c r="N954" i="13"/>
  <c r="N946" i="13"/>
  <c r="L947" i="13"/>
  <c r="U950" i="13"/>
  <c r="T947" i="13"/>
  <c r="H951" i="13"/>
  <c r="H947" i="13"/>
  <c r="J949" i="13"/>
  <c r="F950" i="13"/>
  <c r="P952" i="13"/>
  <c r="R951" i="13"/>
  <c r="J950" i="13"/>
  <c r="S945" i="13"/>
  <c r="N950" i="13"/>
  <c r="M951" i="13"/>
  <c r="M953" i="13"/>
  <c r="H949" i="13"/>
  <c r="N945" i="13"/>
  <c r="I945" i="13"/>
  <c r="P954" i="13"/>
  <c r="N947" i="13"/>
  <c r="M945" i="13"/>
  <c r="T951" i="13"/>
  <c r="I950" i="13"/>
  <c r="G954" i="13"/>
  <c r="I954" i="13"/>
  <c r="L946" i="13"/>
  <c r="N955" i="13"/>
  <c r="U953" i="13"/>
  <c r="T949" i="13"/>
  <c r="S951" i="13"/>
  <c r="K952" i="13"/>
  <c r="N952" i="13"/>
  <c r="T953" i="13"/>
  <c r="F953" i="13"/>
  <c r="U947" i="13"/>
  <c r="O949" i="13"/>
  <c r="K944" i="13"/>
  <c r="N944" i="13"/>
  <c r="S950" i="13"/>
  <c r="R954" i="13"/>
  <c r="I952" i="13"/>
  <c r="L944" i="13"/>
  <c r="K946" i="13"/>
  <c r="S952" i="13"/>
  <c r="R949" i="13"/>
  <c r="S949" i="13"/>
  <c r="P949" i="13"/>
  <c r="G952" i="13"/>
  <c r="L954" i="13"/>
  <c r="N949" i="13"/>
  <c r="I947" i="13"/>
  <c r="K950" i="13"/>
  <c r="L953" i="13"/>
  <c r="G947" i="13"/>
  <c r="R952" i="13"/>
  <c r="F945" i="13"/>
  <c r="L950" i="13"/>
  <c r="M947" i="13"/>
  <c r="P945" i="13"/>
  <c r="S953" i="13"/>
  <c r="H945" i="13"/>
  <c r="T952" i="13"/>
  <c r="K945" i="13"/>
  <c r="L952" i="13"/>
  <c r="H952" i="13"/>
  <c r="F954" i="13"/>
  <c r="G949" i="13"/>
  <c r="L951" i="13"/>
  <c r="G951" i="13"/>
  <c r="J953" i="13"/>
  <c r="H953" i="13"/>
  <c r="O950" i="13"/>
  <c r="U954" i="13"/>
  <c r="M952" i="13"/>
  <c r="M954" i="13"/>
  <c r="K947" i="13"/>
  <c r="P953" i="13"/>
  <c r="J945" i="13"/>
  <c r="I949" i="13"/>
  <c r="S954" i="13"/>
  <c r="O944" i="13"/>
  <c r="L949" i="13"/>
  <c r="U945" i="13"/>
  <c r="J954" i="13"/>
  <c r="G950" i="13"/>
  <c r="F952" i="13"/>
  <c r="K951" i="13"/>
  <c r="O946" i="13"/>
  <c r="J952" i="13"/>
  <c r="U949" i="13"/>
  <c r="U951" i="13"/>
  <c r="O955" i="13"/>
  <c r="M950" i="13"/>
  <c r="F951" i="13"/>
  <c r="C941" i="13"/>
  <c r="C942" i="13" s="1"/>
  <c r="C943" i="13" s="1"/>
  <c r="C944" i="13" s="1"/>
  <c r="C945" i="13" s="1"/>
  <c r="C946" i="13" s="1"/>
  <c r="C947" i="13" s="1"/>
  <c r="C948" i="13" s="1"/>
  <c r="C949" i="13" s="1"/>
  <c r="C950" i="13" s="1"/>
  <c r="C951" i="13" s="1"/>
  <c r="C952" i="13" s="1"/>
  <c r="C953" i="13" s="1"/>
  <c r="C954" i="13" s="1"/>
  <c r="C955" i="13" s="1"/>
  <c r="C956" i="13" s="1"/>
  <c r="O947" i="13"/>
  <c r="H950" i="13"/>
  <c r="K955" i="13"/>
  <c r="O954" i="13"/>
  <c r="M949" i="13"/>
  <c r="L945" i="13"/>
  <c r="R950" i="13"/>
  <c r="R953" i="13"/>
  <c r="T945" i="13"/>
  <c r="O951" i="13"/>
  <c r="P951" i="13"/>
  <c r="G953" i="13"/>
  <c r="T950" i="13"/>
  <c r="F947" i="13"/>
  <c r="K953" i="13"/>
  <c r="K949" i="13"/>
  <c r="N953" i="13"/>
  <c r="R947" i="13"/>
  <c r="R945" i="13"/>
  <c r="I951" i="13"/>
  <c r="O945" i="13"/>
  <c r="N951" i="13"/>
  <c r="F949" i="13"/>
  <c r="I953" i="13"/>
  <c r="O953" i="13"/>
  <c r="S947" i="13"/>
  <c r="I417" i="12"/>
  <c r="I418" i="12" s="1"/>
  <c r="J417" i="12"/>
  <c r="J418" i="12" s="1"/>
  <c r="K417" i="12"/>
  <c r="K418" i="12" s="1"/>
  <c r="C412" i="12"/>
  <c r="C413" i="12" s="1"/>
  <c r="C414" i="12" s="1"/>
  <c r="C415" i="12" s="1"/>
  <c r="C416" i="12" s="1"/>
  <c r="C417" i="12" s="1"/>
  <c r="C418" i="12" s="1"/>
  <c r="C460" i="12"/>
  <c r="C461" i="12" s="1"/>
  <c r="C462" i="12" s="1"/>
  <c r="C463" i="12" s="1"/>
  <c r="C464" i="12" s="1"/>
  <c r="C465" i="12" s="1"/>
  <c r="C466" i="12" s="1"/>
  <c r="J465" i="12"/>
  <c r="J466" i="12" s="1"/>
  <c r="K465" i="12"/>
  <c r="K466" i="12" s="1"/>
  <c r="I465" i="12"/>
  <c r="I466" i="12" s="1"/>
  <c r="F743" i="14"/>
  <c r="O740" i="14"/>
  <c r="I744" i="14"/>
  <c r="L744" i="14"/>
  <c r="I742" i="14"/>
  <c r="L740" i="14"/>
  <c r="J744" i="14"/>
  <c r="H742" i="14"/>
  <c r="L739" i="14"/>
  <c r="K743" i="14"/>
  <c r="S741" i="14"/>
  <c r="L743" i="14"/>
  <c r="I741" i="14"/>
  <c r="U743" i="14"/>
  <c r="O737" i="14"/>
  <c r="N740" i="14"/>
  <c r="T740" i="14"/>
  <c r="S744" i="14"/>
  <c r="R741" i="14"/>
  <c r="H740" i="14"/>
  <c r="P742" i="14"/>
  <c r="U740" i="14"/>
  <c r="R743" i="14"/>
  <c r="K740" i="14"/>
  <c r="U744" i="14"/>
  <c r="F740" i="14"/>
  <c r="L745" i="14"/>
  <c r="N743" i="14"/>
  <c r="R740" i="14"/>
  <c r="M739" i="14"/>
  <c r="M741" i="14"/>
  <c r="S742" i="14"/>
  <c r="M740" i="14"/>
  <c r="P744" i="14"/>
  <c r="K741" i="14"/>
  <c r="H739" i="14"/>
  <c r="U739" i="14"/>
  <c r="K744" i="14"/>
  <c r="M742" i="14"/>
  <c r="G743" i="14"/>
  <c r="S740" i="14"/>
  <c r="J743" i="14"/>
  <c r="I739" i="14"/>
  <c r="P743" i="14"/>
  <c r="K742" i="14"/>
  <c r="M744" i="14"/>
  <c r="C734" i="14"/>
  <c r="S743" i="14"/>
  <c r="K739" i="14"/>
  <c r="L741" i="14"/>
  <c r="G741" i="14"/>
  <c r="R742" i="14"/>
  <c r="N741" i="14"/>
  <c r="H743" i="14"/>
  <c r="J739" i="14"/>
  <c r="H744" i="14"/>
  <c r="N739" i="14"/>
  <c r="O744" i="14"/>
  <c r="O742" i="14"/>
  <c r="G744" i="14"/>
  <c r="O741" i="14"/>
  <c r="O743" i="14"/>
  <c r="I743" i="14"/>
  <c r="J742" i="14"/>
  <c r="G742" i="14"/>
  <c r="I740" i="14"/>
  <c r="P740" i="14"/>
  <c r="O745" i="14"/>
  <c r="J741" i="14"/>
  <c r="P739" i="14"/>
  <c r="F742" i="14"/>
  <c r="N742" i="14"/>
  <c r="F744" i="14"/>
  <c r="F741" i="14"/>
  <c r="T739" i="14"/>
  <c r="U742" i="14"/>
  <c r="M743" i="14"/>
  <c r="T744" i="14"/>
  <c r="O739" i="14"/>
  <c r="N744" i="14"/>
  <c r="L742" i="14"/>
  <c r="S739" i="14"/>
  <c r="R739" i="14"/>
  <c r="G739" i="14"/>
  <c r="F739" i="14"/>
  <c r="J740" i="14"/>
  <c r="G740" i="14"/>
  <c r="L737" i="14"/>
  <c r="R744" i="14"/>
  <c r="T743" i="14"/>
  <c r="T741" i="14"/>
  <c r="T742" i="14"/>
  <c r="P741" i="14"/>
  <c r="U741" i="14"/>
  <c r="H741" i="14"/>
  <c r="O461" i="15"/>
  <c r="N459" i="15"/>
  <c r="I451" i="15"/>
  <c r="G456" i="15"/>
  <c r="L460" i="15"/>
  <c r="J460" i="15"/>
  <c r="L455" i="15"/>
  <c r="J458" i="15"/>
  <c r="M455" i="15"/>
  <c r="F459" i="15"/>
  <c r="K459" i="15"/>
  <c r="N455" i="15"/>
  <c r="I456" i="15"/>
  <c r="L453" i="15"/>
  <c r="L458" i="15"/>
  <c r="L459" i="15"/>
  <c r="F457" i="15"/>
  <c r="O458" i="15"/>
  <c r="F460" i="15"/>
  <c r="K451" i="15"/>
  <c r="P456" i="15"/>
  <c r="N456" i="15"/>
  <c r="N460" i="15"/>
  <c r="M460" i="15"/>
  <c r="P450" i="15"/>
  <c r="N453" i="15"/>
  <c r="P451" i="15"/>
  <c r="O451" i="15"/>
  <c r="L451" i="15"/>
  <c r="G459" i="15"/>
  <c r="K457" i="15"/>
  <c r="K450" i="15"/>
  <c r="N450" i="15"/>
  <c r="P460" i="15"/>
  <c r="H451" i="15"/>
  <c r="F453" i="15"/>
  <c r="L461" i="15"/>
  <c r="J451" i="15"/>
  <c r="M451" i="15"/>
  <c r="I460" i="15"/>
  <c r="G460" i="15"/>
  <c r="M458" i="15"/>
  <c r="M461" i="15"/>
  <c r="O459" i="15"/>
  <c r="N451" i="15"/>
  <c r="G458" i="15"/>
  <c r="L457" i="15"/>
  <c r="I453" i="15"/>
  <c r="O456" i="15"/>
  <c r="P458" i="15"/>
  <c r="H453" i="15"/>
  <c r="K461" i="15"/>
  <c r="G451" i="15"/>
  <c r="M457" i="15"/>
  <c r="O460" i="15"/>
  <c r="P459" i="15"/>
  <c r="M456" i="15"/>
  <c r="O452" i="15"/>
  <c r="O455" i="15"/>
  <c r="M459" i="15"/>
  <c r="J457" i="15"/>
  <c r="K458" i="15"/>
  <c r="O450" i="15"/>
  <c r="L452" i="15"/>
  <c r="N458" i="15"/>
  <c r="I457" i="15"/>
  <c r="H459" i="15"/>
  <c r="F455" i="15"/>
  <c r="K460" i="15"/>
  <c r="M452" i="15"/>
  <c r="G457" i="15"/>
  <c r="N457" i="15"/>
  <c r="H458" i="15"/>
  <c r="M453" i="15"/>
  <c r="I455" i="15"/>
  <c r="H457" i="15"/>
  <c r="F458" i="15"/>
  <c r="I458" i="15"/>
  <c r="G455" i="15"/>
  <c r="N461" i="15"/>
  <c r="K453" i="15"/>
  <c r="L450" i="15"/>
  <c r="G453" i="15"/>
  <c r="J456" i="15"/>
  <c r="H460" i="15"/>
  <c r="F451" i="15"/>
  <c r="N452" i="15"/>
  <c r="K456" i="15"/>
  <c r="P455" i="15"/>
  <c r="H456" i="15"/>
  <c r="P453" i="15"/>
  <c r="H455" i="15"/>
  <c r="P461" i="15"/>
  <c r="L456" i="15"/>
  <c r="I459" i="15"/>
  <c r="P452" i="15"/>
  <c r="K452" i="15"/>
  <c r="O453" i="15"/>
  <c r="F456" i="15"/>
  <c r="J455" i="15"/>
  <c r="J459" i="15"/>
  <c r="O457" i="15"/>
  <c r="C447" i="15"/>
  <c r="C448" i="15" s="1"/>
  <c r="C449" i="15" s="1"/>
  <c r="C450" i="15" s="1"/>
  <c r="C451" i="15" s="1"/>
  <c r="C452" i="15" s="1"/>
  <c r="C453" i="15" s="1"/>
  <c r="C454" i="15" s="1"/>
  <c r="C455" i="15" s="1"/>
  <c r="C456" i="15" s="1"/>
  <c r="C457" i="15" s="1"/>
  <c r="C458" i="15" s="1"/>
  <c r="C459" i="15" s="1"/>
  <c r="C460" i="15" s="1"/>
  <c r="C461" i="15" s="1"/>
  <c r="C462" i="15" s="1"/>
  <c r="M450" i="15"/>
  <c r="J453" i="15"/>
  <c r="P457" i="15"/>
  <c r="K455" i="15"/>
  <c r="J714" i="14"/>
  <c r="M715" i="14"/>
  <c r="R716" i="14"/>
  <c r="G714" i="14"/>
  <c r="K712" i="14"/>
  <c r="T716" i="14"/>
  <c r="P713" i="14"/>
  <c r="M712" i="14"/>
  <c r="O713" i="14"/>
  <c r="R715" i="14"/>
  <c r="N715" i="14"/>
  <c r="H714" i="14"/>
  <c r="S712" i="14"/>
  <c r="G713" i="14"/>
  <c r="H713" i="14"/>
  <c r="L712" i="14"/>
  <c r="T711" i="14"/>
  <c r="L715" i="14"/>
  <c r="I711" i="14"/>
  <c r="M713" i="14"/>
  <c r="G716" i="14"/>
  <c r="I714" i="14"/>
  <c r="U714" i="14"/>
  <c r="U716" i="14"/>
  <c r="M714" i="14"/>
  <c r="R714" i="14"/>
  <c r="P712" i="14"/>
  <c r="U711" i="14"/>
  <c r="F716" i="14"/>
  <c r="J715" i="14"/>
  <c r="F715" i="14"/>
  <c r="J711" i="14"/>
  <c r="J713" i="14"/>
  <c r="N716" i="14"/>
  <c r="J712" i="14"/>
  <c r="L713" i="14"/>
  <c r="G715" i="14"/>
  <c r="L709" i="14"/>
  <c r="T713" i="14"/>
  <c r="I716" i="14"/>
  <c r="K715" i="14"/>
  <c r="I712" i="14"/>
  <c r="K713" i="14"/>
  <c r="S716" i="14"/>
  <c r="N713" i="14"/>
  <c r="R713" i="14"/>
  <c r="U715" i="14"/>
  <c r="S715" i="14"/>
  <c r="P714" i="14"/>
  <c r="G712" i="14"/>
  <c r="O711" i="14"/>
  <c r="U713" i="14"/>
  <c r="I715" i="14"/>
  <c r="P711" i="14"/>
  <c r="T712" i="14"/>
  <c r="S713" i="14"/>
  <c r="H711" i="14"/>
  <c r="H716" i="14"/>
  <c r="C706" i="14"/>
  <c r="O715" i="14"/>
  <c r="R712" i="14"/>
  <c r="L711" i="14"/>
  <c r="L717" i="14"/>
  <c r="F711" i="14"/>
  <c r="O714" i="14"/>
  <c r="G711" i="14"/>
  <c r="N712" i="14"/>
  <c r="N714" i="14"/>
  <c r="T714" i="14"/>
  <c r="O709" i="14"/>
  <c r="S714" i="14"/>
  <c r="T715" i="14"/>
  <c r="M716" i="14"/>
  <c r="F712" i="14"/>
  <c r="H712" i="14"/>
  <c r="N711" i="14"/>
  <c r="R711" i="14"/>
  <c r="L714" i="14"/>
  <c r="H715" i="14"/>
  <c r="F713" i="14"/>
  <c r="P715" i="14"/>
  <c r="K716" i="14"/>
  <c r="M711" i="14"/>
  <c r="I713" i="14"/>
  <c r="K714" i="14"/>
  <c r="J716" i="14"/>
  <c r="L716" i="14"/>
  <c r="O716" i="14"/>
  <c r="P716" i="14"/>
  <c r="O717" i="14"/>
  <c r="S711" i="14"/>
  <c r="K711" i="14"/>
  <c r="U712" i="14"/>
  <c r="F714" i="14"/>
  <c r="O712" i="14"/>
  <c r="J406" i="16"/>
  <c r="P407" i="16"/>
  <c r="M403" i="16"/>
  <c r="O409" i="16"/>
  <c r="I408" i="16"/>
  <c r="J404" i="16"/>
  <c r="P406" i="16"/>
  <c r="K405" i="16"/>
  <c r="F407" i="16"/>
  <c r="G408" i="16"/>
  <c r="M406" i="16"/>
  <c r="L406" i="16"/>
  <c r="J405" i="16"/>
  <c r="H408" i="16"/>
  <c r="M404" i="16"/>
  <c r="K408" i="16"/>
  <c r="K406" i="16"/>
  <c r="G404" i="16"/>
  <c r="O407" i="16"/>
  <c r="H405" i="16"/>
  <c r="K407" i="16"/>
  <c r="H403" i="16"/>
  <c r="M407" i="16"/>
  <c r="O406" i="16"/>
  <c r="N404" i="16"/>
  <c r="N409" i="16"/>
  <c r="F408" i="16"/>
  <c r="O404" i="16"/>
  <c r="L407" i="16"/>
  <c r="L409" i="16"/>
  <c r="N407" i="16"/>
  <c r="J408" i="16"/>
  <c r="P405" i="16"/>
  <c r="L405" i="16"/>
  <c r="G406" i="16"/>
  <c r="H406" i="16"/>
  <c r="M405" i="16"/>
  <c r="P404" i="16"/>
  <c r="L401" i="16"/>
  <c r="I405" i="16"/>
  <c r="L408" i="16"/>
  <c r="P401" i="16"/>
  <c r="F404" i="16"/>
  <c r="I407" i="16"/>
  <c r="N408" i="16"/>
  <c r="K404" i="16"/>
  <c r="M409" i="16"/>
  <c r="H404" i="16"/>
  <c r="O405" i="16"/>
  <c r="I403" i="16"/>
  <c r="M401" i="16"/>
  <c r="F406" i="16"/>
  <c r="N405" i="16"/>
  <c r="O401" i="16"/>
  <c r="I404" i="16"/>
  <c r="K403" i="16"/>
  <c r="P408" i="16"/>
  <c r="L403" i="16"/>
  <c r="F405" i="16"/>
  <c r="F403" i="16"/>
  <c r="M408" i="16"/>
  <c r="P403" i="16"/>
  <c r="P409" i="16"/>
  <c r="J403" i="16"/>
  <c r="G405" i="16"/>
  <c r="N403" i="16"/>
  <c r="N401" i="16"/>
  <c r="K401" i="16"/>
  <c r="L404" i="16"/>
  <c r="G407" i="16"/>
  <c r="K409" i="16"/>
  <c r="J407" i="16"/>
  <c r="G403" i="16"/>
  <c r="O403" i="16"/>
  <c r="I406" i="16"/>
  <c r="O408" i="16"/>
  <c r="H407" i="16"/>
  <c r="C398" i="16"/>
  <c r="C399" i="16" s="1"/>
  <c r="C400" i="16" s="1"/>
  <c r="C401" i="16" s="1"/>
  <c r="C402" i="16" s="1"/>
  <c r="C403" i="16" s="1"/>
  <c r="C404" i="16" s="1"/>
  <c r="C405" i="16" s="1"/>
  <c r="C406" i="16" s="1"/>
  <c r="C407" i="16" s="1"/>
  <c r="C408" i="16" s="1"/>
  <c r="C409" i="16" s="1"/>
  <c r="C410" i="16" s="1"/>
  <c r="N406" i="16"/>
  <c r="O853" i="14"/>
  <c r="L855" i="14"/>
  <c r="R855" i="14"/>
  <c r="C846" i="14"/>
  <c r="P851" i="14"/>
  <c r="U853" i="14"/>
  <c r="O856" i="14"/>
  <c r="R851" i="14"/>
  <c r="N853" i="14"/>
  <c r="K856" i="14"/>
  <c r="I851" i="14"/>
  <c r="K854" i="14"/>
  <c r="U855" i="14"/>
  <c r="H851" i="14"/>
  <c r="F854" i="14"/>
  <c r="J853" i="14"/>
  <c r="O851" i="14"/>
  <c r="L849" i="14"/>
  <c r="R854" i="14"/>
  <c r="T851" i="14"/>
  <c r="J856" i="14"/>
  <c r="P855" i="14"/>
  <c r="O854" i="14"/>
  <c r="R856" i="14"/>
  <c r="N852" i="14"/>
  <c r="K852" i="14"/>
  <c r="P853" i="14"/>
  <c r="L852" i="14"/>
  <c r="G855" i="14"/>
  <c r="T855" i="14"/>
  <c r="H854" i="14"/>
  <c r="F855" i="14"/>
  <c r="O855" i="14"/>
  <c r="H853" i="14"/>
  <c r="R852" i="14"/>
  <c r="M852" i="14"/>
  <c r="R853" i="14"/>
  <c r="F856" i="14"/>
  <c r="L857" i="14"/>
  <c r="S853" i="14"/>
  <c r="S856" i="14"/>
  <c r="P856" i="14"/>
  <c r="U852" i="14"/>
  <c r="L856" i="14"/>
  <c r="T852" i="14"/>
  <c r="P854" i="14"/>
  <c r="M853" i="14"/>
  <c r="G851" i="14"/>
  <c r="O849" i="14"/>
  <c r="F853" i="14"/>
  <c r="M855" i="14"/>
  <c r="M851" i="14"/>
  <c r="T856" i="14"/>
  <c r="I856" i="14"/>
  <c r="S855" i="14"/>
  <c r="I853" i="14"/>
  <c r="G853" i="14"/>
  <c r="H855" i="14"/>
  <c r="J851" i="14"/>
  <c r="L854" i="14"/>
  <c r="S851" i="14"/>
  <c r="H852" i="14"/>
  <c r="K853" i="14"/>
  <c r="G852" i="14"/>
  <c r="L853" i="14"/>
  <c r="K851" i="14"/>
  <c r="M854" i="14"/>
  <c r="P852" i="14"/>
  <c r="N851" i="14"/>
  <c r="N855" i="14"/>
  <c r="S854" i="14"/>
  <c r="M856" i="14"/>
  <c r="U854" i="14"/>
  <c r="T853" i="14"/>
  <c r="I854" i="14"/>
  <c r="O857" i="14"/>
  <c r="N854" i="14"/>
  <c r="T854" i="14"/>
  <c r="K855" i="14"/>
  <c r="H856" i="14"/>
  <c r="L851" i="14"/>
  <c r="J852" i="14"/>
  <c r="S852" i="14"/>
  <c r="U851" i="14"/>
  <c r="J854" i="14"/>
  <c r="O852" i="14"/>
  <c r="F851" i="14"/>
  <c r="J855" i="14"/>
  <c r="N856" i="14"/>
  <c r="F852" i="14"/>
  <c r="I855" i="14"/>
  <c r="U856" i="14"/>
  <c r="G856" i="14"/>
  <c r="G854" i="14"/>
  <c r="I852" i="14"/>
  <c r="K442" i="13"/>
  <c r="P439" i="13"/>
  <c r="G441" i="13"/>
  <c r="J440" i="13"/>
  <c r="P440" i="13"/>
  <c r="I435" i="13"/>
  <c r="F443" i="13"/>
  <c r="P435" i="13"/>
  <c r="J439" i="13"/>
  <c r="G439" i="13"/>
  <c r="M442" i="13"/>
  <c r="U439" i="13"/>
  <c r="T441" i="13"/>
  <c r="L443" i="13"/>
  <c r="T439" i="13"/>
  <c r="L442" i="13"/>
  <c r="U444" i="13"/>
  <c r="K439" i="13"/>
  <c r="U443" i="13"/>
  <c r="P444" i="13"/>
  <c r="U442" i="13"/>
  <c r="R439" i="13"/>
  <c r="K437" i="13"/>
  <c r="R440" i="13"/>
  <c r="H440" i="13"/>
  <c r="O434" i="13"/>
  <c r="H439" i="13"/>
  <c r="N435" i="13"/>
  <c r="G440" i="13"/>
  <c r="N441" i="13"/>
  <c r="H444" i="13"/>
  <c r="I441" i="13"/>
  <c r="K440" i="13"/>
  <c r="L444" i="13"/>
  <c r="T443" i="13"/>
  <c r="O439" i="13"/>
  <c r="J443" i="13"/>
  <c r="P443" i="13"/>
  <c r="I442" i="13"/>
  <c r="L437" i="13"/>
  <c r="U437" i="13"/>
  <c r="H435" i="13"/>
  <c r="K441" i="13"/>
  <c r="S437" i="13"/>
  <c r="G444" i="13"/>
  <c r="J437" i="13"/>
  <c r="N436" i="13"/>
  <c r="M444" i="13"/>
  <c r="I440" i="13"/>
  <c r="O445" i="13"/>
  <c r="F439" i="13"/>
  <c r="C431" i="13"/>
  <c r="C432" i="13" s="1"/>
  <c r="C433" i="13" s="1"/>
  <c r="C434" i="13" s="1"/>
  <c r="C435" i="13" s="1"/>
  <c r="C436" i="13" s="1"/>
  <c r="C437" i="13" s="1"/>
  <c r="C438" i="13" s="1"/>
  <c r="C439" i="13" s="1"/>
  <c r="C440" i="13" s="1"/>
  <c r="C441" i="13" s="1"/>
  <c r="C442" i="13" s="1"/>
  <c r="C443" i="13" s="1"/>
  <c r="C444" i="13" s="1"/>
  <c r="C445" i="13" s="1"/>
  <c r="C446" i="13" s="1"/>
  <c r="J435" i="13"/>
  <c r="M441" i="13"/>
  <c r="T440" i="13"/>
  <c r="K436" i="13"/>
  <c r="N444" i="13"/>
  <c r="T442" i="13"/>
  <c r="J441" i="13"/>
  <c r="N442" i="13"/>
  <c r="R444" i="13"/>
  <c r="R441" i="13"/>
  <c r="L441" i="13"/>
  <c r="M443" i="13"/>
  <c r="I439" i="13"/>
  <c r="O442" i="13"/>
  <c r="M440" i="13"/>
  <c r="H441" i="13"/>
  <c r="R442" i="13"/>
  <c r="O437" i="13"/>
  <c r="L440" i="13"/>
  <c r="H442" i="13"/>
  <c r="G442" i="13"/>
  <c r="H443" i="13"/>
  <c r="J442" i="13"/>
  <c r="F440" i="13"/>
  <c r="P437" i="13"/>
  <c r="K434" i="13"/>
  <c r="O435" i="13"/>
  <c r="F437" i="13"/>
  <c r="S439" i="13"/>
  <c r="M437" i="13"/>
  <c r="S442" i="13"/>
  <c r="S435" i="13"/>
  <c r="T437" i="13"/>
  <c r="S441" i="13"/>
  <c r="P441" i="13"/>
  <c r="L434" i="13"/>
  <c r="O441" i="13"/>
  <c r="N439" i="13"/>
  <c r="M439" i="13"/>
  <c r="K445" i="13"/>
  <c r="P442" i="13"/>
  <c r="S440" i="13"/>
  <c r="F442" i="13"/>
  <c r="N443" i="13"/>
  <c r="M435" i="13"/>
  <c r="N434" i="13"/>
  <c r="N440" i="13"/>
  <c r="T444" i="13"/>
  <c r="N445" i="13"/>
  <c r="K435" i="13"/>
  <c r="O444" i="13"/>
  <c r="L439" i="13"/>
  <c r="L435" i="13"/>
  <c r="O436" i="13"/>
  <c r="L445" i="13"/>
  <c r="G435" i="13"/>
  <c r="R437" i="13"/>
  <c r="F441" i="13"/>
  <c r="K443" i="13"/>
  <c r="F435" i="13"/>
  <c r="R435" i="13"/>
  <c r="O440" i="13"/>
  <c r="L436" i="13"/>
  <c r="K444" i="13"/>
  <c r="G437" i="13"/>
  <c r="F444" i="13"/>
  <c r="U435" i="13"/>
  <c r="U441" i="13"/>
  <c r="U440" i="13"/>
  <c r="R443" i="13"/>
  <c r="S443" i="13"/>
  <c r="T435" i="13"/>
  <c r="S444" i="13"/>
  <c r="I444" i="13"/>
  <c r="J444" i="13"/>
  <c r="O443" i="13"/>
  <c r="H437" i="13"/>
  <c r="N437" i="13"/>
  <c r="I437" i="13"/>
  <c r="G443" i="13"/>
  <c r="I443" i="13"/>
  <c r="H950" i="15"/>
  <c r="K943" i="15"/>
  <c r="P950" i="15"/>
  <c r="M954" i="15"/>
  <c r="M946" i="15"/>
  <c r="C940" i="15"/>
  <c r="C941" i="15" s="1"/>
  <c r="C942" i="15" s="1"/>
  <c r="C943" i="15" s="1"/>
  <c r="C944" i="15" s="1"/>
  <c r="C945" i="15" s="1"/>
  <c r="C946" i="15" s="1"/>
  <c r="C947" i="15" s="1"/>
  <c r="C948" i="15" s="1"/>
  <c r="C949" i="15" s="1"/>
  <c r="C950" i="15" s="1"/>
  <c r="C951" i="15" s="1"/>
  <c r="C952" i="15" s="1"/>
  <c r="C953" i="15" s="1"/>
  <c r="C954" i="15" s="1"/>
  <c r="C955" i="15" s="1"/>
  <c r="L948" i="15"/>
  <c r="M950" i="15"/>
  <c r="O952" i="15"/>
  <c r="L950" i="15"/>
  <c r="I948" i="15"/>
  <c r="P954" i="15"/>
  <c r="P949" i="15"/>
  <c r="H946" i="15"/>
  <c r="H952" i="15"/>
  <c r="I949" i="15"/>
  <c r="J951" i="15"/>
  <c r="H948" i="15"/>
  <c r="K951" i="15"/>
  <c r="I951" i="15"/>
  <c r="N954" i="15"/>
  <c r="J944" i="15"/>
  <c r="P948" i="15"/>
  <c r="O944" i="15"/>
  <c r="F944" i="15"/>
  <c r="O943" i="15"/>
  <c r="M952" i="15"/>
  <c r="L944" i="15"/>
  <c r="G952" i="15"/>
  <c r="N951" i="15"/>
  <c r="L953" i="15"/>
  <c r="F951" i="15"/>
  <c r="N946" i="15"/>
  <c r="L943" i="15"/>
  <c r="P943" i="15"/>
  <c r="P952" i="15"/>
  <c r="F949" i="15"/>
  <c r="O949" i="15"/>
  <c r="J946" i="15"/>
  <c r="O946" i="15"/>
  <c r="K949" i="15"/>
  <c r="G949" i="15"/>
  <c r="K946" i="15"/>
  <c r="O954" i="15"/>
  <c r="F952" i="15"/>
  <c r="K944" i="15"/>
  <c r="G953" i="15"/>
  <c r="L954" i="15"/>
  <c r="F948" i="15"/>
  <c r="I946" i="15"/>
  <c r="L949" i="15"/>
  <c r="K948" i="15"/>
  <c r="M949" i="15"/>
  <c r="L951" i="15"/>
  <c r="F950" i="15"/>
  <c r="J952" i="15"/>
  <c r="G948" i="15"/>
  <c r="O945" i="15"/>
  <c r="I952" i="15"/>
  <c r="N948" i="15"/>
  <c r="N944" i="15"/>
  <c r="G950" i="15"/>
  <c r="M944" i="15"/>
  <c r="J950" i="15"/>
  <c r="N943" i="15"/>
  <c r="I950" i="15"/>
  <c r="M951" i="15"/>
  <c r="K953" i="15"/>
  <c r="M943" i="15"/>
  <c r="N952" i="15"/>
  <c r="O948" i="15"/>
  <c r="H951" i="15"/>
  <c r="L945" i="15"/>
  <c r="H944" i="15"/>
  <c r="N945" i="15"/>
  <c r="P951" i="15"/>
  <c r="N949" i="15"/>
  <c r="F953" i="15"/>
  <c r="L946" i="15"/>
  <c r="I953" i="15"/>
  <c r="H949" i="15"/>
  <c r="F946" i="15"/>
  <c r="I944" i="15"/>
  <c r="M945" i="15"/>
  <c r="M948" i="15"/>
  <c r="K945" i="15"/>
  <c r="G946" i="15"/>
  <c r="K952" i="15"/>
  <c r="P945" i="15"/>
  <c r="G951" i="15"/>
  <c r="L952" i="15"/>
  <c r="K950" i="15"/>
  <c r="O953" i="15"/>
  <c r="M953" i="15"/>
  <c r="J953" i="15"/>
  <c r="P953" i="15"/>
  <c r="O950" i="15"/>
  <c r="J948" i="15"/>
  <c r="K954" i="15"/>
  <c r="P944" i="15"/>
  <c r="N953" i="15"/>
  <c r="H953" i="15"/>
  <c r="N950" i="15"/>
  <c r="G944" i="15"/>
  <c r="J949" i="15"/>
  <c r="O951" i="15"/>
  <c r="P946" i="15"/>
  <c r="G324" i="14"/>
  <c r="T320" i="14"/>
  <c r="L323" i="14"/>
  <c r="F322" i="14"/>
  <c r="K321" i="14"/>
  <c r="N320" i="14"/>
  <c r="M324" i="14"/>
  <c r="F319" i="14"/>
  <c r="O322" i="14"/>
  <c r="I324" i="14"/>
  <c r="U319" i="14"/>
  <c r="J321" i="14"/>
  <c r="L324" i="14"/>
  <c r="M321" i="14"/>
  <c r="M320" i="14"/>
  <c r="P323" i="14"/>
  <c r="O324" i="14"/>
  <c r="M319" i="14"/>
  <c r="J319" i="14"/>
  <c r="G322" i="14"/>
  <c r="R322" i="14"/>
  <c r="N324" i="14"/>
  <c r="L322" i="14"/>
  <c r="H322" i="14"/>
  <c r="H319" i="14"/>
  <c r="R323" i="14"/>
  <c r="P319" i="14"/>
  <c r="I322" i="14"/>
  <c r="S323" i="14"/>
  <c r="N319" i="14"/>
  <c r="O319" i="14"/>
  <c r="J322" i="14"/>
  <c r="S321" i="14"/>
  <c r="R324" i="14"/>
  <c r="I323" i="14"/>
  <c r="F324" i="14"/>
  <c r="H323" i="14"/>
  <c r="R321" i="14"/>
  <c r="G321" i="14"/>
  <c r="H321" i="14"/>
  <c r="F320" i="14"/>
  <c r="I321" i="14"/>
  <c r="I320" i="14"/>
  <c r="G319" i="14"/>
  <c r="K324" i="14"/>
  <c r="L319" i="14"/>
  <c r="R319" i="14"/>
  <c r="K322" i="14"/>
  <c r="T322" i="14"/>
  <c r="J324" i="14"/>
  <c r="G320" i="14"/>
  <c r="L320" i="14"/>
  <c r="R320" i="14"/>
  <c r="G323" i="14"/>
  <c r="L317" i="14"/>
  <c r="O320" i="14"/>
  <c r="K319" i="14"/>
  <c r="P322" i="14"/>
  <c r="F321" i="14"/>
  <c r="L325" i="14"/>
  <c r="U321" i="14"/>
  <c r="J320" i="14"/>
  <c r="H324" i="14"/>
  <c r="P324" i="14"/>
  <c r="U322" i="14"/>
  <c r="N322" i="14"/>
  <c r="U323" i="14"/>
  <c r="T319" i="14"/>
  <c r="O317" i="14"/>
  <c r="C314" i="14"/>
  <c r="C315" i="14" s="1"/>
  <c r="C316" i="14" s="1"/>
  <c r="C317" i="14" s="1"/>
  <c r="C318" i="14" s="1"/>
  <c r="C319" i="14" s="1"/>
  <c r="C320" i="14" s="1"/>
  <c r="C321" i="14" s="1"/>
  <c r="C322" i="14" s="1"/>
  <c r="C323" i="14" s="1"/>
  <c r="C324" i="14" s="1"/>
  <c r="C325" i="14" s="1"/>
  <c r="C326" i="14" s="1"/>
  <c r="L321" i="14"/>
  <c r="S324" i="14"/>
  <c r="N323" i="14"/>
  <c r="M322" i="14"/>
  <c r="F323" i="14"/>
  <c r="O323" i="14"/>
  <c r="M323" i="14"/>
  <c r="K323" i="14"/>
  <c r="I319" i="14"/>
  <c r="S322" i="14"/>
  <c r="T323" i="14"/>
  <c r="U324" i="14"/>
  <c r="S319" i="14"/>
  <c r="T324" i="14"/>
  <c r="K320" i="14"/>
  <c r="P320" i="14"/>
  <c r="J323" i="14"/>
  <c r="P321" i="14"/>
  <c r="S320" i="14"/>
  <c r="O321" i="14"/>
  <c r="U320" i="14"/>
  <c r="T321" i="14"/>
  <c r="H320" i="14"/>
  <c r="N321" i="14"/>
  <c r="O325" i="14"/>
  <c r="P544" i="16"/>
  <c r="K547" i="16"/>
  <c r="G548" i="16"/>
  <c r="F543" i="16"/>
  <c r="F545" i="16"/>
  <c r="K541" i="16"/>
  <c r="N547" i="16"/>
  <c r="C538" i="16"/>
  <c r="C539" i="16" s="1"/>
  <c r="C540" i="16" s="1"/>
  <c r="C541" i="16" s="1"/>
  <c r="C542" i="16" s="1"/>
  <c r="C543" i="16" s="1"/>
  <c r="C544" i="16" s="1"/>
  <c r="C545" i="16" s="1"/>
  <c r="C546" i="16" s="1"/>
  <c r="C547" i="16" s="1"/>
  <c r="C548" i="16" s="1"/>
  <c r="C549" i="16" s="1"/>
  <c r="C550" i="16" s="1"/>
  <c r="O546" i="16"/>
  <c r="L543" i="16"/>
  <c r="P545" i="16"/>
  <c r="M548" i="16"/>
  <c r="O545" i="16"/>
  <c r="G544" i="16"/>
  <c r="H544" i="16"/>
  <c r="N543" i="16"/>
  <c r="I543" i="16"/>
  <c r="I548" i="16"/>
  <c r="K544" i="16"/>
  <c r="G543" i="16"/>
  <c r="H547" i="16"/>
  <c r="G545" i="16"/>
  <c r="M541" i="16"/>
  <c r="H548" i="16"/>
  <c r="K549" i="16"/>
  <c r="I547" i="16"/>
  <c r="F547" i="16"/>
  <c r="P543" i="16"/>
  <c r="K546" i="16"/>
  <c r="J543" i="16"/>
  <c r="I544" i="16"/>
  <c r="O541" i="16"/>
  <c r="I546" i="16"/>
  <c r="N546" i="16"/>
  <c r="F546" i="16"/>
  <c r="L547" i="16"/>
  <c r="K548" i="16"/>
  <c r="J544" i="16"/>
  <c r="I545" i="16"/>
  <c r="L546" i="16"/>
  <c r="K543" i="16"/>
  <c r="M545" i="16"/>
  <c r="N545" i="16"/>
  <c r="M544" i="16"/>
  <c r="N548" i="16"/>
  <c r="H545" i="16"/>
  <c r="L548" i="16"/>
  <c r="G547" i="16"/>
  <c r="P546" i="16"/>
  <c r="N541" i="16"/>
  <c r="J547" i="16"/>
  <c r="J546" i="16"/>
  <c r="H543" i="16"/>
  <c r="P549" i="16"/>
  <c r="L541" i="16"/>
  <c r="H546" i="16"/>
  <c r="O548" i="16"/>
  <c r="P541" i="16"/>
  <c r="F544" i="16"/>
  <c r="M546" i="16"/>
  <c r="O547" i="16"/>
  <c r="J548" i="16"/>
  <c r="L545" i="16"/>
  <c r="P548" i="16"/>
  <c r="O544" i="16"/>
  <c r="N549" i="16"/>
  <c r="J545" i="16"/>
  <c r="N544" i="16"/>
  <c r="O543" i="16"/>
  <c r="G546" i="16"/>
  <c r="P547" i="16"/>
  <c r="L544" i="16"/>
  <c r="O549" i="16"/>
  <c r="L549" i="16"/>
  <c r="M547" i="16"/>
  <c r="M549" i="16"/>
  <c r="M543" i="16"/>
  <c r="K545" i="16"/>
  <c r="F548" i="16"/>
  <c r="U754" i="14"/>
  <c r="N753" i="14"/>
  <c r="T758" i="14"/>
  <c r="O755" i="14"/>
  <c r="K758" i="14"/>
  <c r="J755" i="14"/>
  <c r="I758" i="14"/>
  <c r="U758" i="14"/>
  <c r="M754" i="14"/>
  <c r="F758" i="14"/>
  <c r="R758" i="14"/>
  <c r="M757" i="14"/>
  <c r="K757" i="14"/>
  <c r="F754" i="14"/>
  <c r="L754" i="14"/>
  <c r="G753" i="14"/>
  <c r="P758" i="14"/>
  <c r="L758" i="14"/>
  <c r="R757" i="14"/>
  <c r="P757" i="14"/>
  <c r="P756" i="14"/>
  <c r="O759" i="14"/>
  <c r="G756" i="14"/>
  <c r="M755" i="14"/>
  <c r="K753" i="14"/>
  <c r="O756" i="14"/>
  <c r="J757" i="14"/>
  <c r="F753" i="14"/>
  <c r="U757" i="14"/>
  <c r="F755" i="14"/>
  <c r="J758" i="14"/>
  <c r="K754" i="14"/>
  <c r="M758" i="14"/>
  <c r="I755" i="14"/>
  <c r="L757" i="14"/>
  <c r="O751" i="14"/>
  <c r="H755" i="14"/>
  <c r="G755" i="14"/>
  <c r="U756" i="14"/>
  <c r="H757" i="14"/>
  <c r="M753" i="14"/>
  <c r="R756" i="14"/>
  <c r="H753" i="14"/>
  <c r="G758" i="14"/>
  <c r="L756" i="14"/>
  <c r="K755" i="14"/>
  <c r="S756" i="14"/>
  <c r="U755" i="14"/>
  <c r="P753" i="14"/>
  <c r="F756" i="14"/>
  <c r="T755" i="14"/>
  <c r="N755" i="14"/>
  <c r="L753" i="14"/>
  <c r="H756" i="14"/>
  <c r="M756" i="14"/>
  <c r="S754" i="14"/>
  <c r="U753" i="14"/>
  <c r="I757" i="14"/>
  <c r="J753" i="14"/>
  <c r="L751" i="14"/>
  <c r="L759" i="14"/>
  <c r="J754" i="14"/>
  <c r="G754" i="14"/>
  <c r="H754" i="14"/>
  <c r="I756" i="14"/>
  <c r="P755" i="14"/>
  <c r="P754" i="14"/>
  <c r="H758" i="14"/>
  <c r="S753" i="14"/>
  <c r="T754" i="14"/>
  <c r="G757" i="14"/>
  <c r="J756" i="14"/>
  <c r="K756" i="14"/>
  <c r="S757" i="14"/>
  <c r="C748" i="14"/>
  <c r="N756" i="14"/>
  <c r="T756" i="14"/>
  <c r="N758" i="14"/>
  <c r="N754" i="14"/>
  <c r="N757" i="14"/>
  <c r="I753" i="14"/>
  <c r="T753" i="14"/>
  <c r="O757" i="14"/>
  <c r="O753" i="14"/>
  <c r="R755" i="14"/>
  <c r="I754" i="14"/>
  <c r="T757" i="14"/>
  <c r="F757" i="14"/>
  <c r="S755" i="14"/>
  <c r="S758" i="14"/>
  <c r="R754" i="14"/>
  <c r="O754" i="14"/>
  <c r="R753" i="14"/>
  <c r="O758" i="14"/>
  <c r="L755" i="14"/>
  <c r="S305" i="14"/>
  <c r="T305" i="14"/>
  <c r="U306" i="14"/>
  <c r="F309" i="14"/>
  <c r="I305" i="14"/>
  <c r="I308" i="14"/>
  <c r="G307" i="14"/>
  <c r="F305" i="14"/>
  <c r="N305" i="14"/>
  <c r="L303" i="14"/>
  <c r="T309" i="14"/>
  <c r="F308" i="14"/>
  <c r="P308" i="14"/>
  <c r="H305" i="14"/>
  <c r="K308" i="14"/>
  <c r="H308" i="14"/>
  <c r="F310" i="14"/>
  <c r="J305" i="14"/>
  <c r="O309" i="14"/>
  <c r="S309" i="14"/>
  <c r="N306" i="14"/>
  <c r="O311" i="14"/>
  <c r="N307" i="14"/>
  <c r="H307" i="14"/>
  <c r="U309" i="14"/>
  <c r="U305" i="14"/>
  <c r="U308" i="14"/>
  <c r="P307" i="14"/>
  <c r="R306" i="14"/>
  <c r="L309" i="14"/>
  <c r="H310" i="14"/>
  <c r="R307" i="14"/>
  <c r="L311" i="14"/>
  <c r="M307" i="14"/>
  <c r="U310" i="14"/>
  <c r="O307" i="14"/>
  <c r="I307" i="14"/>
  <c r="K305" i="14"/>
  <c r="O305" i="14"/>
  <c r="R309" i="14"/>
  <c r="N309" i="14"/>
  <c r="S310" i="14"/>
  <c r="I306" i="14"/>
  <c r="G310" i="14"/>
  <c r="N308" i="14"/>
  <c r="K310" i="14"/>
  <c r="O303" i="14"/>
  <c r="L307" i="14"/>
  <c r="N310" i="14"/>
  <c r="G308" i="14"/>
  <c r="L305" i="14"/>
  <c r="L306" i="14"/>
  <c r="K309" i="14"/>
  <c r="M310" i="14"/>
  <c r="M308" i="14"/>
  <c r="G306" i="14"/>
  <c r="K307" i="14"/>
  <c r="M309" i="14"/>
  <c r="U307" i="14"/>
  <c r="O308" i="14"/>
  <c r="K306" i="14"/>
  <c r="L308" i="14"/>
  <c r="O310" i="14"/>
  <c r="P309" i="14"/>
  <c r="G309" i="14"/>
  <c r="J307" i="14"/>
  <c r="H309" i="14"/>
  <c r="T308" i="14"/>
  <c r="M305" i="14"/>
  <c r="M306" i="14"/>
  <c r="J310" i="14"/>
  <c r="J309" i="14"/>
  <c r="C310" i="14"/>
  <c r="G305" i="14"/>
  <c r="I309" i="14"/>
  <c r="S306" i="14"/>
  <c r="C304" i="14"/>
  <c r="H306" i="14"/>
  <c r="C301" i="14"/>
  <c r="R308" i="14"/>
  <c r="T306" i="14"/>
  <c r="C309" i="14"/>
  <c r="C311" i="14"/>
  <c r="I310" i="14"/>
  <c r="C300" i="14"/>
  <c r="T310" i="14"/>
  <c r="P306" i="14"/>
  <c r="R305" i="14"/>
  <c r="C305" i="14"/>
  <c r="F307" i="14"/>
  <c r="C303" i="14"/>
  <c r="S307" i="14"/>
  <c r="L310" i="14"/>
  <c r="C307" i="14"/>
  <c r="O306" i="14"/>
  <c r="S308" i="14"/>
  <c r="J306" i="14"/>
  <c r="C308" i="14"/>
  <c r="T307" i="14"/>
  <c r="P310" i="14"/>
  <c r="F306" i="14"/>
  <c r="C306" i="14"/>
  <c r="J308" i="14"/>
  <c r="R310" i="14"/>
  <c r="C302" i="14"/>
  <c r="P305" i="14"/>
  <c r="C312" i="14"/>
  <c r="R768" i="14"/>
  <c r="F771" i="14"/>
  <c r="F768" i="14"/>
  <c r="I769" i="14"/>
  <c r="S771" i="14"/>
  <c r="I772" i="14"/>
  <c r="R772" i="14"/>
  <c r="I768" i="14"/>
  <c r="P770" i="14"/>
  <c r="L771" i="14"/>
  <c r="H768" i="14"/>
  <c r="T771" i="14"/>
  <c r="G768" i="14"/>
  <c r="T770" i="14"/>
  <c r="H771" i="14"/>
  <c r="S767" i="14"/>
  <c r="L765" i="14"/>
  <c r="S772" i="14"/>
  <c r="U771" i="14"/>
  <c r="P768" i="14"/>
  <c r="F767" i="14"/>
  <c r="M770" i="14"/>
  <c r="M768" i="14"/>
  <c r="J771" i="14"/>
  <c r="L770" i="14"/>
  <c r="O769" i="14"/>
  <c r="O772" i="14"/>
  <c r="O767" i="14"/>
  <c r="C762" i="14"/>
  <c r="M771" i="14"/>
  <c r="F770" i="14"/>
  <c r="T767" i="14"/>
  <c r="K771" i="14"/>
  <c r="O765" i="14"/>
  <c r="H770" i="14"/>
  <c r="U768" i="14"/>
  <c r="G769" i="14"/>
  <c r="H772" i="14"/>
  <c r="U767" i="14"/>
  <c r="T772" i="14"/>
  <c r="R771" i="14"/>
  <c r="K769" i="14"/>
  <c r="P769" i="14"/>
  <c r="G772" i="14"/>
  <c r="J768" i="14"/>
  <c r="F769" i="14"/>
  <c r="L768" i="14"/>
  <c r="M772" i="14"/>
  <c r="K770" i="14"/>
  <c r="H769" i="14"/>
  <c r="I767" i="14"/>
  <c r="O770" i="14"/>
  <c r="G771" i="14"/>
  <c r="H767" i="14"/>
  <c r="J769" i="14"/>
  <c r="S768" i="14"/>
  <c r="G767" i="14"/>
  <c r="J767" i="14"/>
  <c r="R769" i="14"/>
  <c r="M769" i="14"/>
  <c r="T769" i="14"/>
  <c r="F772" i="14"/>
  <c r="J770" i="14"/>
  <c r="O768" i="14"/>
  <c r="O773" i="14"/>
  <c r="I771" i="14"/>
  <c r="P771" i="14"/>
  <c r="U770" i="14"/>
  <c r="U769" i="14"/>
  <c r="U772" i="14"/>
  <c r="K768" i="14"/>
  <c r="L773" i="14"/>
  <c r="N769" i="14"/>
  <c r="L772" i="14"/>
  <c r="N768" i="14"/>
  <c r="S769" i="14"/>
  <c r="T768" i="14"/>
  <c r="K772" i="14"/>
  <c r="O771" i="14"/>
  <c r="R770" i="14"/>
  <c r="N772" i="14"/>
  <c r="J772" i="14"/>
  <c r="L767" i="14"/>
  <c r="G770" i="14"/>
  <c r="I770" i="14"/>
  <c r="N771" i="14"/>
  <c r="P772" i="14"/>
  <c r="S770" i="14"/>
  <c r="L769" i="14"/>
  <c r="M767" i="14"/>
  <c r="K767" i="14"/>
  <c r="P767" i="14"/>
  <c r="N767" i="14"/>
  <c r="N770" i="14"/>
  <c r="R767" i="14"/>
  <c r="T307" i="11"/>
  <c r="I308" i="11"/>
  <c r="Q306" i="11"/>
  <c r="O308" i="11"/>
  <c r="Q307" i="11"/>
  <c r="Q308" i="11"/>
  <c r="P306" i="11"/>
  <c r="S306" i="11"/>
  <c r="F308" i="11"/>
  <c r="I307" i="11"/>
  <c r="K308" i="11"/>
  <c r="T306" i="11"/>
  <c r="J308" i="11"/>
  <c r="M307" i="11"/>
  <c r="R306" i="11"/>
  <c r="R307" i="11"/>
  <c r="G306" i="11"/>
  <c r="P308" i="11"/>
  <c r="R308" i="11"/>
  <c r="N307" i="11"/>
  <c r="K306" i="11"/>
  <c r="O307" i="11"/>
  <c r="F306" i="11"/>
  <c r="I306" i="11"/>
  <c r="J307" i="11"/>
  <c r="T308" i="11"/>
  <c r="O306" i="11"/>
  <c r="H306" i="11"/>
  <c r="H307" i="11"/>
  <c r="K307" i="11"/>
  <c r="H308" i="11"/>
  <c r="S307" i="11"/>
  <c r="J306" i="11"/>
  <c r="S308" i="11"/>
  <c r="F307" i="11"/>
  <c r="L307" i="11"/>
  <c r="P307" i="11"/>
  <c r="G307" i="11"/>
  <c r="C302" i="11"/>
  <c r="C303" i="11" s="1"/>
  <c r="C304" i="11" s="1"/>
  <c r="C305" i="11" s="1"/>
  <c r="C306" i="11" s="1"/>
  <c r="C307" i="11" s="1"/>
  <c r="C308" i="11" s="1"/>
  <c r="C309" i="11" s="1"/>
  <c r="G308" i="11"/>
  <c r="C301" i="11"/>
  <c r="K401" i="12"/>
  <c r="K402" i="12" s="1"/>
  <c r="C396" i="12"/>
  <c r="C397" i="12" s="1"/>
  <c r="C398" i="12" s="1"/>
  <c r="C399" i="12" s="1"/>
  <c r="C400" i="12" s="1"/>
  <c r="C401" i="12" s="1"/>
  <c r="C402" i="12" s="1"/>
  <c r="I401" i="12"/>
  <c r="I402" i="12" s="1"/>
  <c r="J401" i="12"/>
  <c r="J402" i="12" s="1"/>
  <c r="C420" i="12"/>
  <c r="C421" i="12" s="1"/>
  <c r="C422" i="12" s="1"/>
  <c r="C423" i="12" s="1"/>
  <c r="C424" i="12" s="1"/>
  <c r="C425" i="12" s="1"/>
  <c r="C426" i="12" s="1"/>
  <c r="J425" i="12"/>
  <c r="J426" i="12" s="1"/>
  <c r="I425" i="12"/>
  <c r="I426" i="12" s="1"/>
  <c r="K425" i="12"/>
  <c r="K426" i="12" s="1"/>
  <c r="I879" i="13"/>
  <c r="L881" i="13"/>
  <c r="M881" i="13"/>
  <c r="M886" i="13"/>
  <c r="F882" i="13"/>
  <c r="H879" i="13"/>
  <c r="K886" i="13"/>
  <c r="M882" i="13"/>
  <c r="F881" i="13"/>
  <c r="P882" i="13"/>
  <c r="N883" i="13"/>
  <c r="T882" i="13"/>
  <c r="G885" i="13"/>
  <c r="G879" i="13"/>
  <c r="I877" i="13"/>
  <c r="N887" i="13"/>
  <c r="H884" i="13"/>
  <c r="P879" i="13"/>
  <c r="J885" i="13"/>
  <c r="G884" i="13"/>
  <c r="P884" i="13"/>
  <c r="O886" i="13"/>
  <c r="O887" i="13"/>
  <c r="G886" i="13"/>
  <c r="N879" i="13"/>
  <c r="O883" i="13"/>
  <c r="J882" i="13"/>
  <c r="K879" i="13"/>
  <c r="S886" i="13"/>
  <c r="P886" i="13"/>
  <c r="K883" i="13"/>
  <c r="F886" i="13"/>
  <c r="R886" i="13"/>
  <c r="R883" i="13"/>
  <c r="U886" i="13"/>
  <c r="G882" i="13"/>
  <c r="R882" i="13"/>
  <c r="N877" i="13"/>
  <c r="L882" i="13"/>
  <c r="L877" i="13"/>
  <c r="U877" i="13"/>
  <c r="H883" i="13"/>
  <c r="T886" i="13"/>
  <c r="F885" i="13"/>
  <c r="R884" i="13"/>
  <c r="R885" i="13"/>
  <c r="T883" i="13"/>
  <c r="I885" i="13"/>
  <c r="F883" i="13"/>
  <c r="P881" i="13"/>
  <c r="H886" i="13"/>
  <c r="U884" i="13"/>
  <c r="U885" i="13"/>
  <c r="R881" i="13"/>
  <c r="M885" i="13"/>
  <c r="I883" i="13"/>
  <c r="N882" i="13"/>
  <c r="G877" i="13"/>
  <c r="N881" i="13"/>
  <c r="O878" i="13"/>
  <c r="N884" i="13"/>
  <c r="R877" i="13"/>
  <c r="S879" i="13"/>
  <c r="M884" i="13"/>
  <c r="L883" i="13"/>
  <c r="O884" i="13"/>
  <c r="K877" i="13"/>
  <c r="H882" i="13"/>
  <c r="F879" i="13"/>
  <c r="P885" i="13"/>
  <c r="L878" i="13"/>
  <c r="U881" i="13"/>
  <c r="N885" i="13"/>
  <c r="S877" i="13"/>
  <c r="O882" i="13"/>
  <c r="J881" i="13"/>
  <c r="L884" i="13"/>
  <c r="M883" i="13"/>
  <c r="N886" i="13"/>
  <c r="I884" i="13"/>
  <c r="H877" i="13"/>
  <c r="T879" i="13"/>
  <c r="S884" i="13"/>
  <c r="L876" i="13"/>
  <c r="U879" i="13"/>
  <c r="K876" i="13"/>
  <c r="F877" i="13"/>
  <c r="O879" i="13"/>
  <c r="O877" i="13"/>
  <c r="K887" i="13"/>
  <c r="S883" i="13"/>
  <c r="S881" i="13"/>
  <c r="K882" i="13"/>
  <c r="R879" i="13"/>
  <c r="K885" i="13"/>
  <c r="T884" i="13"/>
  <c r="J886" i="13"/>
  <c r="L879" i="13"/>
  <c r="K881" i="13"/>
  <c r="P883" i="13"/>
  <c r="I886" i="13"/>
  <c r="U883" i="13"/>
  <c r="S882" i="13"/>
  <c r="F884" i="13"/>
  <c r="N876" i="13"/>
  <c r="L885" i="13"/>
  <c r="I881" i="13"/>
  <c r="L887" i="13"/>
  <c r="J883" i="13"/>
  <c r="L886" i="13"/>
  <c r="J877" i="13"/>
  <c r="T881" i="13"/>
  <c r="O876" i="13"/>
  <c r="O888" i="13" s="1"/>
  <c r="H885" i="13"/>
  <c r="J879" i="13"/>
  <c r="J884" i="13"/>
  <c r="C873" i="13"/>
  <c r="C874" i="13" s="1"/>
  <c r="C875" i="13" s="1"/>
  <c r="C876" i="13" s="1"/>
  <c r="C877" i="13" s="1"/>
  <c r="C878" i="13" s="1"/>
  <c r="C879" i="13" s="1"/>
  <c r="C880" i="13" s="1"/>
  <c r="C881" i="13" s="1"/>
  <c r="C882" i="13" s="1"/>
  <c r="C883" i="13" s="1"/>
  <c r="C884" i="13" s="1"/>
  <c r="C885" i="13" s="1"/>
  <c r="C886" i="13" s="1"/>
  <c r="C887" i="13" s="1"/>
  <c r="C888" i="13" s="1"/>
  <c r="O885" i="13"/>
  <c r="N878" i="13"/>
  <c r="M877" i="13"/>
  <c r="T877" i="13"/>
  <c r="K878" i="13"/>
  <c r="O881" i="13"/>
  <c r="S885" i="13"/>
  <c r="T885" i="13"/>
  <c r="M879" i="13"/>
  <c r="K884" i="13"/>
  <c r="H881" i="13"/>
  <c r="U882" i="13"/>
  <c r="I882" i="13"/>
  <c r="G881" i="13"/>
  <c r="P877" i="13"/>
  <c r="G883" i="13"/>
  <c r="L382" i="15"/>
  <c r="M384" i="15"/>
  <c r="F387" i="15"/>
  <c r="H383" i="15"/>
  <c r="G389" i="15"/>
  <c r="N391" i="15"/>
  <c r="N393" i="15"/>
  <c r="L393" i="15"/>
  <c r="N382" i="15"/>
  <c r="F383" i="15"/>
  <c r="P383" i="15"/>
  <c r="F389" i="15"/>
  <c r="F391" i="15"/>
  <c r="M383" i="15"/>
  <c r="J388" i="15"/>
  <c r="P390" i="15"/>
  <c r="M390" i="15"/>
  <c r="O383" i="15"/>
  <c r="P389" i="15"/>
  <c r="G383" i="15"/>
  <c r="M389" i="15"/>
  <c r="N392" i="15"/>
  <c r="J391" i="15"/>
  <c r="I389" i="15"/>
  <c r="J385" i="15"/>
  <c r="L384" i="15"/>
  <c r="K391" i="15"/>
  <c r="K383" i="15"/>
  <c r="I387" i="15"/>
  <c r="O392" i="15"/>
  <c r="K393" i="15"/>
  <c r="O385" i="15"/>
  <c r="I390" i="15"/>
  <c r="C379" i="15"/>
  <c r="C380" i="15" s="1"/>
  <c r="C381" i="15" s="1"/>
  <c r="C382" i="15" s="1"/>
  <c r="C383" i="15" s="1"/>
  <c r="C384" i="15" s="1"/>
  <c r="C385" i="15" s="1"/>
  <c r="C386" i="15" s="1"/>
  <c r="C387" i="15" s="1"/>
  <c r="C388" i="15" s="1"/>
  <c r="C389" i="15" s="1"/>
  <c r="C390" i="15" s="1"/>
  <c r="C391" i="15" s="1"/>
  <c r="C392" i="15" s="1"/>
  <c r="C393" i="15" s="1"/>
  <c r="C394" i="15" s="1"/>
  <c r="M382" i="15"/>
  <c r="P382" i="15"/>
  <c r="G391" i="15"/>
  <c r="J383" i="15"/>
  <c r="G392" i="15"/>
  <c r="F385" i="15"/>
  <c r="N387" i="15"/>
  <c r="M385" i="15"/>
  <c r="O391" i="15"/>
  <c r="L388" i="15"/>
  <c r="N383" i="15"/>
  <c r="K392" i="15"/>
  <c r="N385" i="15"/>
  <c r="M392" i="15"/>
  <c r="K390" i="15"/>
  <c r="K384" i="15"/>
  <c r="I388" i="15"/>
  <c r="H385" i="15"/>
  <c r="F392" i="15"/>
  <c r="G390" i="15"/>
  <c r="K385" i="15"/>
  <c r="N388" i="15"/>
  <c r="O387" i="15"/>
  <c r="P391" i="15"/>
  <c r="K382" i="15"/>
  <c r="K389" i="15"/>
  <c r="L392" i="15"/>
  <c r="O382" i="15"/>
  <c r="G385" i="15"/>
  <c r="F390" i="15"/>
  <c r="J387" i="15"/>
  <c r="O389" i="15"/>
  <c r="H388" i="15"/>
  <c r="P384" i="15"/>
  <c r="I383" i="15"/>
  <c r="P385" i="15"/>
  <c r="O393" i="15"/>
  <c r="J392" i="15"/>
  <c r="P387" i="15"/>
  <c r="P388" i="15"/>
  <c r="F388" i="15"/>
  <c r="P392" i="15"/>
  <c r="L385" i="15"/>
  <c r="L391" i="15"/>
  <c r="H390" i="15"/>
  <c r="M393" i="15"/>
  <c r="H392" i="15"/>
  <c r="J389" i="15"/>
  <c r="N390" i="15"/>
  <c r="N384" i="15"/>
  <c r="I392" i="15"/>
  <c r="I385" i="15"/>
  <c r="H391" i="15"/>
  <c r="G388" i="15"/>
  <c r="K388" i="15"/>
  <c r="O390" i="15"/>
  <c r="L390" i="15"/>
  <c r="G387" i="15"/>
  <c r="L383" i="15"/>
  <c r="O384" i="15"/>
  <c r="M388" i="15"/>
  <c r="J390" i="15"/>
  <c r="N389" i="15"/>
  <c r="I391" i="15"/>
  <c r="H389" i="15"/>
  <c r="H387" i="15"/>
  <c r="L387" i="15"/>
  <c r="O388" i="15"/>
  <c r="M391" i="15"/>
  <c r="L389" i="15"/>
  <c r="P393" i="15"/>
  <c r="K387" i="15"/>
  <c r="M387" i="15"/>
  <c r="K516" i="14"/>
  <c r="U515" i="14"/>
  <c r="R517" i="14"/>
  <c r="S516" i="14"/>
  <c r="S518" i="14"/>
  <c r="R520" i="14"/>
  <c r="O518" i="14"/>
  <c r="N516" i="14"/>
  <c r="O513" i="14"/>
  <c r="S515" i="14"/>
  <c r="H520" i="14"/>
  <c r="L521" i="14"/>
  <c r="K515" i="14"/>
  <c r="O521" i="14"/>
  <c r="R518" i="14"/>
  <c r="F517" i="14"/>
  <c r="P520" i="14"/>
  <c r="J515" i="14"/>
  <c r="T520" i="14"/>
  <c r="U516" i="14"/>
  <c r="L518" i="14"/>
  <c r="L519" i="14"/>
  <c r="M520" i="14"/>
  <c r="M516" i="14"/>
  <c r="L515" i="14"/>
  <c r="I520" i="14"/>
  <c r="T517" i="14"/>
  <c r="J519" i="14"/>
  <c r="N517" i="14"/>
  <c r="T516" i="14"/>
  <c r="H515" i="14"/>
  <c r="I517" i="14"/>
  <c r="R516" i="14"/>
  <c r="H519" i="14"/>
  <c r="G517" i="14"/>
  <c r="J517" i="14"/>
  <c r="U518" i="14"/>
  <c r="R519" i="14"/>
  <c r="F519" i="14"/>
  <c r="O515" i="14"/>
  <c r="P516" i="14"/>
  <c r="U519" i="14"/>
  <c r="O516" i="14"/>
  <c r="G518" i="14"/>
  <c r="H518" i="14"/>
  <c r="L520" i="14"/>
  <c r="K518" i="14"/>
  <c r="I515" i="14"/>
  <c r="N520" i="14"/>
  <c r="F520" i="14"/>
  <c r="T515" i="14"/>
  <c r="G519" i="14"/>
  <c r="U520" i="14"/>
  <c r="I519" i="14"/>
  <c r="H516" i="14"/>
  <c r="L513" i="14"/>
  <c r="P517" i="14"/>
  <c r="I516" i="14"/>
  <c r="O520" i="14"/>
  <c r="O517" i="14"/>
  <c r="K520" i="14"/>
  <c r="J518" i="14"/>
  <c r="J520" i="14"/>
  <c r="F516" i="14"/>
  <c r="P519" i="14"/>
  <c r="I518" i="14"/>
  <c r="G516" i="14"/>
  <c r="N515" i="14"/>
  <c r="M518" i="14"/>
  <c r="P518" i="14"/>
  <c r="F515" i="14"/>
  <c r="T518" i="14"/>
  <c r="L517" i="14"/>
  <c r="N518" i="14"/>
  <c r="P515" i="14"/>
  <c r="U517" i="14"/>
  <c r="O519" i="14"/>
  <c r="H517" i="14"/>
  <c r="J516" i="14"/>
  <c r="S517" i="14"/>
  <c r="S520" i="14"/>
  <c r="G515" i="14"/>
  <c r="T519" i="14"/>
  <c r="M519" i="14"/>
  <c r="C510" i="14"/>
  <c r="F518" i="14"/>
  <c r="K519" i="14"/>
  <c r="S519" i="14"/>
  <c r="M517" i="14"/>
  <c r="R515" i="14"/>
  <c r="N519" i="14"/>
  <c r="M515" i="14"/>
  <c r="K517" i="14"/>
  <c r="G520" i="14"/>
  <c r="L516" i="14"/>
  <c r="R406" i="14"/>
  <c r="N408" i="14"/>
  <c r="F405" i="14"/>
  <c r="T404" i="14"/>
  <c r="N406" i="14"/>
  <c r="I406" i="14"/>
  <c r="O408" i="14"/>
  <c r="K408" i="14"/>
  <c r="L405" i="14"/>
  <c r="L401" i="14"/>
  <c r="H404" i="14"/>
  <c r="O401" i="14"/>
  <c r="S404" i="14"/>
  <c r="G407" i="14"/>
  <c r="L404" i="14"/>
  <c r="U408" i="14"/>
  <c r="P404" i="14"/>
  <c r="F404" i="14"/>
  <c r="U406" i="14"/>
  <c r="O409" i="14"/>
  <c r="T408" i="14"/>
  <c r="L409" i="14"/>
  <c r="O405" i="14"/>
  <c r="R407" i="14"/>
  <c r="U407" i="14"/>
  <c r="G408" i="14"/>
  <c r="I403" i="14"/>
  <c r="J408" i="14"/>
  <c r="O407" i="14"/>
  <c r="F403" i="14"/>
  <c r="J406" i="14"/>
  <c r="G404" i="14"/>
  <c r="G403" i="14"/>
  <c r="K404" i="14"/>
  <c r="M404" i="14"/>
  <c r="M406" i="14"/>
  <c r="L408" i="14"/>
  <c r="L403" i="14"/>
  <c r="J403" i="14"/>
  <c r="P408" i="14"/>
  <c r="L406" i="14"/>
  <c r="R405" i="14"/>
  <c r="J405" i="14"/>
  <c r="H408" i="14"/>
  <c r="C398" i="14"/>
  <c r="M403" i="14"/>
  <c r="M405" i="14"/>
  <c r="T407" i="14"/>
  <c r="N403" i="14"/>
  <c r="S406" i="14"/>
  <c r="L407" i="14"/>
  <c r="J407" i="14"/>
  <c r="O403" i="14"/>
  <c r="N407" i="14"/>
  <c r="G405" i="14"/>
  <c r="G406" i="14"/>
  <c r="F406" i="14"/>
  <c r="P405" i="14"/>
  <c r="P403" i="14"/>
  <c r="K406" i="14"/>
  <c r="T403" i="14"/>
  <c r="M407" i="14"/>
  <c r="P407" i="14"/>
  <c r="T406" i="14"/>
  <c r="K403" i="14"/>
  <c r="S403" i="14"/>
  <c r="H407" i="14"/>
  <c r="F408" i="14"/>
  <c r="H405" i="14"/>
  <c r="R403" i="14"/>
  <c r="F407" i="14"/>
  <c r="R408" i="14"/>
  <c r="K405" i="14"/>
  <c r="P406" i="14"/>
  <c r="I404" i="14"/>
  <c r="I405" i="14"/>
  <c r="N405" i="14"/>
  <c r="U403" i="14"/>
  <c r="I407" i="14"/>
  <c r="H406" i="14"/>
  <c r="O404" i="14"/>
  <c r="J404" i="14"/>
  <c r="S405" i="14"/>
  <c r="I408" i="14"/>
  <c r="U405" i="14"/>
  <c r="K407" i="14"/>
  <c r="N404" i="14"/>
  <c r="S408" i="14"/>
  <c r="O406" i="14"/>
  <c r="R404" i="14"/>
  <c r="S407" i="14"/>
  <c r="U404" i="14"/>
  <c r="H403" i="14"/>
  <c r="M408" i="14"/>
  <c r="T405" i="14"/>
  <c r="P509" i="11"/>
  <c r="Q508" i="11"/>
  <c r="R508" i="11"/>
  <c r="S508" i="11"/>
  <c r="I507" i="11"/>
  <c r="L508" i="11"/>
  <c r="K509" i="11"/>
  <c r="T507" i="11"/>
  <c r="R507" i="11"/>
  <c r="J508" i="11"/>
  <c r="S509" i="11"/>
  <c r="J507" i="11"/>
  <c r="J509" i="11"/>
  <c r="Q509" i="11"/>
  <c r="M508" i="11"/>
  <c r="K507" i="11"/>
  <c r="T508" i="11"/>
  <c r="K508" i="11"/>
  <c r="N508" i="11"/>
  <c r="T509" i="11"/>
  <c r="I509" i="11"/>
  <c r="I508" i="11"/>
  <c r="P508" i="11"/>
  <c r="G509" i="11"/>
  <c r="Q507" i="11"/>
  <c r="F509" i="11"/>
  <c r="G507" i="11"/>
  <c r="G510" i="11" s="1"/>
  <c r="P507" i="11"/>
  <c r="R509" i="11"/>
  <c r="G508" i="11"/>
  <c r="S507" i="11"/>
  <c r="S510" i="11" s="1"/>
  <c r="H507" i="11"/>
  <c r="C503" i="11"/>
  <c r="C504" i="11" s="1"/>
  <c r="C505" i="11" s="1"/>
  <c r="C506" i="11" s="1"/>
  <c r="C507" i="11" s="1"/>
  <c r="C508" i="11" s="1"/>
  <c r="C509" i="11" s="1"/>
  <c r="C510" i="11" s="1"/>
  <c r="H508" i="11"/>
  <c r="C502" i="11"/>
  <c r="O509" i="11"/>
  <c r="O508" i="11"/>
  <c r="O507" i="11"/>
  <c r="H509" i="11"/>
  <c r="F508" i="11"/>
  <c r="F507" i="11"/>
  <c r="I809" i="16"/>
  <c r="M809" i="16"/>
  <c r="K811" i="16"/>
  <c r="H812" i="16"/>
  <c r="O814" i="16"/>
  <c r="O813" i="16"/>
  <c r="I812" i="16"/>
  <c r="J811" i="16"/>
  <c r="L815" i="16"/>
  <c r="N815" i="16"/>
  <c r="J814" i="16"/>
  <c r="L811" i="16"/>
  <c r="N810" i="16"/>
  <c r="H811" i="16"/>
  <c r="H813" i="16"/>
  <c r="K807" i="16"/>
  <c r="L813" i="16"/>
  <c r="F812" i="16"/>
  <c r="P813" i="16"/>
  <c r="M815" i="16"/>
  <c r="J809" i="16"/>
  <c r="K814" i="16"/>
  <c r="K812" i="16"/>
  <c r="I811" i="16"/>
  <c r="O811" i="16"/>
  <c r="O810" i="16"/>
  <c r="G810" i="16"/>
  <c r="N809" i="16"/>
  <c r="F814" i="16"/>
  <c r="N807" i="16"/>
  <c r="I810" i="16"/>
  <c r="N812" i="16"/>
  <c r="H809" i="16"/>
  <c r="K810" i="16"/>
  <c r="P807" i="16"/>
  <c r="O809" i="16"/>
  <c r="O807" i="16"/>
  <c r="G813" i="16"/>
  <c r="N813" i="16"/>
  <c r="F811" i="16"/>
  <c r="K813" i="16"/>
  <c r="J810" i="16"/>
  <c r="M811" i="16"/>
  <c r="G812" i="16"/>
  <c r="L810" i="16"/>
  <c r="M812" i="16"/>
  <c r="H810" i="16"/>
  <c r="K815" i="16"/>
  <c r="I813" i="16"/>
  <c r="L812" i="16"/>
  <c r="G811" i="16"/>
  <c r="K809" i="16"/>
  <c r="J813" i="16"/>
  <c r="M807" i="16"/>
  <c r="H814" i="16"/>
  <c r="L814" i="16"/>
  <c r="N814" i="16"/>
  <c r="F809" i="16"/>
  <c r="O815" i="16"/>
  <c r="G809" i="16"/>
  <c r="P810" i="16"/>
  <c r="G814" i="16"/>
  <c r="P809" i="16"/>
  <c r="I814" i="16"/>
  <c r="L807" i="16"/>
  <c r="O812" i="16"/>
  <c r="P812" i="16"/>
  <c r="M810" i="16"/>
  <c r="J812" i="16"/>
  <c r="M813" i="16"/>
  <c r="F810" i="16"/>
  <c r="P814" i="16"/>
  <c r="C804" i="16"/>
  <c r="C805" i="16" s="1"/>
  <c r="C806" i="16" s="1"/>
  <c r="C807" i="16" s="1"/>
  <c r="C808" i="16" s="1"/>
  <c r="C809" i="16" s="1"/>
  <c r="C810" i="16" s="1"/>
  <c r="C811" i="16" s="1"/>
  <c r="C812" i="16" s="1"/>
  <c r="C813" i="16" s="1"/>
  <c r="C814" i="16" s="1"/>
  <c r="C815" i="16" s="1"/>
  <c r="C816" i="16" s="1"/>
  <c r="M814" i="16"/>
  <c r="F813" i="16"/>
  <c r="P815" i="16"/>
  <c r="L809" i="16"/>
  <c r="N811" i="16"/>
  <c r="P811" i="16"/>
  <c r="G932" i="15"/>
  <c r="O931" i="15"/>
  <c r="L926" i="15"/>
  <c r="O935" i="15"/>
  <c r="H929" i="15"/>
  <c r="M936" i="15"/>
  <c r="O934" i="15"/>
  <c r="F927" i="15"/>
  <c r="I932" i="15"/>
  <c r="J934" i="15"/>
  <c r="I931" i="15"/>
  <c r="L935" i="15"/>
  <c r="K927" i="15"/>
  <c r="C923" i="15"/>
  <c r="C924" i="15" s="1"/>
  <c r="C925" i="15" s="1"/>
  <c r="C926" i="15" s="1"/>
  <c r="C927" i="15" s="1"/>
  <c r="C928" i="15" s="1"/>
  <c r="C929" i="15" s="1"/>
  <c r="C930" i="15" s="1"/>
  <c r="C931" i="15" s="1"/>
  <c r="C932" i="15" s="1"/>
  <c r="C933" i="15" s="1"/>
  <c r="C934" i="15" s="1"/>
  <c r="C935" i="15" s="1"/>
  <c r="C936" i="15" s="1"/>
  <c r="C937" i="15" s="1"/>
  <c r="C938" i="15" s="1"/>
  <c r="K928" i="15"/>
  <c r="F933" i="15"/>
  <c r="K936" i="15"/>
  <c r="K934" i="15"/>
  <c r="P937" i="15"/>
  <c r="G936" i="15"/>
  <c r="J932" i="15"/>
  <c r="L936" i="15"/>
  <c r="H935" i="15"/>
  <c r="M935" i="15"/>
  <c r="L927" i="15"/>
  <c r="L937" i="15"/>
  <c r="F934" i="15"/>
  <c r="L931" i="15"/>
  <c r="P929" i="15"/>
  <c r="F931" i="15"/>
  <c r="N928" i="15"/>
  <c r="I933" i="15"/>
  <c r="P926" i="15"/>
  <c r="F929" i="15"/>
  <c r="M933" i="15"/>
  <c r="G931" i="15"/>
  <c r="M931" i="15"/>
  <c r="K932" i="15"/>
  <c r="O933" i="15"/>
  <c r="N929" i="15"/>
  <c r="M929" i="15"/>
  <c r="P934" i="15"/>
  <c r="O937" i="15"/>
  <c r="G933" i="15"/>
  <c r="H934" i="15"/>
  <c r="G934" i="15"/>
  <c r="J933" i="15"/>
  <c r="F935" i="15"/>
  <c r="K926" i="15"/>
  <c r="H931" i="15"/>
  <c r="M932" i="15"/>
  <c r="M934" i="15"/>
  <c r="J935" i="15"/>
  <c r="N932" i="15"/>
  <c r="M926" i="15"/>
  <c r="L934" i="15"/>
  <c r="G929" i="15"/>
  <c r="P936" i="15"/>
  <c r="O936" i="15"/>
  <c r="P935" i="15"/>
  <c r="I935" i="15"/>
  <c r="P933" i="15"/>
  <c r="L928" i="15"/>
  <c r="O927" i="15"/>
  <c r="N927" i="15"/>
  <c r="J936" i="15"/>
  <c r="K935" i="15"/>
  <c r="F936" i="15"/>
  <c r="M928" i="15"/>
  <c r="P932" i="15"/>
  <c r="H932" i="15"/>
  <c r="G927" i="15"/>
  <c r="N936" i="15"/>
  <c r="K933" i="15"/>
  <c r="P931" i="15"/>
  <c r="N937" i="15"/>
  <c r="N935" i="15"/>
  <c r="M927" i="15"/>
  <c r="I927" i="15"/>
  <c r="G935" i="15"/>
  <c r="M937" i="15"/>
  <c r="J929" i="15"/>
  <c r="F932" i="15"/>
  <c r="O926" i="15"/>
  <c r="P927" i="15"/>
  <c r="I929" i="15"/>
  <c r="N931" i="15"/>
  <c r="L933" i="15"/>
  <c r="I934" i="15"/>
  <c r="N933" i="15"/>
  <c r="O932" i="15"/>
  <c r="J931" i="15"/>
  <c r="H927" i="15"/>
  <c r="K929" i="15"/>
  <c r="H936" i="15"/>
  <c r="L932" i="15"/>
  <c r="P928" i="15"/>
  <c r="O929" i="15"/>
  <c r="K931" i="15"/>
  <c r="L929" i="15"/>
  <c r="N926" i="15"/>
  <c r="N934" i="15"/>
  <c r="H933" i="15"/>
  <c r="O928" i="15"/>
  <c r="K937" i="15"/>
  <c r="J927" i="15"/>
  <c r="I936" i="15"/>
  <c r="G800" i="16"/>
  <c r="O800" i="16"/>
  <c r="M798" i="16"/>
  <c r="L796" i="16"/>
  <c r="L801" i="16"/>
  <c r="I800" i="16"/>
  <c r="I798" i="16"/>
  <c r="P799" i="16"/>
  <c r="L793" i="16"/>
  <c r="L795" i="16"/>
  <c r="C790" i="16"/>
  <c r="C791" i="16" s="1"/>
  <c r="C792" i="16" s="1"/>
  <c r="C793" i="16" s="1"/>
  <c r="C794" i="16" s="1"/>
  <c r="C795" i="16" s="1"/>
  <c r="C796" i="16" s="1"/>
  <c r="C797" i="16" s="1"/>
  <c r="C798" i="16" s="1"/>
  <c r="C799" i="16" s="1"/>
  <c r="C800" i="16" s="1"/>
  <c r="C801" i="16" s="1"/>
  <c r="C802" i="16" s="1"/>
  <c r="P800" i="16"/>
  <c r="F799" i="16"/>
  <c r="H797" i="16"/>
  <c r="N799" i="16"/>
  <c r="M796" i="16"/>
  <c r="P801" i="16"/>
  <c r="G795" i="16"/>
  <c r="K797" i="16"/>
  <c r="L800" i="16"/>
  <c r="K799" i="16"/>
  <c r="I799" i="16"/>
  <c r="J798" i="16"/>
  <c r="M799" i="16"/>
  <c r="N795" i="16"/>
  <c r="H798" i="16"/>
  <c r="F795" i="16"/>
  <c r="M797" i="16"/>
  <c r="K798" i="16"/>
  <c r="G796" i="16"/>
  <c r="J797" i="16"/>
  <c r="O798" i="16"/>
  <c r="P797" i="16"/>
  <c r="K800" i="16"/>
  <c r="M801" i="16"/>
  <c r="I796" i="16"/>
  <c r="O799" i="16"/>
  <c r="N798" i="16"/>
  <c r="K801" i="16"/>
  <c r="J799" i="16"/>
  <c r="O797" i="16"/>
  <c r="L797" i="16"/>
  <c r="H799" i="16"/>
  <c r="N801" i="16"/>
  <c r="H800" i="16"/>
  <c r="L798" i="16"/>
  <c r="N796" i="16"/>
  <c r="O801" i="16"/>
  <c r="H795" i="16"/>
  <c r="F798" i="16"/>
  <c r="P798" i="16"/>
  <c r="K795" i="16"/>
  <c r="H796" i="16"/>
  <c r="N797" i="16"/>
  <c r="N793" i="16"/>
  <c r="G797" i="16"/>
  <c r="J800" i="16"/>
  <c r="M795" i="16"/>
  <c r="P793" i="16"/>
  <c r="N800" i="16"/>
  <c r="G799" i="16"/>
  <c r="O796" i="16"/>
  <c r="M793" i="16"/>
  <c r="K796" i="16"/>
  <c r="I795" i="16"/>
  <c r="M800" i="16"/>
  <c r="K793" i="16"/>
  <c r="I797" i="16"/>
  <c r="L799" i="16"/>
  <c r="O795" i="16"/>
  <c r="P795" i="16"/>
  <c r="J796" i="16"/>
  <c r="F800" i="16"/>
  <c r="J795" i="16"/>
  <c r="P796" i="16"/>
  <c r="O793" i="16"/>
  <c r="G798" i="16"/>
  <c r="F797" i="16"/>
  <c r="F796" i="16"/>
  <c r="Q388" i="11"/>
  <c r="S386" i="11"/>
  <c r="M387" i="11"/>
  <c r="K386" i="11"/>
  <c r="T388" i="11"/>
  <c r="H386" i="11"/>
  <c r="F386" i="11"/>
  <c r="J387" i="11"/>
  <c r="P386" i="11"/>
  <c r="I387" i="11"/>
  <c r="O388" i="11"/>
  <c r="Q387" i="11"/>
  <c r="F388" i="11"/>
  <c r="J388" i="11"/>
  <c r="I388" i="11"/>
  <c r="C382" i="11"/>
  <c r="C383" i="11" s="1"/>
  <c r="C384" i="11" s="1"/>
  <c r="C385" i="11" s="1"/>
  <c r="C386" i="11" s="1"/>
  <c r="C387" i="11" s="1"/>
  <c r="C388" i="11" s="1"/>
  <c r="C389" i="11" s="1"/>
  <c r="F387" i="11"/>
  <c r="L387" i="11"/>
  <c r="C381" i="11"/>
  <c r="N387" i="11"/>
  <c r="R387" i="11"/>
  <c r="S387" i="11"/>
  <c r="H387" i="11"/>
  <c r="H388" i="11"/>
  <c r="P388" i="11"/>
  <c r="S388" i="11"/>
  <c r="K388" i="11"/>
  <c r="R386" i="11"/>
  <c r="G388" i="11"/>
  <c r="G387" i="11"/>
  <c r="P387" i="11"/>
  <c r="K387" i="11"/>
  <c r="J386" i="11"/>
  <c r="O386" i="11"/>
  <c r="I386" i="11"/>
  <c r="T387" i="11"/>
  <c r="T386" i="11"/>
  <c r="O387" i="11"/>
  <c r="R388" i="11"/>
  <c r="G386" i="11"/>
  <c r="Q386" i="11"/>
  <c r="J457" i="12"/>
  <c r="J458" i="12" s="1"/>
  <c r="I457" i="12"/>
  <c r="I458" i="12" s="1"/>
  <c r="C452" i="12"/>
  <c r="C453" i="12" s="1"/>
  <c r="C454" i="12" s="1"/>
  <c r="C455" i="12" s="1"/>
  <c r="C456" i="12" s="1"/>
  <c r="C457" i="12" s="1"/>
  <c r="C458" i="12" s="1"/>
  <c r="K457" i="12"/>
  <c r="K458" i="12" s="1"/>
  <c r="H827" i="15"/>
  <c r="N831" i="15"/>
  <c r="K827" i="15"/>
  <c r="L829" i="15"/>
  <c r="I825" i="15"/>
  <c r="P834" i="15"/>
  <c r="K829" i="15"/>
  <c r="J827" i="15"/>
  <c r="O830" i="15"/>
  <c r="J834" i="15"/>
  <c r="O831" i="15"/>
  <c r="K831" i="15"/>
  <c r="L826" i="15"/>
  <c r="H833" i="15"/>
  <c r="L825" i="15"/>
  <c r="H830" i="15"/>
  <c r="K825" i="15"/>
  <c r="O833" i="15"/>
  <c r="M827" i="15"/>
  <c r="M833" i="15"/>
  <c r="F834" i="15"/>
  <c r="H831" i="15"/>
  <c r="O824" i="15"/>
  <c r="L824" i="15"/>
  <c r="N825" i="15"/>
  <c r="I829" i="15"/>
  <c r="L834" i="15"/>
  <c r="I831" i="15"/>
  <c r="M830" i="15"/>
  <c r="M825" i="15"/>
  <c r="L833" i="15"/>
  <c r="H829" i="15"/>
  <c r="F830" i="15"/>
  <c r="J832" i="15"/>
  <c r="K824" i="15"/>
  <c r="N835" i="15"/>
  <c r="I833" i="15"/>
  <c r="N832" i="15"/>
  <c r="M832" i="15"/>
  <c r="G830" i="15"/>
  <c r="O829" i="15"/>
  <c r="N830" i="15"/>
  <c r="O834" i="15"/>
  <c r="L835" i="15"/>
  <c r="P829" i="15"/>
  <c r="M824" i="15"/>
  <c r="G832" i="15"/>
  <c r="G829" i="15"/>
  <c r="J825" i="15"/>
  <c r="P832" i="15"/>
  <c r="H832" i="15"/>
  <c r="G833" i="15"/>
  <c r="J829" i="15"/>
  <c r="P830" i="15"/>
  <c r="F827" i="15"/>
  <c r="O835" i="15"/>
  <c r="K832" i="15"/>
  <c r="J833" i="15"/>
  <c r="O826" i="15"/>
  <c r="I830" i="15"/>
  <c r="G831" i="15"/>
  <c r="P831" i="15"/>
  <c r="K830" i="15"/>
  <c r="M835" i="15"/>
  <c r="F831" i="15"/>
  <c r="F833" i="15"/>
  <c r="N829" i="15"/>
  <c r="G825" i="15"/>
  <c r="L832" i="15"/>
  <c r="L827" i="15"/>
  <c r="L831" i="15"/>
  <c r="K826" i="15"/>
  <c r="F829" i="15"/>
  <c r="I832" i="15"/>
  <c r="P835" i="15"/>
  <c r="M829" i="15"/>
  <c r="L830" i="15"/>
  <c r="M831" i="15"/>
  <c r="H825" i="15"/>
  <c r="O832" i="15"/>
  <c r="M826" i="15"/>
  <c r="N824" i="15"/>
  <c r="J830" i="15"/>
  <c r="P825" i="15"/>
  <c r="G834" i="15"/>
  <c r="N826" i="15"/>
  <c r="O825" i="15"/>
  <c r="P833" i="15"/>
  <c r="N834" i="15"/>
  <c r="J831" i="15"/>
  <c r="G827" i="15"/>
  <c r="I827" i="15"/>
  <c r="N833" i="15"/>
  <c r="I834" i="15"/>
  <c r="H834" i="15"/>
  <c r="M834" i="15"/>
  <c r="K834" i="15"/>
  <c r="K833" i="15"/>
  <c r="C821" i="15"/>
  <c r="C822" i="15" s="1"/>
  <c r="C823" i="15" s="1"/>
  <c r="C824" i="15" s="1"/>
  <c r="C825" i="15" s="1"/>
  <c r="C826" i="15" s="1"/>
  <c r="C827" i="15" s="1"/>
  <c r="C828" i="15" s="1"/>
  <c r="C829" i="15" s="1"/>
  <c r="C830" i="15" s="1"/>
  <c r="C831" i="15" s="1"/>
  <c r="C832" i="15" s="1"/>
  <c r="C833" i="15" s="1"/>
  <c r="C834" i="15" s="1"/>
  <c r="C835" i="15" s="1"/>
  <c r="C836" i="15" s="1"/>
  <c r="P827" i="15"/>
  <c r="F832" i="15"/>
  <c r="P824" i="15"/>
  <c r="K835" i="15"/>
  <c r="F825" i="15"/>
  <c r="P826" i="15"/>
  <c r="O827" i="15"/>
  <c r="N827" i="15"/>
  <c r="O449" i="14"/>
  <c r="N449" i="14"/>
  <c r="I450" i="14"/>
  <c r="M450" i="14"/>
  <c r="R445" i="14"/>
  <c r="L445" i="14"/>
  <c r="S450" i="14"/>
  <c r="P446" i="14"/>
  <c r="K445" i="14"/>
  <c r="C440" i="14"/>
  <c r="T445" i="14"/>
  <c r="I445" i="14"/>
  <c r="F446" i="14"/>
  <c r="G450" i="14"/>
  <c r="L450" i="14"/>
  <c r="O443" i="14"/>
  <c r="H449" i="14"/>
  <c r="O448" i="14"/>
  <c r="T446" i="14"/>
  <c r="K447" i="14"/>
  <c r="T450" i="14"/>
  <c r="J448" i="14"/>
  <c r="J447" i="14"/>
  <c r="U449" i="14"/>
  <c r="N448" i="14"/>
  <c r="S449" i="14"/>
  <c r="F449" i="14"/>
  <c r="G445" i="14"/>
  <c r="M448" i="14"/>
  <c r="U450" i="14"/>
  <c r="H445" i="14"/>
  <c r="K448" i="14"/>
  <c r="P448" i="14"/>
  <c r="R446" i="14"/>
  <c r="U445" i="14"/>
  <c r="L447" i="14"/>
  <c r="G447" i="14"/>
  <c r="L446" i="14"/>
  <c r="P447" i="14"/>
  <c r="T447" i="14"/>
  <c r="P445" i="14"/>
  <c r="R449" i="14"/>
  <c r="G449" i="14"/>
  <c r="M445" i="14"/>
  <c r="J445" i="14"/>
  <c r="P449" i="14"/>
  <c r="H448" i="14"/>
  <c r="H450" i="14"/>
  <c r="R448" i="14"/>
  <c r="L448" i="14"/>
  <c r="L449" i="14"/>
  <c r="I446" i="14"/>
  <c r="G446" i="14"/>
  <c r="U448" i="14"/>
  <c r="S448" i="14"/>
  <c r="O445" i="14"/>
  <c r="H446" i="14"/>
  <c r="F450" i="14"/>
  <c r="I449" i="14"/>
  <c r="O446" i="14"/>
  <c r="J450" i="14"/>
  <c r="F445" i="14"/>
  <c r="U447" i="14"/>
  <c r="F448" i="14"/>
  <c r="J446" i="14"/>
  <c r="N447" i="14"/>
  <c r="G448" i="14"/>
  <c r="K446" i="14"/>
  <c r="R450" i="14"/>
  <c r="J449" i="14"/>
  <c r="K450" i="14"/>
  <c r="R447" i="14"/>
  <c r="I448" i="14"/>
  <c r="F447" i="14"/>
  <c r="O451" i="14"/>
  <c r="M449" i="14"/>
  <c r="S447" i="14"/>
  <c r="H447" i="14"/>
  <c r="N445" i="14"/>
  <c r="N446" i="14"/>
  <c r="M446" i="14"/>
  <c r="P450" i="14"/>
  <c r="T449" i="14"/>
  <c r="I447" i="14"/>
  <c r="T448" i="14"/>
  <c r="U446" i="14"/>
  <c r="L451" i="14"/>
  <c r="K449" i="14"/>
  <c r="O450" i="14"/>
  <c r="L443" i="14"/>
  <c r="S446" i="14"/>
  <c r="S445" i="14"/>
  <c r="M447" i="14"/>
  <c r="N450" i="14"/>
  <c r="O447" i="14"/>
  <c r="F434" i="15"/>
  <c r="L435" i="15"/>
  <c r="O433" i="15"/>
  <c r="G439" i="15"/>
  <c r="N443" i="15"/>
  <c r="K442" i="15"/>
  <c r="P439" i="15"/>
  <c r="P436" i="15"/>
  <c r="J436" i="15"/>
  <c r="G434" i="15"/>
  <c r="I438" i="15"/>
  <c r="L433" i="15"/>
  <c r="I441" i="15"/>
  <c r="P433" i="15"/>
  <c r="K434" i="15"/>
  <c r="M436" i="15"/>
  <c r="N434" i="15"/>
  <c r="N438" i="15"/>
  <c r="F436" i="15"/>
  <c r="F440" i="15"/>
  <c r="J440" i="15"/>
  <c r="L443" i="15"/>
  <c r="K435" i="15"/>
  <c r="N439" i="15"/>
  <c r="O442" i="15"/>
  <c r="H438" i="15"/>
  <c r="P443" i="15"/>
  <c r="H436" i="15"/>
  <c r="I443" i="15"/>
  <c r="F441" i="15"/>
  <c r="M438" i="15"/>
  <c r="K444" i="15"/>
  <c r="K441" i="15"/>
  <c r="O436" i="15"/>
  <c r="O444" i="15"/>
  <c r="M441" i="15"/>
  <c r="P434" i="15"/>
  <c r="F438" i="15"/>
  <c r="G436" i="15"/>
  <c r="I439" i="15"/>
  <c r="I440" i="15"/>
  <c r="M433" i="15"/>
  <c r="P440" i="15"/>
  <c r="M443" i="15"/>
  <c r="P442" i="15"/>
  <c r="P441" i="15"/>
  <c r="F442" i="15"/>
  <c r="H442" i="15"/>
  <c r="I434" i="15"/>
  <c r="H439" i="15"/>
  <c r="M444" i="15"/>
  <c r="M442" i="15"/>
  <c r="K433" i="15"/>
  <c r="L438" i="15"/>
  <c r="M439" i="15"/>
  <c r="L436" i="15"/>
  <c r="H441" i="15"/>
  <c r="O443" i="15"/>
  <c r="J438" i="15"/>
  <c r="G442" i="15"/>
  <c r="O435" i="15"/>
  <c r="I442" i="15"/>
  <c r="O439" i="15"/>
  <c r="P438" i="15"/>
  <c r="N442" i="15"/>
  <c r="O440" i="15"/>
  <c r="L434" i="15"/>
  <c r="C430" i="15"/>
  <c r="C431" i="15" s="1"/>
  <c r="C432" i="15" s="1"/>
  <c r="C433" i="15" s="1"/>
  <c r="C434" i="15" s="1"/>
  <c r="C435" i="15" s="1"/>
  <c r="C436" i="15" s="1"/>
  <c r="C437" i="15" s="1"/>
  <c r="C438" i="15" s="1"/>
  <c r="C439" i="15" s="1"/>
  <c r="C440" i="15" s="1"/>
  <c r="C441" i="15" s="1"/>
  <c r="C442" i="15" s="1"/>
  <c r="C443" i="15" s="1"/>
  <c r="C444" i="15" s="1"/>
  <c r="C445" i="15" s="1"/>
  <c r="J442" i="15"/>
  <c r="P444" i="15"/>
  <c r="J434" i="15"/>
  <c r="P435" i="15"/>
  <c r="O441" i="15"/>
  <c r="K440" i="15"/>
  <c r="N433" i="15"/>
  <c r="L441" i="15"/>
  <c r="H434" i="15"/>
  <c r="J441" i="15"/>
  <c r="I436" i="15"/>
  <c r="N441" i="15"/>
  <c r="N444" i="15"/>
  <c r="O434" i="15"/>
  <c r="L440" i="15"/>
  <c r="K439" i="15"/>
  <c r="O438" i="15"/>
  <c r="G438" i="15"/>
  <c r="F439" i="15"/>
  <c r="J439" i="15"/>
  <c r="M435" i="15"/>
  <c r="H440" i="15"/>
  <c r="N435" i="15"/>
  <c r="K443" i="15"/>
  <c r="N440" i="15"/>
  <c r="N436" i="15"/>
  <c r="L439" i="15"/>
  <c r="G441" i="15"/>
  <c r="L442" i="15"/>
  <c r="G443" i="15"/>
  <c r="M440" i="15"/>
  <c r="G440" i="15"/>
  <c r="M434" i="15"/>
  <c r="J443" i="15"/>
  <c r="F443" i="15"/>
  <c r="L444" i="15"/>
  <c r="H443" i="15"/>
  <c r="K436" i="15"/>
  <c r="K438" i="15"/>
  <c r="G319" i="16"/>
  <c r="P325" i="16"/>
  <c r="K317" i="16"/>
  <c r="I321" i="16"/>
  <c r="O323" i="16"/>
  <c r="O324" i="16"/>
  <c r="G321" i="16"/>
  <c r="C314" i="16"/>
  <c r="C315" i="16" s="1"/>
  <c r="C316" i="16" s="1"/>
  <c r="C317" i="16" s="1"/>
  <c r="C318" i="16" s="1"/>
  <c r="C319" i="16" s="1"/>
  <c r="C320" i="16" s="1"/>
  <c r="C321" i="16" s="1"/>
  <c r="C322" i="16" s="1"/>
  <c r="C323" i="16" s="1"/>
  <c r="C324" i="16" s="1"/>
  <c r="C325" i="16" s="1"/>
  <c r="C326" i="16" s="1"/>
  <c r="L319" i="16"/>
  <c r="N317" i="16"/>
  <c r="J319" i="16"/>
  <c r="N321" i="16"/>
  <c r="M322" i="16"/>
  <c r="H324" i="16"/>
  <c r="N319" i="16"/>
  <c r="L321" i="16"/>
  <c r="I322" i="16"/>
  <c r="L324" i="16"/>
  <c r="K320" i="16"/>
  <c r="G320" i="16"/>
  <c r="P323" i="16"/>
  <c r="P324" i="16"/>
  <c r="H320" i="16"/>
  <c r="J323" i="16"/>
  <c r="M319" i="16"/>
  <c r="O317" i="16"/>
  <c r="G324" i="16"/>
  <c r="F319" i="16"/>
  <c r="K321" i="16"/>
  <c r="N320" i="16"/>
  <c r="I319" i="16"/>
  <c r="K325" i="16"/>
  <c r="N325" i="16"/>
  <c r="H319" i="16"/>
  <c r="O321" i="16"/>
  <c r="O322" i="16"/>
  <c r="J322" i="16"/>
  <c r="I320" i="16"/>
  <c r="P317" i="16"/>
  <c r="L325" i="16"/>
  <c r="F324" i="16"/>
  <c r="J320" i="16"/>
  <c r="O325" i="16"/>
  <c r="M324" i="16"/>
  <c r="J324" i="16"/>
  <c r="M323" i="16"/>
  <c r="N322" i="16"/>
  <c r="H322" i="16"/>
  <c r="L320" i="16"/>
  <c r="L322" i="16"/>
  <c r="G323" i="16"/>
  <c r="P321" i="16"/>
  <c r="P322" i="16"/>
  <c r="F321" i="16"/>
  <c r="P319" i="16"/>
  <c r="P320" i="16"/>
  <c r="F322" i="16"/>
  <c r="F323" i="16"/>
  <c r="L323" i="16"/>
  <c r="K323" i="16"/>
  <c r="I324" i="16"/>
  <c r="N323" i="16"/>
  <c r="N324" i="16"/>
  <c r="G322" i="16"/>
  <c r="O319" i="16"/>
  <c r="O320" i="16"/>
  <c r="H321" i="16"/>
  <c r="K322" i="16"/>
  <c r="K324" i="16"/>
  <c r="F320" i="16"/>
  <c r="I323" i="16"/>
  <c r="M325" i="16"/>
  <c r="K319" i="16"/>
  <c r="J321" i="16"/>
  <c r="M321" i="16"/>
  <c r="M320" i="16"/>
  <c r="H323" i="16"/>
  <c r="M317" i="16"/>
  <c r="L317" i="16"/>
  <c r="K558" i="14"/>
  <c r="T558" i="14"/>
  <c r="L555" i="14"/>
  <c r="N561" i="14"/>
  <c r="F557" i="14"/>
  <c r="L561" i="14"/>
  <c r="T560" i="14"/>
  <c r="M558" i="14"/>
  <c r="L563" i="14"/>
  <c r="S562" i="14"/>
  <c r="G560" i="14"/>
  <c r="M560" i="14"/>
  <c r="I560" i="14"/>
  <c r="O560" i="14"/>
  <c r="K559" i="14"/>
  <c r="T559" i="14"/>
  <c r="U557" i="14"/>
  <c r="P562" i="14"/>
  <c r="T562" i="14"/>
  <c r="L557" i="14"/>
  <c r="S557" i="14"/>
  <c r="U561" i="14"/>
  <c r="P557" i="14"/>
  <c r="F560" i="14"/>
  <c r="C552" i="14"/>
  <c r="M559" i="14"/>
  <c r="J557" i="14"/>
  <c r="H560" i="14"/>
  <c r="R558" i="14"/>
  <c r="I562" i="14"/>
  <c r="U562" i="14"/>
  <c r="I561" i="14"/>
  <c r="R562" i="14"/>
  <c r="O563" i="14"/>
  <c r="I557" i="14"/>
  <c r="L562" i="14"/>
  <c r="N557" i="14"/>
  <c r="O561" i="14"/>
  <c r="K560" i="14"/>
  <c r="L560" i="14"/>
  <c r="H559" i="14"/>
  <c r="L559" i="14"/>
  <c r="P561" i="14"/>
  <c r="S561" i="14"/>
  <c r="S559" i="14"/>
  <c r="N560" i="14"/>
  <c r="M557" i="14"/>
  <c r="L558" i="14"/>
  <c r="G558" i="14"/>
  <c r="O562" i="14"/>
  <c r="P558" i="14"/>
  <c r="O559" i="14"/>
  <c r="K557" i="14"/>
  <c r="O555" i="14"/>
  <c r="H557" i="14"/>
  <c r="T557" i="14"/>
  <c r="O558" i="14"/>
  <c r="U558" i="14"/>
  <c r="N562" i="14"/>
  <c r="I559" i="14"/>
  <c r="R557" i="14"/>
  <c r="F561" i="14"/>
  <c r="T561" i="14"/>
  <c r="U560" i="14"/>
  <c r="F559" i="14"/>
  <c r="G557" i="14"/>
  <c r="J560" i="14"/>
  <c r="M561" i="14"/>
  <c r="R561" i="14"/>
  <c r="G559" i="14"/>
  <c r="P559" i="14"/>
  <c r="M562" i="14"/>
  <c r="G561" i="14"/>
  <c r="F558" i="14"/>
  <c r="K562" i="14"/>
  <c r="H561" i="14"/>
  <c r="J559" i="14"/>
  <c r="N558" i="14"/>
  <c r="P560" i="14"/>
  <c r="G562" i="14"/>
  <c r="R559" i="14"/>
  <c r="O557" i="14"/>
  <c r="H558" i="14"/>
  <c r="S560" i="14"/>
  <c r="H562" i="14"/>
  <c r="K561" i="14"/>
  <c r="I558" i="14"/>
  <c r="S558" i="14"/>
  <c r="F562" i="14"/>
  <c r="U559" i="14"/>
  <c r="J562" i="14"/>
  <c r="R560" i="14"/>
  <c r="J558" i="14"/>
  <c r="N559" i="14"/>
  <c r="J561" i="14"/>
  <c r="L556" i="13"/>
  <c r="O563" i="13"/>
  <c r="H562" i="13"/>
  <c r="F562" i="13"/>
  <c r="L554" i="13"/>
  <c r="M562" i="13"/>
  <c r="P556" i="13"/>
  <c r="L562" i="13"/>
  <c r="K554" i="13"/>
  <c r="G562" i="13"/>
  <c r="P561" i="13"/>
  <c r="O564" i="13"/>
  <c r="R562" i="13"/>
  <c r="H556" i="13"/>
  <c r="N563" i="13"/>
  <c r="I561" i="13"/>
  <c r="I562" i="13"/>
  <c r="L559" i="13"/>
  <c r="S556" i="13"/>
  <c r="K556" i="13"/>
  <c r="T554" i="13"/>
  <c r="G560" i="13"/>
  <c r="M556" i="13"/>
  <c r="H560" i="13"/>
  <c r="M563" i="13"/>
  <c r="T558" i="13"/>
  <c r="G563" i="13"/>
  <c r="K553" i="13"/>
  <c r="R560" i="13"/>
  <c r="K558" i="13"/>
  <c r="O559" i="13"/>
  <c r="H559" i="13"/>
  <c r="T556" i="13"/>
  <c r="R558" i="13"/>
  <c r="R556" i="13"/>
  <c r="N553" i="13"/>
  <c r="H558" i="13"/>
  <c r="L553" i="13"/>
  <c r="O556" i="13"/>
  <c r="F560" i="13"/>
  <c r="O554" i="13"/>
  <c r="U561" i="13"/>
  <c r="K555" i="13"/>
  <c r="P562" i="13"/>
  <c r="R563" i="13"/>
  <c r="N556" i="13"/>
  <c r="G561" i="13"/>
  <c r="N554" i="13"/>
  <c r="H561" i="13"/>
  <c r="U556" i="13"/>
  <c r="I559" i="13"/>
  <c r="J561" i="13"/>
  <c r="L561" i="13"/>
  <c r="G559" i="13"/>
  <c r="O558" i="13"/>
  <c r="G554" i="13"/>
  <c r="F563" i="13"/>
  <c r="O561" i="13"/>
  <c r="P554" i="13"/>
  <c r="O560" i="13"/>
  <c r="S560" i="13"/>
  <c r="I554" i="13"/>
  <c r="N559" i="13"/>
  <c r="S563" i="13"/>
  <c r="N564" i="13"/>
  <c r="S554" i="13"/>
  <c r="T563" i="13"/>
  <c r="J563" i="13"/>
  <c r="P560" i="13"/>
  <c r="F561" i="13"/>
  <c r="S562" i="13"/>
  <c r="L555" i="13"/>
  <c r="J558" i="13"/>
  <c r="T562" i="13"/>
  <c r="I556" i="13"/>
  <c r="G558" i="13"/>
  <c r="J556" i="13"/>
  <c r="K559" i="13"/>
  <c r="R554" i="13"/>
  <c r="F556" i="13"/>
  <c r="J559" i="13"/>
  <c r="K560" i="13"/>
  <c r="L564" i="13"/>
  <c r="U560" i="13"/>
  <c r="M561" i="13"/>
  <c r="M554" i="13"/>
  <c r="U558" i="13"/>
  <c r="M559" i="13"/>
  <c r="K564" i="13"/>
  <c r="O562" i="13"/>
  <c r="M558" i="13"/>
  <c r="N560" i="13"/>
  <c r="K563" i="13"/>
  <c r="T561" i="13"/>
  <c r="T559" i="13"/>
  <c r="U562" i="13"/>
  <c r="L560" i="13"/>
  <c r="L558" i="13"/>
  <c r="P563" i="13"/>
  <c r="I563" i="13"/>
  <c r="J562" i="13"/>
  <c r="P559" i="13"/>
  <c r="T560" i="13"/>
  <c r="P558" i="13"/>
  <c r="F559" i="13"/>
  <c r="G556" i="13"/>
  <c r="I560" i="13"/>
  <c r="H563" i="13"/>
  <c r="C550" i="13"/>
  <c r="C551" i="13" s="1"/>
  <c r="C552" i="13" s="1"/>
  <c r="C553" i="13" s="1"/>
  <c r="C554" i="13" s="1"/>
  <c r="C555" i="13" s="1"/>
  <c r="C556" i="13" s="1"/>
  <c r="C557" i="13" s="1"/>
  <c r="C558" i="13" s="1"/>
  <c r="C559" i="13" s="1"/>
  <c r="C560" i="13" s="1"/>
  <c r="C561" i="13" s="1"/>
  <c r="C562" i="13" s="1"/>
  <c r="C563" i="13" s="1"/>
  <c r="C564" i="13" s="1"/>
  <c r="C565" i="13" s="1"/>
  <c r="R561" i="13"/>
  <c r="U563" i="13"/>
  <c r="S558" i="13"/>
  <c r="H554" i="13"/>
  <c r="U559" i="13"/>
  <c r="R559" i="13"/>
  <c r="S559" i="13"/>
  <c r="J560" i="13"/>
  <c r="S561" i="13"/>
  <c r="O555" i="13"/>
  <c r="I558" i="13"/>
  <c r="J554" i="13"/>
  <c r="F558" i="13"/>
  <c r="M560" i="13"/>
  <c r="L563" i="13"/>
  <c r="N558" i="13"/>
  <c r="K562" i="13"/>
  <c r="U554" i="13"/>
  <c r="N555" i="13"/>
  <c r="K561" i="13"/>
  <c r="O553" i="13"/>
  <c r="N562" i="13"/>
  <c r="N561" i="13"/>
  <c r="F554" i="13"/>
  <c r="G674" i="15"/>
  <c r="F681" i="15"/>
  <c r="O679" i="15"/>
  <c r="O673" i="15"/>
  <c r="F680" i="15"/>
  <c r="G676" i="15"/>
  <c r="N673" i="15"/>
  <c r="L678" i="15"/>
  <c r="O680" i="15"/>
  <c r="G672" i="15"/>
  <c r="O678" i="15"/>
  <c r="L677" i="15"/>
  <c r="M674" i="15"/>
  <c r="F676" i="15"/>
  <c r="J679" i="15"/>
  <c r="H672" i="15"/>
  <c r="J672" i="15"/>
  <c r="K679" i="15"/>
  <c r="O682" i="15"/>
  <c r="L672" i="15"/>
  <c r="J680" i="15"/>
  <c r="G681" i="15"/>
  <c r="L680" i="15"/>
  <c r="P671" i="15"/>
  <c r="F679" i="15"/>
  <c r="J681" i="15"/>
  <c r="P672" i="15"/>
  <c r="M677" i="15"/>
  <c r="N681" i="15"/>
  <c r="H676" i="15"/>
  <c r="G680" i="15"/>
  <c r="I672" i="15"/>
  <c r="P676" i="15"/>
  <c r="O677" i="15"/>
  <c r="I676" i="15"/>
  <c r="N679" i="15"/>
  <c r="M680" i="15"/>
  <c r="H679" i="15"/>
  <c r="K672" i="15"/>
  <c r="P677" i="15"/>
  <c r="F672" i="15"/>
  <c r="M676" i="15"/>
  <c r="L673" i="15"/>
  <c r="L676" i="15"/>
  <c r="F678" i="15"/>
  <c r="N676" i="15"/>
  <c r="L679" i="15"/>
  <c r="F677" i="15"/>
  <c r="O681" i="15"/>
  <c r="O671" i="15"/>
  <c r="H677" i="15"/>
  <c r="M673" i="15"/>
  <c r="M682" i="15"/>
  <c r="H674" i="15"/>
  <c r="P681" i="15"/>
  <c r="K680" i="15"/>
  <c r="N680" i="15"/>
  <c r="I678" i="15"/>
  <c r="P682" i="15"/>
  <c r="K681" i="15"/>
  <c r="I681" i="15"/>
  <c r="O676" i="15"/>
  <c r="L671" i="15"/>
  <c r="G678" i="15"/>
  <c r="M679" i="15"/>
  <c r="K671" i="15"/>
  <c r="I677" i="15"/>
  <c r="P673" i="15"/>
  <c r="K674" i="15"/>
  <c r="N678" i="15"/>
  <c r="I680" i="15"/>
  <c r="N677" i="15"/>
  <c r="K682" i="15"/>
  <c r="I674" i="15"/>
  <c r="L674" i="15"/>
  <c r="K678" i="15"/>
  <c r="J677" i="15"/>
  <c r="O672" i="15"/>
  <c r="O674" i="15"/>
  <c r="G677" i="15"/>
  <c r="N672" i="15"/>
  <c r="L681" i="15"/>
  <c r="J676" i="15"/>
  <c r="P679" i="15"/>
  <c r="L682" i="15"/>
  <c r="H680" i="15"/>
  <c r="N671" i="15"/>
  <c r="M678" i="15"/>
  <c r="C668" i="15"/>
  <c r="C669" i="15" s="1"/>
  <c r="C670" i="15" s="1"/>
  <c r="C671" i="15" s="1"/>
  <c r="C672" i="15" s="1"/>
  <c r="C673" i="15" s="1"/>
  <c r="C674" i="15" s="1"/>
  <c r="C675" i="15" s="1"/>
  <c r="C676" i="15" s="1"/>
  <c r="C677" i="15" s="1"/>
  <c r="C678" i="15" s="1"/>
  <c r="C679" i="15" s="1"/>
  <c r="C680" i="15" s="1"/>
  <c r="C681" i="15" s="1"/>
  <c r="C682" i="15" s="1"/>
  <c r="C683" i="15" s="1"/>
  <c r="N682" i="15"/>
  <c r="K673" i="15"/>
  <c r="F674" i="15"/>
  <c r="K677" i="15"/>
  <c r="M671" i="15"/>
  <c r="K676" i="15"/>
  <c r="M681" i="15"/>
  <c r="M672" i="15"/>
  <c r="P674" i="15"/>
  <c r="H678" i="15"/>
  <c r="J674" i="15"/>
  <c r="P678" i="15"/>
  <c r="H681" i="15"/>
  <c r="J678" i="15"/>
  <c r="N674" i="15"/>
  <c r="P680" i="15"/>
  <c r="I679" i="15"/>
  <c r="G679" i="15"/>
  <c r="R255" i="11"/>
  <c r="G257" i="11"/>
  <c r="K255" i="11"/>
  <c r="T257" i="11"/>
  <c r="I257" i="11"/>
  <c r="P256" i="11"/>
  <c r="S256" i="11"/>
  <c r="K257" i="11"/>
  <c r="G256" i="11"/>
  <c r="N256" i="11"/>
  <c r="Q257" i="11"/>
  <c r="Q256" i="11"/>
  <c r="R257" i="11"/>
  <c r="Q255" i="11"/>
  <c r="J256" i="11"/>
  <c r="T255" i="11"/>
  <c r="O256" i="11"/>
  <c r="I255" i="11"/>
  <c r="C251" i="11"/>
  <c r="C252" i="11" s="1"/>
  <c r="C253" i="11" s="1"/>
  <c r="C254" i="11" s="1"/>
  <c r="C255" i="11" s="1"/>
  <c r="C256" i="11" s="1"/>
  <c r="C257" i="11" s="1"/>
  <c r="C258" i="11" s="1"/>
  <c r="K256" i="11"/>
  <c r="L256" i="11"/>
  <c r="H255" i="11"/>
  <c r="F255" i="11"/>
  <c r="S255" i="11"/>
  <c r="F257" i="11"/>
  <c r="M256" i="11"/>
  <c r="J257" i="11"/>
  <c r="T256" i="11"/>
  <c r="S257" i="11"/>
  <c r="F256" i="11"/>
  <c r="P255" i="11"/>
  <c r="P257" i="11"/>
  <c r="H256" i="11"/>
  <c r="J255" i="11"/>
  <c r="O255" i="11"/>
  <c r="C250" i="11"/>
  <c r="G255" i="11"/>
  <c r="H257" i="11"/>
  <c r="R256" i="11"/>
  <c r="I256" i="11"/>
  <c r="O257" i="11"/>
  <c r="G298" i="11"/>
  <c r="K296" i="11"/>
  <c r="P296" i="11"/>
  <c r="K297" i="11"/>
  <c r="R298" i="11"/>
  <c r="F297" i="11"/>
  <c r="S296" i="11"/>
  <c r="C291" i="11"/>
  <c r="Q298" i="11"/>
  <c r="H297" i="11"/>
  <c r="S298" i="11"/>
  <c r="J297" i="11"/>
  <c r="C292" i="11"/>
  <c r="C293" i="11" s="1"/>
  <c r="C294" i="11" s="1"/>
  <c r="C295" i="11" s="1"/>
  <c r="C296" i="11" s="1"/>
  <c r="C297" i="11" s="1"/>
  <c r="C298" i="11" s="1"/>
  <c r="C299" i="11" s="1"/>
  <c r="Q297" i="11"/>
  <c r="H298" i="11"/>
  <c r="F296" i="11"/>
  <c r="P297" i="11"/>
  <c r="H296" i="11"/>
  <c r="J298" i="11"/>
  <c r="I298" i="11"/>
  <c r="T296" i="11"/>
  <c r="O298" i="11"/>
  <c r="T297" i="11"/>
  <c r="P298" i="11"/>
  <c r="F298" i="11"/>
  <c r="Q296" i="11"/>
  <c r="N297" i="11"/>
  <c r="G297" i="11"/>
  <c r="T298" i="11"/>
  <c r="I296" i="11"/>
  <c r="R296" i="11"/>
  <c r="O296" i="11"/>
  <c r="L297" i="11"/>
  <c r="K298" i="11"/>
  <c r="R297" i="11"/>
  <c r="G296" i="11"/>
  <c r="O297" i="11"/>
  <c r="S297" i="11"/>
  <c r="I297" i="11"/>
  <c r="J296" i="11"/>
  <c r="M297" i="11"/>
  <c r="O27" i="13"/>
  <c r="O33" i="13"/>
  <c r="L32" i="13"/>
  <c r="N35" i="13"/>
  <c r="K26" i="13"/>
  <c r="C23" i="13"/>
  <c r="C24" i="13" s="1"/>
  <c r="C25" i="13" s="1"/>
  <c r="C26" i="13" s="1"/>
  <c r="C27" i="13" s="1"/>
  <c r="C28" i="13" s="1"/>
  <c r="C29" i="13" s="1"/>
  <c r="C30" i="13" s="1"/>
  <c r="C31" i="13" s="1"/>
  <c r="C32" i="13" s="1"/>
  <c r="C33" i="13" s="1"/>
  <c r="C34" i="13" s="1"/>
  <c r="C35" i="13" s="1"/>
  <c r="C36" i="13" s="1"/>
  <c r="C37" i="13" s="1"/>
  <c r="C38" i="13" s="1"/>
  <c r="N36" i="13"/>
  <c r="N28" i="13"/>
  <c r="N37" i="13"/>
  <c r="N27" i="13"/>
  <c r="O36" i="13"/>
  <c r="N34" i="13"/>
  <c r="N26" i="13"/>
  <c r="K37" i="13"/>
  <c r="L34" i="13"/>
  <c r="O26" i="13"/>
  <c r="O31" i="13"/>
  <c r="L36" i="13"/>
  <c r="K35" i="13"/>
  <c r="L26" i="13"/>
  <c r="L27" i="13"/>
  <c r="L33" i="13"/>
  <c r="K27" i="13"/>
  <c r="N29" i="13"/>
  <c r="L28" i="13"/>
  <c r="N31" i="13"/>
  <c r="O37" i="13"/>
  <c r="L37" i="13"/>
  <c r="K31" i="13"/>
  <c r="O34" i="13"/>
  <c r="K36" i="13"/>
  <c r="K34" i="13"/>
  <c r="K33" i="13"/>
  <c r="K29" i="13"/>
  <c r="O32" i="13"/>
  <c r="O28" i="13"/>
  <c r="O29" i="13"/>
  <c r="L29" i="13"/>
  <c r="N32" i="13"/>
  <c r="K32" i="13"/>
  <c r="L31" i="13"/>
  <c r="L35" i="13"/>
  <c r="O35" i="13"/>
  <c r="K28" i="13"/>
  <c r="N33" i="13"/>
  <c r="M337" i="16"/>
  <c r="K339" i="16"/>
  <c r="C328" i="16"/>
  <c r="C329" i="16" s="1"/>
  <c r="C330" i="16" s="1"/>
  <c r="C331" i="16" s="1"/>
  <c r="C332" i="16" s="1"/>
  <c r="C333" i="16" s="1"/>
  <c r="C334" i="16" s="1"/>
  <c r="C335" i="16" s="1"/>
  <c r="C336" i="16" s="1"/>
  <c r="C337" i="16" s="1"/>
  <c r="C338" i="16" s="1"/>
  <c r="C339" i="16" s="1"/>
  <c r="C340" i="16" s="1"/>
  <c r="L334" i="16"/>
  <c r="K336" i="16"/>
  <c r="H335" i="16"/>
  <c r="P335" i="16"/>
  <c r="P334" i="16"/>
  <c r="H334" i="16"/>
  <c r="I337" i="16"/>
  <c r="N336" i="16"/>
  <c r="P337" i="16"/>
  <c r="I333" i="16"/>
  <c r="M331" i="16"/>
  <c r="M338" i="16"/>
  <c r="G334" i="16"/>
  <c r="M335" i="16"/>
  <c r="J338" i="16"/>
  <c r="H337" i="16"/>
  <c r="K333" i="16"/>
  <c r="K338" i="16"/>
  <c r="O331" i="16"/>
  <c r="P333" i="16"/>
  <c r="O338" i="16"/>
  <c r="F335" i="16"/>
  <c r="F336" i="16"/>
  <c r="K337" i="16"/>
  <c r="I338" i="16"/>
  <c r="L339" i="16"/>
  <c r="I335" i="16"/>
  <c r="M333" i="16"/>
  <c r="H333" i="16"/>
  <c r="P331" i="16"/>
  <c r="K335" i="16"/>
  <c r="O337" i="16"/>
  <c r="P339" i="16"/>
  <c r="H336" i="16"/>
  <c r="O334" i="16"/>
  <c r="F338" i="16"/>
  <c r="P336" i="16"/>
  <c r="J337" i="16"/>
  <c r="N333" i="16"/>
  <c r="J333" i="16"/>
  <c r="L336" i="16"/>
  <c r="M339" i="16"/>
  <c r="I334" i="16"/>
  <c r="O339" i="16"/>
  <c r="J335" i="16"/>
  <c r="P338" i="16"/>
  <c r="J334" i="16"/>
  <c r="K331" i="16"/>
  <c r="F334" i="16"/>
  <c r="L331" i="16"/>
  <c r="G336" i="16"/>
  <c r="O335" i="16"/>
  <c r="N334" i="16"/>
  <c r="G335" i="16"/>
  <c r="M336" i="16"/>
  <c r="H338" i="16"/>
  <c r="L338" i="16"/>
  <c r="J336" i="16"/>
  <c r="L335" i="16"/>
  <c r="F333" i="16"/>
  <c r="N339" i="16"/>
  <c r="L337" i="16"/>
  <c r="O333" i="16"/>
  <c r="M334" i="16"/>
  <c r="G338" i="16"/>
  <c r="N331" i="16"/>
  <c r="F337" i="16"/>
  <c r="O336" i="16"/>
  <c r="G333" i="16"/>
  <c r="L333" i="16"/>
  <c r="G337" i="16"/>
  <c r="N335" i="16"/>
  <c r="N338" i="16"/>
  <c r="N337" i="16"/>
  <c r="K334" i="16"/>
  <c r="I336" i="16"/>
  <c r="L709" i="16"/>
  <c r="J714" i="16"/>
  <c r="I713" i="16"/>
  <c r="N714" i="16"/>
  <c r="O716" i="16"/>
  <c r="I716" i="16"/>
  <c r="F713" i="16"/>
  <c r="J715" i="16"/>
  <c r="M714" i="16"/>
  <c r="O714" i="16"/>
  <c r="J713" i="16"/>
  <c r="G713" i="16"/>
  <c r="L711" i="16"/>
  <c r="L717" i="16"/>
  <c r="K713" i="16"/>
  <c r="P713" i="16"/>
  <c r="F712" i="16"/>
  <c r="F716" i="16"/>
  <c r="M709" i="16"/>
  <c r="K715" i="16"/>
  <c r="L714" i="16"/>
  <c r="I714" i="16"/>
  <c r="C706" i="16"/>
  <c r="C707" i="16" s="1"/>
  <c r="C708" i="16" s="1"/>
  <c r="C709" i="16" s="1"/>
  <c r="C710" i="16" s="1"/>
  <c r="C711" i="16" s="1"/>
  <c r="C712" i="16" s="1"/>
  <c r="C713" i="16" s="1"/>
  <c r="C714" i="16" s="1"/>
  <c r="C715" i="16" s="1"/>
  <c r="C716" i="16" s="1"/>
  <c r="C717" i="16" s="1"/>
  <c r="C718" i="16" s="1"/>
  <c r="H714" i="16"/>
  <c r="O711" i="16"/>
  <c r="N709" i="16"/>
  <c r="G712" i="16"/>
  <c r="P709" i="16"/>
  <c r="M717" i="16"/>
  <c r="K717" i="16"/>
  <c r="I715" i="16"/>
  <c r="L713" i="16"/>
  <c r="K712" i="16"/>
  <c r="N713" i="16"/>
  <c r="N716" i="16"/>
  <c r="M712" i="16"/>
  <c r="K711" i="16"/>
  <c r="P716" i="16"/>
  <c r="L716" i="16"/>
  <c r="P712" i="16"/>
  <c r="H711" i="16"/>
  <c r="F711" i="16"/>
  <c r="O717" i="16"/>
  <c r="K709" i="16"/>
  <c r="G715" i="16"/>
  <c r="H712" i="16"/>
  <c r="F714" i="16"/>
  <c r="P711" i="16"/>
  <c r="M716" i="16"/>
  <c r="I711" i="16"/>
  <c r="G711" i="16"/>
  <c r="M715" i="16"/>
  <c r="L712" i="16"/>
  <c r="L715" i="16"/>
  <c r="F715" i="16"/>
  <c r="I712" i="16"/>
  <c r="P717" i="16"/>
  <c r="N712" i="16"/>
  <c r="N715" i="16"/>
  <c r="G714" i="16"/>
  <c r="J711" i="16"/>
  <c r="O709" i="16"/>
  <c r="J716" i="16"/>
  <c r="O713" i="16"/>
  <c r="O712" i="16"/>
  <c r="H713" i="16"/>
  <c r="H715" i="16"/>
  <c r="K714" i="16"/>
  <c r="M713" i="16"/>
  <c r="N711" i="16"/>
  <c r="H716" i="16"/>
  <c r="P715" i="16"/>
  <c r="P714" i="16"/>
  <c r="M711" i="16"/>
  <c r="O715" i="16"/>
  <c r="G716" i="16"/>
  <c r="J712" i="16"/>
  <c r="N717" i="16"/>
  <c r="K716" i="16"/>
  <c r="P346" i="11"/>
  <c r="Q348" i="11"/>
  <c r="L347" i="11"/>
  <c r="O347" i="11"/>
  <c r="G348" i="11"/>
  <c r="Q346" i="11"/>
  <c r="H348" i="11"/>
  <c r="T347" i="11"/>
  <c r="S346" i="11"/>
  <c r="F347" i="11"/>
  <c r="S347" i="11"/>
  <c r="K348" i="11"/>
  <c r="T348" i="11"/>
  <c r="J347" i="11"/>
  <c r="T346" i="11"/>
  <c r="P348" i="11"/>
  <c r="N347" i="11"/>
  <c r="J348" i="11"/>
  <c r="R346" i="11"/>
  <c r="C342" i="11"/>
  <c r="C343" i="11" s="1"/>
  <c r="C344" i="11" s="1"/>
  <c r="C345" i="11" s="1"/>
  <c r="C346" i="11" s="1"/>
  <c r="C347" i="11" s="1"/>
  <c r="C348" i="11" s="1"/>
  <c r="C349" i="11" s="1"/>
  <c r="S348" i="11"/>
  <c r="K347" i="11"/>
  <c r="R347" i="11"/>
  <c r="O346" i="11"/>
  <c r="I346" i="11"/>
  <c r="O348" i="11"/>
  <c r="R348" i="11"/>
  <c r="J346" i="11"/>
  <c r="G347" i="11"/>
  <c r="I348" i="11"/>
  <c r="Q347" i="11"/>
  <c r="M347" i="11"/>
  <c r="G346" i="11"/>
  <c r="H346" i="11"/>
  <c r="I347" i="11"/>
  <c r="P347" i="11"/>
  <c r="C341" i="11"/>
  <c r="F346" i="11"/>
  <c r="F348" i="11"/>
  <c r="K346" i="11"/>
  <c r="H347" i="11"/>
  <c r="L10" i="11"/>
  <c r="J8" i="15"/>
  <c r="I8" i="15"/>
  <c r="H8" i="15"/>
  <c r="S8" i="13"/>
  <c r="S521" i="13" s="1"/>
  <c r="J8" i="13"/>
  <c r="P8" i="13"/>
  <c r="I8" i="13"/>
  <c r="I521" i="13" s="1"/>
  <c r="G8" i="13"/>
  <c r="G521" i="13" s="1"/>
  <c r="H8" i="13"/>
  <c r="H521" i="13" s="1"/>
  <c r="J6" i="13"/>
  <c r="P6" i="13"/>
  <c r="I6" i="13"/>
  <c r="I519" i="13" s="1"/>
  <c r="H6" i="13"/>
  <c r="H519" i="13" s="1"/>
  <c r="K331" i="14"/>
  <c r="J6" i="14"/>
  <c r="J331" i="14" s="1"/>
  <c r="I6" i="14"/>
  <c r="I331" i="14" s="1"/>
  <c r="N331" i="14"/>
  <c r="G6" i="14"/>
  <c r="G331" i="14" s="1"/>
  <c r="P844" i="16" l="1"/>
  <c r="R540" i="11"/>
  <c r="O582" i="13"/>
  <c r="O871" i="13"/>
  <c r="L684" i="13"/>
  <c r="O1058" i="13"/>
  <c r="K650" i="13"/>
  <c r="O939" i="13"/>
  <c r="L990" i="13"/>
  <c r="O667" i="13"/>
  <c r="L769" i="13"/>
  <c r="Q1052" i="15"/>
  <c r="Q490" i="11"/>
  <c r="K490" i="11"/>
  <c r="L662" i="14"/>
  <c r="M513" i="15"/>
  <c r="N396" i="16"/>
  <c r="O312" i="16"/>
  <c r="L816" i="14"/>
  <c r="J480" i="11"/>
  <c r="Q480" i="11"/>
  <c r="O368" i="14"/>
  <c r="Q1051" i="15"/>
  <c r="S490" i="11"/>
  <c r="P382" i="16"/>
  <c r="M732" i="16"/>
  <c r="O513" i="15"/>
  <c r="P774" i="16"/>
  <c r="O676" i="16"/>
  <c r="P819" i="15"/>
  <c r="L480" i="14"/>
  <c r="O886" i="14"/>
  <c r="P1040" i="15"/>
  <c r="L662" i="16"/>
  <c r="M340" i="16"/>
  <c r="K38" i="13"/>
  <c r="P326" i="16"/>
  <c r="O802" i="16"/>
  <c r="M530" i="15"/>
  <c r="P530" i="15"/>
  <c r="P564" i="16"/>
  <c r="M564" i="16"/>
  <c r="N564" i="16"/>
  <c r="O564" i="16"/>
  <c r="L802" i="14"/>
  <c r="K690" i="16"/>
  <c r="P886" i="16"/>
  <c r="O732" i="16"/>
  <c r="L732" i="16"/>
  <c r="O1041" i="13"/>
  <c r="K1041" i="13"/>
  <c r="O531" i="13"/>
  <c r="L396" i="14"/>
  <c r="K676" i="16"/>
  <c r="P480" i="16"/>
  <c r="P704" i="16"/>
  <c r="O830" i="16"/>
  <c r="P830" i="16"/>
  <c r="L830" i="16"/>
  <c r="N578" i="16"/>
  <c r="K578" i="16"/>
  <c r="L788" i="16"/>
  <c r="M662" i="16"/>
  <c r="Q817" i="15"/>
  <c r="N382" i="16"/>
  <c r="O326" i="16"/>
  <c r="L564" i="16"/>
  <c r="O872" i="14"/>
  <c r="L480" i="16"/>
  <c r="O704" i="16"/>
  <c r="O676" i="14"/>
  <c r="K886" i="16"/>
  <c r="K508" i="16"/>
  <c r="P508" i="16"/>
  <c r="N774" i="16"/>
  <c r="K774" i="16"/>
  <c r="P676" i="16"/>
  <c r="N676" i="16"/>
  <c r="O480" i="16"/>
  <c r="K480" i="16"/>
  <c r="L424" i="16"/>
  <c r="N704" i="16"/>
  <c r="M830" i="16"/>
  <c r="L578" i="16"/>
  <c r="M396" i="16"/>
  <c r="P396" i="16"/>
  <c r="K312" i="16"/>
  <c r="N312" i="16"/>
  <c r="P662" i="16"/>
  <c r="P368" i="16"/>
  <c r="O536" i="16"/>
  <c r="M536" i="16"/>
  <c r="K326" i="16"/>
  <c r="K550" i="16"/>
  <c r="P494" i="16"/>
  <c r="O606" i="16"/>
  <c r="N522" i="16"/>
  <c r="N732" i="16"/>
  <c r="L774" i="16"/>
  <c r="P872" i="16"/>
  <c r="K648" i="16"/>
  <c r="L312" i="16"/>
  <c r="M368" i="16"/>
  <c r="M802" i="16"/>
  <c r="L326" i="16"/>
  <c r="P550" i="16"/>
  <c r="M410" i="16"/>
  <c r="L410" i="16"/>
  <c r="M494" i="16"/>
  <c r="M858" i="16"/>
  <c r="N858" i="16"/>
  <c r="L858" i="16"/>
  <c r="P606" i="16"/>
  <c r="P634" i="16"/>
  <c r="M634" i="16"/>
  <c r="M690" i="16"/>
  <c r="L886" i="16"/>
  <c r="K732" i="16"/>
  <c r="N760" i="16"/>
  <c r="O760" i="16"/>
  <c r="N508" i="16"/>
  <c r="M774" i="16"/>
  <c r="O774" i="16"/>
  <c r="M466" i="16"/>
  <c r="N466" i="16"/>
  <c r="P466" i="16"/>
  <c r="K424" i="16"/>
  <c r="K704" i="16"/>
  <c r="P312" i="16"/>
  <c r="O788" i="16"/>
  <c r="N788" i="16"/>
  <c r="N662" i="16"/>
  <c r="K382" i="16"/>
  <c r="M508" i="16"/>
  <c r="P718" i="16"/>
  <c r="L340" i="16"/>
  <c r="M326" i="16"/>
  <c r="K802" i="16"/>
  <c r="N802" i="16"/>
  <c r="O816" i="16"/>
  <c r="K410" i="16"/>
  <c r="K564" i="16"/>
  <c r="L494" i="16"/>
  <c r="M606" i="16"/>
  <c r="K522" i="16"/>
  <c r="N634" i="16"/>
  <c r="M760" i="16"/>
  <c r="L508" i="16"/>
  <c r="L872" i="16"/>
  <c r="N480" i="16"/>
  <c r="L466" i="16"/>
  <c r="K830" i="16"/>
  <c r="M578" i="16"/>
  <c r="O396" i="16"/>
  <c r="M648" i="16"/>
  <c r="M312" i="16"/>
  <c r="M788" i="16"/>
  <c r="K662" i="16"/>
  <c r="K368" i="16"/>
  <c r="N368" i="16"/>
  <c r="P536" i="16"/>
  <c r="N536" i="16"/>
  <c r="M382" i="16"/>
  <c r="N844" i="16"/>
  <c r="O340" i="16"/>
  <c r="M816" i="16"/>
  <c r="N816" i="16"/>
  <c r="N550" i="16"/>
  <c r="O550" i="16"/>
  <c r="N410" i="16"/>
  <c r="K858" i="16"/>
  <c r="L522" i="16"/>
  <c r="M522" i="16"/>
  <c r="K634" i="16"/>
  <c r="O690" i="16"/>
  <c r="N690" i="16"/>
  <c r="P690" i="16"/>
  <c r="N886" i="16"/>
  <c r="M886" i="16"/>
  <c r="K760" i="16"/>
  <c r="O508" i="16"/>
  <c r="N872" i="16"/>
  <c r="K872" i="16"/>
  <c r="M480" i="16"/>
  <c r="N424" i="16"/>
  <c r="L704" i="16"/>
  <c r="N830" i="16"/>
  <c r="P578" i="16"/>
  <c r="L396" i="16"/>
  <c r="L648" i="16"/>
  <c r="P788" i="16"/>
  <c r="O368" i="16"/>
  <c r="L368" i="16"/>
  <c r="L382" i="16"/>
  <c r="O844" i="16"/>
  <c r="K844" i="16"/>
  <c r="M718" i="16"/>
  <c r="L718" i="16"/>
  <c r="K816" i="16"/>
  <c r="N494" i="16"/>
  <c r="N606" i="16"/>
  <c r="L690" i="16"/>
  <c r="O886" i="16"/>
  <c r="P648" i="16"/>
  <c r="L844" i="16"/>
  <c r="L802" i="16"/>
  <c r="M550" i="16"/>
  <c r="K494" i="16"/>
  <c r="O858" i="16"/>
  <c r="O718" i="16"/>
  <c r="K718" i="16"/>
  <c r="N718" i="16"/>
  <c r="N340" i="16"/>
  <c r="K340" i="16"/>
  <c r="P340" i="16"/>
  <c r="N326" i="16"/>
  <c r="P802" i="16"/>
  <c r="L816" i="16"/>
  <c r="P816" i="16"/>
  <c r="L550" i="16"/>
  <c r="O410" i="16"/>
  <c r="P410" i="16"/>
  <c r="O494" i="16"/>
  <c r="P858" i="16"/>
  <c r="K606" i="16"/>
  <c r="L606" i="16"/>
  <c r="P522" i="16"/>
  <c r="O522" i="16"/>
  <c r="L634" i="16"/>
  <c r="O634" i="16"/>
  <c r="P732" i="16"/>
  <c r="P760" i="16"/>
  <c r="L760" i="16"/>
  <c r="M872" i="16"/>
  <c r="O872" i="16"/>
  <c r="M676" i="16"/>
  <c r="L676" i="16"/>
  <c r="O466" i="16"/>
  <c r="K466" i="16"/>
  <c r="M424" i="16"/>
  <c r="P424" i="16"/>
  <c r="O424" i="16"/>
  <c r="M704" i="16"/>
  <c r="O578" i="16"/>
  <c r="K396" i="16"/>
  <c r="O648" i="16"/>
  <c r="N648" i="16"/>
  <c r="K788" i="16"/>
  <c r="O662" i="16"/>
  <c r="L536" i="16"/>
  <c r="K536" i="16"/>
  <c r="O382" i="16"/>
  <c r="M844" i="16"/>
  <c r="N513" i="15"/>
  <c r="K802" i="15"/>
  <c r="O1040" i="15"/>
  <c r="Q1053" i="15"/>
  <c r="K734" i="15"/>
  <c r="P734" i="15"/>
  <c r="P513" i="15"/>
  <c r="L513" i="15"/>
  <c r="M802" i="15"/>
  <c r="P802" i="15"/>
  <c r="L734" i="15"/>
  <c r="M734" i="15"/>
  <c r="O802" i="15"/>
  <c r="L802" i="15"/>
  <c r="N1040" i="15"/>
  <c r="O819" i="15"/>
  <c r="L819" i="15"/>
  <c r="K819" i="15"/>
  <c r="O530" i="15"/>
  <c r="K513" i="15"/>
  <c r="M819" i="15"/>
  <c r="O734" i="15"/>
  <c r="K530" i="15"/>
  <c r="L530" i="15"/>
  <c r="M1040" i="15"/>
  <c r="L1040" i="15"/>
  <c r="K1040" i="15"/>
  <c r="N819" i="15"/>
  <c r="N734" i="15"/>
  <c r="N530" i="15"/>
  <c r="N802" i="15"/>
  <c r="O424" i="14"/>
  <c r="O732" i="14"/>
  <c r="L648" i="14"/>
  <c r="O648" i="14"/>
  <c r="O550" i="14"/>
  <c r="O312" i="14"/>
  <c r="L718" i="14"/>
  <c r="L578" i="14"/>
  <c r="O382" i="14"/>
  <c r="L606" i="14"/>
  <c r="O704" i="14"/>
  <c r="L368" i="14"/>
  <c r="O564" i="14"/>
  <c r="O410" i="14"/>
  <c r="L774" i="14"/>
  <c r="L312" i="14"/>
  <c r="O326" i="14"/>
  <c r="O578" i="14"/>
  <c r="L676" i="14"/>
  <c r="O662" i="14"/>
  <c r="O606" i="14"/>
  <c r="O788" i="14"/>
  <c r="O508" i="14"/>
  <c r="L844" i="14"/>
  <c r="O844" i="14"/>
  <c r="O830" i="14"/>
  <c r="L494" i="14"/>
  <c r="O480" i="14"/>
  <c r="O774" i="14"/>
  <c r="O858" i="14"/>
  <c r="L424" i="14"/>
  <c r="O802" i="14"/>
  <c r="L886" i="14"/>
  <c r="O466" i="14"/>
  <c r="L788" i="14"/>
  <c r="L410" i="14"/>
  <c r="O522" i="14"/>
  <c r="L326" i="14"/>
  <c r="L858" i="14"/>
  <c r="L690" i="14"/>
  <c r="L872" i="14"/>
  <c r="L704" i="14"/>
  <c r="O396" i="14"/>
  <c r="O536" i="14"/>
  <c r="L536" i="14"/>
  <c r="O718" i="14"/>
  <c r="L564" i="14"/>
  <c r="L522" i="14"/>
  <c r="L760" i="14"/>
  <c r="O760" i="14"/>
  <c r="O690" i="14"/>
  <c r="L382" i="14"/>
  <c r="L732" i="14"/>
  <c r="L466" i="14"/>
  <c r="L508" i="14"/>
  <c r="L550" i="14"/>
  <c r="L830" i="14"/>
  <c r="L634" i="14"/>
  <c r="O634" i="14"/>
  <c r="O816" i="14"/>
  <c r="O494" i="14"/>
  <c r="N735" i="13"/>
  <c r="N531" i="13"/>
  <c r="N1075" i="13"/>
  <c r="L786" i="13"/>
  <c r="K922" i="13"/>
  <c r="O616" i="13"/>
  <c r="K718" i="13"/>
  <c r="N395" i="13"/>
  <c r="O820" i="13"/>
  <c r="O514" i="13"/>
  <c r="N514" i="13"/>
  <c r="K599" i="13"/>
  <c r="K667" i="13"/>
  <c r="O463" i="13"/>
  <c r="N1024" i="13"/>
  <c r="N871" i="13"/>
  <c r="L905" i="13"/>
  <c r="O38" i="13"/>
  <c r="N565" i="13"/>
  <c r="L565" i="13"/>
  <c r="L888" i="13"/>
  <c r="L446" i="13"/>
  <c r="L123" i="13"/>
  <c r="N905" i="13"/>
  <c r="O106" i="13"/>
  <c r="N650" i="13"/>
  <c r="L531" i="13"/>
  <c r="O1007" i="13"/>
  <c r="L412" i="13"/>
  <c r="L939" i="13"/>
  <c r="K837" i="13"/>
  <c r="O395" i="13"/>
  <c r="N820" i="13"/>
  <c r="K514" i="13"/>
  <c r="O599" i="13"/>
  <c r="O956" i="13"/>
  <c r="K803" i="13"/>
  <c r="K973" i="13"/>
  <c r="O973" i="13"/>
  <c r="O854" i="13"/>
  <c r="K1058" i="13"/>
  <c r="O378" i="13"/>
  <c r="K378" i="13"/>
  <c r="K769" i="13"/>
  <c r="K89" i="13"/>
  <c r="K106" i="13"/>
  <c r="L1041" i="13"/>
  <c r="L1007" i="13"/>
  <c r="N412" i="13"/>
  <c r="K1075" i="13"/>
  <c r="O1075" i="13"/>
  <c r="K939" i="13"/>
  <c r="L922" i="13"/>
  <c r="L633" i="13"/>
  <c r="L735" i="13"/>
  <c r="N837" i="13"/>
  <c r="L514" i="13"/>
  <c r="L599" i="13"/>
  <c r="N667" i="13"/>
  <c r="O89" i="13"/>
  <c r="L701" i="13"/>
  <c r="L650" i="13"/>
  <c r="L38" i="13"/>
  <c r="O565" i="13"/>
  <c r="N446" i="13"/>
  <c r="O446" i="13"/>
  <c r="N956" i="13"/>
  <c r="K463" i="13"/>
  <c r="K684" i="13"/>
  <c r="L140" i="13"/>
  <c r="O140" i="13"/>
  <c r="O123" i="13"/>
  <c r="L871" i="13"/>
  <c r="N378" i="13"/>
  <c r="O769" i="13"/>
  <c r="N769" i="13"/>
  <c r="O55" i="13"/>
  <c r="K786" i="13"/>
  <c r="O922" i="13"/>
  <c r="O633" i="13"/>
  <c r="K735" i="13"/>
  <c r="K820" i="13"/>
  <c r="O990" i="13"/>
  <c r="N38" i="13"/>
  <c r="K956" i="13"/>
  <c r="O803" i="13"/>
  <c r="N803" i="13"/>
  <c r="L803" i="13"/>
  <c r="L463" i="13"/>
  <c r="N463" i="13"/>
  <c r="O1024" i="13"/>
  <c r="L1024" i="13"/>
  <c r="K1024" i="13"/>
  <c r="N684" i="13"/>
  <c r="O684" i="13"/>
  <c r="K140" i="13"/>
  <c r="N123" i="13"/>
  <c r="L582" i="13"/>
  <c r="K582" i="13"/>
  <c r="N582" i="13"/>
  <c r="K701" i="13"/>
  <c r="N106" i="13"/>
  <c r="N55" i="13"/>
  <c r="N1007" i="13"/>
  <c r="K1007" i="13"/>
  <c r="K412" i="13"/>
  <c r="O412" i="13"/>
  <c r="N786" i="13"/>
  <c r="O786" i="13"/>
  <c r="K616" i="13"/>
  <c r="N616" i="13"/>
  <c r="L616" i="13"/>
  <c r="N633" i="13"/>
  <c r="K633" i="13"/>
  <c r="L837" i="13"/>
  <c r="L395" i="13"/>
  <c r="K990" i="13"/>
  <c r="N888" i="13"/>
  <c r="K854" i="13"/>
  <c r="N89" i="13"/>
  <c r="O701" i="13"/>
  <c r="N1041" i="13"/>
  <c r="K565" i="13"/>
  <c r="K888" i="13"/>
  <c r="K446" i="13"/>
  <c r="L956" i="13"/>
  <c r="L973" i="13"/>
  <c r="N973" i="13"/>
  <c r="N140" i="13"/>
  <c r="L854" i="13"/>
  <c r="N854" i="13"/>
  <c r="K123" i="13"/>
  <c r="N1058" i="13"/>
  <c r="L378" i="13"/>
  <c r="O905" i="13"/>
  <c r="K905" i="13"/>
  <c r="L89" i="13"/>
  <c r="N701" i="13"/>
  <c r="L106" i="13"/>
  <c r="O650" i="13"/>
  <c r="K531" i="13"/>
  <c r="L1075" i="13"/>
  <c r="N939" i="13"/>
  <c r="N922" i="13"/>
  <c r="O735" i="13"/>
  <c r="O837" i="13"/>
  <c r="K395" i="13"/>
  <c r="L820" i="13"/>
  <c r="N990" i="13"/>
  <c r="L667" i="13"/>
  <c r="Q682" i="13"/>
  <c r="V407" i="11"/>
  <c r="T450" i="11"/>
  <c r="O309" i="11"/>
  <c r="O349" i="11"/>
  <c r="Q349" i="11"/>
  <c r="Q337" i="16"/>
  <c r="Q338" i="16"/>
  <c r="J299" i="11"/>
  <c r="F299" i="11"/>
  <c r="U256" i="11"/>
  <c r="K258" i="11"/>
  <c r="Q677" i="15"/>
  <c r="Q558" i="14"/>
  <c r="Q443" i="15"/>
  <c r="Q438" i="15"/>
  <c r="Q446" i="14"/>
  <c r="Q829" i="15"/>
  <c r="J389" i="11"/>
  <c r="U387" i="11"/>
  <c r="P389" i="11"/>
  <c r="Q929" i="15"/>
  <c r="U508" i="11"/>
  <c r="Q408" i="14"/>
  <c r="Q547" i="16"/>
  <c r="Q320" i="14"/>
  <c r="Q405" i="16"/>
  <c r="Q714" i="14"/>
  <c r="Q741" i="14"/>
  <c r="Q859" i="15"/>
  <c r="Q868" i="15"/>
  <c r="Q982" i="15"/>
  <c r="Q980" i="15"/>
  <c r="Q727" i="15"/>
  <c r="Q528" i="15"/>
  <c r="Q626" i="15"/>
  <c r="Q623" i="15"/>
  <c r="Q459" i="13"/>
  <c r="Q1019" i="13"/>
  <c r="Q348" i="16"/>
  <c r="Q854" i="16"/>
  <c r="Q783" i="15"/>
  <c r="Q435" i="14"/>
  <c r="H238" i="11"/>
  <c r="J540" i="11"/>
  <c r="S540" i="11"/>
  <c r="O592" i="14"/>
  <c r="Q898" i="13"/>
  <c r="Q580" i="11"/>
  <c r="T570" i="11"/>
  <c r="G248" i="11"/>
  <c r="Q766" i="13"/>
  <c r="Q765" i="13"/>
  <c r="V448" i="11"/>
  <c r="J450" i="11"/>
  <c r="P450" i="11"/>
  <c r="Q781" i="14"/>
  <c r="I279" i="11"/>
  <c r="T279" i="11"/>
  <c r="J279" i="11"/>
  <c r="H339" i="11"/>
  <c r="R228" i="11"/>
  <c r="F268" i="11"/>
  <c r="V458" i="11"/>
  <c r="R600" i="11"/>
  <c r="U317" i="11"/>
  <c r="G319" i="11"/>
  <c r="J590" i="11"/>
  <c r="Q471" i="13"/>
  <c r="W488" i="11"/>
  <c r="Q616" i="16"/>
  <c r="T299" i="11"/>
  <c r="G409" i="11"/>
  <c r="S238" i="11"/>
  <c r="S530" i="11"/>
  <c r="O530" i="11"/>
  <c r="Q694" i="13"/>
  <c r="P480" i="11"/>
  <c r="T349" i="11"/>
  <c r="R299" i="11"/>
  <c r="I329" i="11"/>
  <c r="G329" i="11"/>
  <c r="I258" i="11"/>
  <c r="Q423" i="13"/>
  <c r="R621" i="11"/>
  <c r="Q670" i="14"/>
  <c r="Q642" i="15"/>
  <c r="Q781" i="15"/>
  <c r="P329" i="11"/>
  <c r="Q431" i="14"/>
  <c r="Q489" i="15"/>
  <c r="Q494" i="15"/>
  <c r="F289" i="11"/>
  <c r="W629" i="11"/>
  <c r="J631" i="11"/>
  <c r="R359" i="11"/>
  <c r="Q380" i="14"/>
  <c r="Q730" i="14"/>
  <c r="J560" i="11"/>
  <c r="Q576" i="15"/>
  <c r="Q577" i="15"/>
  <c r="Q631" i="16"/>
  <c r="Q884" i="14"/>
  <c r="Q604" i="14"/>
  <c r="Q372" i="13"/>
  <c r="Q367" i="13"/>
  <c r="Q530" i="11"/>
  <c r="Q727" i="16"/>
  <c r="Q739" i="16"/>
  <c r="R580" i="11"/>
  <c r="Q460" i="14"/>
  <c r="O450" i="11"/>
  <c r="Q541" i="15"/>
  <c r="Q594" i="15"/>
  <c r="Q783" i="14"/>
  <c r="Q700" i="14"/>
  <c r="Q643" i="14"/>
  <c r="Q655" i="15"/>
  <c r="P452" i="16"/>
  <c r="Q869" i="16"/>
  <c r="O470" i="11"/>
  <c r="V468" i="11"/>
  <c r="K470" i="11"/>
  <c r="S228" i="11"/>
  <c r="Q528" i="13"/>
  <c r="Q672" i="16"/>
  <c r="Q405" i="13"/>
  <c r="Q1068" i="13"/>
  <c r="Q1071" i="15"/>
  <c r="Q884" i="15"/>
  <c r="Q697" i="16"/>
  <c r="Q575" i="16"/>
  <c r="Q757" i="15"/>
  <c r="Q765" i="15"/>
  <c r="Q763" i="15"/>
  <c r="Q305" i="16"/>
  <c r="G550" i="11"/>
  <c r="Q825" i="14"/>
  <c r="V377" i="11"/>
  <c r="T379" i="11"/>
  <c r="V427" i="11"/>
  <c r="Q473" i="15"/>
  <c r="Q268" i="11"/>
  <c r="J268" i="11"/>
  <c r="U266" i="11"/>
  <c r="Q609" i="13"/>
  <c r="T520" i="11"/>
  <c r="P520" i="11"/>
  <c r="H369" i="11"/>
  <c r="Q426" i="15"/>
  <c r="H500" i="11"/>
  <c r="R460" i="11"/>
  <c r="J600" i="11"/>
  <c r="Q384" i="13"/>
  <c r="F319" i="11"/>
  <c r="O399" i="11"/>
  <c r="P399" i="11"/>
  <c r="J399" i="11"/>
  <c r="Q509" i="13"/>
  <c r="Q541" i="13"/>
  <c r="T590" i="11"/>
  <c r="I590" i="11"/>
  <c r="H590" i="11"/>
  <c r="Q478" i="13"/>
  <c r="Q363" i="14"/>
  <c r="Q596" i="13"/>
  <c r="Q531" i="16"/>
  <c r="Q663" i="13"/>
  <c r="O440" i="11"/>
  <c r="K248" i="11"/>
  <c r="K450" i="11"/>
  <c r="V277" i="11"/>
  <c r="Q470" i="11"/>
  <c r="F470" i="11"/>
  <c r="G228" i="11"/>
  <c r="S419" i="11"/>
  <c r="I550" i="11"/>
  <c r="Q379" i="11"/>
  <c r="F379" i="11"/>
  <c r="S268" i="11"/>
  <c r="H268" i="11"/>
  <c r="Q369" i="11"/>
  <c r="F369" i="11"/>
  <c r="F500" i="11"/>
  <c r="Q500" i="11"/>
  <c r="Q460" i="11"/>
  <c r="Q600" i="11"/>
  <c r="H490" i="11"/>
  <c r="P289" i="11"/>
  <c r="O580" i="11"/>
  <c r="P440" i="11"/>
  <c r="U246" i="11"/>
  <c r="O279" i="11"/>
  <c r="U548" i="11"/>
  <c r="T480" i="11"/>
  <c r="H480" i="11"/>
  <c r="H399" i="11"/>
  <c r="G379" i="11"/>
  <c r="P268" i="11"/>
  <c r="O268" i="11"/>
  <c r="S369" i="11"/>
  <c r="K548" i="13"/>
  <c r="L752" i="13"/>
  <c r="M751" i="15"/>
  <c r="L438" i="16"/>
  <c r="L429" i="13"/>
  <c r="L592" i="14"/>
  <c r="L452" i="14"/>
  <c r="Q559" i="13"/>
  <c r="R510" i="11"/>
  <c r="Q307" i="14"/>
  <c r="Q711" i="14"/>
  <c r="M354" i="16"/>
  <c r="Q504" i="16"/>
  <c r="G419" i="11"/>
  <c r="U347" i="11"/>
  <c r="P299" i="11"/>
  <c r="Q258" i="11"/>
  <c r="Q558" i="13"/>
  <c r="Q320" i="16"/>
  <c r="Q832" i="15"/>
  <c r="S389" i="11"/>
  <c r="Q935" i="15"/>
  <c r="Q936" i="15"/>
  <c r="Q811" i="16"/>
  <c r="O510" i="11"/>
  <c r="T510" i="11"/>
  <c r="Q444" i="13"/>
  <c r="Q739" i="14"/>
  <c r="Q611" i="11"/>
  <c r="U609" i="11"/>
  <c r="J621" i="11"/>
  <c r="G621" i="11"/>
  <c r="Q1015" i="13"/>
  <c r="H329" i="11"/>
  <c r="V287" i="11"/>
  <c r="H631" i="11"/>
  <c r="O631" i="11"/>
  <c r="Q680" i="13"/>
  <c r="G238" i="11"/>
  <c r="K238" i="11"/>
  <c r="U639" i="11"/>
  <c r="V558" i="11"/>
  <c r="R570" i="11"/>
  <c r="J440" i="11"/>
  <c r="Q748" i="13"/>
  <c r="Q755" i="16"/>
  <c r="Q784" i="14"/>
  <c r="K279" i="11"/>
  <c r="Q995" i="15"/>
  <c r="V337" i="11"/>
  <c r="I339" i="11"/>
  <c r="F228" i="11"/>
  <c r="Q673" i="16"/>
  <c r="Q461" i="16"/>
  <c r="Q876" i="15"/>
  <c r="Q1036" i="15"/>
  <c r="W417" i="11"/>
  <c r="Q968" i="15"/>
  <c r="Q961" i="15"/>
  <c r="Q920" i="13"/>
  <c r="K268" i="11"/>
  <c r="Q630" i="14"/>
  <c r="I520" i="11"/>
  <c r="T369" i="11"/>
  <c r="R500" i="11"/>
  <c r="Q731" i="13"/>
  <c r="Q386" i="13"/>
  <c r="S319" i="11"/>
  <c r="W317" i="11"/>
  <c r="Q319" i="11"/>
  <c r="Q1020" i="15"/>
  <c r="Q366" i="16"/>
  <c r="P590" i="11"/>
  <c r="G570" i="11"/>
  <c r="Q781" i="16"/>
  <c r="S520" i="11"/>
  <c r="S299" i="11"/>
  <c r="S258" i="11"/>
  <c r="J510" i="11"/>
  <c r="O289" i="11"/>
  <c r="S359" i="11"/>
  <c r="F359" i="11"/>
  <c r="J238" i="11"/>
  <c r="I641" i="11"/>
  <c r="F641" i="11"/>
  <c r="P560" i="11"/>
  <c r="T530" i="11"/>
  <c r="T440" i="11"/>
  <c r="O248" i="11"/>
  <c r="H248" i="11"/>
  <c r="F450" i="11"/>
  <c r="H450" i="11"/>
  <c r="P339" i="11"/>
  <c r="I470" i="11"/>
  <c r="Q627" i="15"/>
  <c r="Q519" i="16"/>
  <c r="G268" i="11"/>
  <c r="Q770" i="14"/>
  <c r="Q673" i="14"/>
  <c r="U407" i="11"/>
  <c r="Q613" i="15"/>
  <c r="Q477" i="16"/>
  <c r="P510" i="11"/>
  <c r="H621" i="11"/>
  <c r="H540" i="11"/>
  <c r="F560" i="11"/>
  <c r="J379" i="11"/>
  <c r="O520" i="11"/>
  <c r="O460" i="11"/>
  <c r="K319" i="11"/>
  <c r="P319" i="11"/>
  <c r="G590" i="11"/>
  <c r="J490" i="11"/>
  <c r="Q563" i="13"/>
  <c r="Q561" i="14"/>
  <c r="Q883" i="13"/>
  <c r="V307" i="11"/>
  <c r="Q694" i="15"/>
  <c r="C680" i="14"/>
  <c r="C682" i="14" s="1"/>
  <c r="C684" i="14" s="1"/>
  <c r="C686" i="14" s="1"/>
  <c r="C688" i="14" s="1"/>
  <c r="C690" i="14" s="1"/>
  <c r="C679" i="14"/>
  <c r="C681" i="14" s="1"/>
  <c r="C683" i="14" s="1"/>
  <c r="C685" i="14" s="1"/>
  <c r="C687" i="14" s="1"/>
  <c r="C689" i="14" s="1"/>
  <c r="Q797" i="13"/>
  <c r="Q794" i="13"/>
  <c r="Q919" i="15"/>
  <c r="V609" i="11"/>
  <c r="Q964" i="13"/>
  <c r="Q625" i="15"/>
  <c r="Q488" i="16"/>
  <c r="N429" i="13"/>
  <c r="O717" i="15"/>
  <c r="Q1020" i="13"/>
  <c r="L354" i="16"/>
  <c r="Q640" i="15"/>
  <c r="Q638" i="15"/>
  <c r="Q853" i="16"/>
  <c r="Q436" i="14"/>
  <c r="U629" i="11"/>
  <c r="Q421" i="14"/>
  <c r="Q843" i="13"/>
  <c r="Q585" i="16"/>
  <c r="Q748" i="15"/>
  <c r="P751" i="15"/>
  <c r="Q744" i="15"/>
  <c r="C791" i="14"/>
  <c r="C793" i="14" s="1"/>
  <c r="C795" i="14" s="1"/>
  <c r="C797" i="14" s="1"/>
  <c r="C799" i="14" s="1"/>
  <c r="C801" i="14" s="1"/>
  <c r="C792" i="14"/>
  <c r="C794" i="14" s="1"/>
  <c r="C796" i="14" s="1"/>
  <c r="C798" i="14" s="1"/>
  <c r="C800" i="14" s="1"/>
  <c r="C802" i="14" s="1"/>
  <c r="C721" i="14"/>
  <c r="C723" i="14" s="1"/>
  <c r="C725" i="14" s="1"/>
  <c r="C727" i="14" s="1"/>
  <c r="C729" i="14" s="1"/>
  <c r="C731" i="14" s="1"/>
  <c r="C722" i="14"/>
  <c r="C724" i="14" s="1"/>
  <c r="C726" i="14" s="1"/>
  <c r="C728" i="14" s="1"/>
  <c r="C730" i="14" s="1"/>
  <c r="C732" i="14" s="1"/>
  <c r="Q589" i="14"/>
  <c r="Q599" i="14"/>
  <c r="Q603" i="14"/>
  <c r="Q601" i="14"/>
  <c r="Q897" i="15"/>
  <c r="Q900" i="15"/>
  <c r="Q492" i="13"/>
  <c r="Q1054" i="13"/>
  <c r="Q880" i="16"/>
  <c r="Q860" i="13"/>
  <c r="Q869" i="13"/>
  <c r="Q865" i="13"/>
  <c r="H530" i="11"/>
  <c r="Q741" i="16"/>
  <c r="S570" i="11"/>
  <c r="I440" i="11"/>
  <c r="U438" i="11"/>
  <c r="Q577" i="13"/>
  <c r="Q757" i="16"/>
  <c r="Q697" i="13"/>
  <c r="Q690" i="13"/>
  <c r="Q699" i="13"/>
  <c r="P547" i="15"/>
  <c r="K547" i="15"/>
  <c r="Q536" i="15"/>
  <c r="Q591" i="15"/>
  <c r="Q372" i="15"/>
  <c r="Q641" i="13"/>
  <c r="Q1003" i="15"/>
  <c r="Q798" i="15"/>
  <c r="Q797" i="15"/>
  <c r="Q868" i="16"/>
  <c r="Q867" i="16"/>
  <c r="Q529" i="13"/>
  <c r="Q669" i="16"/>
  <c r="Q406" i="13"/>
  <c r="Q417" i="16"/>
  <c r="Q419" i="16"/>
  <c r="Q698" i="16"/>
  <c r="Q1033" i="15"/>
  <c r="Q576" i="16"/>
  <c r="Q394" i="16"/>
  <c r="Q392" i="16"/>
  <c r="Q646" i="16"/>
  <c r="Q969" i="15"/>
  <c r="Q826" i="14"/>
  <c r="U377" i="11"/>
  <c r="Q475" i="15"/>
  <c r="Q919" i="13"/>
  <c r="Q916" i="13"/>
  <c r="Q610" i="13"/>
  <c r="R520" i="11"/>
  <c r="U518" i="11"/>
  <c r="Q630" i="13"/>
  <c r="Q400" i="15"/>
  <c r="K428" i="15"/>
  <c r="Q417" i="15"/>
  <c r="Q658" i="16"/>
  <c r="Q728" i="13"/>
  <c r="Q834" i="13"/>
  <c r="Q830" i="13"/>
  <c r="Q828" i="13"/>
  <c r="O718" i="13"/>
  <c r="Q812" i="15"/>
  <c r="Q813" i="15"/>
  <c r="Q1019" i="15"/>
  <c r="Q399" i="11"/>
  <c r="Q477" i="14"/>
  <c r="Q809" i="13"/>
  <c r="Q364" i="16"/>
  <c r="L548" i="13"/>
  <c r="Q537" i="13"/>
  <c r="Q361" i="14"/>
  <c r="Q364" i="14"/>
  <c r="Q529" i="16"/>
  <c r="Q660" i="13"/>
  <c r="Q839" i="16"/>
  <c r="Q323" i="16"/>
  <c r="Q324" i="16"/>
  <c r="S309" i="11"/>
  <c r="C848" i="14"/>
  <c r="C850" i="14" s="1"/>
  <c r="C852" i="14" s="1"/>
  <c r="C854" i="14" s="1"/>
  <c r="C856" i="14" s="1"/>
  <c r="C858" i="14" s="1"/>
  <c r="C847" i="14"/>
  <c r="C849" i="14" s="1"/>
  <c r="C851" i="14" s="1"/>
  <c r="C853" i="14" s="1"/>
  <c r="C855" i="14" s="1"/>
  <c r="C857" i="14" s="1"/>
  <c r="V347" i="11"/>
  <c r="Q713" i="16"/>
  <c r="Q933" i="15"/>
  <c r="Q574" i="14"/>
  <c r="Q865" i="15"/>
  <c r="Q798" i="13"/>
  <c r="Q983" i="15"/>
  <c r="Q523" i="15"/>
  <c r="Q562" i="16"/>
  <c r="Q966" i="13"/>
  <c r="Q968" i="13"/>
  <c r="Q630" i="15"/>
  <c r="Q629" i="15"/>
  <c r="Q454" i="13"/>
  <c r="Q424" i="13"/>
  <c r="Q427" i="13"/>
  <c r="W619" i="11"/>
  <c r="Q711" i="15"/>
  <c r="L717" i="15"/>
  <c r="Q1022" i="13"/>
  <c r="Q855" i="16"/>
  <c r="O329" i="11"/>
  <c r="W327" i="11"/>
  <c r="Q560" i="15"/>
  <c r="T289" i="11"/>
  <c r="G289" i="11"/>
  <c r="W287" i="11"/>
  <c r="Q289" i="11"/>
  <c r="V629" i="11"/>
  <c r="I631" i="11"/>
  <c r="Q418" i="14"/>
  <c r="G359" i="11"/>
  <c r="C652" i="14"/>
  <c r="C654" i="14" s="1"/>
  <c r="C656" i="14" s="1"/>
  <c r="C658" i="14" s="1"/>
  <c r="C660" i="14" s="1"/>
  <c r="C662" i="14" s="1"/>
  <c r="C651" i="14"/>
  <c r="C653" i="14" s="1"/>
  <c r="C655" i="14" s="1"/>
  <c r="C657" i="14" s="1"/>
  <c r="C659" i="14" s="1"/>
  <c r="C661" i="14" s="1"/>
  <c r="Q845" i="13"/>
  <c r="L592" i="16"/>
  <c r="Q588" i="16"/>
  <c r="Q749" i="15"/>
  <c r="Q799" i="14"/>
  <c r="Q729" i="14"/>
  <c r="Q726" i="14"/>
  <c r="P238" i="11"/>
  <c r="K641" i="11"/>
  <c r="S641" i="11"/>
  <c r="H641" i="11"/>
  <c r="I540" i="11"/>
  <c r="U558" i="11"/>
  <c r="Q590" i="14"/>
  <c r="Q586" i="14"/>
  <c r="Q879" i="14"/>
  <c r="C596" i="14"/>
  <c r="C598" i="14" s="1"/>
  <c r="C600" i="14" s="1"/>
  <c r="C602" i="14" s="1"/>
  <c r="C604" i="14" s="1"/>
  <c r="C606" i="14" s="1"/>
  <c r="C595" i="14"/>
  <c r="C597" i="14" s="1"/>
  <c r="C599" i="14" s="1"/>
  <c r="C601" i="14" s="1"/>
  <c r="C603" i="14" s="1"/>
  <c r="C605" i="14" s="1"/>
  <c r="Q901" i="15"/>
  <c r="Q899" i="15"/>
  <c r="Q491" i="13"/>
  <c r="Q494" i="13"/>
  <c r="Q490" i="13"/>
  <c r="Q1052" i="13"/>
  <c r="Q868" i="13"/>
  <c r="Q729" i="16"/>
  <c r="Q725" i="16"/>
  <c r="P746" i="16"/>
  <c r="Q744" i="16"/>
  <c r="K746" i="16"/>
  <c r="Q743" i="16"/>
  <c r="Q867" i="14"/>
  <c r="Q903" i="13"/>
  <c r="S580" i="11"/>
  <c r="G580" i="11"/>
  <c r="W568" i="11"/>
  <c r="P570" i="11"/>
  <c r="Q511" i="15"/>
  <c r="Q502" i="15"/>
  <c r="Q509" i="15"/>
  <c r="N752" i="13"/>
  <c r="Q749" i="13"/>
  <c r="V246" i="11"/>
  <c r="Q248" i="11"/>
  <c r="R248" i="11"/>
  <c r="Q767" i="13"/>
  <c r="Q758" i="13"/>
  <c r="Q764" i="13"/>
  <c r="Q692" i="13"/>
  <c r="Q459" i="14"/>
  <c r="Q463" i="14"/>
  <c r="Q462" i="14"/>
  <c r="W448" i="11"/>
  <c r="U448" i="11"/>
  <c r="G450" i="11"/>
  <c r="Q538" i="15"/>
  <c r="Q544" i="15"/>
  <c r="Q592" i="15"/>
  <c r="Q502" i="16"/>
  <c r="Q279" i="11"/>
  <c r="Q434" i="16"/>
  <c r="P438" i="16"/>
  <c r="Q697" i="14"/>
  <c r="Q702" i="14"/>
  <c r="Q701" i="14"/>
  <c r="Q506" i="14"/>
  <c r="Q770" i="16"/>
  <c r="Q767" i="16"/>
  <c r="Q769" i="16"/>
  <c r="Q645" i="14"/>
  <c r="Q657" i="15"/>
  <c r="Q663" i="15"/>
  <c r="Q646" i="13"/>
  <c r="Q639" i="13"/>
  <c r="K452" i="16"/>
  <c r="N452" i="16"/>
  <c r="Q450" i="16"/>
  <c r="L452" i="16"/>
  <c r="Q1004" i="15"/>
  <c r="Q793" i="15"/>
  <c r="Q800" i="15"/>
  <c r="Q795" i="15"/>
  <c r="J339" i="11"/>
  <c r="Q866" i="16"/>
  <c r="W468" i="11"/>
  <c r="Q526" i="13"/>
  <c r="Q390" i="14"/>
  <c r="Q409" i="13"/>
  <c r="Q410" i="13"/>
  <c r="Q478" i="16"/>
  <c r="Q1069" i="13"/>
  <c r="Q838" i="14"/>
  <c r="C834" i="14"/>
  <c r="C836" i="14" s="1"/>
  <c r="C838" i="14" s="1"/>
  <c r="C840" i="14" s="1"/>
  <c r="C842" i="14" s="1"/>
  <c r="C844" i="14" s="1"/>
  <c r="C833" i="14"/>
  <c r="C835" i="14" s="1"/>
  <c r="C837" i="14" s="1"/>
  <c r="C839" i="14" s="1"/>
  <c r="C841" i="14" s="1"/>
  <c r="C843" i="14" s="1"/>
  <c r="Q1067" i="15"/>
  <c r="Q463" i="16"/>
  <c r="Q883" i="15"/>
  <c r="Q881" i="15"/>
  <c r="Q936" i="13"/>
  <c r="Q782" i="13"/>
  <c r="Q783" i="13"/>
  <c r="Q777" i="13"/>
  <c r="Q1034" i="15"/>
  <c r="Q1029" i="15"/>
  <c r="R419" i="11"/>
  <c r="Q547" i="14"/>
  <c r="Q544" i="14"/>
  <c r="Q573" i="16"/>
  <c r="Q762" i="15"/>
  <c r="Q389" i="16"/>
  <c r="Q645" i="16"/>
  <c r="Q642" i="16"/>
  <c r="Q309" i="16"/>
  <c r="W548" i="11"/>
  <c r="V548" i="11"/>
  <c r="F550" i="11"/>
  <c r="Q824" i="14"/>
  <c r="S379" i="11"/>
  <c r="Q786" i="16"/>
  <c r="Q530" i="14"/>
  <c r="T429" i="11"/>
  <c r="R429" i="11"/>
  <c r="Q918" i="13"/>
  <c r="Q811" i="14"/>
  <c r="G369" i="11"/>
  <c r="Q406" i="15"/>
  <c r="M428" i="15"/>
  <c r="J500" i="11"/>
  <c r="Q732" i="13"/>
  <c r="Q618" i="14"/>
  <c r="K480" i="11"/>
  <c r="O600" i="11"/>
  <c r="Q832" i="13"/>
  <c r="Q826" i="13"/>
  <c r="Q835" i="13"/>
  <c r="L718" i="13"/>
  <c r="Q715" i="13"/>
  <c r="Q707" i="13"/>
  <c r="Q488" i="14"/>
  <c r="Q391" i="13"/>
  <c r="V317" i="11"/>
  <c r="Q476" i="14"/>
  <c r="Q813" i="13"/>
  <c r="Q979" i="13"/>
  <c r="Q983" i="13"/>
  <c r="Q505" i="13"/>
  <c r="Q544" i="13"/>
  <c r="O548" i="13"/>
  <c r="Q543" i="13"/>
  <c r="Q539" i="13"/>
  <c r="V588" i="11"/>
  <c r="Q365" i="14"/>
  <c r="Q588" i="13"/>
  <c r="Q532" i="16"/>
  <c r="Q1054" i="15"/>
  <c r="P490" i="11"/>
  <c r="Q665" i="13"/>
  <c r="Q377" i="16"/>
  <c r="Q379" i="16"/>
  <c r="O620" i="16"/>
  <c r="N620" i="16"/>
  <c r="Q840" i="16"/>
  <c r="Q390" i="15"/>
  <c r="Q714" i="16"/>
  <c r="Q680" i="15"/>
  <c r="Q810" i="16"/>
  <c r="Q310" i="14"/>
  <c r="Q753" i="14"/>
  <c r="Q851" i="14"/>
  <c r="Q951" i="13"/>
  <c r="K349" i="11"/>
  <c r="H349" i="11"/>
  <c r="J349" i="11"/>
  <c r="Q333" i="16"/>
  <c r="Q336" i="16"/>
  <c r="V297" i="11"/>
  <c r="O299" i="11"/>
  <c r="Q299" i="11"/>
  <c r="K299" i="11"/>
  <c r="G258" i="11"/>
  <c r="P258" i="11"/>
  <c r="V256" i="11"/>
  <c r="R258" i="11"/>
  <c r="Q676" i="15"/>
  <c r="Q554" i="13"/>
  <c r="Q560" i="14"/>
  <c r="Q321" i="16"/>
  <c r="Q319" i="16"/>
  <c r="Q441" i="15"/>
  <c r="Q442" i="15"/>
  <c r="Q833" i="15"/>
  <c r="Q830" i="15"/>
  <c r="T389" i="11"/>
  <c r="F389" i="11"/>
  <c r="Q797" i="16"/>
  <c r="Q932" i="15"/>
  <c r="Q814" i="16"/>
  <c r="Q812" i="16"/>
  <c r="Q813" i="16"/>
  <c r="Q510" i="11"/>
  <c r="Q403" i="14"/>
  <c r="Q404" i="14"/>
  <c r="Q515" i="14"/>
  <c r="Q388" i="15"/>
  <c r="Q882" i="13"/>
  <c r="I309" i="11"/>
  <c r="T309" i="11"/>
  <c r="C763" i="14"/>
  <c r="C765" i="14" s="1"/>
  <c r="C767" i="14" s="1"/>
  <c r="C769" i="14" s="1"/>
  <c r="C771" i="14" s="1"/>
  <c r="C773" i="14" s="1"/>
  <c r="C764" i="14"/>
  <c r="C766" i="14" s="1"/>
  <c r="C768" i="14" s="1"/>
  <c r="C770" i="14" s="1"/>
  <c r="C772" i="14" s="1"/>
  <c r="C774" i="14" s="1"/>
  <c r="Q305" i="14"/>
  <c r="Q309" i="14"/>
  <c r="C750" i="14"/>
  <c r="C752" i="14" s="1"/>
  <c r="C754" i="14" s="1"/>
  <c r="C756" i="14" s="1"/>
  <c r="C758" i="14" s="1"/>
  <c r="C760" i="14" s="1"/>
  <c r="C749" i="14"/>
  <c r="C751" i="14" s="1"/>
  <c r="C753" i="14" s="1"/>
  <c r="C755" i="14" s="1"/>
  <c r="C757" i="14" s="1"/>
  <c r="C759" i="14" s="1"/>
  <c r="Q546" i="16"/>
  <c r="Q545" i="16"/>
  <c r="Q323" i="14"/>
  <c r="Q944" i="15"/>
  <c r="Q950" i="15"/>
  <c r="Q853" i="14"/>
  <c r="Q856" i="14"/>
  <c r="Q855" i="14"/>
  <c r="Q713" i="14"/>
  <c r="Q712" i="14"/>
  <c r="Q455" i="15"/>
  <c r="Q696" i="15"/>
  <c r="Q691" i="15"/>
  <c r="C568" i="14"/>
  <c r="C570" i="14" s="1"/>
  <c r="C572" i="14" s="1"/>
  <c r="C574" i="14" s="1"/>
  <c r="C576" i="14" s="1"/>
  <c r="C578" i="14" s="1"/>
  <c r="C567" i="14"/>
  <c r="C569" i="14" s="1"/>
  <c r="C571" i="14" s="1"/>
  <c r="C573" i="14" s="1"/>
  <c r="C575" i="14" s="1"/>
  <c r="C577" i="14" s="1"/>
  <c r="Q571" i="14"/>
  <c r="Q348" i="14"/>
  <c r="Q867" i="15"/>
  <c r="Q866" i="15"/>
  <c r="Q987" i="15"/>
  <c r="Q731" i="15"/>
  <c r="Q910" i="15"/>
  <c r="Q914" i="15"/>
  <c r="Q561" i="16"/>
  <c r="Q557" i="16"/>
  <c r="Q560" i="16"/>
  <c r="I611" i="11"/>
  <c r="K611" i="11"/>
  <c r="Q969" i="13"/>
  <c r="Q962" i="13"/>
  <c r="Q490" i="16"/>
  <c r="Q492" i="16"/>
  <c r="Q489" i="16"/>
  <c r="Q457" i="13"/>
  <c r="Q460" i="13"/>
  <c r="Q461" i="13"/>
  <c r="Q420" i="13"/>
  <c r="K429" i="13"/>
  <c r="T621" i="11"/>
  <c r="S621" i="11"/>
  <c r="U619" i="11"/>
  <c r="Q715" i="15"/>
  <c r="Q713" i="15"/>
  <c r="Q1013" i="13"/>
  <c r="N354" i="16"/>
  <c r="Q347" i="16"/>
  <c r="Q352" i="16"/>
  <c r="P354" i="16"/>
  <c r="Q643" i="15"/>
  <c r="Q646" i="15"/>
  <c r="Q644" i="15"/>
  <c r="Q602" i="16"/>
  <c r="Q776" i="15"/>
  <c r="Q782" i="15"/>
  <c r="U327" i="11"/>
  <c r="T329" i="11"/>
  <c r="S329" i="11"/>
  <c r="Q553" i="15"/>
  <c r="Q559" i="15"/>
  <c r="Q561" i="15"/>
  <c r="Q557" i="15"/>
  <c r="L438" i="14"/>
  <c r="Q487" i="15"/>
  <c r="K289" i="11"/>
  <c r="J289" i="11"/>
  <c r="S289" i="11"/>
  <c r="Q516" i="16"/>
  <c r="Q517" i="16"/>
  <c r="Q417" i="14"/>
  <c r="Q420" i="14"/>
  <c r="T359" i="11"/>
  <c r="U357" i="11"/>
  <c r="Q375" i="14"/>
  <c r="Q377" i="14"/>
  <c r="J409" i="11"/>
  <c r="H409" i="11"/>
  <c r="Q660" i="14"/>
  <c r="Q659" i="14"/>
  <c r="Q587" i="16"/>
  <c r="L751" i="15"/>
  <c r="O751" i="15"/>
  <c r="Q795" i="14"/>
  <c r="Q796" i="14"/>
  <c r="Q728" i="14"/>
  <c r="V639" i="11"/>
  <c r="K540" i="11"/>
  <c r="F540" i="11"/>
  <c r="O540" i="11"/>
  <c r="G560" i="11"/>
  <c r="Q579" i="15"/>
  <c r="Q570" i="15"/>
  <c r="Q628" i="16"/>
  <c r="Q632" i="16"/>
  <c r="Q883" i="14"/>
  <c r="C876" i="14"/>
  <c r="C878" i="14" s="1"/>
  <c r="C880" i="14" s="1"/>
  <c r="C882" i="14" s="1"/>
  <c r="C884" i="14" s="1"/>
  <c r="C886" i="14" s="1"/>
  <c r="C875" i="14"/>
  <c r="C877" i="14" s="1"/>
  <c r="C879" i="14" s="1"/>
  <c r="C881" i="14" s="1"/>
  <c r="C883" i="14" s="1"/>
  <c r="C885" i="14" s="1"/>
  <c r="Q893" i="15"/>
  <c r="Q902" i="15"/>
  <c r="Q495" i="13"/>
  <c r="Q1053" i="13"/>
  <c r="Q1056" i="13"/>
  <c r="Q882" i="16"/>
  <c r="Q879" i="16"/>
  <c r="Q866" i="13"/>
  <c r="R530" i="11"/>
  <c r="J530" i="11"/>
  <c r="W528" i="11"/>
  <c r="F530" i="11"/>
  <c r="Q730" i="16"/>
  <c r="L746" i="16"/>
  <c r="Q869" i="14"/>
  <c r="C862" i="14"/>
  <c r="C864" i="14" s="1"/>
  <c r="C866" i="14" s="1"/>
  <c r="C868" i="14" s="1"/>
  <c r="C870" i="14" s="1"/>
  <c r="C872" i="14" s="1"/>
  <c r="C861" i="14"/>
  <c r="C863" i="14" s="1"/>
  <c r="C865" i="14" s="1"/>
  <c r="C867" i="14" s="1"/>
  <c r="C869" i="14" s="1"/>
  <c r="C871" i="14" s="1"/>
  <c r="Q865" i="14"/>
  <c r="Q902" i="13"/>
  <c r="Q894" i="13"/>
  <c r="Q896" i="13"/>
  <c r="Q899" i="13"/>
  <c r="I580" i="11"/>
  <c r="K580" i="11"/>
  <c r="J580" i="11"/>
  <c r="F570" i="11"/>
  <c r="V568" i="11"/>
  <c r="G440" i="11"/>
  <c r="Q747" i="13"/>
  <c r="Q580" i="13"/>
  <c r="Q695" i="13"/>
  <c r="Q461" i="14"/>
  <c r="S450" i="11"/>
  <c r="Q545" i="15"/>
  <c r="Q540" i="15"/>
  <c r="Q542" i="15"/>
  <c r="Q589" i="15"/>
  <c r="Q595" i="15"/>
  <c r="Q506" i="16"/>
  <c r="Q501" i="16"/>
  <c r="C778" i="14"/>
  <c r="C780" i="14" s="1"/>
  <c r="C782" i="14" s="1"/>
  <c r="C784" i="14" s="1"/>
  <c r="C786" i="14" s="1"/>
  <c r="C788" i="14" s="1"/>
  <c r="C777" i="14"/>
  <c r="C779" i="14" s="1"/>
  <c r="C781" i="14" s="1"/>
  <c r="C783" i="14" s="1"/>
  <c r="C785" i="14" s="1"/>
  <c r="C787" i="14" s="1"/>
  <c r="Q786" i="14"/>
  <c r="Q366" i="15"/>
  <c r="Q368" i="15"/>
  <c r="C694" i="14"/>
  <c r="C696" i="14" s="1"/>
  <c r="C698" i="14" s="1"/>
  <c r="C700" i="14" s="1"/>
  <c r="C702" i="14" s="1"/>
  <c r="C704" i="14" s="1"/>
  <c r="C693" i="14"/>
  <c r="C695" i="14" s="1"/>
  <c r="C697" i="14" s="1"/>
  <c r="C699" i="14" s="1"/>
  <c r="C701" i="14" s="1"/>
  <c r="C703" i="14" s="1"/>
  <c r="Q503" i="14"/>
  <c r="Q504" i="14"/>
  <c r="Q768" i="16"/>
  <c r="Q661" i="15"/>
  <c r="Q611" i="15"/>
  <c r="Q609" i="15"/>
  <c r="Q645" i="13"/>
  <c r="Q644" i="13"/>
  <c r="Q648" i="13"/>
  <c r="Q446" i="16"/>
  <c r="Q448" i="16"/>
  <c r="Q445" i="16"/>
  <c r="Q1035" i="13"/>
  <c r="Q1034" i="13"/>
  <c r="Q1037" i="13"/>
  <c r="Q999" i="15"/>
  <c r="Q791" i="15"/>
  <c r="K339" i="11"/>
  <c r="G339" i="11"/>
  <c r="U468" i="11"/>
  <c r="T470" i="11"/>
  <c r="J228" i="11"/>
  <c r="V226" i="11"/>
  <c r="H228" i="11"/>
  <c r="U226" i="11"/>
  <c r="Q523" i="13"/>
  <c r="Q522" i="13"/>
  <c r="Q525" i="13"/>
  <c r="Q1001" i="13"/>
  <c r="Q1000" i="13"/>
  <c r="Q394" i="14"/>
  <c r="Q389" i="14"/>
  <c r="Q670" i="16"/>
  <c r="Q401" i="13"/>
  <c r="Q403" i="13"/>
  <c r="Q1071" i="13"/>
  <c r="Q1073" i="13"/>
  <c r="Q1069" i="15"/>
  <c r="Q1072" i="15"/>
  <c r="Q878" i="15"/>
  <c r="Q882" i="15"/>
  <c r="Q928" i="13"/>
  <c r="Q933" i="13"/>
  <c r="Q421" i="16"/>
  <c r="Q422" i="16"/>
  <c r="Q420" i="16"/>
  <c r="Q699" i="16"/>
  <c r="Q784" i="13"/>
  <c r="Q779" i="13"/>
  <c r="Q780" i="13"/>
  <c r="Q1038" i="15"/>
  <c r="Q1031" i="15"/>
  <c r="U417" i="11"/>
  <c r="T419" i="11"/>
  <c r="Q828" i="16"/>
  <c r="Q825" i="16"/>
  <c r="Q546" i="14"/>
  <c r="Q574" i="16"/>
  <c r="Q571" i="16"/>
  <c r="Q766" i="15"/>
  <c r="Q307" i="16"/>
  <c r="Q310" i="16"/>
  <c r="J550" i="11"/>
  <c r="R550" i="11"/>
  <c r="Q782" i="16"/>
  <c r="Q529" i="14"/>
  <c r="Q429" i="11"/>
  <c r="Q476" i="15"/>
  <c r="Q470" i="15"/>
  <c r="Q915" i="13"/>
  <c r="T268" i="11"/>
  <c r="I268" i="11"/>
  <c r="Q631" i="14"/>
  <c r="Q629" i="14"/>
  <c r="Q612" i="13"/>
  <c r="G520" i="11"/>
  <c r="K520" i="11"/>
  <c r="Q814" i="14"/>
  <c r="C805" i="14"/>
  <c r="C807" i="14" s="1"/>
  <c r="C809" i="14" s="1"/>
  <c r="C811" i="14" s="1"/>
  <c r="C813" i="14" s="1"/>
  <c r="C815" i="14" s="1"/>
  <c r="C806" i="14"/>
  <c r="C808" i="14" s="1"/>
  <c r="C810" i="14" s="1"/>
  <c r="C812" i="14" s="1"/>
  <c r="C814" i="14" s="1"/>
  <c r="C816" i="14" s="1"/>
  <c r="Q624" i="13"/>
  <c r="Q626" i="13"/>
  <c r="U367" i="11"/>
  <c r="W367" i="11"/>
  <c r="P369" i="11"/>
  <c r="Q408" i="15"/>
  <c r="Q404" i="15"/>
  <c r="I500" i="11"/>
  <c r="V498" i="11"/>
  <c r="W498" i="11"/>
  <c r="U498" i="11"/>
  <c r="S460" i="11"/>
  <c r="Q659" i="16"/>
  <c r="Q655" i="16"/>
  <c r="Q724" i="13"/>
  <c r="Q616" i="14"/>
  <c r="F480" i="11"/>
  <c r="I480" i="11"/>
  <c r="F600" i="11"/>
  <c r="U598" i="11"/>
  <c r="G600" i="11"/>
  <c r="Q487" i="14"/>
  <c r="Q489" i="14"/>
  <c r="Q389" i="13"/>
  <c r="Q392" i="13"/>
  <c r="O319" i="11"/>
  <c r="Q1021" i="15"/>
  <c r="Q1018" i="15"/>
  <c r="Q1014" i="15"/>
  <c r="G399" i="11"/>
  <c r="U397" i="11"/>
  <c r="R399" i="11"/>
  <c r="C470" i="14"/>
  <c r="C472" i="14" s="1"/>
  <c r="C474" i="14" s="1"/>
  <c r="C476" i="14" s="1"/>
  <c r="C478" i="14" s="1"/>
  <c r="C480" i="14" s="1"/>
  <c r="C469" i="14"/>
  <c r="C471" i="14" s="1"/>
  <c r="C473" i="14" s="1"/>
  <c r="C475" i="14" s="1"/>
  <c r="C477" i="14" s="1"/>
  <c r="C479" i="14" s="1"/>
  <c r="Q818" i="13"/>
  <c r="Q984" i="13"/>
  <c r="Q361" i="16"/>
  <c r="Q542" i="13"/>
  <c r="Q545" i="13"/>
  <c r="Q474" i="13"/>
  <c r="Q366" i="14"/>
  <c r="Q594" i="13"/>
  <c r="Q534" i="16"/>
  <c r="Q851" i="15"/>
  <c r="Q850" i="15"/>
  <c r="O490" i="11"/>
  <c r="I490" i="11"/>
  <c r="Q380" i="16"/>
  <c r="Q615" i="16"/>
  <c r="L620" i="16"/>
  <c r="Q837" i="16"/>
  <c r="C511" i="14"/>
  <c r="C513" i="14" s="1"/>
  <c r="C515" i="14" s="1"/>
  <c r="C517" i="14" s="1"/>
  <c r="C519" i="14" s="1"/>
  <c r="C521" i="14" s="1"/>
  <c r="C512" i="14"/>
  <c r="C514" i="14" s="1"/>
  <c r="C516" i="14" s="1"/>
  <c r="C518" i="14" s="1"/>
  <c r="C520" i="14" s="1"/>
  <c r="C522" i="14" s="1"/>
  <c r="Q321" i="14"/>
  <c r="Q688" i="14"/>
  <c r="Q556" i="13"/>
  <c r="Q757" i="14"/>
  <c r="Q716" i="16"/>
  <c r="Q679" i="15"/>
  <c r="Q562" i="14"/>
  <c r="Q559" i="14"/>
  <c r="Q557" i="14"/>
  <c r="Q450" i="14"/>
  <c r="W387" i="11"/>
  <c r="Q799" i="16"/>
  <c r="Q931" i="15"/>
  <c r="Q407" i="14"/>
  <c r="Q769" i="14"/>
  <c r="Q756" i="14"/>
  <c r="Q754" i="14"/>
  <c r="Q548" i="16"/>
  <c r="Q319" i="14"/>
  <c r="Q441" i="13"/>
  <c r="Q437" i="13"/>
  <c r="Q715" i="14"/>
  <c r="Q459" i="15"/>
  <c r="Q742" i="14"/>
  <c r="C735" i="14"/>
  <c r="C737" i="14" s="1"/>
  <c r="C739" i="14" s="1"/>
  <c r="C741" i="14" s="1"/>
  <c r="C743" i="14" s="1"/>
  <c r="C745" i="14" s="1"/>
  <c r="C736" i="14"/>
  <c r="C738" i="14" s="1"/>
  <c r="C740" i="14" s="1"/>
  <c r="C742" i="14" s="1"/>
  <c r="C744" i="14" s="1"/>
  <c r="C746" i="14" s="1"/>
  <c r="Q952" i="13"/>
  <c r="Q945" i="13"/>
  <c r="Q950" i="13"/>
  <c r="Q698" i="15"/>
  <c r="Q695" i="15"/>
  <c r="Q576" i="14"/>
  <c r="Q572" i="14"/>
  <c r="Q687" i="14"/>
  <c r="Q351" i="14"/>
  <c r="Q347" i="14"/>
  <c r="Q350" i="14"/>
  <c r="Q861" i="15"/>
  <c r="Q978" i="15"/>
  <c r="Q728" i="15"/>
  <c r="Q732" i="15"/>
  <c r="Q730" i="15"/>
  <c r="Q916" i="15"/>
  <c r="Q915" i="15"/>
  <c r="Q918" i="15"/>
  <c r="Q525" i="15"/>
  <c r="Q527" i="15"/>
  <c r="Q519" i="15"/>
  <c r="L72" i="13"/>
  <c r="P611" i="11"/>
  <c r="J611" i="11"/>
  <c r="G611" i="11"/>
  <c r="Q971" i="13"/>
  <c r="Q967" i="13"/>
  <c r="Q628" i="15"/>
  <c r="Q452" i="13"/>
  <c r="V619" i="11"/>
  <c r="K621" i="11"/>
  <c r="I621" i="11"/>
  <c r="K717" i="15"/>
  <c r="Q710" i="15"/>
  <c r="Q714" i="15"/>
  <c r="Q1017" i="13"/>
  <c r="Q1021" i="13"/>
  <c r="Q1018" i="13"/>
  <c r="Q669" i="14"/>
  <c r="Q674" i="14"/>
  <c r="Q349" i="16"/>
  <c r="Q647" i="15"/>
  <c r="Q645" i="15"/>
  <c r="Q856" i="16"/>
  <c r="Q851" i="16"/>
  <c r="Q601" i="16"/>
  <c r="Q603" i="16"/>
  <c r="Q774" i="15"/>
  <c r="Q778" i="15"/>
  <c r="K329" i="11"/>
  <c r="V327" i="11"/>
  <c r="C427" i="14"/>
  <c r="C429" i="14" s="1"/>
  <c r="C431" i="14" s="1"/>
  <c r="C433" i="14" s="1"/>
  <c r="C435" i="14" s="1"/>
  <c r="C437" i="14" s="1"/>
  <c r="C428" i="14"/>
  <c r="C430" i="14" s="1"/>
  <c r="C432" i="14" s="1"/>
  <c r="C434" i="14" s="1"/>
  <c r="C436" i="14" s="1"/>
  <c r="C438" i="14" s="1"/>
  <c r="Q492" i="15"/>
  <c r="H289" i="11"/>
  <c r="Q515" i="16"/>
  <c r="K631" i="11"/>
  <c r="F631" i="11"/>
  <c r="I359" i="11"/>
  <c r="Q378" i="14"/>
  <c r="Q677" i="13"/>
  <c r="Q681" i="13"/>
  <c r="Q678" i="13"/>
  <c r="I409" i="11"/>
  <c r="F409" i="11"/>
  <c r="Q656" i="14"/>
  <c r="Q852" i="13"/>
  <c r="P592" i="16"/>
  <c r="Q589" i="16"/>
  <c r="Q586" i="16"/>
  <c r="K751" i="15"/>
  <c r="Q797" i="14"/>
  <c r="Q800" i="14"/>
  <c r="Q798" i="14"/>
  <c r="Q725" i="14"/>
  <c r="Q727" i="14"/>
  <c r="W236" i="11"/>
  <c r="R238" i="11"/>
  <c r="Q641" i="11"/>
  <c r="Q540" i="11"/>
  <c r="U538" i="11"/>
  <c r="W538" i="11"/>
  <c r="T560" i="11"/>
  <c r="W558" i="11"/>
  <c r="H560" i="11"/>
  <c r="Q578" i="15"/>
  <c r="C581" i="14"/>
  <c r="C583" i="14" s="1"/>
  <c r="C585" i="14" s="1"/>
  <c r="C587" i="14" s="1"/>
  <c r="C589" i="14" s="1"/>
  <c r="C591" i="14" s="1"/>
  <c r="C582" i="14"/>
  <c r="C584" i="14" s="1"/>
  <c r="C586" i="14" s="1"/>
  <c r="C588" i="14" s="1"/>
  <c r="C590" i="14" s="1"/>
  <c r="C592" i="14" s="1"/>
  <c r="Q629" i="16"/>
  <c r="Q683" i="16"/>
  <c r="Q686" i="16"/>
  <c r="Q880" i="14"/>
  <c r="Q895" i="15"/>
  <c r="Q488" i="13"/>
  <c r="Q486" i="13"/>
  <c r="Q1051" i="13"/>
  <c r="Q1049" i="13"/>
  <c r="Q864" i="13"/>
  <c r="Q862" i="13"/>
  <c r="Q373" i="13"/>
  <c r="G530" i="11"/>
  <c r="U528" i="11"/>
  <c r="Q728" i="16"/>
  <c r="Q726" i="16"/>
  <c r="Q740" i="16"/>
  <c r="Q742" i="16"/>
  <c r="Q870" i="14"/>
  <c r="Q868" i="14"/>
  <c r="Q900" i="13"/>
  <c r="U578" i="11"/>
  <c r="T580" i="11"/>
  <c r="P580" i="11"/>
  <c r="Q570" i="11"/>
  <c r="K570" i="11"/>
  <c r="Q508" i="15"/>
  <c r="Q510" i="15"/>
  <c r="Q507" i="15"/>
  <c r="K440" i="11"/>
  <c r="W438" i="11"/>
  <c r="Q440" i="11"/>
  <c r="H440" i="11"/>
  <c r="Q743" i="13"/>
  <c r="Q750" i="13"/>
  <c r="K752" i="13"/>
  <c r="T248" i="11"/>
  <c r="J248" i="11"/>
  <c r="Q762" i="13"/>
  <c r="Q573" i="13"/>
  <c r="Q579" i="13"/>
  <c r="Q575" i="13"/>
  <c r="Q753" i="16"/>
  <c r="Q758" i="16"/>
  <c r="Q450" i="11"/>
  <c r="I450" i="11"/>
  <c r="Q543" i="15"/>
  <c r="O547" i="15"/>
  <c r="M547" i="15"/>
  <c r="Q503" i="16"/>
  <c r="S279" i="11"/>
  <c r="F279" i="11"/>
  <c r="H279" i="11"/>
  <c r="P279" i="11"/>
  <c r="Q373" i="15"/>
  <c r="Q370" i="15"/>
  <c r="Q375" i="15"/>
  <c r="K438" i="16"/>
  <c r="N438" i="16"/>
  <c r="Q433" i="16"/>
  <c r="Q436" i="16"/>
  <c r="Q431" i="16"/>
  <c r="Q435" i="16"/>
  <c r="Q699" i="14"/>
  <c r="C497" i="14"/>
  <c r="C499" i="14" s="1"/>
  <c r="C501" i="14" s="1"/>
  <c r="C503" i="14" s="1"/>
  <c r="C505" i="14" s="1"/>
  <c r="C507" i="14" s="1"/>
  <c r="C498" i="14"/>
  <c r="C500" i="14" s="1"/>
  <c r="C502" i="14" s="1"/>
  <c r="C504" i="14" s="1"/>
  <c r="C506" i="14" s="1"/>
  <c r="C508" i="14" s="1"/>
  <c r="Q505" i="14"/>
  <c r="Q644" i="14"/>
  <c r="Q646" i="14"/>
  <c r="Q659" i="15"/>
  <c r="Q664" i="15"/>
  <c r="Q604" i="15"/>
  <c r="Q612" i="15"/>
  <c r="Q647" i="13"/>
  <c r="Q449" i="16"/>
  <c r="Q1039" i="13"/>
  <c r="Q997" i="15"/>
  <c r="Q1001" i="15"/>
  <c r="Q799" i="15"/>
  <c r="F339" i="11"/>
  <c r="Q870" i="16"/>
  <c r="P470" i="11"/>
  <c r="O228" i="11"/>
  <c r="W226" i="11"/>
  <c r="P228" i="11"/>
  <c r="Q520" i="13"/>
  <c r="Q996" i="13"/>
  <c r="Q391" i="14"/>
  <c r="Q674" i="16"/>
  <c r="Q671" i="16"/>
  <c r="Q407" i="13"/>
  <c r="Q476" i="16"/>
  <c r="Q473" i="16"/>
  <c r="Q1065" i="15"/>
  <c r="Q1070" i="15"/>
  <c r="Q1063" i="15"/>
  <c r="Q462" i="16"/>
  <c r="Q885" i="15"/>
  <c r="Q937" i="13"/>
  <c r="Q932" i="13"/>
  <c r="Q700" i="16"/>
  <c r="P419" i="11"/>
  <c r="J419" i="11"/>
  <c r="H419" i="11"/>
  <c r="V417" i="11"/>
  <c r="Q823" i="16"/>
  <c r="Q572" i="16"/>
  <c r="Q764" i="15"/>
  <c r="Q759" i="15"/>
  <c r="Q641" i="16"/>
  <c r="Q308" i="16"/>
  <c r="Q970" i="15"/>
  <c r="Q967" i="15"/>
  <c r="H379" i="11"/>
  <c r="K379" i="11"/>
  <c r="H429" i="11"/>
  <c r="O429" i="11"/>
  <c r="U427" i="11"/>
  <c r="I429" i="11"/>
  <c r="J429" i="11"/>
  <c r="Q472" i="15"/>
  <c r="Q477" i="15"/>
  <c r="Q917" i="13"/>
  <c r="Q913" i="13"/>
  <c r="Q911" i="13"/>
  <c r="R268" i="11"/>
  <c r="Q605" i="13"/>
  <c r="Q611" i="13"/>
  <c r="Q614" i="13"/>
  <c r="W518" i="11"/>
  <c r="J520" i="11"/>
  <c r="F520" i="11"/>
  <c r="V518" i="11"/>
  <c r="Q810" i="14"/>
  <c r="Q812" i="14"/>
  <c r="Q809" i="14"/>
  <c r="Q627" i="13"/>
  <c r="K369" i="11"/>
  <c r="V367" i="11"/>
  <c r="Q407" i="15"/>
  <c r="N428" i="15"/>
  <c r="O428" i="15"/>
  <c r="T500" i="11"/>
  <c r="K460" i="11"/>
  <c r="J460" i="11"/>
  <c r="U458" i="11"/>
  <c r="Q656" i="16"/>
  <c r="Q657" i="16"/>
  <c r="Q660" i="16"/>
  <c r="Q726" i="13"/>
  <c r="Q730" i="13"/>
  <c r="C609" i="14"/>
  <c r="C611" i="14" s="1"/>
  <c r="C613" i="14" s="1"/>
  <c r="C615" i="14" s="1"/>
  <c r="C617" i="14" s="1"/>
  <c r="C619" i="14" s="1"/>
  <c r="C610" i="14"/>
  <c r="C612" i="14" s="1"/>
  <c r="C614" i="14" s="1"/>
  <c r="C616" i="14" s="1"/>
  <c r="C618" i="14" s="1"/>
  <c r="C620" i="14" s="1"/>
  <c r="Q614" i="14"/>
  <c r="Q617" i="14"/>
  <c r="R480" i="11"/>
  <c r="U478" i="11"/>
  <c r="H600" i="11"/>
  <c r="I600" i="11"/>
  <c r="Q833" i="13"/>
  <c r="Q713" i="13"/>
  <c r="Q709" i="13"/>
  <c r="Q815" i="15"/>
  <c r="Q810" i="15"/>
  <c r="Q814" i="15"/>
  <c r="Q490" i="14"/>
  <c r="Q390" i="13"/>
  <c r="Q388" i="13"/>
  <c r="T319" i="11"/>
  <c r="J319" i="11"/>
  <c r="S399" i="11"/>
  <c r="Q475" i="14"/>
  <c r="Q478" i="14"/>
  <c r="Q988" i="13"/>
  <c r="Q987" i="13"/>
  <c r="Q985" i="13"/>
  <c r="Q511" i="13"/>
  <c r="Q510" i="13"/>
  <c r="Q363" i="16"/>
  <c r="Q546" i="13"/>
  <c r="R590" i="11"/>
  <c r="O590" i="11"/>
  <c r="W588" i="11"/>
  <c r="Q475" i="13"/>
  <c r="C357" i="14"/>
  <c r="C359" i="14" s="1"/>
  <c r="C361" i="14" s="1"/>
  <c r="C363" i="14" s="1"/>
  <c r="C365" i="14" s="1"/>
  <c r="C367" i="14" s="1"/>
  <c r="C358" i="14"/>
  <c r="C360" i="14" s="1"/>
  <c r="C362" i="14" s="1"/>
  <c r="C364" i="14" s="1"/>
  <c r="C366" i="14" s="1"/>
  <c r="C368" i="14" s="1"/>
  <c r="Q593" i="13"/>
  <c r="Q849" i="15"/>
  <c r="Q846" i="15"/>
  <c r="T490" i="11"/>
  <c r="Q661" i="13"/>
  <c r="Q658" i="13"/>
  <c r="Q376" i="16"/>
  <c r="K620" i="16"/>
  <c r="Q614" i="16"/>
  <c r="Q406" i="16"/>
  <c r="C554" i="14"/>
  <c r="C556" i="14" s="1"/>
  <c r="C558" i="14" s="1"/>
  <c r="C560" i="14" s="1"/>
  <c r="C562" i="14" s="1"/>
  <c r="C564" i="14" s="1"/>
  <c r="C553" i="14"/>
  <c r="C555" i="14" s="1"/>
  <c r="C557" i="14" s="1"/>
  <c r="C559" i="14" s="1"/>
  <c r="C561" i="14" s="1"/>
  <c r="C563" i="14" s="1"/>
  <c r="H510" i="11"/>
  <c r="Q389" i="15"/>
  <c r="P309" i="11"/>
  <c r="Q306" i="14"/>
  <c r="Q758" i="14"/>
  <c r="Q322" i="14"/>
  <c r="Q948" i="15"/>
  <c r="Q435" i="13"/>
  <c r="Q440" i="13"/>
  <c r="Q854" i="14"/>
  <c r="Q408" i="16"/>
  <c r="S349" i="11"/>
  <c r="Q448" i="14"/>
  <c r="O452" i="14"/>
  <c r="C442" i="14"/>
  <c r="C444" i="14" s="1"/>
  <c r="C446" i="14" s="1"/>
  <c r="C448" i="14" s="1"/>
  <c r="C450" i="14" s="1"/>
  <c r="C452" i="14" s="1"/>
  <c r="C441" i="14"/>
  <c r="C443" i="14" s="1"/>
  <c r="C445" i="14" s="1"/>
  <c r="C447" i="14" s="1"/>
  <c r="C449" i="14" s="1"/>
  <c r="C451" i="14" s="1"/>
  <c r="H389" i="11"/>
  <c r="Q800" i="16"/>
  <c r="Q927" i="15"/>
  <c r="Q516" i="14"/>
  <c r="Q517" i="14"/>
  <c r="Q385" i="15"/>
  <c r="Q392" i="15"/>
  <c r="F309" i="11"/>
  <c r="G309" i="11"/>
  <c r="F349" i="11"/>
  <c r="W347" i="11"/>
  <c r="Q711" i="16"/>
  <c r="Q715" i="16"/>
  <c r="Q712" i="16"/>
  <c r="Q334" i="16"/>
  <c r="G299" i="11"/>
  <c r="I299" i="11"/>
  <c r="H299" i="11"/>
  <c r="O258" i="11"/>
  <c r="F258" i="11"/>
  <c r="Q678" i="15"/>
  <c r="Q681" i="15"/>
  <c r="Q672" i="15"/>
  <c r="Q440" i="15"/>
  <c r="Q434" i="15"/>
  <c r="Q439" i="15"/>
  <c r="Q449" i="14"/>
  <c r="Q825" i="15"/>
  <c r="Q389" i="11"/>
  <c r="I389" i="11"/>
  <c r="Q796" i="16"/>
  <c r="Q795" i="16"/>
  <c r="Q809" i="16"/>
  <c r="F510" i="11"/>
  <c r="W508" i="11"/>
  <c r="I510" i="11"/>
  <c r="Q519" i="14"/>
  <c r="Q387" i="15"/>
  <c r="Q383" i="15"/>
  <c r="Q877" i="13"/>
  <c r="Q879" i="13"/>
  <c r="Q881" i="13"/>
  <c r="H309" i="11"/>
  <c r="U307" i="11"/>
  <c r="Q767" i="14"/>
  <c r="Q768" i="14"/>
  <c r="Q543" i="16"/>
  <c r="Q544" i="16"/>
  <c r="Q951" i="15"/>
  <c r="Q949" i="15"/>
  <c r="Q439" i="13"/>
  <c r="Q443" i="13"/>
  <c r="Q852" i="14"/>
  <c r="Q403" i="16"/>
  <c r="Q453" i="15"/>
  <c r="Q457" i="15"/>
  <c r="Q451" i="15"/>
  <c r="Q460" i="15"/>
  <c r="L746" i="14"/>
  <c r="Q947" i="13"/>
  <c r="Q689" i="15"/>
  <c r="Q685" i="14"/>
  <c r="Q683" i="14"/>
  <c r="Q684" i="14"/>
  <c r="Q686" i="14"/>
  <c r="Q352" i="14"/>
  <c r="L354" i="14"/>
  <c r="Q796" i="13"/>
  <c r="Q799" i="13"/>
  <c r="Q729" i="15"/>
  <c r="Q723" i="15"/>
  <c r="Q917" i="15"/>
  <c r="K72" i="13"/>
  <c r="O72" i="13"/>
  <c r="T611" i="11"/>
  <c r="O611" i="11"/>
  <c r="S611" i="11"/>
  <c r="Q621" i="15"/>
  <c r="Q487" i="16"/>
  <c r="Q458" i="13"/>
  <c r="Q425" i="13"/>
  <c r="Q426" i="13"/>
  <c r="Q422" i="13"/>
  <c r="F621" i="11"/>
  <c r="Q621" i="11"/>
  <c r="Q706" i="15"/>
  <c r="Q712" i="15"/>
  <c r="P717" i="15"/>
  <c r="Q672" i="14"/>
  <c r="O354" i="16"/>
  <c r="Q351" i="16"/>
  <c r="Q852" i="16"/>
  <c r="Q604" i="16"/>
  <c r="Q600" i="16"/>
  <c r="F329" i="11"/>
  <c r="J329" i="11"/>
  <c r="Q562" i="15"/>
  <c r="Q558" i="15"/>
  <c r="Q433" i="14"/>
  <c r="Q432" i="14"/>
  <c r="Q490" i="15"/>
  <c r="Q485" i="15"/>
  <c r="Q493" i="15"/>
  <c r="Q491" i="15"/>
  <c r="R289" i="11"/>
  <c r="I289" i="11"/>
  <c r="Q518" i="16"/>
  <c r="G631" i="11"/>
  <c r="P631" i="11"/>
  <c r="Q422" i="14"/>
  <c r="O359" i="11"/>
  <c r="K359" i="11"/>
  <c r="V357" i="11"/>
  <c r="Q359" i="11"/>
  <c r="Q376" i="14"/>
  <c r="Q379" i="14"/>
  <c r="O409" i="11"/>
  <c r="R409" i="11"/>
  <c r="K409" i="11"/>
  <c r="T409" i="11"/>
  <c r="Q655" i="14"/>
  <c r="Q849" i="13"/>
  <c r="Q851" i="13"/>
  <c r="O592" i="16"/>
  <c r="N592" i="16"/>
  <c r="M592" i="16"/>
  <c r="K592" i="16"/>
  <c r="Q747" i="15"/>
  <c r="Q740" i="15"/>
  <c r="N751" i="15"/>
  <c r="Q742" i="15"/>
  <c r="V236" i="11"/>
  <c r="O641" i="11"/>
  <c r="R641" i="11"/>
  <c r="W639" i="11"/>
  <c r="G540" i="11"/>
  <c r="S560" i="11"/>
  <c r="I560" i="11"/>
  <c r="Q560" i="11"/>
  <c r="O560" i="11"/>
  <c r="R560" i="11"/>
  <c r="Q574" i="15"/>
  <c r="Q587" i="14"/>
  <c r="Q588" i="14"/>
  <c r="Q585" i="14"/>
  <c r="Q627" i="16"/>
  <c r="Q688" i="16"/>
  <c r="Q687" i="16"/>
  <c r="Q684" i="16"/>
  <c r="Q882" i="14"/>
  <c r="Q600" i="14"/>
  <c r="Q1055" i="13"/>
  <c r="Q867" i="13"/>
  <c r="Q374" i="13"/>
  <c r="Q376" i="13"/>
  <c r="Q369" i="13"/>
  <c r="P530" i="11"/>
  <c r="K530" i="11"/>
  <c r="N746" i="16"/>
  <c r="O746" i="16"/>
  <c r="W578" i="11"/>
  <c r="U568" i="11"/>
  <c r="V438" i="11"/>
  <c r="S440" i="11"/>
  <c r="R440" i="11"/>
  <c r="Q746" i="13"/>
  <c r="Q745" i="13"/>
  <c r="P248" i="11"/>
  <c r="W246" i="11"/>
  <c r="Q760" i="13"/>
  <c r="Q571" i="13"/>
  <c r="Q698" i="13"/>
  <c r="C456" i="14"/>
  <c r="C458" i="14" s="1"/>
  <c r="C460" i="14" s="1"/>
  <c r="C462" i="14" s="1"/>
  <c r="C464" i="14" s="1"/>
  <c r="C466" i="14" s="1"/>
  <c r="C455" i="14"/>
  <c r="C457" i="14" s="1"/>
  <c r="C459" i="14" s="1"/>
  <c r="C461" i="14" s="1"/>
  <c r="C463" i="14" s="1"/>
  <c r="C465" i="14" s="1"/>
  <c r="N547" i="15"/>
  <c r="L547" i="15"/>
  <c r="Q593" i="15"/>
  <c r="Q587" i="15"/>
  <c r="Q505" i="16"/>
  <c r="U277" i="11"/>
  <c r="Q374" i="15"/>
  <c r="Q371" i="15"/>
  <c r="Q698" i="14"/>
  <c r="Q501" i="14"/>
  <c r="Q772" i="16"/>
  <c r="C637" i="14"/>
  <c r="C639" i="14" s="1"/>
  <c r="C641" i="14" s="1"/>
  <c r="C643" i="14" s="1"/>
  <c r="C645" i="14" s="1"/>
  <c r="C647" i="14" s="1"/>
  <c r="C638" i="14"/>
  <c r="C640" i="14" s="1"/>
  <c r="C642" i="14" s="1"/>
  <c r="C644" i="14" s="1"/>
  <c r="C646" i="14" s="1"/>
  <c r="C648" i="14" s="1"/>
  <c r="Q606" i="15"/>
  <c r="Q643" i="13"/>
  <c r="Q447" i="16"/>
  <c r="O452" i="16"/>
  <c r="Q1030" i="13"/>
  <c r="Q1036" i="13"/>
  <c r="Q1002" i="15"/>
  <c r="U337" i="11"/>
  <c r="Q339" i="11"/>
  <c r="T339" i="11"/>
  <c r="Q865" i="16"/>
  <c r="H470" i="11"/>
  <c r="R470" i="11"/>
  <c r="Q228" i="11"/>
  <c r="Q1002" i="13"/>
  <c r="Q1004" i="13"/>
  <c r="Q1005" i="13"/>
  <c r="Q475" i="16"/>
  <c r="Q1070" i="13"/>
  <c r="Q1066" i="13"/>
  <c r="Q1072" i="13"/>
  <c r="Q842" i="14"/>
  <c r="Q841" i="14"/>
  <c r="Q840" i="14"/>
  <c r="Q459" i="16"/>
  <c r="Q460" i="16"/>
  <c r="Q935" i="13"/>
  <c r="Q934" i="13"/>
  <c r="Q418" i="16"/>
  <c r="Q701" i="16"/>
  <c r="Q781" i="13"/>
  <c r="Q1037" i="15"/>
  <c r="Q1035" i="15"/>
  <c r="Q419" i="11"/>
  <c r="K419" i="11"/>
  <c r="Q827" i="16"/>
  <c r="Q390" i="16"/>
  <c r="Q644" i="16"/>
  <c r="S550" i="11"/>
  <c r="H550" i="11"/>
  <c r="Q550" i="11"/>
  <c r="Q966" i="15"/>
  <c r="C820" i="14"/>
  <c r="C822" i="14" s="1"/>
  <c r="C824" i="14" s="1"/>
  <c r="C826" i="14" s="1"/>
  <c r="C828" i="14" s="1"/>
  <c r="C830" i="14" s="1"/>
  <c r="C819" i="14"/>
  <c r="C821" i="14" s="1"/>
  <c r="C823" i="14" s="1"/>
  <c r="C825" i="14" s="1"/>
  <c r="C827" i="14" s="1"/>
  <c r="C829" i="14" s="1"/>
  <c r="Q827" i="14"/>
  <c r="O379" i="11"/>
  <c r="P379" i="11"/>
  <c r="W377" i="11"/>
  <c r="I379" i="11"/>
  <c r="Q784" i="16"/>
  <c r="Q532" i="14"/>
  <c r="S429" i="11"/>
  <c r="Q468" i="15"/>
  <c r="W266" i="11"/>
  <c r="C624" i="14"/>
  <c r="C626" i="14" s="1"/>
  <c r="C628" i="14" s="1"/>
  <c r="C630" i="14" s="1"/>
  <c r="C632" i="14" s="1"/>
  <c r="C634" i="14" s="1"/>
  <c r="C623" i="14"/>
  <c r="C625" i="14" s="1"/>
  <c r="C627" i="14" s="1"/>
  <c r="C629" i="14" s="1"/>
  <c r="C631" i="14" s="1"/>
  <c r="C633" i="14" s="1"/>
  <c r="Q628" i="14"/>
  <c r="Q627" i="14"/>
  <c r="Q607" i="13"/>
  <c r="Q520" i="11"/>
  <c r="H520" i="11"/>
  <c r="Q813" i="14"/>
  <c r="Q629" i="13"/>
  <c r="Q631" i="13"/>
  <c r="Q622" i="13"/>
  <c r="O369" i="11"/>
  <c r="R369" i="11"/>
  <c r="Q405" i="15"/>
  <c r="Q409" i="15"/>
  <c r="Q424" i="15"/>
  <c r="Q421" i="15"/>
  <c r="Q422" i="15"/>
  <c r="Q425" i="15"/>
  <c r="Q419" i="15"/>
  <c r="S500" i="11"/>
  <c r="K500" i="11"/>
  <c r="O500" i="11"/>
  <c r="H460" i="11"/>
  <c r="G460" i="11"/>
  <c r="W458" i="11"/>
  <c r="F460" i="11"/>
  <c r="Q729" i="13"/>
  <c r="O620" i="14"/>
  <c r="L620" i="14"/>
  <c r="Q613" i="14"/>
  <c r="O480" i="11"/>
  <c r="S480" i="11"/>
  <c r="V478" i="11"/>
  <c r="G480" i="11"/>
  <c r="P600" i="11"/>
  <c r="K600" i="11"/>
  <c r="W598" i="11"/>
  <c r="S600" i="11"/>
  <c r="Q716" i="13"/>
  <c r="Q714" i="13"/>
  <c r="Q712" i="13"/>
  <c r="N718" i="13"/>
  <c r="Q491" i="14"/>
  <c r="R319" i="11"/>
  <c r="Q1017" i="15"/>
  <c r="Q1012" i="15"/>
  <c r="Q1016" i="15"/>
  <c r="F399" i="11"/>
  <c r="I399" i="11"/>
  <c r="Q816" i="13"/>
  <c r="Q986" i="13"/>
  <c r="Q981" i="13"/>
  <c r="Q512" i="13"/>
  <c r="Q503" i="13"/>
  <c r="Q540" i="13"/>
  <c r="U588" i="11"/>
  <c r="S590" i="11"/>
  <c r="F590" i="11"/>
  <c r="Q590" i="11"/>
  <c r="Q477" i="13"/>
  <c r="Q473" i="13"/>
  <c r="Q592" i="13"/>
  <c r="Q597" i="13"/>
  <c r="Q590" i="13"/>
  <c r="Q848" i="15"/>
  <c r="Q847" i="15"/>
  <c r="Q842" i="15"/>
  <c r="Q1055" i="15"/>
  <c r="Q1048" i="15"/>
  <c r="Q1046" i="15"/>
  <c r="Q1050" i="15"/>
  <c r="R490" i="11"/>
  <c r="G490" i="11"/>
  <c r="U488" i="11"/>
  <c r="Q664" i="13"/>
  <c r="Q375" i="16"/>
  <c r="P620" i="16"/>
  <c r="Q613" i="16"/>
  <c r="Q618" i="16"/>
  <c r="Q838" i="16"/>
  <c r="Q841" i="16"/>
  <c r="Q442" i="13"/>
  <c r="Q740" i="14"/>
  <c r="Q674" i="15"/>
  <c r="W307" i="11"/>
  <c r="Q946" i="15"/>
  <c r="Q407" i="16"/>
  <c r="Q744" i="14"/>
  <c r="Q743" i="14"/>
  <c r="Q949" i="13"/>
  <c r="Q953" i="13"/>
  <c r="Q984" i="15"/>
  <c r="G349" i="11"/>
  <c r="I349" i="11"/>
  <c r="R349" i="11"/>
  <c r="P349" i="11"/>
  <c r="Q335" i="16"/>
  <c r="U297" i="11"/>
  <c r="W297" i="11"/>
  <c r="J258" i="11"/>
  <c r="W256" i="11"/>
  <c r="H258" i="11"/>
  <c r="T258" i="11"/>
  <c r="Q561" i="13"/>
  <c r="Q560" i="13"/>
  <c r="Q562" i="13"/>
  <c r="Q322" i="16"/>
  <c r="Q436" i="15"/>
  <c r="Q447" i="14"/>
  <c r="Q445" i="14"/>
  <c r="Q827" i="15"/>
  <c r="Q834" i="15"/>
  <c r="Q831" i="15"/>
  <c r="G389" i="11"/>
  <c r="O389" i="11"/>
  <c r="R389" i="11"/>
  <c r="V387" i="11"/>
  <c r="K389" i="11"/>
  <c r="Q798" i="16"/>
  <c r="Q934" i="15"/>
  <c r="K510" i="11"/>
  <c r="V508" i="11"/>
  <c r="Q406" i="14"/>
  <c r="C400" i="14"/>
  <c r="C402" i="14" s="1"/>
  <c r="C404" i="14" s="1"/>
  <c r="C406" i="14" s="1"/>
  <c r="C408" i="14" s="1"/>
  <c r="C410" i="14" s="1"/>
  <c r="C399" i="14"/>
  <c r="C401" i="14" s="1"/>
  <c r="C403" i="14" s="1"/>
  <c r="C405" i="14" s="1"/>
  <c r="C407" i="14" s="1"/>
  <c r="C409" i="14" s="1"/>
  <c r="Q405" i="14"/>
  <c r="Q518" i="14"/>
  <c r="Q520" i="14"/>
  <c r="Q391" i="15"/>
  <c r="Q884" i="13"/>
  <c r="Q885" i="13"/>
  <c r="Q886" i="13"/>
  <c r="J309" i="11"/>
  <c r="K309" i="11"/>
  <c r="R309" i="11"/>
  <c r="Q309" i="11"/>
  <c r="Q772" i="14"/>
  <c r="Q771" i="14"/>
  <c r="Q308" i="14"/>
  <c r="Q755" i="14"/>
  <c r="Q324" i="14"/>
  <c r="Q953" i="15"/>
  <c r="Q952" i="15"/>
  <c r="Q404" i="16"/>
  <c r="C707" i="14"/>
  <c r="C709" i="14" s="1"/>
  <c r="C711" i="14" s="1"/>
  <c r="C713" i="14" s="1"/>
  <c r="C715" i="14" s="1"/>
  <c r="C717" i="14" s="1"/>
  <c r="C708" i="14"/>
  <c r="C710" i="14" s="1"/>
  <c r="C712" i="14" s="1"/>
  <c r="C714" i="14" s="1"/>
  <c r="C716" i="14" s="1"/>
  <c r="C718" i="14" s="1"/>
  <c r="Q716" i="14"/>
  <c r="Q458" i="15"/>
  <c r="Q456" i="15"/>
  <c r="O746" i="14"/>
  <c r="Q954" i="13"/>
  <c r="Q693" i="15"/>
  <c r="Q697" i="15"/>
  <c r="Q575" i="14"/>
  <c r="Q573" i="14"/>
  <c r="Q349" i="14"/>
  <c r="C344" i="14"/>
  <c r="C346" i="14" s="1"/>
  <c r="C348" i="14" s="1"/>
  <c r="C350" i="14" s="1"/>
  <c r="C352" i="14" s="1"/>
  <c r="C354" i="14" s="1"/>
  <c r="C343" i="14"/>
  <c r="C345" i="14" s="1"/>
  <c r="C347" i="14" s="1"/>
  <c r="C349" i="14" s="1"/>
  <c r="C351" i="14" s="1"/>
  <c r="C353" i="14" s="1"/>
  <c r="O354" i="14"/>
  <c r="Q864" i="15"/>
  <c r="Q863" i="15"/>
  <c r="Q800" i="13"/>
  <c r="Q792" i="13"/>
  <c r="Q801" i="13"/>
  <c r="Q986" i="15"/>
  <c r="Q985" i="15"/>
  <c r="Q725" i="15"/>
  <c r="Q912" i="15"/>
  <c r="Q526" i="15"/>
  <c r="Q521" i="15"/>
  <c r="Q524" i="15"/>
  <c r="Q559" i="16"/>
  <c r="Q558" i="16"/>
  <c r="N72" i="13"/>
  <c r="R611" i="11"/>
  <c r="H611" i="11"/>
  <c r="W609" i="11"/>
  <c r="Q970" i="13"/>
  <c r="Q491" i="16"/>
  <c r="Q456" i="13"/>
  <c r="O429" i="13"/>
  <c r="Q418" i="13"/>
  <c r="O621" i="11"/>
  <c r="P621" i="11"/>
  <c r="Q708" i="15"/>
  <c r="M717" i="15"/>
  <c r="N717" i="15"/>
  <c r="Q671" i="14"/>
  <c r="C666" i="14"/>
  <c r="C668" i="14" s="1"/>
  <c r="C670" i="14" s="1"/>
  <c r="C672" i="14" s="1"/>
  <c r="C674" i="14" s="1"/>
  <c r="C676" i="14" s="1"/>
  <c r="C665" i="14"/>
  <c r="C667" i="14" s="1"/>
  <c r="C669" i="14" s="1"/>
  <c r="C671" i="14" s="1"/>
  <c r="C673" i="14" s="1"/>
  <c r="C675" i="14" s="1"/>
  <c r="Q350" i="16"/>
  <c r="K354" i="16"/>
  <c r="Q599" i="16"/>
  <c r="Q779" i="15"/>
  <c r="Q780" i="15"/>
  <c r="Q329" i="11"/>
  <c r="R329" i="11"/>
  <c r="Q555" i="15"/>
  <c r="O438" i="14"/>
  <c r="Q434" i="14"/>
  <c r="U287" i="11"/>
  <c r="Q520" i="16"/>
  <c r="T631" i="11"/>
  <c r="R631" i="11"/>
  <c r="Q419" i="14"/>
  <c r="C414" i="14"/>
  <c r="C416" i="14" s="1"/>
  <c r="C418" i="14" s="1"/>
  <c r="C420" i="14" s="1"/>
  <c r="C422" i="14" s="1"/>
  <c r="C424" i="14" s="1"/>
  <c r="C413" i="14"/>
  <c r="C415" i="14" s="1"/>
  <c r="C417" i="14" s="1"/>
  <c r="C419" i="14" s="1"/>
  <c r="C421" i="14" s="1"/>
  <c r="C423" i="14" s="1"/>
  <c r="W357" i="11"/>
  <c r="C371" i="14"/>
  <c r="C373" i="14" s="1"/>
  <c r="C375" i="14" s="1"/>
  <c r="C377" i="14" s="1"/>
  <c r="C379" i="14" s="1"/>
  <c r="C381" i="14" s="1"/>
  <c r="C372" i="14"/>
  <c r="C374" i="14" s="1"/>
  <c r="C376" i="14" s="1"/>
  <c r="C378" i="14" s="1"/>
  <c r="C380" i="14" s="1"/>
  <c r="C382" i="14" s="1"/>
  <c r="Q679" i="13"/>
  <c r="Q673" i="13"/>
  <c r="Q675" i="13"/>
  <c r="W407" i="11"/>
  <c r="P409" i="11"/>
  <c r="S409" i="11"/>
  <c r="Q658" i="14"/>
  <c r="Q657" i="14"/>
  <c r="Q850" i="13"/>
  <c r="Q848" i="13"/>
  <c r="Q847" i="13"/>
  <c r="Q590" i="16"/>
  <c r="Q746" i="15"/>
  <c r="Q745" i="15"/>
  <c r="O238" i="11"/>
  <c r="I238" i="11"/>
  <c r="F238" i="11"/>
  <c r="U236" i="11"/>
  <c r="J641" i="11"/>
  <c r="G641" i="11"/>
  <c r="T540" i="11"/>
  <c r="V538" i="11"/>
  <c r="P540" i="11"/>
  <c r="Q572" i="15"/>
  <c r="Q575" i="15"/>
  <c r="Q630" i="16"/>
  <c r="Q685" i="16"/>
  <c r="Q881" i="14"/>
  <c r="Q602" i="14"/>
  <c r="Q898" i="15"/>
  <c r="Q493" i="13"/>
  <c r="Q1047" i="13"/>
  <c r="Q883" i="16"/>
  <c r="Q881" i="16"/>
  <c r="Q884" i="16"/>
  <c r="Q371" i="13"/>
  <c r="Q375" i="13"/>
  <c r="I530" i="11"/>
  <c r="V528" i="11"/>
  <c r="M746" i="16"/>
  <c r="Q866" i="14"/>
  <c r="Q901" i="13"/>
  <c r="V578" i="11"/>
  <c r="F580" i="11"/>
  <c r="O570" i="11"/>
  <c r="J570" i="11"/>
  <c r="H570" i="11"/>
  <c r="I570" i="11"/>
  <c r="Q506" i="15"/>
  <c r="Q504" i="15"/>
  <c r="F440" i="11"/>
  <c r="O752" i="13"/>
  <c r="Q741" i="13"/>
  <c r="S248" i="11"/>
  <c r="F248" i="11"/>
  <c r="Q763" i="13"/>
  <c r="Q576" i="13"/>
  <c r="Q578" i="13"/>
  <c r="Q756" i="16"/>
  <c r="Q754" i="16"/>
  <c r="Q696" i="13"/>
  <c r="Q464" i="14"/>
  <c r="R450" i="11"/>
  <c r="Q596" i="15"/>
  <c r="Q782" i="14"/>
  <c r="Q785" i="14"/>
  <c r="G279" i="11"/>
  <c r="R279" i="11"/>
  <c r="W277" i="11"/>
  <c r="Q432" i="16"/>
  <c r="O438" i="16"/>
  <c r="M438" i="16"/>
  <c r="Q502" i="14"/>
  <c r="Q771" i="16"/>
  <c r="Q642" i="14"/>
  <c r="Q641" i="14"/>
  <c r="Q662" i="15"/>
  <c r="Q660" i="15"/>
  <c r="Q610" i="15"/>
  <c r="Q608" i="15"/>
  <c r="M452" i="16"/>
  <c r="Q1038" i="13"/>
  <c r="Q1032" i="13"/>
  <c r="Q1000" i="15"/>
  <c r="Q796" i="15"/>
  <c r="R339" i="11"/>
  <c r="S339" i="11"/>
  <c r="O339" i="11"/>
  <c r="W337" i="11"/>
  <c r="G470" i="11"/>
  <c r="S470" i="11"/>
  <c r="T228" i="11"/>
  <c r="I228" i="11"/>
  <c r="K228" i="11"/>
  <c r="Q524" i="13"/>
  <c r="Q527" i="13"/>
  <c r="Q998" i="13"/>
  <c r="Q1003" i="13"/>
  <c r="Q392" i="14"/>
  <c r="C386" i="14"/>
  <c r="C388" i="14" s="1"/>
  <c r="C390" i="14" s="1"/>
  <c r="C392" i="14" s="1"/>
  <c r="C394" i="14" s="1"/>
  <c r="C396" i="14" s="1"/>
  <c r="C385" i="14"/>
  <c r="C387" i="14" s="1"/>
  <c r="C389" i="14" s="1"/>
  <c r="C391" i="14" s="1"/>
  <c r="C393" i="14" s="1"/>
  <c r="C395" i="14" s="1"/>
  <c r="Q393" i="14"/>
  <c r="Q408" i="13"/>
  <c r="Q474" i="16"/>
  <c r="Q1064" i="13"/>
  <c r="Q839" i="14"/>
  <c r="Q837" i="14"/>
  <c r="C330" i="14"/>
  <c r="C332" i="14" s="1"/>
  <c r="C334" i="14" s="1"/>
  <c r="C336" i="14" s="1"/>
  <c r="C338" i="14" s="1"/>
  <c r="C340" i="14" s="1"/>
  <c r="C329" i="14"/>
  <c r="C331" i="14" s="1"/>
  <c r="C333" i="14" s="1"/>
  <c r="C335" i="14" s="1"/>
  <c r="C337" i="14" s="1"/>
  <c r="C339" i="14" s="1"/>
  <c r="Q1068" i="15"/>
  <c r="Q464" i="16"/>
  <c r="Q880" i="15"/>
  <c r="Q930" i="13"/>
  <c r="Q702" i="16"/>
  <c r="Q775" i="13"/>
  <c r="F419" i="11"/>
  <c r="I419" i="11"/>
  <c r="O419" i="11"/>
  <c r="Q824" i="16"/>
  <c r="Q826" i="16"/>
  <c r="Q545" i="14"/>
  <c r="C540" i="14"/>
  <c r="C542" i="14" s="1"/>
  <c r="C544" i="14" s="1"/>
  <c r="C546" i="14" s="1"/>
  <c r="C548" i="14" s="1"/>
  <c r="C550" i="14" s="1"/>
  <c r="C539" i="14"/>
  <c r="C541" i="14" s="1"/>
  <c r="C543" i="14" s="1"/>
  <c r="C545" i="14" s="1"/>
  <c r="C547" i="14" s="1"/>
  <c r="C549" i="14" s="1"/>
  <c r="Q548" i="14"/>
  <c r="Q543" i="14"/>
  <c r="Q761" i="15"/>
  <c r="Q391" i="16"/>
  <c r="Q393" i="16"/>
  <c r="Q643" i="16"/>
  <c r="Q306" i="16"/>
  <c r="K550" i="11"/>
  <c r="O550" i="11"/>
  <c r="P550" i="11"/>
  <c r="Q965" i="15"/>
  <c r="Q963" i="15"/>
  <c r="Q823" i="14"/>
  <c r="Q828" i="14"/>
  <c r="R379" i="11"/>
  <c r="Q783" i="16"/>
  <c r="Q785" i="16"/>
  <c r="Q534" i="14"/>
  <c r="Q531" i="14"/>
  <c r="Q533" i="14"/>
  <c r="C525" i="14"/>
  <c r="C527" i="14" s="1"/>
  <c r="C529" i="14" s="1"/>
  <c r="C531" i="14" s="1"/>
  <c r="C533" i="14" s="1"/>
  <c r="C535" i="14" s="1"/>
  <c r="C526" i="14"/>
  <c r="C528" i="14" s="1"/>
  <c r="C530" i="14" s="1"/>
  <c r="C532" i="14" s="1"/>
  <c r="C534" i="14" s="1"/>
  <c r="C536" i="14" s="1"/>
  <c r="W427" i="11"/>
  <c r="K429" i="11"/>
  <c r="G429" i="11"/>
  <c r="F429" i="11"/>
  <c r="P429" i="11"/>
  <c r="Q474" i="15"/>
  <c r="V266" i="11"/>
  <c r="Q632" i="14"/>
  <c r="Q613" i="13"/>
  <c r="Q628" i="13"/>
  <c r="I369" i="11"/>
  <c r="J369" i="11"/>
  <c r="Q402" i="15"/>
  <c r="P428" i="15"/>
  <c r="L428" i="15"/>
  <c r="Q423" i="15"/>
  <c r="G500" i="11"/>
  <c r="P500" i="11"/>
  <c r="T460" i="11"/>
  <c r="I460" i="11"/>
  <c r="Q733" i="13"/>
  <c r="Q615" i="14"/>
  <c r="W478" i="11"/>
  <c r="T600" i="11"/>
  <c r="V598" i="11"/>
  <c r="Q831" i="13"/>
  <c r="Q711" i="13"/>
  <c r="Q808" i="15"/>
  <c r="Q816" i="15"/>
  <c r="Q492" i="14"/>
  <c r="C483" i="14"/>
  <c r="C485" i="14" s="1"/>
  <c r="C487" i="14" s="1"/>
  <c r="C489" i="14" s="1"/>
  <c r="C491" i="14" s="1"/>
  <c r="C493" i="14" s="1"/>
  <c r="C484" i="14"/>
  <c r="C486" i="14" s="1"/>
  <c r="C488" i="14" s="1"/>
  <c r="C490" i="14" s="1"/>
  <c r="C492" i="14" s="1"/>
  <c r="C494" i="14" s="1"/>
  <c r="Q393" i="13"/>
  <c r="H319" i="11"/>
  <c r="I319" i="11"/>
  <c r="W397" i="11"/>
  <c r="V397" i="11"/>
  <c r="T399" i="11"/>
  <c r="K399" i="11"/>
  <c r="Q473" i="14"/>
  <c r="Q474" i="14"/>
  <c r="Q811" i="13"/>
  <c r="Q817" i="13"/>
  <c r="Q814" i="13"/>
  <c r="Q815" i="13"/>
  <c r="Q508" i="13"/>
  <c r="Q507" i="13"/>
  <c r="Q362" i="16"/>
  <c r="Q365" i="16"/>
  <c r="N548" i="13"/>
  <c r="K590" i="11"/>
  <c r="Q476" i="13"/>
  <c r="Q469" i="13"/>
  <c r="Q362" i="14"/>
  <c r="Q595" i="13"/>
  <c r="Q530" i="16"/>
  <c r="Q533" i="16"/>
  <c r="Q844" i="15"/>
  <c r="V488" i="11"/>
  <c r="F490" i="11"/>
  <c r="Q662" i="13"/>
  <c r="Q656" i="13"/>
  <c r="Q378" i="16"/>
  <c r="M620" i="16"/>
  <c r="Q617" i="16"/>
  <c r="Q842" i="16"/>
  <c r="H6" i="14"/>
  <c r="H331" i="14" s="1"/>
  <c r="P6" i="14"/>
  <c r="P303" i="14" s="1"/>
  <c r="J519" i="13"/>
  <c r="K468" i="13"/>
  <c r="J521" i="13"/>
  <c r="K470" i="13"/>
  <c r="M1065" i="13"/>
  <c r="M1048" i="13"/>
  <c r="M1014" i="13"/>
  <c r="M997" i="13"/>
  <c r="M980" i="13"/>
  <c r="M929" i="13"/>
  <c r="M895" i="13"/>
  <c r="M844" i="13"/>
  <c r="M827" i="13"/>
  <c r="M810" i="13"/>
  <c r="M521" i="13"/>
  <c r="M419" i="13"/>
  <c r="M1031" i="13"/>
  <c r="M946" i="13"/>
  <c r="M861" i="13"/>
  <c r="M623" i="13"/>
  <c r="M504" i="13"/>
  <c r="M385" i="13"/>
  <c r="M912" i="13"/>
  <c r="M759" i="13"/>
  <c r="M742" i="13"/>
  <c r="M725" i="13"/>
  <c r="M793" i="13"/>
  <c r="M776" i="13"/>
  <c r="M538" i="13"/>
  <c r="M436" i="13"/>
  <c r="M368" i="13"/>
  <c r="M402" i="13"/>
  <c r="M963" i="13"/>
  <c r="M453" i="13"/>
  <c r="M878" i="13"/>
  <c r="M708" i="13"/>
  <c r="M691" i="13"/>
  <c r="M674" i="13"/>
  <c r="M657" i="13"/>
  <c r="M640" i="13"/>
  <c r="M606" i="13"/>
  <c r="M589" i="13"/>
  <c r="M572" i="13"/>
  <c r="M555" i="13"/>
  <c r="P621" i="13"/>
  <c r="P434" i="13"/>
  <c r="P417" i="13"/>
  <c r="P400" i="13"/>
  <c r="P366" i="13"/>
  <c r="P1029" i="13"/>
  <c r="P859" i="13"/>
  <c r="P944" i="13"/>
  <c r="P383" i="13"/>
  <c r="P910" i="13"/>
  <c r="P536" i="13"/>
  <c r="P519" i="13"/>
  <c r="P1031" i="13"/>
  <c r="P946" i="13"/>
  <c r="P861" i="13"/>
  <c r="P623" i="13"/>
  <c r="P521" i="13"/>
  <c r="P385" i="13"/>
  <c r="P912" i="13"/>
  <c r="P402" i="13"/>
  <c r="P419" i="13"/>
  <c r="P538" i="13"/>
  <c r="P436" i="13"/>
  <c r="P368" i="13"/>
  <c r="M130" i="13"/>
  <c r="M96" i="13"/>
  <c r="M79" i="13"/>
  <c r="M113" i="13"/>
  <c r="P94" i="13"/>
  <c r="P111" i="13"/>
  <c r="P128" i="13"/>
  <c r="P96" i="13"/>
  <c r="P113" i="13"/>
  <c r="P130" i="13"/>
  <c r="G6" i="13"/>
  <c r="G519" i="13" s="1"/>
  <c r="K339" i="14"/>
  <c r="M6" i="13"/>
  <c r="K303" i="14"/>
  <c r="K849" i="14"/>
  <c r="K863" i="14"/>
  <c r="K877" i="14"/>
  <c r="K835" i="14"/>
  <c r="K387" i="14"/>
  <c r="K751" i="14"/>
  <c r="K793" i="14"/>
  <c r="K359" i="14"/>
  <c r="K681" i="14"/>
  <c r="K625" i="14"/>
  <c r="K457" i="14"/>
  <c r="K415" i="14"/>
  <c r="K443" i="14"/>
  <c r="K555" i="14"/>
  <c r="K317" i="14"/>
  <c r="K527" i="14"/>
  <c r="K485" i="14"/>
  <c r="K779" i="14"/>
  <c r="K541" i="14"/>
  <c r="K765" i="14"/>
  <c r="K709" i="14"/>
  <c r="K667" i="14"/>
  <c r="K429" i="14"/>
  <c r="K807" i="14"/>
  <c r="K639" i="14"/>
  <c r="K597" i="14"/>
  <c r="K737" i="14"/>
  <c r="K373" i="14"/>
  <c r="K345" i="14"/>
  <c r="K401" i="14"/>
  <c r="K471" i="14"/>
  <c r="K569" i="14"/>
  <c r="K723" i="14"/>
  <c r="K513" i="14"/>
  <c r="K695" i="14"/>
  <c r="K499" i="14"/>
  <c r="K583" i="14"/>
  <c r="K653" i="14"/>
  <c r="K821" i="14"/>
  <c r="K611" i="14"/>
  <c r="S776" i="13"/>
  <c r="S1048" i="13"/>
  <c r="S1014" i="13"/>
  <c r="S555" i="13"/>
  <c r="S606" i="13"/>
  <c r="S640" i="13"/>
  <c r="S436" i="13"/>
  <c r="S1031" i="13"/>
  <c r="S759" i="13"/>
  <c r="S810" i="13"/>
  <c r="S793" i="13"/>
  <c r="S929" i="13"/>
  <c r="S691" i="13"/>
  <c r="S470" i="13"/>
  <c r="S504" i="13"/>
  <c r="S963" i="13"/>
  <c r="S725" i="13"/>
  <c r="S997" i="13"/>
  <c r="S623" i="13"/>
  <c r="S572" i="13"/>
  <c r="S453" i="13"/>
  <c r="S895" i="13"/>
  <c r="S946" i="13"/>
  <c r="S589" i="13"/>
  <c r="S487" i="13"/>
  <c r="S1065" i="13"/>
  <c r="S878" i="13"/>
  <c r="S980" i="13"/>
  <c r="S861" i="13"/>
  <c r="S827" i="13"/>
  <c r="S674" i="13"/>
  <c r="S538" i="13"/>
  <c r="S844" i="13"/>
  <c r="S708" i="13"/>
  <c r="S657" i="13"/>
  <c r="S912" i="13"/>
  <c r="S368" i="13"/>
  <c r="S419" i="13"/>
  <c r="S402" i="13"/>
  <c r="S742" i="13"/>
  <c r="S385" i="13"/>
  <c r="G303" i="14"/>
  <c r="G849" i="14"/>
  <c r="G863" i="14"/>
  <c r="G835" i="14"/>
  <c r="G877" i="14"/>
  <c r="G737" i="14"/>
  <c r="G359" i="14"/>
  <c r="G345" i="14"/>
  <c r="G709" i="14"/>
  <c r="G401" i="14"/>
  <c r="G555" i="14"/>
  <c r="G793" i="14"/>
  <c r="G373" i="14"/>
  <c r="G653" i="14"/>
  <c r="G765" i="14"/>
  <c r="G821" i="14"/>
  <c r="G317" i="14"/>
  <c r="G429" i="14"/>
  <c r="G807" i="14"/>
  <c r="G569" i="14"/>
  <c r="G639" i="14"/>
  <c r="G387" i="14"/>
  <c r="G499" i="14"/>
  <c r="G583" i="14"/>
  <c r="G625" i="14"/>
  <c r="G471" i="14"/>
  <c r="G485" i="14"/>
  <c r="G611" i="14"/>
  <c r="G457" i="14"/>
  <c r="G751" i="14"/>
  <c r="G597" i="14"/>
  <c r="G443" i="14"/>
  <c r="G667" i="14"/>
  <c r="G681" i="14"/>
  <c r="G527" i="14"/>
  <c r="G779" i="14"/>
  <c r="G723" i="14"/>
  <c r="G541" i="14"/>
  <c r="G513" i="14"/>
  <c r="G695" i="14"/>
  <c r="G415" i="14"/>
  <c r="J303" i="14"/>
  <c r="J849" i="14"/>
  <c r="J835" i="14"/>
  <c r="J863" i="14"/>
  <c r="J877" i="14"/>
  <c r="J345" i="14"/>
  <c r="J821" i="14"/>
  <c r="J681" i="14"/>
  <c r="J807" i="14"/>
  <c r="J625" i="14"/>
  <c r="J471" i="14"/>
  <c r="J751" i="14"/>
  <c r="J555" i="14"/>
  <c r="J793" i="14"/>
  <c r="J359" i="14"/>
  <c r="J373" i="14"/>
  <c r="J765" i="14"/>
  <c r="J317" i="14"/>
  <c r="J401" i="14"/>
  <c r="J723" i="14"/>
  <c r="J597" i="14"/>
  <c r="J499" i="14"/>
  <c r="J583" i="14"/>
  <c r="J709" i="14"/>
  <c r="J611" i="14"/>
  <c r="J639" i="14"/>
  <c r="J387" i="14"/>
  <c r="J443" i="14"/>
  <c r="J737" i="14"/>
  <c r="J653" i="14"/>
  <c r="J667" i="14"/>
  <c r="J429" i="14"/>
  <c r="J527" i="14"/>
  <c r="J485" i="14"/>
  <c r="J569" i="14"/>
  <c r="J779" i="14"/>
  <c r="J457" i="14"/>
  <c r="J541" i="14"/>
  <c r="J513" i="14"/>
  <c r="J415" i="14"/>
  <c r="J695" i="14"/>
  <c r="H1063" i="13"/>
  <c r="H774" i="13"/>
  <c r="H876" i="13"/>
  <c r="H808" i="13"/>
  <c r="H842" i="13"/>
  <c r="H893" i="13"/>
  <c r="H995" i="13"/>
  <c r="H1012" i="13"/>
  <c r="H638" i="13"/>
  <c r="H553" i="13"/>
  <c r="H689" i="13"/>
  <c r="H961" i="13"/>
  <c r="H1029" i="13"/>
  <c r="H757" i="13"/>
  <c r="H1046" i="13"/>
  <c r="H791" i="13"/>
  <c r="H859" i="13"/>
  <c r="H825" i="13"/>
  <c r="H910" i="13"/>
  <c r="H723" i="13"/>
  <c r="H655" i="13"/>
  <c r="H587" i="13"/>
  <c r="H468" i="13"/>
  <c r="H434" i="13"/>
  <c r="H451" i="13"/>
  <c r="H621" i="13"/>
  <c r="H706" i="13"/>
  <c r="H570" i="13"/>
  <c r="H944" i="13"/>
  <c r="H927" i="13"/>
  <c r="H672" i="13"/>
  <c r="H604" i="13"/>
  <c r="H502" i="13"/>
  <c r="H485" i="13"/>
  <c r="H978" i="13"/>
  <c r="H536" i="13"/>
  <c r="H740" i="13"/>
  <c r="H417" i="13"/>
  <c r="H366" i="13"/>
  <c r="H383" i="13"/>
  <c r="H400" i="13"/>
  <c r="P774" i="13"/>
  <c r="P978" i="13"/>
  <c r="P706" i="13"/>
  <c r="P1063" i="13"/>
  <c r="P808" i="13"/>
  <c r="P842" i="13"/>
  <c r="P672" i="13"/>
  <c r="P961" i="13"/>
  <c r="P893" i="13"/>
  <c r="P757" i="13"/>
  <c r="P876" i="13"/>
  <c r="P1012" i="13"/>
  <c r="P604" i="13"/>
  <c r="P587" i="13"/>
  <c r="P1046" i="13"/>
  <c r="P791" i="13"/>
  <c r="P825" i="13"/>
  <c r="P638" i="13"/>
  <c r="P995" i="13"/>
  <c r="P689" i="13"/>
  <c r="P655" i="13"/>
  <c r="P553" i="13"/>
  <c r="P502" i="13"/>
  <c r="P485" i="13"/>
  <c r="P570" i="13"/>
  <c r="P723" i="13"/>
  <c r="P468" i="13"/>
  <c r="P451" i="13"/>
  <c r="P927" i="13"/>
  <c r="P740" i="13"/>
  <c r="J723" i="13"/>
  <c r="J978" i="13"/>
  <c r="J808" i="13"/>
  <c r="J842" i="13"/>
  <c r="J1063" i="13"/>
  <c r="J876" i="13"/>
  <c r="J893" i="13"/>
  <c r="J757" i="13"/>
  <c r="J961" i="13"/>
  <c r="J1029" i="13"/>
  <c r="J910" i="13"/>
  <c r="J825" i="13"/>
  <c r="J621" i="13"/>
  <c r="J655" i="13"/>
  <c r="J774" i="13"/>
  <c r="J995" i="13"/>
  <c r="J1012" i="13"/>
  <c r="J672" i="13"/>
  <c r="J706" i="13"/>
  <c r="J927" i="13"/>
  <c r="J553" i="13"/>
  <c r="J604" i="13"/>
  <c r="J451" i="13"/>
  <c r="J434" i="13"/>
  <c r="J944" i="13"/>
  <c r="J859" i="13"/>
  <c r="J587" i="13"/>
  <c r="J638" i="13"/>
  <c r="J468" i="13"/>
  <c r="J1046" i="13"/>
  <c r="J689" i="13"/>
  <c r="J570" i="13"/>
  <c r="J502" i="13"/>
  <c r="J485" i="13"/>
  <c r="J740" i="13"/>
  <c r="J791" i="13"/>
  <c r="J536" i="13"/>
  <c r="J417" i="13"/>
  <c r="J400" i="13"/>
  <c r="J383" i="13"/>
  <c r="J366" i="13"/>
  <c r="M487" i="13"/>
  <c r="M470" i="13"/>
  <c r="I1065" i="13"/>
  <c r="I878" i="13"/>
  <c r="I963" i="13"/>
  <c r="I810" i="13"/>
  <c r="I793" i="13"/>
  <c r="I725" i="13"/>
  <c r="I844" i="13"/>
  <c r="I538" i="13"/>
  <c r="I1031" i="13"/>
  <c r="I980" i="13"/>
  <c r="I759" i="13"/>
  <c r="I623" i="13"/>
  <c r="I776" i="13"/>
  <c r="I997" i="13"/>
  <c r="I861" i="13"/>
  <c r="I827" i="13"/>
  <c r="I895" i="13"/>
  <c r="I1048" i="13"/>
  <c r="I946" i="13"/>
  <c r="I708" i="13"/>
  <c r="I606" i="13"/>
  <c r="I691" i="13"/>
  <c r="I453" i="13"/>
  <c r="I487" i="13"/>
  <c r="I436" i="13"/>
  <c r="I640" i="13"/>
  <c r="I657" i="13"/>
  <c r="I555" i="13"/>
  <c r="I589" i="13"/>
  <c r="I912" i="13"/>
  <c r="I674" i="13"/>
  <c r="I572" i="13"/>
  <c r="I504" i="13"/>
  <c r="I470" i="13"/>
  <c r="I1014" i="13"/>
  <c r="I929" i="13"/>
  <c r="I742" i="13"/>
  <c r="I419" i="13"/>
  <c r="I385" i="13"/>
  <c r="I368" i="13"/>
  <c r="I402" i="13"/>
  <c r="N303" i="14"/>
  <c r="N849" i="14"/>
  <c r="N835" i="14"/>
  <c r="N877" i="14"/>
  <c r="N863" i="14"/>
  <c r="N737" i="14"/>
  <c r="N359" i="14"/>
  <c r="N653" i="14"/>
  <c r="N667" i="14"/>
  <c r="N401" i="14"/>
  <c r="N681" i="14"/>
  <c r="N625" i="14"/>
  <c r="N485" i="14"/>
  <c r="N779" i="14"/>
  <c r="N457" i="14"/>
  <c r="N499" i="14"/>
  <c r="N555" i="14"/>
  <c r="N765" i="14"/>
  <c r="N821" i="14"/>
  <c r="N429" i="14"/>
  <c r="N807" i="14"/>
  <c r="N639" i="14"/>
  <c r="N387" i="14"/>
  <c r="N751" i="14"/>
  <c r="N597" i="14"/>
  <c r="N443" i="14"/>
  <c r="N345" i="14"/>
  <c r="N709" i="14"/>
  <c r="N569" i="14"/>
  <c r="N611" i="14"/>
  <c r="N793" i="14"/>
  <c r="N373" i="14"/>
  <c r="N583" i="14"/>
  <c r="N317" i="14"/>
  <c r="N527" i="14"/>
  <c r="N471" i="14"/>
  <c r="N723" i="14"/>
  <c r="N513" i="14"/>
  <c r="N695" i="14"/>
  <c r="N415" i="14"/>
  <c r="N541" i="14"/>
  <c r="I303" i="14"/>
  <c r="I849" i="14"/>
  <c r="I863" i="14"/>
  <c r="I877" i="14"/>
  <c r="I835" i="14"/>
  <c r="I639" i="14"/>
  <c r="I751" i="14"/>
  <c r="I443" i="14"/>
  <c r="I373" i="14"/>
  <c r="I653" i="14"/>
  <c r="I625" i="14"/>
  <c r="I485" i="14"/>
  <c r="I569" i="14"/>
  <c r="I513" i="14"/>
  <c r="I807" i="14"/>
  <c r="I779" i="14"/>
  <c r="I387" i="14"/>
  <c r="I597" i="14"/>
  <c r="I555" i="14"/>
  <c r="I793" i="14"/>
  <c r="I737" i="14"/>
  <c r="I359" i="14"/>
  <c r="I583" i="14"/>
  <c r="I345" i="14"/>
  <c r="I765" i="14"/>
  <c r="I667" i="14"/>
  <c r="I821" i="14"/>
  <c r="I429" i="14"/>
  <c r="I499" i="14"/>
  <c r="I709" i="14"/>
  <c r="I317" i="14"/>
  <c r="I401" i="14"/>
  <c r="I681" i="14"/>
  <c r="I527" i="14"/>
  <c r="I471" i="14"/>
  <c r="I611" i="14"/>
  <c r="I723" i="14"/>
  <c r="I457" i="14"/>
  <c r="I541" i="14"/>
  <c r="I415" i="14"/>
  <c r="I695" i="14"/>
  <c r="H844" i="13"/>
  <c r="H776" i="13"/>
  <c r="H1031" i="13"/>
  <c r="H878" i="13"/>
  <c r="H538" i="13"/>
  <c r="H793" i="13"/>
  <c r="H963" i="13"/>
  <c r="H810" i="13"/>
  <c r="H725" i="13"/>
  <c r="H946" i="13"/>
  <c r="H861" i="13"/>
  <c r="H895" i="13"/>
  <c r="H1048" i="13"/>
  <c r="H1014" i="13"/>
  <c r="H691" i="13"/>
  <c r="H980" i="13"/>
  <c r="H623" i="13"/>
  <c r="H589" i="13"/>
  <c r="H606" i="13"/>
  <c r="H1065" i="13"/>
  <c r="H555" i="13"/>
  <c r="H674" i="13"/>
  <c r="H487" i="13"/>
  <c r="H504" i="13"/>
  <c r="H929" i="13"/>
  <c r="H640" i="13"/>
  <c r="H708" i="13"/>
  <c r="H657" i="13"/>
  <c r="H572" i="13"/>
  <c r="H470" i="13"/>
  <c r="H997" i="13"/>
  <c r="H453" i="13"/>
  <c r="H436" i="13"/>
  <c r="H827" i="13"/>
  <c r="H742" i="13"/>
  <c r="H759" i="13"/>
  <c r="H912" i="13"/>
  <c r="H419" i="13"/>
  <c r="H368" i="13"/>
  <c r="H385" i="13"/>
  <c r="H402" i="13"/>
  <c r="P1065" i="13"/>
  <c r="P878" i="13"/>
  <c r="P980" i="13"/>
  <c r="P895" i="13"/>
  <c r="P929" i="13"/>
  <c r="P776" i="13"/>
  <c r="P963" i="13"/>
  <c r="P725" i="13"/>
  <c r="P640" i="13"/>
  <c r="P844" i="13"/>
  <c r="P997" i="13"/>
  <c r="P810" i="13"/>
  <c r="P555" i="13"/>
  <c r="P606" i="13"/>
  <c r="P691" i="13"/>
  <c r="P708" i="13"/>
  <c r="P453" i="13"/>
  <c r="P470" i="13"/>
  <c r="P1048" i="13"/>
  <c r="P589" i="13"/>
  <c r="P657" i="13"/>
  <c r="P674" i="13"/>
  <c r="P1014" i="13"/>
  <c r="P504" i="13"/>
  <c r="P487" i="13"/>
  <c r="P827" i="13"/>
  <c r="P742" i="13"/>
  <c r="P759" i="13"/>
  <c r="P793" i="13"/>
  <c r="P572" i="13"/>
  <c r="I536" i="13"/>
  <c r="I1029" i="13"/>
  <c r="I893" i="13"/>
  <c r="I825" i="13"/>
  <c r="I774" i="13"/>
  <c r="I808" i="13"/>
  <c r="I842" i="13"/>
  <c r="I876" i="13"/>
  <c r="I961" i="13"/>
  <c r="I910" i="13"/>
  <c r="I927" i="13"/>
  <c r="I723" i="13"/>
  <c r="I638" i="13"/>
  <c r="I553" i="13"/>
  <c r="I1063" i="13"/>
  <c r="I621" i="13"/>
  <c r="I995" i="13"/>
  <c r="I944" i="13"/>
  <c r="I655" i="13"/>
  <c r="I689" i="13"/>
  <c r="I1046" i="13"/>
  <c r="I587" i="13"/>
  <c r="I570" i="13"/>
  <c r="I468" i="13"/>
  <c r="I451" i="13"/>
  <c r="I434" i="13"/>
  <c r="I485" i="13"/>
  <c r="I1012" i="13"/>
  <c r="I978" i="13"/>
  <c r="I604" i="13"/>
  <c r="I672" i="13"/>
  <c r="I706" i="13"/>
  <c r="I502" i="13"/>
  <c r="I859" i="13"/>
  <c r="I366" i="13"/>
  <c r="I757" i="13"/>
  <c r="I791" i="13"/>
  <c r="I740" i="13"/>
  <c r="I417" i="13"/>
  <c r="I383" i="13"/>
  <c r="I400" i="13"/>
  <c r="G776" i="13"/>
  <c r="G878" i="13"/>
  <c r="G980" i="13"/>
  <c r="G538" i="13"/>
  <c r="G759" i="13"/>
  <c r="G895" i="13"/>
  <c r="G810" i="13"/>
  <c r="G827" i="13"/>
  <c r="G1065" i="13"/>
  <c r="G963" i="13"/>
  <c r="G1031" i="13"/>
  <c r="G844" i="13"/>
  <c r="G1014" i="13"/>
  <c r="G674" i="13"/>
  <c r="G793" i="13"/>
  <c r="G861" i="13"/>
  <c r="G912" i="13"/>
  <c r="G929" i="13"/>
  <c r="G708" i="13"/>
  <c r="G623" i="13"/>
  <c r="G606" i="13"/>
  <c r="G657" i="13"/>
  <c r="G589" i="13"/>
  <c r="G572" i="13"/>
  <c r="G504" i="13"/>
  <c r="G487" i="13"/>
  <c r="G453" i="13"/>
  <c r="G946" i="13"/>
  <c r="G725" i="13"/>
  <c r="G997" i="13"/>
  <c r="G1048" i="13"/>
  <c r="G555" i="13"/>
  <c r="G470" i="13"/>
  <c r="G640" i="13"/>
  <c r="G691" i="13"/>
  <c r="G436" i="13"/>
  <c r="G742" i="13"/>
  <c r="G419" i="13"/>
  <c r="G368" i="13"/>
  <c r="G402" i="13"/>
  <c r="G385" i="13"/>
  <c r="J538" i="13"/>
  <c r="J793" i="13"/>
  <c r="J963" i="13"/>
  <c r="J725" i="13"/>
  <c r="J878" i="13"/>
  <c r="J1031" i="13"/>
  <c r="J980" i="13"/>
  <c r="J759" i="13"/>
  <c r="J810" i="13"/>
  <c r="J776" i="13"/>
  <c r="J895" i="13"/>
  <c r="J640" i="13"/>
  <c r="J946" i="13"/>
  <c r="J861" i="13"/>
  <c r="J572" i="13"/>
  <c r="J555" i="13"/>
  <c r="J1048" i="13"/>
  <c r="J1014" i="13"/>
  <c r="J623" i="13"/>
  <c r="J1065" i="13"/>
  <c r="J844" i="13"/>
  <c r="J912" i="13"/>
  <c r="J589" i="13"/>
  <c r="J657" i="13"/>
  <c r="J691" i="13"/>
  <c r="J674" i="13"/>
  <c r="J436" i="13"/>
  <c r="J504" i="13"/>
  <c r="J470" i="13"/>
  <c r="J929" i="13"/>
  <c r="J708" i="13"/>
  <c r="J997" i="13"/>
  <c r="J606" i="13"/>
  <c r="J453" i="13"/>
  <c r="J487" i="13"/>
  <c r="J742" i="13"/>
  <c r="J827" i="13"/>
  <c r="J419" i="13"/>
  <c r="J368" i="13"/>
  <c r="J385" i="13"/>
  <c r="J402" i="13"/>
  <c r="N339" i="14"/>
  <c r="M339" i="14"/>
  <c r="J17" i="13"/>
  <c r="G17" i="13"/>
  <c r="G530" i="13" s="1"/>
  <c r="H17" i="15"/>
  <c r="J17" i="15"/>
  <c r="P17" i="13"/>
  <c r="H17" i="13"/>
  <c r="H530" i="13" s="1"/>
  <c r="I17" i="15"/>
  <c r="I17" i="13"/>
  <c r="I530" i="13" s="1"/>
  <c r="H737" i="14" l="1"/>
  <c r="P835" i="14"/>
  <c r="H401" i="14"/>
  <c r="H709" i="14"/>
  <c r="H849" i="14"/>
  <c r="H569" i="14"/>
  <c r="H611" i="14"/>
  <c r="H387" i="14"/>
  <c r="H541" i="14"/>
  <c r="H485" i="14"/>
  <c r="H303" i="14"/>
  <c r="H415" i="14"/>
  <c r="H625" i="14"/>
  <c r="H807" i="14"/>
  <c r="H723" i="14"/>
  <c r="H653" i="14"/>
  <c r="H317" i="14"/>
  <c r="H359" i="14"/>
  <c r="H793" i="14"/>
  <c r="H877" i="14"/>
  <c r="H429" i="14"/>
  <c r="H681" i="14"/>
  <c r="H555" i="14"/>
  <c r="H765" i="14"/>
  <c r="H513" i="14"/>
  <c r="H443" i="14"/>
  <c r="H583" i="14"/>
  <c r="H639" i="14"/>
  <c r="H863" i="14"/>
  <c r="H779" i="14"/>
  <c r="H457" i="14"/>
  <c r="H345" i="14"/>
  <c r="H597" i="14"/>
  <c r="H527" i="14"/>
  <c r="H499" i="14"/>
  <c r="H695" i="14"/>
  <c r="H667" i="14"/>
  <c r="H471" i="14"/>
  <c r="H373" i="14"/>
  <c r="H751" i="14"/>
  <c r="H821" i="14"/>
  <c r="H835" i="14"/>
  <c r="P569" i="14"/>
  <c r="P373" i="14"/>
  <c r="P443" i="14"/>
  <c r="P471" i="14"/>
  <c r="P639" i="14"/>
  <c r="P429" i="14"/>
  <c r="P541" i="14"/>
  <c r="P807" i="14"/>
  <c r="P653" i="14"/>
  <c r="I14" i="14"/>
  <c r="I339" i="14" s="1"/>
  <c r="P14" i="14"/>
  <c r="P871" i="14" s="1"/>
  <c r="G14" i="14"/>
  <c r="G339" i="14" s="1"/>
  <c r="P415" i="14"/>
  <c r="P793" i="14"/>
  <c r="P317" i="14"/>
  <c r="P625" i="14"/>
  <c r="P737" i="14"/>
  <c r="J14" i="14"/>
  <c r="J857" i="14" s="1"/>
  <c r="J858" i="14" s="1"/>
  <c r="P779" i="14"/>
  <c r="P345" i="14"/>
  <c r="P597" i="14"/>
  <c r="P485" i="14"/>
  <c r="P821" i="14"/>
  <c r="P457" i="14"/>
  <c r="P499" i="14"/>
  <c r="P667" i="14"/>
  <c r="P555" i="14"/>
  <c r="P849" i="14"/>
  <c r="H14" i="14"/>
  <c r="H339" i="14" s="1"/>
  <c r="P709" i="14"/>
  <c r="P513" i="14"/>
  <c r="P387" i="14"/>
  <c r="P401" i="14"/>
  <c r="P863" i="14"/>
  <c r="P331" i="14"/>
  <c r="P695" i="14"/>
  <c r="P611" i="14"/>
  <c r="P583" i="14"/>
  <c r="P751" i="14"/>
  <c r="P527" i="14"/>
  <c r="P359" i="14"/>
  <c r="P723" i="14"/>
  <c r="P681" i="14"/>
  <c r="P765" i="14"/>
  <c r="P877" i="14"/>
  <c r="M1063" i="13"/>
  <c r="M1046" i="13"/>
  <c r="M1012" i="13"/>
  <c r="M995" i="13"/>
  <c r="M978" i="13"/>
  <c r="M927" i="13"/>
  <c r="M910" i="13"/>
  <c r="M893" i="13"/>
  <c r="M842" i="13"/>
  <c r="M825" i="13"/>
  <c r="M808" i="13"/>
  <c r="M417" i="13"/>
  <c r="M757" i="13"/>
  <c r="M740" i="13"/>
  <c r="M723" i="13"/>
  <c r="M621" i="13"/>
  <c r="M434" i="13"/>
  <c r="M400" i="13"/>
  <c r="M366" i="13"/>
  <c r="M791" i="13"/>
  <c r="M774" i="13"/>
  <c r="M536" i="13"/>
  <c r="M876" i="13"/>
  <c r="M859" i="13"/>
  <c r="M519" i="13"/>
  <c r="M383" i="13"/>
  <c r="M961" i="13"/>
  <c r="M944" i="13"/>
  <c r="M451" i="13"/>
  <c r="M1029" i="13"/>
  <c r="M706" i="13"/>
  <c r="M689" i="13"/>
  <c r="M672" i="13"/>
  <c r="M655" i="13"/>
  <c r="M638" i="13"/>
  <c r="M604" i="13"/>
  <c r="M587" i="13"/>
  <c r="M570" i="13"/>
  <c r="M553" i="13"/>
  <c r="M502" i="13"/>
  <c r="J530" i="13"/>
  <c r="J531" i="13" s="1"/>
  <c r="K479" i="13"/>
  <c r="K480" i="13" s="1"/>
  <c r="M1074" i="13"/>
  <c r="M1057" i="13"/>
  <c r="M1023" i="13"/>
  <c r="M1006" i="13"/>
  <c r="M989" i="13"/>
  <c r="M938" i="13"/>
  <c r="M904" i="13"/>
  <c r="M853" i="13"/>
  <c r="M836" i="13"/>
  <c r="M819" i="13"/>
  <c r="M428" i="13"/>
  <c r="M768" i="13"/>
  <c r="M751" i="13"/>
  <c r="M734" i="13"/>
  <c r="M1040" i="13"/>
  <c r="M955" i="13"/>
  <c r="M870" i="13"/>
  <c r="M632" i="13"/>
  <c r="M547" i="13"/>
  <c r="M513" i="13"/>
  <c r="M394" i="13"/>
  <c r="M921" i="13"/>
  <c r="M802" i="13"/>
  <c r="M785" i="13"/>
  <c r="M530" i="13"/>
  <c r="M445" i="13"/>
  <c r="M377" i="13"/>
  <c r="M887" i="13"/>
  <c r="M411" i="13"/>
  <c r="M972" i="13"/>
  <c r="M462" i="13"/>
  <c r="M717" i="13"/>
  <c r="M700" i="13"/>
  <c r="M683" i="13"/>
  <c r="M666" i="13"/>
  <c r="M649" i="13"/>
  <c r="M615" i="13"/>
  <c r="M598" i="13"/>
  <c r="M581" i="13"/>
  <c r="M564" i="13"/>
  <c r="P1040" i="13"/>
  <c r="P1041" i="13" s="1"/>
  <c r="P955" i="13"/>
  <c r="P956" i="13" s="1"/>
  <c r="P870" i="13"/>
  <c r="P871" i="13" s="1"/>
  <c r="P632" i="13"/>
  <c r="P633" i="13" s="1"/>
  <c r="P547" i="13"/>
  <c r="P548" i="13" s="1"/>
  <c r="P394" i="13"/>
  <c r="P395" i="13" s="1"/>
  <c r="P921" i="13"/>
  <c r="P922" i="13" s="1"/>
  <c r="P428" i="13"/>
  <c r="P429" i="13" s="1"/>
  <c r="P530" i="13"/>
  <c r="P531" i="13" s="1"/>
  <c r="P411" i="13"/>
  <c r="P412" i="13" s="1"/>
  <c r="P445" i="13"/>
  <c r="P446" i="13" s="1"/>
  <c r="P377" i="13"/>
  <c r="P378" i="13" s="1"/>
  <c r="P105" i="13"/>
  <c r="P106" i="13" s="1"/>
  <c r="P122" i="13"/>
  <c r="P123" i="13" s="1"/>
  <c r="P139" i="13"/>
  <c r="P140" i="13" s="1"/>
  <c r="M105" i="13"/>
  <c r="M88" i="13"/>
  <c r="M139" i="13"/>
  <c r="M122" i="13"/>
  <c r="M128" i="13"/>
  <c r="M94" i="13"/>
  <c r="M77" i="13"/>
  <c r="M111" i="13"/>
  <c r="G689" i="13"/>
  <c r="G978" i="13"/>
  <c r="G400" i="13"/>
  <c r="G621" i="13"/>
  <c r="G655" i="13"/>
  <c r="G995" i="13"/>
  <c r="G944" i="13"/>
  <c r="G536" i="13"/>
  <c r="G485" i="13"/>
  <c r="G842" i="13"/>
  <c r="G417" i="13"/>
  <c r="G740" i="13"/>
  <c r="G502" i="13"/>
  <c r="G451" i="13"/>
  <c r="G570" i="13"/>
  <c r="G553" i="13"/>
  <c r="G927" i="13"/>
  <c r="G1029" i="13"/>
  <c r="G876" i="13"/>
  <c r="G723" i="13"/>
  <c r="G808" i="13"/>
  <c r="G366" i="13"/>
  <c r="G910" i="13"/>
  <c r="G587" i="13"/>
  <c r="G434" i="13"/>
  <c r="G604" i="13"/>
  <c r="G672" i="13"/>
  <c r="G859" i="13"/>
  <c r="G774" i="13"/>
  <c r="G961" i="13"/>
  <c r="G1063" i="13"/>
  <c r="G383" i="13"/>
  <c r="G825" i="13"/>
  <c r="G706" i="13"/>
  <c r="G468" i="13"/>
  <c r="G791" i="13"/>
  <c r="G1012" i="13"/>
  <c r="G1046" i="13"/>
  <c r="G638" i="13"/>
  <c r="G893" i="13"/>
  <c r="G757" i="13"/>
  <c r="M877" i="14"/>
  <c r="M331" i="14"/>
  <c r="M485" i="14"/>
  <c r="M527" i="14"/>
  <c r="M835" i="14"/>
  <c r="M597" i="14"/>
  <c r="M765" i="14"/>
  <c r="M317" i="14"/>
  <c r="M751" i="14"/>
  <c r="M653" i="14"/>
  <c r="M625" i="14"/>
  <c r="M849" i="14"/>
  <c r="M695" i="14"/>
  <c r="M737" i="14"/>
  <c r="M779" i="14"/>
  <c r="M569" i="14"/>
  <c r="M583" i="14"/>
  <c r="M415" i="14"/>
  <c r="M793" i="14"/>
  <c r="M807" i="14"/>
  <c r="M429" i="14"/>
  <c r="M387" i="14"/>
  <c r="M485" i="13"/>
  <c r="M541" i="14"/>
  <c r="M611" i="14"/>
  <c r="M709" i="14"/>
  <c r="M443" i="14"/>
  <c r="M639" i="14"/>
  <c r="M681" i="14"/>
  <c r="M555" i="14"/>
  <c r="M667" i="14"/>
  <c r="M821" i="14"/>
  <c r="M863" i="14"/>
  <c r="M303" i="14"/>
  <c r="M513" i="14"/>
  <c r="M471" i="14"/>
  <c r="M359" i="14"/>
  <c r="M499" i="14"/>
  <c r="M457" i="14"/>
  <c r="M401" i="14"/>
  <c r="M723" i="14"/>
  <c r="M373" i="14"/>
  <c r="M345" i="14"/>
  <c r="M468" i="13"/>
  <c r="K311" i="14"/>
  <c r="K857" i="14"/>
  <c r="K858" i="14" s="1"/>
  <c r="K843" i="14"/>
  <c r="K844" i="14" s="1"/>
  <c r="K885" i="14"/>
  <c r="K886" i="14" s="1"/>
  <c r="K871" i="14"/>
  <c r="K872" i="14" s="1"/>
  <c r="K591" i="14"/>
  <c r="K661" i="14"/>
  <c r="K773" i="14"/>
  <c r="K829" i="14"/>
  <c r="K409" i="14"/>
  <c r="K815" i="14"/>
  <c r="K633" i="14"/>
  <c r="K521" i="14"/>
  <c r="K647" i="14"/>
  <c r="K395" i="14"/>
  <c r="K759" i="14"/>
  <c r="K381" i="14"/>
  <c r="K717" i="14"/>
  <c r="K675" i="14"/>
  <c r="K325" i="14"/>
  <c r="K493" i="14"/>
  <c r="K465" i="14"/>
  <c r="K605" i="14"/>
  <c r="K507" i="14"/>
  <c r="K367" i="14"/>
  <c r="K353" i="14"/>
  <c r="K689" i="14"/>
  <c r="K535" i="14"/>
  <c r="K563" i="14"/>
  <c r="K801" i="14"/>
  <c r="K745" i="14"/>
  <c r="K437" i="14"/>
  <c r="K549" i="14"/>
  <c r="K451" i="14"/>
  <c r="K731" i="14"/>
  <c r="K423" i="14"/>
  <c r="K619" i="14"/>
  <c r="K703" i="14"/>
  <c r="K577" i="14"/>
  <c r="K479" i="14"/>
  <c r="K787" i="14"/>
  <c r="I1040" i="13"/>
  <c r="I1041" i="13" s="1"/>
  <c r="I819" i="13"/>
  <c r="I820" i="13" s="1"/>
  <c r="I853" i="13"/>
  <c r="I854" i="13" s="1"/>
  <c r="I649" i="13"/>
  <c r="I650" i="13" s="1"/>
  <c r="I1074" i="13"/>
  <c r="I1075" i="13" s="1"/>
  <c r="I989" i="13"/>
  <c r="I990" i="13" s="1"/>
  <c r="I904" i="13"/>
  <c r="I905" i="13" s="1"/>
  <c r="I1006" i="13"/>
  <c r="I1007" i="13" s="1"/>
  <c r="I887" i="13"/>
  <c r="I888" i="13" s="1"/>
  <c r="I531" i="13"/>
  <c r="I768" i="13"/>
  <c r="I769" i="13" s="1"/>
  <c r="I1057" i="13"/>
  <c r="I1058" i="13" s="1"/>
  <c r="I955" i="13"/>
  <c r="I956" i="13" s="1"/>
  <c r="I836" i="13"/>
  <c r="I837" i="13" s="1"/>
  <c r="I972" i="13"/>
  <c r="I973" i="13" s="1"/>
  <c r="I1023" i="13"/>
  <c r="I1024" i="13" s="1"/>
  <c r="I921" i="13"/>
  <c r="I922" i="13" s="1"/>
  <c r="I734" i="13"/>
  <c r="I735" i="13" s="1"/>
  <c r="I598" i="13"/>
  <c r="I599" i="13" s="1"/>
  <c r="I615" i="13"/>
  <c r="I616" i="13" s="1"/>
  <c r="I717" i="13"/>
  <c r="I718" i="13" s="1"/>
  <c r="I462" i="13"/>
  <c r="I463" i="13" s="1"/>
  <c r="I513" i="13"/>
  <c r="I514" i="13" s="1"/>
  <c r="I445" i="13"/>
  <c r="I446" i="13" s="1"/>
  <c r="I632" i="13"/>
  <c r="I633" i="13" s="1"/>
  <c r="I666" i="13"/>
  <c r="I667" i="13" s="1"/>
  <c r="I700" i="13"/>
  <c r="I701" i="13" s="1"/>
  <c r="I785" i="13"/>
  <c r="I786" i="13" s="1"/>
  <c r="I870" i="13"/>
  <c r="I871" i="13" s="1"/>
  <c r="I564" i="13"/>
  <c r="I565" i="13" s="1"/>
  <c r="I683" i="13"/>
  <c r="I684" i="13" s="1"/>
  <c r="I581" i="13"/>
  <c r="I582" i="13" s="1"/>
  <c r="I479" i="13"/>
  <c r="I480" i="13" s="1"/>
  <c r="I496" i="13"/>
  <c r="I497" i="13" s="1"/>
  <c r="I751" i="13"/>
  <c r="I752" i="13" s="1"/>
  <c r="I938" i="13"/>
  <c r="I939" i="13" s="1"/>
  <c r="I802" i="13"/>
  <c r="I803" i="13" s="1"/>
  <c r="I547" i="13"/>
  <c r="I428" i="13"/>
  <c r="I429" i="13" s="1"/>
  <c r="I377" i="13"/>
  <c r="I411" i="13"/>
  <c r="I412" i="13" s="1"/>
  <c r="I394" i="13"/>
  <c r="I395" i="13" s="1"/>
  <c r="N311" i="14"/>
  <c r="N871" i="14"/>
  <c r="N872" i="14" s="1"/>
  <c r="N857" i="14"/>
  <c r="N858" i="14" s="1"/>
  <c r="N843" i="14"/>
  <c r="N844" i="14" s="1"/>
  <c r="N885" i="14"/>
  <c r="N886" i="14" s="1"/>
  <c r="N759" i="14"/>
  <c r="N605" i="14"/>
  <c r="N325" i="14"/>
  <c r="N409" i="14"/>
  <c r="N577" i="14"/>
  <c r="N619" i="14"/>
  <c r="N731" i="14"/>
  <c r="N647" i="14"/>
  <c r="N563" i="14"/>
  <c r="N801" i="14"/>
  <c r="N745" i="14"/>
  <c r="N661" i="14"/>
  <c r="N773" i="14"/>
  <c r="N717" i="14"/>
  <c r="N675" i="14"/>
  <c r="N829" i="14"/>
  <c r="N437" i="14"/>
  <c r="N689" i="14"/>
  <c r="N787" i="14"/>
  <c r="N395" i="14"/>
  <c r="N507" i="14"/>
  <c r="N367" i="14"/>
  <c r="N633" i="14"/>
  <c r="N535" i="14"/>
  <c r="N479" i="14"/>
  <c r="N465" i="14"/>
  <c r="N451" i="14"/>
  <c r="N381" i="14"/>
  <c r="N591" i="14"/>
  <c r="N353" i="14"/>
  <c r="N815" i="14"/>
  <c r="N493" i="14"/>
  <c r="N521" i="14"/>
  <c r="N549" i="14"/>
  <c r="N423" i="14"/>
  <c r="N703" i="14"/>
  <c r="P989" i="13"/>
  <c r="P990" i="13" s="1"/>
  <c r="P904" i="13"/>
  <c r="P905" i="13" s="1"/>
  <c r="P768" i="13"/>
  <c r="P769" i="13" s="1"/>
  <c r="P853" i="13"/>
  <c r="P854" i="13" s="1"/>
  <c r="P887" i="13"/>
  <c r="P888" i="13" s="1"/>
  <c r="P1006" i="13"/>
  <c r="P1007" i="13" s="1"/>
  <c r="P1074" i="13"/>
  <c r="P1075" i="13" s="1"/>
  <c r="P785" i="13"/>
  <c r="P786" i="13" s="1"/>
  <c r="P734" i="13"/>
  <c r="P735" i="13" s="1"/>
  <c r="P819" i="13"/>
  <c r="P820" i="13" s="1"/>
  <c r="P938" i="13"/>
  <c r="P939" i="13" s="1"/>
  <c r="P717" i="13"/>
  <c r="P718" i="13" s="1"/>
  <c r="P598" i="13"/>
  <c r="P599" i="13" s="1"/>
  <c r="P700" i="13"/>
  <c r="P701" i="13" s="1"/>
  <c r="P972" i="13"/>
  <c r="P973" i="13" s="1"/>
  <c r="P1057" i="13"/>
  <c r="P1058" i="13" s="1"/>
  <c r="P1023" i="13"/>
  <c r="P1024" i="13" s="1"/>
  <c r="P802" i="13"/>
  <c r="P803" i="13" s="1"/>
  <c r="P666" i="13"/>
  <c r="P667" i="13" s="1"/>
  <c r="P513" i="13"/>
  <c r="P514" i="13" s="1"/>
  <c r="P479" i="13"/>
  <c r="P480" i="13" s="1"/>
  <c r="P496" i="13"/>
  <c r="P497" i="13" s="1"/>
  <c r="P615" i="13"/>
  <c r="P616" i="13" s="1"/>
  <c r="P564" i="13"/>
  <c r="P565" i="13" s="1"/>
  <c r="P649" i="13"/>
  <c r="P650" i="13" s="1"/>
  <c r="P683" i="13"/>
  <c r="P684" i="13" s="1"/>
  <c r="P462" i="13"/>
  <c r="P463" i="13" s="1"/>
  <c r="P581" i="13"/>
  <c r="P582" i="13" s="1"/>
  <c r="P836" i="13"/>
  <c r="P837" i="13" s="1"/>
  <c r="P751" i="13"/>
  <c r="P752" i="13" s="1"/>
  <c r="J395" i="14"/>
  <c r="G547" i="13"/>
  <c r="G785" i="13"/>
  <c r="G904" i="13"/>
  <c r="G768" i="13"/>
  <c r="G531" i="13"/>
  <c r="G717" i="13"/>
  <c r="G819" i="13"/>
  <c r="G853" i="13"/>
  <c r="G581" i="13"/>
  <c r="G972" i="13"/>
  <c r="G1074" i="13"/>
  <c r="G989" i="13"/>
  <c r="G921" i="13"/>
  <c r="G938" i="13"/>
  <c r="G734" i="13"/>
  <c r="G649" i="13"/>
  <c r="G887" i="13"/>
  <c r="G1057" i="13"/>
  <c r="G1023" i="13"/>
  <c r="G632" i="13"/>
  <c r="G1040" i="13"/>
  <c r="G1006" i="13"/>
  <c r="G955" i="13"/>
  <c r="G666" i="13"/>
  <c r="G700" i="13"/>
  <c r="G701" i="13" s="1"/>
  <c r="G615" i="13"/>
  <c r="G683" i="13"/>
  <c r="G513" i="13"/>
  <c r="G496" i="13"/>
  <c r="G462" i="13"/>
  <c r="G479" i="13"/>
  <c r="G836" i="13"/>
  <c r="G564" i="13"/>
  <c r="G598" i="13"/>
  <c r="G445" i="13"/>
  <c r="G802" i="13"/>
  <c r="G870" i="13"/>
  <c r="G751" i="13"/>
  <c r="G411" i="13"/>
  <c r="G394" i="13"/>
  <c r="G377" i="13"/>
  <c r="G428" i="13"/>
  <c r="M479" i="13"/>
  <c r="M496" i="13"/>
  <c r="J1074" i="13"/>
  <c r="J1075" i="13" s="1"/>
  <c r="J887" i="13"/>
  <c r="J888" i="13" s="1"/>
  <c r="J1040" i="13"/>
  <c r="J1041" i="13" s="1"/>
  <c r="J989" i="13"/>
  <c r="J990" i="13" s="1"/>
  <c r="J717" i="13"/>
  <c r="J718" i="13" s="1"/>
  <c r="J785" i="13"/>
  <c r="J786" i="13" s="1"/>
  <c r="J904" i="13"/>
  <c r="J905" i="13" s="1"/>
  <c r="J1006" i="13"/>
  <c r="J1007" i="13" s="1"/>
  <c r="J734" i="13"/>
  <c r="J735" i="13" s="1"/>
  <c r="J819" i="13"/>
  <c r="J820" i="13" s="1"/>
  <c r="J972" i="13"/>
  <c r="J973" i="13" s="1"/>
  <c r="J1057" i="13"/>
  <c r="J1058" i="13" s="1"/>
  <c r="J1023" i="13"/>
  <c r="J1024" i="13" s="1"/>
  <c r="J632" i="13"/>
  <c r="J633" i="13" s="1"/>
  <c r="J547" i="13"/>
  <c r="J921" i="13"/>
  <c r="J922" i="13" s="1"/>
  <c r="J938" i="13"/>
  <c r="J939" i="13" s="1"/>
  <c r="J768" i="13"/>
  <c r="J769" i="13" s="1"/>
  <c r="J853" i="13"/>
  <c r="J854" i="13" s="1"/>
  <c r="J870" i="13"/>
  <c r="J871" i="13" s="1"/>
  <c r="J564" i="13"/>
  <c r="J565" i="13" s="1"/>
  <c r="J955" i="13"/>
  <c r="J956" i="13" s="1"/>
  <c r="J581" i="13"/>
  <c r="J582" i="13" s="1"/>
  <c r="J513" i="13"/>
  <c r="J514" i="13" s="1"/>
  <c r="J479" i="13"/>
  <c r="J480" i="13" s="1"/>
  <c r="J445" i="13"/>
  <c r="J446" i="13" s="1"/>
  <c r="J462" i="13"/>
  <c r="J463" i="13" s="1"/>
  <c r="J836" i="13"/>
  <c r="J837" i="13" s="1"/>
  <c r="J649" i="13"/>
  <c r="J650" i="13" s="1"/>
  <c r="J700" i="13"/>
  <c r="J701" i="13" s="1"/>
  <c r="J683" i="13"/>
  <c r="J684" i="13" s="1"/>
  <c r="J496" i="13"/>
  <c r="J497" i="13" s="1"/>
  <c r="J666" i="13"/>
  <c r="J667" i="13" s="1"/>
  <c r="J615" i="13"/>
  <c r="J616" i="13" s="1"/>
  <c r="J598" i="13"/>
  <c r="J599" i="13" s="1"/>
  <c r="J802" i="13"/>
  <c r="J803" i="13" s="1"/>
  <c r="J751" i="13"/>
  <c r="J752" i="13" s="1"/>
  <c r="J428" i="13"/>
  <c r="J429" i="13" s="1"/>
  <c r="J411" i="13"/>
  <c r="J412" i="13" s="1"/>
  <c r="J394" i="13"/>
  <c r="J395" i="13" s="1"/>
  <c r="J377" i="13"/>
  <c r="M311" i="14"/>
  <c r="M857" i="14"/>
  <c r="M871" i="14"/>
  <c r="M885" i="14"/>
  <c r="M843" i="14"/>
  <c r="M451" i="14"/>
  <c r="M591" i="14"/>
  <c r="M661" i="14"/>
  <c r="M437" i="14"/>
  <c r="M815" i="14"/>
  <c r="M479" i="14"/>
  <c r="M647" i="14"/>
  <c r="M759" i="14"/>
  <c r="M367" i="14"/>
  <c r="M773" i="14"/>
  <c r="M717" i="14"/>
  <c r="M535" i="14"/>
  <c r="M619" i="14"/>
  <c r="M395" i="14"/>
  <c r="M605" i="14"/>
  <c r="M563" i="14"/>
  <c r="M745" i="14"/>
  <c r="M381" i="14"/>
  <c r="M325" i="14"/>
  <c r="M409" i="14"/>
  <c r="M731" i="14"/>
  <c r="M507" i="14"/>
  <c r="M801" i="14"/>
  <c r="M353" i="14"/>
  <c r="M675" i="14"/>
  <c r="M829" i="14"/>
  <c r="M689" i="14"/>
  <c r="M633" i="14"/>
  <c r="M493" i="14"/>
  <c r="M577" i="14"/>
  <c r="M787" i="14"/>
  <c r="M465" i="14"/>
  <c r="M549" i="14"/>
  <c r="M703" i="14"/>
  <c r="M521" i="14"/>
  <c r="M423" i="14"/>
  <c r="H1074" i="13"/>
  <c r="H1075" i="13" s="1"/>
  <c r="H785" i="13"/>
  <c r="H786" i="13" s="1"/>
  <c r="H972" i="13"/>
  <c r="H973" i="13" s="1"/>
  <c r="H1040" i="13"/>
  <c r="H1041" i="13" s="1"/>
  <c r="H547" i="13"/>
  <c r="H887" i="13"/>
  <c r="H888" i="13" s="1"/>
  <c r="H531" i="13"/>
  <c r="H734" i="13"/>
  <c r="H735" i="13" s="1"/>
  <c r="H904" i="13"/>
  <c r="H905" i="13" s="1"/>
  <c r="H768" i="13"/>
  <c r="H769" i="13" s="1"/>
  <c r="H819" i="13"/>
  <c r="H820" i="13" s="1"/>
  <c r="H1006" i="13"/>
  <c r="H1007" i="13" s="1"/>
  <c r="H989" i="13"/>
  <c r="H990" i="13" s="1"/>
  <c r="H1057" i="13"/>
  <c r="H1058" i="13" s="1"/>
  <c r="H1023" i="13"/>
  <c r="H1024" i="13" s="1"/>
  <c r="H683" i="13"/>
  <c r="H684" i="13" s="1"/>
  <c r="H955" i="13"/>
  <c r="H956" i="13" s="1"/>
  <c r="H836" i="13"/>
  <c r="H837" i="13" s="1"/>
  <c r="H632" i="13"/>
  <c r="H633" i="13" s="1"/>
  <c r="H802" i="13"/>
  <c r="H803" i="13" s="1"/>
  <c r="H921" i="13"/>
  <c r="H922" i="13" s="1"/>
  <c r="H938" i="13"/>
  <c r="H939" i="13" s="1"/>
  <c r="H615" i="13"/>
  <c r="H616" i="13" s="1"/>
  <c r="H564" i="13"/>
  <c r="H565" i="13" s="1"/>
  <c r="H598" i="13"/>
  <c r="H599" i="13" s="1"/>
  <c r="H513" i="13"/>
  <c r="H514" i="13" s="1"/>
  <c r="H649" i="13"/>
  <c r="H650" i="13" s="1"/>
  <c r="H666" i="13"/>
  <c r="H667" i="13" s="1"/>
  <c r="H479" i="13"/>
  <c r="H480" i="13" s="1"/>
  <c r="H717" i="13"/>
  <c r="H718" i="13" s="1"/>
  <c r="H496" i="13"/>
  <c r="H497" i="13" s="1"/>
  <c r="H445" i="13"/>
  <c r="H446" i="13" s="1"/>
  <c r="H870" i="13"/>
  <c r="H871" i="13" s="1"/>
  <c r="H581" i="13"/>
  <c r="H582" i="13" s="1"/>
  <c r="H462" i="13"/>
  <c r="H463" i="13" s="1"/>
  <c r="H700" i="13"/>
  <c r="H701" i="13" s="1"/>
  <c r="H853" i="13"/>
  <c r="H854" i="13" s="1"/>
  <c r="H751" i="13"/>
  <c r="H752" i="13" s="1"/>
  <c r="H428" i="13"/>
  <c r="H429" i="13" s="1"/>
  <c r="H377" i="13"/>
  <c r="H394" i="13"/>
  <c r="H395" i="13" s="1"/>
  <c r="H411" i="13"/>
  <c r="H412" i="13" s="1"/>
  <c r="M10" i="11"/>
  <c r="K18" i="15"/>
  <c r="H815" i="14" l="1"/>
  <c r="H381" i="14"/>
  <c r="H577" i="14"/>
  <c r="H563" i="14"/>
  <c r="P549" i="14"/>
  <c r="H717" i="14"/>
  <c r="H661" i="14"/>
  <c r="H703" i="14"/>
  <c r="H507" i="14"/>
  <c r="H829" i="14"/>
  <c r="P507" i="14"/>
  <c r="H423" i="14"/>
  <c r="H591" i="14"/>
  <c r="H801" i="14"/>
  <c r="H843" i="14"/>
  <c r="H844" i="14" s="1"/>
  <c r="H857" i="14"/>
  <c r="H858" i="14" s="1"/>
  <c r="H787" i="14"/>
  <c r="H605" i="14"/>
  <c r="H745" i="14"/>
  <c r="H311" i="14"/>
  <c r="H325" i="14"/>
  <c r="H633" i="14"/>
  <c r="H465" i="14"/>
  <c r="M412" i="13"/>
  <c r="M871" i="13"/>
  <c r="I493" i="14"/>
  <c r="I731" i="14"/>
  <c r="I885" i="14"/>
  <c r="I886" i="14" s="1"/>
  <c r="I381" i="14"/>
  <c r="I311" i="14"/>
  <c r="I703" i="14"/>
  <c r="I773" i="14"/>
  <c r="I577" i="14"/>
  <c r="I465" i="14"/>
  <c r="I367" i="14"/>
  <c r="I661" i="14"/>
  <c r="G633" i="13"/>
  <c r="G803" i="13"/>
  <c r="M123" i="13"/>
  <c r="J549" i="14"/>
  <c r="G497" i="13"/>
  <c r="J353" i="14"/>
  <c r="J633" i="14"/>
  <c r="M378" i="13"/>
  <c r="J745" i="14"/>
  <c r="P381" i="14"/>
  <c r="P605" i="14"/>
  <c r="P521" i="14"/>
  <c r="P829" i="14"/>
  <c r="G675" i="14"/>
  <c r="P409" i="14"/>
  <c r="P675" i="14"/>
  <c r="P311" i="14"/>
  <c r="G689" i="14"/>
  <c r="P395" i="14"/>
  <c r="P367" i="14"/>
  <c r="M1041" i="13"/>
  <c r="I437" i="14"/>
  <c r="I787" i="14"/>
  <c r="I535" i="14"/>
  <c r="I479" i="14"/>
  <c r="I843" i="14"/>
  <c r="I844" i="14" s="1"/>
  <c r="J465" i="14"/>
  <c r="J507" i="14"/>
  <c r="J689" i="14"/>
  <c r="J619" i="14"/>
  <c r="J871" i="14"/>
  <c r="J872" i="14" s="1"/>
  <c r="I829" i="14"/>
  <c r="I759" i="14"/>
  <c r="I689" i="14"/>
  <c r="H521" i="14"/>
  <c r="H773" i="14"/>
  <c r="H689" i="14"/>
  <c r="H493" i="14"/>
  <c r="J885" i="14"/>
  <c r="J886" i="14" s="1"/>
  <c r="I549" i="14"/>
  <c r="I745" i="14"/>
  <c r="I563" i="14"/>
  <c r="I353" i="14"/>
  <c r="I591" i="14"/>
  <c r="I423" i="14"/>
  <c r="I605" i="14"/>
  <c r="I633" i="14"/>
  <c r="I815" i="14"/>
  <c r="I451" i="14"/>
  <c r="I801" i="14"/>
  <c r="I871" i="14"/>
  <c r="I872" i="14" s="1"/>
  <c r="H479" i="14"/>
  <c r="H367" i="14"/>
  <c r="H759" i="14"/>
  <c r="H619" i="14"/>
  <c r="H395" i="14"/>
  <c r="H885" i="14"/>
  <c r="H886" i="14" s="1"/>
  <c r="J535" i="14"/>
  <c r="J647" i="14"/>
  <c r="J437" i="14"/>
  <c r="J409" i="14"/>
  <c r="I619" i="14"/>
  <c r="I675" i="14"/>
  <c r="I395" i="14"/>
  <c r="I409" i="14"/>
  <c r="I521" i="14"/>
  <c r="I325" i="14"/>
  <c r="I647" i="14"/>
  <c r="I717" i="14"/>
  <c r="I507" i="14"/>
  <c r="I857" i="14"/>
  <c r="I858" i="14" s="1"/>
  <c r="H549" i="14"/>
  <c r="H535" i="14"/>
  <c r="H353" i="14"/>
  <c r="H451" i="14"/>
  <c r="H731" i="14"/>
  <c r="H409" i="14"/>
  <c r="H437" i="14"/>
  <c r="H647" i="14"/>
  <c r="H675" i="14"/>
  <c r="H871" i="14"/>
  <c r="H872" i="14" s="1"/>
  <c r="J521" i="14"/>
  <c r="J773" i="14"/>
  <c r="J479" i="14"/>
  <c r="J605" i="14"/>
  <c r="J381" i="14"/>
  <c r="J311" i="14"/>
  <c r="G521" i="14"/>
  <c r="G451" i="14"/>
  <c r="G367" i="14"/>
  <c r="M514" i="13"/>
  <c r="G577" i="14"/>
  <c r="G633" i="14"/>
  <c r="G885" i="14"/>
  <c r="G886" i="14" s="1"/>
  <c r="G507" i="14"/>
  <c r="G325" i="14"/>
  <c r="G535" i="14"/>
  <c r="G773" i="14"/>
  <c r="G647" i="14"/>
  <c r="G871" i="14"/>
  <c r="G872" i="14" s="1"/>
  <c r="G703" i="14"/>
  <c r="G661" i="14"/>
  <c r="G479" i="14"/>
  <c r="G745" i="14"/>
  <c r="G395" i="14"/>
  <c r="G437" i="14"/>
  <c r="G787" i="14"/>
  <c r="G353" i="14"/>
  <c r="G759" i="14"/>
  <c r="G857" i="14"/>
  <c r="G858" i="14" s="1"/>
  <c r="P731" i="14"/>
  <c r="P577" i="14"/>
  <c r="P647" i="14"/>
  <c r="P619" i="14"/>
  <c r="P843" i="14"/>
  <c r="P844" i="14" s="1"/>
  <c r="J703" i="14"/>
  <c r="J815" i="14"/>
  <c r="J367" i="14"/>
  <c r="J577" i="14"/>
  <c r="J661" i="14"/>
  <c r="J829" i="14"/>
  <c r="J731" i="14"/>
  <c r="J325" i="14"/>
  <c r="J801" i="14"/>
  <c r="J843" i="14"/>
  <c r="J844" i="14" s="1"/>
  <c r="J339" i="14"/>
  <c r="G549" i="14"/>
  <c r="G493" i="14"/>
  <c r="G605" i="14"/>
  <c r="G815" i="14"/>
  <c r="G717" i="14"/>
  <c r="G801" i="14"/>
  <c r="P872" i="14"/>
  <c r="G423" i="14"/>
  <c r="G465" i="14"/>
  <c r="G591" i="14"/>
  <c r="G829" i="14"/>
  <c r="G563" i="14"/>
  <c r="G731" i="14"/>
  <c r="G409" i="14"/>
  <c r="G619" i="14"/>
  <c r="G381" i="14"/>
  <c r="G843" i="14"/>
  <c r="G844" i="14" s="1"/>
  <c r="G311" i="14"/>
  <c r="P437" i="14"/>
  <c r="P325" i="14"/>
  <c r="P689" i="14"/>
  <c r="P661" i="14"/>
  <c r="P857" i="14"/>
  <c r="P858" i="14" s="1"/>
  <c r="J423" i="14"/>
  <c r="J717" i="14"/>
  <c r="J451" i="14"/>
  <c r="J493" i="14"/>
  <c r="J563" i="14"/>
  <c r="J675" i="14"/>
  <c r="J787" i="14"/>
  <c r="J591" i="14"/>
  <c r="J759" i="14"/>
  <c r="P423" i="14"/>
  <c r="P493" i="14"/>
  <c r="P451" i="14"/>
  <c r="P479" i="14"/>
  <c r="P773" i="14"/>
  <c r="P465" i="14"/>
  <c r="P353" i="14"/>
  <c r="P535" i="14"/>
  <c r="P801" i="14"/>
  <c r="P885" i="14"/>
  <c r="P886" i="14" s="1"/>
  <c r="P339" i="14"/>
  <c r="P703" i="14"/>
  <c r="P633" i="14"/>
  <c r="P759" i="14"/>
  <c r="P815" i="14"/>
  <c r="P745" i="14"/>
  <c r="P787" i="14"/>
  <c r="P591" i="14"/>
  <c r="P717" i="14"/>
  <c r="P563" i="14"/>
  <c r="M956" i="13"/>
  <c r="M89" i="13"/>
  <c r="M395" i="13"/>
  <c r="M446" i="13"/>
  <c r="M769" i="13"/>
  <c r="M854" i="13"/>
  <c r="M990" i="13"/>
  <c r="M1075" i="13"/>
  <c r="M599" i="13"/>
  <c r="G990" i="13"/>
  <c r="M616" i="13"/>
  <c r="M701" i="13"/>
  <c r="M463" i="13"/>
  <c r="M531" i="13"/>
  <c r="M548" i="13"/>
  <c r="M633" i="13"/>
  <c r="M429" i="13"/>
  <c r="M905" i="13"/>
  <c r="M1007" i="13"/>
  <c r="G412" i="13"/>
  <c r="G684" i="13"/>
  <c r="G1075" i="13"/>
  <c r="M565" i="13"/>
  <c r="M650" i="13"/>
  <c r="M718" i="13"/>
  <c r="M786" i="13"/>
  <c r="M735" i="13"/>
  <c r="M820" i="13"/>
  <c r="M922" i="13"/>
  <c r="M1024" i="13"/>
  <c r="M684" i="13"/>
  <c r="G463" i="13"/>
  <c r="G616" i="13"/>
  <c r="G1058" i="13"/>
  <c r="G718" i="13"/>
  <c r="M582" i="13"/>
  <c r="M667" i="13"/>
  <c r="M973" i="13"/>
  <c r="M888" i="13"/>
  <c r="M803" i="13"/>
  <c r="M752" i="13"/>
  <c r="M837" i="13"/>
  <c r="M939" i="13"/>
  <c r="M1058" i="13"/>
  <c r="M140" i="13"/>
  <c r="M106" i="13"/>
  <c r="G956" i="13"/>
  <c r="G1007" i="13"/>
  <c r="G480" i="13"/>
  <c r="G973" i="13"/>
  <c r="G854" i="13"/>
  <c r="G429" i="13"/>
  <c r="G922" i="13"/>
  <c r="G582" i="13"/>
  <c r="G599" i="13"/>
  <c r="G837" i="13"/>
  <c r="G514" i="13"/>
  <c r="G667" i="13"/>
  <c r="G769" i="13"/>
  <c r="G446" i="13"/>
  <c r="G1024" i="13"/>
  <c r="G820" i="13"/>
  <c r="G939" i="13"/>
  <c r="G395" i="13"/>
  <c r="G752" i="13"/>
  <c r="G565" i="13"/>
  <c r="G786" i="13"/>
  <c r="G871" i="13"/>
  <c r="G735" i="13"/>
  <c r="G905" i="13"/>
  <c r="G888" i="13"/>
  <c r="G650" i="13"/>
  <c r="M858" i="14"/>
  <c r="G1041" i="13"/>
  <c r="G5" i="4"/>
  <c r="B13" i="4" s="1"/>
  <c r="M886" i="14"/>
  <c r="M872" i="14"/>
  <c r="M497" i="13"/>
  <c r="M844" i="14"/>
  <c r="M480" i="13"/>
  <c r="G4" i="4" l="1"/>
  <c r="B12" i="4" s="1"/>
  <c r="G2" i="4" l="1"/>
  <c r="B8" i="4" s="1"/>
  <c r="G3" i="4"/>
  <c r="B11" i="4" s="1"/>
  <c r="D286" i="16" l="1"/>
  <c r="E286" i="16" s="1"/>
  <c r="D272" i="16"/>
  <c r="E272" i="16" s="1"/>
  <c r="D258" i="16"/>
  <c r="E258" i="16" s="1"/>
  <c r="D244" i="16"/>
  <c r="D230" i="16"/>
  <c r="D216" i="16"/>
  <c r="D202" i="16"/>
  <c r="D188" i="16"/>
  <c r="D174" i="16"/>
  <c r="D160" i="16"/>
  <c r="D146" i="16"/>
  <c r="D132" i="16"/>
  <c r="D118" i="16"/>
  <c r="D104" i="16"/>
  <c r="D90" i="16"/>
  <c r="D76" i="16"/>
  <c r="D62" i="16"/>
  <c r="D48" i="16"/>
  <c r="D34" i="16"/>
  <c r="D20" i="16"/>
  <c r="D345" i="15"/>
  <c r="E345" i="15" s="1"/>
  <c r="D328" i="15"/>
  <c r="E328" i="15" s="1"/>
  <c r="D311" i="15"/>
  <c r="E311" i="15" s="1"/>
  <c r="D294" i="15"/>
  <c r="D277" i="15"/>
  <c r="D260" i="15"/>
  <c r="D243" i="15"/>
  <c r="D226" i="15"/>
  <c r="D209" i="15"/>
  <c r="D192" i="15"/>
  <c r="D175" i="15"/>
  <c r="D158" i="15"/>
  <c r="D141" i="15"/>
  <c r="D124" i="15"/>
  <c r="D107" i="15"/>
  <c r="D90" i="15"/>
  <c r="D73" i="15"/>
  <c r="D56" i="15"/>
  <c r="D39" i="15"/>
  <c r="D22" i="15"/>
  <c r="D286" i="14"/>
  <c r="E286" i="14" s="1"/>
  <c r="D272" i="14"/>
  <c r="D258" i="14"/>
  <c r="D244" i="14"/>
  <c r="E244" i="14" s="1"/>
  <c r="D230" i="14"/>
  <c r="E230" i="14" s="1"/>
  <c r="D216" i="14"/>
  <c r="E216" i="14" s="1"/>
  <c r="D202" i="14"/>
  <c r="E202" i="14" s="1"/>
  <c r="D188" i="14"/>
  <c r="E188" i="14" s="1"/>
  <c r="D174" i="14"/>
  <c r="E174" i="14" s="1"/>
  <c r="D160" i="14"/>
  <c r="E160" i="14" s="1"/>
  <c r="D146" i="14"/>
  <c r="E146" i="14" s="1"/>
  <c r="D132" i="14"/>
  <c r="E132" i="14" s="1"/>
  <c r="D118" i="14"/>
  <c r="E118" i="14" s="1"/>
  <c r="D104" i="14"/>
  <c r="E104" i="14" s="1"/>
  <c r="D90" i="14"/>
  <c r="E90" i="14" s="1"/>
  <c r="D76" i="14"/>
  <c r="E76" i="14" s="1"/>
  <c r="D62" i="14"/>
  <c r="E62" i="14" s="1"/>
  <c r="D48" i="14"/>
  <c r="E48" i="14" s="1"/>
  <c r="D34" i="14"/>
  <c r="E34" i="14" s="1"/>
  <c r="D20" i="14"/>
  <c r="E20" i="14" s="1"/>
  <c r="D346" i="13"/>
  <c r="E346" i="13" s="1"/>
  <c r="D329" i="13"/>
  <c r="D312" i="13"/>
  <c r="E312" i="13" s="1"/>
  <c r="D295" i="13"/>
  <c r="D278" i="13"/>
  <c r="D261" i="13"/>
  <c r="D244" i="13"/>
  <c r="D227" i="13"/>
  <c r="D210" i="13"/>
  <c r="D193" i="13"/>
  <c r="D176" i="13"/>
  <c r="D159" i="13"/>
  <c r="D142" i="13"/>
  <c r="D172" i="12"/>
  <c r="E172" i="12" s="1"/>
  <c r="C172" i="12" s="1"/>
  <c r="C173" i="12" s="1"/>
  <c r="C174" i="12" s="1"/>
  <c r="C175" i="12" s="1"/>
  <c r="C176" i="12" s="1"/>
  <c r="C177" i="12" s="1"/>
  <c r="C178" i="12" s="1"/>
  <c r="D164" i="12"/>
  <c r="E164" i="12" s="1"/>
  <c r="C164" i="12" s="1"/>
  <c r="C165" i="12" s="1"/>
  <c r="C166" i="12" s="1"/>
  <c r="C167" i="12" s="1"/>
  <c r="C168" i="12" s="1"/>
  <c r="C169" i="12" s="1"/>
  <c r="C170" i="12" s="1"/>
  <c r="D156" i="12"/>
  <c r="E156" i="12" s="1"/>
  <c r="C156" i="12" s="1"/>
  <c r="C157" i="12" s="1"/>
  <c r="C158" i="12" s="1"/>
  <c r="C159" i="12" s="1"/>
  <c r="C160" i="12" s="1"/>
  <c r="C161" i="12" s="1"/>
  <c r="C162" i="12" s="1"/>
  <c r="D148" i="12"/>
  <c r="D140" i="12"/>
  <c r="D132" i="12"/>
  <c r="D124" i="12"/>
  <c r="D116" i="12"/>
  <c r="D108" i="12"/>
  <c r="D100" i="12"/>
  <c r="D92" i="12"/>
  <c r="D84" i="12"/>
  <c r="D76" i="12"/>
  <c r="D68" i="12"/>
  <c r="D60" i="12"/>
  <c r="D52" i="12"/>
  <c r="D44" i="12"/>
  <c r="D36" i="12"/>
  <c r="D28" i="12"/>
  <c r="D20" i="12"/>
  <c r="D210" i="11"/>
  <c r="E210" i="11" s="1"/>
  <c r="D200" i="11"/>
  <c r="E200" i="11" s="1"/>
  <c r="D190" i="11"/>
  <c r="E190" i="11" s="1"/>
  <c r="D180" i="11"/>
  <c r="D170" i="11"/>
  <c r="D160" i="11"/>
  <c r="D150" i="11"/>
  <c r="D140" i="11"/>
  <c r="D130" i="11"/>
  <c r="D120" i="11"/>
  <c r="D110" i="11"/>
  <c r="D100" i="11"/>
  <c r="D90" i="11"/>
  <c r="D80" i="11"/>
  <c r="D70" i="11"/>
  <c r="D60" i="11"/>
  <c r="D50" i="11"/>
  <c r="D40" i="11"/>
  <c r="D30" i="11"/>
  <c r="D20" i="11"/>
  <c r="L261" i="6"/>
  <c r="L198" i="6"/>
  <c r="L524" i="6"/>
  <c r="L756" i="6"/>
  <c r="L732" i="6"/>
  <c r="L662" i="6"/>
  <c r="L459" i="6"/>
  <c r="L714" i="6"/>
  <c r="L367" i="6"/>
  <c r="L133" i="6"/>
  <c r="L506" i="6"/>
  <c r="L507" i="6"/>
  <c r="L597" i="6"/>
  <c r="L809" i="6"/>
  <c r="L664" i="6"/>
  <c r="L119" i="6"/>
  <c r="L104" i="6"/>
  <c r="L77" i="6"/>
  <c r="L251" i="6"/>
  <c r="L532" i="6"/>
  <c r="L584" i="6"/>
  <c r="L79" i="6"/>
  <c r="L628" i="6"/>
  <c r="L485" i="6"/>
  <c r="L67" i="6"/>
  <c r="L561" i="6"/>
  <c r="L534" i="6"/>
  <c r="L339" i="6"/>
  <c r="L195" i="6"/>
  <c r="L522" i="6"/>
  <c r="L483" i="6"/>
  <c r="L548" i="6"/>
  <c r="L103" i="6"/>
  <c r="L129" i="6"/>
  <c r="L823" i="6"/>
  <c r="L468" i="6"/>
  <c r="L316" i="6"/>
  <c r="L691" i="6"/>
  <c r="L212" i="6"/>
  <c r="L377" i="6"/>
  <c r="L433" i="6"/>
  <c r="L120" i="6"/>
  <c r="L807" i="6"/>
  <c r="L368" i="6"/>
  <c r="L611" i="6"/>
  <c r="L248" i="6"/>
  <c r="L107" i="6"/>
  <c r="L533" i="6"/>
  <c r="L585" i="6"/>
  <c r="L610" i="6"/>
  <c r="L82" i="6"/>
  <c r="L467" i="6"/>
  <c r="L743" i="6"/>
  <c r="L391" i="6"/>
  <c r="L523" i="6"/>
  <c r="L432" i="6"/>
  <c r="L118" i="6"/>
  <c r="L768" i="6"/>
  <c r="L313" i="6"/>
  <c r="L182" i="6"/>
  <c r="L259" i="6"/>
  <c r="L234" i="6"/>
  <c r="L428" i="6"/>
  <c r="L521" i="6"/>
  <c r="L484" i="6"/>
  <c r="L66" i="6"/>
  <c r="L146" i="6"/>
  <c r="L404" i="6"/>
  <c r="L116" i="6"/>
  <c r="L680" i="6"/>
  <c r="L818" i="6"/>
  <c r="L573" i="6"/>
  <c r="L678" i="6"/>
  <c r="L706" i="6"/>
  <c r="L134" i="6"/>
  <c r="L810" i="6"/>
  <c r="L277" i="6"/>
  <c r="L91" i="6"/>
  <c r="L311" i="6"/>
  <c r="L676" i="6"/>
  <c r="L508" i="6"/>
  <c r="L727" i="6"/>
  <c r="L38" i="6"/>
  <c r="L51" i="6"/>
  <c r="L797" i="6"/>
  <c r="L793" i="6"/>
  <c r="L770" i="6"/>
  <c r="L394" i="6"/>
  <c r="L496" i="6"/>
  <c r="L275" i="6"/>
  <c r="L625" i="6"/>
  <c r="L509" i="6"/>
  <c r="L601" i="6"/>
  <c r="L753" i="6"/>
  <c r="L340" i="6"/>
  <c r="L95" i="6"/>
  <c r="L615" i="6"/>
  <c r="L794" i="6"/>
  <c r="L168" i="6"/>
  <c r="L637" i="6"/>
  <c r="L94" i="6"/>
  <c r="L587" i="6"/>
  <c r="L444" i="6"/>
  <c r="L365" i="6"/>
  <c r="L352" i="6"/>
  <c r="L52" i="6"/>
  <c r="L274" i="6"/>
  <c r="L545" i="6"/>
  <c r="L819" i="6"/>
  <c r="L456" i="6"/>
  <c r="L181" i="6"/>
  <c r="L510" i="6"/>
  <c r="L314" i="6"/>
  <c r="L559" i="6"/>
  <c r="L158" i="6"/>
  <c r="L53" i="6"/>
  <c r="L689" i="6"/>
  <c r="L666" i="6"/>
  <c r="L537" i="6"/>
  <c r="L92" i="6"/>
  <c r="L366" i="6"/>
  <c r="L222" i="6"/>
  <c r="L586" i="6"/>
  <c r="L68" i="6"/>
  <c r="L42" i="6"/>
  <c r="L639" i="6"/>
  <c r="L719" i="6"/>
  <c r="L130" i="6"/>
  <c r="L324" i="6"/>
  <c r="L511" i="6"/>
  <c r="L641" i="6"/>
  <c r="L288" i="6"/>
  <c r="L260" i="6"/>
  <c r="L172" i="6"/>
  <c r="L338" i="6"/>
  <c r="L303" i="6"/>
  <c r="L782" i="6"/>
  <c r="L300" i="6"/>
  <c r="L392" i="6"/>
  <c r="L290" i="6"/>
  <c r="L571" i="6"/>
  <c r="L784" i="6"/>
  <c r="L718" i="6"/>
  <c r="L69" i="6"/>
  <c r="L766" i="6"/>
  <c r="L121" i="6"/>
  <c r="L649" i="6"/>
  <c r="L665" i="6"/>
  <c r="L717" i="6"/>
  <c r="L679" i="6"/>
  <c r="L589" i="6"/>
  <c r="L355" i="6"/>
  <c r="L41" i="6"/>
  <c r="L329" i="6"/>
  <c r="L805" i="6"/>
  <c r="L376" i="6"/>
  <c r="L602" i="6"/>
  <c r="L144" i="6"/>
  <c r="L614" i="6"/>
  <c r="L43" i="6"/>
  <c r="L207" i="6"/>
  <c r="L147" i="6"/>
  <c r="L653" i="6"/>
  <c r="L405" i="6"/>
  <c r="L716" i="6"/>
  <c r="L729" i="6"/>
  <c r="L236" i="6"/>
  <c r="L443" i="6"/>
  <c r="L560" i="6"/>
  <c r="L342" i="6"/>
  <c r="L744" i="6"/>
  <c r="L562" i="6"/>
  <c r="L145" i="6"/>
  <c r="L289" i="6"/>
  <c r="L821" i="6"/>
  <c r="L469" i="6"/>
  <c r="L638" i="6"/>
  <c r="L677" i="6"/>
  <c r="L326" i="6"/>
  <c r="L286" i="6"/>
  <c r="L651" i="6"/>
  <c r="L208" i="6"/>
  <c r="L417" i="6"/>
  <c r="L454" i="6"/>
  <c r="L233" i="6"/>
  <c r="L169" i="6"/>
  <c r="L741" i="6"/>
  <c r="L364" i="6"/>
  <c r="L350" i="6"/>
  <c r="L183" i="6"/>
  <c r="L378" i="6"/>
  <c r="L704" i="6"/>
  <c r="L247" i="6"/>
  <c r="L742" i="6"/>
  <c r="L652" i="6"/>
  <c r="L363" i="6"/>
  <c r="L223" i="6"/>
  <c r="L194" i="6"/>
  <c r="L420" i="6"/>
  <c r="L80" i="6"/>
  <c r="L429" i="6"/>
  <c r="L262" i="6"/>
  <c r="L389" i="6"/>
  <c r="L224" i="6"/>
  <c r="L792" i="6"/>
  <c r="L353" i="6"/>
  <c r="L822" i="6"/>
  <c r="L731" i="6"/>
  <c r="L715" i="6"/>
  <c r="L471" i="6"/>
  <c r="L493" i="6"/>
  <c r="L328" i="6"/>
  <c r="L221" i="6"/>
  <c r="L337" i="6"/>
  <c r="L497" i="6"/>
  <c r="L757" i="6"/>
  <c r="L519" i="6"/>
  <c r="L728" i="6"/>
  <c r="L446" i="6"/>
  <c r="L458" i="6"/>
  <c r="L495" i="6"/>
  <c r="L808" i="6"/>
  <c r="L650" i="6"/>
  <c r="L806" i="6"/>
  <c r="L563" i="6"/>
  <c r="L758" i="6"/>
  <c r="L535" i="6"/>
  <c r="L745" i="6"/>
  <c r="L157" i="6"/>
  <c r="L472" i="6"/>
  <c r="L740" i="6"/>
  <c r="L327" i="6"/>
  <c r="L627" i="6"/>
  <c r="L623" i="6"/>
  <c r="L315" i="6"/>
  <c r="L272" i="6"/>
  <c r="L755" i="6"/>
  <c r="L263" i="6"/>
  <c r="L390" i="6"/>
  <c r="L301" i="6"/>
  <c r="L381" i="6"/>
  <c r="L54" i="6"/>
  <c r="L769" i="6"/>
  <c r="L156" i="6"/>
  <c r="L520" i="6"/>
  <c r="L90" i="6"/>
  <c r="L250" i="6"/>
  <c r="L276" i="6"/>
  <c r="L106" i="6"/>
  <c r="L498" i="6"/>
  <c r="L730" i="6"/>
  <c r="L354" i="6"/>
  <c r="L701" i="6"/>
  <c r="L624" i="6"/>
  <c r="L196" i="6"/>
  <c r="L249" i="6"/>
  <c r="L431" i="6"/>
  <c r="L299" i="6"/>
  <c r="L341" i="6"/>
  <c r="L238" i="6"/>
  <c r="L402" i="6"/>
  <c r="L142" i="6"/>
  <c r="L235" i="6"/>
  <c r="L612" i="6"/>
  <c r="L225" i="6"/>
  <c r="L667" i="6"/>
  <c r="L159" i="6"/>
  <c r="L675" i="6"/>
  <c r="L796" i="6"/>
  <c r="L572" i="6"/>
  <c r="L246" i="6"/>
  <c r="L457" i="6"/>
  <c r="L455" i="6"/>
  <c r="L494" i="6"/>
  <c r="L210" i="6"/>
  <c r="L237" i="6"/>
  <c r="L65" i="6"/>
  <c r="L576" i="6"/>
  <c r="L298" i="6"/>
  <c r="L688" i="6"/>
  <c r="L351" i="6"/>
  <c r="L220" i="6"/>
  <c r="L754" i="6"/>
  <c r="L640" i="6"/>
  <c r="L795" i="6"/>
  <c r="L693" i="6"/>
  <c r="L285" i="6"/>
  <c r="L406" i="6"/>
  <c r="L480" i="6"/>
  <c r="L197" i="6"/>
  <c r="L108" i="6"/>
  <c r="L379" i="6"/>
  <c r="L131" i="6"/>
  <c r="L407" i="6"/>
  <c r="L692" i="6"/>
  <c r="L549" i="6"/>
  <c r="L783" i="6"/>
  <c r="L105" i="6"/>
  <c r="L702" i="6"/>
  <c r="L132" i="6"/>
  <c r="L273" i="6"/>
  <c r="L820" i="6"/>
  <c r="L445" i="6"/>
  <c r="L211" i="6"/>
  <c r="L626" i="6"/>
  <c r="L771" i="6"/>
  <c r="L170" i="6"/>
  <c r="L93" i="6"/>
  <c r="L780" i="6"/>
  <c r="L654" i="6"/>
  <c r="L209" i="6"/>
  <c r="L418" i="6"/>
  <c r="L574" i="6"/>
  <c r="L302" i="6"/>
  <c r="L546" i="6"/>
  <c r="L767" i="6"/>
  <c r="L171" i="6"/>
  <c r="L312" i="6"/>
  <c r="L779" i="6"/>
  <c r="L325" i="6"/>
  <c r="L705" i="6"/>
  <c r="L482" i="6"/>
  <c r="L81" i="6"/>
  <c r="L160" i="6"/>
  <c r="L599" i="6"/>
  <c r="L117" i="6"/>
  <c r="L416" i="6"/>
  <c r="L470" i="6"/>
  <c r="L393" i="6"/>
  <c r="L558" i="6"/>
  <c r="L78" i="6"/>
  <c r="L64" i="6"/>
  <c r="L419" i="6"/>
  <c r="L613" i="6"/>
  <c r="L550" i="6"/>
  <c r="L442" i="6"/>
  <c r="L143" i="6"/>
  <c r="L40" i="6"/>
  <c r="L703" i="6"/>
  <c r="L199" i="6"/>
  <c r="L547" i="6"/>
  <c r="L264" i="6"/>
  <c r="L155" i="6"/>
  <c r="L186" i="6"/>
  <c r="L598" i="6"/>
  <c r="L441" i="6"/>
  <c r="L56" i="6"/>
  <c r="L403" i="6"/>
  <c r="L380" i="6"/>
  <c r="L636" i="6"/>
  <c r="L781" i="6"/>
  <c r="L663" i="6"/>
  <c r="L481" i="6"/>
  <c r="L575" i="6"/>
  <c r="L184" i="6"/>
  <c r="L690" i="6"/>
  <c r="L173" i="6"/>
  <c r="L185" i="6"/>
  <c r="L415" i="6"/>
  <c r="L600" i="6"/>
  <c r="L430" i="6"/>
  <c r="L39" i="6"/>
  <c r="L588" i="6"/>
  <c r="L55" i="6"/>
  <c r="L287" i="6"/>
  <c r="L536" i="6"/>
  <c r="N524" i="5"/>
  <c r="O343" i="5"/>
  <c r="O883" i="5"/>
  <c r="N900" i="5"/>
  <c r="N1001" i="5"/>
  <c r="M988" i="5"/>
  <c r="O711" i="5"/>
  <c r="O305" i="5"/>
  <c r="M188" i="5"/>
  <c r="N914" i="5"/>
  <c r="O700" i="5"/>
  <c r="N145" i="5"/>
  <c r="P462" i="5"/>
  <c r="M751" i="5"/>
  <c r="O817" i="5"/>
  <c r="N300" i="5"/>
  <c r="N980" i="5"/>
  <c r="N1039" i="5"/>
  <c r="O231" i="5"/>
  <c r="P186" i="5"/>
  <c r="N188" i="5"/>
  <c r="N896" i="5"/>
  <c r="O658" i="5"/>
  <c r="O388" i="5"/>
  <c r="O283" i="5"/>
  <c r="O800" i="5"/>
  <c r="M269" i="5"/>
  <c r="N202" i="5"/>
  <c r="M556" i="5"/>
  <c r="P997" i="5"/>
  <c r="M404" i="5"/>
  <c r="O70" i="5"/>
  <c r="P524" i="5"/>
  <c r="P657" i="5"/>
  <c r="N560" i="5"/>
  <c r="N213" i="5"/>
  <c r="M1067" i="5"/>
  <c r="N966" i="5"/>
  <c r="M836" i="5"/>
  <c r="M283" i="5"/>
  <c r="M121" i="5"/>
  <c r="P375" i="5"/>
  <c r="P404" i="5"/>
  <c r="O902" i="5"/>
  <c r="P207" i="5"/>
  <c r="O826" i="5"/>
  <c r="P745" i="5"/>
  <c r="P724" i="5"/>
  <c r="P919" i="5"/>
  <c r="N883" i="5"/>
  <c r="N1013" i="5"/>
  <c r="P553" i="5"/>
  <c r="P427" i="5"/>
  <c r="P80" i="5"/>
  <c r="M724" i="5"/>
  <c r="O353" i="5"/>
  <c r="P878" i="5"/>
  <c r="N949" i="5"/>
  <c r="N62" i="5"/>
  <c r="P743" i="5"/>
  <c r="P325" i="5"/>
  <c r="O301" i="5"/>
  <c r="N931" i="5"/>
  <c r="P426" i="5"/>
  <c r="N248" i="5"/>
  <c r="O589" i="5"/>
  <c r="N458" i="5"/>
  <c r="P283" i="5"/>
  <c r="O1019" i="5"/>
  <c r="N163" i="5"/>
  <c r="M118" i="5"/>
  <c r="O1029" i="5"/>
  <c r="N898" i="5"/>
  <c r="O998" i="5"/>
  <c r="M877" i="5"/>
  <c r="M860" i="5"/>
  <c r="M369" i="5"/>
  <c r="N121" i="5"/>
  <c r="M757" i="5"/>
  <c r="O972" i="5"/>
  <c r="N1032" i="5"/>
  <c r="O486" i="5"/>
  <c r="M111" i="5"/>
  <c r="M780" i="5"/>
  <c r="P451" i="5"/>
  <c r="O835" i="5"/>
  <c r="N700" i="5"/>
  <c r="P81" i="5"/>
  <c r="M409" i="5"/>
  <c r="O257" i="5"/>
  <c r="P776" i="5"/>
  <c r="N642" i="5"/>
  <c r="P689" i="5"/>
  <c r="N774" i="5"/>
  <c r="M1072" i="5"/>
  <c r="O766" i="5"/>
  <c r="N563" i="5"/>
  <c r="M342" i="5"/>
  <c r="N428" i="5"/>
  <c r="M631" i="5"/>
  <c r="M43" i="5"/>
  <c r="P825" i="5"/>
  <c r="O849" i="5"/>
  <c r="N336" i="5"/>
  <c r="N233" i="5"/>
  <c r="O781" i="5"/>
  <c r="M487" i="5"/>
  <c r="O201" i="5"/>
  <c r="O115" i="5"/>
  <c r="N982" i="5"/>
  <c r="O214" i="5"/>
  <c r="M521" i="5"/>
  <c r="P604" i="5"/>
  <c r="N768" i="5"/>
  <c r="N929" i="5"/>
  <c r="P648" i="5"/>
  <c r="P707" i="5"/>
  <c r="O641" i="5"/>
  <c r="M679" i="5"/>
  <c r="N319" i="5"/>
  <c r="P318" i="5"/>
  <c r="O506" i="5"/>
  <c r="P440" i="5"/>
  <c r="M324" i="5"/>
  <c r="P853" i="5"/>
  <c r="P137" i="5"/>
  <c r="M437" i="5"/>
  <c r="N235" i="5"/>
  <c r="O63" i="5"/>
  <c r="M1047" i="5"/>
  <c r="O638" i="5"/>
  <c r="N526" i="5"/>
  <c r="M428" i="5"/>
  <c r="N945" i="5"/>
  <c r="N168" i="5"/>
  <c r="M529" i="5"/>
  <c r="N217" i="5"/>
  <c r="N166" i="5"/>
  <c r="O715" i="5"/>
  <c r="N547" i="5"/>
  <c r="N342" i="5"/>
  <c r="P366" i="5"/>
  <c r="P588" i="5"/>
  <c r="M557" i="5"/>
  <c r="M254" i="5"/>
  <c r="N435" i="5"/>
  <c r="M231" i="5"/>
  <c r="P893" i="5"/>
  <c r="N749" i="5"/>
  <c r="P495" i="5"/>
  <c r="M179" i="5"/>
  <c r="O65" i="5"/>
  <c r="N285" i="5"/>
  <c r="M759" i="5"/>
  <c r="N183" i="5"/>
  <c r="M1018" i="5"/>
  <c r="N815" i="5"/>
  <c r="M962" i="5"/>
  <c r="N215" i="5"/>
  <c r="N495" i="5"/>
  <c r="O265" i="5"/>
  <c r="M439" i="5"/>
  <c r="P65" i="5"/>
  <c r="O77" i="5"/>
  <c r="P767" i="5"/>
  <c r="N658" i="5"/>
  <c r="P827" i="5"/>
  <c r="P114" i="5"/>
  <c r="P896" i="5"/>
  <c r="O358" i="5"/>
  <c r="P291" i="5"/>
  <c r="M281" i="5"/>
  <c r="M172" i="5"/>
  <c r="P659" i="5"/>
  <c r="P241" i="5"/>
  <c r="N853" i="5"/>
  <c r="N253" i="5"/>
  <c r="N979" i="5"/>
  <c r="O953" i="5"/>
  <c r="M887" i="5"/>
  <c r="O1040" i="5"/>
  <c r="P335" i="5"/>
  <c r="N1006" i="5"/>
  <c r="M579" i="5"/>
  <c r="O865" i="5"/>
  <c r="P529" i="5"/>
  <c r="O508" i="5"/>
  <c r="M657" i="5"/>
  <c r="M1013" i="5"/>
  <c r="N321" i="5"/>
  <c r="N995" i="5"/>
  <c r="P592" i="5"/>
  <c r="P54" i="5"/>
  <c r="M418" i="5"/>
  <c r="O750" i="5"/>
  <c r="N930" i="5"/>
  <c r="N932" i="5"/>
  <c r="M592" i="5"/>
  <c r="P692" i="5"/>
  <c r="N972" i="5"/>
  <c r="P388" i="5"/>
  <c r="N224" i="5"/>
  <c r="M386" i="5"/>
  <c r="M675" i="5"/>
  <c r="P700" i="5"/>
  <c r="M698" i="5"/>
  <c r="N614" i="5"/>
  <c r="N764" i="5"/>
  <c r="P266" i="5"/>
  <c r="M371" i="5"/>
  <c r="N220" i="5"/>
  <c r="P691" i="5"/>
  <c r="P434" i="5"/>
  <c r="M588" i="5"/>
  <c r="N763" i="5"/>
  <c r="O199" i="5"/>
  <c r="N133" i="5"/>
  <c r="M812" i="5"/>
  <c r="P631" i="5"/>
  <c r="P317" i="5"/>
  <c r="P928" i="5"/>
  <c r="O562" i="5"/>
  <c r="P1066" i="5"/>
  <c r="P713" i="5"/>
  <c r="P474" i="5"/>
  <c r="O183" i="5"/>
  <c r="O613" i="5"/>
  <c r="O934" i="5"/>
  <c r="M625" i="5"/>
  <c r="O197" i="5"/>
  <c r="N615" i="5"/>
  <c r="N757" i="5"/>
  <c r="N760" i="5"/>
  <c r="M512" i="5"/>
  <c r="M972" i="5"/>
  <c r="N798" i="5"/>
  <c r="M611" i="5"/>
  <c r="N723" i="5"/>
  <c r="P82" i="5"/>
  <c r="M152" i="5"/>
  <c r="P849" i="5"/>
  <c r="N893" i="5"/>
  <c r="O236" i="5"/>
  <c r="N810" i="5"/>
  <c r="M747" i="5"/>
  <c r="M99" i="5"/>
  <c r="P661" i="5"/>
  <c r="O979" i="5"/>
  <c r="P641" i="5"/>
  <c r="P134" i="5"/>
  <c r="O780" i="5"/>
  <c r="N440" i="5"/>
  <c r="O341" i="5"/>
  <c r="N912" i="5"/>
  <c r="M819" i="5"/>
  <c r="M422" i="5"/>
  <c r="N71" i="5"/>
  <c r="P220" i="5"/>
  <c r="P148" i="5"/>
  <c r="N946" i="5"/>
  <c r="P202" i="5"/>
  <c r="N766" i="5"/>
  <c r="N801" i="5"/>
  <c r="N1029" i="5"/>
  <c r="O1015" i="5"/>
  <c r="P946" i="5"/>
  <c r="P842" i="5"/>
  <c r="N477" i="5"/>
  <c r="O103" i="5"/>
  <c r="N81" i="5"/>
  <c r="M673" i="5"/>
  <c r="N494" i="5"/>
  <c r="O1036" i="5"/>
  <c r="M49" i="5"/>
  <c r="N543" i="5"/>
  <c r="P1006" i="5"/>
  <c r="P256" i="5"/>
  <c r="M950" i="5"/>
  <c r="M911" i="5"/>
  <c r="M696" i="5"/>
  <c r="M406" i="5"/>
  <c r="O424" i="5"/>
  <c r="P608" i="5"/>
  <c r="M681" i="5"/>
  <c r="O360" i="5"/>
  <c r="P214" i="5"/>
  <c r="M689" i="5"/>
  <c r="O885" i="5"/>
  <c r="O963" i="5"/>
  <c r="P48" i="5"/>
  <c r="P234" i="5"/>
  <c r="N968" i="5"/>
  <c r="N65" i="5"/>
  <c r="N557" i="5"/>
  <c r="P750" i="5"/>
  <c r="N848" i="5"/>
  <c r="N630" i="5"/>
  <c r="M318" i="5"/>
  <c r="M61" i="5"/>
  <c r="O818" i="5"/>
  <c r="M116" i="5"/>
  <c r="O121" i="5"/>
  <c r="N371" i="5"/>
  <c r="P149" i="5"/>
  <c r="P1000" i="5"/>
  <c r="M112" i="5"/>
  <c r="N698" i="5"/>
  <c r="O581" i="5"/>
  <c r="N100" i="5"/>
  <c r="O292" i="5"/>
  <c r="O861" i="5"/>
  <c r="O307" i="5"/>
  <c r="O1049" i="5"/>
  <c r="O919" i="5"/>
  <c r="O422" i="5"/>
  <c r="P784" i="5"/>
  <c r="P274" i="5"/>
  <c r="N274" i="5"/>
  <c r="P615" i="5"/>
  <c r="N983" i="5"/>
  <c r="O436" i="5"/>
  <c r="N589" i="5"/>
  <c r="O428" i="5"/>
  <c r="O165" i="5"/>
  <c r="P587" i="5"/>
  <c r="M961" i="5"/>
  <c r="M26" i="5"/>
  <c r="O273" i="5"/>
  <c r="O742" i="5"/>
  <c r="P1032" i="5"/>
  <c r="M60" i="5"/>
  <c r="P768" i="5"/>
  <c r="P45" i="5"/>
  <c r="N558" i="5"/>
  <c r="O522" i="5"/>
  <c r="O911" i="5"/>
  <c r="O627" i="5"/>
  <c r="N270" i="5"/>
  <c r="O521" i="5"/>
  <c r="M196" i="5"/>
  <c r="P710" i="5"/>
  <c r="N389" i="5"/>
  <c r="O776" i="5"/>
  <c r="O606" i="5"/>
  <c r="N234" i="5"/>
  <c r="N835" i="5"/>
  <c r="O717" i="5"/>
  <c r="N759" i="5"/>
  <c r="O980" i="5"/>
  <c r="P966" i="5"/>
  <c r="M230" i="5"/>
  <c r="M984" i="5"/>
  <c r="P271" i="5"/>
  <c r="P1029" i="5"/>
  <c r="O1016" i="5"/>
  <c r="O1053" i="5"/>
  <c r="O978" i="5"/>
  <c r="N281" i="5"/>
  <c r="O182" i="5"/>
  <c r="O299" i="5"/>
  <c r="P253" i="5"/>
  <c r="M300" i="5"/>
  <c r="O914" i="5"/>
  <c r="O478" i="5"/>
  <c r="M360" i="5"/>
  <c r="O350" i="5"/>
  <c r="P254" i="5"/>
  <c r="O139" i="5"/>
  <c r="N996" i="5"/>
  <c r="P693" i="5"/>
  <c r="M920" i="5"/>
  <c r="M741" i="5"/>
  <c r="O485" i="5"/>
  <c r="M494" i="5"/>
  <c r="P830" i="5"/>
  <c r="O239" i="5"/>
  <c r="N885" i="5"/>
  <c r="N1015" i="5"/>
  <c r="M931" i="5"/>
  <c r="N343" i="5"/>
  <c r="O819" i="5"/>
  <c r="O921" i="5"/>
  <c r="O472" i="5"/>
  <c r="O1052" i="5"/>
  <c r="O732" i="5"/>
  <c r="P877" i="5"/>
  <c r="P921" i="5"/>
  <c r="P785" i="5"/>
  <c r="O202" i="5"/>
  <c r="O593" i="5"/>
  <c r="P904" i="5"/>
  <c r="P626" i="5"/>
  <c r="O418" i="5"/>
  <c r="O570" i="5"/>
  <c r="P469" i="5"/>
  <c r="M205" i="5"/>
  <c r="O1073" i="5"/>
  <c r="P96" i="5"/>
  <c r="N708" i="5"/>
  <c r="P690" i="5"/>
  <c r="P356" i="5"/>
  <c r="N1000" i="5"/>
  <c r="N88" i="5"/>
  <c r="P84" i="5"/>
  <c r="M163" i="5"/>
  <c r="N647" i="5"/>
  <c r="O188" i="5"/>
  <c r="N546" i="5"/>
  <c r="P660" i="5"/>
  <c r="M486" i="5"/>
  <c r="N390" i="5"/>
  <c r="M895" i="5"/>
  <c r="N426" i="5"/>
  <c r="M304" i="5"/>
  <c r="O591" i="5"/>
  <c r="P766" i="5"/>
  <c r="P269" i="5"/>
  <c r="O559" i="5"/>
  <c r="M388" i="5"/>
  <c r="O1000" i="5"/>
  <c r="O563" i="5"/>
  <c r="O147" i="5"/>
  <c r="P98" i="5"/>
  <c r="P642" i="5"/>
  <c r="N1047" i="5"/>
  <c r="M878" i="5"/>
  <c r="M1066" i="5"/>
  <c r="M876" i="5"/>
  <c r="N490" i="5"/>
  <c r="P217" i="5"/>
  <c r="M1051" i="5"/>
  <c r="O308" i="5"/>
  <c r="M291" i="5"/>
  <c r="P590" i="5"/>
  <c r="M801" i="5"/>
  <c r="N520" i="5"/>
  <c r="M270" i="5"/>
  <c r="M317" i="5"/>
  <c r="N104" i="5"/>
  <c r="N460" i="5"/>
  <c r="N422" i="5"/>
  <c r="O101" i="5"/>
  <c r="P1057" i="5"/>
  <c r="M834" i="5"/>
  <c r="O321" i="5"/>
  <c r="M350" i="5"/>
  <c r="O411" i="5"/>
  <c r="O66" i="5"/>
  <c r="N1022" i="5"/>
  <c r="P336" i="5"/>
  <c r="P781" i="5"/>
  <c r="P1040" i="5"/>
  <c r="O434" i="5"/>
  <c r="P428" i="5"/>
  <c r="P332" i="5"/>
  <c r="P281" i="5"/>
  <c r="P373" i="5"/>
  <c r="N778" i="5"/>
  <c r="O887" i="5"/>
  <c r="M1063" i="5"/>
  <c r="P882" i="5"/>
  <c r="N710" i="5"/>
  <c r="O557" i="5"/>
  <c r="P239" i="5"/>
  <c r="O910" i="5"/>
  <c r="M77" i="5"/>
  <c r="O984" i="5"/>
  <c r="N512" i="5"/>
  <c r="P1068" i="5"/>
  <c r="M213" i="5"/>
  <c r="M488" i="5"/>
  <c r="P760" i="5"/>
  <c r="P885" i="5"/>
  <c r="N420" i="5"/>
  <c r="M699" i="5"/>
  <c r="P521" i="5"/>
  <c r="P730" i="5"/>
  <c r="O852" i="5"/>
  <c r="N489" i="5"/>
  <c r="P184" i="5"/>
  <c r="O349" i="5"/>
  <c r="O903" i="5"/>
  <c r="N301" i="5"/>
  <c r="N468" i="5"/>
  <c r="N933" i="5"/>
  <c r="M154" i="5"/>
  <c r="P817" i="5"/>
  <c r="P360" i="5"/>
  <c r="P763" i="5"/>
  <c r="O607" i="5"/>
  <c r="M862" i="5"/>
  <c r="O190" i="5"/>
  <c r="N354" i="5"/>
  <c r="P1013" i="5"/>
  <c r="O683" i="5"/>
  <c r="M947" i="5"/>
  <c r="M598" i="5"/>
  <c r="N69" i="5"/>
  <c r="P576" i="5"/>
  <c r="N607" i="5"/>
  <c r="O577" i="5"/>
  <c r="M916" i="5"/>
  <c r="N186" i="5"/>
  <c r="N626" i="5"/>
  <c r="M454" i="5"/>
  <c r="O730" i="5"/>
  <c r="M525" i="5"/>
  <c r="M746" i="5"/>
  <c r="P307" i="5"/>
  <c r="P797" i="5"/>
  <c r="P915" i="5"/>
  <c r="P866" i="5"/>
  <c r="P589" i="5"/>
  <c r="O355" i="5"/>
  <c r="P520" i="5"/>
  <c r="P920" i="5"/>
  <c r="N1023" i="5"/>
  <c r="N370" i="5"/>
  <c r="M542" i="5"/>
  <c r="N590" i="5"/>
  <c r="M44" i="5"/>
  <c r="N555" i="5"/>
  <c r="P795" i="5"/>
  <c r="M469" i="5"/>
  <c r="O879" i="5"/>
  <c r="P419" i="5"/>
  <c r="M764" i="5"/>
  <c r="M319" i="5"/>
  <c r="P1046" i="5"/>
  <c r="M613" i="5"/>
  <c r="P868" i="5"/>
  <c r="P1069" i="5"/>
  <c r="N665" i="5"/>
  <c r="O393" i="5"/>
  <c r="O274" i="5"/>
  <c r="M767" i="5"/>
  <c r="O728" i="5"/>
  <c r="N94" i="5"/>
  <c r="O580" i="5"/>
  <c r="P147" i="5"/>
  <c r="N218" i="5"/>
  <c r="O155" i="5"/>
  <c r="P203" i="5"/>
  <c r="N726" i="5"/>
  <c r="P733" i="5"/>
  <c r="N625" i="5"/>
  <c r="N598" i="5"/>
  <c r="P898" i="5"/>
  <c r="M135" i="5"/>
  <c r="O252" i="5"/>
  <c r="M740" i="5"/>
  <c r="O828" i="5"/>
  <c r="N116" i="5"/>
  <c r="N214" i="5"/>
  <c r="M258" i="5"/>
  <c r="N27" i="5"/>
  <c r="O954" i="5"/>
  <c r="O271" i="5"/>
  <c r="P458" i="5"/>
  <c r="O605" i="5"/>
  <c r="N689" i="5"/>
  <c r="O118" i="5"/>
  <c r="P343" i="5"/>
  <c r="P156" i="5"/>
  <c r="P216" i="5"/>
  <c r="P683" i="5"/>
  <c r="O626" i="5"/>
  <c r="M402" i="5"/>
  <c r="O929" i="5"/>
  <c r="P967" i="5"/>
  <c r="M717" i="5"/>
  <c r="O146" i="5"/>
  <c r="O666" i="5"/>
  <c r="M509" i="5"/>
  <c r="O268" i="5"/>
  <c r="N581" i="5"/>
  <c r="P302" i="5"/>
  <c r="N580" i="5"/>
  <c r="N1035" i="5"/>
  <c r="O286" i="5"/>
  <c r="O198" i="5"/>
  <c r="O698" i="5"/>
  <c r="M985" i="5"/>
  <c r="N201" i="5"/>
  <c r="P666" i="5"/>
  <c r="N542" i="5"/>
  <c r="O801" i="5"/>
  <c r="N200" i="5"/>
  <c r="N776" i="5"/>
  <c r="P979" i="5"/>
  <c r="N1074" i="5"/>
  <c r="M32" i="5"/>
  <c r="N79" i="5"/>
  <c r="M222" i="5"/>
  <c r="M370" i="5"/>
  <c r="N474" i="5"/>
  <c r="P575" i="5"/>
  <c r="P287" i="5"/>
  <c r="N699" i="5"/>
  <c r="N131" i="5"/>
  <c r="N339" i="5"/>
  <c r="N455" i="5"/>
  <c r="N97" i="5"/>
  <c r="P117" i="5"/>
  <c r="N241" i="5"/>
  <c r="N358" i="5"/>
  <c r="M981" i="5"/>
  <c r="M978" i="5"/>
  <c r="P777" i="5"/>
  <c r="P627" i="5"/>
  <c r="M826" i="5"/>
  <c r="O167" i="5"/>
  <c r="O673" i="5"/>
  <c r="N539" i="5"/>
  <c r="O351" i="5"/>
  <c r="N865" i="5"/>
  <c r="N869" i="5"/>
  <c r="P1065" i="5"/>
  <c r="O596" i="5"/>
  <c r="P435" i="5"/>
  <c r="M156" i="5"/>
  <c r="M835" i="5"/>
  <c r="M626" i="5"/>
  <c r="O1012" i="5"/>
  <c r="N387" i="5"/>
  <c r="P185" i="5"/>
  <c r="P746" i="5"/>
  <c r="P1074" i="5"/>
  <c r="M394" i="5"/>
  <c r="M1073" i="5"/>
  <c r="M203" i="5"/>
  <c r="P154" i="5"/>
  <c r="N592" i="5"/>
  <c r="N1040" i="5"/>
  <c r="M749" i="5"/>
  <c r="O309" i="5"/>
  <c r="O507" i="5"/>
  <c r="O130" i="5"/>
  <c r="O546" i="5"/>
  <c r="M894" i="5"/>
  <c r="N522" i="5"/>
  <c r="P349" i="5"/>
  <c r="N394" i="5"/>
  <c r="N203" i="5"/>
  <c r="O571" i="5"/>
  <c r="N638" i="5"/>
  <c r="N624" i="5"/>
  <c r="M50" i="5"/>
  <c r="N1050" i="5"/>
  <c r="M94" i="5"/>
  <c r="M198" i="5"/>
  <c r="N846" i="5"/>
  <c r="P235" i="5"/>
  <c r="O334" i="5"/>
  <c r="N404" i="5"/>
  <c r="N111" i="5"/>
  <c r="N1049" i="5"/>
  <c r="O912" i="5"/>
  <c r="O222" i="5"/>
  <c r="O320" i="5"/>
  <c r="N989" i="5"/>
  <c r="N393" i="5"/>
  <c r="O112" i="5"/>
  <c r="P230" i="5"/>
  <c r="O169" i="5"/>
  <c r="O734" i="5"/>
  <c r="P70" i="5"/>
  <c r="N904" i="5"/>
  <c r="M951" i="5"/>
  <c r="O1002" i="5"/>
  <c r="O947" i="5"/>
  <c r="P732" i="5"/>
  <c r="M138" i="5"/>
  <c r="N847" i="5"/>
  <c r="O894" i="5"/>
  <c r="P249" i="5"/>
  <c r="P292" i="5"/>
  <c r="O491" i="5"/>
  <c r="M775" i="5"/>
  <c r="O83" i="5"/>
  <c r="N793" i="5"/>
  <c r="N1051" i="5"/>
  <c r="N802" i="5"/>
  <c r="M728" i="5"/>
  <c r="O1065" i="5"/>
  <c r="O948" i="5"/>
  <c r="N817" i="5"/>
  <c r="O235" i="5"/>
  <c r="P233" i="5"/>
  <c r="P165" i="5"/>
  <c r="P247" i="5"/>
  <c r="P71" i="5"/>
  <c r="P895" i="5"/>
  <c r="O267" i="5"/>
  <c r="M407" i="5"/>
  <c r="M392" i="5"/>
  <c r="N830" i="5"/>
  <c r="N579" i="5"/>
  <c r="P630" i="5"/>
  <c r="O284" i="5"/>
  <c r="N593" i="5"/>
  <c r="N809" i="5"/>
  <c r="O966" i="5"/>
  <c r="M443" i="5"/>
  <c r="P352" i="5"/>
  <c r="M181" i="5"/>
  <c r="M332" i="5"/>
  <c r="M148" i="5"/>
  <c r="N112" i="5"/>
  <c r="N132" i="5"/>
  <c r="M847" i="5"/>
  <c r="N267" i="5"/>
  <c r="M264" i="5"/>
  <c r="N734" i="5"/>
  <c r="O869" i="5"/>
  <c r="P543" i="5"/>
  <c r="N462" i="5"/>
  <c r="M316" i="5"/>
  <c r="O708" i="5"/>
  <c r="P970" i="5"/>
  <c r="M1022" i="5"/>
  <c r="P190" i="5"/>
  <c r="O332" i="5"/>
  <c r="M859" i="5"/>
  <c r="O757" i="5"/>
  <c r="P405" i="5"/>
  <c r="M784" i="5"/>
  <c r="N881" i="5"/>
  <c r="N915" i="5"/>
  <c r="N785" i="5"/>
  <c r="P285" i="5"/>
  <c r="O643" i="5"/>
  <c r="M434" i="5"/>
  <c r="N445" i="5"/>
  <c r="P167" i="5"/>
  <c r="M282" i="5"/>
  <c r="M78" i="5"/>
  <c r="O487" i="5"/>
  <c r="N878" i="5"/>
  <c r="N938" i="5"/>
  <c r="O445" i="5"/>
  <c r="N434" i="5"/>
  <c r="M165" i="5"/>
  <c r="M927" i="5"/>
  <c r="N173" i="5"/>
  <c r="N984" i="5"/>
  <c r="M462" i="5"/>
  <c r="N87" i="5"/>
  <c r="M502" i="5"/>
  <c r="M590" i="5"/>
  <c r="N664" i="5"/>
  <c r="M375" i="5"/>
  <c r="M716" i="5"/>
  <c r="N419" i="5"/>
  <c r="N882" i="5"/>
  <c r="M693" i="5"/>
  <c r="O29" i="5"/>
  <c r="M491" i="5"/>
  <c r="O456" i="5"/>
  <c r="M609" i="5"/>
  <c r="M25" i="5"/>
  <c r="O67" i="5"/>
  <c r="O848" i="5"/>
  <c r="N834" i="5"/>
  <c r="P655" i="5"/>
  <c r="P623" i="5"/>
  <c r="O99" i="5"/>
  <c r="M390" i="5"/>
  <c r="P453" i="5"/>
  <c r="O810" i="5"/>
  <c r="P717" i="5"/>
  <c r="P699" i="5"/>
  <c r="O303" i="5"/>
  <c r="P46" i="5"/>
  <c r="O376" i="5"/>
  <c r="P522" i="5"/>
  <c r="N643" i="5"/>
  <c r="M513" i="5"/>
  <c r="P597" i="5"/>
  <c r="O337" i="5"/>
  <c r="O152" i="5"/>
  <c r="M827" i="5"/>
  <c r="N843" i="5"/>
  <c r="N571" i="5"/>
  <c r="M511" i="5"/>
  <c r="P150" i="5"/>
  <c r="M711" i="5"/>
  <c r="P559" i="5"/>
  <c r="P1004" i="5"/>
  <c r="N67" i="5"/>
  <c r="P189" i="5"/>
  <c r="N410" i="5"/>
  <c r="N1034" i="5"/>
  <c r="M285" i="5"/>
  <c r="N315" i="5"/>
  <c r="O834" i="5"/>
  <c r="M971" i="5"/>
  <c r="O1074" i="5"/>
  <c r="M232" i="5"/>
  <c r="M743" i="5"/>
  <c r="N521" i="5"/>
  <c r="M233" i="5"/>
  <c r="N496" i="5"/>
  <c r="O808" i="5"/>
  <c r="P995" i="5"/>
  <c r="O372" i="5"/>
  <c r="M912" i="5"/>
  <c r="M1064" i="5"/>
  <c r="N216" i="5"/>
  <c r="M745" i="5"/>
  <c r="N761" i="5"/>
  <c r="M359" i="5"/>
  <c r="O489" i="5"/>
  <c r="O317" i="5"/>
  <c r="M129" i="5"/>
  <c r="N713" i="5"/>
  <c r="P594" i="5"/>
  <c r="P369" i="5"/>
  <c r="O547" i="5"/>
  <c r="N985" i="5"/>
  <c r="N83" i="5"/>
  <c r="P63" i="5"/>
  <c r="M71" i="5"/>
  <c r="O453" i="5"/>
  <c r="M842" i="5"/>
  <c r="O134" i="5"/>
  <c r="O1048" i="5"/>
  <c r="P118" i="5"/>
  <c r="O213" i="5"/>
  <c r="N223" i="5"/>
  <c r="M815" i="5"/>
  <c r="P503" i="5"/>
  <c r="M1039" i="5"/>
  <c r="P1012" i="5"/>
  <c r="M219" i="5"/>
  <c r="O762" i="5"/>
  <c r="N453" i="5"/>
  <c r="O31" i="5"/>
  <c r="P813" i="5"/>
  <c r="N537" i="5"/>
  <c r="N402" i="5"/>
  <c r="P596" i="5"/>
  <c r="P947" i="5"/>
  <c r="M128" i="5"/>
  <c r="P267" i="5"/>
  <c r="O543" i="5"/>
  <c r="M933" i="5"/>
  <c r="O1023" i="5"/>
  <c r="M781" i="5"/>
  <c r="M896" i="5"/>
  <c r="M797" i="5"/>
  <c r="O760" i="5"/>
  <c r="M460" i="5"/>
  <c r="M417" i="5"/>
  <c r="P613" i="5"/>
  <c r="P859" i="5"/>
  <c r="P78" i="5"/>
  <c r="P139" i="5"/>
  <c r="P783" i="5"/>
  <c r="O50" i="5"/>
  <c r="M791" i="5"/>
  <c r="P88" i="5"/>
  <c r="N852" i="5"/>
  <c r="N987" i="5"/>
  <c r="M528" i="5"/>
  <c r="O87" i="5"/>
  <c r="N724" i="5"/>
  <c r="N745" i="5"/>
  <c r="P968" i="5"/>
  <c r="M794" i="5"/>
  <c r="M808" i="5"/>
  <c r="O774" i="5"/>
  <c r="O369" i="5"/>
  <c r="O220" i="5"/>
  <c r="N621" i="5"/>
  <c r="M643" i="5"/>
  <c r="M783" i="5"/>
  <c r="P172" i="5"/>
  <c r="O1021" i="5"/>
  <c r="P491" i="5"/>
  <c r="P775" i="5"/>
  <c r="N237" i="5"/>
  <c r="N859" i="5"/>
  <c r="N1005" i="5"/>
  <c r="M372" i="5"/>
  <c r="P759" i="5"/>
  <c r="O28" i="5"/>
  <c r="P762" i="5"/>
  <c r="N156" i="5"/>
  <c r="O970" i="5"/>
  <c r="M325" i="5"/>
  <c r="M1053" i="5"/>
  <c r="P607" i="5"/>
  <c r="O964" i="5"/>
  <c r="O628" i="5"/>
  <c r="M199" i="5"/>
  <c r="O707" i="5"/>
  <c r="P916" i="5"/>
  <c r="M1023" i="5"/>
  <c r="M474" i="5"/>
  <c r="N604" i="5"/>
  <c r="N740" i="5"/>
  <c r="M252" i="5"/>
  <c r="P862" i="5"/>
  <c r="O100" i="5"/>
  <c r="O649" i="5"/>
  <c r="M828" i="5"/>
  <c r="P34" i="5"/>
  <c r="O712" i="5"/>
  <c r="P268" i="5"/>
  <c r="N265" i="5"/>
  <c r="M120" i="5"/>
  <c r="N424" i="5"/>
  <c r="O859" i="5"/>
  <c r="P951" i="5"/>
  <c r="N291" i="5"/>
  <c r="P944" i="5"/>
  <c r="N502" i="5"/>
  <c r="M64" i="5"/>
  <c r="N796" i="5"/>
  <c r="P488" i="5"/>
  <c r="M104" i="5"/>
  <c r="N866" i="5"/>
  <c r="O366" i="5"/>
  <c r="M35" i="5"/>
  <c r="M559" i="5"/>
  <c r="P173" i="5"/>
  <c r="M965" i="5"/>
  <c r="M301" i="5"/>
  <c r="N780" i="5"/>
  <c r="O282" i="5"/>
  <c r="P954" i="5"/>
  <c r="N781" i="5"/>
  <c r="N919" i="5"/>
  <c r="N308" i="5"/>
  <c r="O587" i="5"/>
  <c r="O999" i="5"/>
  <c r="N388" i="5"/>
  <c r="P385" i="5"/>
  <c r="P95" i="5"/>
  <c r="N998" i="5"/>
  <c r="P392" i="5"/>
  <c r="M189" i="5"/>
  <c r="O886" i="5"/>
  <c r="O709" i="5"/>
  <c r="P511" i="5"/>
  <c r="O45" i="5"/>
  <c r="P477" i="5"/>
  <c r="M403" i="5"/>
  <c r="N286" i="5"/>
  <c r="N54" i="5"/>
  <c r="N696" i="5"/>
  <c r="O827" i="5"/>
  <c r="P846" i="5"/>
  <c r="M508" i="5"/>
  <c r="O915" i="5"/>
  <c r="M377" i="5"/>
  <c r="O386" i="5"/>
  <c r="O409" i="5"/>
  <c r="P982" i="5"/>
  <c r="O401" i="5"/>
  <c r="M302" i="5"/>
  <c r="M1048" i="5"/>
  <c r="P881" i="5"/>
  <c r="O930" i="5"/>
  <c r="O156" i="5"/>
  <c r="M571" i="5"/>
  <c r="P424" i="5"/>
  <c r="O368" i="5"/>
  <c r="M134" i="5"/>
  <c r="P860" i="5"/>
  <c r="N509" i="5"/>
  <c r="N606" i="5"/>
  <c r="M86" i="5"/>
  <c r="M628" i="5"/>
  <c r="P1001" i="5"/>
  <c r="N231" i="5"/>
  <c r="P880" i="5"/>
  <c r="O995" i="5"/>
  <c r="P761" i="5"/>
  <c r="P851" i="5"/>
  <c r="O676" i="5"/>
  <c r="P1050" i="5"/>
  <c r="N341" i="5"/>
  <c r="N307" i="5"/>
  <c r="M1016" i="5"/>
  <c r="M928" i="5"/>
  <c r="N660" i="5"/>
  <c r="P980" i="5"/>
  <c r="P1048" i="5"/>
  <c r="M88" i="5"/>
  <c r="N742" i="5"/>
  <c r="O1047" i="5"/>
  <c r="O377" i="5"/>
  <c r="M384" i="5"/>
  <c r="O385" i="5"/>
  <c r="P639" i="5"/>
  <c r="N63" i="5"/>
  <c r="M53" i="5"/>
  <c r="O519" i="5"/>
  <c r="P696" i="5"/>
  <c r="M742" i="5"/>
  <c r="O322" i="5"/>
  <c r="P800" i="5"/>
  <c r="P485" i="5"/>
  <c r="O122" i="5"/>
  <c r="O916" i="5"/>
  <c r="P972" i="5"/>
  <c r="P456" i="5"/>
  <c r="M423" i="5"/>
  <c r="M645" i="5"/>
  <c r="M95" i="5"/>
  <c r="N115" i="5"/>
  <c r="N1063" i="5"/>
  <c r="N690" i="5"/>
  <c r="N523" i="5"/>
  <c r="M997" i="5"/>
  <c r="P115" i="5"/>
  <c r="O1068" i="5"/>
  <c r="N1055" i="5"/>
  <c r="M795" i="5"/>
  <c r="M1036" i="5"/>
  <c r="O968" i="5"/>
  <c r="M115" i="5"/>
  <c r="O370" i="5"/>
  <c r="M715" i="5"/>
  <c r="O938" i="5"/>
  <c r="N485" i="5"/>
  <c r="M524" i="5"/>
  <c r="N648" i="5"/>
  <c r="O579" i="5"/>
  <c r="N525" i="5"/>
  <c r="P812" i="5"/>
  <c r="M288" i="5"/>
  <c r="N729" i="5"/>
  <c r="O473" i="5"/>
  <c r="O639" i="5"/>
  <c r="P298" i="5"/>
  <c r="O932" i="5"/>
  <c r="O145" i="5"/>
  <c r="O836" i="5"/>
  <c r="N80" i="5"/>
  <c r="M36" i="5"/>
  <c r="O525" i="5"/>
  <c r="M182" i="5"/>
  <c r="O241" i="5"/>
  <c r="P77" i="5"/>
  <c r="M1040" i="5"/>
  <c r="O389" i="5"/>
  <c r="O955" i="5"/>
  <c r="N167" i="5"/>
  <c r="M341" i="5"/>
  <c r="P423" i="5"/>
  <c r="M762" i="5"/>
  <c r="O150" i="5"/>
  <c r="N282" i="5"/>
  <c r="P879" i="5"/>
  <c r="P443" i="5"/>
  <c r="O304" i="5"/>
  <c r="P104" i="5"/>
  <c r="P273" i="5"/>
  <c r="P729" i="5"/>
  <c r="M594" i="5"/>
  <c r="P188" i="5"/>
  <c r="O247" i="5"/>
  <c r="N851" i="5"/>
  <c r="O694" i="5"/>
  <c r="M83" i="5"/>
  <c r="M147" i="5"/>
  <c r="O693" i="5"/>
  <c r="O326" i="5"/>
  <c r="N682" i="5"/>
  <c r="O661" i="5"/>
  <c r="N60" i="5"/>
  <c r="N870" i="5"/>
  <c r="N860" i="5"/>
  <c r="P417" i="5"/>
  <c r="N337" i="5"/>
  <c r="N694" i="5"/>
  <c r="N1033" i="5"/>
  <c r="O779" i="5"/>
  <c r="P740" i="5"/>
  <c r="N683" i="5"/>
  <c r="O298" i="5"/>
  <c r="P934" i="5"/>
  <c r="N591" i="5"/>
  <c r="M604" i="5"/>
  <c r="N1021" i="5"/>
  <c r="M660" i="5"/>
  <c r="O574" i="5"/>
  <c r="O95" i="5"/>
  <c r="P978" i="5"/>
  <c r="P49" i="5"/>
  <c r="N937" i="5"/>
  <c r="N827" i="5"/>
  <c r="P723" i="5"/>
  <c r="N608" i="5"/>
  <c r="O967" i="5"/>
  <c r="N332" i="5"/>
  <c r="N556" i="5"/>
  <c r="N730" i="5"/>
  <c r="N356" i="5"/>
  <c r="M553" i="5"/>
  <c r="M630" i="5"/>
  <c r="O691" i="5"/>
  <c r="N252" i="5"/>
  <c r="N70" i="5"/>
  <c r="M825" i="5"/>
  <c r="N441" i="5"/>
  <c r="N84" i="5"/>
  <c r="P181" i="5"/>
  <c r="M678" i="5"/>
  <c r="O71" i="5"/>
  <c r="N475" i="5"/>
  <c r="O54" i="5"/>
  <c r="N818" i="5"/>
  <c r="M581" i="5"/>
  <c r="N792" i="5"/>
  <c r="M995" i="5"/>
  <c r="M473" i="5"/>
  <c r="P411" i="5"/>
  <c r="P953" i="5"/>
  <c r="N322" i="5"/>
  <c r="O609" i="5"/>
  <c r="N287" i="5"/>
  <c r="O419" i="5"/>
  <c r="P835" i="5"/>
  <c r="N49" i="5"/>
  <c r="P470" i="5"/>
  <c r="M133" i="5"/>
  <c r="N303" i="5"/>
  <c r="M373" i="5"/>
  <c r="N155" i="5"/>
  <c r="P793" i="5"/>
  <c r="M48" i="5"/>
  <c r="N172" i="5"/>
  <c r="P130" i="5"/>
  <c r="N506" i="5"/>
  <c r="N715" i="5"/>
  <c r="N777" i="5"/>
  <c r="M217" i="5"/>
  <c r="O460" i="5"/>
  <c r="O264" i="5"/>
  <c r="P101" i="5"/>
  <c r="M898" i="5"/>
  <c r="N1019" i="5"/>
  <c r="M605" i="5"/>
  <c r="M265" i="5"/>
  <c r="P66" i="5"/>
  <c r="N825" i="5"/>
  <c r="N292" i="5"/>
  <c r="N1067" i="5"/>
  <c r="N706" i="5"/>
  <c r="P674" i="5"/>
  <c r="M207" i="5"/>
  <c r="M251" i="5"/>
  <c r="O554" i="5"/>
  <c r="M897" i="5"/>
  <c r="N877" i="5"/>
  <c r="O469" i="5"/>
  <c r="P333" i="5"/>
  <c r="P196" i="5"/>
  <c r="P628" i="5"/>
  <c r="O394" i="5"/>
  <c r="M171" i="5"/>
  <c r="M220" i="5"/>
  <c r="P828" i="5"/>
  <c r="O971" i="5"/>
  <c r="M537" i="5"/>
  <c r="P988" i="5"/>
  <c r="N948" i="5"/>
  <c r="P479" i="5"/>
  <c r="M980" i="5"/>
  <c r="O49" i="5"/>
  <c r="O224" i="5"/>
  <c r="P611" i="5"/>
  <c r="P1036" i="5"/>
  <c r="N656" i="5"/>
  <c r="M987" i="5"/>
  <c r="M47" i="5"/>
  <c r="N879" i="5"/>
  <c r="O831" i="5"/>
  <c r="O597" i="5"/>
  <c r="P530" i="5"/>
  <c r="O237" i="5"/>
  <c r="M656" i="5"/>
  <c r="P301" i="5"/>
  <c r="M744" i="5"/>
  <c r="P555" i="5"/>
  <c r="P368" i="5"/>
  <c r="N162" i="5"/>
  <c r="P1067" i="5"/>
  <c r="P1023" i="5"/>
  <c r="P698" i="5"/>
  <c r="N1073" i="5"/>
  <c r="O845" i="5"/>
  <c r="M999" i="5"/>
  <c r="O186" i="5"/>
  <c r="N443" i="5"/>
  <c r="P43" i="5"/>
  <c r="N290" i="5"/>
  <c r="N513" i="5"/>
  <c r="P728" i="5"/>
  <c r="P547" i="5"/>
  <c r="N611" i="5"/>
  <c r="M468" i="5"/>
  <c r="M113" i="5"/>
  <c r="P864" i="5"/>
  <c r="N673" i="5"/>
  <c r="M215" i="5"/>
  <c r="P558" i="5"/>
  <c r="P869" i="5"/>
  <c r="M881" i="5"/>
  <c r="N864" i="5"/>
  <c r="O878" i="5"/>
  <c r="O324" i="5"/>
  <c r="O937" i="5"/>
  <c r="P29" i="5"/>
  <c r="N733" i="5"/>
  <c r="O1006" i="5"/>
  <c r="N519" i="5"/>
  <c r="P598" i="5"/>
  <c r="P468" i="5"/>
  <c r="N1064" i="5"/>
  <c r="N661" i="5"/>
  <c r="N61" i="5"/>
  <c r="M250" i="5"/>
  <c r="N438" i="5"/>
  <c r="O163" i="5"/>
  <c r="O302" i="5"/>
  <c r="M451" i="5"/>
  <c r="O965" i="5"/>
  <c r="P324" i="5"/>
  <c r="P97" i="5"/>
  <c r="P489" i="5"/>
  <c r="N350" i="5"/>
  <c r="P560" i="5"/>
  <c r="N819" i="5"/>
  <c r="M541" i="5"/>
  <c r="M303" i="5"/>
  <c r="O88" i="5"/>
  <c r="P811" i="5"/>
  <c r="M540" i="5"/>
  <c r="O896" i="5"/>
  <c r="M729" i="5"/>
  <c r="N417" i="5"/>
  <c r="N812" i="5"/>
  <c r="M186" i="5"/>
  <c r="P914" i="5"/>
  <c r="O426" i="5"/>
  <c r="M100" i="5"/>
  <c r="M946" i="5"/>
  <c r="N800" i="5"/>
  <c r="N962" i="5"/>
  <c r="M606" i="5"/>
  <c r="N271" i="5"/>
  <c r="N530" i="5"/>
  <c r="O269" i="5"/>
  <c r="P747" i="5"/>
  <c r="O862" i="5"/>
  <c r="O793" i="5"/>
  <c r="M452" i="5"/>
  <c r="O681" i="5"/>
  <c r="N963" i="5"/>
  <c r="N794" i="5"/>
  <c r="O665" i="5"/>
  <c r="P1053" i="5"/>
  <c r="P502" i="5"/>
  <c r="P963" i="5"/>
  <c r="M614" i="5"/>
  <c r="M954" i="5"/>
  <c r="O421" i="5"/>
  <c r="O904" i="5"/>
  <c r="P562" i="5"/>
  <c r="M785" i="5"/>
  <c r="P213" i="5"/>
  <c r="P847" i="5"/>
  <c r="O78" i="5"/>
  <c r="P237" i="5"/>
  <c r="P406" i="5"/>
  <c r="M426" i="5"/>
  <c r="N44" i="5"/>
  <c r="O34" i="5"/>
  <c r="O706" i="5"/>
  <c r="P146" i="5"/>
  <c r="M852" i="5"/>
  <c r="N576" i="5"/>
  <c r="O474" i="5"/>
  <c r="O203" i="5"/>
  <c r="M366" i="5"/>
  <c r="N876" i="5"/>
  <c r="M674" i="5"/>
  <c r="N139" i="5"/>
  <c r="O407" i="5"/>
  <c r="M640" i="5"/>
  <c r="M572" i="5"/>
  <c r="N239" i="5"/>
  <c r="P791" i="5"/>
  <c r="O895" i="5"/>
  <c r="M419" i="5"/>
  <c r="M485" i="5"/>
  <c r="P472" i="5"/>
  <c r="O1031" i="5"/>
  <c r="N829" i="5"/>
  <c r="N936" i="5"/>
  <c r="P402" i="5"/>
  <c r="M184" i="5"/>
  <c r="P640" i="5"/>
  <c r="O417" i="5"/>
  <c r="N863" i="5"/>
  <c r="N185" i="5"/>
  <c r="O249" i="5"/>
  <c r="O877" i="5"/>
  <c r="O1063" i="5"/>
  <c r="M883" i="5"/>
  <c r="N538" i="5"/>
  <c r="M817" i="5"/>
  <c r="O200" i="5"/>
  <c r="M1015" i="5"/>
  <c r="P50" i="5"/>
  <c r="M520" i="5"/>
  <c r="M589" i="5"/>
  <c r="P457" i="5"/>
  <c r="N304" i="5"/>
  <c r="N610" i="5"/>
  <c r="N999" i="5"/>
  <c r="N400" i="5"/>
  <c r="N628" i="5"/>
  <c r="P1070" i="5"/>
  <c r="O82" i="5"/>
  <c r="O864" i="5"/>
  <c r="P337" i="5"/>
  <c r="P26" i="5"/>
  <c r="N25" i="5"/>
  <c r="O949" i="5"/>
  <c r="M206" i="5"/>
  <c r="P309" i="5"/>
  <c r="M52" i="5"/>
  <c r="O882" i="5"/>
  <c r="O437" i="5"/>
  <c r="O677" i="5"/>
  <c r="P1005" i="5"/>
  <c r="O642" i="5"/>
  <c r="P749" i="5"/>
  <c r="M69" i="5"/>
  <c r="O672" i="5"/>
  <c r="M455" i="5"/>
  <c r="M682" i="5"/>
  <c r="P507" i="5"/>
  <c r="M760" i="5"/>
  <c r="P163" i="5"/>
  <c r="M560" i="5"/>
  <c r="P876" i="5"/>
  <c r="M453" i="5"/>
  <c r="N451" i="5"/>
  <c r="P452" i="5"/>
  <c r="N105" i="5"/>
  <c r="P883" i="5"/>
  <c r="N240" i="5"/>
  <c r="O387" i="5"/>
  <c r="N401" i="5"/>
  <c r="M861" i="5"/>
  <c r="N456" i="5"/>
  <c r="N305" i="5"/>
  <c r="O723" i="5"/>
  <c r="O1033" i="5"/>
  <c r="N594" i="5"/>
  <c r="M424" i="5"/>
  <c r="P930" i="5"/>
  <c r="P30" i="5"/>
  <c r="O614" i="5"/>
  <c r="N947" i="5"/>
  <c r="O137" i="5"/>
  <c r="N587" i="5"/>
  <c r="O116" i="5"/>
  <c r="O863" i="5"/>
  <c r="O410" i="5"/>
  <c r="N553" i="5"/>
  <c r="M929" i="5"/>
  <c r="M853" i="5"/>
  <c r="M1034" i="5"/>
  <c r="M164" i="5"/>
  <c r="P1038" i="5"/>
  <c r="N1066" i="5"/>
  <c r="N762" i="5"/>
  <c r="P570" i="5"/>
  <c r="M290" i="5"/>
  <c r="O576" i="5"/>
  <c r="P638" i="5"/>
  <c r="O1034" i="5"/>
  <c r="O913" i="5"/>
  <c r="O371" i="5"/>
  <c r="M546" i="5"/>
  <c r="M536" i="5"/>
  <c r="P387" i="5"/>
  <c r="O759" i="5"/>
  <c r="P574" i="5"/>
  <c r="M358" i="5"/>
  <c r="M162" i="5"/>
  <c r="M1000" i="5"/>
  <c r="N950" i="5"/>
  <c r="M1029" i="5"/>
  <c r="O611" i="5"/>
  <c r="O258" i="5"/>
  <c r="O558" i="5"/>
  <c r="N478" i="5"/>
  <c r="P751" i="5"/>
  <c r="N967" i="5"/>
  <c r="O120" i="5"/>
  <c r="M352" i="5"/>
  <c r="O443" i="5"/>
  <c r="M31" i="5"/>
  <c r="M150" i="5"/>
  <c r="M103" i="5"/>
  <c r="O392" i="5"/>
  <c r="P809" i="5"/>
  <c r="M642" i="5"/>
  <c r="P201" i="5"/>
  <c r="O133" i="5"/>
  <c r="N135" i="5"/>
  <c r="N298" i="5"/>
  <c r="P581" i="5"/>
  <c r="M268" i="5"/>
  <c r="P371" i="5"/>
  <c r="P725" i="5"/>
  <c r="O751" i="5"/>
  <c r="M523" i="5"/>
  <c r="M526" i="5"/>
  <c r="N352" i="5"/>
  <c r="M750" i="5"/>
  <c r="N101" i="5"/>
  <c r="N199" i="5"/>
  <c r="O266" i="5"/>
  <c r="O631" i="5"/>
  <c r="O679" i="5"/>
  <c r="P580" i="5"/>
  <c r="P354" i="5"/>
  <c r="O724" i="5"/>
  <c r="M309" i="5"/>
  <c r="O207" i="5"/>
  <c r="N955" i="5"/>
  <c r="P133" i="5"/>
  <c r="N372" i="5"/>
  <c r="N709" i="5"/>
  <c r="M322" i="5"/>
  <c r="O383" i="5"/>
  <c r="P1031" i="5"/>
  <c r="M355" i="5"/>
  <c r="P673" i="5"/>
  <c r="P152" i="5"/>
  <c r="M869" i="5"/>
  <c r="O132" i="5"/>
  <c r="P370" i="5"/>
  <c r="M79" i="5"/>
  <c r="M400" i="5"/>
  <c r="O256" i="5"/>
  <c r="N152" i="5"/>
  <c r="M420" i="5"/>
  <c r="M899" i="5"/>
  <c r="P338" i="5"/>
  <c r="M727" i="5"/>
  <c r="O356" i="5"/>
  <c r="O983" i="5"/>
  <c r="P647" i="5"/>
  <c r="O690" i="5"/>
  <c r="N333" i="5"/>
  <c r="N148" i="5"/>
  <c r="P526" i="5"/>
  <c r="M197" i="5"/>
  <c r="N559" i="5"/>
  <c r="N113" i="5"/>
  <c r="P169" i="5"/>
  <c r="N275" i="5"/>
  <c r="M849" i="5"/>
  <c r="M367" i="5"/>
  <c r="O1064" i="5"/>
  <c r="P197" i="5"/>
  <c r="O172" i="5"/>
  <c r="P286" i="5"/>
  <c r="N309" i="5"/>
  <c r="P609" i="5"/>
  <c r="O270" i="5"/>
  <c r="O897" i="5"/>
  <c r="P151" i="5"/>
  <c r="N814" i="5"/>
  <c r="P540" i="5"/>
  <c r="O917" i="5"/>
  <c r="M337" i="5"/>
  <c r="P168" i="5"/>
  <c r="M63" i="5"/>
  <c r="O981" i="5"/>
  <c r="N1018" i="5"/>
  <c r="M710" i="5"/>
  <c r="P541" i="5"/>
  <c r="N257" i="5"/>
  <c r="O171" i="5"/>
  <c r="O744" i="5"/>
  <c r="O217" i="5"/>
  <c r="O682" i="5"/>
  <c r="N334" i="5"/>
  <c r="O250" i="5"/>
  <c r="M333" i="5"/>
  <c r="P223" i="5"/>
  <c r="N492" i="5"/>
  <c r="O1005" i="5"/>
  <c r="P726" i="5"/>
  <c r="O710" i="5"/>
  <c r="M273" i="5"/>
  <c r="P407" i="5"/>
  <c r="N741" i="5"/>
  <c r="N503" i="5"/>
  <c r="O62" i="5"/>
  <c r="M558" i="5"/>
  <c r="P25" i="5"/>
  <c r="N861" i="5"/>
  <c r="P1014" i="5"/>
  <c r="O655" i="5"/>
  <c r="O30" i="5"/>
  <c r="O1004" i="5"/>
  <c r="M851" i="5"/>
  <c r="P643" i="5"/>
  <c r="O716" i="5"/>
  <c r="P917" i="5"/>
  <c r="N207" i="5"/>
  <c r="O52" i="5"/>
  <c r="O791" i="5"/>
  <c r="P265" i="5"/>
  <c r="P164" i="5"/>
  <c r="M130" i="5"/>
  <c r="M70" i="5"/>
  <c r="O621" i="5"/>
  <c r="M82" i="5"/>
  <c r="N784" i="5"/>
  <c r="M490" i="5"/>
  <c r="M921" i="5"/>
  <c r="N1014" i="5"/>
  <c r="O696" i="5"/>
  <c r="M444" i="5"/>
  <c r="N86" i="5"/>
  <c r="M845" i="5"/>
  <c r="O644" i="5"/>
  <c r="M456" i="5"/>
  <c r="N222" i="5"/>
  <c r="P394" i="5"/>
  <c r="P695" i="5"/>
  <c r="N528" i="5"/>
  <c r="P622" i="5"/>
  <c r="N953" i="5"/>
  <c r="O435" i="5"/>
  <c r="P664" i="5"/>
  <c r="O253" i="5"/>
  <c r="M948" i="5"/>
  <c r="O830" i="5"/>
  <c r="P1055" i="5"/>
  <c r="O44" i="5"/>
  <c r="O405" i="5"/>
  <c r="M475" i="5"/>
  <c r="M507" i="5"/>
  <c r="N232" i="5"/>
  <c r="N28" i="5"/>
  <c r="O868" i="5"/>
  <c r="P358" i="5"/>
  <c r="N205" i="5"/>
  <c r="O784" i="5"/>
  <c r="P420" i="5"/>
  <c r="P949" i="5"/>
  <c r="M800" i="5"/>
  <c r="O462" i="5"/>
  <c r="M1033" i="5"/>
  <c r="M648" i="5"/>
  <c r="N981" i="5"/>
  <c r="M66" i="5"/>
  <c r="M286" i="5"/>
  <c r="N609" i="5"/>
  <c r="P902" i="5"/>
  <c r="P649" i="5"/>
  <c r="N367" i="5"/>
  <c r="N324" i="5"/>
  <c r="N47" i="5"/>
  <c r="P258" i="5"/>
  <c r="O783" i="5"/>
  <c r="O438" i="5"/>
  <c r="O315" i="5"/>
  <c r="M1014" i="5"/>
  <c r="P962" i="5"/>
  <c r="P473" i="5"/>
  <c r="O26" i="5"/>
  <c r="N36" i="5"/>
  <c r="N826" i="5"/>
  <c r="M813" i="5"/>
  <c r="N386" i="5"/>
  <c r="N406" i="5"/>
  <c r="M1031" i="5"/>
  <c r="N470" i="5"/>
  <c r="P744" i="5"/>
  <c r="M267" i="5"/>
  <c r="N692" i="5"/>
  <c r="M570" i="5"/>
  <c r="O598" i="5"/>
  <c r="N82" i="5"/>
  <c r="P94" i="5"/>
  <c r="M945" i="5"/>
  <c r="O390" i="5"/>
  <c r="P439" i="5"/>
  <c r="O375" i="5"/>
  <c r="N264" i="5"/>
  <c r="O1056" i="5"/>
  <c r="P99" i="5"/>
  <c r="N750" i="5"/>
  <c r="O336" i="5"/>
  <c r="N236" i="5"/>
  <c r="P1030" i="5"/>
  <c r="O1051" i="5"/>
  <c r="N353" i="5"/>
  <c r="P1015" i="5"/>
  <c r="N1030" i="5"/>
  <c r="M435" i="5"/>
  <c r="P290" i="5"/>
  <c r="P913" i="5"/>
  <c r="O113" i="5"/>
  <c r="N1065" i="5"/>
  <c r="N283" i="5"/>
  <c r="N1031" i="5"/>
  <c r="N1070" i="5"/>
  <c r="N623" i="5"/>
  <c r="N96" i="5"/>
  <c r="M387" i="5"/>
  <c r="M683" i="5"/>
  <c r="M885" i="5"/>
  <c r="M505" i="5"/>
  <c r="P155" i="5"/>
  <c r="N180" i="5"/>
  <c r="O129" i="5"/>
  <c r="O185" i="5"/>
  <c r="M610" i="5"/>
  <c r="N198" i="5"/>
  <c r="M27" i="5"/>
  <c r="O927" i="5"/>
  <c r="N487" i="5"/>
  <c r="O94" i="5"/>
  <c r="O105" i="5"/>
  <c r="M1017" i="5"/>
  <c r="O648" i="5"/>
  <c r="O32" i="5"/>
  <c r="M949" i="5"/>
  <c r="M385" i="5"/>
  <c r="N678" i="5"/>
  <c r="P955" i="5"/>
  <c r="O542" i="5"/>
  <c r="O870" i="5"/>
  <c r="N325" i="5"/>
  <c r="O335" i="5"/>
  <c r="M105" i="5"/>
  <c r="P539" i="5"/>
  <c r="N944" i="5"/>
  <c r="M723" i="5"/>
  <c r="M932" i="5"/>
  <c r="P742" i="5"/>
  <c r="O46" i="5"/>
  <c r="M349" i="5"/>
  <c r="M937" i="5"/>
  <c r="O494" i="5"/>
  <c r="O384" i="5"/>
  <c r="O69" i="5"/>
  <c r="O526" i="5"/>
  <c r="O25" i="5"/>
  <c r="N596" i="5"/>
  <c r="N707" i="5"/>
  <c r="P27" i="5"/>
  <c r="O985" i="5"/>
  <c r="O729" i="5"/>
  <c r="P989" i="5"/>
  <c r="O537" i="5"/>
  <c r="M339" i="5"/>
  <c r="P321" i="5"/>
  <c r="M732" i="5"/>
  <c r="P1018" i="5"/>
  <c r="P758" i="5"/>
  <c r="O846" i="5"/>
  <c r="M695" i="5"/>
  <c r="P711" i="5"/>
  <c r="O354" i="5"/>
  <c r="O727" i="5"/>
  <c r="P475" i="5"/>
  <c r="N540" i="5"/>
  <c r="N675" i="5"/>
  <c r="N1056" i="5"/>
  <c r="O524" i="5"/>
  <c r="M659" i="5"/>
  <c r="O215" i="5"/>
  <c r="O1070" i="5"/>
  <c r="O47" i="5"/>
  <c r="P486" i="5"/>
  <c r="N247" i="5"/>
  <c r="M334" i="5"/>
  <c r="P145" i="5"/>
  <c r="O556" i="5"/>
  <c r="M776" i="5"/>
  <c r="P519" i="5"/>
  <c r="N588" i="5"/>
  <c r="O1035" i="5"/>
  <c r="N118" i="5"/>
  <c r="P478" i="5"/>
  <c r="P645" i="5"/>
  <c r="O592" i="5"/>
  <c r="M67" i="5"/>
  <c r="P389" i="5"/>
  <c r="O798" i="5"/>
  <c r="P326" i="5"/>
  <c r="O1022" i="5"/>
  <c r="P1047" i="5"/>
  <c r="O80" i="5"/>
  <c r="O539" i="5"/>
  <c r="P933" i="5"/>
  <c r="P334" i="5"/>
  <c r="M694" i="5"/>
  <c r="P384" i="5"/>
  <c r="M709" i="5"/>
  <c r="M880" i="5"/>
  <c r="M308" i="5"/>
  <c r="N927" i="5"/>
  <c r="O181" i="5"/>
  <c r="P774" i="5"/>
  <c r="O900" i="5"/>
  <c r="O1067" i="5"/>
  <c r="N1012" i="5"/>
  <c r="N920" i="5"/>
  <c r="P353" i="5"/>
  <c r="O560" i="5"/>
  <c r="O699" i="5"/>
  <c r="P802" i="5"/>
  <c r="P591" i="5"/>
  <c r="O936" i="5"/>
  <c r="O64" i="5"/>
  <c r="P987" i="5"/>
  <c r="P341" i="5"/>
  <c r="P886" i="5"/>
  <c r="O509" i="5"/>
  <c r="N545" i="5"/>
  <c r="M910" i="5"/>
  <c r="O678" i="5"/>
  <c r="O768" i="5"/>
  <c r="M169" i="5"/>
  <c r="P131" i="5"/>
  <c r="P1034" i="5"/>
  <c r="P248" i="5"/>
  <c r="O316" i="5"/>
  <c r="N405" i="5"/>
  <c r="M936" i="5"/>
  <c r="N31" i="5"/>
  <c r="O251" i="5"/>
  <c r="N775" i="5"/>
  <c r="N899" i="5"/>
  <c r="M829" i="5"/>
  <c r="N988" i="5"/>
  <c r="P557" i="5"/>
  <c r="P910" i="5"/>
  <c r="O775" i="5"/>
  <c r="N230" i="5"/>
  <c r="M284" i="5"/>
  <c r="M900" i="5"/>
  <c r="P681" i="5"/>
  <c r="N572" i="5"/>
  <c r="P678" i="5"/>
  <c r="M338" i="5"/>
  <c r="N964" i="5"/>
  <c r="O645" i="5"/>
  <c r="O675" i="5"/>
  <c r="O928" i="5"/>
  <c r="O496" i="5"/>
  <c r="P537" i="5"/>
  <c r="P400" i="5"/>
  <c r="N288" i="5"/>
  <c r="P1035" i="5"/>
  <c r="N897" i="5"/>
  <c r="O27" i="5"/>
  <c r="O342" i="5"/>
  <c r="M955" i="5"/>
  <c r="N78" i="5"/>
  <c r="M240" i="5"/>
  <c r="M666" i="5"/>
  <c r="N570" i="5"/>
  <c r="P83" i="5"/>
  <c r="M1070" i="5"/>
  <c r="P455" i="5"/>
  <c r="M275" i="5"/>
  <c r="O173" i="5"/>
  <c r="N844" i="5"/>
  <c r="M326" i="5"/>
  <c r="N767" i="5"/>
  <c r="P496" i="5"/>
  <c r="N151" i="5"/>
  <c r="O148" i="5"/>
  <c r="N529" i="5"/>
  <c r="P504" i="5"/>
  <c r="O402" i="5"/>
  <c r="O573" i="5"/>
  <c r="M580" i="5"/>
  <c r="O367" i="5"/>
  <c r="P69" i="5"/>
  <c r="M996" i="5"/>
  <c r="O455" i="5"/>
  <c r="M796" i="5"/>
  <c r="O843" i="5"/>
  <c r="N34" i="5"/>
  <c r="P983" i="5"/>
  <c r="O575" i="5"/>
  <c r="O373" i="5"/>
  <c r="N114" i="5"/>
  <c r="N1038" i="5"/>
  <c r="O333" i="5"/>
  <c r="N273" i="5"/>
  <c r="M1030" i="5"/>
  <c r="M970" i="5"/>
  <c r="P198" i="5"/>
  <c r="N137" i="5"/>
  <c r="O945" i="5"/>
  <c r="N351" i="5"/>
  <c r="P545" i="5"/>
  <c r="O893" i="5"/>
  <c r="P437" i="5"/>
  <c r="M1046" i="5"/>
  <c r="P355" i="5"/>
  <c r="M137" i="5"/>
  <c r="M810" i="5"/>
  <c r="P35" i="5"/>
  <c r="P421" i="5"/>
  <c r="M458" i="5"/>
  <c r="P965" i="5"/>
  <c r="N917" i="5"/>
  <c r="O131" i="5"/>
  <c r="M495" i="5"/>
  <c r="N488" i="5"/>
  <c r="O1032" i="5"/>
  <c r="P870" i="5"/>
  <c r="O454" i="5"/>
  <c r="O540" i="5"/>
  <c r="P1072" i="5"/>
  <c r="O660" i="5"/>
  <c r="O625" i="5"/>
  <c r="P409" i="5"/>
  <c r="M848" i="5"/>
  <c r="O880" i="5"/>
  <c r="N622" i="5"/>
  <c r="M1057" i="5"/>
  <c r="M868" i="5"/>
  <c r="O815" i="5"/>
  <c r="O502" i="5"/>
  <c r="M305" i="5"/>
  <c r="P682" i="5"/>
  <c r="M1001" i="5"/>
  <c r="P945" i="5"/>
  <c r="M421" i="5"/>
  <c r="M639" i="5"/>
  <c r="M692" i="5"/>
  <c r="M627" i="5"/>
  <c r="P571" i="5"/>
  <c r="P111" i="5"/>
  <c r="M241" i="5"/>
  <c r="O427" i="5"/>
  <c r="P1033" i="5"/>
  <c r="N677" i="5"/>
  <c r="M266" i="5"/>
  <c r="P471" i="5"/>
  <c r="N320" i="5"/>
  <c r="P999" i="5"/>
  <c r="N472" i="5"/>
  <c r="O440" i="5"/>
  <c r="P764" i="5"/>
  <c r="M591" i="5"/>
  <c r="O997" i="5"/>
  <c r="O622" i="5"/>
  <c r="N886" i="5"/>
  <c r="P829" i="5"/>
  <c r="P67" i="5"/>
  <c r="O479" i="5"/>
  <c r="M587" i="5"/>
  <c r="P605" i="5"/>
  <c r="M658" i="5"/>
  <c r="M168" i="5"/>
  <c r="P513" i="5"/>
  <c r="M677" i="5"/>
  <c r="O659" i="5"/>
  <c r="O950" i="5"/>
  <c r="M713" i="5"/>
  <c r="O604" i="5"/>
  <c r="O536" i="5"/>
  <c r="N427" i="5"/>
  <c r="P183" i="5"/>
  <c r="P798" i="5"/>
  <c r="N392" i="5"/>
  <c r="N154" i="5"/>
  <c r="N657" i="5"/>
  <c r="O470" i="5"/>
  <c r="N632" i="5"/>
  <c r="M1052" i="5"/>
  <c r="M844" i="5"/>
  <c r="M967" i="5"/>
  <c r="M726" i="5"/>
  <c r="O492" i="5"/>
  <c r="P1049" i="5"/>
  <c r="N845" i="5"/>
  <c r="P367" i="5"/>
  <c r="P1021" i="5"/>
  <c r="P556" i="5"/>
  <c r="P606" i="5"/>
  <c r="O36" i="5"/>
  <c r="M913" i="5"/>
  <c r="O488" i="5"/>
  <c r="M343" i="5"/>
  <c r="P305" i="5"/>
  <c r="N644" i="5"/>
  <c r="P410" i="5"/>
  <c r="M944" i="5"/>
  <c r="O528" i="5"/>
  <c r="P359" i="5"/>
  <c r="M249" i="5"/>
  <c r="O746" i="5"/>
  <c r="M543" i="5"/>
  <c r="N797" i="5"/>
  <c r="O452" i="5"/>
  <c r="M893" i="5"/>
  <c r="O813" i="5"/>
  <c r="O796" i="5"/>
  <c r="P231" i="5"/>
  <c r="O844" i="5"/>
  <c r="N1036" i="5"/>
  <c r="M149" i="5"/>
  <c r="O1055" i="5"/>
  <c r="N53" i="5"/>
  <c r="P644" i="5"/>
  <c r="N439" i="5"/>
  <c r="M538" i="5"/>
  <c r="P573" i="5"/>
  <c r="O745" i="5"/>
  <c r="N461" i="5"/>
  <c r="O794" i="5"/>
  <c r="N138" i="5"/>
  <c r="O288" i="5"/>
  <c r="N928" i="5"/>
  <c r="N911" i="5"/>
  <c r="M564" i="5"/>
  <c r="M690" i="5"/>
  <c r="M224" i="5"/>
  <c r="N693" i="5"/>
  <c r="M798" i="5"/>
  <c r="P546" i="5"/>
  <c r="O400" i="5"/>
  <c r="P444" i="5"/>
  <c r="O495" i="5"/>
  <c r="P376" i="5"/>
  <c r="O406" i="5"/>
  <c r="M725" i="5"/>
  <c r="O84" i="5"/>
  <c r="P894" i="5"/>
  <c r="N129" i="5"/>
  <c r="M733" i="5"/>
  <c r="O216" i="5"/>
  <c r="M904" i="5"/>
  <c r="N795" i="5"/>
  <c r="N564" i="5"/>
  <c r="N577" i="5"/>
  <c r="O792" i="5"/>
  <c r="P614" i="5"/>
  <c r="O767" i="5"/>
  <c r="P52" i="5"/>
  <c r="N751" i="5"/>
  <c r="O832" i="5"/>
  <c r="M734" i="5"/>
  <c r="P899" i="5"/>
  <c r="N811" i="5"/>
  <c r="O944" i="5"/>
  <c r="N403" i="5"/>
  <c r="M814" i="5"/>
  <c r="O851" i="5"/>
  <c r="P676" i="5"/>
  <c r="O319" i="5"/>
  <c r="M54" i="5"/>
  <c r="N122" i="5"/>
  <c r="P554" i="5"/>
  <c r="O503" i="5"/>
  <c r="O657" i="5"/>
  <c r="O352" i="5"/>
  <c r="N951" i="5"/>
  <c r="P632" i="5"/>
  <c r="O490" i="5"/>
  <c r="M503" i="5"/>
  <c r="N903" i="5"/>
  <c r="N317" i="5"/>
  <c r="P712" i="5"/>
  <c r="M96" i="5"/>
  <c r="O564" i="5"/>
  <c r="N411" i="5"/>
  <c r="M793" i="5"/>
  <c r="M998" i="5"/>
  <c r="M672" i="5"/>
  <c r="N511" i="5"/>
  <c r="N254" i="5"/>
  <c r="O128" i="5"/>
  <c r="P708" i="5"/>
  <c r="P403" i="5"/>
  <c r="N491" i="5"/>
  <c r="N117" i="5"/>
  <c r="P897" i="5"/>
  <c r="N50" i="5"/>
  <c r="P494" i="5"/>
  <c r="N562" i="5"/>
  <c r="N645" i="5"/>
  <c r="P716" i="5"/>
  <c r="N791" i="5"/>
  <c r="O538" i="5"/>
  <c r="N219" i="5"/>
  <c r="M28" i="5"/>
  <c r="P215" i="5"/>
  <c r="P948" i="5"/>
  <c r="P826" i="5"/>
  <c r="P112" i="5"/>
  <c r="O81" i="5"/>
  <c r="M117" i="5"/>
  <c r="N418" i="5"/>
  <c r="P252" i="5"/>
  <c r="M708" i="5"/>
  <c r="M389" i="5"/>
  <c r="P757" i="5"/>
  <c r="O359" i="5"/>
  <c r="N779" i="5"/>
  <c r="P985" i="5"/>
  <c r="P593" i="5"/>
  <c r="N681" i="5"/>
  <c r="M237" i="5"/>
  <c r="P350" i="5"/>
  <c r="P808" i="5"/>
  <c r="P299" i="5"/>
  <c r="M863" i="5"/>
  <c r="O184" i="5"/>
  <c r="M139" i="5"/>
  <c r="O218" i="5"/>
  <c r="N725" i="5"/>
  <c r="O168" i="5"/>
  <c r="P284" i="5"/>
  <c r="M353" i="5"/>
  <c r="O763" i="5"/>
  <c r="O468" i="5"/>
  <c r="P205" i="5"/>
  <c r="N181" i="5"/>
  <c r="N437" i="5"/>
  <c r="N190" i="5"/>
  <c r="P300" i="5"/>
  <c r="O230" i="5"/>
  <c r="O946" i="5"/>
  <c r="N444" i="5"/>
  <c r="N910" i="5"/>
  <c r="P844" i="5"/>
  <c r="M843" i="5"/>
  <c r="N473" i="5"/>
  <c r="O219" i="5"/>
  <c r="P393" i="5"/>
  <c r="N541" i="5"/>
  <c r="P87" i="5"/>
  <c r="O541" i="5"/>
  <c r="N758" i="5"/>
  <c r="O166" i="5"/>
  <c r="O471" i="5"/>
  <c r="P44" i="5"/>
  <c r="O881" i="5"/>
  <c r="O403" i="5"/>
  <c r="P28" i="5"/>
  <c r="M712" i="5"/>
  <c r="N1057" i="5"/>
  <c r="O1069" i="5"/>
  <c r="O988" i="5"/>
  <c r="O290" i="5"/>
  <c r="N486" i="5"/>
  <c r="P780" i="5"/>
  <c r="O1057" i="5"/>
  <c r="N52" i="5"/>
  <c r="M644" i="5"/>
  <c r="P288" i="5"/>
  <c r="M185" i="5"/>
  <c r="M190" i="5"/>
  <c r="O664" i="5"/>
  <c r="M519" i="5"/>
  <c r="O749" i="5"/>
  <c r="O523" i="5"/>
  <c r="N35" i="5"/>
  <c r="P270" i="5"/>
  <c r="M356" i="5"/>
  <c r="M641" i="5"/>
  <c r="P135" i="5"/>
  <c r="P911" i="5"/>
  <c r="M1068" i="5"/>
  <c r="P303" i="5"/>
  <c r="P796" i="5"/>
  <c r="O825" i="5"/>
  <c r="O853" i="5"/>
  <c r="M98" i="5"/>
  <c r="P461" i="5"/>
  <c r="O477" i="5"/>
  <c r="M470" i="5"/>
  <c r="N359" i="5"/>
  <c r="O725" i="5"/>
  <c r="O814" i="5"/>
  <c r="M647" i="5"/>
  <c r="M292" i="5"/>
  <c r="N508" i="5"/>
  <c r="O441" i="5"/>
  <c r="N164" i="5"/>
  <c r="O189" i="5"/>
  <c r="N249" i="5"/>
  <c r="N457" i="5"/>
  <c r="P342" i="5"/>
  <c r="N659" i="5"/>
  <c r="M539" i="5"/>
  <c r="P538" i="5"/>
  <c r="N375" i="5"/>
  <c r="M336" i="5"/>
  <c r="P929" i="5"/>
  <c r="O164" i="5"/>
  <c r="M593" i="5"/>
  <c r="N409" i="5"/>
  <c r="O138" i="5"/>
  <c r="N48" i="5"/>
  <c r="O1014" i="5"/>
  <c r="O439" i="5"/>
  <c r="P492" i="5"/>
  <c r="N366" i="5"/>
  <c r="P625" i="5"/>
  <c r="M864" i="5"/>
  <c r="P166" i="5"/>
  <c r="P377" i="5"/>
  <c r="N655" i="5"/>
  <c r="P727" i="5"/>
  <c r="M436" i="5"/>
  <c r="O233" i="5"/>
  <c r="M218" i="5"/>
  <c r="P564" i="5"/>
  <c r="M166" i="5"/>
  <c r="O747" i="5"/>
  <c r="O1072" i="5"/>
  <c r="M915" i="5"/>
  <c r="N134" i="5"/>
  <c r="M903" i="5"/>
  <c r="N165" i="5"/>
  <c r="P542" i="5"/>
  <c r="O1038" i="5"/>
  <c r="N783" i="5"/>
  <c r="O1017" i="5"/>
  <c r="O457" i="5"/>
  <c r="M522" i="5"/>
  <c r="P339" i="5"/>
  <c r="M914" i="5"/>
  <c r="M530" i="5"/>
  <c r="O860" i="5"/>
  <c r="M615" i="5"/>
  <c r="N454" i="5"/>
  <c r="N1072" i="5"/>
  <c r="P779" i="5"/>
  <c r="O53" i="5"/>
  <c r="N507" i="5"/>
  <c r="O475" i="5"/>
  <c r="P264" i="5"/>
  <c r="P961" i="5"/>
  <c r="N29" i="5"/>
  <c r="P741" i="5"/>
  <c r="M183" i="5"/>
  <c r="O512" i="5"/>
  <c r="N385" i="5"/>
  <c r="M966" i="5"/>
  <c r="P386" i="5"/>
  <c r="M982" i="5"/>
  <c r="O962" i="5"/>
  <c r="N954" i="5"/>
  <c r="M256" i="5"/>
  <c r="P1002" i="5"/>
  <c r="O615" i="5"/>
  <c r="O1001" i="5"/>
  <c r="O674" i="5"/>
  <c r="O829" i="5"/>
  <c r="M809" i="5"/>
  <c r="O795" i="5"/>
  <c r="M122" i="5"/>
  <c r="O300" i="5"/>
  <c r="N916" i="5"/>
  <c r="N373" i="5"/>
  <c r="O48" i="5"/>
  <c r="P512" i="5"/>
  <c r="O530" i="5"/>
  <c r="M575" i="5"/>
  <c r="M632" i="5"/>
  <c r="N266" i="5"/>
  <c r="M938" i="5"/>
  <c r="M1004" i="5"/>
  <c r="P308" i="5"/>
  <c r="N505" i="5"/>
  <c r="O951" i="5"/>
  <c r="N640" i="5"/>
  <c r="M934" i="5"/>
  <c r="N182" i="5"/>
  <c r="N377" i="5"/>
  <c r="O555" i="5"/>
  <c r="O529" i="5"/>
  <c r="M1069" i="5"/>
  <c r="M146" i="5"/>
  <c r="M492" i="5"/>
  <c r="M478" i="5"/>
  <c r="O180" i="5"/>
  <c r="N302" i="5"/>
  <c r="M471" i="5"/>
  <c r="N369" i="5"/>
  <c r="P675" i="5"/>
  <c r="N32" i="5"/>
  <c r="M405" i="5"/>
  <c r="M563" i="5"/>
  <c r="P162" i="5"/>
  <c r="N316" i="5"/>
  <c r="M802" i="5"/>
  <c r="P171" i="5"/>
  <c r="P351" i="5"/>
  <c r="O232" i="5"/>
  <c r="O205" i="5"/>
  <c r="P1051" i="5"/>
  <c r="P401" i="5"/>
  <c r="N184" i="5"/>
  <c r="M287" i="5"/>
  <c r="O248" i="5"/>
  <c r="M623" i="5"/>
  <c r="M547" i="5"/>
  <c r="N894" i="5"/>
  <c r="N197" i="5"/>
  <c r="P694" i="5"/>
  <c r="O778" i="5"/>
  <c r="P122" i="5"/>
  <c r="P422" i="5"/>
  <c r="M132" i="5"/>
  <c r="O866" i="5"/>
  <c r="P610" i="5"/>
  <c r="O196" i="5"/>
  <c r="M655" i="5"/>
  <c r="O404" i="5"/>
  <c r="P505" i="5"/>
  <c r="N45" i="5"/>
  <c r="P383" i="5"/>
  <c r="N146" i="5"/>
  <c r="O117" i="5"/>
  <c r="O154" i="5"/>
  <c r="M1002" i="5"/>
  <c r="N77" i="5"/>
  <c r="P222" i="5"/>
  <c r="M774" i="5"/>
  <c r="M700" i="5"/>
  <c r="O733" i="5"/>
  <c r="M114" i="5"/>
  <c r="M778" i="5"/>
  <c r="O1018" i="5"/>
  <c r="N407" i="5"/>
  <c r="P912" i="5"/>
  <c r="P79" i="5"/>
  <c r="O743" i="5"/>
  <c r="M271" i="5"/>
  <c r="P927" i="5"/>
  <c r="N98" i="5"/>
  <c r="M351" i="5"/>
  <c r="M257" i="5"/>
  <c r="N189" i="5"/>
  <c r="M846" i="5"/>
  <c r="O764" i="5"/>
  <c r="O111" i="5"/>
  <c r="M441" i="5"/>
  <c r="O223" i="5"/>
  <c r="N666" i="5"/>
  <c r="M87" i="5"/>
  <c r="P1039" i="5"/>
  <c r="O285" i="5"/>
  <c r="P865" i="5"/>
  <c r="M1074" i="5"/>
  <c r="O60" i="5"/>
  <c r="P815" i="5"/>
  <c r="N574" i="5"/>
  <c r="P200" i="5"/>
  <c r="P937" i="5"/>
  <c r="N504" i="5"/>
  <c r="O339" i="5"/>
  <c r="M758" i="5"/>
  <c r="N828" i="5"/>
  <c r="O287" i="5"/>
  <c r="N965" i="5"/>
  <c r="M223" i="5"/>
  <c r="N836" i="5"/>
  <c r="P863" i="5"/>
  <c r="N868" i="5"/>
  <c r="P47" i="5"/>
  <c r="O79" i="5"/>
  <c r="P60" i="5"/>
  <c r="N128" i="5"/>
  <c r="M608" i="5"/>
  <c r="N691" i="5"/>
  <c r="M930" i="5"/>
  <c r="N1048" i="5"/>
  <c r="M29" i="5"/>
  <c r="P525" i="5"/>
  <c r="O281" i="5"/>
  <c r="N26" i="5"/>
  <c r="O151" i="5"/>
  <c r="P887" i="5"/>
  <c r="M983" i="5"/>
  <c r="P120" i="5"/>
  <c r="M691" i="5"/>
  <c r="M253" i="5"/>
  <c r="P523" i="5"/>
  <c r="P981" i="5"/>
  <c r="O847" i="5"/>
  <c r="M155" i="5"/>
  <c r="M235" i="5"/>
  <c r="P100" i="5"/>
  <c r="O97" i="5"/>
  <c r="P316" i="5"/>
  <c r="N732" i="5"/>
  <c r="N1052" i="5"/>
  <c r="N554" i="5"/>
  <c r="M477" i="5"/>
  <c r="O812" i="5"/>
  <c r="M101" i="5"/>
  <c r="N349" i="5"/>
  <c r="O740" i="5"/>
  <c r="O811" i="5"/>
  <c r="P219" i="5"/>
  <c r="M202" i="5"/>
  <c r="N679" i="5"/>
  <c r="N934" i="5"/>
  <c r="M236" i="5"/>
  <c r="N997" i="5"/>
  <c r="N1002" i="5"/>
  <c r="O275" i="5"/>
  <c r="N318" i="5"/>
  <c r="N961" i="5"/>
  <c r="M577" i="5"/>
  <c r="O318" i="5"/>
  <c r="M664" i="5"/>
  <c r="O135" i="5"/>
  <c r="N913" i="5"/>
  <c r="P577" i="5"/>
  <c r="N842" i="5"/>
  <c r="O179" i="5"/>
  <c r="O961" i="5"/>
  <c r="M607" i="5"/>
  <c r="N335" i="5"/>
  <c r="M411" i="5"/>
  <c r="O624" i="5"/>
  <c r="O610" i="5"/>
  <c r="P964" i="5"/>
  <c r="O758" i="5"/>
  <c r="O802" i="5"/>
  <c r="N746" i="5"/>
  <c r="O777" i="5"/>
  <c r="N887" i="5"/>
  <c r="M445" i="5"/>
  <c r="M173" i="5"/>
  <c r="P129" i="5"/>
  <c r="N978" i="5"/>
  <c r="O608" i="5"/>
  <c r="N471" i="5"/>
  <c r="N813" i="5"/>
  <c r="M576" i="5"/>
  <c r="P677" i="5"/>
  <c r="M830" i="5"/>
  <c r="O505" i="5"/>
  <c r="P441" i="5"/>
  <c r="P509" i="5"/>
  <c r="M1035" i="5"/>
  <c r="P861" i="5"/>
  <c r="N536" i="5"/>
  <c r="M1012" i="5"/>
  <c r="P1056" i="5"/>
  <c r="P1064" i="5"/>
  <c r="N30" i="5"/>
  <c r="O104" i="5"/>
  <c r="N103" i="5"/>
  <c r="O1046" i="5"/>
  <c r="M1021" i="5"/>
  <c r="O240" i="5"/>
  <c r="M180" i="5"/>
  <c r="P64" i="5"/>
  <c r="M979" i="5"/>
  <c r="N649" i="5"/>
  <c r="P778" i="5"/>
  <c r="M354" i="5"/>
  <c r="M562" i="5"/>
  <c r="O1066" i="5"/>
  <c r="O254" i="5"/>
  <c r="N921" i="5"/>
  <c r="M81" i="5"/>
  <c r="N384" i="5"/>
  <c r="M440" i="5"/>
  <c r="M131" i="5"/>
  <c r="N368" i="5"/>
  <c r="P1022" i="5"/>
  <c r="P938" i="5"/>
  <c r="N452" i="5"/>
  <c r="O842" i="5"/>
  <c r="M274" i="5"/>
  <c r="P932" i="5"/>
  <c r="M573" i="5"/>
  <c r="P460" i="5"/>
  <c r="P832" i="5"/>
  <c r="M234" i="5"/>
  <c r="O420" i="5"/>
  <c r="O234" i="5"/>
  <c r="M1065" i="5"/>
  <c r="P818" i="5"/>
  <c r="O35" i="5"/>
  <c r="O590" i="5"/>
  <c r="M438" i="5"/>
  <c r="M545" i="5"/>
  <c r="P836" i="5"/>
  <c r="N64" i="5"/>
  <c r="P436" i="5"/>
  <c r="P579" i="5"/>
  <c r="M622" i="5"/>
  <c r="P322" i="5"/>
  <c r="O876" i="5"/>
  <c r="P1063" i="5"/>
  <c r="M46" i="5"/>
  <c r="P179" i="5"/>
  <c r="M676" i="5"/>
  <c r="P86" i="5"/>
  <c r="M886" i="5"/>
  <c r="O206" i="5"/>
  <c r="N672" i="5"/>
  <c r="P251" i="5"/>
  <c r="M1005" i="5"/>
  <c r="M1055" i="5"/>
  <c r="M768" i="5"/>
  <c r="M45" i="5"/>
  <c r="M239" i="5"/>
  <c r="O461" i="5"/>
  <c r="M832" i="5"/>
  <c r="N744" i="5"/>
  <c r="M248" i="5"/>
  <c r="P706" i="5"/>
  <c r="N711" i="5"/>
  <c r="P936" i="5"/>
  <c r="P528" i="5"/>
  <c r="P62" i="5"/>
  <c r="P121" i="5"/>
  <c r="P206" i="5"/>
  <c r="N169" i="5"/>
  <c r="N179" i="5"/>
  <c r="M624" i="5"/>
  <c r="M315" i="5"/>
  <c r="N573" i="5"/>
  <c r="P656" i="5"/>
  <c r="O761" i="5"/>
  <c r="O982" i="5"/>
  <c r="O726" i="5"/>
  <c r="M811" i="5"/>
  <c r="M953" i="5"/>
  <c r="O899" i="5"/>
  <c r="P506" i="5"/>
  <c r="M917" i="5"/>
  <c r="P182" i="5"/>
  <c r="P445" i="5"/>
  <c r="N674" i="5"/>
  <c r="N1053" i="5"/>
  <c r="N258" i="5"/>
  <c r="M1038" i="5"/>
  <c r="N268" i="5"/>
  <c r="P105" i="5"/>
  <c r="M299" i="5"/>
  <c r="O553" i="5"/>
  <c r="O504" i="5"/>
  <c r="P834" i="5"/>
  <c r="N1017" i="5"/>
  <c r="O162" i="5"/>
  <c r="M1050" i="5"/>
  <c r="N712" i="5"/>
  <c r="M504" i="5"/>
  <c r="P418" i="5"/>
  <c r="M665" i="5"/>
  <c r="O1050" i="5"/>
  <c r="N206" i="5"/>
  <c r="O785" i="5"/>
  <c r="M320" i="5"/>
  <c r="N743" i="5"/>
  <c r="N355" i="5"/>
  <c r="N423" i="5"/>
  <c r="O632" i="5"/>
  <c r="P199" i="5"/>
  <c r="N479" i="5"/>
  <c r="M597" i="5"/>
  <c r="M383" i="5"/>
  <c r="M989" i="5"/>
  <c r="P794" i="5"/>
  <c r="N902" i="5"/>
  <c r="M151" i="5"/>
  <c r="P734" i="5"/>
  <c r="O931" i="5"/>
  <c r="O797" i="5"/>
  <c r="P490" i="5"/>
  <c r="N95" i="5"/>
  <c r="N43" i="5"/>
  <c r="N376" i="5"/>
  <c r="P113" i="5"/>
  <c r="N46" i="5"/>
  <c r="O662" i="5"/>
  <c r="N99" i="5"/>
  <c r="M167" i="5"/>
  <c r="O520" i="5"/>
  <c r="N970" i="5"/>
  <c r="P1019" i="5"/>
  <c r="N597" i="5"/>
  <c r="N256" i="5"/>
  <c r="N895" i="5"/>
  <c r="O695" i="5"/>
  <c r="P218" i="5"/>
  <c r="M307" i="5"/>
  <c r="P819" i="5"/>
  <c r="O86" i="5"/>
  <c r="M1006" i="5"/>
  <c r="P900" i="5"/>
  <c r="M596" i="5"/>
  <c r="O692" i="5"/>
  <c r="P679" i="5"/>
  <c r="P61" i="5"/>
  <c r="O630" i="5"/>
  <c r="P984" i="5"/>
  <c r="P624" i="5"/>
  <c r="P665" i="5"/>
  <c r="N120" i="5"/>
  <c r="O513" i="5"/>
  <c r="P563" i="5"/>
  <c r="M368" i="5"/>
  <c r="M496" i="5"/>
  <c r="O545" i="5"/>
  <c r="N613" i="5"/>
  <c r="N728" i="5"/>
  <c r="N849" i="5"/>
  <c r="N831" i="5"/>
  <c r="P792" i="5"/>
  <c r="O689" i="5"/>
  <c r="N299" i="5"/>
  <c r="P621" i="5"/>
  <c r="P487" i="5"/>
  <c r="M65" i="5"/>
  <c r="P843" i="5"/>
  <c r="M555" i="5"/>
  <c r="N469" i="5"/>
  <c r="M1056" i="5"/>
  <c r="N338" i="5"/>
  <c r="M1019" i="5"/>
  <c r="P1073" i="5"/>
  <c r="P180" i="5"/>
  <c r="P319" i="5"/>
  <c r="M730" i="5"/>
  <c r="M410" i="5"/>
  <c r="P390" i="5"/>
  <c r="M818" i="5"/>
  <c r="P128" i="5"/>
  <c r="O451" i="5"/>
  <c r="M34" i="5"/>
  <c r="P662" i="5"/>
  <c r="M866" i="5"/>
  <c r="O809" i="5"/>
  <c r="P1017" i="5"/>
  <c r="N880" i="5"/>
  <c r="M321" i="5"/>
  <c r="O1013" i="5"/>
  <c r="P275" i="5"/>
  <c r="N641" i="5"/>
  <c r="P315" i="5"/>
  <c r="P31" i="5"/>
  <c r="O933" i="5"/>
  <c r="O623" i="5"/>
  <c r="M214" i="5"/>
  <c r="P831" i="5"/>
  <c r="M882" i="5"/>
  <c r="O989" i="5"/>
  <c r="P320" i="5"/>
  <c r="M554" i="5"/>
  <c r="P438" i="5"/>
  <c r="P103" i="5"/>
  <c r="M461" i="5"/>
  <c r="N383" i="5"/>
  <c r="N676" i="5"/>
  <c r="O656" i="5"/>
  <c r="P224" i="5"/>
  <c r="M638" i="5"/>
  <c r="N147" i="5"/>
  <c r="M393" i="5"/>
  <c r="N862" i="5"/>
  <c r="M216" i="5"/>
  <c r="O149" i="5"/>
  <c r="P709" i="5"/>
  <c r="O898" i="5"/>
  <c r="N149" i="5"/>
  <c r="N1016" i="5"/>
  <c r="O713" i="5"/>
  <c r="N575" i="5"/>
  <c r="P572" i="5"/>
  <c r="P852" i="5"/>
  <c r="M968" i="5"/>
  <c r="P372" i="5"/>
  <c r="O444" i="5"/>
  <c r="M247" i="5"/>
  <c r="O325" i="5"/>
  <c r="M145" i="5"/>
  <c r="N716" i="5"/>
  <c r="N747" i="5"/>
  <c r="N1068" i="5"/>
  <c r="M963" i="5"/>
  <c r="O114" i="5"/>
  <c r="N631" i="5"/>
  <c r="M964" i="5"/>
  <c r="N971" i="5"/>
  <c r="P848" i="5"/>
  <c r="M84" i="5"/>
  <c r="N1069" i="5"/>
  <c r="M779" i="5"/>
  <c r="P950" i="5"/>
  <c r="M457" i="5"/>
  <c r="O43" i="5"/>
  <c r="N639" i="5"/>
  <c r="P1052" i="5"/>
  <c r="P996" i="5"/>
  <c r="N808" i="5"/>
  <c r="P257" i="5"/>
  <c r="O987" i="5"/>
  <c r="O511" i="5"/>
  <c r="M792" i="5"/>
  <c r="M919" i="5"/>
  <c r="N196" i="5"/>
  <c r="P138" i="5"/>
  <c r="M427" i="5"/>
  <c r="N727" i="5"/>
  <c r="O1030" i="5"/>
  <c r="P508" i="5"/>
  <c r="O96" i="5"/>
  <c r="P236" i="5"/>
  <c r="M761" i="5"/>
  <c r="O920" i="5"/>
  <c r="O338" i="5"/>
  <c r="M777" i="5"/>
  <c r="M1049" i="5"/>
  <c r="M902" i="5"/>
  <c r="P672" i="5"/>
  <c r="P658" i="5"/>
  <c r="O572" i="5"/>
  <c r="M472" i="5"/>
  <c r="P240" i="5"/>
  <c r="P801" i="5"/>
  <c r="M865" i="5"/>
  <c r="P282" i="5"/>
  <c r="N1004" i="5"/>
  <c r="N421" i="5"/>
  <c r="N695" i="5"/>
  <c r="N66" i="5"/>
  <c r="N171" i="5"/>
  <c r="O588" i="5"/>
  <c r="M574" i="5"/>
  <c r="N360" i="5"/>
  <c r="M706" i="5"/>
  <c r="M661" i="5"/>
  <c r="N251" i="5"/>
  <c r="N1046" i="5"/>
  <c r="M489" i="5"/>
  <c r="N150" i="5"/>
  <c r="M401" i="5"/>
  <c r="P53" i="5"/>
  <c r="N717" i="5"/>
  <c r="O423" i="5"/>
  <c r="M506" i="5"/>
  <c r="P998" i="5"/>
  <c r="O996" i="5"/>
  <c r="O647" i="5"/>
  <c r="M335" i="5"/>
  <c r="P304" i="5"/>
  <c r="P116" i="5"/>
  <c r="M879" i="5"/>
  <c r="M763" i="5"/>
  <c r="N605" i="5"/>
  <c r="N832" i="5"/>
  <c r="M831" i="5"/>
  <c r="P536" i="5"/>
  <c r="P32" i="5"/>
  <c r="O61" i="5"/>
  <c r="O741" i="5"/>
  <c r="M80" i="5"/>
  <c r="M707" i="5"/>
  <c r="M30" i="5"/>
  <c r="N436" i="5"/>
  <c r="P36" i="5"/>
  <c r="P810" i="5"/>
  <c r="M201" i="5"/>
  <c r="P903" i="5"/>
  <c r="O98" i="5"/>
  <c r="N284" i="5"/>
  <c r="P232" i="5"/>
  <c r="O1039" i="5"/>
  <c r="P132" i="5"/>
  <c r="O640" i="5"/>
  <c r="N326" i="5"/>
  <c r="P814" i="5"/>
  <c r="O594" i="5"/>
  <c r="M621" i="5"/>
  <c r="M376" i="5"/>
  <c r="M649" i="5"/>
  <c r="M200" i="5"/>
  <c r="P454" i="5"/>
  <c r="N662" i="5"/>
  <c r="P250" i="5"/>
  <c r="P971" i="5"/>
  <c r="P845" i="5"/>
  <c r="M1032" i="5"/>
  <c r="M662" i="5"/>
  <c r="M766" i="5"/>
  <c r="P1016" i="5"/>
  <c r="M870" i="5"/>
  <c r="O291" i="5"/>
  <c r="N130" i="5"/>
  <c r="N627" i="5"/>
  <c r="M298" i="5"/>
  <c r="P715" i="5"/>
  <c r="P931" i="5"/>
  <c r="O458" i="5"/>
  <c r="N269" i="5"/>
  <c r="N250" i="5"/>
  <c r="M479" i="5"/>
  <c r="M97" i="5"/>
  <c r="M62" i="5"/>
  <c r="B10" i="4"/>
  <c r="M850" i="5" l="1"/>
  <c r="M854" i="5" s="1"/>
  <c r="M714" i="5"/>
  <c r="M718" i="5" s="1"/>
  <c r="P306" i="5"/>
  <c r="P310" i="5" s="1"/>
  <c r="O544" i="5"/>
  <c r="O548" i="5" s="1"/>
  <c r="P136" i="5"/>
  <c r="P140" i="5" s="1"/>
  <c r="P680" i="5"/>
  <c r="P684" i="5" s="1"/>
  <c r="P442" i="5"/>
  <c r="P446" i="5" s="1"/>
  <c r="N221" i="5"/>
  <c r="N225" i="5" s="1"/>
  <c r="N833" i="5"/>
  <c r="N837" i="5" s="1"/>
  <c r="O969" i="5"/>
  <c r="O973" i="5" s="1"/>
  <c r="M833" i="5"/>
  <c r="M837" i="5" s="1"/>
  <c r="M374" i="5"/>
  <c r="M378" i="5" s="1"/>
  <c r="P646" i="5"/>
  <c r="P650" i="5" s="1"/>
  <c r="P33" i="5"/>
  <c r="P37" i="5" s="1"/>
  <c r="N918" i="5"/>
  <c r="N922" i="5" s="1"/>
  <c r="M391" i="5"/>
  <c r="M395" i="5" s="1"/>
  <c r="P816" i="5"/>
  <c r="P820" i="5" s="1"/>
  <c r="N544" i="5"/>
  <c r="N548" i="5" s="1"/>
  <c r="O238" i="5"/>
  <c r="O242" i="5" s="1"/>
  <c r="O170" i="5"/>
  <c r="O174" i="5" s="1"/>
  <c r="O33" i="5"/>
  <c r="O37" i="5" s="1"/>
  <c r="M221" i="5"/>
  <c r="M225" i="5" s="1"/>
  <c r="N901" i="5"/>
  <c r="N905" i="5" s="1"/>
  <c r="N697" i="5"/>
  <c r="N701" i="5" s="1"/>
  <c r="M1003" i="5"/>
  <c r="M1007" i="5" s="1"/>
  <c r="M527" i="5"/>
  <c r="M531" i="5" s="1"/>
  <c r="P476" i="5"/>
  <c r="P480" i="5" s="1"/>
  <c r="O391" i="5"/>
  <c r="O395" i="5" s="1"/>
  <c r="M323" i="5"/>
  <c r="M327" i="5" s="1"/>
  <c r="O952" i="5"/>
  <c r="O956" i="5" s="1"/>
  <c r="M646" i="5"/>
  <c r="M650" i="5" s="1"/>
  <c r="O357" i="5"/>
  <c r="O361" i="5" s="1"/>
  <c r="O748" i="5"/>
  <c r="O752" i="5" s="1"/>
  <c r="N1003" i="5"/>
  <c r="N1007" i="5" s="1"/>
  <c r="M748" i="5"/>
  <c r="M752" i="5" s="1"/>
  <c r="O289" i="5"/>
  <c r="O293" i="5" s="1"/>
  <c r="O459" i="5"/>
  <c r="O463" i="5" s="1"/>
  <c r="N952" i="5"/>
  <c r="N956" i="5" s="1"/>
  <c r="N629" i="5"/>
  <c r="N633" i="5" s="1"/>
  <c r="M918" i="5"/>
  <c r="M922" i="5" s="1"/>
  <c r="P765" i="5"/>
  <c r="P769" i="5" s="1"/>
  <c r="O527" i="5"/>
  <c r="O531" i="5" s="1"/>
  <c r="M952" i="5"/>
  <c r="M956" i="5" s="1"/>
  <c r="N85" i="5"/>
  <c r="N89" i="5" s="1"/>
  <c r="P119" i="5"/>
  <c r="P123" i="5" s="1"/>
  <c r="M595" i="5"/>
  <c r="M599" i="5" s="1"/>
  <c r="O68" i="5"/>
  <c r="O72" i="5" s="1"/>
  <c r="O1071" i="5"/>
  <c r="O1075" i="5" s="1"/>
  <c r="M51" i="5"/>
  <c r="M55" i="5" s="1"/>
  <c r="O323" i="5"/>
  <c r="O327" i="5" s="1"/>
  <c r="P612" i="5"/>
  <c r="P616" i="5" s="1"/>
  <c r="O255" i="5"/>
  <c r="O259" i="5" s="1"/>
  <c r="P408" i="5"/>
  <c r="P412" i="5" s="1"/>
  <c r="N935" i="5"/>
  <c r="N939" i="5" s="1"/>
  <c r="O1054" i="5"/>
  <c r="O1058" i="5" s="1"/>
  <c r="M272" i="5"/>
  <c r="M276" i="5" s="1"/>
  <c r="P935" i="5"/>
  <c r="P939" i="5" s="1"/>
  <c r="P51" i="5"/>
  <c r="P55" i="5" s="1"/>
  <c r="O731" i="5"/>
  <c r="O735" i="5" s="1"/>
  <c r="N969" i="5"/>
  <c r="N973" i="5" s="1"/>
  <c r="N1054" i="5"/>
  <c r="N1058" i="5" s="1"/>
  <c r="P952" i="5"/>
  <c r="P956" i="5" s="1"/>
  <c r="P391" i="5"/>
  <c r="P395" i="5" s="1"/>
  <c r="O493" i="5"/>
  <c r="O497" i="5" s="1"/>
  <c r="M561" i="5"/>
  <c r="M565" i="5" s="1"/>
  <c r="M867" i="5"/>
  <c r="M871" i="5" s="1"/>
  <c r="O408" i="5"/>
  <c r="O412" i="5" s="1"/>
  <c r="P1054" i="5"/>
  <c r="P1058" i="5" s="1"/>
  <c r="O510" i="5"/>
  <c r="O514" i="5" s="1"/>
  <c r="O51" i="5"/>
  <c r="O55" i="5" s="1"/>
  <c r="N527" i="5"/>
  <c r="N531" i="5" s="1"/>
  <c r="M986" i="5"/>
  <c r="M990" i="5" s="1"/>
  <c r="N204" i="5"/>
  <c r="N208" i="5" s="1"/>
  <c r="M153" i="5"/>
  <c r="M157" i="5" s="1"/>
  <c r="N170" i="5"/>
  <c r="N174" i="5" s="1"/>
  <c r="M204" i="5"/>
  <c r="M208" i="5" s="1"/>
  <c r="M408" i="5"/>
  <c r="M412" i="5" s="1"/>
  <c r="P714" i="5"/>
  <c r="P718" i="5" s="1"/>
  <c r="N663" i="5"/>
  <c r="N667" i="5" s="1"/>
  <c r="P697" i="5"/>
  <c r="P701" i="5" s="1"/>
  <c r="N340" i="5"/>
  <c r="N344" i="5" s="1"/>
  <c r="O850" i="5"/>
  <c r="O854" i="5" s="1"/>
  <c r="N306" i="5"/>
  <c r="N310" i="5" s="1"/>
  <c r="P986" i="5"/>
  <c r="P990" i="5" s="1"/>
  <c r="N323" i="5"/>
  <c r="N327" i="5" s="1"/>
  <c r="O119" i="5"/>
  <c r="O123" i="5" s="1"/>
  <c r="L293" i="6"/>
  <c r="L291" i="6"/>
  <c r="N391" i="5"/>
  <c r="N395" i="5" s="1"/>
  <c r="N136" i="5"/>
  <c r="N140" i="5" s="1"/>
  <c r="P1037" i="5"/>
  <c r="P1041" i="5" s="1"/>
  <c r="M493" i="5"/>
  <c r="M497" i="5" s="1"/>
  <c r="N646" i="5"/>
  <c r="N650" i="5" s="1"/>
  <c r="N561" i="5"/>
  <c r="N565" i="5" s="1"/>
  <c r="N748" i="5"/>
  <c r="N752" i="5" s="1"/>
  <c r="O1020" i="5"/>
  <c r="O1024" i="5" s="1"/>
  <c r="M119" i="5"/>
  <c r="M123" i="5" s="1"/>
  <c r="M306" i="5"/>
  <c r="M310" i="5" s="1"/>
  <c r="O629" i="5"/>
  <c r="O633" i="5" s="1"/>
  <c r="O1003" i="5"/>
  <c r="O1007" i="5" s="1"/>
  <c r="O595" i="5"/>
  <c r="O599" i="5" s="1"/>
  <c r="P1003" i="5"/>
  <c r="P1007" i="5" s="1"/>
  <c r="M187" i="5"/>
  <c r="M191" i="5" s="1"/>
  <c r="O153" i="5"/>
  <c r="O157" i="5" s="1"/>
  <c r="M1071" i="5"/>
  <c r="M1075" i="5" s="1"/>
  <c r="N33" i="5"/>
  <c r="N37" i="5" s="1"/>
  <c r="P918" i="5"/>
  <c r="P922" i="5" s="1"/>
  <c r="P493" i="5"/>
  <c r="P497" i="5" s="1"/>
  <c r="M1020" i="5"/>
  <c r="M1024" i="5" s="1"/>
  <c r="N459" i="5"/>
  <c r="N463" i="5" s="1"/>
  <c r="M663" i="5"/>
  <c r="M667" i="5" s="1"/>
  <c r="N595" i="5"/>
  <c r="N599" i="5" s="1"/>
  <c r="P102" i="5"/>
  <c r="P106" i="5" s="1"/>
  <c r="M136" i="5"/>
  <c r="M140" i="5" s="1"/>
  <c r="N867" i="5"/>
  <c r="N871" i="5" s="1"/>
  <c r="P578" i="5"/>
  <c r="P582" i="5" s="1"/>
  <c r="P731" i="5"/>
  <c r="P735" i="5" s="1"/>
  <c r="P833" i="5"/>
  <c r="P837" i="5" s="1"/>
  <c r="O714" i="5"/>
  <c r="O718" i="5" s="1"/>
  <c r="N765" i="5"/>
  <c r="N769" i="5" s="1"/>
  <c r="O816" i="5"/>
  <c r="O820" i="5" s="1"/>
  <c r="O901" i="5"/>
  <c r="O905" i="5" s="1"/>
  <c r="M1054" i="5"/>
  <c r="M1058" i="5" s="1"/>
  <c r="N374" i="5"/>
  <c r="N378" i="5" s="1"/>
  <c r="N680" i="5"/>
  <c r="N684" i="5" s="1"/>
  <c r="N289" i="5"/>
  <c r="N293" i="5" s="1"/>
  <c r="P187" i="5"/>
  <c r="P191" i="5" s="1"/>
  <c r="P1020" i="5"/>
  <c r="P1024" i="5" s="1"/>
  <c r="M425" i="5"/>
  <c r="M429" i="5" s="1"/>
  <c r="O272" i="5"/>
  <c r="O276" i="5" s="1"/>
  <c r="M289" i="5"/>
  <c r="M293" i="5" s="1"/>
  <c r="O306" i="5"/>
  <c r="O310" i="5" s="1"/>
  <c r="M901" i="5"/>
  <c r="M905" i="5" s="1"/>
  <c r="P374" i="5"/>
  <c r="P378" i="5" s="1"/>
  <c r="O799" i="5"/>
  <c r="O803" i="5" s="1"/>
  <c r="N799" i="5"/>
  <c r="N803" i="5" s="1"/>
  <c r="P527" i="5"/>
  <c r="P531" i="5" s="1"/>
  <c r="P272" i="5"/>
  <c r="P276" i="5" s="1"/>
  <c r="P204" i="5"/>
  <c r="P208" i="5" s="1"/>
  <c r="P323" i="5"/>
  <c r="P327" i="5" s="1"/>
  <c r="N986" i="5"/>
  <c r="N990" i="5" s="1"/>
  <c r="M102" i="5"/>
  <c r="M106" i="5" s="1"/>
  <c r="N255" i="5"/>
  <c r="N259" i="5" s="1"/>
  <c r="N425" i="5"/>
  <c r="N429" i="5" s="1"/>
  <c r="N850" i="5"/>
  <c r="N854" i="5" s="1"/>
  <c r="P85" i="5"/>
  <c r="P89" i="5" s="1"/>
  <c r="N510" i="5"/>
  <c r="N514" i="5" s="1"/>
  <c r="P340" i="5"/>
  <c r="P344" i="5" s="1"/>
  <c r="N238" i="5"/>
  <c r="N242" i="5" s="1"/>
  <c r="P901" i="5"/>
  <c r="P905" i="5" s="1"/>
  <c r="O986" i="5"/>
  <c r="O990" i="5" s="1"/>
  <c r="M578" i="5"/>
  <c r="M582" i="5" s="1"/>
  <c r="M476" i="5"/>
  <c r="M480" i="5" s="1"/>
  <c r="N1037" i="5"/>
  <c r="N1041" i="5" s="1"/>
  <c r="O646" i="5"/>
  <c r="O650" i="5" s="1"/>
  <c r="M85" i="5"/>
  <c r="M89" i="5" s="1"/>
  <c r="M799" i="5"/>
  <c r="M803" i="5" s="1"/>
  <c r="P748" i="5"/>
  <c r="P752" i="5" s="1"/>
  <c r="M731" i="5"/>
  <c r="M735" i="5" s="1"/>
  <c r="P255" i="5"/>
  <c r="P259" i="5" s="1"/>
  <c r="N493" i="5"/>
  <c r="N497" i="5" s="1"/>
  <c r="O476" i="5"/>
  <c r="O480" i="5" s="1"/>
  <c r="O425" i="5"/>
  <c r="O429" i="5" s="1"/>
  <c r="P867" i="5"/>
  <c r="P871" i="5" s="1"/>
  <c r="O204" i="5"/>
  <c r="O208" i="5" s="1"/>
  <c r="P799" i="5"/>
  <c r="P803" i="5" s="1"/>
  <c r="P170" i="5"/>
  <c r="P174" i="5" s="1"/>
  <c r="O884" i="5"/>
  <c r="O888" i="5" s="1"/>
  <c r="P663" i="5"/>
  <c r="P667" i="5" s="1"/>
  <c r="O867" i="5"/>
  <c r="O871" i="5" s="1"/>
  <c r="M969" i="5"/>
  <c r="M973" i="5" s="1"/>
  <c r="N68" i="5"/>
  <c r="N72" i="5" s="1"/>
  <c r="O340" i="5"/>
  <c r="O344" i="5" s="1"/>
  <c r="M765" i="5"/>
  <c r="M769" i="5" s="1"/>
  <c r="O561" i="5"/>
  <c r="O565" i="5" s="1"/>
  <c r="M1037" i="5"/>
  <c r="M1041" i="5" s="1"/>
  <c r="O442" i="5"/>
  <c r="O446" i="5" s="1"/>
  <c r="M782" i="5"/>
  <c r="M786" i="5" s="1"/>
  <c r="O374" i="5"/>
  <c r="O378" i="5" s="1"/>
  <c r="N51" i="5"/>
  <c r="N55" i="5" s="1"/>
  <c r="P544" i="5"/>
  <c r="P548" i="5" s="1"/>
  <c r="P884" i="5"/>
  <c r="P888" i="5" s="1"/>
  <c r="M629" i="5"/>
  <c r="M633" i="5" s="1"/>
  <c r="O918" i="5"/>
  <c r="O922" i="5" s="1"/>
  <c r="M935" i="5"/>
  <c r="M939" i="5" s="1"/>
  <c r="P289" i="5"/>
  <c r="P293" i="5" s="1"/>
  <c r="P510" i="5"/>
  <c r="P514" i="5" s="1"/>
  <c r="P68" i="5"/>
  <c r="P72" i="5" s="1"/>
  <c r="M238" i="5"/>
  <c r="M242" i="5" s="1"/>
  <c r="N731" i="5"/>
  <c r="N735" i="5" s="1"/>
  <c r="N578" i="5"/>
  <c r="N582" i="5" s="1"/>
  <c r="O136" i="5"/>
  <c r="O140" i="5" s="1"/>
  <c r="O833" i="5"/>
  <c r="O837" i="5" s="1"/>
  <c r="N612" i="5"/>
  <c r="N616" i="5" s="1"/>
  <c r="M68" i="5"/>
  <c r="M72" i="5" s="1"/>
  <c r="O663" i="5"/>
  <c r="O667" i="5" s="1"/>
  <c r="N357" i="5"/>
  <c r="N361" i="5" s="1"/>
  <c r="P629" i="5"/>
  <c r="P633" i="5" s="1"/>
  <c r="M697" i="5"/>
  <c r="M701" i="5" s="1"/>
  <c r="O102" i="5"/>
  <c r="O106" i="5" s="1"/>
  <c r="P595" i="5"/>
  <c r="P599" i="5" s="1"/>
  <c r="N476" i="5"/>
  <c r="N480" i="5" s="1"/>
  <c r="L59" i="6"/>
  <c r="L57" i="6"/>
  <c r="L488" i="6"/>
  <c r="L486" i="6"/>
  <c r="P153" i="5"/>
  <c r="P157" i="5" s="1"/>
  <c r="P782" i="5"/>
  <c r="P786" i="5" s="1"/>
  <c r="N408" i="5"/>
  <c r="N412" i="5" s="1"/>
  <c r="O697" i="5"/>
  <c r="O701" i="5" s="1"/>
  <c r="L694" i="6"/>
  <c r="L696" i="6"/>
  <c r="L668" i="6"/>
  <c r="L670" i="6"/>
  <c r="L148" i="6"/>
  <c r="L150" i="6"/>
  <c r="L44" i="6"/>
  <c r="L46" i="6"/>
  <c r="L772" i="6"/>
  <c r="L774" i="6"/>
  <c r="P459" i="5"/>
  <c r="P463" i="5" s="1"/>
  <c r="N884" i="5"/>
  <c r="N888" i="5" s="1"/>
  <c r="O782" i="5"/>
  <c r="O786" i="5" s="1"/>
  <c r="P221" i="5"/>
  <c r="P225" i="5" s="1"/>
  <c r="M33" i="5"/>
  <c r="M37" i="5" s="1"/>
  <c r="P357" i="5"/>
  <c r="P361" i="5" s="1"/>
  <c r="N119" i="5"/>
  <c r="N123" i="5" s="1"/>
  <c r="M442" i="5"/>
  <c r="M446" i="5" s="1"/>
  <c r="P1071" i="5"/>
  <c r="P1075" i="5" s="1"/>
  <c r="M357" i="5"/>
  <c r="M361" i="5" s="1"/>
  <c r="P425" i="5"/>
  <c r="P429" i="5" s="1"/>
  <c r="M680" i="5"/>
  <c r="M684" i="5" s="1"/>
  <c r="N187" i="5"/>
  <c r="N191" i="5" s="1"/>
  <c r="P561" i="5"/>
  <c r="P565" i="5" s="1"/>
  <c r="N714" i="5"/>
  <c r="N718" i="5" s="1"/>
  <c r="O765" i="5"/>
  <c r="O769" i="5" s="1"/>
  <c r="N816" i="5"/>
  <c r="N820" i="5" s="1"/>
  <c r="N782" i="5"/>
  <c r="N786" i="5" s="1"/>
  <c r="M612" i="5"/>
  <c r="M616" i="5" s="1"/>
  <c r="M884" i="5"/>
  <c r="M888" i="5" s="1"/>
  <c r="N1020" i="5"/>
  <c r="N1024" i="5" s="1"/>
  <c r="P850" i="5"/>
  <c r="P854" i="5" s="1"/>
  <c r="N1071" i="5"/>
  <c r="N1075" i="5" s="1"/>
  <c r="L683" i="6"/>
  <c r="L681" i="6"/>
  <c r="M459" i="5"/>
  <c r="M463" i="5" s="1"/>
  <c r="O187" i="5"/>
  <c r="O191" i="5" s="1"/>
  <c r="M340" i="5"/>
  <c r="M344" i="5" s="1"/>
  <c r="O612" i="5"/>
  <c r="O616" i="5" s="1"/>
  <c r="O1037" i="5"/>
  <c r="O1041" i="5" s="1"/>
  <c r="N153" i="5"/>
  <c r="N157" i="5" s="1"/>
  <c r="P969" i="5"/>
  <c r="P973" i="5" s="1"/>
  <c r="N442" i="5"/>
  <c r="N446" i="5" s="1"/>
  <c r="L460" i="6"/>
  <c r="L462" i="6"/>
  <c r="L590" i="6"/>
  <c r="L592" i="6"/>
  <c r="L826" i="6"/>
  <c r="L824" i="6"/>
  <c r="L785" i="6"/>
  <c r="L787" i="6"/>
  <c r="L83" i="6"/>
  <c r="L85" i="6"/>
  <c r="L655" i="6"/>
  <c r="L657" i="6"/>
  <c r="L228" i="6"/>
  <c r="L226" i="6"/>
  <c r="L748" i="6"/>
  <c r="L746" i="6"/>
  <c r="L512" i="6"/>
  <c r="L514" i="6"/>
  <c r="L369" i="6"/>
  <c r="L371" i="6"/>
  <c r="M816" i="5"/>
  <c r="M820" i="5" s="1"/>
  <c r="O221" i="5"/>
  <c r="O225" i="5" s="1"/>
  <c r="P238" i="5"/>
  <c r="P242" i="5" s="1"/>
  <c r="M510" i="5"/>
  <c r="M514" i="5" s="1"/>
  <c r="O578" i="5"/>
  <c r="O582" i="5" s="1"/>
  <c r="N272" i="5"/>
  <c r="N276" i="5" s="1"/>
  <c r="L135" i="6"/>
  <c r="L137" i="6"/>
  <c r="L254" i="6"/>
  <c r="L252" i="6"/>
  <c r="L241" i="6"/>
  <c r="L239" i="6"/>
  <c r="L449" i="6"/>
  <c r="L447" i="6"/>
  <c r="M255" i="5"/>
  <c r="M259" i="5" s="1"/>
  <c r="O680" i="5"/>
  <c r="O684" i="5" s="1"/>
  <c r="O935" i="5"/>
  <c r="O939" i="5" s="1"/>
  <c r="M170" i="5"/>
  <c r="M174" i="5" s="1"/>
  <c r="O85" i="5"/>
  <c r="O89" i="5" s="1"/>
  <c r="N102" i="5"/>
  <c r="N106" i="5" s="1"/>
  <c r="L631" i="6"/>
  <c r="L629" i="6"/>
  <c r="L408" i="6"/>
  <c r="L410" i="6"/>
  <c r="L319" i="6"/>
  <c r="L317" i="6"/>
  <c r="L707" i="6"/>
  <c r="L709" i="6"/>
  <c r="L111" i="6"/>
  <c r="L109" i="6"/>
  <c r="L189" i="6"/>
  <c r="L187" i="6"/>
  <c r="L96" i="6"/>
  <c r="L98" i="6"/>
  <c r="L421" i="6"/>
  <c r="L423" i="6"/>
  <c r="L395" i="6"/>
  <c r="L397" i="6"/>
  <c r="L343" i="6"/>
  <c r="L345" i="6"/>
  <c r="L306" i="6"/>
  <c r="L304" i="6"/>
  <c r="L280" i="6"/>
  <c r="L278" i="6"/>
  <c r="L200" i="6"/>
  <c r="L202" i="6"/>
  <c r="L603" i="6"/>
  <c r="L605" i="6"/>
  <c r="L813" i="6"/>
  <c r="L811" i="6"/>
  <c r="L332" i="6"/>
  <c r="L330" i="6"/>
  <c r="L265" i="6"/>
  <c r="L267" i="6"/>
  <c r="L382" i="6"/>
  <c r="L384" i="6"/>
  <c r="L215" i="6"/>
  <c r="L213" i="6"/>
  <c r="L163" i="6"/>
  <c r="L161" i="6"/>
  <c r="L527" i="6"/>
  <c r="L525" i="6"/>
  <c r="L798" i="6"/>
  <c r="L800" i="6"/>
  <c r="L618" i="6"/>
  <c r="L616" i="6"/>
  <c r="L722" i="6"/>
  <c r="L720" i="6"/>
  <c r="L70" i="6"/>
  <c r="L72" i="6"/>
  <c r="L499" i="6"/>
  <c r="L501" i="6"/>
  <c r="L551" i="6"/>
  <c r="L553" i="6"/>
  <c r="L733" i="6"/>
  <c r="L735" i="6"/>
  <c r="M544" i="5"/>
  <c r="M548" i="5" s="1"/>
  <c r="L538" i="6"/>
  <c r="L540" i="6"/>
  <c r="L566" i="6"/>
  <c r="L564" i="6"/>
  <c r="L124" i="6"/>
  <c r="L122" i="6"/>
  <c r="L358" i="6"/>
  <c r="L356" i="6"/>
  <c r="L642" i="6"/>
  <c r="L644" i="6"/>
  <c r="L761" i="6"/>
  <c r="L759" i="6"/>
  <c r="L475" i="6"/>
  <c r="L473" i="6"/>
  <c r="L176" i="6"/>
  <c r="L174" i="6"/>
  <c r="L577" i="6"/>
  <c r="L579" i="6"/>
  <c r="L436" i="6"/>
  <c r="L434" i="6"/>
  <c r="B9" i="4"/>
  <c r="C258" i="16"/>
  <c r="C259" i="16" s="1"/>
  <c r="C260" i="16" s="1"/>
  <c r="C261" i="16" s="1"/>
  <c r="C262" i="16" s="1"/>
  <c r="C263" i="16" s="1"/>
  <c r="C264" i="16" s="1"/>
  <c r="C265" i="16" s="1"/>
  <c r="C266" i="16" s="1"/>
  <c r="C267" i="16" s="1"/>
  <c r="C268" i="16" s="1"/>
  <c r="C269" i="16" s="1"/>
  <c r="C270" i="16" s="1"/>
  <c r="P268" i="16"/>
  <c r="N268" i="16"/>
  <c r="P267" i="16"/>
  <c r="N267" i="16"/>
  <c r="P266" i="16"/>
  <c r="N266" i="16"/>
  <c r="P265" i="16"/>
  <c r="N265" i="16"/>
  <c r="P264" i="16"/>
  <c r="N264" i="16"/>
  <c r="P263" i="16"/>
  <c r="N263" i="16"/>
  <c r="O268" i="16"/>
  <c r="M268" i="16"/>
  <c r="O267" i="16"/>
  <c r="M267" i="16"/>
  <c r="O266" i="16"/>
  <c r="M266" i="16"/>
  <c r="O265" i="16"/>
  <c r="M265" i="16"/>
  <c r="O264" i="16"/>
  <c r="M264" i="16"/>
  <c r="O263" i="16"/>
  <c r="M263" i="16"/>
  <c r="K268" i="16"/>
  <c r="K266" i="16"/>
  <c r="K264" i="16"/>
  <c r="K267" i="16"/>
  <c r="K265" i="16"/>
  <c r="K263" i="16"/>
  <c r="L268" i="16"/>
  <c r="L267" i="16"/>
  <c r="L266" i="16"/>
  <c r="L265" i="16"/>
  <c r="L264" i="16"/>
  <c r="L263" i="16"/>
  <c r="P261" i="16"/>
  <c r="N261" i="16"/>
  <c r="L261" i="16"/>
  <c r="K261" i="16"/>
  <c r="O261" i="16"/>
  <c r="M261" i="16"/>
  <c r="L269" i="16"/>
  <c r="K269" i="16"/>
  <c r="O269" i="16"/>
  <c r="P269" i="16"/>
  <c r="N269" i="16"/>
  <c r="M269" i="16"/>
  <c r="C272" i="16"/>
  <c r="C273" i="16" s="1"/>
  <c r="C274" i="16" s="1"/>
  <c r="C275" i="16" s="1"/>
  <c r="C276" i="16" s="1"/>
  <c r="C277" i="16" s="1"/>
  <c r="C278" i="16" s="1"/>
  <c r="C279" i="16" s="1"/>
  <c r="C280" i="16" s="1"/>
  <c r="C281" i="16" s="1"/>
  <c r="C282" i="16" s="1"/>
  <c r="C283" i="16" s="1"/>
  <c r="C284" i="16" s="1"/>
  <c r="P279" i="16"/>
  <c r="N279" i="16"/>
  <c r="P278" i="16"/>
  <c r="N278" i="16"/>
  <c r="P277" i="16"/>
  <c r="N277" i="16"/>
  <c r="O282" i="16"/>
  <c r="M282" i="16"/>
  <c r="O281" i="16"/>
  <c r="M281" i="16"/>
  <c r="O280" i="16"/>
  <c r="M280" i="16"/>
  <c r="O279" i="16"/>
  <c r="M279" i="16"/>
  <c r="O278" i="16"/>
  <c r="M278" i="16"/>
  <c r="O277" i="16"/>
  <c r="M277" i="16"/>
  <c r="P282" i="16"/>
  <c r="N282" i="16"/>
  <c r="K278" i="16"/>
  <c r="K277" i="16"/>
  <c r="L282" i="16"/>
  <c r="N281" i="16"/>
  <c r="L281" i="16"/>
  <c r="N280" i="16"/>
  <c r="L280" i="16"/>
  <c r="L279" i="16"/>
  <c r="L278" i="16"/>
  <c r="L277" i="16"/>
  <c r="K281" i="16"/>
  <c r="K282" i="16"/>
  <c r="K279" i="16"/>
  <c r="P281" i="16"/>
  <c r="P280" i="16"/>
  <c r="K280" i="16"/>
  <c r="P275" i="16"/>
  <c r="K275" i="16"/>
  <c r="N275" i="16"/>
  <c r="O275" i="16"/>
  <c r="M275" i="16"/>
  <c r="L275" i="16"/>
  <c r="P283" i="16"/>
  <c r="K283" i="16"/>
  <c r="O283" i="16"/>
  <c r="N283" i="16"/>
  <c r="L283" i="16"/>
  <c r="M283" i="16"/>
  <c r="O296" i="16"/>
  <c r="M296" i="16"/>
  <c r="O295" i="16"/>
  <c r="M295" i="16"/>
  <c r="O294" i="16"/>
  <c r="M294" i="16"/>
  <c r="O293" i="16"/>
  <c r="M293" i="16"/>
  <c r="O292" i="16"/>
  <c r="M292" i="16"/>
  <c r="O291" i="16"/>
  <c r="M291" i="16"/>
  <c r="P296" i="16"/>
  <c r="N296" i="16"/>
  <c r="P295" i="16"/>
  <c r="N295" i="16"/>
  <c r="P294" i="16"/>
  <c r="N294" i="16"/>
  <c r="P293" i="16"/>
  <c r="N293" i="16"/>
  <c r="P292" i="16"/>
  <c r="N292" i="16"/>
  <c r="P291" i="16"/>
  <c r="N291" i="16"/>
  <c r="L296" i="16"/>
  <c r="L295" i="16"/>
  <c r="L294" i="16"/>
  <c r="L293" i="16"/>
  <c r="L292" i="16"/>
  <c r="L291" i="16"/>
  <c r="K293" i="16"/>
  <c r="K294" i="16"/>
  <c r="K296" i="16"/>
  <c r="K295" i="16"/>
  <c r="K292" i="16"/>
  <c r="K291" i="16"/>
  <c r="P289" i="16"/>
  <c r="M289" i="16"/>
  <c r="N289" i="16"/>
  <c r="K289" i="16"/>
  <c r="L289" i="16"/>
  <c r="O289" i="16"/>
  <c r="O297" i="16"/>
  <c r="P297" i="16"/>
  <c r="L297" i="16"/>
  <c r="N297" i="16"/>
  <c r="K297" i="16"/>
  <c r="M297" i="16"/>
  <c r="O56" i="14"/>
  <c r="L56" i="14"/>
  <c r="O55" i="14"/>
  <c r="L55" i="14"/>
  <c r="O54" i="14"/>
  <c r="L54" i="14"/>
  <c r="O53" i="14"/>
  <c r="L53" i="14"/>
  <c r="O58" i="14"/>
  <c r="L58" i="14"/>
  <c r="O57" i="14"/>
  <c r="L57" i="14"/>
  <c r="O51" i="14"/>
  <c r="L51" i="14"/>
  <c r="L59" i="14"/>
  <c r="O59" i="14"/>
  <c r="O140" i="14"/>
  <c r="L140" i="14"/>
  <c r="O139" i="14"/>
  <c r="L139" i="14"/>
  <c r="O138" i="14"/>
  <c r="L138" i="14"/>
  <c r="O137" i="14"/>
  <c r="L137" i="14"/>
  <c r="O142" i="14"/>
  <c r="L142" i="14"/>
  <c r="O141" i="14"/>
  <c r="L141" i="14"/>
  <c r="O135" i="14"/>
  <c r="L135" i="14"/>
  <c r="L143" i="14"/>
  <c r="O143" i="14"/>
  <c r="O224" i="14"/>
  <c r="L224" i="14"/>
  <c r="O223" i="14"/>
  <c r="L223" i="14"/>
  <c r="O222" i="14"/>
  <c r="L222" i="14"/>
  <c r="O221" i="14"/>
  <c r="L221" i="14"/>
  <c r="O226" i="14"/>
  <c r="L226" i="14"/>
  <c r="O225" i="14"/>
  <c r="L225" i="14"/>
  <c r="L219" i="14"/>
  <c r="O219" i="14"/>
  <c r="O227" i="14"/>
  <c r="L227" i="14"/>
  <c r="O70" i="14"/>
  <c r="L70" i="14"/>
  <c r="O69" i="14"/>
  <c r="L69" i="14"/>
  <c r="O68" i="14"/>
  <c r="L68" i="14"/>
  <c r="O67" i="14"/>
  <c r="L67" i="14"/>
  <c r="O72" i="14"/>
  <c r="L72" i="14"/>
  <c r="O71" i="14"/>
  <c r="L71" i="14"/>
  <c r="O65" i="14"/>
  <c r="L65" i="14"/>
  <c r="L73" i="14"/>
  <c r="O73" i="14"/>
  <c r="O154" i="14"/>
  <c r="L154" i="14"/>
  <c r="O153" i="14"/>
  <c r="L153" i="14"/>
  <c r="O152" i="14"/>
  <c r="L152" i="14"/>
  <c r="O151" i="14"/>
  <c r="L151" i="14"/>
  <c r="O156" i="14"/>
  <c r="L156" i="14"/>
  <c r="O155" i="14"/>
  <c r="L155" i="14"/>
  <c r="O149" i="14"/>
  <c r="L149" i="14"/>
  <c r="O157" i="14"/>
  <c r="L157" i="14"/>
  <c r="O238" i="14"/>
  <c r="L238" i="14"/>
  <c r="O237" i="14"/>
  <c r="L237" i="14"/>
  <c r="O236" i="14"/>
  <c r="L236" i="14"/>
  <c r="O235" i="14"/>
  <c r="L235" i="14"/>
  <c r="O240" i="14"/>
  <c r="L240" i="14"/>
  <c r="O239" i="14"/>
  <c r="L239" i="14"/>
  <c r="L233" i="14"/>
  <c r="O233" i="14"/>
  <c r="O241" i="14"/>
  <c r="L241" i="14"/>
  <c r="O84" i="14"/>
  <c r="L84" i="14"/>
  <c r="O83" i="14"/>
  <c r="L83" i="14"/>
  <c r="O82" i="14"/>
  <c r="L82" i="14"/>
  <c r="O81" i="14"/>
  <c r="L81" i="14"/>
  <c r="O86" i="14"/>
  <c r="L86" i="14"/>
  <c r="O85" i="14"/>
  <c r="L85" i="14"/>
  <c r="O79" i="14"/>
  <c r="L79" i="14"/>
  <c r="L87" i="14"/>
  <c r="O87" i="14"/>
  <c r="O168" i="14"/>
  <c r="L168" i="14"/>
  <c r="O167" i="14"/>
  <c r="L167" i="14"/>
  <c r="O166" i="14"/>
  <c r="L166" i="14"/>
  <c r="O165" i="14"/>
  <c r="L165" i="14"/>
  <c r="O170" i="14"/>
  <c r="L170" i="14"/>
  <c r="O169" i="14"/>
  <c r="L169" i="14"/>
  <c r="O163" i="14"/>
  <c r="L163" i="14"/>
  <c r="L171" i="14"/>
  <c r="O171" i="14"/>
  <c r="O252" i="14"/>
  <c r="L252" i="14"/>
  <c r="O251" i="14"/>
  <c r="L251" i="14"/>
  <c r="O250" i="14"/>
  <c r="L250" i="14"/>
  <c r="O249" i="14"/>
  <c r="L249" i="14"/>
  <c r="O254" i="14"/>
  <c r="L254" i="14"/>
  <c r="O253" i="14"/>
  <c r="L253" i="14"/>
  <c r="L247" i="14"/>
  <c r="O247" i="14"/>
  <c r="L255" i="14"/>
  <c r="O255" i="14"/>
  <c r="C312" i="13"/>
  <c r="C313" i="13" s="1"/>
  <c r="C314" i="13" s="1"/>
  <c r="C315" i="13" s="1"/>
  <c r="C316" i="13" s="1"/>
  <c r="C317" i="13" s="1"/>
  <c r="C318" i="13" s="1"/>
  <c r="C319" i="13" s="1"/>
  <c r="C320" i="13" s="1"/>
  <c r="C321" i="13" s="1"/>
  <c r="C322" i="13" s="1"/>
  <c r="C323" i="13" s="1"/>
  <c r="C324" i="13" s="1"/>
  <c r="C325" i="13" s="1"/>
  <c r="C326" i="13" s="1"/>
  <c r="C327" i="13" s="1"/>
  <c r="O316" i="13"/>
  <c r="O318" i="13"/>
  <c r="O320" i="13"/>
  <c r="O321" i="13"/>
  <c r="O322" i="13"/>
  <c r="O323" i="13"/>
  <c r="O324" i="13"/>
  <c r="O325" i="13"/>
  <c r="N320" i="13"/>
  <c r="P316" i="13"/>
  <c r="P318" i="13"/>
  <c r="P320" i="13"/>
  <c r="P321" i="13"/>
  <c r="P322" i="13"/>
  <c r="P323" i="13"/>
  <c r="P324" i="13"/>
  <c r="P325" i="13"/>
  <c r="N316" i="13"/>
  <c r="N324" i="13"/>
  <c r="K316" i="13"/>
  <c r="K318" i="13"/>
  <c r="K320" i="13"/>
  <c r="K321" i="13"/>
  <c r="K322" i="13"/>
  <c r="K323" i="13"/>
  <c r="K324" i="13"/>
  <c r="K325" i="13"/>
  <c r="N323" i="13"/>
  <c r="L316" i="13"/>
  <c r="L318" i="13"/>
  <c r="L320" i="13"/>
  <c r="L321" i="13"/>
  <c r="L322" i="13"/>
  <c r="L323" i="13"/>
  <c r="L324" i="13"/>
  <c r="L325" i="13"/>
  <c r="N318" i="13"/>
  <c r="N322" i="13"/>
  <c r="N325" i="13"/>
  <c r="M316" i="13"/>
  <c r="M318" i="13"/>
  <c r="M320" i="13"/>
  <c r="M321" i="13"/>
  <c r="M322" i="13"/>
  <c r="M323" i="13"/>
  <c r="M324" i="13"/>
  <c r="M325" i="13"/>
  <c r="N321" i="13"/>
  <c r="L317" i="13"/>
  <c r="L315" i="13"/>
  <c r="K315" i="13"/>
  <c r="O315" i="13"/>
  <c r="K317" i="13"/>
  <c r="N317" i="13"/>
  <c r="N315" i="13"/>
  <c r="O317" i="13"/>
  <c r="L326" i="13"/>
  <c r="K326" i="13"/>
  <c r="O326" i="13"/>
  <c r="N326" i="13"/>
  <c r="P315" i="13"/>
  <c r="M317" i="13"/>
  <c r="P317" i="13"/>
  <c r="P326" i="13"/>
  <c r="M326" i="13"/>
  <c r="M315" i="13"/>
  <c r="C346" i="13"/>
  <c r="C347" i="13" s="1"/>
  <c r="C348" i="13" s="1"/>
  <c r="C349" i="13" s="1"/>
  <c r="C350" i="13" s="1"/>
  <c r="C351" i="13" s="1"/>
  <c r="C352" i="13" s="1"/>
  <c r="C353" i="13" s="1"/>
  <c r="C354" i="13" s="1"/>
  <c r="C355" i="13" s="1"/>
  <c r="C356" i="13" s="1"/>
  <c r="C357" i="13" s="1"/>
  <c r="C358" i="13" s="1"/>
  <c r="C359" i="13" s="1"/>
  <c r="C360" i="13" s="1"/>
  <c r="C361" i="13" s="1"/>
  <c r="O350" i="13"/>
  <c r="O352" i="13"/>
  <c r="O354" i="13"/>
  <c r="O355" i="13"/>
  <c r="O356" i="13"/>
  <c r="O357" i="13"/>
  <c r="O358" i="13"/>
  <c r="O359" i="13"/>
  <c r="N358" i="13"/>
  <c r="P350" i="13"/>
  <c r="P352" i="13"/>
  <c r="P354" i="13"/>
  <c r="P355" i="13"/>
  <c r="P356" i="13"/>
  <c r="P357" i="13"/>
  <c r="P358" i="13"/>
  <c r="P359" i="13"/>
  <c r="N356" i="13"/>
  <c r="K350" i="13"/>
  <c r="K352" i="13"/>
  <c r="K354" i="13"/>
  <c r="K355" i="13"/>
  <c r="K356" i="13"/>
  <c r="K357" i="13"/>
  <c r="K358" i="13"/>
  <c r="K359" i="13"/>
  <c r="N355" i="13"/>
  <c r="L350" i="13"/>
  <c r="L352" i="13"/>
  <c r="L354" i="13"/>
  <c r="L355" i="13"/>
  <c r="L356" i="13"/>
  <c r="L357" i="13"/>
  <c r="L358" i="13"/>
  <c r="L359" i="13"/>
  <c r="N354" i="13"/>
  <c r="N359" i="13"/>
  <c r="M350" i="13"/>
  <c r="M352" i="13"/>
  <c r="M354" i="13"/>
  <c r="M355" i="13"/>
  <c r="M356" i="13"/>
  <c r="M357" i="13"/>
  <c r="M358" i="13"/>
  <c r="M359" i="13"/>
  <c r="N350" i="13"/>
  <c r="N352" i="13"/>
  <c r="N357" i="13"/>
  <c r="K349" i="13"/>
  <c r="K351" i="13"/>
  <c r="L349" i="13"/>
  <c r="L351" i="13"/>
  <c r="N349" i="13"/>
  <c r="O349" i="13"/>
  <c r="O351" i="13"/>
  <c r="N351" i="13"/>
  <c r="K360" i="13"/>
  <c r="O360" i="13"/>
  <c r="L360" i="13"/>
  <c r="N360" i="13"/>
  <c r="M351" i="13"/>
  <c r="P351" i="13"/>
  <c r="P349" i="13"/>
  <c r="M360" i="13"/>
  <c r="P360" i="13"/>
  <c r="M349" i="13"/>
  <c r="O98" i="14"/>
  <c r="L98" i="14"/>
  <c r="O97" i="14"/>
  <c r="L97" i="14"/>
  <c r="O96" i="14"/>
  <c r="L96" i="14"/>
  <c r="O95" i="14"/>
  <c r="L95" i="14"/>
  <c r="O100" i="14"/>
  <c r="L100" i="14"/>
  <c r="O99" i="14"/>
  <c r="L99" i="14"/>
  <c r="O93" i="14"/>
  <c r="L93" i="14"/>
  <c r="L101" i="14"/>
  <c r="O101" i="14"/>
  <c r="O182" i="14"/>
  <c r="L182" i="14"/>
  <c r="O181" i="14"/>
  <c r="L181" i="14"/>
  <c r="O180" i="14"/>
  <c r="L180" i="14"/>
  <c r="O179" i="14"/>
  <c r="L179" i="14"/>
  <c r="O184" i="14"/>
  <c r="L184" i="14"/>
  <c r="O183" i="14"/>
  <c r="L183" i="14"/>
  <c r="O177" i="14"/>
  <c r="L177" i="14"/>
  <c r="O185" i="14"/>
  <c r="L185" i="14"/>
  <c r="O28" i="14"/>
  <c r="L28" i="14"/>
  <c r="O27" i="14"/>
  <c r="L27" i="14"/>
  <c r="O26" i="14"/>
  <c r="L26" i="14"/>
  <c r="O25" i="14"/>
  <c r="L25" i="14"/>
  <c r="O30" i="14"/>
  <c r="L30" i="14"/>
  <c r="O29" i="14"/>
  <c r="L29" i="14"/>
  <c r="L23" i="14"/>
  <c r="O23" i="14"/>
  <c r="L31" i="14"/>
  <c r="O31" i="14"/>
  <c r="O112" i="14"/>
  <c r="L112" i="14"/>
  <c r="O111" i="14"/>
  <c r="L111" i="14"/>
  <c r="O110" i="14"/>
  <c r="L110" i="14"/>
  <c r="O109" i="14"/>
  <c r="L109" i="14"/>
  <c r="O114" i="14"/>
  <c r="L114" i="14"/>
  <c r="O113" i="14"/>
  <c r="L113" i="14"/>
  <c r="L107" i="14"/>
  <c r="O107" i="14"/>
  <c r="L115" i="14"/>
  <c r="O115" i="14"/>
  <c r="O196" i="14"/>
  <c r="L196" i="14"/>
  <c r="O195" i="14"/>
  <c r="L195" i="14"/>
  <c r="O194" i="14"/>
  <c r="L194" i="14"/>
  <c r="O193" i="14"/>
  <c r="L193" i="14"/>
  <c r="O198" i="14"/>
  <c r="L198" i="14"/>
  <c r="O197" i="14"/>
  <c r="L197" i="14"/>
  <c r="L191" i="14"/>
  <c r="O191" i="14"/>
  <c r="L199" i="14"/>
  <c r="O199" i="14"/>
  <c r="O42" i="14"/>
  <c r="L42" i="14"/>
  <c r="O41" i="14"/>
  <c r="L41" i="14"/>
  <c r="O40" i="14"/>
  <c r="L40" i="14"/>
  <c r="O39" i="14"/>
  <c r="L39" i="14"/>
  <c r="O44" i="14"/>
  <c r="L44" i="14"/>
  <c r="O43" i="14"/>
  <c r="L43" i="14"/>
  <c r="O37" i="14"/>
  <c r="L37" i="14"/>
  <c r="O45" i="14"/>
  <c r="L45" i="14"/>
  <c r="O126" i="14"/>
  <c r="L126" i="14"/>
  <c r="O125" i="14"/>
  <c r="L125" i="14"/>
  <c r="O124" i="14"/>
  <c r="L124" i="14"/>
  <c r="O123" i="14"/>
  <c r="L123" i="14"/>
  <c r="O128" i="14"/>
  <c r="L128" i="14"/>
  <c r="O127" i="14"/>
  <c r="L127" i="14"/>
  <c r="O121" i="14"/>
  <c r="L121" i="14"/>
  <c r="L129" i="14"/>
  <c r="O129" i="14"/>
  <c r="O210" i="14"/>
  <c r="L210" i="14"/>
  <c r="O209" i="14"/>
  <c r="L209" i="14"/>
  <c r="O208" i="14"/>
  <c r="L208" i="14"/>
  <c r="O207" i="14"/>
  <c r="L207" i="14"/>
  <c r="O212" i="14"/>
  <c r="L212" i="14"/>
  <c r="O211" i="14"/>
  <c r="L211" i="14"/>
  <c r="O205" i="14"/>
  <c r="L205" i="14"/>
  <c r="O213" i="14"/>
  <c r="L213" i="14"/>
  <c r="O336" i="14"/>
  <c r="L336" i="14"/>
  <c r="O294" i="14"/>
  <c r="L294" i="14"/>
  <c r="O335" i="14"/>
  <c r="L335" i="14"/>
  <c r="O293" i="14"/>
  <c r="L293" i="14"/>
  <c r="O334" i="14"/>
  <c r="L334" i="14"/>
  <c r="O292" i="14"/>
  <c r="L292" i="14"/>
  <c r="O333" i="14"/>
  <c r="L333" i="14"/>
  <c r="O291" i="14"/>
  <c r="L291" i="14"/>
  <c r="O338" i="14"/>
  <c r="L338" i="14"/>
  <c r="O296" i="14"/>
  <c r="L296" i="14"/>
  <c r="O337" i="14"/>
  <c r="L337" i="14"/>
  <c r="O295" i="14"/>
  <c r="L295" i="14"/>
  <c r="O289" i="14"/>
  <c r="L289" i="14"/>
  <c r="O297" i="14"/>
  <c r="L297" i="14"/>
  <c r="C311" i="15"/>
  <c r="C312" i="15" s="1"/>
  <c r="C313" i="15" s="1"/>
  <c r="C314" i="15" s="1"/>
  <c r="C315" i="15" s="1"/>
  <c r="C316" i="15" s="1"/>
  <c r="C317" i="15" s="1"/>
  <c r="C318" i="15" s="1"/>
  <c r="C319" i="15" s="1"/>
  <c r="C320" i="15" s="1"/>
  <c r="C321" i="15" s="1"/>
  <c r="C322" i="15" s="1"/>
  <c r="C323" i="15" s="1"/>
  <c r="C324" i="15" s="1"/>
  <c r="C325" i="15" s="1"/>
  <c r="C326" i="15" s="1"/>
  <c r="K315" i="15"/>
  <c r="O315" i="15"/>
  <c r="K317" i="15"/>
  <c r="O317" i="15"/>
  <c r="M319" i="15"/>
  <c r="K320" i="15"/>
  <c r="O320" i="15"/>
  <c r="M321" i="15"/>
  <c r="K322" i="15"/>
  <c r="O322" i="15"/>
  <c r="M323" i="15"/>
  <c r="K324" i="15"/>
  <c r="O324" i="15"/>
  <c r="L315" i="15"/>
  <c r="P315" i="15"/>
  <c r="L317" i="15"/>
  <c r="P317" i="15"/>
  <c r="N319" i="15"/>
  <c r="L320" i="15"/>
  <c r="P320" i="15"/>
  <c r="N321" i="15"/>
  <c r="L322" i="15"/>
  <c r="P322" i="15"/>
  <c r="N323" i="15"/>
  <c r="L324" i="15"/>
  <c r="P324" i="15"/>
  <c r="M315" i="15"/>
  <c r="M317" i="15"/>
  <c r="K319" i="15"/>
  <c r="O319" i="15"/>
  <c r="M320" i="15"/>
  <c r="K321" i="15"/>
  <c r="O321" i="15"/>
  <c r="M322" i="15"/>
  <c r="K323" i="15"/>
  <c r="O323" i="15"/>
  <c r="M324" i="15"/>
  <c r="N315" i="15"/>
  <c r="N317" i="15"/>
  <c r="L319" i="15"/>
  <c r="P319" i="15"/>
  <c r="N320" i="15"/>
  <c r="L321" i="15"/>
  <c r="P321" i="15"/>
  <c r="N322" i="15"/>
  <c r="L323" i="15"/>
  <c r="P323" i="15"/>
  <c r="N324" i="15"/>
  <c r="P314" i="15"/>
  <c r="L314" i="15"/>
  <c r="M316" i="15"/>
  <c r="N325" i="15"/>
  <c r="M325" i="15"/>
  <c r="L325" i="15"/>
  <c r="O325" i="15"/>
  <c r="O314" i="15"/>
  <c r="N314" i="15"/>
  <c r="M314" i="15"/>
  <c r="O316" i="15"/>
  <c r="K316" i="15"/>
  <c r="P325" i="15"/>
  <c r="N316" i="15"/>
  <c r="K314" i="15"/>
  <c r="P316" i="15"/>
  <c r="L316" i="15"/>
  <c r="K325" i="15"/>
  <c r="C328" i="15"/>
  <c r="C329" i="15" s="1"/>
  <c r="C330" i="15" s="1"/>
  <c r="C331" i="15" s="1"/>
  <c r="C332" i="15" s="1"/>
  <c r="C333" i="15" s="1"/>
  <c r="C334" i="15" s="1"/>
  <c r="C335" i="15" s="1"/>
  <c r="C336" i="15" s="1"/>
  <c r="C337" i="15" s="1"/>
  <c r="C338" i="15" s="1"/>
  <c r="C339" i="15" s="1"/>
  <c r="C340" i="15" s="1"/>
  <c r="C341" i="15" s="1"/>
  <c r="C342" i="15" s="1"/>
  <c r="C343" i="15" s="1"/>
  <c r="M332" i="15"/>
  <c r="M334" i="15"/>
  <c r="K336" i="15"/>
  <c r="O336" i="15"/>
  <c r="M337" i="15"/>
  <c r="K338" i="15"/>
  <c r="O338" i="15"/>
  <c r="M339" i="15"/>
  <c r="K340" i="15"/>
  <c r="O340" i="15"/>
  <c r="M341" i="15"/>
  <c r="N332" i="15"/>
  <c r="N334" i="15"/>
  <c r="L336" i="15"/>
  <c r="P336" i="15"/>
  <c r="N337" i="15"/>
  <c r="L338" i="15"/>
  <c r="P338" i="15"/>
  <c r="N339" i="15"/>
  <c r="L340" i="15"/>
  <c r="P340" i="15"/>
  <c r="N341" i="15"/>
  <c r="K332" i="15"/>
  <c r="O332" i="15"/>
  <c r="K334" i="15"/>
  <c r="O334" i="15"/>
  <c r="M336" i="15"/>
  <c r="K337" i="15"/>
  <c r="O337" i="15"/>
  <c r="M338" i="15"/>
  <c r="K339" i="15"/>
  <c r="O339" i="15"/>
  <c r="M340" i="15"/>
  <c r="K341" i="15"/>
  <c r="O341" i="15"/>
  <c r="L332" i="15"/>
  <c r="P332" i="15"/>
  <c r="L334" i="15"/>
  <c r="P334" i="15"/>
  <c r="N336" i="15"/>
  <c r="L337" i="15"/>
  <c r="P337" i="15"/>
  <c r="N338" i="15"/>
  <c r="L339" i="15"/>
  <c r="P339" i="15"/>
  <c r="N340" i="15"/>
  <c r="L341" i="15"/>
  <c r="P341" i="15"/>
  <c r="L342" i="15"/>
  <c r="O331" i="15"/>
  <c r="K331" i="15"/>
  <c r="M342" i="15"/>
  <c r="O333" i="15"/>
  <c r="K333" i="15"/>
  <c r="P342" i="15"/>
  <c r="M333" i="15"/>
  <c r="N342" i="15"/>
  <c r="P333" i="15"/>
  <c r="L333" i="15"/>
  <c r="M331" i="15"/>
  <c r="P331" i="15"/>
  <c r="K342" i="15"/>
  <c r="N331" i="15"/>
  <c r="L331" i="15"/>
  <c r="N333" i="15"/>
  <c r="O342" i="15"/>
  <c r="K349" i="15"/>
  <c r="O349" i="15"/>
  <c r="K351" i="15"/>
  <c r="O351" i="15"/>
  <c r="M353" i="15"/>
  <c r="K354" i="15"/>
  <c r="O354" i="15"/>
  <c r="M355" i="15"/>
  <c r="K356" i="15"/>
  <c r="O356" i="15"/>
  <c r="M357" i="15"/>
  <c r="K358" i="15"/>
  <c r="O358" i="15"/>
  <c r="L349" i="15"/>
  <c r="P349" i="15"/>
  <c r="L351" i="15"/>
  <c r="P351" i="15"/>
  <c r="N353" i="15"/>
  <c r="L354" i="15"/>
  <c r="P354" i="15"/>
  <c r="N355" i="15"/>
  <c r="L356" i="15"/>
  <c r="P356" i="15"/>
  <c r="N357" i="15"/>
  <c r="L358" i="15"/>
  <c r="P358" i="15"/>
  <c r="M349" i="15"/>
  <c r="M351" i="15"/>
  <c r="K353" i="15"/>
  <c r="O353" i="15"/>
  <c r="M354" i="15"/>
  <c r="K355" i="15"/>
  <c r="O355" i="15"/>
  <c r="M356" i="15"/>
  <c r="K357" i="15"/>
  <c r="O357" i="15"/>
  <c r="M358" i="15"/>
  <c r="N349" i="15"/>
  <c r="N351" i="15"/>
  <c r="L353" i="15"/>
  <c r="P353" i="15"/>
  <c r="N354" i="15"/>
  <c r="L355" i="15"/>
  <c r="P355" i="15"/>
  <c r="N356" i="15"/>
  <c r="L357" i="15"/>
  <c r="P357" i="15"/>
  <c r="N358" i="15"/>
  <c r="L359" i="15"/>
  <c r="O359" i="15"/>
  <c r="O348" i="15"/>
  <c r="N348" i="15"/>
  <c r="M348" i="15"/>
  <c r="O350" i="15"/>
  <c r="K350" i="15"/>
  <c r="P359" i="15"/>
  <c r="N350" i="15"/>
  <c r="K348" i="15"/>
  <c r="P350" i="15"/>
  <c r="L350" i="15"/>
  <c r="K359" i="15"/>
  <c r="P348" i="15"/>
  <c r="L348" i="15"/>
  <c r="M350" i="15"/>
  <c r="N359" i="15"/>
  <c r="M359" i="15"/>
  <c r="C286" i="16"/>
  <c r="C287" i="16" s="1"/>
  <c r="C288" i="16" s="1"/>
  <c r="C289" i="16" s="1"/>
  <c r="C290" i="16" s="1"/>
  <c r="C291" i="16" s="1"/>
  <c r="C292" i="16" s="1"/>
  <c r="C293" i="16" s="1"/>
  <c r="C294" i="16" s="1"/>
  <c r="C295" i="16" s="1"/>
  <c r="C296" i="16" s="1"/>
  <c r="C297" i="16" s="1"/>
  <c r="C298" i="16" s="1"/>
  <c r="J294" i="16"/>
  <c r="I294" i="16"/>
  <c r="H294" i="16"/>
  <c r="G294" i="16"/>
  <c r="F294" i="16"/>
  <c r="H292" i="16"/>
  <c r="J291" i="16"/>
  <c r="I291" i="16"/>
  <c r="H291" i="16"/>
  <c r="G291" i="16"/>
  <c r="F291" i="16"/>
  <c r="J293" i="16"/>
  <c r="I293" i="16"/>
  <c r="H293" i="16"/>
  <c r="G293" i="16"/>
  <c r="F293" i="16"/>
  <c r="J292" i="16"/>
  <c r="I292" i="16"/>
  <c r="G292" i="16"/>
  <c r="F292" i="16"/>
  <c r="J296" i="16"/>
  <c r="I296" i="16"/>
  <c r="H296" i="16"/>
  <c r="G296" i="16"/>
  <c r="F296" i="16"/>
  <c r="J295" i="16"/>
  <c r="I295" i="16"/>
  <c r="H295" i="16"/>
  <c r="G295" i="16"/>
  <c r="F295" i="16"/>
  <c r="C345" i="15"/>
  <c r="C346" i="15" s="1"/>
  <c r="C347" i="15" s="1"/>
  <c r="C348" i="15" s="1"/>
  <c r="C349" i="15" s="1"/>
  <c r="C350" i="15" s="1"/>
  <c r="C351" i="15" s="1"/>
  <c r="C352" i="15" s="1"/>
  <c r="C353" i="15" s="1"/>
  <c r="C354" i="15" s="1"/>
  <c r="C355" i="15" s="1"/>
  <c r="C356" i="15" s="1"/>
  <c r="C357" i="15" s="1"/>
  <c r="C358" i="15" s="1"/>
  <c r="C359" i="15" s="1"/>
  <c r="C360" i="15" s="1"/>
  <c r="J353" i="15"/>
  <c r="I356" i="15"/>
  <c r="G354" i="15"/>
  <c r="F357" i="15"/>
  <c r="I354" i="15"/>
  <c r="J349" i="15"/>
  <c r="F354" i="15"/>
  <c r="H355" i="15"/>
  <c r="J351" i="15"/>
  <c r="I355" i="15"/>
  <c r="H358" i="15"/>
  <c r="H349" i="15"/>
  <c r="G353" i="15"/>
  <c r="F356" i="15"/>
  <c r="H357" i="15"/>
  <c r="G351" i="15"/>
  <c r="J358" i="15"/>
  <c r="I353" i="15"/>
  <c r="H356" i="15"/>
  <c r="J357" i="15"/>
  <c r="I351" i="15"/>
  <c r="G358" i="15"/>
  <c r="F353" i="15"/>
  <c r="F355" i="15"/>
  <c r="G349" i="15"/>
  <c r="J356" i="15"/>
  <c r="H354" i="15"/>
  <c r="G357" i="15"/>
  <c r="F351" i="15"/>
  <c r="J355" i="15"/>
  <c r="I358" i="15"/>
  <c r="I349" i="15"/>
  <c r="H353" i="15"/>
  <c r="G356" i="15"/>
  <c r="J354" i="15"/>
  <c r="I357" i="15"/>
  <c r="H351" i="15"/>
  <c r="G355" i="15"/>
  <c r="F358" i="15"/>
  <c r="F349" i="15"/>
  <c r="J169" i="12"/>
  <c r="I169" i="12"/>
  <c r="K169" i="12"/>
  <c r="K177" i="12"/>
  <c r="J177" i="12"/>
  <c r="I177" i="12"/>
  <c r="T217" i="11"/>
  <c r="R215" i="11"/>
  <c r="O216" i="11"/>
  <c r="K217" i="11"/>
  <c r="I215" i="11"/>
  <c r="F216" i="11"/>
  <c r="M216" i="11"/>
  <c r="J216" i="11"/>
  <c r="T216" i="11"/>
  <c r="Q217" i="11"/>
  <c r="O215" i="11"/>
  <c r="K216" i="11"/>
  <c r="H217" i="11"/>
  <c r="F215" i="11"/>
  <c r="P217" i="11"/>
  <c r="T215" i="11"/>
  <c r="Q216" i="11"/>
  <c r="K215" i="11"/>
  <c r="H216" i="11"/>
  <c r="S217" i="11"/>
  <c r="Q215" i="11"/>
  <c r="N216" i="11"/>
  <c r="J217" i="11"/>
  <c r="H215" i="11"/>
  <c r="S216" i="11"/>
  <c r="G217" i="11"/>
  <c r="S215" i="11"/>
  <c r="P216" i="11"/>
  <c r="J215" i="11"/>
  <c r="G216" i="11"/>
  <c r="O217" i="11"/>
  <c r="I216" i="11"/>
  <c r="F217" i="11"/>
  <c r="R217" i="11"/>
  <c r="P215" i="11"/>
  <c r="L216" i="11"/>
  <c r="I217" i="11"/>
  <c r="G215" i="11"/>
  <c r="R216" i="11"/>
  <c r="L196" i="11"/>
  <c r="C191" i="11"/>
  <c r="C192" i="11" s="1"/>
  <c r="C193" i="11" s="1"/>
  <c r="C194" i="11" s="1"/>
  <c r="C195" i="11" s="1"/>
  <c r="C196" i="11" s="1"/>
  <c r="C197" i="11" s="1"/>
  <c r="C198" i="11" s="1"/>
  <c r="C190" i="11"/>
  <c r="N206" i="11"/>
  <c r="C201" i="11"/>
  <c r="C202" i="11" s="1"/>
  <c r="C203" i="11" s="1"/>
  <c r="C204" i="11" s="1"/>
  <c r="C205" i="11" s="1"/>
  <c r="C206" i="11" s="1"/>
  <c r="C207" i="11" s="1"/>
  <c r="C208" i="11" s="1"/>
  <c r="C200" i="11"/>
  <c r="C211" i="11"/>
  <c r="C212" i="11" s="1"/>
  <c r="C213" i="11" s="1"/>
  <c r="C214" i="11" s="1"/>
  <c r="C215" i="11" s="1"/>
  <c r="C216" i="11" s="1"/>
  <c r="C217" i="11" s="1"/>
  <c r="C218" i="11" s="1"/>
  <c r="C210" i="11"/>
  <c r="E258" i="14"/>
  <c r="E272" i="14"/>
  <c r="E142" i="13"/>
  <c r="E159" i="13"/>
  <c r="E227" i="13"/>
  <c r="E176" i="13"/>
  <c r="E244" i="13"/>
  <c r="E295" i="13"/>
  <c r="F65" i="13"/>
  <c r="E193" i="13"/>
  <c r="E261" i="13"/>
  <c r="E329" i="13"/>
  <c r="E210" i="13"/>
  <c r="E278" i="13"/>
  <c r="I338" i="14"/>
  <c r="S337" i="14"/>
  <c r="H337" i="14"/>
  <c r="J336" i="14"/>
  <c r="U335" i="14"/>
  <c r="N335" i="14"/>
  <c r="T338" i="14"/>
  <c r="H338" i="14"/>
  <c r="P337" i="14"/>
  <c r="S336" i="14"/>
  <c r="M336" i="14"/>
  <c r="I335" i="14"/>
  <c r="R334" i="14"/>
  <c r="M334" i="14"/>
  <c r="P333" i="14"/>
  <c r="U333" i="14"/>
  <c r="T337" i="14"/>
  <c r="S338" i="14"/>
  <c r="M338" i="14"/>
  <c r="I337" i="14"/>
  <c r="R336" i="14"/>
  <c r="F336" i="14"/>
  <c r="G335" i="14"/>
  <c r="K334" i="14"/>
  <c r="F334" i="14"/>
  <c r="I333" i="14"/>
  <c r="I336" i="14"/>
  <c r="R338" i="14"/>
  <c r="F338" i="14"/>
  <c r="N337" i="14"/>
  <c r="K336" i="14"/>
  <c r="T335" i="14"/>
  <c r="H335" i="14"/>
  <c r="J334" i="14"/>
  <c r="N333" i="14"/>
  <c r="R335" i="14"/>
  <c r="K338" i="14"/>
  <c r="U337" i="14"/>
  <c r="G337" i="14"/>
  <c r="P336" i="14"/>
  <c r="S335" i="14"/>
  <c r="M335" i="14"/>
  <c r="P334" i="14"/>
  <c r="T333" i="14"/>
  <c r="G333" i="14"/>
  <c r="J338" i="14"/>
  <c r="F335" i="14"/>
  <c r="U338" i="14"/>
  <c r="G338" i="14"/>
  <c r="J337" i="14"/>
  <c r="T336" i="14"/>
  <c r="H336" i="14"/>
  <c r="P335" i="14"/>
  <c r="S334" i="14"/>
  <c r="H334" i="14"/>
  <c r="J333" i="14"/>
  <c r="M337" i="14"/>
  <c r="U336" i="14"/>
  <c r="N334" i="14"/>
  <c r="J335" i="14"/>
  <c r="U334" i="14"/>
  <c r="K337" i="14"/>
  <c r="G334" i="14"/>
  <c r="M289" i="14"/>
  <c r="G336" i="14"/>
  <c r="P338" i="14"/>
  <c r="R333" i="14"/>
  <c r="N338" i="14"/>
  <c r="H333" i="14"/>
  <c r="M333" i="14"/>
  <c r="F337" i="14"/>
  <c r="I334" i="14"/>
  <c r="F333" i="14"/>
  <c r="N336" i="14"/>
  <c r="S333" i="14"/>
  <c r="K335" i="14"/>
  <c r="K333" i="14"/>
  <c r="R337" i="14"/>
  <c r="T334" i="14"/>
  <c r="G378" i="13"/>
  <c r="H378" i="13"/>
  <c r="J378" i="13"/>
  <c r="I378" i="13"/>
  <c r="F322" i="13"/>
  <c r="P480" i="14"/>
  <c r="M480" i="14"/>
  <c r="I480" i="14"/>
  <c r="G480" i="14"/>
  <c r="K480" i="14"/>
  <c r="N480" i="14"/>
  <c r="H480" i="14"/>
  <c r="J480" i="14"/>
  <c r="P830" i="14"/>
  <c r="K830" i="14"/>
  <c r="I830" i="14"/>
  <c r="N830" i="14"/>
  <c r="G830" i="14"/>
  <c r="H830" i="14"/>
  <c r="M830" i="14"/>
  <c r="J830" i="14"/>
  <c r="P816" i="14"/>
  <c r="I816" i="14"/>
  <c r="N816" i="14"/>
  <c r="G816" i="14"/>
  <c r="H816" i="14"/>
  <c r="M816" i="14"/>
  <c r="K816" i="14"/>
  <c r="J816" i="14"/>
  <c r="P802" i="14"/>
  <c r="I802" i="14"/>
  <c r="N802" i="14"/>
  <c r="G802" i="14"/>
  <c r="H802" i="14"/>
  <c r="M802" i="14"/>
  <c r="K802" i="14"/>
  <c r="J802" i="14"/>
  <c r="P788" i="14"/>
  <c r="I788" i="14"/>
  <c r="N788" i="14"/>
  <c r="G788" i="14"/>
  <c r="H788" i="14"/>
  <c r="M788" i="14"/>
  <c r="K788" i="14"/>
  <c r="J788" i="14"/>
  <c r="P774" i="14"/>
  <c r="I774" i="14"/>
  <c r="N774" i="14"/>
  <c r="G774" i="14"/>
  <c r="H774" i="14"/>
  <c r="K774" i="14"/>
  <c r="M774" i="14"/>
  <c r="J774" i="14"/>
  <c r="P760" i="14"/>
  <c r="N760" i="14"/>
  <c r="G760" i="14"/>
  <c r="I760" i="14"/>
  <c r="H760" i="14"/>
  <c r="M760" i="14"/>
  <c r="K760" i="14"/>
  <c r="J760" i="14"/>
  <c r="P746" i="14"/>
  <c r="N746" i="14"/>
  <c r="G746" i="14"/>
  <c r="I746" i="14"/>
  <c r="H746" i="14"/>
  <c r="K746" i="14"/>
  <c r="M746" i="14"/>
  <c r="J746" i="14"/>
  <c r="P732" i="14"/>
  <c r="I732" i="14"/>
  <c r="K732" i="14"/>
  <c r="N732" i="14"/>
  <c r="G732" i="14"/>
  <c r="H732" i="14"/>
  <c r="M732" i="14"/>
  <c r="J732" i="14"/>
  <c r="P718" i="14"/>
  <c r="I718" i="14"/>
  <c r="N718" i="14"/>
  <c r="G718" i="14"/>
  <c r="H718" i="14"/>
  <c r="M718" i="14"/>
  <c r="K718" i="14"/>
  <c r="J718" i="14"/>
  <c r="P704" i="14"/>
  <c r="I704" i="14"/>
  <c r="N704" i="14"/>
  <c r="G704" i="14"/>
  <c r="H704" i="14"/>
  <c r="M704" i="14"/>
  <c r="K704" i="14"/>
  <c r="J704" i="14"/>
  <c r="P690" i="14"/>
  <c r="K690" i="14"/>
  <c r="I690" i="14"/>
  <c r="N690" i="14"/>
  <c r="G690" i="14"/>
  <c r="H690" i="14"/>
  <c r="M690" i="14"/>
  <c r="J690" i="14"/>
  <c r="P676" i="14"/>
  <c r="G676" i="14"/>
  <c r="J676" i="14"/>
  <c r="I676" i="14"/>
  <c r="N676" i="14"/>
  <c r="H676" i="14"/>
  <c r="M676" i="14"/>
  <c r="K676" i="14"/>
  <c r="P662" i="14"/>
  <c r="I662" i="14"/>
  <c r="N662" i="14"/>
  <c r="G662" i="14"/>
  <c r="H662" i="14"/>
  <c r="M662" i="14"/>
  <c r="K662" i="14"/>
  <c r="J662" i="14"/>
  <c r="P648" i="14"/>
  <c r="G648" i="14"/>
  <c r="K648" i="14"/>
  <c r="I648" i="14"/>
  <c r="N648" i="14"/>
  <c r="H648" i="14"/>
  <c r="M648" i="14"/>
  <c r="J648" i="14"/>
  <c r="P634" i="14"/>
  <c r="I634" i="14"/>
  <c r="N634" i="14"/>
  <c r="G634" i="14"/>
  <c r="H634" i="14"/>
  <c r="M634" i="14"/>
  <c r="K634" i="14"/>
  <c r="J634" i="14"/>
  <c r="P620" i="14"/>
  <c r="G620" i="14"/>
  <c r="I620" i="14"/>
  <c r="N620" i="14"/>
  <c r="H620" i="14"/>
  <c r="M620" i="14"/>
  <c r="K620" i="14"/>
  <c r="J620" i="14"/>
  <c r="P606" i="14"/>
  <c r="I606" i="14"/>
  <c r="N606" i="14"/>
  <c r="G606" i="14"/>
  <c r="H606" i="14"/>
  <c r="M606" i="14"/>
  <c r="K606" i="14"/>
  <c r="J606" i="14"/>
  <c r="M293" i="14"/>
  <c r="C298" i="14"/>
  <c r="C290" i="14"/>
  <c r="C286" i="14"/>
  <c r="C297" i="14"/>
  <c r="C289" i="14"/>
  <c r="C287" i="14"/>
  <c r="C294" i="14"/>
  <c r="C291" i="14"/>
  <c r="C296" i="14"/>
  <c r="C288" i="14"/>
  <c r="C295" i="14"/>
  <c r="C293" i="14"/>
  <c r="C292" i="14"/>
  <c r="E130" i="11"/>
  <c r="E150" i="11"/>
  <c r="I155" i="11" s="1"/>
  <c r="E120" i="11"/>
  <c r="I126" i="11" s="1"/>
  <c r="E160" i="11"/>
  <c r="E90" i="11"/>
  <c r="E100" i="11"/>
  <c r="E80" i="11"/>
  <c r="J87" i="11" s="1"/>
  <c r="E110" i="11"/>
  <c r="E180" i="11"/>
  <c r="E70" i="11"/>
  <c r="J76" i="11" s="1"/>
  <c r="E140" i="11"/>
  <c r="F145" i="11" s="1"/>
  <c r="E170" i="11"/>
  <c r="E148" i="12"/>
  <c r="C148" i="12" s="1"/>
  <c r="C149" i="12" s="1"/>
  <c r="C150" i="12" s="1"/>
  <c r="C151" i="12" s="1"/>
  <c r="C152" i="12" s="1"/>
  <c r="C153" i="12" s="1"/>
  <c r="C154" i="12" s="1"/>
  <c r="E116" i="12"/>
  <c r="E84" i="12"/>
  <c r="C84" i="12" s="1"/>
  <c r="C85" i="12" s="1"/>
  <c r="C86" i="12" s="1"/>
  <c r="C87" i="12" s="1"/>
  <c r="C88" i="12" s="1"/>
  <c r="C89" i="12" s="1"/>
  <c r="C90" i="12" s="1"/>
  <c r="E140" i="12"/>
  <c r="E108" i="12"/>
  <c r="C108" i="12" s="1"/>
  <c r="C109" i="12" s="1"/>
  <c r="C110" i="12" s="1"/>
  <c r="C111" i="12" s="1"/>
  <c r="C112" i="12" s="1"/>
  <c r="C113" i="12" s="1"/>
  <c r="C114" i="12" s="1"/>
  <c r="E76" i="12"/>
  <c r="E132" i="12"/>
  <c r="E100" i="12"/>
  <c r="E68" i="12"/>
  <c r="C68" i="12" s="1"/>
  <c r="C69" i="12" s="1"/>
  <c r="C70" i="12" s="1"/>
  <c r="C71" i="12" s="1"/>
  <c r="C72" i="12" s="1"/>
  <c r="C73" i="12" s="1"/>
  <c r="C74" i="12" s="1"/>
  <c r="E124" i="12"/>
  <c r="E92" i="12"/>
  <c r="C92" i="12" s="1"/>
  <c r="C93" i="12" s="1"/>
  <c r="C94" i="12" s="1"/>
  <c r="C95" i="12" s="1"/>
  <c r="C96" i="12" s="1"/>
  <c r="C97" i="12" s="1"/>
  <c r="C98" i="12" s="1"/>
  <c r="E60" i="12"/>
  <c r="U354" i="13"/>
  <c r="M149" i="14"/>
  <c r="M93" i="14"/>
  <c r="M121" i="14"/>
  <c r="G294" i="14"/>
  <c r="M247" i="14"/>
  <c r="I295" i="14"/>
  <c r="M107" i="14"/>
  <c r="M177" i="14"/>
  <c r="M219" i="14"/>
  <c r="U291" i="14"/>
  <c r="E277" i="15"/>
  <c r="E124" i="15"/>
  <c r="E175" i="15"/>
  <c r="E192" i="15"/>
  <c r="H320" i="15"/>
  <c r="J332" i="15"/>
  <c r="E107" i="15"/>
  <c r="E158" i="15"/>
  <c r="H340" i="15"/>
  <c r="E209" i="15"/>
  <c r="E243" i="15"/>
  <c r="F323" i="15"/>
  <c r="F334" i="15"/>
  <c r="E141" i="15"/>
  <c r="E226" i="15"/>
  <c r="E260" i="15"/>
  <c r="E294" i="15"/>
  <c r="F339" i="15"/>
  <c r="E118" i="16"/>
  <c r="E188" i="16"/>
  <c r="E146" i="16"/>
  <c r="E90" i="16"/>
  <c r="E230" i="16"/>
  <c r="E216" i="16"/>
  <c r="E160" i="16"/>
  <c r="E202" i="16"/>
  <c r="E104" i="16"/>
  <c r="E132" i="16"/>
  <c r="E174" i="16"/>
  <c r="E244" i="16"/>
  <c r="J277" i="16"/>
  <c r="F265" i="16"/>
  <c r="H280" i="16"/>
  <c r="J267" i="16"/>
  <c r="H317" i="15"/>
  <c r="F321" i="15"/>
  <c r="J323" i="15"/>
  <c r="H336" i="15"/>
  <c r="J341" i="15"/>
  <c r="H315" i="15"/>
  <c r="F319" i="15"/>
  <c r="J321" i="15"/>
  <c r="H324" i="15"/>
  <c r="J337" i="15"/>
  <c r="J319" i="15"/>
  <c r="H322" i="15"/>
  <c r="P292" i="14"/>
  <c r="K293" i="14"/>
  <c r="S294" i="14"/>
  <c r="U295" i="14"/>
  <c r="M297" i="14"/>
  <c r="N291" i="14"/>
  <c r="J292" i="14"/>
  <c r="R293" i="14"/>
  <c r="T294" i="14"/>
  <c r="P296" i="14"/>
  <c r="K297" i="14"/>
  <c r="I291" i="14"/>
  <c r="F293" i="14"/>
  <c r="H294" i="14"/>
  <c r="N295" i="14"/>
  <c r="J296" i="14"/>
  <c r="H357" i="13"/>
  <c r="T350" i="13"/>
  <c r="F356" i="13"/>
  <c r="F197" i="11"/>
  <c r="J195" i="11"/>
  <c r="J197" i="11"/>
  <c r="H196" i="11"/>
  <c r="F263" i="16"/>
  <c r="J265" i="16"/>
  <c r="H268" i="16"/>
  <c r="G282" i="16"/>
  <c r="I281" i="16"/>
  <c r="G280" i="16"/>
  <c r="I279" i="16"/>
  <c r="G278" i="16"/>
  <c r="I277" i="16"/>
  <c r="J282" i="16"/>
  <c r="F282" i="16"/>
  <c r="H281" i="16"/>
  <c r="J280" i="16"/>
  <c r="F280" i="16"/>
  <c r="H279" i="16"/>
  <c r="J278" i="16"/>
  <c r="F278" i="16"/>
  <c r="H277" i="16"/>
  <c r="I282" i="16"/>
  <c r="G281" i="16"/>
  <c r="I280" i="16"/>
  <c r="G279" i="16"/>
  <c r="I278" i="16"/>
  <c r="G277" i="16"/>
  <c r="H278" i="16"/>
  <c r="F281" i="16"/>
  <c r="J263" i="16"/>
  <c r="H266" i="16"/>
  <c r="F279" i="16"/>
  <c r="J281" i="16"/>
  <c r="G268" i="16"/>
  <c r="I267" i="16"/>
  <c r="G266" i="16"/>
  <c r="I265" i="16"/>
  <c r="G264" i="16"/>
  <c r="I263" i="16"/>
  <c r="J268" i="16"/>
  <c r="F268" i="16"/>
  <c r="H267" i="16"/>
  <c r="J266" i="16"/>
  <c r="F266" i="16"/>
  <c r="H265" i="16"/>
  <c r="J264" i="16"/>
  <c r="F264" i="16"/>
  <c r="H263" i="16"/>
  <c r="I268" i="16"/>
  <c r="G267" i="16"/>
  <c r="I266" i="16"/>
  <c r="G265" i="16"/>
  <c r="I264" i="16"/>
  <c r="G263" i="16"/>
  <c r="H264" i="16"/>
  <c r="F267" i="16"/>
  <c r="F277" i="16"/>
  <c r="J279" i="16"/>
  <c r="H282" i="16"/>
  <c r="J324" i="15"/>
  <c r="F324" i="15"/>
  <c r="H323" i="15"/>
  <c r="J322" i="15"/>
  <c r="F322" i="15"/>
  <c r="H321" i="15"/>
  <c r="J320" i="15"/>
  <c r="F320" i="15"/>
  <c r="H319" i="15"/>
  <c r="J317" i="15"/>
  <c r="F317" i="15"/>
  <c r="J315" i="15"/>
  <c r="F315" i="15"/>
  <c r="I324" i="15"/>
  <c r="G323" i="15"/>
  <c r="I322" i="15"/>
  <c r="G321" i="15"/>
  <c r="I320" i="15"/>
  <c r="G319" i="15"/>
  <c r="I317" i="15"/>
  <c r="I315" i="15"/>
  <c r="G315" i="15"/>
  <c r="G320" i="15"/>
  <c r="I321" i="15"/>
  <c r="G324" i="15"/>
  <c r="I334" i="15"/>
  <c r="G338" i="15"/>
  <c r="I339" i="15"/>
  <c r="H341" i="15"/>
  <c r="J340" i="15"/>
  <c r="F340" i="15"/>
  <c r="H339" i="15"/>
  <c r="J338" i="15"/>
  <c r="F338" i="15"/>
  <c r="H337" i="15"/>
  <c r="J336" i="15"/>
  <c r="F336" i="15"/>
  <c r="H334" i="15"/>
  <c r="H332" i="15"/>
  <c r="G341" i="15"/>
  <c r="I340" i="15"/>
  <c r="G339" i="15"/>
  <c r="I338" i="15"/>
  <c r="G337" i="15"/>
  <c r="I336" i="15"/>
  <c r="G334" i="15"/>
  <c r="G332" i="15"/>
  <c r="F332" i="15"/>
  <c r="J334" i="15"/>
  <c r="F337" i="15"/>
  <c r="H338" i="15"/>
  <c r="J339" i="15"/>
  <c r="F341" i="15"/>
  <c r="G317" i="15"/>
  <c r="I319" i="15"/>
  <c r="G322" i="15"/>
  <c r="I323" i="15"/>
  <c r="I332" i="15"/>
  <c r="G336" i="15"/>
  <c r="I337" i="15"/>
  <c r="G340" i="15"/>
  <c r="I341" i="15"/>
  <c r="F291" i="14"/>
  <c r="K291" i="14"/>
  <c r="H292" i="14"/>
  <c r="S292" i="14"/>
  <c r="N293" i="14"/>
  <c r="U293" i="14"/>
  <c r="P294" i="14"/>
  <c r="F295" i="14"/>
  <c r="K295" i="14"/>
  <c r="H296" i="14"/>
  <c r="S296" i="14"/>
  <c r="N297" i="14"/>
  <c r="R296" i="14"/>
  <c r="I296" i="14"/>
  <c r="M296" i="14"/>
  <c r="T295" i="14"/>
  <c r="J295" i="14"/>
  <c r="G295" i="14"/>
  <c r="R294" i="14"/>
  <c r="I294" i="14"/>
  <c r="M294" i="14"/>
  <c r="T293" i="14"/>
  <c r="J293" i="14"/>
  <c r="G293" i="14"/>
  <c r="R292" i="14"/>
  <c r="I292" i="14"/>
  <c r="M292" i="14"/>
  <c r="T291" i="14"/>
  <c r="J291" i="14"/>
  <c r="G291" i="14"/>
  <c r="U296" i="14"/>
  <c r="K296" i="14"/>
  <c r="N296" i="14"/>
  <c r="F296" i="14"/>
  <c r="S295" i="14"/>
  <c r="P295" i="14"/>
  <c r="H295" i="14"/>
  <c r="U294" i="14"/>
  <c r="K294" i="14"/>
  <c r="N294" i="14"/>
  <c r="F294" i="14"/>
  <c r="S293" i="14"/>
  <c r="P293" i="14"/>
  <c r="H293" i="14"/>
  <c r="U292" i="14"/>
  <c r="K292" i="14"/>
  <c r="N292" i="14"/>
  <c r="F292" i="14"/>
  <c r="S291" i="14"/>
  <c r="P291" i="14"/>
  <c r="H291" i="14"/>
  <c r="K289" i="14"/>
  <c r="N289" i="14"/>
  <c r="M291" i="14"/>
  <c r="R291" i="14"/>
  <c r="G292" i="14"/>
  <c r="T292" i="14"/>
  <c r="I293" i="14"/>
  <c r="J294" i="14"/>
  <c r="M295" i="14"/>
  <c r="R295" i="14"/>
  <c r="G296" i="14"/>
  <c r="T296" i="14"/>
  <c r="U325" i="13"/>
  <c r="F325" i="13"/>
  <c r="S324" i="13"/>
  <c r="H324" i="13"/>
  <c r="U323" i="13"/>
  <c r="F323" i="13"/>
  <c r="S322" i="13"/>
  <c r="H322" i="13"/>
  <c r="U321" i="13"/>
  <c r="F321" i="13"/>
  <c r="S320" i="13"/>
  <c r="H320" i="13"/>
  <c r="R318" i="13"/>
  <c r="I318" i="13"/>
  <c r="R316" i="13"/>
  <c r="I316" i="13"/>
  <c r="T325" i="13"/>
  <c r="J325" i="13"/>
  <c r="G325" i="13"/>
  <c r="R324" i="13"/>
  <c r="I324" i="13"/>
  <c r="T323" i="13"/>
  <c r="J323" i="13"/>
  <c r="G323" i="13"/>
  <c r="R322" i="13"/>
  <c r="I322" i="13"/>
  <c r="T321" i="13"/>
  <c r="J321" i="13"/>
  <c r="G321" i="13"/>
  <c r="R320" i="13"/>
  <c r="I320" i="13"/>
  <c r="U318" i="13"/>
  <c r="F318" i="13"/>
  <c r="U316" i="13"/>
  <c r="F316" i="13"/>
  <c r="I325" i="13"/>
  <c r="T324" i="13"/>
  <c r="G324" i="13"/>
  <c r="R323" i="13"/>
  <c r="J322" i="13"/>
  <c r="I321" i="13"/>
  <c r="T320" i="13"/>
  <c r="G320" i="13"/>
  <c r="S318" i="13"/>
  <c r="H318" i="13"/>
  <c r="S325" i="13"/>
  <c r="H325" i="13"/>
  <c r="F324" i="13"/>
  <c r="U322" i="13"/>
  <c r="S321" i="13"/>
  <c r="H321" i="13"/>
  <c r="F320" i="13"/>
  <c r="J318" i="13"/>
  <c r="T316" i="13"/>
  <c r="G316" i="13"/>
  <c r="R325" i="13"/>
  <c r="J324" i="13"/>
  <c r="I323" i="13"/>
  <c r="T322" i="13"/>
  <c r="G322" i="13"/>
  <c r="R321" i="13"/>
  <c r="J320" i="13"/>
  <c r="S316" i="13"/>
  <c r="H316" i="13"/>
  <c r="S323" i="13"/>
  <c r="T318" i="13"/>
  <c r="J316" i="13"/>
  <c r="H323" i="13"/>
  <c r="U320" i="13"/>
  <c r="G318" i="13"/>
  <c r="U324" i="13"/>
  <c r="R359" i="13"/>
  <c r="I359" i="13"/>
  <c r="T358" i="13"/>
  <c r="J358" i="13"/>
  <c r="G358" i="13"/>
  <c r="R357" i="13"/>
  <c r="I357" i="13"/>
  <c r="T356" i="13"/>
  <c r="J356" i="13"/>
  <c r="G356" i="13"/>
  <c r="R355" i="13"/>
  <c r="I355" i="13"/>
  <c r="T354" i="13"/>
  <c r="J354" i="13"/>
  <c r="G354" i="13"/>
  <c r="S352" i="13"/>
  <c r="H352" i="13"/>
  <c r="S350" i="13"/>
  <c r="H350" i="13"/>
  <c r="U359" i="13"/>
  <c r="F359" i="13"/>
  <c r="S358" i="13"/>
  <c r="H358" i="13"/>
  <c r="U357" i="13"/>
  <c r="F357" i="13"/>
  <c r="S356" i="13"/>
  <c r="H356" i="13"/>
  <c r="U355" i="13"/>
  <c r="F355" i="13"/>
  <c r="S354" i="13"/>
  <c r="H354" i="13"/>
  <c r="R352" i="13"/>
  <c r="I352" i="13"/>
  <c r="R350" i="13"/>
  <c r="I350" i="13"/>
  <c r="T359" i="13"/>
  <c r="J359" i="13"/>
  <c r="G359" i="13"/>
  <c r="R358" i="13"/>
  <c r="I358" i="13"/>
  <c r="T357" i="13"/>
  <c r="J357" i="13"/>
  <c r="G357" i="13"/>
  <c r="R356" i="13"/>
  <c r="I356" i="13"/>
  <c r="T355" i="13"/>
  <c r="J355" i="13"/>
  <c r="G355" i="13"/>
  <c r="R354" i="13"/>
  <c r="I354" i="13"/>
  <c r="U352" i="13"/>
  <c r="F352" i="13"/>
  <c r="U350" i="13"/>
  <c r="F350" i="13"/>
  <c r="G352" i="13"/>
  <c r="F354" i="13"/>
  <c r="H355" i="13"/>
  <c r="S359" i="13"/>
  <c r="G350" i="13"/>
  <c r="J352" i="13"/>
  <c r="S357" i="13"/>
  <c r="U358" i="13"/>
  <c r="J350" i="13"/>
  <c r="T352" i="13"/>
  <c r="S355" i="13"/>
  <c r="U356" i="13"/>
  <c r="F358" i="13"/>
  <c r="H359" i="13"/>
  <c r="K161" i="12"/>
  <c r="J161" i="12"/>
  <c r="I161" i="12"/>
  <c r="S207" i="11"/>
  <c r="O207" i="11"/>
  <c r="K207" i="11"/>
  <c r="G207" i="11"/>
  <c r="Q206" i="11"/>
  <c r="M206" i="11"/>
  <c r="I206" i="11"/>
  <c r="S205" i="11"/>
  <c r="O205" i="11"/>
  <c r="K205" i="11"/>
  <c r="G205" i="11"/>
  <c r="R207" i="11"/>
  <c r="J207" i="11"/>
  <c r="F207" i="11"/>
  <c r="T206" i="11"/>
  <c r="P206" i="11"/>
  <c r="L206" i="11"/>
  <c r="H206" i="11"/>
  <c r="R205" i="11"/>
  <c r="J205" i="11"/>
  <c r="F205" i="11"/>
  <c r="Q207" i="11"/>
  <c r="I207" i="11"/>
  <c r="S206" i="11"/>
  <c r="O206" i="11"/>
  <c r="K206" i="11"/>
  <c r="G206" i="11"/>
  <c r="Q205" i="11"/>
  <c r="I205" i="11"/>
  <c r="H207" i="11"/>
  <c r="J206" i="11"/>
  <c r="T207" i="11"/>
  <c r="F206" i="11"/>
  <c r="H205" i="11"/>
  <c r="P207" i="11"/>
  <c r="T205" i="11"/>
  <c r="P205" i="11"/>
  <c r="R206" i="11"/>
  <c r="Q197" i="11"/>
  <c r="I197" i="11"/>
  <c r="S196" i="11"/>
  <c r="O196" i="11"/>
  <c r="K196" i="11"/>
  <c r="G196" i="11"/>
  <c r="Q195" i="11"/>
  <c r="I195" i="11"/>
  <c r="T197" i="11"/>
  <c r="P197" i="11"/>
  <c r="H197" i="11"/>
  <c r="R196" i="11"/>
  <c r="N196" i="11"/>
  <c r="J196" i="11"/>
  <c r="F196" i="11"/>
  <c r="T195" i="11"/>
  <c r="P195" i="11"/>
  <c r="H195" i="11"/>
  <c r="S197" i="11"/>
  <c r="O197" i="11"/>
  <c r="K197" i="11"/>
  <c r="G197" i="11"/>
  <c r="Q196" i="11"/>
  <c r="M196" i="11"/>
  <c r="I196" i="11"/>
  <c r="S195" i="11"/>
  <c r="O195" i="11"/>
  <c r="K195" i="11"/>
  <c r="G195" i="11"/>
  <c r="R195" i="11"/>
  <c r="P196" i="11"/>
  <c r="F195" i="11"/>
  <c r="T196" i="11"/>
  <c r="R197" i="11"/>
  <c r="L270" i="16" l="1"/>
  <c r="N270" i="16"/>
  <c r="P270" i="16"/>
  <c r="K270" i="16"/>
  <c r="Q294" i="16"/>
  <c r="N298" i="16"/>
  <c r="N284" i="16"/>
  <c r="O298" i="16"/>
  <c r="Q277" i="16"/>
  <c r="L298" i="16"/>
  <c r="P298" i="16"/>
  <c r="K284" i="16"/>
  <c r="O270" i="16"/>
  <c r="Q292" i="16"/>
  <c r="P284" i="16"/>
  <c r="O284" i="16"/>
  <c r="Q264" i="16"/>
  <c r="Q293" i="16"/>
  <c r="Q266" i="16"/>
  <c r="C244" i="16"/>
  <c r="C245" i="16" s="1"/>
  <c r="C246" i="16" s="1"/>
  <c r="C247" i="16" s="1"/>
  <c r="C248" i="16" s="1"/>
  <c r="C249" i="16" s="1"/>
  <c r="C250" i="16" s="1"/>
  <c r="C251" i="16" s="1"/>
  <c r="C252" i="16" s="1"/>
  <c r="C253" i="16" s="1"/>
  <c r="C254" i="16" s="1"/>
  <c r="C255" i="16" s="1"/>
  <c r="C256" i="16" s="1"/>
  <c r="O251" i="16"/>
  <c r="M251" i="16"/>
  <c r="O250" i="16"/>
  <c r="M250" i="16"/>
  <c r="O249" i="16"/>
  <c r="M249" i="16"/>
  <c r="P254" i="16"/>
  <c r="N254" i="16"/>
  <c r="P253" i="16"/>
  <c r="N253" i="16"/>
  <c r="P252" i="16"/>
  <c r="N252" i="16"/>
  <c r="P251" i="16"/>
  <c r="N251" i="16"/>
  <c r="P250" i="16"/>
  <c r="N250" i="16"/>
  <c r="P249" i="16"/>
  <c r="N249" i="16"/>
  <c r="O254" i="16"/>
  <c r="M254" i="16"/>
  <c r="O253" i="16"/>
  <c r="O252" i="16"/>
  <c r="K254" i="16"/>
  <c r="K253" i="16"/>
  <c r="L249" i="16"/>
  <c r="K252" i="16"/>
  <c r="K251" i="16"/>
  <c r="K249" i="16"/>
  <c r="K250" i="16"/>
  <c r="L250" i="16"/>
  <c r="M253" i="16"/>
  <c r="M252" i="16"/>
  <c r="L254" i="16"/>
  <c r="L253" i="16"/>
  <c r="L252" i="16"/>
  <c r="L251" i="16"/>
  <c r="O247" i="16"/>
  <c r="K247" i="16"/>
  <c r="M247" i="16"/>
  <c r="P247" i="16"/>
  <c r="L247" i="16"/>
  <c r="N247" i="16"/>
  <c r="P255" i="16"/>
  <c r="L255" i="16"/>
  <c r="O255" i="16"/>
  <c r="K255" i="16"/>
  <c r="N255" i="16"/>
  <c r="M255" i="16"/>
  <c r="Q278" i="16"/>
  <c r="O184" i="16"/>
  <c r="M184" i="16"/>
  <c r="O183" i="16"/>
  <c r="M183" i="16"/>
  <c r="O182" i="16"/>
  <c r="M182" i="16"/>
  <c r="O181" i="16"/>
  <c r="M181" i="16"/>
  <c r="O180" i="16"/>
  <c r="M180" i="16"/>
  <c r="O179" i="16"/>
  <c r="M179" i="16"/>
  <c r="P184" i="16"/>
  <c r="N184" i="16"/>
  <c r="P183" i="16"/>
  <c r="N183" i="16"/>
  <c r="P182" i="16"/>
  <c r="N182" i="16"/>
  <c r="P181" i="16"/>
  <c r="N181" i="16"/>
  <c r="P180" i="16"/>
  <c r="N180" i="16"/>
  <c r="P179" i="16"/>
  <c r="N179" i="16"/>
  <c r="L184" i="16"/>
  <c r="L183" i="16"/>
  <c r="L182" i="16"/>
  <c r="L181" i="16"/>
  <c r="L180" i="16"/>
  <c r="L179" i="16"/>
  <c r="K184" i="16"/>
  <c r="K182" i="16"/>
  <c r="K179" i="16"/>
  <c r="K183" i="16"/>
  <c r="K181" i="16"/>
  <c r="K180" i="16"/>
  <c r="O177" i="16"/>
  <c r="L177" i="16"/>
  <c r="M177" i="16"/>
  <c r="N177" i="16"/>
  <c r="P177" i="16"/>
  <c r="K177" i="16"/>
  <c r="K185" i="16"/>
  <c r="N185" i="16"/>
  <c r="L185" i="16"/>
  <c r="O185" i="16"/>
  <c r="P185" i="16"/>
  <c r="M185" i="16"/>
  <c r="Q268" i="16"/>
  <c r="O139" i="16"/>
  <c r="M139" i="16"/>
  <c r="O138" i="16"/>
  <c r="M138" i="16"/>
  <c r="O137" i="16"/>
  <c r="M137" i="16"/>
  <c r="P142" i="16"/>
  <c r="N142" i="16"/>
  <c r="P141" i="16"/>
  <c r="N141" i="16"/>
  <c r="P140" i="16"/>
  <c r="N140" i="16"/>
  <c r="P139" i="16"/>
  <c r="N139" i="16"/>
  <c r="P138" i="16"/>
  <c r="N138" i="16"/>
  <c r="P137" i="16"/>
  <c r="N137" i="16"/>
  <c r="O142" i="16"/>
  <c r="M142" i="16"/>
  <c r="K140" i="16"/>
  <c r="O141" i="16"/>
  <c r="O140" i="16"/>
  <c r="K142" i="16"/>
  <c r="K141" i="16"/>
  <c r="K139" i="16"/>
  <c r="K138" i="16"/>
  <c r="K137" i="16"/>
  <c r="L137" i="16"/>
  <c r="L138" i="16"/>
  <c r="L142" i="16"/>
  <c r="M141" i="16"/>
  <c r="L141" i="16"/>
  <c r="M140" i="16"/>
  <c r="L140" i="16"/>
  <c r="L139" i="16"/>
  <c r="M135" i="16"/>
  <c r="K135" i="16"/>
  <c r="O135" i="16"/>
  <c r="P135" i="16"/>
  <c r="L135" i="16"/>
  <c r="N135" i="16"/>
  <c r="P143" i="16"/>
  <c r="N143" i="16"/>
  <c r="L143" i="16"/>
  <c r="O143" i="16"/>
  <c r="K143" i="16"/>
  <c r="M143" i="16"/>
  <c r="Q280" i="16"/>
  <c r="P111" i="16"/>
  <c r="N111" i="16"/>
  <c r="P110" i="16"/>
  <c r="N110" i="16"/>
  <c r="P109" i="16"/>
  <c r="N109" i="16"/>
  <c r="O114" i="16"/>
  <c r="M114" i="16"/>
  <c r="O113" i="16"/>
  <c r="M113" i="16"/>
  <c r="O112" i="16"/>
  <c r="M112" i="16"/>
  <c r="O111" i="16"/>
  <c r="M111" i="16"/>
  <c r="O110" i="16"/>
  <c r="M110" i="16"/>
  <c r="O109" i="16"/>
  <c r="M109" i="16"/>
  <c r="P114" i="16"/>
  <c r="N114" i="16"/>
  <c r="P112" i="16"/>
  <c r="L114" i="16"/>
  <c r="L113" i="16"/>
  <c r="L112" i="16"/>
  <c r="L111" i="16"/>
  <c r="K114" i="16"/>
  <c r="P113" i="16"/>
  <c r="L110" i="16"/>
  <c r="K109" i="16"/>
  <c r="L109" i="16"/>
  <c r="N113" i="16"/>
  <c r="K113" i="16"/>
  <c r="K110" i="16"/>
  <c r="N112" i="16"/>
  <c r="K111" i="16"/>
  <c r="K112" i="16"/>
  <c r="K107" i="16"/>
  <c r="P107" i="16"/>
  <c r="N107" i="16"/>
  <c r="O107" i="16"/>
  <c r="L107" i="16"/>
  <c r="M107" i="16"/>
  <c r="N115" i="16"/>
  <c r="L115" i="16"/>
  <c r="O115" i="16"/>
  <c r="K115" i="16"/>
  <c r="P115" i="16"/>
  <c r="M115" i="16"/>
  <c r="Q291" i="16"/>
  <c r="Q282" i="16"/>
  <c r="P167" i="16"/>
  <c r="N167" i="16"/>
  <c r="P166" i="16"/>
  <c r="N166" i="16"/>
  <c r="P165" i="16"/>
  <c r="N165" i="16"/>
  <c r="O170" i="16"/>
  <c r="M170" i="16"/>
  <c r="O169" i="16"/>
  <c r="M169" i="16"/>
  <c r="O168" i="16"/>
  <c r="M168" i="16"/>
  <c r="O167" i="16"/>
  <c r="M167" i="16"/>
  <c r="O166" i="16"/>
  <c r="M166" i="16"/>
  <c r="O165" i="16"/>
  <c r="M165" i="16"/>
  <c r="P170" i="16"/>
  <c r="N170" i="16"/>
  <c r="K167" i="16"/>
  <c r="L170" i="16"/>
  <c r="L169" i="16"/>
  <c r="L168" i="16"/>
  <c r="L167" i="16"/>
  <c r="L166" i="16"/>
  <c r="N169" i="16"/>
  <c r="L165" i="16"/>
  <c r="K168" i="16"/>
  <c r="N168" i="16"/>
  <c r="K170" i="16"/>
  <c r="K169" i="16"/>
  <c r="K165" i="16"/>
  <c r="K166" i="16"/>
  <c r="P168" i="16"/>
  <c r="P169" i="16"/>
  <c r="K163" i="16"/>
  <c r="N163" i="16"/>
  <c r="O163" i="16"/>
  <c r="L163" i="16"/>
  <c r="P163" i="16"/>
  <c r="M163" i="16"/>
  <c r="P171" i="16"/>
  <c r="K171" i="16"/>
  <c r="N171" i="16"/>
  <c r="O171" i="16"/>
  <c r="L171" i="16"/>
  <c r="M171" i="16"/>
  <c r="P212" i="16"/>
  <c r="N212" i="16"/>
  <c r="P211" i="16"/>
  <c r="N211" i="16"/>
  <c r="P210" i="16"/>
  <c r="N210" i="16"/>
  <c r="P209" i="16"/>
  <c r="N209" i="16"/>
  <c r="P208" i="16"/>
  <c r="N208" i="16"/>
  <c r="P207" i="16"/>
  <c r="N207" i="16"/>
  <c r="O212" i="16"/>
  <c r="M212" i="16"/>
  <c r="O211" i="16"/>
  <c r="M211" i="16"/>
  <c r="O210" i="16"/>
  <c r="M210" i="16"/>
  <c r="O209" i="16"/>
  <c r="M209" i="16"/>
  <c r="O208" i="16"/>
  <c r="M208" i="16"/>
  <c r="O207" i="16"/>
  <c r="M207" i="16"/>
  <c r="K212" i="16"/>
  <c r="K209" i="16"/>
  <c r="K207" i="16"/>
  <c r="K211" i="16"/>
  <c r="K210" i="16"/>
  <c r="K208" i="16"/>
  <c r="L212" i="16"/>
  <c r="L211" i="16"/>
  <c r="L210" i="16"/>
  <c r="L209" i="16"/>
  <c r="L208" i="16"/>
  <c r="L207" i="16"/>
  <c r="L205" i="16"/>
  <c r="N205" i="16"/>
  <c r="P205" i="16"/>
  <c r="O205" i="16"/>
  <c r="M205" i="16"/>
  <c r="K205" i="16"/>
  <c r="N213" i="16"/>
  <c r="L213" i="16"/>
  <c r="O213" i="16"/>
  <c r="K213" i="16"/>
  <c r="P213" i="16"/>
  <c r="M213" i="16"/>
  <c r="Q263" i="16"/>
  <c r="C216" i="16"/>
  <c r="C217" i="16" s="1"/>
  <c r="C218" i="16" s="1"/>
  <c r="C219" i="16" s="1"/>
  <c r="C220" i="16" s="1"/>
  <c r="C221" i="16" s="1"/>
  <c r="C222" i="16" s="1"/>
  <c r="C223" i="16" s="1"/>
  <c r="C224" i="16" s="1"/>
  <c r="C225" i="16" s="1"/>
  <c r="C226" i="16" s="1"/>
  <c r="C227" i="16" s="1"/>
  <c r="C228" i="16" s="1"/>
  <c r="P223" i="16"/>
  <c r="N223" i="16"/>
  <c r="P222" i="16"/>
  <c r="N222" i="16"/>
  <c r="P221" i="16"/>
  <c r="N221" i="16"/>
  <c r="O226" i="16"/>
  <c r="M226" i="16"/>
  <c r="O225" i="16"/>
  <c r="M225" i="16"/>
  <c r="O224" i="16"/>
  <c r="M224" i="16"/>
  <c r="O223" i="16"/>
  <c r="M223" i="16"/>
  <c r="O222" i="16"/>
  <c r="M222" i="16"/>
  <c r="O221" i="16"/>
  <c r="M221" i="16"/>
  <c r="P226" i="16"/>
  <c r="N226" i="16"/>
  <c r="K221" i="16"/>
  <c r="L226" i="16"/>
  <c r="L225" i="16"/>
  <c r="L224" i="16"/>
  <c r="N225" i="16"/>
  <c r="L223" i="16"/>
  <c r="K224" i="16"/>
  <c r="N224" i="16"/>
  <c r="L222" i="16"/>
  <c r="L221" i="16"/>
  <c r="K225" i="16"/>
  <c r="K223" i="16"/>
  <c r="K222" i="16"/>
  <c r="K226" i="16"/>
  <c r="P225" i="16"/>
  <c r="P224" i="16"/>
  <c r="L219" i="16"/>
  <c r="M219" i="16"/>
  <c r="P219" i="16"/>
  <c r="K219" i="16"/>
  <c r="N219" i="16"/>
  <c r="O219" i="16"/>
  <c r="O227" i="16"/>
  <c r="N227" i="16"/>
  <c r="L227" i="16"/>
  <c r="K227" i="16"/>
  <c r="P227" i="16"/>
  <c r="M227" i="16"/>
  <c r="O240" i="16"/>
  <c r="M240" i="16"/>
  <c r="O239" i="16"/>
  <c r="M239" i="16"/>
  <c r="O238" i="16"/>
  <c r="M238" i="16"/>
  <c r="O237" i="16"/>
  <c r="M237" i="16"/>
  <c r="O236" i="16"/>
  <c r="M236" i="16"/>
  <c r="O235" i="16"/>
  <c r="M235" i="16"/>
  <c r="P240" i="16"/>
  <c r="N240" i="16"/>
  <c r="P239" i="16"/>
  <c r="N239" i="16"/>
  <c r="P238" i="16"/>
  <c r="N238" i="16"/>
  <c r="P237" i="16"/>
  <c r="N237" i="16"/>
  <c r="P236" i="16"/>
  <c r="N236" i="16"/>
  <c r="P235" i="16"/>
  <c r="N235" i="16"/>
  <c r="L240" i="16"/>
  <c r="L239" i="16"/>
  <c r="L238" i="16"/>
  <c r="L237" i="16"/>
  <c r="L236" i="16"/>
  <c r="L235" i="16"/>
  <c r="K236" i="16"/>
  <c r="K235" i="16"/>
  <c r="K240" i="16"/>
  <c r="K237" i="16"/>
  <c r="K239" i="16"/>
  <c r="K238" i="16"/>
  <c r="K233" i="16"/>
  <c r="M233" i="16"/>
  <c r="L233" i="16"/>
  <c r="N233" i="16"/>
  <c r="P233" i="16"/>
  <c r="O233" i="16"/>
  <c r="P241" i="16"/>
  <c r="L241" i="16"/>
  <c r="O241" i="16"/>
  <c r="K241" i="16"/>
  <c r="N241" i="16"/>
  <c r="M241" i="16"/>
  <c r="Q265" i="16"/>
  <c r="C90" i="16"/>
  <c r="C91" i="16" s="1"/>
  <c r="C92" i="16" s="1"/>
  <c r="C93" i="16" s="1"/>
  <c r="C94" i="16" s="1"/>
  <c r="C95" i="16" s="1"/>
  <c r="C96" i="16" s="1"/>
  <c r="C97" i="16" s="1"/>
  <c r="C98" i="16" s="1"/>
  <c r="C99" i="16" s="1"/>
  <c r="C100" i="16" s="1"/>
  <c r="C101" i="16" s="1"/>
  <c r="C102" i="16" s="1"/>
  <c r="P100" i="16"/>
  <c r="N100" i="16"/>
  <c r="P99" i="16"/>
  <c r="N99" i="16"/>
  <c r="P98" i="16"/>
  <c r="N98" i="16"/>
  <c r="P97" i="16"/>
  <c r="N97" i="16"/>
  <c r="P96" i="16"/>
  <c r="N96" i="16"/>
  <c r="P95" i="16"/>
  <c r="N95" i="16"/>
  <c r="O100" i="16"/>
  <c r="M100" i="16"/>
  <c r="O99" i="16"/>
  <c r="M99" i="16"/>
  <c r="O98" i="16"/>
  <c r="M98" i="16"/>
  <c r="O97" i="16"/>
  <c r="M97" i="16"/>
  <c r="O96" i="16"/>
  <c r="M96" i="16"/>
  <c r="O95" i="16"/>
  <c r="M95" i="16"/>
  <c r="K100" i="16"/>
  <c r="K97" i="16"/>
  <c r="K96" i="16"/>
  <c r="K99" i="16"/>
  <c r="K98" i="16"/>
  <c r="K95" i="16"/>
  <c r="L100" i="16"/>
  <c r="L99" i="16"/>
  <c r="L98" i="16"/>
  <c r="L97" i="16"/>
  <c r="L96" i="16"/>
  <c r="L95" i="16"/>
  <c r="P93" i="16"/>
  <c r="O93" i="16"/>
  <c r="K93" i="16"/>
  <c r="N93" i="16"/>
  <c r="M93" i="16"/>
  <c r="L93" i="16"/>
  <c r="L101" i="16"/>
  <c r="N101" i="16"/>
  <c r="O101" i="16"/>
  <c r="P101" i="16"/>
  <c r="K101" i="16"/>
  <c r="M101" i="16"/>
  <c r="Q295" i="16"/>
  <c r="Q267" i="16"/>
  <c r="O195" i="16"/>
  <c r="M195" i="16"/>
  <c r="O194" i="16"/>
  <c r="M194" i="16"/>
  <c r="O193" i="16"/>
  <c r="M193" i="16"/>
  <c r="P198" i="16"/>
  <c r="N198" i="16"/>
  <c r="P197" i="16"/>
  <c r="N197" i="16"/>
  <c r="P196" i="16"/>
  <c r="N196" i="16"/>
  <c r="P195" i="16"/>
  <c r="N195" i="16"/>
  <c r="P194" i="16"/>
  <c r="N194" i="16"/>
  <c r="P193" i="16"/>
  <c r="N193" i="16"/>
  <c r="O198" i="16"/>
  <c r="M198" i="16"/>
  <c r="K196" i="16"/>
  <c r="O197" i="16"/>
  <c r="O196" i="16"/>
  <c r="K198" i="16"/>
  <c r="K197" i="16"/>
  <c r="K195" i="16"/>
  <c r="L194" i="16"/>
  <c r="K194" i="16"/>
  <c r="K193" i="16"/>
  <c r="M197" i="16"/>
  <c r="M196" i="16"/>
  <c r="L198" i="16"/>
  <c r="L197" i="16"/>
  <c r="L196" i="16"/>
  <c r="L193" i="16"/>
  <c r="L195" i="16"/>
  <c r="P191" i="16"/>
  <c r="K191" i="16"/>
  <c r="O191" i="16"/>
  <c r="L191" i="16"/>
  <c r="N191" i="16"/>
  <c r="M191" i="16"/>
  <c r="L199" i="16"/>
  <c r="O199" i="16"/>
  <c r="P199" i="16"/>
  <c r="N199" i="16"/>
  <c r="K199" i="16"/>
  <c r="M199" i="16"/>
  <c r="Q279" i="16"/>
  <c r="O128" i="16"/>
  <c r="M128" i="16"/>
  <c r="O127" i="16"/>
  <c r="M127" i="16"/>
  <c r="O126" i="16"/>
  <c r="M126" i="16"/>
  <c r="O125" i="16"/>
  <c r="M125" i="16"/>
  <c r="O124" i="16"/>
  <c r="M124" i="16"/>
  <c r="O123" i="16"/>
  <c r="M123" i="16"/>
  <c r="P128" i="16"/>
  <c r="N128" i="16"/>
  <c r="P127" i="16"/>
  <c r="N127" i="16"/>
  <c r="P126" i="16"/>
  <c r="N126" i="16"/>
  <c r="P125" i="16"/>
  <c r="N125" i="16"/>
  <c r="P124" i="16"/>
  <c r="N124" i="16"/>
  <c r="P123" i="16"/>
  <c r="N123" i="16"/>
  <c r="L128" i="16"/>
  <c r="L127" i="16"/>
  <c r="L126" i="16"/>
  <c r="L125" i="16"/>
  <c r="L124" i="16"/>
  <c r="L123" i="16"/>
  <c r="K123" i="16"/>
  <c r="K128" i="16"/>
  <c r="K126" i="16"/>
  <c r="K125" i="16"/>
  <c r="K124" i="16"/>
  <c r="K127" i="16"/>
  <c r="P121" i="16"/>
  <c r="O121" i="16"/>
  <c r="N121" i="16"/>
  <c r="K121" i="16"/>
  <c r="L121" i="16"/>
  <c r="M121" i="16"/>
  <c r="P129" i="16"/>
  <c r="N129" i="16"/>
  <c r="O129" i="16"/>
  <c r="K129" i="16"/>
  <c r="L129" i="16"/>
  <c r="M129" i="16"/>
  <c r="P156" i="16"/>
  <c r="N156" i="16"/>
  <c r="P155" i="16"/>
  <c r="N155" i="16"/>
  <c r="P154" i="16"/>
  <c r="N154" i="16"/>
  <c r="P153" i="16"/>
  <c r="N153" i="16"/>
  <c r="P152" i="16"/>
  <c r="N152" i="16"/>
  <c r="P151" i="16"/>
  <c r="N151" i="16"/>
  <c r="O156" i="16"/>
  <c r="M156" i="16"/>
  <c r="O155" i="16"/>
  <c r="M155" i="16"/>
  <c r="O154" i="16"/>
  <c r="M154" i="16"/>
  <c r="O153" i="16"/>
  <c r="M153" i="16"/>
  <c r="O152" i="16"/>
  <c r="M152" i="16"/>
  <c r="O151" i="16"/>
  <c r="M151" i="16"/>
  <c r="K156" i="16"/>
  <c r="K154" i="16"/>
  <c r="K155" i="16"/>
  <c r="K153" i="16"/>
  <c r="K151" i="16"/>
  <c r="K152" i="16"/>
  <c r="L156" i="16"/>
  <c r="L155" i="16"/>
  <c r="L154" i="16"/>
  <c r="L153" i="16"/>
  <c r="L152" i="16"/>
  <c r="L151" i="16"/>
  <c r="K149" i="16"/>
  <c r="O149" i="16"/>
  <c r="N149" i="16"/>
  <c r="L149" i="16"/>
  <c r="P149" i="16"/>
  <c r="M149" i="16"/>
  <c r="P157" i="16"/>
  <c r="L157" i="16"/>
  <c r="O157" i="16"/>
  <c r="N157" i="16"/>
  <c r="K157" i="16"/>
  <c r="M157" i="16"/>
  <c r="Q281" i="16"/>
  <c r="Q296" i="16"/>
  <c r="M298" i="16"/>
  <c r="M284" i="16"/>
  <c r="K298" i="16"/>
  <c r="L284" i="16"/>
  <c r="M270" i="16"/>
  <c r="O340" i="14"/>
  <c r="L130" i="14"/>
  <c r="L116" i="14"/>
  <c r="L102" i="14"/>
  <c r="K361" i="13"/>
  <c r="P327" i="13"/>
  <c r="K327" i="13"/>
  <c r="L256" i="14"/>
  <c r="O242" i="14"/>
  <c r="O228" i="14"/>
  <c r="L298" i="14"/>
  <c r="L46" i="14"/>
  <c r="L242" i="14"/>
  <c r="L228" i="14"/>
  <c r="Q317" i="15"/>
  <c r="N343" i="15"/>
  <c r="C295" i="13"/>
  <c r="C296" i="13" s="1"/>
  <c r="C297" i="13" s="1"/>
  <c r="C298" i="13" s="1"/>
  <c r="C299" i="13" s="1"/>
  <c r="C300" i="13" s="1"/>
  <c r="C301" i="13" s="1"/>
  <c r="C302" i="13" s="1"/>
  <c r="C303" i="13" s="1"/>
  <c r="C304" i="13" s="1"/>
  <c r="C305" i="13" s="1"/>
  <c r="C306" i="13" s="1"/>
  <c r="C307" i="13" s="1"/>
  <c r="C308" i="13" s="1"/>
  <c r="C309" i="13" s="1"/>
  <c r="C310" i="13" s="1"/>
  <c r="O299" i="13"/>
  <c r="O301" i="13"/>
  <c r="O303" i="13"/>
  <c r="O304" i="13"/>
  <c r="O305" i="13"/>
  <c r="O306" i="13"/>
  <c r="O307" i="13"/>
  <c r="O308" i="13"/>
  <c r="N299" i="13"/>
  <c r="N308" i="13"/>
  <c r="P299" i="13"/>
  <c r="P301" i="13"/>
  <c r="P303" i="13"/>
  <c r="P304" i="13"/>
  <c r="P305" i="13"/>
  <c r="P306" i="13"/>
  <c r="P307" i="13"/>
  <c r="P308" i="13"/>
  <c r="N304" i="13"/>
  <c r="K299" i="13"/>
  <c r="K301" i="13"/>
  <c r="K303" i="13"/>
  <c r="K304" i="13"/>
  <c r="K305" i="13"/>
  <c r="K306" i="13"/>
  <c r="K307" i="13"/>
  <c r="K308" i="13"/>
  <c r="N303" i="13"/>
  <c r="N307" i="13"/>
  <c r="L299" i="13"/>
  <c r="L301" i="13"/>
  <c r="L303" i="13"/>
  <c r="L304" i="13"/>
  <c r="L305" i="13"/>
  <c r="L306" i="13"/>
  <c r="L307" i="13"/>
  <c r="L308" i="13"/>
  <c r="N301" i="13"/>
  <c r="N306" i="13"/>
  <c r="M299" i="13"/>
  <c r="M301" i="13"/>
  <c r="M303" i="13"/>
  <c r="M304" i="13"/>
  <c r="M305" i="13"/>
  <c r="M306" i="13"/>
  <c r="M307" i="13"/>
  <c r="M308" i="13"/>
  <c r="N305" i="13"/>
  <c r="K298" i="13"/>
  <c r="L298" i="13"/>
  <c r="K300" i="13"/>
  <c r="O298" i="13"/>
  <c r="N300" i="13"/>
  <c r="O300" i="13"/>
  <c r="N298" i="13"/>
  <c r="L300" i="13"/>
  <c r="O309" i="13"/>
  <c r="L309" i="13"/>
  <c r="K309" i="13"/>
  <c r="N309" i="13"/>
  <c r="M300" i="13"/>
  <c r="P300" i="13"/>
  <c r="P298" i="13"/>
  <c r="M309" i="13"/>
  <c r="M298" i="13"/>
  <c r="P309" i="13"/>
  <c r="C279" i="14"/>
  <c r="O280" i="14"/>
  <c r="L280" i="14"/>
  <c r="O279" i="14"/>
  <c r="L279" i="14"/>
  <c r="O278" i="14"/>
  <c r="L278" i="14"/>
  <c r="O277" i="14"/>
  <c r="L277" i="14"/>
  <c r="O282" i="14"/>
  <c r="L282" i="14"/>
  <c r="O281" i="14"/>
  <c r="L281" i="14"/>
  <c r="L275" i="14"/>
  <c r="O275" i="14"/>
  <c r="L283" i="14"/>
  <c r="O283" i="14"/>
  <c r="L340" i="14"/>
  <c r="O130" i="14"/>
  <c r="O116" i="14"/>
  <c r="O102" i="14"/>
  <c r="O361" i="13"/>
  <c r="O327" i="13"/>
  <c r="O256" i="14"/>
  <c r="M261" i="14"/>
  <c r="O266" i="14"/>
  <c r="L266" i="14"/>
  <c r="O265" i="14"/>
  <c r="L265" i="14"/>
  <c r="O264" i="14"/>
  <c r="L264" i="14"/>
  <c r="O263" i="14"/>
  <c r="L263" i="14"/>
  <c r="O268" i="14"/>
  <c r="L268" i="14"/>
  <c r="O267" i="14"/>
  <c r="L267" i="14"/>
  <c r="O261" i="14"/>
  <c r="L261" i="14"/>
  <c r="L269" i="14"/>
  <c r="O269" i="14"/>
  <c r="O333" i="13"/>
  <c r="O335" i="13"/>
  <c r="O337" i="13"/>
  <c r="O338" i="13"/>
  <c r="O339" i="13"/>
  <c r="O340" i="13"/>
  <c r="O341" i="13"/>
  <c r="O342" i="13"/>
  <c r="N340" i="13"/>
  <c r="P333" i="13"/>
  <c r="P335" i="13"/>
  <c r="P337" i="13"/>
  <c r="P338" i="13"/>
  <c r="P339" i="13"/>
  <c r="P340" i="13"/>
  <c r="P341" i="13"/>
  <c r="P342" i="13"/>
  <c r="N337" i="13"/>
  <c r="K333" i="13"/>
  <c r="K335" i="13"/>
  <c r="K337" i="13"/>
  <c r="K338" i="13"/>
  <c r="K339" i="13"/>
  <c r="K340" i="13"/>
  <c r="K341" i="13"/>
  <c r="K342" i="13"/>
  <c r="N335" i="13"/>
  <c r="N341" i="13"/>
  <c r="L333" i="13"/>
  <c r="L335" i="13"/>
  <c r="L337" i="13"/>
  <c r="L338" i="13"/>
  <c r="L339" i="13"/>
  <c r="L340" i="13"/>
  <c r="L341" i="13"/>
  <c r="L342" i="13"/>
  <c r="N338" i="13"/>
  <c r="N342" i="13"/>
  <c r="M333" i="13"/>
  <c r="M335" i="13"/>
  <c r="M337" i="13"/>
  <c r="M338" i="13"/>
  <c r="M339" i="13"/>
  <c r="M340" i="13"/>
  <c r="M341" i="13"/>
  <c r="M342" i="13"/>
  <c r="N333" i="13"/>
  <c r="N339" i="13"/>
  <c r="K334" i="13"/>
  <c r="O332" i="13"/>
  <c r="O334" i="13"/>
  <c r="N332" i="13"/>
  <c r="K332" i="13"/>
  <c r="N334" i="13"/>
  <c r="L334" i="13"/>
  <c r="L332" i="13"/>
  <c r="L343" i="13"/>
  <c r="K343" i="13"/>
  <c r="O343" i="13"/>
  <c r="N343" i="13"/>
  <c r="M334" i="13"/>
  <c r="P334" i="13"/>
  <c r="P332" i="13"/>
  <c r="P343" i="13"/>
  <c r="M332" i="13"/>
  <c r="M343" i="13"/>
  <c r="L214" i="14"/>
  <c r="O200" i="14"/>
  <c r="L186" i="14"/>
  <c r="L327" i="13"/>
  <c r="O88" i="14"/>
  <c r="O74" i="14"/>
  <c r="O60" i="14"/>
  <c r="O214" i="14"/>
  <c r="L200" i="14"/>
  <c r="O186" i="14"/>
  <c r="L88" i="14"/>
  <c r="L74" i="14"/>
  <c r="L60" i="14"/>
  <c r="Q349" i="15"/>
  <c r="O32" i="14"/>
  <c r="M361" i="13"/>
  <c r="N361" i="13"/>
  <c r="O172" i="14"/>
  <c r="L158" i="14"/>
  <c r="O144" i="14"/>
  <c r="O298" i="14"/>
  <c r="O46" i="14"/>
  <c r="L32" i="14"/>
  <c r="P361" i="13"/>
  <c r="L361" i="13"/>
  <c r="M327" i="13"/>
  <c r="N327" i="13"/>
  <c r="L172" i="14"/>
  <c r="O158" i="14"/>
  <c r="L144" i="14"/>
  <c r="P360" i="15"/>
  <c r="L343" i="15"/>
  <c r="K343" i="15"/>
  <c r="M326" i="15"/>
  <c r="M343" i="15"/>
  <c r="O326" i="15"/>
  <c r="C141" i="15"/>
  <c r="C142" i="15" s="1"/>
  <c r="C143" i="15" s="1"/>
  <c r="C144" i="15" s="1"/>
  <c r="C145" i="15" s="1"/>
  <c r="C146" i="15" s="1"/>
  <c r="C147" i="15" s="1"/>
  <c r="C148" i="15" s="1"/>
  <c r="C149" i="15" s="1"/>
  <c r="C150" i="15" s="1"/>
  <c r="C151" i="15" s="1"/>
  <c r="C152" i="15" s="1"/>
  <c r="C153" i="15" s="1"/>
  <c r="C154" i="15" s="1"/>
  <c r="C155" i="15" s="1"/>
  <c r="C156" i="15" s="1"/>
  <c r="N145" i="15"/>
  <c r="N147" i="15"/>
  <c r="L149" i="15"/>
  <c r="P149" i="15"/>
  <c r="N150" i="15"/>
  <c r="L151" i="15"/>
  <c r="P151" i="15"/>
  <c r="N152" i="15"/>
  <c r="L153" i="15"/>
  <c r="P153" i="15"/>
  <c r="N154" i="15"/>
  <c r="K145" i="15"/>
  <c r="O145" i="15"/>
  <c r="K147" i="15"/>
  <c r="O147" i="15"/>
  <c r="M149" i="15"/>
  <c r="K150" i="15"/>
  <c r="O150" i="15"/>
  <c r="M151" i="15"/>
  <c r="K152" i="15"/>
  <c r="O152" i="15"/>
  <c r="M153" i="15"/>
  <c r="K154" i="15"/>
  <c r="O154" i="15"/>
  <c r="L145" i="15"/>
  <c r="P145" i="15"/>
  <c r="L147" i="15"/>
  <c r="P147" i="15"/>
  <c r="N149" i="15"/>
  <c r="L150" i="15"/>
  <c r="P150" i="15"/>
  <c r="N151" i="15"/>
  <c r="L152" i="15"/>
  <c r="P152" i="15"/>
  <c r="N153" i="15"/>
  <c r="L154" i="15"/>
  <c r="P154" i="15"/>
  <c r="M145" i="15"/>
  <c r="M147" i="15"/>
  <c r="K149" i="15"/>
  <c r="O149" i="15"/>
  <c r="M150" i="15"/>
  <c r="K151" i="15"/>
  <c r="O151" i="15"/>
  <c r="M152" i="15"/>
  <c r="K153" i="15"/>
  <c r="O153" i="15"/>
  <c r="M154" i="15"/>
  <c r="O146" i="15"/>
  <c r="N155" i="15"/>
  <c r="M146" i="15"/>
  <c r="P146" i="15"/>
  <c r="K146" i="15"/>
  <c r="N146" i="15"/>
  <c r="M144" i="15"/>
  <c r="L146" i="15"/>
  <c r="O155" i="15"/>
  <c r="O144" i="15"/>
  <c r="N144" i="15"/>
  <c r="P155" i="15"/>
  <c r="P144" i="15"/>
  <c r="K155" i="15"/>
  <c r="K144" i="15"/>
  <c r="M155" i="15"/>
  <c r="L155" i="15"/>
  <c r="L144" i="15"/>
  <c r="N213" i="15"/>
  <c r="N215" i="15"/>
  <c r="L217" i="15"/>
  <c r="P217" i="15"/>
  <c r="N218" i="15"/>
  <c r="L219" i="15"/>
  <c r="P219" i="15"/>
  <c r="N220" i="15"/>
  <c r="L221" i="15"/>
  <c r="P221" i="15"/>
  <c r="N222" i="15"/>
  <c r="K213" i="15"/>
  <c r="O213" i="15"/>
  <c r="K215" i="15"/>
  <c r="O215" i="15"/>
  <c r="M217" i="15"/>
  <c r="K218" i="15"/>
  <c r="O218" i="15"/>
  <c r="M219" i="15"/>
  <c r="K220" i="15"/>
  <c r="O220" i="15"/>
  <c r="M221" i="15"/>
  <c r="K222" i="15"/>
  <c r="O222" i="15"/>
  <c r="L213" i="15"/>
  <c r="P213" i="15"/>
  <c r="L215" i="15"/>
  <c r="P215" i="15"/>
  <c r="N217" i="15"/>
  <c r="L218" i="15"/>
  <c r="P218" i="15"/>
  <c r="N219" i="15"/>
  <c r="L220" i="15"/>
  <c r="P220" i="15"/>
  <c r="N221" i="15"/>
  <c r="L222" i="15"/>
  <c r="P222" i="15"/>
  <c r="M213" i="15"/>
  <c r="M215" i="15"/>
  <c r="K217" i="15"/>
  <c r="O217" i="15"/>
  <c r="M218" i="15"/>
  <c r="K219" i="15"/>
  <c r="O219" i="15"/>
  <c r="M220" i="15"/>
  <c r="K221" i="15"/>
  <c r="O221" i="15"/>
  <c r="M222" i="15"/>
  <c r="O212" i="15"/>
  <c r="O214" i="15"/>
  <c r="P223" i="15"/>
  <c r="P212" i="15"/>
  <c r="K212" i="15"/>
  <c r="O223" i="15"/>
  <c r="K214" i="15"/>
  <c r="M214" i="15"/>
  <c r="L223" i="15"/>
  <c r="L212" i="15"/>
  <c r="K223" i="15"/>
  <c r="N214" i="15"/>
  <c r="M212" i="15"/>
  <c r="P214" i="15"/>
  <c r="N223" i="15"/>
  <c r="M223" i="15"/>
  <c r="N212" i="15"/>
  <c r="L214" i="15"/>
  <c r="C124" i="15"/>
  <c r="C125" i="15" s="1"/>
  <c r="C126" i="15" s="1"/>
  <c r="C127" i="15" s="1"/>
  <c r="C128" i="15" s="1"/>
  <c r="C129" i="15" s="1"/>
  <c r="C130" i="15" s="1"/>
  <c r="C131" i="15" s="1"/>
  <c r="C132" i="15" s="1"/>
  <c r="C133" i="15" s="1"/>
  <c r="C134" i="15" s="1"/>
  <c r="C135" i="15" s="1"/>
  <c r="C136" i="15" s="1"/>
  <c r="C137" i="15" s="1"/>
  <c r="C138" i="15" s="1"/>
  <c r="C139" i="15" s="1"/>
  <c r="L128" i="15"/>
  <c r="P128" i="15"/>
  <c r="L130" i="15"/>
  <c r="P130" i="15"/>
  <c r="N132" i="15"/>
  <c r="L133" i="15"/>
  <c r="P133" i="15"/>
  <c r="N134" i="15"/>
  <c r="L135" i="15"/>
  <c r="P135" i="15"/>
  <c r="N136" i="15"/>
  <c r="L137" i="15"/>
  <c r="P137" i="15"/>
  <c r="M128" i="15"/>
  <c r="M130" i="15"/>
  <c r="K132" i="15"/>
  <c r="O132" i="15"/>
  <c r="M133" i="15"/>
  <c r="K134" i="15"/>
  <c r="O134" i="15"/>
  <c r="M135" i="15"/>
  <c r="K136" i="15"/>
  <c r="O136" i="15"/>
  <c r="M137" i="15"/>
  <c r="N128" i="15"/>
  <c r="N130" i="15"/>
  <c r="L132" i="15"/>
  <c r="P132" i="15"/>
  <c r="N133" i="15"/>
  <c r="L134" i="15"/>
  <c r="P134" i="15"/>
  <c r="N135" i="15"/>
  <c r="L136" i="15"/>
  <c r="P136" i="15"/>
  <c r="N137" i="15"/>
  <c r="K128" i="15"/>
  <c r="O128" i="15"/>
  <c r="K130" i="15"/>
  <c r="O130" i="15"/>
  <c r="M132" i="15"/>
  <c r="K133" i="15"/>
  <c r="O133" i="15"/>
  <c r="M134" i="15"/>
  <c r="K135" i="15"/>
  <c r="O135" i="15"/>
  <c r="M136" i="15"/>
  <c r="K137" i="15"/>
  <c r="O137" i="15"/>
  <c r="M129" i="15"/>
  <c r="P129" i="15"/>
  <c r="K129" i="15"/>
  <c r="N129" i="15"/>
  <c r="M127" i="15"/>
  <c r="L129" i="15"/>
  <c r="O138" i="15"/>
  <c r="O127" i="15"/>
  <c r="N127" i="15"/>
  <c r="P138" i="15"/>
  <c r="P127" i="15"/>
  <c r="K138" i="15"/>
  <c r="K127" i="15"/>
  <c r="M138" i="15"/>
  <c r="L138" i="15"/>
  <c r="L127" i="15"/>
  <c r="O129" i="15"/>
  <c r="N138" i="15"/>
  <c r="Q358" i="15"/>
  <c r="K360" i="15"/>
  <c r="Q339" i="15"/>
  <c r="Q337" i="15"/>
  <c r="K326" i="15"/>
  <c r="Q321" i="15"/>
  <c r="Q322" i="15"/>
  <c r="M298" i="15"/>
  <c r="M300" i="15"/>
  <c r="K302" i="15"/>
  <c r="O302" i="15"/>
  <c r="M303" i="15"/>
  <c r="K304" i="15"/>
  <c r="O304" i="15"/>
  <c r="M305" i="15"/>
  <c r="K306" i="15"/>
  <c r="O306" i="15"/>
  <c r="M307" i="15"/>
  <c r="N298" i="15"/>
  <c r="N300" i="15"/>
  <c r="L302" i="15"/>
  <c r="P302" i="15"/>
  <c r="N303" i="15"/>
  <c r="L304" i="15"/>
  <c r="P304" i="15"/>
  <c r="N305" i="15"/>
  <c r="L306" i="15"/>
  <c r="P306" i="15"/>
  <c r="N307" i="15"/>
  <c r="K298" i="15"/>
  <c r="O298" i="15"/>
  <c r="K300" i="15"/>
  <c r="O300" i="15"/>
  <c r="M302" i="15"/>
  <c r="K303" i="15"/>
  <c r="O303" i="15"/>
  <c r="M304" i="15"/>
  <c r="K305" i="15"/>
  <c r="O305" i="15"/>
  <c r="M306" i="15"/>
  <c r="K307" i="15"/>
  <c r="O307" i="15"/>
  <c r="L298" i="15"/>
  <c r="P298" i="15"/>
  <c r="L300" i="15"/>
  <c r="P300" i="15"/>
  <c r="N302" i="15"/>
  <c r="L303" i="15"/>
  <c r="P303" i="15"/>
  <c r="N304" i="15"/>
  <c r="L305" i="15"/>
  <c r="P305" i="15"/>
  <c r="N306" i="15"/>
  <c r="L307" i="15"/>
  <c r="P307" i="15"/>
  <c r="L297" i="15"/>
  <c r="N299" i="15"/>
  <c r="O308" i="15"/>
  <c r="L308" i="15"/>
  <c r="O297" i="15"/>
  <c r="K297" i="15"/>
  <c r="M308" i="15"/>
  <c r="O299" i="15"/>
  <c r="K299" i="15"/>
  <c r="P308" i="15"/>
  <c r="M299" i="15"/>
  <c r="N308" i="15"/>
  <c r="P299" i="15"/>
  <c r="L299" i="15"/>
  <c r="M297" i="15"/>
  <c r="P297" i="15"/>
  <c r="K308" i="15"/>
  <c r="N297" i="15"/>
  <c r="K281" i="15"/>
  <c r="O281" i="15"/>
  <c r="K283" i="15"/>
  <c r="O283" i="15"/>
  <c r="M285" i="15"/>
  <c r="K286" i="15"/>
  <c r="O286" i="15"/>
  <c r="M287" i="15"/>
  <c r="K288" i="15"/>
  <c r="O288" i="15"/>
  <c r="M289" i="15"/>
  <c r="K290" i="15"/>
  <c r="O290" i="15"/>
  <c r="L281" i="15"/>
  <c r="P281" i="15"/>
  <c r="L283" i="15"/>
  <c r="P283" i="15"/>
  <c r="N285" i="15"/>
  <c r="L286" i="15"/>
  <c r="P286" i="15"/>
  <c r="N287" i="15"/>
  <c r="L288" i="15"/>
  <c r="P288" i="15"/>
  <c r="N289" i="15"/>
  <c r="L290" i="15"/>
  <c r="P290" i="15"/>
  <c r="M281" i="15"/>
  <c r="M283" i="15"/>
  <c r="K285" i="15"/>
  <c r="O285" i="15"/>
  <c r="M286" i="15"/>
  <c r="K287" i="15"/>
  <c r="O287" i="15"/>
  <c r="M288" i="15"/>
  <c r="K289" i="15"/>
  <c r="O289" i="15"/>
  <c r="M290" i="15"/>
  <c r="N281" i="15"/>
  <c r="N283" i="15"/>
  <c r="L285" i="15"/>
  <c r="P285" i="15"/>
  <c r="N286" i="15"/>
  <c r="L287" i="15"/>
  <c r="P287" i="15"/>
  <c r="N288" i="15"/>
  <c r="L289" i="15"/>
  <c r="P289" i="15"/>
  <c r="N290" i="15"/>
  <c r="K291" i="15"/>
  <c r="P280" i="15"/>
  <c r="L280" i="15"/>
  <c r="M282" i="15"/>
  <c r="N291" i="15"/>
  <c r="M291" i="15"/>
  <c r="L291" i="15"/>
  <c r="O291" i="15"/>
  <c r="O280" i="15"/>
  <c r="N280" i="15"/>
  <c r="M280" i="15"/>
  <c r="O282" i="15"/>
  <c r="K282" i="15"/>
  <c r="P291" i="15"/>
  <c r="N282" i="15"/>
  <c r="K280" i="15"/>
  <c r="P282" i="15"/>
  <c r="L282" i="15"/>
  <c r="M360" i="15"/>
  <c r="Q355" i="15"/>
  <c r="Q356" i="15"/>
  <c r="Q353" i="15"/>
  <c r="Q336" i="15"/>
  <c r="Q332" i="15"/>
  <c r="L326" i="15"/>
  <c r="Q319" i="15"/>
  <c r="Q320" i="15"/>
  <c r="Q338" i="15"/>
  <c r="C260" i="15"/>
  <c r="C261" i="15" s="1"/>
  <c r="C262" i="15" s="1"/>
  <c r="C263" i="15" s="1"/>
  <c r="C264" i="15" s="1"/>
  <c r="C265" i="15" s="1"/>
  <c r="C266" i="15" s="1"/>
  <c r="C267" i="15" s="1"/>
  <c r="C268" i="15" s="1"/>
  <c r="C269" i="15" s="1"/>
  <c r="C270" i="15" s="1"/>
  <c r="C271" i="15" s="1"/>
  <c r="C272" i="15" s="1"/>
  <c r="C273" i="15" s="1"/>
  <c r="C274" i="15" s="1"/>
  <c r="C275" i="15" s="1"/>
  <c r="M264" i="15"/>
  <c r="M266" i="15"/>
  <c r="K268" i="15"/>
  <c r="O268" i="15"/>
  <c r="N264" i="15"/>
  <c r="N266" i="15"/>
  <c r="L268" i="15"/>
  <c r="P268" i="15"/>
  <c r="K264" i="15"/>
  <c r="O264" i="15"/>
  <c r="K266" i="15"/>
  <c r="O266" i="15"/>
  <c r="M268" i="15"/>
  <c r="K269" i="15"/>
  <c r="O269" i="15"/>
  <c r="M270" i="15"/>
  <c r="K271" i="15"/>
  <c r="O271" i="15"/>
  <c r="M272" i="15"/>
  <c r="K273" i="15"/>
  <c r="O273" i="15"/>
  <c r="L264" i="15"/>
  <c r="P264" i="15"/>
  <c r="L266" i="15"/>
  <c r="P266" i="15"/>
  <c r="N268" i="15"/>
  <c r="L269" i="15"/>
  <c r="P269" i="15"/>
  <c r="N270" i="15"/>
  <c r="L271" i="15"/>
  <c r="P271" i="15"/>
  <c r="N272" i="15"/>
  <c r="L273" i="15"/>
  <c r="P273" i="15"/>
  <c r="M269" i="15"/>
  <c r="O270" i="15"/>
  <c r="K272" i="15"/>
  <c r="M273" i="15"/>
  <c r="N269" i="15"/>
  <c r="P270" i="15"/>
  <c r="L272" i="15"/>
  <c r="N273" i="15"/>
  <c r="K270" i="15"/>
  <c r="M271" i="15"/>
  <c r="O272" i="15"/>
  <c r="L270" i="15"/>
  <c r="N271" i="15"/>
  <c r="P272" i="15"/>
  <c r="M263" i="15"/>
  <c r="P263" i="15"/>
  <c r="N263" i="15"/>
  <c r="L263" i="15"/>
  <c r="N265" i="15"/>
  <c r="K274" i="15"/>
  <c r="P274" i="15"/>
  <c r="L274" i="15"/>
  <c r="O263" i="15"/>
  <c r="K263" i="15"/>
  <c r="M274" i="15"/>
  <c r="O265" i="15"/>
  <c r="K265" i="15"/>
  <c r="M265" i="15"/>
  <c r="N274" i="15"/>
  <c r="P265" i="15"/>
  <c r="L265" i="15"/>
  <c r="O274" i="15"/>
  <c r="L162" i="15"/>
  <c r="P162" i="15"/>
  <c r="L164" i="15"/>
  <c r="P164" i="15"/>
  <c r="N166" i="15"/>
  <c r="L167" i="15"/>
  <c r="P167" i="15"/>
  <c r="N168" i="15"/>
  <c r="L169" i="15"/>
  <c r="P169" i="15"/>
  <c r="N170" i="15"/>
  <c r="L171" i="15"/>
  <c r="P171" i="15"/>
  <c r="M162" i="15"/>
  <c r="M164" i="15"/>
  <c r="K166" i="15"/>
  <c r="O166" i="15"/>
  <c r="M167" i="15"/>
  <c r="K168" i="15"/>
  <c r="O168" i="15"/>
  <c r="M169" i="15"/>
  <c r="K170" i="15"/>
  <c r="O170" i="15"/>
  <c r="M171" i="15"/>
  <c r="N162" i="15"/>
  <c r="N164" i="15"/>
  <c r="L166" i="15"/>
  <c r="P166" i="15"/>
  <c r="N167" i="15"/>
  <c r="L168" i="15"/>
  <c r="P168" i="15"/>
  <c r="N169" i="15"/>
  <c r="L170" i="15"/>
  <c r="P170" i="15"/>
  <c r="N171" i="15"/>
  <c r="K162" i="15"/>
  <c r="O162" i="15"/>
  <c r="K164" i="15"/>
  <c r="O164" i="15"/>
  <c r="M166" i="15"/>
  <c r="K167" i="15"/>
  <c r="O167" i="15"/>
  <c r="M168" i="15"/>
  <c r="K169" i="15"/>
  <c r="O169" i="15"/>
  <c r="M170" i="15"/>
  <c r="K171" i="15"/>
  <c r="O171" i="15"/>
  <c r="M172" i="15"/>
  <c r="L172" i="15"/>
  <c r="L161" i="15"/>
  <c r="O163" i="15"/>
  <c r="N172" i="15"/>
  <c r="M163" i="15"/>
  <c r="P163" i="15"/>
  <c r="K163" i="15"/>
  <c r="N163" i="15"/>
  <c r="M161" i="15"/>
  <c r="L163" i="15"/>
  <c r="O172" i="15"/>
  <c r="O161" i="15"/>
  <c r="N161" i="15"/>
  <c r="P172" i="15"/>
  <c r="P161" i="15"/>
  <c r="K172" i="15"/>
  <c r="K161" i="15"/>
  <c r="C192" i="15"/>
  <c r="C193" i="15" s="1"/>
  <c r="C194" i="15" s="1"/>
  <c r="C195" i="15" s="1"/>
  <c r="C196" i="15" s="1"/>
  <c r="C197" i="15" s="1"/>
  <c r="C198" i="15" s="1"/>
  <c r="C199" i="15" s="1"/>
  <c r="C200" i="15" s="1"/>
  <c r="C201" i="15" s="1"/>
  <c r="C202" i="15" s="1"/>
  <c r="C203" i="15" s="1"/>
  <c r="C204" i="15" s="1"/>
  <c r="C205" i="15" s="1"/>
  <c r="C206" i="15" s="1"/>
  <c r="C207" i="15" s="1"/>
  <c r="L196" i="15"/>
  <c r="P196" i="15"/>
  <c r="L198" i="15"/>
  <c r="P198" i="15"/>
  <c r="N200" i="15"/>
  <c r="L201" i="15"/>
  <c r="P201" i="15"/>
  <c r="N202" i="15"/>
  <c r="L203" i="15"/>
  <c r="P203" i="15"/>
  <c r="N204" i="15"/>
  <c r="L205" i="15"/>
  <c r="P205" i="15"/>
  <c r="M196" i="15"/>
  <c r="M198" i="15"/>
  <c r="K200" i="15"/>
  <c r="O200" i="15"/>
  <c r="M201" i="15"/>
  <c r="K202" i="15"/>
  <c r="O202" i="15"/>
  <c r="M203" i="15"/>
  <c r="K204" i="15"/>
  <c r="O204" i="15"/>
  <c r="M205" i="15"/>
  <c r="N196" i="15"/>
  <c r="N198" i="15"/>
  <c r="L200" i="15"/>
  <c r="P200" i="15"/>
  <c r="N201" i="15"/>
  <c r="L202" i="15"/>
  <c r="P202" i="15"/>
  <c r="N203" i="15"/>
  <c r="L204" i="15"/>
  <c r="P204" i="15"/>
  <c r="N205" i="15"/>
  <c r="K196" i="15"/>
  <c r="O196" i="15"/>
  <c r="K198" i="15"/>
  <c r="O198" i="15"/>
  <c r="M200" i="15"/>
  <c r="K201" i="15"/>
  <c r="O201" i="15"/>
  <c r="M202" i="15"/>
  <c r="K203" i="15"/>
  <c r="O203" i="15"/>
  <c r="M204" i="15"/>
  <c r="K205" i="15"/>
  <c r="O205" i="15"/>
  <c r="P206" i="15"/>
  <c r="P195" i="15"/>
  <c r="K206" i="15"/>
  <c r="K195" i="15"/>
  <c r="M206" i="15"/>
  <c r="L206" i="15"/>
  <c r="L195" i="15"/>
  <c r="O197" i="15"/>
  <c r="N206" i="15"/>
  <c r="M197" i="15"/>
  <c r="P197" i="15"/>
  <c r="K197" i="15"/>
  <c r="N197" i="15"/>
  <c r="M195" i="15"/>
  <c r="L197" i="15"/>
  <c r="O206" i="15"/>
  <c r="O195" i="15"/>
  <c r="N195" i="15"/>
  <c r="N360" i="15"/>
  <c r="O343" i="15"/>
  <c r="Q334" i="15"/>
  <c r="Q341" i="15"/>
  <c r="N326" i="15"/>
  <c r="P326" i="15"/>
  <c r="Q315" i="15"/>
  <c r="L230" i="15"/>
  <c r="P230" i="15"/>
  <c r="L232" i="15"/>
  <c r="P232" i="15"/>
  <c r="N234" i="15"/>
  <c r="L235" i="15"/>
  <c r="P235" i="15"/>
  <c r="N236" i="15"/>
  <c r="L237" i="15"/>
  <c r="P237" i="15"/>
  <c r="N238" i="15"/>
  <c r="L239" i="15"/>
  <c r="P239" i="15"/>
  <c r="M230" i="15"/>
  <c r="M232" i="15"/>
  <c r="K234" i="15"/>
  <c r="O234" i="15"/>
  <c r="M235" i="15"/>
  <c r="K236" i="15"/>
  <c r="O236" i="15"/>
  <c r="M237" i="15"/>
  <c r="K238" i="15"/>
  <c r="O238" i="15"/>
  <c r="M239" i="15"/>
  <c r="N230" i="15"/>
  <c r="N232" i="15"/>
  <c r="L234" i="15"/>
  <c r="P234" i="15"/>
  <c r="N235" i="15"/>
  <c r="L236" i="15"/>
  <c r="P236" i="15"/>
  <c r="N237" i="15"/>
  <c r="L238" i="15"/>
  <c r="P238" i="15"/>
  <c r="N239" i="15"/>
  <c r="K230" i="15"/>
  <c r="O230" i="15"/>
  <c r="K232" i="15"/>
  <c r="O232" i="15"/>
  <c r="M234" i="15"/>
  <c r="K235" i="15"/>
  <c r="O235" i="15"/>
  <c r="M236" i="15"/>
  <c r="K237" i="15"/>
  <c r="O237" i="15"/>
  <c r="M238" i="15"/>
  <c r="K239" i="15"/>
  <c r="O239" i="15"/>
  <c r="M229" i="15"/>
  <c r="P240" i="15"/>
  <c r="K240" i="15"/>
  <c r="K229" i="15"/>
  <c r="N229" i="15"/>
  <c r="P231" i="15"/>
  <c r="L240" i="15"/>
  <c r="O231" i="15"/>
  <c r="L231" i="15"/>
  <c r="M240" i="15"/>
  <c r="P229" i="15"/>
  <c r="K231" i="15"/>
  <c r="N240" i="15"/>
  <c r="M231" i="15"/>
  <c r="L229" i="15"/>
  <c r="O240" i="15"/>
  <c r="O229" i="15"/>
  <c r="N231" i="15"/>
  <c r="C243" i="15"/>
  <c r="C244" i="15" s="1"/>
  <c r="C245" i="15" s="1"/>
  <c r="C246" i="15" s="1"/>
  <c r="C247" i="15" s="1"/>
  <c r="C248" i="15" s="1"/>
  <c r="C249" i="15" s="1"/>
  <c r="C250" i="15" s="1"/>
  <c r="C251" i="15" s="1"/>
  <c r="C252" i="15" s="1"/>
  <c r="C253" i="15" s="1"/>
  <c r="C254" i="15" s="1"/>
  <c r="C255" i="15" s="1"/>
  <c r="C256" i="15" s="1"/>
  <c r="C257" i="15" s="1"/>
  <c r="C258" i="15" s="1"/>
  <c r="M247" i="15"/>
  <c r="M249" i="15"/>
  <c r="K251" i="15"/>
  <c r="O251" i="15"/>
  <c r="M252" i="15"/>
  <c r="K253" i="15"/>
  <c r="O253" i="15"/>
  <c r="M254" i="15"/>
  <c r="K255" i="15"/>
  <c r="O255" i="15"/>
  <c r="M256" i="15"/>
  <c r="N247" i="15"/>
  <c r="N249" i="15"/>
  <c r="L251" i="15"/>
  <c r="P251" i="15"/>
  <c r="N252" i="15"/>
  <c r="L253" i="15"/>
  <c r="P253" i="15"/>
  <c r="N254" i="15"/>
  <c r="L255" i="15"/>
  <c r="P255" i="15"/>
  <c r="N256" i="15"/>
  <c r="O247" i="15"/>
  <c r="K249" i="15"/>
  <c r="M251" i="15"/>
  <c r="O252" i="15"/>
  <c r="K254" i="15"/>
  <c r="M255" i="15"/>
  <c r="O256" i="15"/>
  <c r="P247" i="15"/>
  <c r="L249" i="15"/>
  <c r="N251" i="15"/>
  <c r="P252" i="15"/>
  <c r="L254" i="15"/>
  <c r="N255" i="15"/>
  <c r="P256" i="15"/>
  <c r="K247" i="15"/>
  <c r="O249" i="15"/>
  <c r="K252" i="15"/>
  <c r="M253" i="15"/>
  <c r="O254" i="15"/>
  <c r="K256" i="15"/>
  <c r="L247" i="15"/>
  <c r="P249" i="15"/>
  <c r="L252" i="15"/>
  <c r="N253" i="15"/>
  <c r="P254" i="15"/>
  <c r="L256" i="15"/>
  <c r="N246" i="15"/>
  <c r="N248" i="15"/>
  <c r="O248" i="15"/>
  <c r="K248" i="15"/>
  <c r="P257" i="15"/>
  <c r="M257" i="15"/>
  <c r="K246" i="15"/>
  <c r="P248" i="15"/>
  <c r="L248" i="15"/>
  <c r="N257" i="15"/>
  <c r="K257" i="15"/>
  <c r="O257" i="15"/>
  <c r="M248" i="15"/>
  <c r="P246" i="15"/>
  <c r="L246" i="15"/>
  <c r="M246" i="15"/>
  <c r="L257" i="15"/>
  <c r="O246" i="15"/>
  <c r="C107" i="15"/>
  <c r="C108" i="15" s="1"/>
  <c r="C109" i="15" s="1"/>
  <c r="C110" i="15" s="1"/>
  <c r="C111" i="15" s="1"/>
  <c r="C112" i="15" s="1"/>
  <c r="C113" i="15" s="1"/>
  <c r="C114" i="15" s="1"/>
  <c r="C115" i="15" s="1"/>
  <c r="C116" i="15" s="1"/>
  <c r="C117" i="15" s="1"/>
  <c r="C118" i="15" s="1"/>
  <c r="C119" i="15" s="1"/>
  <c r="C120" i="15" s="1"/>
  <c r="C121" i="15" s="1"/>
  <c r="C122" i="15" s="1"/>
  <c r="N111" i="15"/>
  <c r="N113" i="15"/>
  <c r="L115" i="15"/>
  <c r="P115" i="15"/>
  <c r="N116" i="15"/>
  <c r="L117" i="15"/>
  <c r="P117" i="15"/>
  <c r="N118" i="15"/>
  <c r="L119" i="15"/>
  <c r="P119" i="15"/>
  <c r="N120" i="15"/>
  <c r="K111" i="15"/>
  <c r="O111" i="15"/>
  <c r="K113" i="15"/>
  <c r="O113" i="15"/>
  <c r="M115" i="15"/>
  <c r="K116" i="15"/>
  <c r="O116" i="15"/>
  <c r="M117" i="15"/>
  <c r="K118" i="15"/>
  <c r="O118" i="15"/>
  <c r="M119" i="15"/>
  <c r="K120" i="15"/>
  <c r="O120" i="15"/>
  <c r="L111" i="15"/>
  <c r="P111" i="15"/>
  <c r="L113" i="15"/>
  <c r="P113" i="15"/>
  <c r="N115" i="15"/>
  <c r="L116" i="15"/>
  <c r="P116" i="15"/>
  <c r="N117" i="15"/>
  <c r="L118" i="15"/>
  <c r="P118" i="15"/>
  <c r="N119" i="15"/>
  <c r="L120" i="15"/>
  <c r="P120" i="15"/>
  <c r="M111" i="15"/>
  <c r="M113" i="15"/>
  <c r="K115" i="15"/>
  <c r="O115" i="15"/>
  <c r="M116" i="15"/>
  <c r="K117" i="15"/>
  <c r="O117" i="15"/>
  <c r="M118" i="15"/>
  <c r="K119" i="15"/>
  <c r="O119" i="15"/>
  <c r="M120" i="15"/>
  <c r="K112" i="15"/>
  <c r="N112" i="15"/>
  <c r="M110" i="15"/>
  <c r="L112" i="15"/>
  <c r="O121" i="15"/>
  <c r="O110" i="15"/>
  <c r="N110" i="15"/>
  <c r="P121" i="15"/>
  <c r="P110" i="15"/>
  <c r="K121" i="15"/>
  <c r="K110" i="15"/>
  <c r="M121" i="15"/>
  <c r="L121" i="15"/>
  <c r="L110" i="15"/>
  <c r="O112" i="15"/>
  <c r="N121" i="15"/>
  <c r="M112" i="15"/>
  <c r="P112" i="15"/>
  <c r="N179" i="15"/>
  <c r="N181" i="15"/>
  <c r="L183" i="15"/>
  <c r="P183" i="15"/>
  <c r="N184" i="15"/>
  <c r="L185" i="15"/>
  <c r="P185" i="15"/>
  <c r="N186" i="15"/>
  <c r="L187" i="15"/>
  <c r="P187" i="15"/>
  <c r="N188" i="15"/>
  <c r="K179" i="15"/>
  <c r="O179" i="15"/>
  <c r="K181" i="15"/>
  <c r="O181" i="15"/>
  <c r="M183" i="15"/>
  <c r="K184" i="15"/>
  <c r="O184" i="15"/>
  <c r="M185" i="15"/>
  <c r="K186" i="15"/>
  <c r="O186" i="15"/>
  <c r="M187" i="15"/>
  <c r="K188" i="15"/>
  <c r="O188" i="15"/>
  <c r="L179" i="15"/>
  <c r="P179" i="15"/>
  <c r="L181" i="15"/>
  <c r="P181" i="15"/>
  <c r="N183" i="15"/>
  <c r="L184" i="15"/>
  <c r="P184" i="15"/>
  <c r="N185" i="15"/>
  <c r="L186" i="15"/>
  <c r="P186" i="15"/>
  <c r="N187" i="15"/>
  <c r="L188" i="15"/>
  <c r="P188" i="15"/>
  <c r="M179" i="15"/>
  <c r="M181" i="15"/>
  <c r="K183" i="15"/>
  <c r="O183" i="15"/>
  <c r="M184" i="15"/>
  <c r="K185" i="15"/>
  <c r="O185" i="15"/>
  <c r="M186" i="15"/>
  <c r="K187" i="15"/>
  <c r="O187" i="15"/>
  <c r="M188" i="15"/>
  <c r="K189" i="15"/>
  <c r="K178" i="15"/>
  <c r="M189" i="15"/>
  <c r="L189" i="15"/>
  <c r="L178" i="15"/>
  <c r="O180" i="15"/>
  <c r="N189" i="15"/>
  <c r="M180" i="15"/>
  <c r="P180" i="15"/>
  <c r="K180" i="15"/>
  <c r="N180" i="15"/>
  <c r="M178" i="15"/>
  <c r="L180" i="15"/>
  <c r="O189" i="15"/>
  <c r="O178" i="15"/>
  <c r="N178" i="15"/>
  <c r="P189" i="15"/>
  <c r="P178" i="15"/>
  <c r="Q354" i="15"/>
  <c r="L360" i="15"/>
  <c r="O360" i="15"/>
  <c r="Q357" i="15"/>
  <c r="Q351" i="15"/>
  <c r="P343" i="15"/>
  <c r="Q340" i="15"/>
  <c r="Q323" i="15"/>
  <c r="Q324" i="15"/>
  <c r="N230" i="13"/>
  <c r="L231" i="13"/>
  <c r="P231" i="13"/>
  <c r="N232" i="13"/>
  <c r="L233" i="13"/>
  <c r="P233" i="13"/>
  <c r="N235" i="13"/>
  <c r="L236" i="13"/>
  <c r="P236" i="13"/>
  <c r="N237" i="13"/>
  <c r="L238" i="13"/>
  <c r="P238" i="13"/>
  <c r="N239" i="13"/>
  <c r="L240" i="13"/>
  <c r="P240" i="13"/>
  <c r="N241" i="13"/>
  <c r="K230" i="13"/>
  <c r="O230" i="13"/>
  <c r="M231" i="13"/>
  <c r="K232" i="13"/>
  <c r="O232" i="13"/>
  <c r="M233" i="13"/>
  <c r="K235" i="13"/>
  <c r="O235" i="13"/>
  <c r="M236" i="13"/>
  <c r="K237" i="13"/>
  <c r="O237" i="13"/>
  <c r="M238" i="13"/>
  <c r="K239" i="13"/>
  <c r="O239" i="13"/>
  <c r="M240" i="13"/>
  <c r="K241" i="13"/>
  <c r="O241" i="13"/>
  <c r="L232" i="13"/>
  <c r="N233" i="13"/>
  <c r="P235" i="13"/>
  <c r="L237" i="13"/>
  <c r="N238" i="13"/>
  <c r="P239" i="13"/>
  <c r="L241" i="13"/>
  <c r="K231" i="13"/>
  <c r="O233" i="13"/>
  <c r="K236" i="13"/>
  <c r="M237" i="13"/>
  <c r="O238" i="13"/>
  <c r="K240" i="13"/>
  <c r="L230" i="13"/>
  <c r="N231" i="13"/>
  <c r="L235" i="13"/>
  <c r="N236" i="13"/>
  <c r="P237" i="13"/>
  <c r="L239" i="13"/>
  <c r="N240" i="13"/>
  <c r="O236" i="13"/>
  <c r="O231" i="13"/>
  <c r="K238" i="13"/>
  <c r="K233" i="13"/>
  <c r="M239" i="13"/>
  <c r="M235" i="13"/>
  <c r="O240" i="13"/>
  <c r="M232" i="13"/>
  <c r="P230" i="13"/>
  <c r="P232" i="13"/>
  <c r="P241" i="13"/>
  <c r="M241" i="13"/>
  <c r="M230" i="13"/>
  <c r="C159" i="13"/>
  <c r="C160" i="13" s="1"/>
  <c r="C161" i="13" s="1"/>
  <c r="C162" i="13" s="1"/>
  <c r="C163" i="13" s="1"/>
  <c r="C164" i="13" s="1"/>
  <c r="C165" i="13" s="1"/>
  <c r="C166" i="13" s="1"/>
  <c r="C167" i="13" s="1"/>
  <c r="C168" i="13" s="1"/>
  <c r="C169" i="13" s="1"/>
  <c r="C170" i="13" s="1"/>
  <c r="C171" i="13" s="1"/>
  <c r="C172" i="13" s="1"/>
  <c r="C173" i="13" s="1"/>
  <c r="C174" i="13" s="1"/>
  <c r="K162" i="13"/>
  <c r="O162" i="13"/>
  <c r="M163" i="13"/>
  <c r="K164" i="13"/>
  <c r="O164" i="13"/>
  <c r="M165" i="13"/>
  <c r="K167" i="13"/>
  <c r="O167" i="13"/>
  <c r="M168" i="13"/>
  <c r="K169" i="13"/>
  <c r="O169" i="13"/>
  <c r="M170" i="13"/>
  <c r="K171" i="13"/>
  <c r="O171" i="13"/>
  <c r="M172" i="13"/>
  <c r="K173" i="13"/>
  <c r="O173" i="13"/>
  <c r="L162" i="13"/>
  <c r="N163" i="13"/>
  <c r="L164" i="13"/>
  <c r="N165" i="13"/>
  <c r="L167" i="13"/>
  <c r="P167" i="13"/>
  <c r="N168" i="13"/>
  <c r="L169" i="13"/>
  <c r="P169" i="13"/>
  <c r="N170" i="13"/>
  <c r="L171" i="13"/>
  <c r="P171" i="13"/>
  <c r="N172" i="13"/>
  <c r="L173" i="13"/>
  <c r="K163" i="13"/>
  <c r="O163" i="13"/>
  <c r="K165" i="13"/>
  <c r="O165" i="13"/>
  <c r="M167" i="13"/>
  <c r="K168" i="13"/>
  <c r="N164" i="13"/>
  <c r="L168" i="13"/>
  <c r="N169" i="13"/>
  <c r="P170" i="13"/>
  <c r="L172" i="13"/>
  <c r="N173" i="13"/>
  <c r="N162" i="13"/>
  <c r="L165" i="13"/>
  <c r="O168" i="13"/>
  <c r="K170" i="13"/>
  <c r="M171" i="13"/>
  <c r="O172" i="13"/>
  <c r="N167" i="13"/>
  <c r="L163" i="13"/>
  <c r="P165" i="13"/>
  <c r="P168" i="13"/>
  <c r="L170" i="13"/>
  <c r="N171" i="13"/>
  <c r="P172" i="13"/>
  <c r="P163" i="13"/>
  <c r="M169" i="13"/>
  <c r="O170" i="13"/>
  <c r="K172" i="13"/>
  <c r="M164" i="13"/>
  <c r="P162" i="13"/>
  <c r="P164" i="13"/>
  <c r="P173" i="13"/>
  <c r="M162" i="13"/>
  <c r="M173" i="13"/>
  <c r="K265" i="13"/>
  <c r="O265" i="13"/>
  <c r="K267" i="13"/>
  <c r="O267" i="13"/>
  <c r="M269" i="13"/>
  <c r="K270" i="13"/>
  <c r="O270" i="13"/>
  <c r="M271" i="13"/>
  <c r="K272" i="13"/>
  <c r="O272" i="13"/>
  <c r="M273" i="13"/>
  <c r="K274" i="13"/>
  <c r="O274" i="13"/>
  <c r="N264" i="13"/>
  <c r="L265" i="13"/>
  <c r="P265" i="13"/>
  <c r="N266" i="13"/>
  <c r="L267" i="13"/>
  <c r="P267" i="13"/>
  <c r="N269" i="13"/>
  <c r="L270" i="13"/>
  <c r="P270" i="13"/>
  <c r="N271" i="13"/>
  <c r="L272" i="13"/>
  <c r="P272" i="13"/>
  <c r="N273" i="13"/>
  <c r="L274" i="13"/>
  <c r="P274" i="13"/>
  <c r="N275" i="13"/>
  <c r="O264" i="13"/>
  <c r="K266" i="13"/>
  <c r="M267" i="13"/>
  <c r="O269" i="13"/>
  <c r="K271" i="13"/>
  <c r="M272" i="13"/>
  <c r="O273" i="13"/>
  <c r="K275" i="13"/>
  <c r="L266" i="13"/>
  <c r="N267" i="13"/>
  <c r="P269" i="13"/>
  <c r="L271" i="13"/>
  <c r="N272" i="13"/>
  <c r="P273" i="13"/>
  <c r="L275" i="13"/>
  <c r="K264" i="13"/>
  <c r="M265" i="13"/>
  <c r="O266" i="13"/>
  <c r="K269" i="13"/>
  <c r="M270" i="13"/>
  <c r="O271" i="13"/>
  <c r="K273" i="13"/>
  <c r="M274" i="13"/>
  <c r="O275" i="13"/>
  <c r="L264" i="13"/>
  <c r="N270" i="13"/>
  <c r="N265" i="13"/>
  <c r="P271" i="13"/>
  <c r="L269" i="13"/>
  <c r="N274" i="13"/>
  <c r="L273" i="13"/>
  <c r="P266" i="13"/>
  <c r="M266" i="13"/>
  <c r="P264" i="13"/>
  <c r="M275" i="13"/>
  <c r="P275" i="13"/>
  <c r="M264" i="13"/>
  <c r="C244" i="13"/>
  <c r="C245" i="13" s="1"/>
  <c r="C246" i="13" s="1"/>
  <c r="C247" i="13" s="1"/>
  <c r="C248" i="13" s="1"/>
  <c r="C249" i="13" s="1"/>
  <c r="C250" i="13" s="1"/>
  <c r="C251" i="13" s="1"/>
  <c r="C252" i="13" s="1"/>
  <c r="C253" i="13" s="1"/>
  <c r="C254" i="13" s="1"/>
  <c r="C255" i="13" s="1"/>
  <c r="C256" i="13" s="1"/>
  <c r="C257" i="13" s="1"/>
  <c r="C258" i="13" s="1"/>
  <c r="C259" i="13" s="1"/>
  <c r="K247" i="13"/>
  <c r="O247" i="13"/>
  <c r="N248" i="13"/>
  <c r="L250" i="13"/>
  <c r="K252" i="13"/>
  <c r="O252" i="13"/>
  <c r="N253" i="13"/>
  <c r="M254" i="13"/>
  <c r="L255" i="13"/>
  <c r="K256" i="13"/>
  <c r="O256" i="13"/>
  <c r="N257" i="13"/>
  <c r="L247" i="13"/>
  <c r="K248" i="13"/>
  <c r="O248" i="13"/>
  <c r="N249" i="13"/>
  <c r="M250" i="13"/>
  <c r="L252" i="13"/>
  <c r="K253" i="13"/>
  <c r="O253" i="13"/>
  <c r="N254" i="13"/>
  <c r="M255" i="13"/>
  <c r="L256" i="13"/>
  <c r="K257" i="13"/>
  <c r="O257" i="13"/>
  <c r="N258" i="13"/>
  <c r="L248" i="13"/>
  <c r="O249" i="13"/>
  <c r="M252" i="13"/>
  <c r="K254" i="13"/>
  <c r="N255" i="13"/>
  <c r="L257" i="13"/>
  <c r="O258" i="13"/>
  <c r="M248" i="13"/>
  <c r="K250" i="13"/>
  <c r="N252" i="13"/>
  <c r="L254" i="13"/>
  <c r="O255" i="13"/>
  <c r="M257" i="13"/>
  <c r="K249" i="13"/>
  <c r="N250" i="13"/>
  <c r="L253" i="13"/>
  <c r="O254" i="13"/>
  <c r="M256" i="13"/>
  <c r="K258" i="13"/>
  <c r="M253" i="13"/>
  <c r="N247" i="13"/>
  <c r="K255" i="13"/>
  <c r="O250" i="13"/>
  <c r="L258" i="13"/>
  <c r="L249" i="13"/>
  <c r="N256" i="13"/>
  <c r="M249" i="13"/>
  <c r="M247" i="13"/>
  <c r="M258" i="13"/>
  <c r="C142" i="13"/>
  <c r="C143" i="13" s="1"/>
  <c r="C144" i="13" s="1"/>
  <c r="C145" i="13" s="1"/>
  <c r="C146" i="13" s="1"/>
  <c r="C147" i="13" s="1"/>
  <c r="C148" i="13" s="1"/>
  <c r="C149" i="13" s="1"/>
  <c r="C150" i="13" s="1"/>
  <c r="C151" i="13" s="1"/>
  <c r="C152" i="13" s="1"/>
  <c r="C153" i="13" s="1"/>
  <c r="C154" i="13" s="1"/>
  <c r="C155" i="13" s="1"/>
  <c r="C156" i="13" s="1"/>
  <c r="C157" i="13" s="1"/>
  <c r="K146" i="13"/>
  <c r="O146" i="13"/>
  <c r="K148" i="13"/>
  <c r="O148" i="13"/>
  <c r="M150" i="13"/>
  <c r="K151" i="13"/>
  <c r="O151" i="13"/>
  <c r="M152" i="13"/>
  <c r="K153" i="13"/>
  <c r="O153" i="13"/>
  <c r="M154" i="13"/>
  <c r="K155" i="13"/>
  <c r="O155" i="13"/>
  <c r="N145" i="13"/>
  <c r="L146" i="13"/>
  <c r="P146" i="13"/>
  <c r="N147" i="13"/>
  <c r="L148" i="13"/>
  <c r="P148" i="13"/>
  <c r="N150" i="13"/>
  <c r="L151" i="13"/>
  <c r="P151" i="13"/>
  <c r="N152" i="13"/>
  <c r="L153" i="13"/>
  <c r="P153" i="13"/>
  <c r="N154" i="13"/>
  <c r="L155" i="13"/>
  <c r="P155" i="13"/>
  <c r="N156" i="13"/>
  <c r="L145" i="13"/>
  <c r="N146" i="13"/>
  <c r="L150" i="13"/>
  <c r="N151" i="13"/>
  <c r="P152" i="13"/>
  <c r="L154" i="13"/>
  <c r="N155" i="13"/>
  <c r="M155" i="13"/>
  <c r="O145" i="13"/>
  <c r="K147" i="13"/>
  <c r="M148" i="13"/>
  <c r="O150" i="13"/>
  <c r="K152" i="13"/>
  <c r="M153" i="13"/>
  <c r="O154" i="13"/>
  <c r="K156" i="13"/>
  <c r="O147" i="13"/>
  <c r="L147" i="13"/>
  <c r="N148" i="13"/>
  <c r="P150" i="13"/>
  <c r="L152" i="13"/>
  <c r="N153" i="13"/>
  <c r="P154" i="13"/>
  <c r="L156" i="13"/>
  <c r="K145" i="13"/>
  <c r="M146" i="13"/>
  <c r="K150" i="13"/>
  <c r="M151" i="13"/>
  <c r="O152" i="13"/>
  <c r="K154" i="13"/>
  <c r="O156" i="13"/>
  <c r="M147" i="13"/>
  <c r="P145" i="13"/>
  <c r="P147" i="13"/>
  <c r="P156" i="13"/>
  <c r="M156" i="13"/>
  <c r="M145" i="13"/>
  <c r="C210" i="13"/>
  <c r="C211" i="13" s="1"/>
  <c r="C212" i="13" s="1"/>
  <c r="C213" i="13" s="1"/>
  <c r="C214" i="13" s="1"/>
  <c r="C215" i="13" s="1"/>
  <c r="C216" i="13" s="1"/>
  <c r="C217" i="13" s="1"/>
  <c r="C218" i="13" s="1"/>
  <c r="C219" i="13" s="1"/>
  <c r="C220" i="13" s="1"/>
  <c r="C221" i="13" s="1"/>
  <c r="C222" i="13" s="1"/>
  <c r="C223" i="13" s="1"/>
  <c r="C224" i="13" s="1"/>
  <c r="C225" i="13" s="1"/>
  <c r="L213" i="13"/>
  <c r="N214" i="13"/>
  <c r="L215" i="13"/>
  <c r="N216" i="13"/>
  <c r="L218" i="13"/>
  <c r="P218" i="13"/>
  <c r="N219" i="13"/>
  <c r="L220" i="13"/>
  <c r="P220" i="13"/>
  <c r="N221" i="13"/>
  <c r="L222" i="13"/>
  <c r="P222" i="13"/>
  <c r="N223" i="13"/>
  <c r="L224" i="13"/>
  <c r="K214" i="13"/>
  <c r="O214" i="13"/>
  <c r="K216" i="13"/>
  <c r="O216" i="13"/>
  <c r="M218" i="13"/>
  <c r="K219" i="13"/>
  <c r="O219" i="13"/>
  <c r="M220" i="13"/>
  <c r="K221" i="13"/>
  <c r="O221" i="13"/>
  <c r="M222" i="13"/>
  <c r="K223" i="13"/>
  <c r="O223" i="13"/>
  <c r="L214" i="13"/>
  <c r="N215" i="13"/>
  <c r="P216" i="13"/>
  <c r="L219" i="13"/>
  <c r="N220" i="13"/>
  <c r="P221" i="13"/>
  <c r="L223" i="13"/>
  <c r="N224" i="13"/>
  <c r="K213" i="13"/>
  <c r="M214" i="13"/>
  <c r="O215" i="13"/>
  <c r="K218" i="13"/>
  <c r="M219" i="13"/>
  <c r="O220" i="13"/>
  <c r="K222" i="13"/>
  <c r="M223" i="13"/>
  <c r="O224" i="13"/>
  <c r="N213" i="13"/>
  <c r="P214" i="13"/>
  <c r="L216" i="13"/>
  <c r="N218" i="13"/>
  <c r="P219" i="13"/>
  <c r="L221" i="13"/>
  <c r="N222" i="13"/>
  <c r="P223" i="13"/>
  <c r="O218" i="13"/>
  <c r="K224" i="13"/>
  <c r="O213" i="13"/>
  <c r="K220" i="13"/>
  <c r="M216" i="13"/>
  <c r="K215" i="13"/>
  <c r="M221" i="13"/>
  <c r="O222" i="13"/>
  <c r="M215" i="13"/>
  <c r="P213" i="13"/>
  <c r="P215" i="13"/>
  <c r="M224" i="13"/>
  <c r="M213" i="13"/>
  <c r="P224" i="13"/>
  <c r="C278" i="13"/>
  <c r="C279" i="13" s="1"/>
  <c r="C280" i="13" s="1"/>
  <c r="C281" i="13" s="1"/>
  <c r="C282" i="13" s="1"/>
  <c r="C283" i="13" s="1"/>
  <c r="C284" i="13" s="1"/>
  <c r="C285" i="13" s="1"/>
  <c r="C286" i="13" s="1"/>
  <c r="C287" i="13" s="1"/>
  <c r="C288" i="13" s="1"/>
  <c r="C289" i="13" s="1"/>
  <c r="C290" i="13" s="1"/>
  <c r="C291" i="13" s="1"/>
  <c r="C292" i="13" s="1"/>
  <c r="C293" i="13" s="1"/>
  <c r="K281" i="13"/>
  <c r="O281" i="13"/>
  <c r="M282" i="13"/>
  <c r="K283" i="13"/>
  <c r="O283" i="13"/>
  <c r="M284" i="13"/>
  <c r="K286" i="13"/>
  <c r="O286" i="13"/>
  <c r="M287" i="13"/>
  <c r="K288" i="13"/>
  <c r="O288" i="13"/>
  <c r="M289" i="13"/>
  <c r="K290" i="13"/>
  <c r="O290" i="13"/>
  <c r="M291" i="13"/>
  <c r="K292" i="13"/>
  <c r="O292" i="13"/>
  <c r="L281" i="13"/>
  <c r="N282" i="13"/>
  <c r="L283" i="13"/>
  <c r="N284" i="13"/>
  <c r="L286" i="13"/>
  <c r="P286" i="13"/>
  <c r="N287" i="13"/>
  <c r="L288" i="13"/>
  <c r="P288" i="13"/>
  <c r="N289" i="13"/>
  <c r="L290" i="13"/>
  <c r="P290" i="13"/>
  <c r="N291" i="13"/>
  <c r="L292" i="13"/>
  <c r="O282" i="13"/>
  <c r="K284" i="13"/>
  <c r="M286" i="13"/>
  <c r="O287" i="13"/>
  <c r="K289" i="13"/>
  <c r="M290" i="13"/>
  <c r="O291" i="13"/>
  <c r="N281" i="13"/>
  <c r="P282" i="13"/>
  <c r="L284" i="13"/>
  <c r="N286" i="13"/>
  <c r="P287" i="13"/>
  <c r="L289" i="13"/>
  <c r="N290" i="13"/>
  <c r="P291" i="13"/>
  <c r="K282" i="13"/>
  <c r="O284" i="13"/>
  <c r="K287" i="13"/>
  <c r="M288" i="13"/>
  <c r="O289" i="13"/>
  <c r="K291" i="13"/>
  <c r="L282" i="13"/>
  <c r="N288" i="13"/>
  <c r="N292" i="13"/>
  <c r="N283" i="13"/>
  <c r="P289" i="13"/>
  <c r="P284" i="13"/>
  <c r="L291" i="13"/>
  <c r="L287" i="13"/>
  <c r="P281" i="13"/>
  <c r="P283" i="13"/>
  <c r="M283" i="13"/>
  <c r="M292" i="13"/>
  <c r="M281" i="13"/>
  <c r="P292" i="13"/>
  <c r="C193" i="13"/>
  <c r="C194" i="13" s="1"/>
  <c r="C195" i="13" s="1"/>
  <c r="C196" i="13" s="1"/>
  <c r="C197" i="13" s="1"/>
  <c r="C198" i="13" s="1"/>
  <c r="C199" i="13" s="1"/>
  <c r="C200" i="13" s="1"/>
  <c r="C201" i="13" s="1"/>
  <c r="C202" i="13" s="1"/>
  <c r="C203" i="13" s="1"/>
  <c r="C204" i="13" s="1"/>
  <c r="C205" i="13" s="1"/>
  <c r="C206" i="13" s="1"/>
  <c r="C207" i="13" s="1"/>
  <c r="C208" i="13" s="1"/>
  <c r="K196" i="13"/>
  <c r="L196" i="13"/>
  <c r="N197" i="13"/>
  <c r="L198" i="13"/>
  <c r="N199" i="13"/>
  <c r="L201" i="13"/>
  <c r="P201" i="13"/>
  <c r="N202" i="13"/>
  <c r="L203" i="13"/>
  <c r="P203" i="13"/>
  <c r="N204" i="13"/>
  <c r="L205" i="13"/>
  <c r="P205" i="13"/>
  <c r="N206" i="13"/>
  <c r="L207" i="13"/>
  <c r="K197" i="13"/>
  <c r="O197" i="13"/>
  <c r="K199" i="13"/>
  <c r="O199" i="13"/>
  <c r="M201" i="13"/>
  <c r="K202" i="13"/>
  <c r="O202" i="13"/>
  <c r="M203" i="13"/>
  <c r="K204" i="13"/>
  <c r="O204" i="13"/>
  <c r="M205" i="13"/>
  <c r="K206" i="13"/>
  <c r="O206" i="13"/>
  <c r="N196" i="13"/>
  <c r="L197" i="13"/>
  <c r="P197" i="13"/>
  <c r="N198" i="13"/>
  <c r="L199" i="13"/>
  <c r="P199" i="13"/>
  <c r="N201" i="13"/>
  <c r="L202" i="13"/>
  <c r="P202" i="13"/>
  <c r="N203" i="13"/>
  <c r="L204" i="13"/>
  <c r="P204" i="13"/>
  <c r="N205" i="13"/>
  <c r="L206" i="13"/>
  <c r="P206" i="13"/>
  <c r="N207" i="13"/>
  <c r="K198" i="13"/>
  <c r="O201" i="13"/>
  <c r="M204" i="13"/>
  <c r="K207" i="13"/>
  <c r="M197" i="13"/>
  <c r="O203" i="13"/>
  <c r="O198" i="13"/>
  <c r="M202" i="13"/>
  <c r="K205" i="13"/>
  <c r="O207" i="13"/>
  <c r="M206" i="13"/>
  <c r="O196" i="13"/>
  <c r="M199" i="13"/>
  <c r="K203" i="13"/>
  <c r="O205" i="13"/>
  <c r="K201" i="13"/>
  <c r="P198" i="13"/>
  <c r="M198" i="13"/>
  <c r="P196" i="13"/>
  <c r="P207" i="13"/>
  <c r="M207" i="13"/>
  <c r="M196" i="13"/>
  <c r="N179" i="13"/>
  <c r="L180" i="13"/>
  <c r="P180" i="13"/>
  <c r="N181" i="13"/>
  <c r="L182" i="13"/>
  <c r="P182" i="13"/>
  <c r="N184" i="13"/>
  <c r="L185" i="13"/>
  <c r="P185" i="13"/>
  <c r="N186" i="13"/>
  <c r="L187" i="13"/>
  <c r="P187" i="13"/>
  <c r="N188" i="13"/>
  <c r="L189" i="13"/>
  <c r="P189" i="13"/>
  <c r="N190" i="13"/>
  <c r="K179" i="13"/>
  <c r="O179" i="13"/>
  <c r="M180" i="13"/>
  <c r="K181" i="13"/>
  <c r="O181" i="13"/>
  <c r="M182" i="13"/>
  <c r="K184" i="13"/>
  <c r="O184" i="13"/>
  <c r="M185" i="13"/>
  <c r="K186" i="13"/>
  <c r="O186" i="13"/>
  <c r="M187" i="13"/>
  <c r="K188" i="13"/>
  <c r="O188" i="13"/>
  <c r="M189" i="13"/>
  <c r="K190" i="13"/>
  <c r="O190" i="13"/>
  <c r="L179" i="13"/>
  <c r="N180" i="13"/>
  <c r="L181" i="13"/>
  <c r="N182" i="13"/>
  <c r="L184" i="13"/>
  <c r="P184" i="13"/>
  <c r="N185" i="13"/>
  <c r="L186" i="13"/>
  <c r="P186" i="13"/>
  <c r="N187" i="13"/>
  <c r="L188" i="13"/>
  <c r="P188" i="13"/>
  <c r="N189" i="13"/>
  <c r="L190" i="13"/>
  <c r="K180" i="13"/>
  <c r="O182" i="13"/>
  <c r="M186" i="13"/>
  <c r="K189" i="13"/>
  <c r="K182" i="13"/>
  <c r="O180" i="13"/>
  <c r="M184" i="13"/>
  <c r="K187" i="13"/>
  <c r="O189" i="13"/>
  <c r="O185" i="13"/>
  <c r="K185" i="13"/>
  <c r="O187" i="13"/>
  <c r="M188" i="13"/>
  <c r="M181" i="13"/>
  <c r="P181" i="13"/>
  <c r="P179" i="13"/>
  <c r="M190" i="13"/>
  <c r="P190" i="13"/>
  <c r="M179" i="13"/>
  <c r="I267" i="14"/>
  <c r="R267" i="14"/>
  <c r="U267" i="14"/>
  <c r="F267" i="14"/>
  <c r="G268" i="14"/>
  <c r="M267" i="14"/>
  <c r="J268" i="14"/>
  <c r="T265" i="14"/>
  <c r="I279" i="14"/>
  <c r="R264" i="14"/>
  <c r="F264" i="14"/>
  <c r="J265" i="14"/>
  <c r="I264" i="14"/>
  <c r="M268" i="14"/>
  <c r="R268" i="14"/>
  <c r="K261" i="14"/>
  <c r="M265" i="14"/>
  <c r="N268" i="14"/>
  <c r="J263" i="14"/>
  <c r="S268" i="14"/>
  <c r="H263" i="14"/>
  <c r="N263" i="14"/>
  <c r="P265" i="14"/>
  <c r="K263" i="14"/>
  <c r="S279" i="14"/>
  <c r="P282" i="14"/>
  <c r="N283" i="14"/>
  <c r="P278" i="14"/>
  <c r="N279" i="14"/>
  <c r="M280" i="14"/>
  <c r="I282" i="14"/>
  <c r="F263" i="14"/>
  <c r="K265" i="14"/>
  <c r="U268" i="14"/>
  <c r="T280" i="14"/>
  <c r="G266" i="14"/>
  <c r="M264" i="14"/>
  <c r="U265" i="14"/>
  <c r="U266" i="14"/>
  <c r="R281" i="14"/>
  <c r="I268" i="14"/>
  <c r="J264" i="14"/>
  <c r="H266" i="14"/>
  <c r="N261" i="14"/>
  <c r="S277" i="14"/>
  <c r="G263" i="14"/>
  <c r="U264" i="14"/>
  <c r="P266" i="14"/>
  <c r="S278" i="14"/>
  <c r="U278" i="14"/>
  <c r="R263" i="14"/>
  <c r="T266" i="14"/>
  <c r="S266" i="14"/>
  <c r="H278" i="14"/>
  <c r="J277" i="14"/>
  <c r="F280" i="14"/>
  <c r="F268" i="14"/>
  <c r="N266" i="14"/>
  <c r="G265" i="14"/>
  <c r="U263" i="14"/>
  <c r="P267" i="14"/>
  <c r="K279" i="14"/>
  <c r="T279" i="14"/>
  <c r="K280" i="14"/>
  <c r="S265" i="14"/>
  <c r="R266" i="14"/>
  <c r="R265" i="14"/>
  <c r="H264" i="14"/>
  <c r="K268" i="14"/>
  <c r="S282" i="14"/>
  <c r="G278" i="14"/>
  <c r="U280" i="14"/>
  <c r="J266" i="14"/>
  <c r="H267" i="14"/>
  <c r="F266" i="14"/>
  <c r="P264" i="14"/>
  <c r="N269" i="14"/>
  <c r="M263" i="14"/>
  <c r="G277" i="14"/>
  <c r="M279" i="14"/>
  <c r="K266" i="14"/>
  <c r="N267" i="14"/>
  <c r="K267" i="14"/>
  <c r="I266" i="14"/>
  <c r="N265" i="14"/>
  <c r="K269" i="14"/>
  <c r="J279" i="14"/>
  <c r="K277" i="14"/>
  <c r="M282" i="14"/>
  <c r="T282" i="14"/>
  <c r="H281" i="14"/>
  <c r="G282" i="14"/>
  <c r="R280" i="14"/>
  <c r="R282" i="14"/>
  <c r="M283" i="14"/>
  <c r="F282" i="14"/>
  <c r="K283" i="14"/>
  <c r="I277" i="14"/>
  <c r="N275" i="14"/>
  <c r="N282" i="14"/>
  <c r="F277" i="14"/>
  <c r="R277" i="14"/>
  <c r="P277" i="14"/>
  <c r="N264" i="14"/>
  <c r="C283" i="14"/>
  <c r="C262" i="14"/>
  <c r="I265" i="14"/>
  <c r="F279" i="14"/>
  <c r="R278" i="14"/>
  <c r="G280" i="14"/>
  <c r="N278" i="14"/>
  <c r="U282" i="14"/>
  <c r="P263" i="14"/>
  <c r="T264" i="14"/>
  <c r="I263" i="14"/>
  <c r="G267" i="14"/>
  <c r="S264" i="14"/>
  <c r="T267" i="14"/>
  <c r="T268" i="14"/>
  <c r="K264" i="14"/>
  <c r="C259" i="14"/>
  <c r="T263" i="14"/>
  <c r="U279" i="14"/>
  <c r="G279" i="14"/>
  <c r="J280" i="14"/>
  <c r="K278" i="14"/>
  <c r="P268" i="14"/>
  <c r="G264" i="14"/>
  <c r="H265" i="14"/>
  <c r="S263" i="14"/>
  <c r="S267" i="14"/>
  <c r="F265" i="14"/>
  <c r="H268" i="14"/>
  <c r="M269" i="14"/>
  <c r="P280" i="14"/>
  <c r="C269" i="14"/>
  <c r="C261" i="14"/>
  <c r="C266" i="14"/>
  <c r="C268" i="14"/>
  <c r="C274" i="14"/>
  <c r="C260" i="14"/>
  <c r="C264" i="14"/>
  <c r="M266" i="14"/>
  <c r="C258" i="14"/>
  <c r="C270" i="14"/>
  <c r="J267" i="14"/>
  <c r="C263" i="14"/>
  <c r="C265" i="14"/>
  <c r="C267" i="14"/>
  <c r="U337" i="13"/>
  <c r="R339" i="13"/>
  <c r="G236" i="16"/>
  <c r="C230" i="16"/>
  <c r="C231" i="16" s="1"/>
  <c r="C232" i="16" s="1"/>
  <c r="C233" i="16" s="1"/>
  <c r="C234" i="16" s="1"/>
  <c r="C235" i="16" s="1"/>
  <c r="C236" i="16" s="1"/>
  <c r="C237" i="16" s="1"/>
  <c r="C238" i="16" s="1"/>
  <c r="C239" i="16" s="1"/>
  <c r="C240" i="16" s="1"/>
  <c r="C241" i="16" s="1"/>
  <c r="C242" i="16" s="1"/>
  <c r="H114" i="16"/>
  <c r="C104" i="16"/>
  <c r="C105" i="16" s="1"/>
  <c r="C106" i="16" s="1"/>
  <c r="C107" i="16" s="1"/>
  <c r="C108" i="16" s="1"/>
  <c r="C109" i="16" s="1"/>
  <c r="C110" i="16" s="1"/>
  <c r="C111" i="16" s="1"/>
  <c r="C112" i="16" s="1"/>
  <c r="C113" i="16" s="1"/>
  <c r="C114" i="16" s="1"/>
  <c r="C115" i="16" s="1"/>
  <c r="C116" i="16" s="1"/>
  <c r="F128" i="16"/>
  <c r="C118" i="16"/>
  <c r="C119" i="16" s="1"/>
  <c r="C120" i="16" s="1"/>
  <c r="C121" i="16" s="1"/>
  <c r="C122" i="16" s="1"/>
  <c r="C123" i="16" s="1"/>
  <c r="C124" i="16" s="1"/>
  <c r="C125" i="16" s="1"/>
  <c r="C126" i="16" s="1"/>
  <c r="C127" i="16" s="1"/>
  <c r="C128" i="16" s="1"/>
  <c r="C129" i="16" s="1"/>
  <c r="C130" i="16" s="1"/>
  <c r="G183" i="16"/>
  <c r="C174" i="16"/>
  <c r="C175" i="16" s="1"/>
  <c r="C176" i="16" s="1"/>
  <c r="C177" i="16" s="1"/>
  <c r="C178" i="16" s="1"/>
  <c r="C179" i="16" s="1"/>
  <c r="C180" i="16" s="1"/>
  <c r="C181" i="16" s="1"/>
  <c r="C182" i="16" s="1"/>
  <c r="C183" i="16" s="1"/>
  <c r="C184" i="16" s="1"/>
  <c r="C185" i="16" s="1"/>
  <c r="C186" i="16" s="1"/>
  <c r="G196" i="16"/>
  <c r="C188" i="16"/>
  <c r="C189" i="16" s="1"/>
  <c r="C190" i="16" s="1"/>
  <c r="C191" i="16" s="1"/>
  <c r="C192" i="16" s="1"/>
  <c r="C193" i="16" s="1"/>
  <c r="C194" i="16" s="1"/>
  <c r="C195" i="16" s="1"/>
  <c r="C196" i="16" s="1"/>
  <c r="C197" i="16" s="1"/>
  <c r="C198" i="16" s="1"/>
  <c r="C199" i="16" s="1"/>
  <c r="C200" i="16" s="1"/>
  <c r="I212" i="16"/>
  <c r="C202" i="16"/>
  <c r="C203" i="16" s="1"/>
  <c r="C204" i="16" s="1"/>
  <c r="C205" i="16" s="1"/>
  <c r="C206" i="16" s="1"/>
  <c r="C207" i="16" s="1"/>
  <c r="C208" i="16" s="1"/>
  <c r="C209" i="16" s="1"/>
  <c r="C210" i="16" s="1"/>
  <c r="C211" i="16" s="1"/>
  <c r="C212" i="16" s="1"/>
  <c r="C213" i="16" s="1"/>
  <c r="C214" i="16" s="1"/>
  <c r="G152" i="16"/>
  <c r="C146" i="16"/>
  <c r="C147" i="16" s="1"/>
  <c r="C148" i="16" s="1"/>
  <c r="C149" i="16" s="1"/>
  <c r="C150" i="16" s="1"/>
  <c r="C151" i="16" s="1"/>
  <c r="C152" i="16" s="1"/>
  <c r="C153" i="16" s="1"/>
  <c r="C154" i="16" s="1"/>
  <c r="C155" i="16" s="1"/>
  <c r="C156" i="16" s="1"/>
  <c r="C157" i="16" s="1"/>
  <c r="C158" i="16" s="1"/>
  <c r="F166" i="16"/>
  <c r="C160" i="16"/>
  <c r="C161" i="16" s="1"/>
  <c r="C162" i="16" s="1"/>
  <c r="C163" i="16" s="1"/>
  <c r="C164" i="16" s="1"/>
  <c r="C165" i="16" s="1"/>
  <c r="C166" i="16" s="1"/>
  <c r="C167" i="16" s="1"/>
  <c r="C168" i="16" s="1"/>
  <c r="C169" i="16" s="1"/>
  <c r="C170" i="16" s="1"/>
  <c r="C171" i="16" s="1"/>
  <c r="C172" i="16" s="1"/>
  <c r="G138" i="16"/>
  <c r="C132" i="16"/>
  <c r="C133" i="16" s="1"/>
  <c r="C134" i="16" s="1"/>
  <c r="C135" i="16" s="1"/>
  <c r="C136" i="16" s="1"/>
  <c r="C137" i="16" s="1"/>
  <c r="C138" i="16" s="1"/>
  <c r="C139" i="16" s="1"/>
  <c r="C140" i="16" s="1"/>
  <c r="C141" i="16" s="1"/>
  <c r="C142" i="16" s="1"/>
  <c r="C143" i="16" s="1"/>
  <c r="C144" i="16" s="1"/>
  <c r="J305" i="15"/>
  <c r="C294" i="15"/>
  <c r="C295" i="15" s="1"/>
  <c r="C296" i="15" s="1"/>
  <c r="C297" i="15" s="1"/>
  <c r="C298" i="15" s="1"/>
  <c r="C299" i="15" s="1"/>
  <c r="C300" i="15" s="1"/>
  <c r="C301" i="15" s="1"/>
  <c r="C302" i="15" s="1"/>
  <c r="C303" i="15" s="1"/>
  <c r="C304" i="15" s="1"/>
  <c r="C305" i="15" s="1"/>
  <c r="C306" i="15" s="1"/>
  <c r="C307" i="15" s="1"/>
  <c r="C308" i="15" s="1"/>
  <c r="C309" i="15" s="1"/>
  <c r="I222" i="15"/>
  <c r="C209" i="15"/>
  <c r="C210" i="15" s="1"/>
  <c r="C211" i="15" s="1"/>
  <c r="C212" i="15" s="1"/>
  <c r="C213" i="15" s="1"/>
  <c r="C214" i="15" s="1"/>
  <c r="C215" i="15" s="1"/>
  <c r="C216" i="15" s="1"/>
  <c r="C217" i="15" s="1"/>
  <c r="C218" i="15" s="1"/>
  <c r="C219" i="15" s="1"/>
  <c r="C220" i="15" s="1"/>
  <c r="C221" i="15" s="1"/>
  <c r="C222" i="15" s="1"/>
  <c r="C223" i="15" s="1"/>
  <c r="C224" i="15" s="1"/>
  <c r="I184" i="15"/>
  <c r="C175" i="15"/>
  <c r="C176" i="15" s="1"/>
  <c r="C177" i="15" s="1"/>
  <c r="C178" i="15" s="1"/>
  <c r="C179" i="15" s="1"/>
  <c r="C180" i="15" s="1"/>
  <c r="C181" i="15" s="1"/>
  <c r="C182" i="15" s="1"/>
  <c r="C183" i="15" s="1"/>
  <c r="C184" i="15" s="1"/>
  <c r="C185" i="15" s="1"/>
  <c r="C186" i="15" s="1"/>
  <c r="C187" i="15" s="1"/>
  <c r="C188" i="15" s="1"/>
  <c r="C189" i="15" s="1"/>
  <c r="C190" i="15" s="1"/>
  <c r="F238" i="15"/>
  <c r="C226" i="15"/>
  <c r="C227" i="15" s="1"/>
  <c r="C228" i="15" s="1"/>
  <c r="C229" i="15" s="1"/>
  <c r="C230" i="15" s="1"/>
  <c r="C231" i="15" s="1"/>
  <c r="C232" i="15" s="1"/>
  <c r="C233" i="15" s="1"/>
  <c r="C234" i="15" s="1"/>
  <c r="C235" i="15" s="1"/>
  <c r="C236" i="15" s="1"/>
  <c r="C237" i="15" s="1"/>
  <c r="C238" i="15" s="1"/>
  <c r="C239" i="15" s="1"/>
  <c r="C240" i="15" s="1"/>
  <c r="C241" i="15" s="1"/>
  <c r="F168" i="15"/>
  <c r="C158" i="15"/>
  <c r="C159" i="15" s="1"/>
  <c r="C160" i="15" s="1"/>
  <c r="C161" i="15" s="1"/>
  <c r="C162" i="15" s="1"/>
  <c r="C163" i="15" s="1"/>
  <c r="C164" i="15" s="1"/>
  <c r="C165" i="15" s="1"/>
  <c r="C166" i="15" s="1"/>
  <c r="C167" i="15" s="1"/>
  <c r="C168" i="15" s="1"/>
  <c r="C169" i="15" s="1"/>
  <c r="C170" i="15" s="1"/>
  <c r="C171" i="15" s="1"/>
  <c r="C172" i="15" s="1"/>
  <c r="C173" i="15" s="1"/>
  <c r="H289" i="15"/>
  <c r="C277" i="15"/>
  <c r="C278" i="15" s="1"/>
  <c r="C279" i="15" s="1"/>
  <c r="C280" i="15" s="1"/>
  <c r="C281" i="15" s="1"/>
  <c r="C282" i="15" s="1"/>
  <c r="C283" i="15" s="1"/>
  <c r="C284" i="15" s="1"/>
  <c r="C285" i="15" s="1"/>
  <c r="C286" i="15" s="1"/>
  <c r="C287" i="15" s="1"/>
  <c r="C288" i="15" s="1"/>
  <c r="C289" i="15" s="1"/>
  <c r="C290" i="15" s="1"/>
  <c r="C291" i="15" s="1"/>
  <c r="C292" i="15" s="1"/>
  <c r="K137" i="12"/>
  <c r="K138" i="12" s="1"/>
  <c r="C132" i="12"/>
  <c r="C133" i="12" s="1"/>
  <c r="C134" i="12" s="1"/>
  <c r="C135" i="12" s="1"/>
  <c r="C136" i="12" s="1"/>
  <c r="C137" i="12" s="1"/>
  <c r="C138" i="12" s="1"/>
  <c r="K105" i="12"/>
  <c r="K106" i="12" s="1"/>
  <c r="C100" i="12"/>
  <c r="C101" i="12" s="1"/>
  <c r="C102" i="12" s="1"/>
  <c r="C103" i="12" s="1"/>
  <c r="C104" i="12" s="1"/>
  <c r="C105" i="12" s="1"/>
  <c r="C106" i="12" s="1"/>
  <c r="K81" i="12"/>
  <c r="K82" i="12" s="1"/>
  <c r="C76" i="12"/>
  <c r="C77" i="12" s="1"/>
  <c r="C78" i="12" s="1"/>
  <c r="C79" i="12" s="1"/>
  <c r="C80" i="12" s="1"/>
  <c r="C81" i="12" s="1"/>
  <c r="C82" i="12" s="1"/>
  <c r="J65" i="12"/>
  <c r="J66" i="12" s="1"/>
  <c r="C60" i="12"/>
  <c r="C61" i="12" s="1"/>
  <c r="C62" i="12" s="1"/>
  <c r="C63" i="12" s="1"/>
  <c r="C64" i="12" s="1"/>
  <c r="C65" i="12" s="1"/>
  <c r="C66" i="12" s="1"/>
  <c r="K145" i="12"/>
  <c r="K146" i="12" s="1"/>
  <c r="C140" i="12"/>
  <c r="C141" i="12" s="1"/>
  <c r="C142" i="12" s="1"/>
  <c r="C143" i="12" s="1"/>
  <c r="C144" i="12" s="1"/>
  <c r="C145" i="12" s="1"/>
  <c r="C146" i="12" s="1"/>
  <c r="K129" i="12"/>
  <c r="K130" i="12" s="1"/>
  <c r="C124" i="12"/>
  <c r="C125" i="12" s="1"/>
  <c r="C126" i="12" s="1"/>
  <c r="C127" i="12" s="1"/>
  <c r="C128" i="12" s="1"/>
  <c r="C129" i="12" s="1"/>
  <c r="C130" i="12" s="1"/>
  <c r="J121" i="12"/>
  <c r="J122" i="12" s="1"/>
  <c r="C116" i="12"/>
  <c r="C117" i="12" s="1"/>
  <c r="C118" i="12" s="1"/>
  <c r="C119" i="12" s="1"/>
  <c r="C120" i="12" s="1"/>
  <c r="C121" i="12" s="1"/>
  <c r="C122" i="12" s="1"/>
  <c r="G281" i="14"/>
  <c r="I278" i="14"/>
  <c r="T277" i="14"/>
  <c r="M278" i="14"/>
  <c r="M277" i="14"/>
  <c r="R279" i="14"/>
  <c r="J282" i="14"/>
  <c r="F278" i="14"/>
  <c r="N280" i="14"/>
  <c r="K282" i="14"/>
  <c r="C282" i="14"/>
  <c r="G218" i="13"/>
  <c r="F114" i="16"/>
  <c r="N277" i="14"/>
  <c r="C273" i="14"/>
  <c r="F218" i="11"/>
  <c r="C280" i="14"/>
  <c r="H280" i="14"/>
  <c r="N281" i="14"/>
  <c r="S280" i="14"/>
  <c r="I280" i="14"/>
  <c r="J278" i="14"/>
  <c r="M281" i="14"/>
  <c r="K275" i="14"/>
  <c r="H279" i="14"/>
  <c r="P281" i="14"/>
  <c r="U277" i="14"/>
  <c r="C277" i="14"/>
  <c r="U281" i="14"/>
  <c r="T281" i="14"/>
  <c r="H282" i="14"/>
  <c r="K281" i="14"/>
  <c r="J281" i="14"/>
  <c r="T278" i="14"/>
  <c r="I281" i="14"/>
  <c r="H277" i="14"/>
  <c r="P279" i="14"/>
  <c r="S281" i="14"/>
  <c r="U216" i="11"/>
  <c r="F157" i="11"/>
  <c r="P125" i="11"/>
  <c r="G86" i="11"/>
  <c r="G116" i="11"/>
  <c r="C111" i="11"/>
  <c r="C112" i="11" s="1"/>
  <c r="C113" i="11" s="1"/>
  <c r="C114" i="11" s="1"/>
  <c r="C115" i="11" s="1"/>
  <c r="C116" i="11" s="1"/>
  <c r="C117" i="11" s="1"/>
  <c r="C118" i="11" s="1"/>
  <c r="C110" i="11"/>
  <c r="C101" i="11"/>
  <c r="C102" i="11" s="1"/>
  <c r="C103" i="11" s="1"/>
  <c r="C104" i="11" s="1"/>
  <c r="C105" i="11" s="1"/>
  <c r="C106" i="11" s="1"/>
  <c r="C107" i="11" s="1"/>
  <c r="C108" i="11" s="1"/>
  <c r="C100" i="11"/>
  <c r="L86" i="11"/>
  <c r="J95" i="11"/>
  <c r="C90" i="11"/>
  <c r="C91" i="11"/>
  <c r="C92" i="11" s="1"/>
  <c r="C93" i="11" s="1"/>
  <c r="C94" i="11" s="1"/>
  <c r="C95" i="11" s="1"/>
  <c r="C96" i="11" s="1"/>
  <c r="C97" i="11" s="1"/>
  <c r="C98" i="11" s="1"/>
  <c r="F86" i="11"/>
  <c r="O177" i="11"/>
  <c r="C171" i="11"/>
  <c r="C172" i="11" s="1"/>
  <c r="C173" i="11" s="1"/>
  <c r="C174" i="11" s="1"/>
  <c r="C175" i="11" s="1"/>
  <c r="C176" i="11" s="1"/>
  <c r="C177" i="11" s="1"/>
  <c r="C178" i="11" s="1"/>
  <c r="C170" i="11"/>
  <c r="R165" i="11"/>
  <c r="C161" i="11"/>
  <c r="C162" i="11" s="1"/>
  <c r="C163" i="11" s="1"/>
  <c r="C164" i="11" s="1"/>
  <c r="C165" i="11" s="1"/>
  <c r="C166" i="11" s="1"/>
  <c r="C167" i="11" s="1"/>
  <c r="C168" i="11" s="1"/>
  <c r="C160" i="11"/>
  <c r="K86" i="11"/>
  <c r="C80" i="11"/>
  <c r="C81" i="11"/>
  <c r="C82" i="11" s="1"/>
  <c r="C83" i="11" s="1"/>
  <c r="C84" i="11" s="1"/>
  <c r="C85" i="11" s="1"/>
  <c r="C86" i="11" s="1"/>
  <c r="C87" i="11" s="1"/>
  <c r="C88" i="11" s="1"/>
  <c r="F85" i="11"/>
  <c r="S106" i="11"/>
  <c r="T105" i="11"/>
  <c r="Q86" i="11"/>
  <c r="Q146" i="11"/>
  <c r="C141" i="11"/>
  <c r="C142" i="11" s="1"/>
  <c r="C143" i="11" s="1"/>
  <c r="C144" i="11" s="1"/>
  <c r="C145" i="11" s="1"/>
  <c r="C146" i="11" s="1"/>
  <c r="C147" i="11" s="1"/>
  <c r="C148" i="11" s="1"/>
  <c r="C140" i="11"/>
  <c r="S126" i="11"/>
  <c r="C121" i="11"/>
  <c r="C122" i="11" s="1"/>
  <c r="C123" i="11" s="1"/>
  <c r="C124" i="11" s="1"/>
  <c r="C125" i="11" s="1"/>
  <c r="C126" i="11" s="1"/>
  <c r="C127" i="11" s="1"/>
  <c r="C128" i="11" s="1"/>
  <c r="C120" i="11"/>
  <c r="I106" i="11"/>
  <c r="S87" i="11"/>
  <c r="C71" i="11"/>
  <c r="C72" i="11" s="1"/>
  <c r="C73" i="11" s="1"/>
  <c r="C74" i="11" s="1"/>
  <c r="C75" i="11" s="1"/>
  <c r="C76" i="11" s="1"/>
  <c r="C77" i="11" s="1"/>
  <c r="C78" i="11" s="1"/>
  <c r="C70" i="11"/>
  <c r="C150" i="11"/>
  <c r="C151" i="11"/>
  <c r="C152" i="11" s="1"/>
  <c r="C153" i="11" s="1"/>
  <c r="C154" i="11" s="1"/>
  <c r="C155" i="11" s="1"/>
  <c r="C156" i="11" s="1"/>
  <c r="C157" i="11" s="1"/>
  <c r="C158" i="11" s="1"/>
  <c r="J186" i="11"/>
  <c r="C180" i="11"/>
  <c r="C181" i="11"/>
  <c r="C182" i="11" s="1"/>
  <c r="C183" i="11" s="1"/>
  <c r="C184" i="11" s="1"/>
  <c r="C185" i="11" s="1"/>
  <c r="C186" i="11" s="1"/>
  <c r="C187" i="11" s="1"/>
  <c r="C188" i="11" s="1"/>
  <c r="G137" i="11"/>
  <c r="C131" i="11"/>
  <c r="C132" i="11" s="1"/>
  <c r="C133" i="11" s="1"/>
  <c r="C134" i="11" s="1"/>
  <c r="C135" i="11" s="1"/>
  <c r="C136" i="11" s="1"/>
  <c r="C137" i="11" s="1"/>
  <c r="C138" i="11" s="1"/>
  <c r="C130" i="11"/>
  <c r="K146" i="11"/>
  <c r="Q336" i="14"/>
  <c r="Q333" i="14"/>
  <c r="Q335" i="14"/>
  <c r="Q296" i="14"/>
  <c r="Q294" i="14"/>
  <c r="Q291" i="14"/>
  <c r="Q293" i="14"/>
  <c r="Q337" i="14"/>
  <c r="Q292" i="14"/>
  <c r="Q295" i="14"/>
  <c r="Q334" i="14"/>
  <c r="Q338" i="14"/>
  <c r="R188" i="13"/>
  <c r="C176" i="13"/>
  <c r="C177" i="13" s="1"/>
  <c r="C178" i="13" s="1"/>
  <c r="C179" i="13" s="1"/>
  <c r="C180" i="13" s="1"/>
  <c r="C181" i="13" s="1"/>
  <c r="C182" i="13" s="1"/>
  <c r="C183" i="13" s="1"/>
  <c r="C184" i="13" s="1"/>
  <c r="C185" i="13" s="1"/>
  <c r="C186" i="13" s="1"/>
  <c r="C187" i="13" s="1"/>
  <c r="C188" i="13" s="1"/>
  <c r="C189" i="13" s="1"/>
  <c r="C190" i="13" s="1"/>
  <c r="C191" i="13" s="1"/>
  <c r="I233" i="13"/>
  <c r="C227" i="13"/>
  <c r="C228" i="13" s="1"/>
  <c r="C229" i="13" s="1"/>
  <c r="C230" i="13" s="1"/>
  <c r="C231" i="13" s="1"/>
  <c r="C232" i="13" s="1"/>
  <c r="C233" i="13" s="1"/>
  <c r="C234" i="13" s="1"/>
  <c r="C235" i="13" s="1"/>
  <c r="C236" i="13" s="1"/>
  <c r="C237" i="13" s="1"/>
  <c r="C238" i="13" s="1"/>
  <c r="C239" i="13" s="1"/>
  <c r="C240" i="13" s="1"/>
  <c r="C241" i="13" s="1"/>
  <c r="C242" i="13" s="1"/>
  <c r="H337" i="13"/>
  <c r="C329" i="13"/>
  <c r="C330" i="13" s="1"/>
  <c r="C331" i="13" s="1"/>
  <c r="C332" i="13" s="1"/>
  <c r="C333" i="13" s="1"/>
  <c r="C334" i="13" s="1"/>
  <c r="C335" i="13" s="1"/>
  <c r="C336" i="13" s="1"/>
  <c r="C337" i="13" s="1"/>
  <c r="C338" i="13" s="1"/>
  <c r="C339" i="13" s="1"/>
  <c r="C340" i="13" s="1"/>
  <c r="C341" i="13" s="1"/>
  <c r="C342" i="13" s="1"/>
  <c r="C343" i="13" s="1"/>
  <c r="C344" i="13" s="1"/>
  <c r="I267" i="13"/>
  <c r="C261" i="13"/>
  <c r="C262" i="13" s="1"/>
  <c r="C263" i="13" s="1"/>
  <c r="C264" i="13" s="1"/>
  <c r="C265" i="13" s="1"/>
  <c r="C266" i="13" s="1"/>
  <c r="C267" i="13" s="1"/>
  <c r="C268" i="13" s="1"/>
  <c r="C269" i="13" s="1"/>
  <c r="C270" i="13" s="1"/>
  <c r="C271" i="13" s="1"/>
  <c r="C272" i="13" s="1"/>
  <c r="C273" i="13" s="1"/>
  <c r="C274" i="13" s="1"/>
  <c r="C275" i="13" s="1"/>
  <c r="C276" i="13" s="1"/>
  <c r="Q352" i="13"/>
  <c r="Q354" i="13"/>
  <c r="F339" i="13"/>
  <c r="Q316" i="13"/>
  <c r="R333" i="13"/>
  <c r="G337" i="13"/>
  <c r="H340" i="13"/>
  <c r="J342" i="13"/>
  <c r="Q325" i="13"/>
  <c r="S339" i="13"/>
  <c r="Q323" i="13"/>
  <c r="Q322" i="13"/>
  <c r="Q318" i="13"/>
  <c r="Q356" i="13"/>
  <c r="Q350" i="13"/>
  <c r="F335" i="13"/>
  <c r="Q358" i="13"/>
  <c r="Q359" i="13"/>
  <c r="T333" i="13"/>
  <c r="F342" i="13"/>
  <c r="Q324" i="13"/>
  <c r="Q355" i="13"/>
  <c r="F338" i="13"/>
  <c r="U340" i="13"/>
  <c r="Q321" i="13"/>
  <c r="Q357" i="13"/>
  <c r="T341" i="13"/>
  <c r="T335" i="13"/>
  <c r="J338" i="13"/>
  <c r="J341" i="13"/>
  <c r="Q320" i="13"/>
  <c r="J289" i="15"/>
  <c r="I236" i="15"/>
  <c r="F171" i="15"/>
  <c r="G289" i="15"/>
  <c r="I165" i="16"/>
  <c r="G135" i="11"/>
  <c r="H135" i="11"/>
  <c r="K126" i="11"/>
  <c r="S147" i="11"/>
  <c r="I145" i="11"/>
  <c r="O86" i="11"/>
  <c r="R86" i="11"/>
  <c r="P86" i="11"/>
  <c r="S85" i="11"/>
  <c r="K186" i="11"/>
  <c r="K185" i="11"/>
  <c r="S125" i="11"/>
  <c r="Q127" i="11"/>
  <c r="O136" i="11"/>
  <c r="O145" i="11"/>
  <c r="S86" i="11"/>
  <c r="N86" i="11"/>
  <c r="J85" i="11"/>
  <c r="R87" i="11"/>
  <c r="G87" i="11"/>
  <c r="I129" i="12"/>
  <c r="I130" i="12" s="1"/>
  <c r="K121" i="12"/>
  <c r="K122" i="12" s="1"/>
  <c r="Q187" i="11"/>
  <c r="M186" i="11"/>
  <c r="H137" i="11"/>
  <c r="I136" i="11"/>
  <c r="I145" i="12"/>
  <c r="I146" i="12" s="1"/>
  <c r="H186" i="11"/>
  <c r="O187" i="11"/>
  <c r="R135" i="11"/>
  <c r="K137" i="11"/>
  <c r="T185" i="11"/>
  <c r="F187" i="11"/>
  <c r="K136" i="11"/>
  <c r="S136" i="11"/>
  <c r="T136" i="11"/>
  <c r="R96" i="11"/>
  <c r="F283" i="15"/>
  <c r="G239" i="15"/>
  <c r="I124" i="16"/>
  <c r="F232" i="15"/>
  <c r="F235" i="16"/>
  <c r="H281" i="15"/>
  <c r="I288" i="15"/>
  <c r="J232" i="15"/>
  <c r="F162" i="15"/>
  <c r="I239" i="16"/>
  <c r="J124" i="16"/>
  <c r="I281" i="15"/>
  <c r="J290" i="15"/>
  <c r="H238" i="15"/>
  <c r="G164" i="15"/>
  <c r="I126" i="16"/>
  <c r="E888" i="14"/>
  <c r="I185" i="11"/>
  <c r="O186" i="11"/>
  <c r="F185" i="11"/>
  <c r="L186" i="11"/>
  <c r="J187" i="11"/>
  <c r="O185" i="11"/>
  <c r="Q186" i="11"/>
  <c r="S187" i="11"/>
  <c r="P185" i="11"/>
  <c r="I135" i="11"/>
  <c r="T135" i="11"/>
  <c r="P137" i="11"/>
  <c r="H136" i="11"/>
  <c r="F137" i="11"/>
  <c r="K135" i="11"/>
  <c r="M136" i="11"/>
  <c r="O137" i="11"/>
  <c r="O96" i="11"/>
  <c r="S186" i="11"/>
  <c r="T137" i="11"/>
  <c r="Q135" i="11"/>
  <c r="J136" i="11"/>
  <c r="F135" i="11"/>
  <c r="L136" i="11"/>
  <c r="J137" i="11"/>
  <c r="O135" i="11"/>
  <c r="Q136" i="11"/>
  <c r="S137" i="11"/>
  <c r="P187" i="11"/>
  <c r="Q185" i="11"/>
  <c r="J185" i="11"/>
  <c r="P186" i="11"/>
  <c r="R187" i="11"/>
  <c r="S185" i="11"/>
  <c r="G187" i="11"/>
  <c r="R186" i="11"/>
  <c r="G186" i="11"/>
  <c r="I187" i="11"/>
  <c r="R185" i="11"/>
  <c r="T186" i="11"/>
  <c r="G185" i="11"/>
  <c r="I186" i="11"/>
  <c r="K187" i="11"/>
  <c r="I137" i="11"/>
  <c r="K97" i="11"/>
  <c r="F136" i="11"/>
  <c r="Q137" i="11"/>
  <c r="G136" i="11"/>
  <c r="R136" i="11"/>
  <c r="J135" i="11"/>
  <c r="P136" i="11"/>
  <c r="R137" i="11"/>
  <c r="S135" i="11"/>
  <c r="Q96" i="11"/>
  <c r="P96" i="11"/>
  <c r="R187" i="13"/>
  <c r="J96" i="11"/>
  <c r="G96" i="11"/>
  <c r="H283" i="15"/>
  <c r="J283" i="15"/>
  <c r="I239" i="15"/>
  <c r="G237" i="15"/>
  <c r="F164" i="15"/>
  <c r="J111" i="16"/>
  <c r="C278" i="14"/>
  <c r="S97" i="11"/>
  <c r="O97" i="11"/>
  <c r="N96" i="11"/>
  <c r="K96" i="11"/>
  <c r="F285" i="15"/>
  <c r="H285" i="15"/>
  <c r="I232" i="15"/>
  <c r="G238" i="15"/>
  <c r="J164" i="15"/>
  <c r="J114" i="16"/>
  <c r="C272" i="14"/>
  <c r="M96" i="11"/>
  <c r="R97" i="11"/>
  <c r="S95" i="11"/>
  <c r="H97" i="11"/>
  <c r="S96" i="11"/>
  <c r="O95" i="11"/>
  <c r="G97" i="11"/>
  <c r="J97" i="11"/>
  <c r="H95" i="11"/>
  <c r="P97" i="11"/>
  <c r="I97" i="11"/>
  <c r="I283" i="15"/>
  <c r="I290" i="15"/>
  <c r="H234" i="15"/>
  <c r="J238" i="15"/>
  <c r="I166" i="15"/>
  <c r="F123" i="16"/>
  <c r="G166" i="15"/>
  <c r="C281" i="14"/>
  <c r="C284" i="14"/>
  <c r="M275" i="14"/>
  <c r="G95" i="11"/>
  <c r="I96" i="11"/>
  <c r="T96" i="11"/>
  <c r="P95" i="11"/>
  <c r="T97" i="11"/>
  <c r="Q97" i="11"/>
  <c r="G285" i="15"/>
  <c r="J286" i="15"/>
  <c r="J235" i="15"/>
  <c r="H239" i="15"/>
  <c r="I170" i="15"/>
  <c r="G124" i="16"/>
  <c r="J125" i="16"/>
  <c r="C276" i="14"/>
  <c r="K95" i="11"/>
  <c r="L96" i="11"/>
  <c r="T95" i="11"/>
  <c r="I95" i="11"/>
  <c r="G286" i="15"/>
  <c r="J281" i="15"/>
  <c r="F290" i="15"/>
  <c r="I234" i="15"/>
  <c r="I169" i="15"/>
  <c r="G111" i="16"/>
  <c r="C275" i="14"/>
  <c r="F281" i="14"/>
  <c r="F95" i="11"/>
  <c r="F96" i="11"/>
  <c r="Q95" i="11"/>
  <c r="G188" i="13"/>
  <c r="I338" i="13"/>
  <c r="U333" i="13"/>
  <c r="J339" i="13"/>
  <c r="F333" i="13"/>
  <c r="T337" i="13"/>
  <c r="S333" i="13"/>
  <c r="F337" i="13"/>
  <c r="H338" i="13"/>
  <c r="S342" i="13"/>
  <c r="I337" i="13"/>
  <c r="T338" i="13"/>
  <c r="G340" i="13"/>
  <c r="I341" i="13"/>
  <c r="T342" i="13"/>
  <c r="U338" i="13"/>
  <c r="F340" i="13"/>
  <c r="H341" i="13"/>
  <c r="G339" i="13"/>
  <c r="J333" i="13"/>
  <c r="R342" i="13"/>
  <c r="G333" i="13"/>
  <c r="S337" i="13"/>
  <c r="H335" i="13"/>
  <c r="R338" i="13"/>
  <c r="I335" i="13"/>
  <c r="G341" i="13"/>
  <c r="G335" i="13"/>
  <c r="S340" i="13"/>
  <c r="U341" i="13"/>
  <c r="R337" i="13"/>
  <c r="J340" i="13"/>
  <c r="R341" i="13"/>
  <c r="H339" i="13"/>
  <c r="J337" i="13"/>
  <c r="R340" i="13"/>
  <c r="I340" i="13"/>
  <c r="R335" i="13"/>
  <c r="I333" i="13"/>
  <c r="S335" i="13"/>
  <c r="T339" i="13"/>
  <c r="H333" i="13"/>
  <c r="I342" i="13"/>
  <c r="J335" i="13"/>
  <c r="S338" i="13"/>
  <c r="U339" i="13"/>
  <c r="F341" i="13"/>
  <c r="H342" i="13"/>
  <c r="U335" i="13"/>
  <c r="G338" i="13"/>
  <c r="I339" i="13"/>
  <c r="T340" i="13"/>
  <c r="G342" i="13"/>
  <c r="S341" i="13"/>
  <c r="U342" i="13"/>
  <c r="J169" i="14"/>
  <c r="M163" i="14"/>
  <c r="T198" i="14"/>
  <c r="M191" i="14"/>
  <c r="U239" i="14"/>
  <c r="M233" i="14"/>
  <c r="N137" i="14"/>
  <c r="M135" i="14"/>
  <c r="N211" i="14"/>
  <c r="M205" i="14"/>
  <c r="I189" i="13"/>
  <c r="R184" i="13"/>
  <c r="S185" i="13"/>
  <c r="F185" i="13"/>
  <c r="J186" i="13"/>
  <c r="G240" i="13"/>
  <c r="I237" i="13"/>
  <c r="S187" i="13"/>
  <c r="G185" i="13"/>
  <c r="R254" i="13"/>
  <c r="G184" i="13"/>
  <c r="U188" i="13"/>
  <c r="I186" i="13"/>
  <c r="S184" i="13"/>
  <c r="T184" i="13"/>
  <c r="G182" i="13"/>
  <c r="H189" i="13"/>
  <c r="G187" i="13"/>
  <c r="R180" i="13"/>
  <c r="H252" i="13"/>
  <c r="H239" i="13"/>
  <c r="U235" i="13"/>
  <c r="G186" i="13"/>
  <c r="I188" i="13"/>
  <c r="F282" i="13"/>
  <c r="J271" i="13"/>
  <c r="J239" i="13"/>
  <c r="S220" i="13"/>
  <c r="J138" i="13"/>
  <c r="I119" i="13"/>
  <c r="S204" i="13"/>
  <c r="I269" i="13"/>
  <c r="U270" i="13"/>
  <c r="R274" i="13"/>
  <c r="U273" i="13"/>
  <c r="F238" i="13"/>
  <c r="S269" i="13"/>
  <c r="S231" i="13"/>
  <c r="U236" i="13"/>
  <c r="F274" i="13"/>
  <c r="I265" i="13"/>
  <c r="S235" i="13"/>
  <c r="F267" i="13"/>
  <c r="G151" i="13"/>
  <c r="T271" i="13"/>
  <c r="U233" i="13"/>
  <c r="T269" i="13"/>
  <c r="T274" i="13"/>
  <c r="T152" i="13"/>
  <c r="K592" i="14"/>
  <c r="M592" i="14"/>
  <c r="I592" i="14"/>
  <c r="G592" i="14"/>
  <c r="P592" i="14"/>
  <c r="N592" i="14"/>
  <c r="J592" i="14"/>
  <c r="H592" i="14"/>
  <c r="G578" i="14"/>
  <c r="N578" i="14"/>
  <c r="I578" i="14"/>
  <c r="H578" i="14"/>
  <c r="P578" i="14"/>
  <c r="K578" i="14"/>
  <c r="M578" i="14"/>
  <c r="J578" i="14"/>
  <c r="M564" i="14"/>
  <c r="P564" i="14"/>
  <c r="N564" i="14"/>
  <c r="H564" i="14"/>
  <c r="K564" i="14"/>
  <c r="J564" i="14"/>
  <c r="G564" i="14"/>
  <c r="I564" i="14"/>
  <c r="H550" i="14"/>
  <c r="I550" i="14"/>
  <c r="G550" i="14"/>
  <c r="N550" i="14"/>
  <c r="K550" i="14"/>
  <c r="M550" i="14"/>
  <c r="J550" i="14"/>
  <c r="P550" i="14"/>
  <c r="G536" i="14"/>
  <c r="K536" i="14"/>
  <c r="N536" i="14"/>
  <c r="J536" i="14"/>
  <c r="M536" i="14"/>
  <c r="H536" i="14"/>
  <c r="P536" i="14"/>
  <c r="I536" i="14"/>
  <c r="P522" i="14"/>
  <c r="K522" i="14"/>
  <c r="M522" i="14"/>
  <c r="G522" i="14"/>
  <c r="I522" i="14"/>
  <c r="J522" i="14"/>
  <c r="H522" i="14"/>
  <c r="N522" i="14"/>
  <c r="G508" i="14"/>
  <c r="N508" i="14"/>
  <c r="J508" i="14"/>
  <c r="H508" i="14"/>
  <c r="I508" i="14"/>
  <c r="K508" i="14"/>
  <c r="P508" i="14"/>
  <c r="M508" i="14"/>
  <c r="H494" i="14"/>
  <c r="G494" i="14"/>
  <c r="J494" i="14"/>
  <c r="N494" i="14"/>
  <c r="I494" i="14"/>
  <c r="P494" i="14"/>
  <c r="K494" i="14"/>
  <c r="M494" i="14"/>
  <c r="N466" i="14"/>
  <c r="H466" i="14"/>
  <c r="G466" i="14"/>
  <c r="I466" i="14"/>
  <c r="P466" i="14"/>
  <c r="K466" i="14"/>
  <c r="M466" i="14"/>
  <c r="J466" i="14"/>
  <c r="G452" i="14"/>
  <c r="M452" i="14"/>
  <c r="P452" i="14"/>
  <c r="N452" i="14"/>
  <c r="J452" i="14"/>
  <c r="I452" i="14"/>
  <c r="H452" i="14"/>
  <c r="K452" i="14"/>
  <c r="K438" i="14"/>
  <c r="M438" i="14"/>
  <c r="G438" i="14"/>
  <c r="P438" i="14"/>
  <c r="H438" i="14"/>
  <c r="J438" i="14"/>
  <c r="I438" i="14"/>
  <c r="N438" i="14"/>
  <c r="I424" i="14"/>
  <c r="G424" i="14"/>
  <c r="H424" i="14"/>
  <c r="N424" i="14"/>
  <c r="P424" i="14"/>
  <c r="K424" i="14"/>
  <c r="M424" i="14"/>
  <c r="J424" i="14"/>
  <c r="I410" i="14"/>
  <c r="H410" i="14"/>
  <c r="N410" i="14"/>
  <c r="J410" i="14"/>
  <c r="K410" i="14"/>
  <c r="G410" i="14"/>
  <c r="P410" i="14"/>
  <c r="M410" i="14"/>
  <c r="P396" i="14"/>
  <c r="N396" i="14"/>
  <c r="K396" i="14"/>
  <c r="M396" i="14"/>
  <c r="G396" i="14"/>
  <c r="J396" i="14"/>
  <c r="H396" i="14"/>
  <c r="I396" i="14"/>
  <c r="N382" i="14"/>
  <c r="P382" i="14"/>
  <c r="M382" i="14"/>
  <c r="G382" i="14"/>
  <c r="J382" i="14"/>
  <c r="H382" i="14"/>
  <c r="I382" i="14"/>
  <c r="K382" i="14"/>
  <c r="H368" i="14"/>
  <c r="P368" i="14"/>
  <c r="J368" i="14"/>
  <c r="N368" i="14"/>
  <c r="I368" i="14"/>
  <c r="K368" i="14"/>
  <c r="M368" i="14"/>
  <c r="G368" i="14"/>
  <c r="P354" i="14"/>
  <c r="G354" i="14"/>
  <c r="N354" i="14"/>
  <c r="K354" i="14"/>
  <c r="M354" i="14"/>
  <c r="J354" i="14"/>
  <c r="H354" i="14"/>
  <c r="I354" i="14"/>
  <c r="H340" i="14"/>
  <c r="I340" i="14"/>
  <c r="J340" i="14"/>
  <c r="K340" i="14"/>
  <c r="M340" i="14"/>
  <c r="N340" i="14"/>
  <c r="P340" i="14"/>
  <c r="G340" i="14"/>
  <c r="J326" i="14"/>
  <c r="G326" i="14"/>
  <c r="K326" i="14"/>
  <c r="M326" i="14"/>
  <c r="H326" i="14"/>
  <c r="I326" i="14"/>
  <c r="P326" i="14"/>
  <c r="N326" i="14"/>
  <c r="J312" i="14"/>
  <c r="N312" i="14"/>
  <c r="K312" i="14"/>
  <c r="M312" i="14"/>
  <c r="P312" i="14"/>
  <c r="G312" i="14"/>
  <c r="H312" i="14"/>
  <c r="I312" i="14"/>
  <c r="S194" i="14"/>
  <c r="J207" i="14"/>
  <c r="T209" i="14"/>
  <c r="J139" i="14"/>
  <c r="G138" i="14"/>
  <c r="N135" i="14"/>
  <c r="H141" i="14"/>
  <c r="P198" i="14"/>
  <c r="H194" i="14"/>
  <c r="S193" i="14"/>
  <c r="F194" i="14"/>
  <c r="R140" i="14"/>
  <c r="F137" i="14"/>
  <c r="G142" i="14"/>
  <c r="F140" i="14"/>
  <c r="R138" i="14"/>
  <c r="N236" i="14"/>
  <c r="S142" i="14"/>
  <c r="T138" i="14"/>
  <c r="H137" i="14"/>
  <c r="S141" i="14"/>
  <c r="F238" i="14"/>
  <c r="K141" i="14"/>
  <c r="I139" i="14"/>
  <c r="S137" i="14"/>
  <c r="N142" i="14"/>
  <c r="U240" i="14"/>
  <c r="N139" i="14"/>
  <c r="T140" i="14"/>
  <c r="U138" i="14"/>
  <c r="S240" i="14"/>
  <c r="J138" i="14"/>
  <c r="K208" i="14"/>
  <c r="T141" i="14"/>
  <c r="S138" i="14"/>
  <c r="M141" i="14"/>
  <c r="H139" i="14"/>
  <c r="N143" i="14"/>
  <c r="K135" i="14"/>
  <c r="P141" i="14"/>
  <c r="G141" i="14"/>
  <c r="H138" i="14"/>
  <c r="I141" i="14"/>
  <c r="P139" i="14"/>
  <c r="T194" i="14"/>
  <c r="C246" i="14"/>
  <c r="C254" i="14"/>
  <c r="C247" i="14"/>
  <c r="C255" i="14"/>
  <c r="C244" i="14"/>
  <c r="C250" i="14"/>
  <c r="C245" i="14"/>
  <c r="C248" i="14"/>
  <c r="C256" i="14"/>
  <c r="C249" i="14"/>
  <c r="C251" i="14"/>
  <c r="C252" i="14"/>
  <c r="C253" i="14"/>
  <c r="C93" i="14"/>
  <c r="C101" i="14"/>
  <c r="C94" i="14"/>
  <c r="C102" i="14"/>
  <c r="C100" i="14"/>
  <c r="C95" i="14"/>
  <c r="C90" i="14"/>
  <c r="C96" i="14"/>
  <c r="C97" i="14"/>
  <c r="C98" i="14"/>
  <c r="C91" i="14"/>
  <c r="C99" i="14"/>
  <c r="C92" i="14"/>
  <c r="T195" i="14"/>
  <c r="C194" i="14"/>
  <c r="C195" i="14"/>
  <c r="C189" i="14"/>
  <c r="C190" i="14"/>
  <c r="C198" i="14"/>
  <c r="C188" i="14"/>
  <c r="C196" i="14"/>
  <c r="C197" i="14"/>
  <c r="C191" i="14"/>
  <c r="C199" i="14"/>
  <c r="C192" i="14"/>
  <c r="C200" i="14"/>
  <c r="C193" i="14"/>
  <c r="F196" i="14"/>
  <c r="H208" i="14"/>
  <c r="C205" i="14"/>
  <c r="C213" i="14"/>
  <c r="C208" i="14"/>
  <c r="C206" i="14"/>
  <c r="C214" i="14"/>
  <c r="C209" i="14"/>
  <c r="C212" i="14"/>
  <c r="C207" i="14"/>
  <c r="C202" i="14"/>
  <c r="C210" i="14"/>
  <c r="C203" i="14"/>
  <c r="C211" i="14"/>
  <c r="C204" i="14"/>
  <c r="J208" i="14"/>
  <c r="M197" i="14"/>
  <c r="J197" i="14"/>
  <c r="M240" i="14"/>
  <c r="C235" i="14"/>
  <c r="C230" i="14"/>
  <c r="C238" i="14"/>
  <c r="C236" i="14"/>
  <c r="C231" i="14"/>
  <c r="C239" i="14"/>
  <c r="C234" i="14"/>
  <c r="C237" i="14"/>
  <c r="C232" i="14"/>
  <c r="C240" i="14"/>
  <c r="C233" i="14"/>
  <c r="C241" i="14"/>
  <c r="C242" i="14"/>
  <c r="H140" i="14"/>
  <c r="C134" i="14"/>
  <c r="C142" i="14"/>
  <c r="C137" i="14"/>
  <c r="C135" i="14"/>
  <c r="C143" i="14"/>
  <c r="C141" i="14"/>
  <c r="C136" i="14"/>
  <c r="C144" i="14"/>
  <c r="C132" i="14"/>
  <c r="C138" i="14"/>
  <c r="C139" i="14"/>
  <c r="C140" i="14"/>
  <c r="C133" i="14"/>
  <c r="C164" i="14"/>
  <c r="C172" i="14"/>
  <c r="C165" i="14"/>
  <c r="C160" i="14"/>
  <c r="C166" i="14"/>
  <c r="C167" i="14"/>
  <c r="C168" i="14"/>
  <c r="C161" i="14"/>
  <c r="C169" i="14"/>
  <c r="C162" i="14"/>
  <c r="C170" i="14"/>
  <c r="C163" i="14"/>
  <c r="C171" i="14"/>
  <c r="J111" i="14"/>
  <c r="C112" i="14"/>
  <c r="C107" i="14"/>
  <c r="C105" i="14"/>
  <c r="C113" i="14"/>
  <c r="C115" i="14"/>
  <c r="C108" i="14"/>
  <c r="C111" i="14"/>
  <c r="C106" i="14"/>
  <c r="C114" i="14"/>
  <c r="C116" i="14"/>
  <c r="C109" i="14"/>
  <c r="C104" i="14"/>
  <c r="C110" i="14"/>
  <c r="G194" i="14"/>
  <c r="R154" i="14"/>
  <c r="C153" i="14"/>
  <c r="C148" i="14"/>
  <c r="C154" i="14"/>
  <c r="C156" i="14"/>
  <c r="C152" i="14"/>
  <c r="C147" i="14"/>
  <c r="C155" i="14"/>
  <c r="C149" i="14"/>
  <c r="C157" i="14"/>
  <c r="C150" i="14"/>
  <c r="C158" i="14"/>
  <c r="C151" i="14"/>
  <c r="C146" i="14"/>
  <c r="P210" i="14"/>
  <c r="N196" i="14"/>
  <c r="M196" i="14"/>
  <c r="M211" i="14"/>
  <c r="P197" i="14"/>
  <c r="T197" i="14"/>
  <c r="N224" i="14"/>
  <c r="C224" i="14"/>
  <c r="C217" i="14"/>
  <c r="C225" i="14"/>
  <c r="C227" i="14"/>
  <c r="C220" i="14"/>
  <c r="C223" i="14"/>
  <c r="C218" i="14"/>
  <c r="C226" i="14"/>
  <c r="C219" i="14"/>
  <c r="C228" i="14"/>
  <c r="C221" i="14"/>
  <c r="C216" i="14"/>
  <c r="C222" i="14"/>
  <c r="J194" i="14"/>
  <c r="G193" i="14"/>
  <c r="I211" i="14"/>
  <c r="P193" i="14"/>
  <c r="H198" i="14"/>
  <c r="R184" i="14"/>
  <c r="C186" i="14"/>
  <c r="C178" i="14"/>
  <c r="C183" i="14"/>
  <c r="C185" i="14"/>
  <c r="C177" i="14"/>
  <c r="C175" i="14"/>
  <c r="C174" i="14"/>
  <c r="C184" i="14"/>
  <c r="C176" i="14"/>
  <c r="C182" i="14"/>
  <c r="C179" i="14"/>
  <c r="C181" i="14"/>
  <c r="C180" i="14"/>
  <c r="N128" i="14"/>
  <c r="C123" i="14"/>
  <c r="C118" i="14"/>
  <c r="C124" i="14"/>
  <c r="C126" i="14"/>
  <c r="C125" i="14"/>
  <c r="C119" i="14"/>
  <c r="C127" i="14"/>
  <c r="C130" i="14"/>
  <c r="C120" i="14"/>
  <c r="C128" i="14"/>
  <c r="C121" i="14"/>
  <c r="C129" i="14"/>
  <c r="C122" i="14"/>
  <c r="N205" i="14"/>
  <c r="M207" i="14"/>
  <c r="F193" i="14"/>
  <c r="K198" i="14"/>
  <c r="U196" i="14"/>
  <c r="N199" i="14"/>
  <c r="N198" i="14"/>
  <c r="U207" i="14"/>
  <c r="M199" i="14"/>
  <c r="I195" i="14"/>
  <c r="K194" i="14"/>
  <c r="I198" i="14"/>
  <c r="G197" i="14"/>
  <c r="N195" i="14"/>
  <c r="T196" i="14"/>
  <c r="S195" i="14"/>
  <c r="U197" i="14"/>
  <c r="R196" i="14"/>
  <c r="P239" i="14"/>
  <c r="K193" i="14"/>
  <c r="M195" i="14"/>
  <c r="F198" i="14"/>
  <c r="N194" i="14"/>
  <c r="K196" i="14"/>
  <c r="M198" i="14"/>
  <c r="S198" i="14"/>
  <c r="M140" i="14"/>
  <c r="H142" i="14"/>
  <c r="K137" i="14"/>
  <c r="M139" i="14"/>
  <c r="R141" i="14"/>
  <c r="P137" i="14"/>
  <c r="S139" i="14"/>
  <c r="F142" i="14"/>
  <c r="T125" i="14"/>
  <c r="J195" i="14"/>
  <c r="J238" i="14"/>
  <c r="I236" i="14"/>
  <c r="F197" i="14"/>
  <c r="M193" i="14"/>
  <c r="R195" i="14"/>
  <c r="N191" i="14"/>
  <c r="U194" i="14"/>
  <c r="H197" i="14"/>
  <c r="R198" i="14"/>
  <c r="K199" i="14"/>
  <c r="I138" i="14"/>
  <c r="F141" i="14"/>
  <c r="M137" i="14"/>
  <c r="R139" i="14"/>
  <c r="J142" i="14"/>
  <c r="F138" i="14"/>
  <c r="N140" i="14"/>
  <c r="K142" i="14"/>
  <c r="P142" i="14"/>
  <c r="I194" i="14"/>
  <c r="T238" i="14"/>
  <c r="M238" i="14"/>
  <c r="P196" i="14"/>
  <c r="I193" i="14"/>
  <c r="G196" i="14"/>
  <c r="K191" i="14"/>
  <c r="H195" i="14"/>
  <c r="R197" i="14"/>
  <c r="N197" i="14"/>
  <c r="U184" i="14"/>
  <c r="T137" i="14"/>
  <c r="P140" i="14"/>
  <c r="I137" i="14"/>
  <c r="G140" i="14"/>
  <c r="T142" i="14"/>
  <c r="N138" i="14"/>
  <c r="K140" i="14"/>
  <c r="U142" i="14"/>
  <c r="J141" i="14"/>
  <c r="T193" i="14"/>
  <c r="N237" i="14"/>
  <c r="U195" i="14"/>
  <c r="R193" i="14"/>
  <c r="J196" i="14"/>
  <c r="H193" i="14"/>
  <c r="P195" i="14"/>
  <c r="G198" i="14"/>
  <c r="K197" i="14"/>
  <c r="I142" i="14"/>
  <c r="G137" i="14"/>
  <c r="U139" i="14"/>
  <c r="R137" i="14"/>
  <c r="J140" i="14"/>
  <c r="M143" i="14"/>
  <c r="K138" i="14"/>
  <c r="U140" i="14"/>
  <c r="N113" i="14"/>
  <c r="G139" i="14"/>
  <c r="S216" i="13"/>
  <c r="U134" i="13"/>
  <c r="I223" i="13"/>
  <c r="R223" i="13"/>
  <c r="S131" i="13"/>
  <c r="S221" i="13"/>
  <c r="T219" i="13"/>
  <c r="G219" i="13"/>
  <c r="F216" i="13"/>
  <c r="H180" i="14"/>
  <c r="R128" i="14"/>
  <c r="G183" i="14"/>
  <c r="P124" i="14"/>
  <c r="S126" i="14"/>
  <c r="R216" i="13"/>
  <c r="U222" i="13"/>
  <c r="J223" i="13"/>
  <c r="G135" i="13"/>
  <c r="F129" i="13"/>
  <c r="J181" i="14"/>
  <c r="P182" i="14"/>
  <c r="M125" i="14"/>
  <c r="T125" i="11"/>
  <c r="M146" i="11"/>
  <c r="O146" i="11"/>
  <c r="I219" i="13"/>
  <c r="G216" i="13"/>
  <c r="I222" i="13"/>
  <c r="U138" i="13"/>
  <c r="F131" i="13"/>
  <c r="T180" i="14"/>
  <c r="T126" i="14"/>
  <c r="R127" i="11"/>
  <c r="N126" i="11"/>
  <c r="J145" i="11"/>
  <c r="P145" i="11"/>
  <c r="R147" i="11"/>
  <c r="J220" i="13"/>
  <c r="R138" i="13"/>
  <c r="J134" i="13"/>
  <c r="J182" i="14"/>
  <c r="T114" i="14"/>
  <c r="G288" i="15"/>
  <c r="J285" i="15"/>
  <c r="I286" i="15"/>
  <c r="F286" i="15"/>
  <c r="H287" i="15"/>
  <c r="I238" i="15"/>
  <c r="H236" i="15"/>
  <c r="H230" i="15"/>
  <c r="G168" i="15"/>
  <c r="H166" i="15"/>
  <c r="H164" i="15"/>
  <c r="F237" i="16"/>
  <c r="M194" i="14"/>
  <c r="G220" i="15"/>
  <c r="J127" i="11"/>
  <c r="R126" i="11"/>
  <c r="H147" i="11"/>
  <c r="T145" i="11"/>
  <c r="T147" i="11"/>
  <c r="I81" i="12"/>
  <c r="I82" i="12" s="1"/>
  <c r="J81" i="12"/>
  <c r="J82" i="12" s="1"/>
  <c r="H214" i="13"/>
  <c r="T220" i="13"/>
  <c r="U218" i="13"/>
  <c r="J219" i="13"/>
  <c r="H133" i="13"/>
  <c r="T129" i="13"/>
  <c r="T134" i="13"/>
  <c r="K110" i="14"/>
  <c r="G281" i="15"/>
  <c r="H286" i="15"/>
  <c r="I287" i="15"/>
  <c r="J287" i="15"/>
  <c r="F288" i="15"/>
  <c r="I235" i="15"/>
  <c r="F237" i="15"/>
  <c r="H232" i="15"/>
  <c r="G170" i="15"/>
  <c r="J167" i="15"/>
  <c r="J168" i="15"/>
  <c r="H238" i="16"/>
  <c r="S196" i="14"/>
  <c r="R194" i="14"/>
  <c r="F125" i="11"/>
  <c r="T127" i="11"/>
  <c r="J147" i="11"/>
  <c r="N146" i="11"/>
  <c r="Q147" i="11"/>
  <c r="R222" i="13"/>
  <c r="R221" i="13"/>
  <c r="F220" i="13"/>
  <c r="U133" i="13"/>
  <c r="I137" i="13"/>
  <c r="J125" i="14"/>
  <c r="G112" i="14"/>
  <c r="F287" i="15"/>
  <c r="G287" i="15"/>
  <c r="G290" i="15"/>
  <c r="F289" i="15"/>
  <c r="J288" i="15"/>
  <c r="J237" i="15"/>
  <c r="G230" i="15"/>
  <c r="H235" i="15"/>
  <c r="I167" i="15"/>
  <c r="H168" i="15"/>
  <c r="J170" i="15"/>
  <c r="G237" i="16"/>
  <c r="P194" i="14"/>
  <c r="O127" i="11"/>
  <c r="I125" i="11"/>
  <c r="H146" i="11"/>
  <c r="R146" i="11"/>
  <c r="G222" i="13"/>
  <c r="H134" i="13"/>
  <c r="I124" i="14"/>
  <c r="G283" i="15"/>
  <c r="H288" i="15"/>
  <c r="F281" i="15"/>
  <c r="H290" i="15"/>
  <c r="F230" i="15"/>
  <c r="G232" i="15"/>
  <c r="F236" i="15"/>
  <c r="G186" i="15"/>
  <c r="H170" i="15"/>
  <c r="I238" i="16"/>
  <c r="G307" i="15"/>
  <c r="J187" i="15"/>
  <c r="U182" i="14"/>
  <c r="J304" i="15"/>
  <c r="H220" i="15"/>
  <c r="H154" i="16"/>
  <c r="F234" i="15"/>
  <c r="J236" i="15"/>
  <c r="H237" i="15"/>
  <c r="F169" i="15"/>
  <c r="J171" i="15"/>
  <c r="G167" i="15"/>
  <c r="F166" i="15"/>
  <c r="H171" i="15"/>
  <c r="H235" i="16"/>
  <c r="J238" i="16"/>
  <c r="I235" i="16"/>
  <c r="I110" i="16"/>
  <c r="H110" i="16"/>
  <c r="G112" i="16"/>
  <c r="H125" i="16"/>
  <c r="H126" i="16"/>
  <c r="S197" i="14"/>
  <c r="K143" i="14"/>
  <c r="I140" i="14"/>
  <c r="G236" i="15"/>
  <c r="J230" i="15"/>
  <c r="F235" i="15"/>
  <c r="J239" i="15"/>
  <c r="G235" i="15"/>
  <c r="F239" i="15"/>
  <c r="J234" i="15"/>
  <c r="I237" i="15"/>
  <c r="I164" i="15"/>
  <c r="J162" i="15"/>
  <c r="F167" i="15"/>
  <c r="J169" i="15"/>
  <c r="G162" i="15"/>
  <c r="G169" i="15"/>
  <c r="F238" i="16"/>
  <c r="F240" i="16"/>
  <c r="I125" i="16"/>
  <c r="G127" i="16"/>
  <c r="H196" i="14"/>
  <c r="J137" i="14"/>
  <c r="I113" i="16"/>
  <c r="I109" i="16"/>
  <c r="F109" i="16"/>
  <c r="H112" i="16"/>
  <c r="J113" i="16"/>
  <c r="I112" i="16"/>
  <c r="G110" i="16"/>
  <c r="J109" i="16"/>
  <c r="G113" i="16"/>
  <c r="F113" i="16"/>
  <c r="G114" i="16"/>
  <c r="F239" i="16"/>
  <c r="G238" i="16"/>
  <c r="I236" i="16"/>
  <c r="H237" i="16"/>
  <c r="J240" i="16"/>
  <c r="J237" i="16"/>
  <c r="G239" i="16"/>
  <c r="J239" i="16"/>
  <c r="H239" i="16"/>
  <c r="H236" i="16"/>
  <c r="J127" i="16"/>
  <c r="H128" i="16"/>
  <c r="H124" i="16"/>
  <c r="H127" i="16"/>
  <c r="F124" i="16"/>
  <c r="I123" i="16"/>
  <c r="F127" i="16"/>
  <c r="J123" i="16"/>
  <c r="J126" i="16"/>
  <c r="G123" i="16"/>
  <c r="I127" i="16"/>
  <c r="F170" i="15"/>
  <c r="H167" i="15"/>
  <c r="H162" i="15"/>
  <c r="I168" i="15"/>
  <c r="H169" i="15"/>
  <c r="J166" i="15"/>
  <c r="G171" i="15"/>
  <c r="M138" i="14"/>
  <c r="F139" i="14"/>
  <c r="N141" i="14"/>
  <c r="S140" i="14"/>
  <c r="M142" i="14"/>
  <c r="U141" i="14"/>
  <c r="R142" i="14"/>
  <c r="U137" i="14"/>
  <c r="T139" i="14"/>
  <c r="J198" i="14"/>
  <c r="U198" i="14"/>
  <c r="I197" i="14"/>
  <c r="U193" i="14"/>
  <c r="N193" i="14"/>
  <c r="G195" i="14"/>
  <c r="J193" i="14"/>
  <c r="F195" i="14"/>
  <c r="K195" i="14"/>
  <c r="I196" i="14"/>
  <c r="J151" i="16"/>
  <c r="J154" i="16"/>
  <c r="G156" i="16"/>
  <c r="F154" i="16"/>
  <c r="I151" i="16"/>
  <c r="F187" i="15"/>
  <c r="J179" i="15"/>
  <c r="I183" i="15"/>
  <c r="I186" i="15"/>
  <c r="H184" i="15"/>
  <c r="H185" i="15"/>
  <c r="J188" i="15"/>
  <c r="J183" i="15"/>
  <c r="K184" i="14"/>
  <c r="T184" i="14"/>
  <c r="G182" i="14"/>
  <c r="I179" i="14"/>
  <c r="K183" i="14"/>
  <c r="N181" i="14"/>
  <c r="F179" i="14"/>
  <c r="K182" i="14"/>
  <c r="G179" i="14"/>
  <c r="M182" i="14"/>
  <c r="I184" i="14"/>
  <c r="M184" i="14"/>
  <c r="R183" i="14"/>
  <c r="M181" i="14"/>
  <c r="N185" i="14"/>
  <c r="S182" i="14"/>
  <c r="P180" i="14"/>
  <c r="S179" i="14"/>
  <c r="N184" i="14"/>
  <c r="T179" i="14"/>
  <c r="R182" i="14"/>
  <c r="M180" i="14"/>
  <c r="M185" i="14"/>
  <c r="R179" i="14"/>
  <c r="K181" i="14"/>
  <c r="F182" i="14"/>
  <c r="T183" i="14"/>
  <c r="R124" i="14"/>
  <c r="M129" i="14"/>
  <c r="J126" i="14"/>
  <c r="R123" i="14"/>
  <c r="U127" i="14"/>
  <c r="K125" i="14"/>
  <c r="N123" i="14"/>
  <c r="F126" i="14"/>
  <c r="G127" i="14"/>
  <c r="P123" i="14"/>
  <c r="F128" i="14"/>
  <c r="G128" i="14"/>
  <c r="I125" i="14"/>
  <c r="K129" i="14"/>
  <c r="F127" i="14"/>
  <c r="S124" i="14"/>
  <c r="H123" i="14"/>
  <c r="S127" i="14"/>
  <c r="T127" i="14"/>
  <c r="I126" i="14"/>
  <c r="G124" i="14"/>
  <c r="U125" i="14"/>
  <c r="P125" i="14"/>
  <c r="T207" i="14"/>
  <c r="G212" i="14"/>
  <c r="T210" i="14"/>
  <c r="I209" i="14"/>
  <c r="G208" i="14"/>
  <c r="K213" i="14"/>
  <c r="H212" i="14"/>
  <c r="F211" i="14"/>
  <c r="U209" i="14"/>
  <c r="S208" i="14"/>
  <c r="K207" i="14"/>
  <c r="M212" i="14"/>
  <c r="G209" i="14"/>
  <c r="K212" i="14"/>
  <c r="N210" i="14"/>
  <c r="F208" i="14"/>
  <c r="N208" i="14"/>
  <c r="U212" i="14"/>
  <c r="R210" i="14"/>
  <c r="N212" i="14"/>
  <c r="S207" i="14"/>
  <c r="M213" i="14"/>
  <c r="R211" i="14"/>
  <c r="J210" i="14"/>
  <c r="M209" i="14"/>
  <c r="R207" i="14"/>
  <c r="N213" i="14"/>
  <c r="U211" i="14"/>
  <c r="S210" i="14"/>
  <c r="K209" i="14"/>
  <c r="P208" i="14"/>
  <c r="N207" i="14"/>
  <c r="J211" i="14"/>
  <c r="R208" i="14"/>
  <c r="F212" i="14"/>
  <c r="S209" i="14"/>
  <c r="P207" i="14"/>
  <c r="P209" i="14"/>
  <c r="G207" i="14"/>
  <c r="T211" i="14"/>
  <c r="T212" i="14"/>
  <c r="G210" i="14"/>
  <c r="I207" i="14"/>
  <c r="K211" i="14"/>
  <c r="N209" i="14"/>
  <c r="F207" i="14"/>
  <c r="M208" i="14"/>
  <c r="H209" i="14"/>
  <c r="K210" i="14"/>
  <c r="H222" i="13"/>
  <c r="I218" i="13"/>
  <c r="G221" i="13"/>
  <c r="H220" i="13"/>
  <c r="H223" i="13"/>
  <c r="F222" i="13"/>
  <c r="U220" i="13"/>
  <c r="S219" i="13"/>
  <c r="J216" i="13"/>
  <c r="J214" i="13"/>
  <c r="F189" i="13"/>
  <c r="S186" i="13"/>
  <c r="U185" i="13"/>
  <c r="J189" i="13"/>
  <c r="R186" i="13"/>
  <c r="J185" i="13"/>
  <c r="F182" i="13"/>
  <c r="F180" i="13"/>
  <c r="H187" i="13"/>
  <c r="F186" i="13"/>
  <c r="U184" i="13"/>
  <c r="T182" i="13"/>
  <c r="T180" i="13"/>
  <c r="R189" i="13"/>
  <c r="J188" i="13"/>
  <c r="R185" i="13"/>
  <c r="J184" i="13"/>
  <c r="H182" i="13"/>
  <c r="F136" i="13"/>
  <c r="F134" i="13"/>
  <c r="G138" i="13"/>
  <c r="T136" i="13"/>
  <c r="I135" i="13"/>
  <c r="G134" i="13"/>
  <c r="U131" i="13"/>
  <c r="U129" i="13"/>
  <c r="H138" i="13"/>
  <c r="F137" i="13"/>
  <c r="U135" i="13"/>
  <c r="S134" i="13"/>
  <c r="J131" i="13"/>
  <c r="J129" i="13"/>
  <c r="I138" i="13"/>
  <c r="G137" i="13"/>
  <c r="T135" i="13"/>
  <c r="I134" i="13"/>
  <c r="G133" i="13"/>
  <c r="R129" i="13"/>
  <c r="H137" i="13"/>
  <c r="H135" i="13"/>
  <c r="R137" i="13"/>
  <c r="J136" i="13"/>
  <c r="R133" i="13"/>
  <c r="U137" i="13"/>
  <c r="S136" i="13"/>
  <c r="G131" i="13"/>
  <c r="G129" i="13"/>
  <c r="R136" i="13"/>
  <c r="J135" i="13"/>
  <c r="T138" i="13"/>
  <c r="G136" i="13"/>
  <c r="I133" i="13"/>
  <c r="F133" i="13"/>
  <c r="I136" i="13"/>
  <c r="T133" i="13"/>
  <c r="H131" i="13"/>
  <c r="H129" i="13"/>
  <c r="I131" i="13"/>
  <c r="I181" i="16"/>
  <c r="J181" i="16"/>
  <c r="H179" i="16"/>
  <c r="I179" i="16"/>
  <c r="I182" i="16"/>
  <c r="J184" i="16"/>
  <c r="F220" i="15"/>
  <c r="I220" i="15"/>
  <c r="J219" i="15"/>
  <c r="H217" i="15"/>
  <c r="I215" i="15"/>
  <c r="F217" i="15"/>
  <c r="G215" i="15"/>
  <c r="I213" i="15"/>
  <c r="T126" i="11"/>
  <c r="G127" i="11"/>
  <c r="K125" i="11"/>
  <c r="F126" i="11"/>
  <c r="H127" i="11"/>
  <c r="Q125" i="11"/>
  <c r="I87" i="11"/>
  <c r="K145" i="11"/>
  <c r="R145" i="11"/>
  <c r="L146" i="11"/>
  <c r="O147" i="11"/>
  <c r="F146" i="11"/>
  <c r="F147" i="11"/>
  <c r="Q145" i="11"/>
  <c r="T146" i="11"/>
  <c r="S146" i="11"/>
  <c r="I85" i="11"/>
  <c r="H85" i="11"/>
  <c r="T87" i="11"/>
  <c r="H87" i="11"/>
  <c r="R85" i="11"/>
  <c r="T86" i="11"/>
  <c r="G85" i="11"/>
  <c r="I86" i="11"/>
  <c r="K87" i="11"/>
  <c r="J129" i="12"/>
  <c r="J130" i="12" s="1"/>
  <c r="T223" i="13"/>
  <c r="J221" i="13"/>
  <c r="R218" i="13"/>
  <c r="I214" i="13"/>
  <c r="H216" i="13"/>
  <c r="J218" i="13"/>
  <c r="R219" i="13"/>
  <c r="J222" i="13"/>
  <c r="G214" i="13"/>
  <c r="T216" i="13"/>
  <c r="H219" i="13"/>
  <c r="S223" i="13"/>
  <c r="F223" i="13"/>
  <c r="U214" i="13"/>
  <c r="T221" i="13"/>
  <c r="I216" i="13"/>
  <c r="U189" i="13"/>
  <c r="H184" i="13"/>
  <c r="H180" i="13"/>
  <c r="T186" i="13"/>
  <c r="T188" i="13"/>
  <c r="G180" i="13"/>
  <c r="J182" i="13"/>
  <c r="H185" i="13"/>
  <c r="F188" i="13"/>
  <c r="S189" i="13"/>
  <c r="U182" i="13"/>
  <c r="T185" i="13"/>
  <c r="J187" i="13"/>
  <c r="G189" i="13"/>
  <c r="H188" i="13"/>
  <c r="S137" i="13"/>
  <c r="S129" i="13"/>
  <c r="J133" i="13"/>
  <c r="J137" i="13"/>
  <c r="F135" i="13"/>
  <c r="R135" i="13"/>
  <c r="S133" i="13"/>
  <c r="J209" i="14"/>
  <c r="I180" i="14"/>
  <c r="S211" i="14"/>
  <c r="U210" i="14"/>
  <c r="I210" i="14"/>
  <c r="F209" i="14"/>
  <c r="P212" i="14"/>
  <c r="T208" i="14"/>
  <c r="J212" i="14"/>
  <c r="N180" i="14"/>
  <c r="U183" i="14"/>
  <c r="I183" i="14"/>
  <c r="S123" i="14"/>
  <c r="H128" i="14"/>
  <c r="R127" i="14"/>
  <c r="J215" i="15"/>
  <c r="F184" i="15"/>
  <c r="H182" i="16"/>
  <c r="I156" i="16"/>
  <c r="F155" i="16"/>
  <c r="U136" i="13"/>
  <c r="F169" i="16"/>
  <c r="G165" i="16"/>
  <c r="J165" i="16"/>
  <c r="G170" i="16"/>
  <c r="H165" i="16"/>
  <c r="J167" i="16"/>
  <c r="I169" i="16"/>
  <c r="F165" i="16"/>
  <c r="H302" i="15"/>
  <c r="H303" i="15"/>
  <c r="I302" i="15"/>
  <c r="F307" i="15"/>
  <c r="H298" i="15"/>
  <c r="F298" i="15"/>
  <c r="H307" i="15"/>
  <c r="J300" i="15"/>
  <c r="G125" i="11"/>
  <c r="H126" i="11"/>
  <c r="L126" i="11"/>
  <c r="Q126" i="11"/>
  <c r="H125" i="11"/>
  <c r="J126" i="11"/>
  <c r="P127" i="11"/>
  <c r="G126" i="11"/>
  <c r="I127" i="11"/>
  <c r="S145" i="11"/>
  <c r="I146" i="11"/>
  <c r="P146" i="11"/>
  <c r="G145" i="11"/>
  <c r="H145" i="11"/>
  <c r="J146" i="11"/>
  <c r="K147" i="11"/>
  <c r="G146" i="11"/>
  <c r="G147" i="11"/>
  <c r="I147" i="11"/>
  <c r="Q85" i="11"/>
  <c r="P85" i="11"/>
  <c r="T85" i="11"/>
  <c r="P87" i="11"/>
  <c r="H86" i="11"/>
  <c r="F87" i="11"/>
  <c r="K85" i="11"/>
  <c r="M86" i="11"/>
  <c r="O87" i="11"/>
  <c r="I121" i="12"/>
  <c r="I122" i="12" s="1"/>
  <c r="G223" i="13"/>
  <c r="I220" i="13"/>
  <c r="S214" i="13"/>
  <c r="T218" i="13"/>
  <c r="G220" i="13"/>
  <c r="I221" i="13"/>
  <c r="T222" i="13"/>
  <c r="T214" i="13"/>
  <c r="F218" i="13"/>
  <c r="H221" i="13"/>
  <c r="U221" i="13"/>
  <c r="F219" i="13"/>
  <c r="R220" i="13"/>
  <c r="R214" i="13"/>
  <c r="S188" i="13"/>
  <c r="I182" i="13"/>
  <c r="S180" i="13"/>
  <c r="S182" i="13"/>
  <c r="I185" i="13"/>
  <c r="I187" i="13"/>
  <c r="J180" i="13"/>
  <c r="F184" i="13"/>
  <c r="U186" i="13"/>
  <c r="U180" i="13"/>
  <c r="I184" i="13"/>
  <c r="T187" i="13"/>
  <c r="T189" i="13"/>
  <c r="H186" i="13"/>
  <c r="F187" i="13"/>
  <c r="R134" i="13"/>
  <c r="T137" i="13"/>
  <c r="T131" i="13"/>
  <c r="H136" i="13"/>
  <c r="S138" i="13"/>
  <c r="I208" i="14"/>
  <c r="H207" i="14"/>
  <c r="P211" i="14"/>
  <c r="R212" i="14"/>
  <c r="H210" i="14"/>
  <c r="S212" i="14"/>
  <c r="R209" i="14"/>
  <c r="N179" i="14"/>
  <c r="S184" i="14"/>
  <c r="K123" i="14"/>
  <c r="N129" i="14"/>
  <c r="G303" i="15"/>
  <c r="F300" i="15"/>
  <c r="H213" i="15"/>
  <c r="J220" i="15"/>
  <c r="F183" i="15"/>
  <c r="F183" i="16"/>
  <c r="I170" i="16"/>
  <c r="G151" i="16"/>
  <c r="H151" i="16"/>
  <c r="F177" i="11"/>
  <c r="H116" i="11"/>
  <c r="T163" i="13"/>
  <c r="J171" i="13"/>
  <c r="K89" i="12"/>
  <c r="K90" i="12" s="1"/>
  <c r="J89" i="12"/>
  <c r="J90" i="12" s="1"/>
  <c r="G221" i="14"/>
  <c r="I303" i="13"/>
  <c r="J301" i="13"/>
  <c r="F284" i="13"/>
  <c r="F286" i="13"/>
  <c r="S282" i="13"/>
  <c r="G179" i="16"/>
  <c r="G181" i="16"/>
  <c r="G184" i="16"/>
  <c r="G180" i="16"/>
  <c r="H181" i="16"/>
  <c r="F179" i="16"/>
  <c r="H183" i="16"/>
  <c r="F170" i="16"/>
  <c r="I166" i="16"/>
  <c r="G168" i="16"/>
  <c r="J170" i="16"/>
  <c r="H166" i="16"/>
  <c r="J168" i="16"/>
  <c r="H170" i="16"/>
  <c r="J166" i="16"/>
  <c r="G153" i="16"/>
  <c r="H156" i="16"/>
  <c r="J153" i="16"/>
  <c r="F151" i="16"/>
  <c r="I153" i="16"/>
  <c r="F156" i="16"/>
  <c r="H153" i="16"/>
  <c r="G155" i="16"/>
  <c r="I300" i="15"/>
  <c r="I305" i="15"/>
  <c r="J298" i="15"/>
  <c r="F305" i="15"/>
  <c r="J306" i="15"/>
  <c r="F304" i="15"/>
  <c r="H300" i="15"/>
  <c r="G305" i="15"/>
  <c r="I219" i="15"/>
  <c r="G222" i="15"/>
  <c r="I217" i="15"/>
  <c r="H221" i="15"/>
  <c r="J218" i="15"/>
  <c r="F215" i="15"/>
  <c r="G221" i="15"/>
  <c r="G217" i="15"/>
  <c r="J221" i="15"/>
  <c r="F219" i="15"/>
  <c r="H215" i="15"/>
  <c r="J184" i="15"/>
  <c r="G185" i="15"/>
  <c r="H188" i="15"/>
  <c r="J185" i="15"/>
  <c r="G188" i="15"/>
  <c r="G181" i="15"/>
  <c r="J186" i="15"/>
  <c r="I179" i="15"/>
  <c r="J181" i="15"/>
  <c r="J183" i="14"/>
  <c r="I182" i="14"/>
  <c r="P183" i="14"/>
  <c r="N177" i="14"/>
  <c r="S181" i="14"/>
  <c r="N182" i="14"/>
  <c r="G181" i="14"/>
  <c r="T181" i="14"/>
  <c r="F184" i="14"/>
  <c r="K180" i="14"/>
  <c r="J127" i="14"/>
  <c r="K128" i="14"/>
  <c r="J123" i="14"/>
  <c r="S125" i="14"/>
  <c r="N126" i="14"/>
  <c r="P127" i="14"/>
  <c r="N121" i="14"/>
  <c r="K124" i="14"/>
  <c r="I212" i="14"/>
  <c r="H211" i="14"/>
  <c r="F210" i="14"/>
  <c r="H218" i="13"/>
  <c r="U216" i="13"/>
  <c r="S222" i="13"/>
  <c r="S218" i="13"/>
  <c r="U223" i="13"/>
  <c r="U187" i="13"/>
  <c r="R182" i="13"/>
  <c r="I180" i="13"/>
  <c r="F138" i="13"/>
  <c r="R131" i="13"/>
  <c r="I129" i="13"/>
  <c r="S135" i="13"/>
  <c r="S183" i="14"/>
  <c r="P181" i="14"/>
  <c r="H179" i="14"/>
  <c r="K179" i="14"/>
  <c r="S180" i="14"/>
  <c r="U181" i="14"/>
  <c r="F183" i="14"/>
  <c r="H184" i="14"/>
  <c r="K185" i="14"/>
  <c r="G180" i="14"/>
  <c r="I181" i="14"/>
  <c r="T182" i="14"/>
  <c r="G184" i="14"/>
  <c r="R126" i="14"/>
  <c r="T123" i="14"/>
  <c r="H127" i="14"/>
  <c r="U124" i="14"/>
  <c r="K121" i="14"/>
  <c r="U123" i="14"/>
  <c r="F125" i="14"/>
  <c r="H126" i="14"/>
  <c r="N127" i="14"/>
  <c r="P128" i="14"/>
  <c r="M123" i="14"/>
  <c r="J124" i="14"/>
  <c r="R125" i="14"/>
  <c r="M127" i="14"/>
  <c r="J128" i="14"/>
  <c r="H304" i="15"/>
  <c r="G298" i="15"/>
  <c r="I304" i="15"/>
  <c r="F302" i="15"/>
  <c r="H305" i="15"/>
  <c r="H306" i="15"/>
  <c r="J217" i="15"/>
  <c r="F221" i="15"/>
  <c r="I218" i="15"/>
  <c r="F213" i="15"/>
  <c r="F218" i="15"/>
  <c r="F222" i="15"/>
  <c r="H183" i="15"/>
  <c r="H187" i="15"/>
  <c r="F186" i="15"/>
  <c r="I187" i="15"/>
  <c r="F188" i="15"/>
  <c r="G184" i="15"/>
  <c r="F185" i="15"/>
  <c r="I181" i="15"/>
  <c r="G187" i="15"/>
  <c r="J180" i="16"/>
  <c r="I180" i="16"/>
  <c r="G182" i="16"/>
  <c r="F182" i="16"/>
  <c r="I168" i="16"/>
  <c r="F167" i="16"/>
  <c r="G167" i="16"/>
  <c r="G166" i="16"/>
  <c r="I154" i="16"/>
  <c r="F152" i="16"/>
  <c r="H155" i="16"/>
  <c r="G154" i="16"/>
  <c r="H152" i="16"/>
  <c r="J155" i="16"/>
  <c r="F127" i="11"/>
  <c r="Q87" i="11"/>
  <c r="J179" i="14"/>
  <c r="F180" i="14"/>
  <c r="U126" i="14"/>
  <c r="F124" i="14"/>
  <c r="H183" i="14"/>
  <c r="U180" i="14"/>
  <c r="K177" i="14"/>
  <c r="U179" i="14"/>
  <c r="F181" i="14"/>
  <c r="H182" i="14"/>
  <c r="N183" i="14"/>
  <c r="P184" i="14"/>
  <c r="M179" i="14"/>
  <c r="J180" i="14"/>
  <c r="R181" i="14"/>
  <c r="M183" i="14"/>
  <c r="J184" i="14"/>
  <c r="I128" i="14"/>
  <c r="M126" i="14"/>
  <c r="G123" i="14"/>
  <c r="U128" i="14"/>
  <c r="K126" i="14"/>
  <c r="N124" i="14"/>
  <c r="F123" i="14"/>
  <c r="H124" i="14"/>
  <c r="N125" i="14"/>
  <c r="P126" i="14"/>
  <c r="K127" i="14"/>
  <c r="S128" i="14"/>
  <c r="I123" i="14"/>
  <c r="T124" i="14"/>
  <c r="G126" i="14"/>
  <c r="I127" i="14"/>
  <c r="T128" i="14"/>
  <c r="F303" i="15"/>
  <c r="G300" i="15"/>
  <c r="I306" i="15"/>
  <c r="J302" i="15"/>
  <c r="F306" i="15"/>
  <c r="J303" i="15"/>
  <c r="I221" i="15"/>
  <c r="G218" i="15"/>
  <c r="H218" i="15"/>
  <c r="H222" i="15"/>
  <c r="G219" i="15"/>
  <c r="J213" i="15"/>
  <c r="H219" i="15"/>
  <c r="J222" i="15"/>
  <c r="G179" i="15"/>
  <c r="H181" i="15"/>
  <c r="H179" i="15"/>
  <c r="F181" i="15"/>
  <c r="F179" i="15"/>
  <c r="I185" i="15"/>
  <c r="H186" i="15"/>
  <c r="G183" i="15"/>
  <c r="I188" i="15"/>
  <c r="H184" i="16"/>
  <c r="F184" i="16"/>
  <c r="J179" i="16"/>
  <c r="I183" i="16"/>
  <c r="H180" i="16"/>
  <c r="H167" i="16"/>
  <c r="H169" i="16"/>
  <c r="J169" i="16"/>
  <c r="F168" i="16"/>
  <c r="I167" i="16"/>
  <c r="J152" i="16"/>
  <c r="J156" i="16"/>
  <c r="I155" i="16"/>
  <c r="F153" i="16"/>
  <c r="G169" i="16"/>
  <c r="I152" i="16"/>
  <c r="R125" i="11"/>
  <c r="U219" i="13"/>
  <c r="F214" i="13"/>
  <c r="M210" i="14"/>
  <c r="P179" i="14"/>
  <c r="R180" i="14"/>
  <c r="H181" i="14"/>
  <c r="M128" i="14"/>
  <c r="H125" i="14"/>
  <c r="G213" i="15"/>
  <c r="H240" i="16"/>
  <c r="J236" i="16"/>
  <c r="J235" i="16"/>
  <c r="F236" i="16"/>
  <c r="G235" i="16"/>
  <c r="I240" i="16"/>
  <c r="I237" i="16"/>
  <c r="G240" i="16"/>
  <c r="G128" i="16"/>
  <c r="H113" i="16"/>
  <c r="G109" i="16"/>
  <c r="G125" i="16"/>
  <c r="F111" i="16"/>
  <c r="G126" i="16"/>
  <c r="I111" i="16"/>
  <c r="I128" i="16"/>
  <c r="H123" i="16"/>
  <c r="F126" i="16"/>
  <c r="J128" i="16"/>
  <c r="F125" i="16"/>
  <c r="L166" i="11"/>
  <c r="P117" i="11"/>
  <c r="J303" i="13"/>
  <c r="S304" i="13"/>
  <c r="G306" i="13"/>
  <c r="T286" i="13"/>
  <c r="T154" i="14"/>
  <c r="S222" i="14"/>
  <c r="M157" i="14"/>
  <c r="R166" i="11"/>
  <c r="I89" i="12"/>
  <c r="I90" i="12" s="1"/>
  <c r="F307" i="13"/>
  <c r="G308" i="13"/>
  <c r="S288" i="13"/>
  <c r="I289" i="13"/>
  <c r="F306" i="13"/>
  <c r="J226" i="14"/>
  <c r="T175" i="11"/>
  <c r="U308" i="13"/>
  <c r="F291" i="13"/>
  <c r="I253" i="16"/>
  <c r="G251" i="16"/>
  <c r="H253" i="16"/>
  <c r="G96" i="16"/>
  <c r="G95" i="16"/>
  <c r="H99" i="16"/>
  <c r="G100" i="16"/>
  <c r="H96" i="16"/>
  <c r="G99" i="16"/>
  <c r="J100" i="16"/>
  <c r="F99" i="16"/>
  <c r="I247" i="15"/>
  <c r="I254" i="15"/>
  <c r="F252" i="15"/>
  <c r="I255" i="15"/>
  <c r="F255" i="15"/>
  <c r="H252" i="15"/>
  <c r="I253" i="15"/>
  <c r="I198" i="15"/>
  <c r="J205" i="15"/>
  <c r="H203" i="15"/>
  <c r="F203" i="15"/>
  <c r="I201" i="15"/>
  <c r="G202" i="15"/>
  <c r="H200" i="15"/>
  <c r="I205" i="15"/>
  <c r="I202" i="15"/>
  <c r="J196" i="15"/>
  <c r="G154" i="14"/>
  <c r="N153" i="14"/>
  <c r="F151" i="14"/>
  <c r="H156" i="14"/>
  <c r="T155" i="14"/>
  <c r="I154" i="14"/>
  <c r="G153" i="14"/>
  <c r="T151" i="14"/>
  <c r="K156" i="14"/>
  <c r="P155" i="14"/>
  <c r="N154" i="14"/>
  <c r="H153" i="14"/>
  <c r="F152" i="14"/>
  <c r="K149" i="14"/>
  <c r="G152" i="14"/>
  <c r="M155" i="14"/>
  <c r="U151" i="14"/>
  <c r="H154" i="14"/>
  <c r="P156" i="14"/>
  <c r="I155" i="14"/>
  <c r="P154" i="14"/>
  <c r="J152" i="14"/>
  <c r="R156" i="14"/>
  <c r="J155" i="14"/>
  <c r="M154" i="14"/>
  <c r="R152" i="14"/>
  <c r="J151" i="14"/>
  <c r="N156" i="14"/>
  <c r="H155" i="14"/>
  <c r="F154" i="14"/>
  <c r="U152" i="14"/>
  <c r="S151" i="14"/>
  <c r="N149" i="14"/>
  <c r="T152" i="14"/>
  <c r="R155" i="14"/>
  <c r="P152" i="14"/>
  <c r="S154" i="14"/>
  <c r="K157" i="14"/>
  <c r="K151" i="14"/>
  <c r="S156" i="14"/>
  <c r="K155" i="14"/>
  <c r="R153" i="14"/>
  <c r="I156" i="14"/>
  <c r="G155" i="14"/>
  <c r="T153" i="14"/>
  <c r="I152" i="14"/>
  <c r="G151" i="14"/>
  <c r="F156" i="14"/>
  <c r="U154" i="14"/>
  <c r="S153" i="14"/>
  <c r="K152" i="14"/>
  <c r="P151" i="14"/>
  <c r="M151" i="14"/>
  <c r="I153" i="14"/>
  <c r="G156" i="14"/>
  <c r="F153" i="14"/>
  <c r="N155" i="14"/>
  <c r="J153" i="14"/>
  <c r="K154" i="14"/>
  <c r="R151" i="14"/>
  <c r="U155" i="14"/>
  <c r="M152" i="14"/>
  <c r="P153" i="14"/>
  <c r="J154" i="14"/>
  <c r="H152" i="14"/>
  <c r="M156" i="14"/>
  <c r="U156" i="14"/>
  <c r="N152" i="14"/>
  <c r="T156" i="14"/>
  <c r="N151" i="14"/>
  <c r="R286" i="13"/>
  <c r="U284" i="13"/>
  <c r="T289" i="13"/>
  <c r="J287" i="13"/>
  <c r="U282" i="13"/>
  <c r="I290" i="13"/>
  <c r="U290" i="13"/>
  <c r="S289" i="13"/>
  <c r="G284" i="13"/>
  <c r="G282" i="13"/>
  <c r="R289" i="13"/>
  <c r="J288" i="13"/>
  <c r="S284" i="13"/>
  <c r="H290" i="13"/>
  <c r="F289" i="13"/>
  <c r="U287" i="13"/>
  <c r="S286" i="13"/>
  <c r="I284" i="13"/>
  <c r="G287" i="13"/>
  <c r="T291" i="13"/>
  <c r="H289" i="13"/>
  <c r="F288" i="13"/>
  <c r="U286" i="13"/>
  <c r="T284" i="13"/>
  <c r="T282" i="13"/>
  <c r="R291" i="13"/>
  <c r="J290" i="13"/>
  <c r="R287" i="13"/>
  <c r="J286" i="13"/>
  <c r="H284" i="13"/>
  <c r="U291" i="13"/>
  <c r="S290" i="13"/>
  <c r="H286" i="13"/>
  <c r="R282" i="13"/>
  <c r="J289" i="13"/>
  <c r="J97" i="12"/>
  <c r="J98" i="12" s="1"/>
  <c r="I97" i="12"/>
  <c r="I98" i="12" s="1"/>
  <c r="G165" i="11"/>
  <c r="I165" i="11"/>
  <c r="P177" i="11"/>
  <c r="G175" i="11"/>
  <c r="F117" i="11"/>
  <c r="I116" i="11"/>
  <c r="K97" i="12"/>
  <c r="K98" i="12" s="1"/>
  <c r="J137" i="12"/>
  <c r="J138" i="12" s="1"/>
  <c r="H303" i="13"/>
  <c r="R306" i="13"/>
  <c r="F303" i="13"/>
  <c r="U299" i="13"/>
  <c r="G304" i="13"/>
  <c r="T306" i="13"/>
  <c r="T308" i="13"/>
  <c r="R290" i="13"/>
  <c r="I282" i="13"/>
  <c r="F287" i="13"/>
  <c r="I287" i="13"/>
  <c r="G290" i="13"/>
  <c r="J282" i="13"/>
  <c r="U288" i="13"/>
  <c r="H291" i="13"/>
  <c r="S303" i="13"/>
  <c r="J170" i="13"/>
  <c r="U172" i="13"/>
  <c r="J250" i="16"/>
  <c r="J209" i="16"/>
  <c r="H209" i="16"/>
  <c r="F211" i="16"/>
  <c r="F207" i="16"/>
  <c r="I211" i="16"/>
  <c r="G209" i="16"/>
  <c r="I207" i="16"/>
  <c r="H210" i="16"/>
  <c r="F212" i="16"/>
  <c r="I149" i="15"/>
  <c r="J145" i="15"/>
  <c r="H154" i="15"/>
  <c r="G150" i="15"/>
  <c r="J154" i="15"/>
  <c r="I154" i="15"/>
  <c r="J151" i="15"/>
  <c r="F152" i="15"/>
  <c r="I150" i="15"/>
  <c r="F149" i="15"/>
  <c r="H149" i="15"/>
  <c r="I145" i="15"/>
  <c r="G120" i="15"/>
  <c r="J118" i="15"/>
  <c r="J115" i="15"/>
  <c r="F116" i="15"/>
  <c r="I115" i="15"/>
  <c r="G117" i="15"/>
  <c r="G118" i="15"/>
  <c r="H118" i="15"/>
  <c r="G225" i="14"/>
  <c r="N226" i="14"/>
  <c r="H225" i="14"/>
  <c r="F224" i="14"/>
  <c r="U222" i="14"/>
  <c r="S221" i="14"/>
  <c r="N219" i="14"/>
  <c r="G226" i="14"/>
  <c r="T224" i="14"/>
  <c r="I223" i="14"/>
  <c r="G222" i="14"/>
  <c r="R226" i="14"/>
  <c r="T223" i="14"/>
  <c r="J221" i="14"/>
  <c r="N225" i="14"/>
  <c r="F223" i="14"/>
  <c r="F221" i="14"/>
  <c r="K225" i="14"/>
  <c r="I222" i="14"/>
  <c r="T221" i="14"/>
  <c r="F226" i="14"/>
  <c r="U224" i="14"/>
  <c r="S223" i="14"/>
  <c r="K222" i="14"/>
  <c r="P221" i="14"/>
  <c r="M227" i="14"/>
  <c r="R225" i="14"/>
  <c r="J224" i="14"/>
  <c r="M223" i="14"/>
  <c r="R221" i="14"/>
  <c r="M226" i="14"/>
  <c r="G223" i="14"/>
  <c r="K227" i="14"/>
  <c r="S224" i="14"/>
  <c r="P222" i="14"/>
  <c r="H222" i="14"/>
  <c r="S226" i="14"/>
  <c r="J223" i="14"/>
  <c r="F225" i="14"/>
  <c r="U223" i="14"/>
  <c r="U226" i="14"/>
  <c r="S225" i="14"/>
  <c r="K224" i="14"/>
  <c r="P223" i="14"/>
  <c r="N222" i="14"/>
  <c r="H221" i="14"/>
  <c r="T226" i="14"/>
  <c r="I225" i="14"/>
  <c r="G224" i="14"/>
  <c r="T222" i="14"/>
  <c r="I221" i="14"/>
  <c r="J225" i="14"/>
  <c r="R222" i="14"/>
  <c r="P226" i="14"/>
  <c r="H224" i="14"/>
  <c r="U221" i="14"/>
  <c r="N223" i="14"/>
  <c r="H223" i="14"/>
  <c r="M225" i="14"/>
  <c r="I224" i="14"/>
  <c r="N221" i="14"/>
  <c r="R224" i="14"/>
  <c r="K226" i="14"/>
  <c r="F222" i="14"/>
  <c r="R223" i="14"/>
  <c r="M222" i="14"/>
  <c r="P224" i="14"/>
  <c r="T225" i="14"/>
  <c r="N227" i="14"/>
  <c r="P225" i="14"/>
  <c r="K219" i="14"/>
  <c r="J222" i="14"/>
  <c r="U225" i="14"/>
  <c r="U163" i="13"/>
  <c r="I171" i="13"/>
  <c r="H172" i="13"/>
  <c r="F171" i="13"/>
  <c r="U169" i="13"/>
  <c r="S168" i="13"/>
  <c r="J165" i="13"/>
  <c r="J163" i="13"/>
  <c r="I172" i="13"/>
  <c r="G171" i="13"/>
  <c r="T169" i="13"/>
  <c r="I168" i="13"/>
  <c r="G167" i="13"/>
  <c r="H163" i="13"/>
  <c r="H169" i="13"/>
  <c r="F168" i="13"/>
  <c r="R165" i="13"/>
  <c r="I163" i="13"/>
  <c r="R171" i="13"/>
  <c r="R169" i="13"/>
  <c r="T168" i="13"/>
  <c r="F165" i="13"/>
  <c r="J172" i="13"/>
  <c r="U171" i="13"/>
  <c r="S170" i="13"/>
  <c r="G165" i="13"/>
  <c r="G163" i="13"/>
  <c r="R170" i="13"/>
  <c r="J169" i="13"/>
  <c r="S165" i="13"/>
  <c r="H171" i="13"/>
  <c r="F170" i="13"/>
  <c r="U168" i="13"/>
  <c r="S167" i="13"/>
  <c r="I165" i="13"/>
  <c r="G168" i="13"/>
  <c r="T172" i="13"/>
  <c r="R167" i="13"/>
  <c r="F167" i="13"/>
  <c r="I170" i="13"/>
  <c r="T167" i="13"/>
  <c r="S163" i="13"/>
  <c r="F172" i="13"/>
  <c r="S169" i="13"/>
  <c r="F163" i="13"/>
  <c r="J168" i="13"/>
  <c r="F169" i="13"/>
  <c r="T165" i="13"/>
  <c r="R172" i="13"/>
  <c r="J167" i="13"/>
  <c r="S171" i="13"/>
  <c r="H167" i="13"/>
  <c r="T170" i="13"/>
  <c r="S172" i="13"/>
  <c r="H168" i="13"/>
  <c r="T171" i="13"/>
  <c r="G169" i="13"/>
  <c r="U170" i="13"/>
  <c r="I169" i="13"/>
  <c r="S305" i="13"/>
  <c r="I299" i="13"/>
  <c r="U306" i="13"/>
  <c r="F308" i="13"/>
  <c r="U304" i="13"/>
  <c r="J308" i="13"/>
  <c r="R307" i="13"/>
  <c r="J306" i="13"/>
  <c r="R303" i="13"/>
  <c r="H306" i="13"/>
  <c r="F305" i="13"/>
  <c r="U303" i="13"/>
  <c r="T301" i="13"/>
  <c r="T299" i="13"/>
  <c r="T307" i="13"/>
  <c r="I306" i="13"/>
  <c r="G305" i="13"/>
  <c r="T303" i="13"/>
  <c r="S299" i="13"/>
  <c r="S308" i="13"/>
  <c r="R299" i="13"/>
  <c r="H307" i="13"/>
  <c r="F304" i="13"/>
  <c r="R308" i="13"/>
  <c r="R305" i="13"/>
  <c r="J304" i="13"/>
  <c r="F301" i="13"/>
  <c r="F299" i="13"/>
  <c r="U307" i="13"/>
  <c r="S306" i="13"/>
  <c r="G301" i="13"/>
  <c r="G299" i="13"/>
  <c r="G307" i="13"/>
  <c r="T305" i="13"/>
  <c r="I304" i="13"/>
  <c r="G303" i="13"/>
  <c r="H299" i="13"/>
  <c r="I301" i="13"/>
  <c r="S167" i="11"/>
  <c r="O166" i="11"/>
  <c r="Q177" i="11"/>
  <c r="I176" i="11"/>
  <c r="F116" i="11"/>
  <c r="K117" i="11"/>
  <c r="I137" i="12"/>
  <c r="I138" i="12" s="1"/>
  <c r="H301" i="13"/>
  <c r="R304" i="13"/>
  <c r="J307" i="13"/>
  <c r="J299" i="13"/>
  <c r="U305" i="13"/>
  <c r="H308" i="13"/>
  <c r="T304" i="13"/>
  <c r="I307" i="13"/>
  <c r="I288" i="13"/>
  <c r="U289" i="13"/>
  <c r="G288" i="13"/>
  <c r="T290" i="13"/>
  <c r="H287" i="13"/>
  <c r="S291" i="13"/>
  <c r="J291" i="13"/>
  <c r="I167" i="13"/>
  <c r="R163" i="13"/>
  <c r="H165" i="13"/>
  <c r="U167" i="13"/>
  <c r="K223" i="14"/>
  <c r="K153" i="14"/>
  <c r="H151" i="14"/>
  <c r="J254" i="15"/>
  <c r="H145" i="15"/>
  <c r="M153" i="14"/>
  <c r="J165" i="11"/>
  <c r="O167" i="11"/>
  <c r="T165" i="11"/>
  <c r="T177" i="11"/>
  <c r="H176" i="11"/>
  <c r="K177" i="11"/>
  <c r="Q208" i="11"/>
  <c r="Q115" i="11"/>
  <c r="S307" i="13"/>
  <c r="S301" i="13"/>
  <c r="J305" i="13"/>
  <c r="H304" i="13"/>
  <c r="U301" i="13"/>
  <c r="I305" i="13"/>
  <c r="H305" i="13"/>
  <c r="R284" i="13"/>
  <c r="H288" i="13"/>
  <c r="H282" i="13"/>
  <c r="G286" i="13"/>
  <c r="T288" i="13"/>
  <c r="I291" i="13"/>
  <c r="J284" i="13"/>
  <c r="S287" i="13"/>
  <c r="F290" i="13"/>
  <c r="I308" i="13"/>
  <c r="G289" i="13"/>
  <c r="R168" i="13"/>
  <c r="H170" i="13"/>
  <c r="G170" i="13"/>
  <c r="M221" i="14"/>
  <c r="S155" i="14"/>
  <c r="F200" i="15"/>
  <c r="H109" i="16"/>
  <c r="F110" i="16"/>
  <c r="H111" i="16"/>
  <c r="J183" i="16"/>
  <c r="J110" i="16"/>
  <c r="G226" i="16"/>
  <c r="G222" i="16"/>
  <c r="G223" i="16"/>
  <c r="J224" i="16"/>
  <c r="J225" i="16"/>
  <c r="J226" i="16"/>
  <c r="I221" i="16"/>
  <c r="F225" i="16"/>
  <c r="J223" i="16"/>
  <c r="I225" i="16"/>
  <c r="I226" i="16"/>
  <c r="I222" i="16"/>
  <c r="H223" i="16"/>
  <c r="H224" i="16"/>
  <c r="H225" i="16"/>
  <c r="H222" i="16"/>
  <c r="G224" i="16"/>
  <c r="G225" i="16"/>
  <c r="G221" i="16"/>
  <c r="F222" i="16"/>
  <c r="F223" i="16"/>
  <c r="F224" i="16"/>
  <c r="H226" i="16"/>
  <c r="I223" i="16"/>
  <c r="J221" i="16"/>
  <c r="I224" i="16"/>
  <c r="J222" i="16"/>
  <c r="F226" i="16"/>
  <c r="H221" i="16"/>
  <c r="F221" i="16"/>
  <c r="G272" i="15"/>
  <c r="I271" i="15"/>
  <c r="J264" i="15"/>
  <c r="F269" i="15"/>
  <c r="J271" i="15"/>
  <c r="I268" i="15"/>
  <c r="I272" i="15"/>
  <c r="H266" i="15"/>
  <c r="F270" i="15"/>
  <c r="J272" i="15"/>
  <c r="G268" i="15"/>
  <c r="I266" i="15"/>
  <c r="F266" i="15"/>
  <c r="J269" i="15"/>
  <c r="H272" i="15"/>
  <c r="G269" i="15"/>
  <c r="G273" i="15"/>
  <c r="F268" i="15"/>
  <c r="J270" i="15"/>
  <c r="H273" i="15"/>
  <c r="I273" i="15"/>
  <c r="G270" i="15"/>
  <c r="J266" i="15"/>
  <c r="H270" i="15"/>
  <c r="F273" i="15"/>
  <c r="G264" i="15"/>
  <c r="I270" i="15"/>
  <c r="J268" i="15"/>
  <c r="H271" i="15"/>
  <c r="F271" i="15"/>
  <c r="G266" i="15"/>
  <c r="H269" i="15"/>
  <c r="I264" i="15"/>
  <c r="J273" i="15"/>
  <c r="G271" i="15"/>
  <c r="F272" i="15"/>
  <c r="I269" i="15"/>
  <c r="F264" i="15"/>
  <c r="H268" i="15"/>
  <c r="H264" i="15"/>
  <c r="F166" i="14"/>
  <c r="K171" i="14"/>
  <c r="H170" i="14"/>
  <c r="F169" i="14"/>
  <c r="U167" i="14"/>
  <c r="S166" i="14"/>
  <c r="K165" i="14"/>
  <c r="I170" i="14"/>
  <c r="G169" i="14"/>
  <c r="T167" i="14"/>
  <c r="I166" i="14"/>
  <c r="G165" i="14"/>
  <c r="T168" i="14"/>
  <c r="J166" i="14"/>
  <c r="S169" i="14"/>
  <c r="P167" i="14"/>
  <c r="H165" i="14"/>
  <c r="I167" i="14"/>
  <c r="K166" i="14"/>
  <c r="M169" i="14"/>
  <c r="S170" i="14"/>
  <c r="K169" i="14"/>
  <c r="P168" i="14"/>
  <c r="N167" i="14"/>
  <c r="H166" i="14"/>
  <c r="F165" i="14"/>
  <c r="T169" i="14"/>
  <c r="I168" i="14"/>
  <c r="G167" i="14"/>
  <c r="T165" i="14"/>
  <c r="J170" i="14"/>
  <c r="R167" i="14"/>
  <c r="U170" i="14"/>
  <c r="K168" i="14"/>
  <c r="N166" i="14"/>
  <c r="M165" i="14"/>
  <c r="R169" i="14"/>
  <c r="N163" i="14"/>
  <c r="U168" i="14"/>
  <c r="U169" i="14"/>
  <c r="K167" i="14"/>
  <c r="N165" i="14"/>
  <c r="R168" i="14"/>
  <c r="M166" i="14"/>
  <c r="G168" i="14"/>
  <c r="H169" i="14"/>
  <c r="K163" i="14"/>
  <c r="N169" i="14"/>
  <c r="F167" i="14"/>
  <c r="R170" i="14"/>
  <c r="M168" i="14"/>
  <c r="J165" i="14"/>
  <c r="M167" i="14"/>
  <c r="F168" i="14"/>
  <c r="G166" i="14"/>
  <c r="P165" i="14"/>
  <c r="N171" i="14"/>
  <c r="S168" i="14"/>
  <c r="P166" i="14"/>
  <c r="M170" i="14"/>
  <c r="J167" i="14"/>
  <c r="M171" i="14"/>
  <c r="I165" i="14"/>
  <c r="U166" i="14"/>
  <c r="J168" i="14"/>
  <c r="S167" i="14"/>
  <c r="P170" i="14"/>
  <c r="R166" i="14"/>
  <c r="T170" i="14"/>
  <c r="H168" i="14"/>
  <c r="I169" i="14"/>
  <c r="U165" i="14"/>
  <c r="N170" i="14"/>
  <c r="F170" i="14"/>
  <c r="G253" i="14"/>
  <c r="H250" i="14"/>
  <c r="J252" i="14"/>
  <c r="P253" i="14"/>
  <c r="H254" i="14"/>
  <c r="G251" i="14"/>
  <c r="M251" i="14"/>
  <c r="H252" i="14"/>
  <c r="K251" i="14"/>
  <c r="T249" i="14"/>
  <c r="P249" i="14"/>
  <c r="F249" i="14"/>
  <c r="H253" i="14"/>
  <c r="N250" i="14"/>
  <c r="G250" i="14"/>
  <c r="R254" i="14"/>
  <c r="N93" i="14"/>
  <c r="U95" i="14"/>
  <c r="T95" i="14"/>
  <c r="U98" i="14"/>
  <c r="N97" i="14"/>
  <c r="S253" i="13"/>
  <c r="J250" i="13"/>
  <c r="F254" i="13"/>
  <c r="P250" i="13"/>
  <c r="U254" i="13"/>
  <c r="H248" i="13"/>
  <c r="F252" i="13"/>
  <c r="H255" i="13"/>
  <c r="J252" i="13"/>
  <c r="H256" i="13"/>
  <c r="S248" i="13"/>
  <c r="J256" i="13"/>
  <c r="I252" i="13"/>
  <c r="T253" i="13"/>
  <c r="G255" i="13"/>
  <c r="R256" i="13"/>
  <c r="U256" i="13"/>
  <c r="S255" i="13"/>
  <c r="P252" i="13"/>
  <c r="S254" i="13"/>
  <c r="I256" i="13"/>
  <c r="U257" i="13"/>
  <c r="J248" i="13"/>
  <c r="U248" i="13"/>
  <c r="U250" i="13"/>
  <c r="G253" i="13"/>
  <c r="I254" i="13"/>
  <c r="U255" i="13"/>
  <c r="I257" i="13"/>
  <c r="R252" i="13"/>
  <c r="J255" i="13"/>
  <c r="S257" i="13"/>
  <c r="R248" i="13"/>
  <c r="S252" i="13"/>
  <c r="H254" i="13"/>
  <c r="G254" i="13"/>
  <c r="I255" i="13"/>
  <c r="T256" i="13"/>
  <c r="F250" i="13"/>
  <c r="J253" i="13"/>
  <c r="G256" i="13"/>
  <c r="P257" i="13"/>
  <c r="F256" i="13"/>
  <c r="I250" i="13"/>
  <c r="F253" i="13"/>
  <c r="P254" i="13"/>
  <c r="S256" i="13"/>
  <c r="J254" i="13"/>
  <c r="R255" i="13"/>
  <c r="G257" i="13"/>
  <c r="F257" i="13"/>
  <c r="H257" i="13"/>
  <c r="R250" i="13"/>
  <c r="F255" i="13"/>
  <c r="T254" i="13"/>
  <c r="H199" i="13"/>
  <c r="I205" i="13"/>
  <c r="F205" i="13"/>
  <c r="U203" i="13"/>
  <c r="J203" i="13"/>
  <c r="H197" i="13"/>
  <c r="H206" i="13"/>
  <c r="S197" i="13"/>
  <c r="I202" i="13"/>
  <c r="G201" i="13"/>
  <c r="G204" i="13"/>
  <c r="S199" i="13"/>
  <c r="J197" i="13"/>
  <c r="J199" i="13"/>
  <c r="R201" i="13"/>
  <c r="G203" i="13"/>
  <c r="R206" i="13"/>
  <c r="U197" i="13"/>
  <c r="U199" i="13"/>
  <c r="H202" i="13"/>
  <c r="H205" i="13"/>
  <c r="F204" i="13"/>
  <c r="U202" i="13"/>
  <c r="S201" i="13"/>
  <c r="R197" i="13"/>
  <c r="H201" i="13"/>
  <c r="R202" i="13"/>
  <c r="H204" i="13"/>
  <c r="J206" i="13"/>
  <c r="T197" i="13"/>
  <c r="T199" i="13"/>
  <c r="J205" i="13"/>
  <c r="F197" i="13"/>
  <c r="F199" i="13"/>
  <c r="J202" i="13"/>
  <c r="I206" i="13"/>
  <c r="F206" i="13"/>
  <c r="U204" i="13"/>
  <c r="S203" i="13"/>
  <c r="J201" i="13"/>
  <c r="F203" i="13"/>
  <c r="J204" i="13"/>
  <c r="F201" i="13"/>
  <c r="I204" i="13"/>
  <c r="U205" i="13"/>
  <c r="I201" i="13"/>
  <c r="T204" i="13"/>
  <c r="S206" i="13"/>
  <c r="U206" i="13"/>
  <c r="S205" i="13"/>
  <c r="I199" i="13"/>
  <c r="U201" i="13"/>
  <c r="I203" i="13"/>
  <c r="T206" i="13"/>
  <c r="G199" i="13"/>
  <c r="G206" i="13"/>
  <c r="R203" i="13"/>
  <c r="H203" i="13"/>
  <c r="G202" i="13"/>
  <c r="G205" i="13"/>
  <c r="F202" i="13"/>
  <c r="T203" i="13"/>
  <c r="R204" i="13"/>
  <c r="T202" i="13"/>
  <c r="I197" i="13"/>
  <c r="R205" i="13"/>
  <c r="K73" i="12"/>
  <c r="K74" i="12" s="1"/>
  <c r="I73" i="12"/>
  <c r="I74" i="12" s="1"/>
  <c r="J73" i="12"/>
  <c r="J74" i="12" s="1"/>
  <c r="K113" i="12"/>
  <c r="K114" i="12" s="1"/>
  <c r="I113" i="12"/>
  <c r="I114" i="12" s="1"/>
  <c r="J113" i="12"/>
  <c r="J114" i="12" s="1"/>
  <c r="R77" i="11"/>
  <c r="K77" i="11"/>
  <c r="J77" i="11"/>
  <c r="T76" i="11"/>
  <c r="L76" i="11"/>
  <c r="F75" i="11"/>
  <c r="S77" i="11"/>
  <c r="F77" i="11"/>
  <c r="R75" i="11"/>
  <c r="O75" i="11"/>
  <c r="G75" i="11"/>
  <c r="J75" i="11"/>
  <c r="P76" i="11"/>
  <c r="M76" i="11"/>
  <c r="S76" i="11"/>
  <c r="Q75" i="11"/>
  <c r="H77" i="11"/>
  <c r="F76" i="11"/>
  <c r="K75" i="11"/>
  <c r="G77" i="11"/>
  <c r="O76" i="11"/>
  <c r="I75" i="11"/>
  <c r="R76" i="11"/>
  <c r="T75" i="11"/>
  <c r="S75" i="11"/>
  <c r="O77" i="11"/>
  <c r="Q77" i="11"/>
  <c r="K76" i="11"/>
  <c r="T77" i="11"/>
  <c r="N76" i="11"/>
  <c r="P75" i="11"/>
  <c r="I76" i="11"/>
  <c r="P107" i="11"/>
  <c r="F106" i="11"/>
  <c r="O106" i="11"/>
  <c r="G106" i="11"/>
  <c r="H105" i="11"/>
  <c r="Q105" i="11"/>
  <c r="I105" i="11"/>
  <c r="N106" i="11"/>
  <c r="T107" i="11"/>
  <c r="P105" i="11"/>
  <c r="J106" i="11"/>
  <c r="G107" i="11"/>
  <c r="S105" i="11"/>
  <c r="R107" i="11"/>
  <c r="P106" i="11"/>
  <c r="J105" i="11"/>
  <c r="I107" i="11"/>
  <c r="R106" i="11"/>
  <c r="S107" i="11"/>
  <c r="Q106" i="11"/>
  <c r="O105" i="11"/>
  <c r="J107" i="11"/>
  <c r="L106" i="11"/>
  <c r="F105" i="11"/>
  <c r="Q107" i="11"/>
  <c r="H107" i="11"/>
  <c r="O107" i="11"/>
  <c r="M106" i="11"/>
  <c r="K105" i="11"/>
  <c r="F107" i="11"/>
  <c r="H106" i="11"/>
  <c r="K106" i="11"/>
  <c r="P155" i="11"/>
  <c r="F156" i="11"/>
  <c r="I157" i="11"/>
  <c r="T157" i="11"/>
  <c r="K157" i="11"/>
  <c r="I156" i="11"/>
  <c r="G155" i="11"/>
  <c r="T156" i="11"/>
  <c r="R155" i="11"/>
  <c r="H157" i="11"/>
  <c r="O156" i="11"/>
  <c r="S156" i="11"/>
  <c r="G157" i="11"/>
  <c r="S155" i="11"/>
  <c r="R157" i="11"/>
  <c r="P156" i="11"/>
  <c r="J155" i="11"/>
  <c r="R156" i="11"/>
  <c r="G156" i="11"/>
  <c r="Q157" i="11"/>
  <c r="S157" i="11"/>
  <c r="Q156" i="11"/>
  <c r="O155" i="11"/>
  <c r="J157" i="11"/>
  <c r="L156" i="11"/>
  <c r="F155" i="11"/>
  <c r="J156" i="11"/>
  <c r="Q155" i="11"/>
  <c r="T155" i="11"/>
  <c r="K155" i="11"/>
  <c r="R105" i="11"/>
  <c r="K107" i="11"/>
  <c r="P77" i="11"/>
  <c r="R253" i="13"/>
  <c r="J257" i="13"/>
  <c r="I248" i="13"/>
  <c r="G197" i="13"/>
  <c r="S112" i="13"/>
  <c r="H76" i="11"/>
  <c r="H253" i="13"/>
  <c r="I116" i="13"/>
  <c r="S118" i="13"/>
  <c r="I140" i="16"/>
  <c r="J141" i="16"/>
  <c r="F139" i="16"/>
  <c r="G142" i="16"/>
  <c r="J142" i="16"/>
  <c r="F140" i="16"/>
  <c r="H137" i="16"/>
  <c r="I142" i="16"/>
  <c r="F141" i="16"/>
  <c r="H138" i="16"/>
  <c r="I141" i="16"/>
  <c r="F142" i="16"/>
  <c r="H139" i="16"/>
  <c r="G137" i="16"/>
  <c r="I137" i="16"/>
  <c r="H140" i="16"/>
  <c r="J137" i="16"/>
  <c r="G140" i="16"/>
  <c r="H141" i="16"/>
  <c r="J138" i="16"/>
  <c r="I138" i="16"/>
  <c r="G139" i="16"/>
  <c r="F137" i="16"/>
  <c r="G141" i="16"/>
  <c r="I139" i="16"/>
  <c r="H142" i="16"/>
  <c r="J140" i="16"/>
  <c r="J139" i="16"/>
  <c r="F138" i="16"/>
  <c r="F198" i="16"/>
  <c r="I195" i="16"/>
  <c r="F197" i="16"/>
  <c r="H193" i="16"/>
  <c r="F195" i="16"/>
  <c r="H197" i="16"/>
  <c r="F193" i="16"/>
  <c r="H196" i="16"/>
  <c r="G198" i="16"/>
  <c r="G194" i="16"/>
  <c r="F196" i="16"/>
  <c r="I198" i="16"/>
  <c r="F194" i="16"/>
  <c r="I196" i="16"/>
  <c r="H195" i="16"/>
  <c r="J193" i="16"/>
  <c r="I194" i="16"/>
  <c r="I197" i="16"/>
  <c r="I193" i="16"/>
  <c r="G195" i="16"/>
  <c r="J197" i="16"/>
  <c r="G193" i="16"/>
  <c r="J195" i="16"/>
  <c r="J198" i="16"/>
  <c r="J194" i="16"/>
  <c r="H194" i="16"/>
  <c r="J196" i="16"/>
  <c r="H198" i="16"/>
  <c r="G197" i="16"/>
  <c r="G136" i="15"/>
  <c r="I133" i="15"/>
  <c r="F128" i="15"/>
  <c r="H132" i="15"/>
  <c r="F135" i="15"/>
  <c r="J137" i="15"/>
  <c r="G130" i="15"/>
  <c r="G135" i="15"/>
  <c r="F132" i="15"/>
  <c r="J134" i="15"/>
  <c r="H137" i="15"/>
  <c r="I137" i="15"/>
  <c r="G134" i="15"/>
  <c r="J128" i="15"/>
  <c r="F133" i="15"/>
  <c r="J135" i="15"/>
  <c r="I132" i="15"/>
  <c r="I136" i="15"/>
  <c r="J132" i="15"/>
  <c r="H135" i="15"/>
  <c r="I135" i="15"/>
  <c r="I130" i="15"/>
  <c r="F130" i="15"/>
  <c r="J133" i="15"/>
  <c r="H136" i="15"/>
  <c r="G133" i="15"/>
  <c r="G137" i="15"/>
  <c r="H128" i="15"/>
  <c r="H133" i="15"/>
  <c r="F136" i="15"/>
  <c r="H134" i="15"/>
  <c r="G128" i="15"/>
  <c r="G132" i="15"/>
  <c r="F137" i="15"/>
  <c r="I134" i="15"/>
  <c r="H130" i="15"/>
  <c r="F134" i="15"/>
  <c r="I128" i="15"/>
  <c r="J136" i="15"/>
  <c r="I153" i="12"/>
  <c r="I154" i="12" s="1"/>
  <c r="K153" i="12"/>
  <c r="K154" i="12" s="1"/>
  <c r="P157" i="11"/>
  <c r="M156" i="11"/>
  <c r="T106" i="11"/>
  <c r="Q76" i="11"/>
  <c r="G76" i="11"/>
  <c r="F248" i="13"/>
  <c r="K252" i="14"/>
  <c r="J130" i="15"/>
  <c r="R116" i="13"/>
  <c r="U114" i="13"/>
  <c r="G119" i="13"/>
  <c r="H119" i="13"/>
  <c r="F118" i="13"/>
  <c r="U116" i="13"/>
  <c r="T114" i="13"/>
  <c r="T112" i="13"/>
  <c r="R121" i="13"/>
  <c r="J120" i="13"/>
  <c r="R117" i="13"/>
  <c r="J116" i="13"/>
  <c r="H114" i="13"/>
  <c r="U121" i="13"/>
  <c r="S120" i="13"/>
  <c r="H116" i="13"/>
  <c r="R112" i="13"/>
  <c r="J119" i="13"/>
  <c r="J117" i="13"/>
  <c r="G121" i="13"/>
  <c r="U112" i="13"/>
  <c r="I120" i="13"/>
  <c r="H121" i="13"/>
  <c r="F120" i="13"/>
  <c r="U118" i="13"/>
  <c r="S117" i="13"/>
  <c r="J114" i="13"/>
  <c r="J112" i="13"/>
  <c r="I121" i="13"/>
  <c r="G120" i="13"/>
  <c r="T118" i="13"/>
  <c r="I117" i="13"/>
  <c r="G116" i="13"/>
  <c r="H112" i="13"/>
  <c r="H118" i="13"/>
  <c r="F117" i="13"/>
  <c r="R114" i="13"/>
  <c r="I112" i="13"/>
  <c r="R120" i="13"/>
  <c r="R118" i="13"/>
  <c r="F114" i="13"/>
  <c r="J121" i="13"/>
  <c r="U120" i="13"/>
  <c r="S119" i="13"/>
  <c r="G114" i="13"/>
  <c r="G112" i="13"/>
  <c r="R119" i="13"/>
  <c r="J118" i="13"/>
  <c r="S114" i="13"/>
  <c r="H120" i="13"/>
  <c r="F119" i="13"/>
  <c r="U117" i="13"/>
  <c r="S116" i="13"/>
  <c r="I114" i="13"/>
  <c r="G117" i="13"/>
  <c r="T121" i="13"/>
  <c r="T119" i="13"/>
  <c r="G118" i="13"/>
  <c r="I118" i="13"/>
  <c r="T116" i="13"/>
  <c r="F121" i="13"/>
  <c r="S121" i="13"/>
  <c r="H117" i="13"/>
  <c r="T120" i="13"/>
  <c r="U119" i="13"/>
  <c r="H156" i="11"/>
  <c r="O157" i="11"/>
  <c r="G105" i="11"/>
  <c r="H75" i="11"/>
  <c r="I77" i="11"/>
  <c r="J153" i="12"/>
  <c r="J154" i="12" s="1"/>
  <c r="P256" i="13"/>
  <c r="U253" i="13"/>
  <c r="T257" i="13"/>
  <c r="R199" i="13"/>
  <c r="T201" i="13"/>
  <c r="F112" i="13"/>
  <c r="F116" i="13"/>
  <c r="S165" i="14"/>
  <c r="H198" i="11"/>
  <c r="F198" i="11"/>
  <c r="I184" i="16"/>
  <c r="F112" i="16"/>
  <c r="J112" i="16"/>
  <c r="H168" i="16"/>
  <c r="I114" i="16"/>
  <c r="P166" i="11"/>
  <c r="G167" i="11"/>
  <c r="K165" i="11"/>
  <c r="Q166" i="11"/>
  <c r="T166" i="11"/>
  <c r="O165" i="11"/>
  <c r="H165" i="11"/>
  <c r="F166" i="11"/>
  <c r="H167" i="11"/>
  <c r="Q165" i="11"/>
  <c r="S166" i="11"/>
  <c r="O176" i="11"/>
  <c r="I175" i="11"/>
  <c r="J176" i="11"/>
  <c r="K176" i="11"/>
  <c r="F175" i="11"/>
  <c r="L176" i="11"/>
  <c r="J177" i="11"/>
  <c r="K175" i="11"/>
  <c r="M176" i="11"/>
  <c r="H208" i="11"/>
  <c r="H117" i="11"/>
  <c r="J116" i="11"/>
  <c r="S116" i="11"/>
  <c r="Q117" i="11"/>
  <c r="K116" i="11"/>
  <c r="T117" i="11"/>
  <c r="L116" i="11"/>
  <c r="K115" i="11"/>
  <c r="M116" i="11"/>
  <c r="O117" i="11"/>
  <c r="I166" i="11"/>
  <c r="K127" i="11"/>
  <c r="M126" i="11"/>
  <c r="S127" i="11"/>
  <c r="O125" i="11"/>
  <c r="J125" i="11"/>
  <c r="P126" i="11"/>
  <c r="N176" i="11"/>
  <c r="Q175" i="11"/>
  <c r="P175" i="11"/>
  <c r="F167" i="11"/>
  <c r="S165" i="11"/>
  <c r="J167" i="11"/>
  <c r="M166" i="11"/>
  <c r="J166" i="11"/>
  <c r="P167" i="11"/>
  <c r="G166" i="11"/>
  <c r="I167" i="11"/>
  <c r="H175" i="11"/>
  <c r="G176" i="11"/>
  <c r="R176" i="11"/>
  <c r="S176" i="11"/>
  <c r="J175" i="11"/>
  <c r="P176" i="11"/>
  <c r="O175" i="11"/>
  <c r="Q176" i="11"/>
  <c r="S177" i="11"/>
  <c r="P115" i="11"/>
  <c r="T116" i="11"/>
  <c r="J115" i="11"/>
  <c r="H115" i="11"/>
  <c r="P116" i="11"/>
  <c r="I115" i="11"/>
  <c r="R116" i="11"/>
  <c r="O115" i="11"/>
  <c r="Q116" i="11"/>
  <c r="S117" i="11"/>
  <c r="K156" i="11"/>
  <c r="N156" i="11"/>
  <c r="H155" i="11"/>
  <c r="R117" i="11"/>
  <c r="O116" i="11"/>
  <c r="J218" i="11"/>
  <c r="H218" i="11"/>
  <c r="Q218" i="11"/>
  <c r="V216" i="11"/>
  <c r="H166" i="11"/>
  <c r="F165" i="11"/>
  <c r="R167" i="11"/>
  <c r="K167" i="11"/>
  <c r="P165" i="11"/>
  <c r="N166" i="11"/>
  <c r="T167" i="11"/>
  <c r="K166" i="11"/>
  <c r="Q167" i="11"/>
  <c r="F176" i="11"/>
  <c r="H177" i="11"/>
  <c r="I177" i="11"/>
  <c r="R175" i="11"/>
  <c r="T176" i="11"/>
  <c r="R177" i="11"/>
  <c r="S175" i="11"/>
  <c r="G177" i="11"/>
  <c r="G115" i="11"/>
  <c r="F115" i="11"/>
  <c r="N116" i="11"/>
  <c r="R115" i="11"/>
  <c r="I117" i="11"/>
  <c r="T115" i="11"/>
  <c r="J117" i="11"/>
  <c r="S115" i="11"/>
  <c r="G117" i="11"/>
  <c r="N186" i="11"/>
  <c r="T187" i="11"/>
  <c r="H185" i="11"/>
  <c r="H187" i="11"/>
  <c r="F186" i="11"/>
  <c r="F97" i="11"/>
  <c r="H96" i="11"/>
  <c r="R95" i="11"/>
  <c r="N136" i="11"/>
  <c r="P135" i="11"/>
  <c r="I65" i="12"/>
  <c r="I66" i="12" s="1"/>
  <c r="J105" i="12"/>
  <c r="J106" i="12" s="1"/>
  <c r="J145" i="12"/>
  <c r="J146" i="12" s="1"/>
  <c r="K65" i="12"/>
  <c r="K66" i="12" s="1"/>
  <c r="I105" i="12"/>
  <c r="I106" i="12" s="1"/>
  <c r="I236" i="13"/>
  <c r="G237" i="13"/>
  <c r="I240" i="13"/>
  <c r="J237" i="13"/>
  <c r="J231" i="13"/>
  <c r="F235" i="13"/>
  <c r="H236" i="13"/>
  <c r="S240" i="13"/>
  <c r="U231" i="13"/>
  <c r="F233" i="13"/>
  <c r="J236" i="13"/>
  <c r="R237" i="13"/>
  <c r="J240" i="13"/>
  <c r="R238" i="13"/>
  <c r="T237" i="13"/>
  <c r="G239" i="13"/>
  <c r="T235" i="13"/>
  <c r="R236" i="13"/>
  <c r="H231" i="13"/>
  <c r="T231" i="13"/>
  <c r="G233" i="13"/>
  <c r="S238" i="13"/>
  <c r="U239" i="13"/>
  <c r="T239" i="13"/>
  <c r="S233" i="13"/>
  <c r="R240" i="13"/>
  <c r="J235" i="13"/>
  <c r="J233" i="13"/>
  <c r="S236" i="13"/>
  <c r="U237" i="13"/>
  <c r="F239" i="13"/>
  <c r="H240" i="13"/>
  <c r="R235" i="13"/>
  <c r="J238" i="13"/>
  <c r="R239" i="13"/>
  <c r="F273" i="13"/>
  <c r="F240" i="13"/>
  <c r="U238" i="13"/>
  <c r="S237" i="13"/>
  <c r="R231" i="13"/>
  <c r="G271" i="13"/>
  <c r="U265" i="13"/>
  <c r="R269" i="13"/>
  <c r="R271" i="13"/>
  <c r="I273" i="13"/>
  <c r="U272" i="13"/>
  <c r="I239" i="13"/>
  <c r="T236" i="13"/>
  <c r="F231" i="13"/>
  <c r="S272" i="13"/>
  <c r="R267" i="13"/>
  <c r="T233" i="13"/>
  <c r="R146" i="13"/>
  <c r="I152" i="13"/>
  <c r="G154" i="13"/>
  <c r="H233" i="13"/>
  <c r="I274" i="13"/>
  <c r="F270" i="13"/>
  <c r="J267" i="13"/>
  <c r="R265" i="13"/>
  <c r="U269" i="13"/>
  <c r="G269" i="13"/>
  <c r="G273" i="13"/>
  <c r="H267" i="13"/>
  <c r="S265" i="13"/>
  <c r="G267" i="13"/>
  <c r="H272" i="13"/>
  <c r="U271" i="13"/>
  <c r="J269" i="13"/>
  <c r="G265" i="13"/>
  <c r="H269" i="13"/>
  <c r="I270" i="13"/>
  <c r="J265" i="13"/>
  <c r="R272" i="13"/>
  <c r="T267" i="13"/>
  <c r="S270" i="13"/>
  <c r="F271" i="13"/>
  <c r="H271" i="13"/>
  <c r="G274" i="13"/>
  <c r="T272" i="13"/>
  <c r="I271" i="13"/>
  <c r="G270" i="13"/>
  <c r="U267" i="13"/>
  <c r="S274" i="13"/>
  <c r="U240" i="13"/>
  <c r="S239" i="13"/>
  <c r="H235" i="13"/>
  <c r="I231" i="13"/>
  <c r="J273" i="13"/>
  <c r="R270" i="13"/>
  <c r="F269" i="13"/>
  <c r="J270" i="13"/>
  <c r="G272" i="13"/>
  <c r="R273" i="13"/>
  <c r="S271" i="13"/>
  <c r="H273" i="13"/>
  <c r="U274" i="13"/>
  <c r="T238" i="13"/>
  <c r="G236" i="13"/>
  <c r="H238" i="13"/>
  <c r="H151" i="13"/>
  <c r="G150" i="13"/>
  <c r="T148" i="13"/>
  <c r="T153" i="13"/>
  <c r="H150" i="13"/>
  <c r="S154" i="13"/>
  <c r="I155" i="13"/>
  <c r="G235" i="13"/>
  <c r="I238" i="13"/>
  <c r="T273" i="13"/>
  <c r="U152" i="13"/>
  <c r="S146" i="13"/>
  <c r="R153" i="13"/>
  <c r="H152" i="13"/>
  <c r="F151" i="13"/>
  <c r="R148" i="13"/>
  <c r="R154" i="13"/>
  <c r="J153" i="13"/>
  <c r="R150" i="13"/>
  <c r="U154" i="13"/>
  <c r="G148" i="13"/>
  <c r="G146" i="13"/>
  <c r="J152" i="13"/>
  <c r="S148" i="13"/>
  <c r="J146" i="13"/>
  <c r="H153" i="13"/>
  <c r="T146" i="13"/>
  <c r="F154" i="13"/>
  <c r="H155" i="13"/>
  <c r="G152" i="13"/>
  <c r="J150" i="13"/>
  <c r="T154" i="13"/>
  <c r="I153" i="13"/>
  <c r="H154" i="13"/>
  <c r="F153" i="13"/>
  <c r="U151" i="13"/>
  <c r="S150" i="13"/>
  <c r="I148" i="13"/>
  <c r="T155" i="13"/>
  <c r="I154" i="13"/>
  <c r="G153" i="13"/>
  <c r="T151" i="13"/>
  <c r="I150" i="13"/>
  <c r="F146" i="13"/>
  <c r="S153" i="13"/>
  <c r="U150" i="13"/>
  <c r="S155" i="13"/>
  <c r="I151" i="13"/>
  <c r="H148" i="13"/>
  <c r="H146" i="13"/>
  <c r="F150" i="13"/>
  <c r="I146" i="13"/>
  <c r="R155" i="13"/>
  <c r="J154" i="13"/>
  <c r="F155" i="13"/>
  <c r="U153" i="13"/>
  <c r="S152" i="13"/>
  <c r="J155" i="13"/>
  <c r="R152" i="13"/>
  <c r="J151" i="13"/>
  <c r="F148" i="13"/>
  <c r="U146" i="13"/>
  <c r="T150" i="13"/>
  <c r="S151" i="13"/>
  <c r="J148" i="13"/>
  <c r="H274" i="13"/>
  <c r="H237" i="13"/>
  <c r="F236" i="13"/>
  <c r="R233" i="13"/>
  <c r="I272" i="13"/>
  <c r="H270" i="13"/>
  <c r="S267" i="13"/>
  <c r="T265" i="13"/>
  <c r="F265" i="13"/>
  <c r="T270" i="13"/>
  <c r="J272" i="13"/>
  <c r="J274" i="13"/>
  <c r="F272" i="13"/>
  <c r="S273" i="13"/>
  <c r="T240" i="13"/>
  <c r="G238" i="13"/>
  <c r="I235" i="13"/>
  <c r="F237" i="13"/>
  <c r="G231" i="13"/>
  <c r="F152" i="13"/>
  <c r="U148" i="13"/>
  <c r="G155" i="13"/>
  <c r="U155" i="13"/>
  <c r="R151" i="13"/>
  <c r="H265" i="13"/>
  <c r="G172" i="13"/>
  <c r="U165" i="13"/>
  <c r="T287" i="13"/>
  <c r="I286" i="13"/>
  <c r="R288" i="13"/>
  <c r="G291" i="13"/>
  <c r="R301" i="13"/>
  <c r="F221" i="13"/>
  <c r="T117" i="13"/>
  <c r="T255" i="13"/>
  <c r="P253" i="13"/>
  <c r="S250" i="13"/>
  <c r="G248" i="13"/>
  <c r="P248" i="13"/>
  <c r="P255" i="13"/>
  <c r="I253" i="13"/>
  <c r="G252" i="13"/>
  <c r="G250" i="13"/>
  <c r="T252" i="13"/>
  <c r="T250" i="13"/>
  <c r="R257" i="13"/>
  <c r="U252" i="13"/>
  <c r="H250" i="13"/>
  <c r="T248" i="13"/>
  <c r="S202" i="13"/>
  <c r="T205" i="13"/>
  <c r="K241" i="14"/>
  <c r="N239" i="14"/>
  <c r="T236" i="14"/>
  <c r="F237" i="14"/>
  <c r="P240" i="14"/>
  <c r="U235" i="14"/>
  <c r="G240" i="14"/>
  <c r="M239" i="14"/>
  <c r="T239" i="14"/>
  <c r="I238" i="14"/>
  <c r="G237" i="14"/>
  <c r="T235" i="14"/>
  <c r="F240" i="14"/>
  <c r="U238" i="14"/>
  <c r="S237" i="14"/>
  <c r="K236" i="14"/>
  <c r="P235" i="14"/>
  <c r="N233" i="14"/>
  <c r="H240" i="14"/>
  <c r="U237" i="14"/>
  <c r="K235" i="14"/>
  <c r="M241" i="14"/>
  <c r="G238" i="14"/>
  <c r="I235" i="14"/>
  <c r="G236" i="14"/>
  <c r="T240" i="14"/>
  <c r="S238" i="14"/>
  <c r="R235" i="14"/>
  <c r="N115" i="14"/>
  <c r="H114" i="14"/>
  <c r="F113" i="14"/>
  <c r="U111" i="14"/>
  <c r="S110" i="14"/>
  <c r="K109" i="14"/>
  <c r="T113" i="14"/>
  <c r="I112" i="14"/>
  <c r="G111" i="14"/>
  <c r="T109" i="14"/>
  <c r="J114" i="14"/>
  <c r="R111" i="14"/>
  <c r="M113" i="14"/>
  <c r="F114" i="14"/>
  <c r="P109" i="14"/>
  <c r="N114" i="14"/>
  <c r="F112" i="14"/>
  <c r="S109" i="14"/>
  <c r="R113" i="14"/>
  <c r="R109" i="14"/>
  <c r="P113" i="14"/>
  <c r="U113" i="14"/>
  <c r="S112" i="14"/>
  <c r="K111" i="14"/>
  <c r="P110" i="14"/>
  <c r="N109" i="14"/>
  <c r="R114" i="14"/>
  <c r="J113" i="14"/>
  <c r="M112" i="14"/>
  <c r="R110" i="14"/>
  <c r="J109" i="14"/>
  <c r="I113" i="14"/>
  <c r="M111" i="14"/>
  <c r="G110" i="14"/>
  <c r="U112" i="14"/>
  <c r="N107" i="14"/>
  <c r="S113" i="14"/>
  <c r="P111" i="14"/>
  <c r="H109" i="14"/>
  <c r="J112" i="14"/>
  <c r="N112" i="14"/>
  <c r="S114" i="14"/>
  <c r="K113" i="14"/>
  <c r="P112" i="14"/>
  <c r="N111" i="14"/>
  <c r="H110" i="14"/>
  <c r="F109" i="14"/>
  <c r="I114" i="14"/>
  <c r="G113" i="14"/>
  <c r="T111" i="14"/>
  <c r="I110" i="14"/>
  <c r="G109" i="14"/>
  <c r="T112" i="14"/>
  <c r="J110" i="14"/>
  <c r="M109" i="14"/>
  <c r="S111" i="14"/>
  <c r="H113" i="14"/>
  <c r="U110" i="14"/>
  <c r="K107" i="14"/>
  <c r="I111" i="14"/>
  <c r="H111" i="14"/>
  <c r="F252" i="14"/>
  <c r="K247" i="14"/>
  <c r="I249" i="14"/>
  <c r="S249" i="14"/>
  <c r="K255" i="14"/>
  <c r="M255" i="14"/>
  <c r="N254" i="14"/>
  <c r="M254" i="14"/>
  <c r="R252" i="14"/>
  <c r="J251" i="14"/>
  <c r="K253" i="14"/>
  <c r="T252" i="14"/>
  <c r="J250" i="14"/>
  <c r="R97" i="14"/>
  <c r="N101" i="14"/>
  <c r="J96" i="14"/>
  <c r="M101" i="14"/>
  <c r="H96" i="14"/>
  <c r="I99" i="14"/>
  <c r="U97" i="14"/>
  <c r="T98" i="14"/>
  <c r="F95" i="14"/>
  <c r="R100" i="14"/>
  <c r="J99" i="14"/>
  <c r="M98" i="14"/>
  <c r="R96" i="14"/>
  <c r="J95" i="14"/>
  <c r="U100" i="14"/>
  <c r="S99" i="14"/>
  <c r="K98" i="14"/>
  <c r="P97" i="14"/>
  <c r="N96" i="14"/>
  <c r="H95" i="14"/>
  <c r="T96" i="14"/>
  <c r="R99" i="14"/>
  <c r="P96" i="14"/>
  <c r="S98" i="14"/>
  <c r="K99" i="14"/>
  <c r="G98" i="14"/>
  <c r="S96" i="14"/>
  <c r="H100" i="14"/>
  <c r="I100" i="14"/>
  <c r="G99" i="14"/>
  <c r="T97" i="14"/>
  <c r="I96" i="14"/>
  <c r="G95" i="14"/>
  <c r="K100" i="14"/>
  <c r="P99" i="14"/>
  <c r="N98" i="14"/>
  <c r="H97" i="14"/>
  <c r="F96" i="14"/>
  <c r="M95" i="14"/>
  <c r="I97" i="14"/>
  <c r="G100" i="14"/>
  <c r="F97" i="14"/>
  <c r="N99" i="14"/>
  <c r="K101" i="14"/>
  <c r="P98" i="14"/>
  <c r="M97" i="14"/>
  <c r="J100" i="14"/>
  <c r="I95" i="14"/>
  <c r="M100" i="14"/>
  <c r="R98" i="14"/>
  <c r="J97" i="14"/>
  <c r="M96" i="14"/>
  <c r="N100" i="14"/>
  <c r="H99" i="14"/>
  <c r="F98" i="14"/>
  <c r="U96" i="14"/>
  <c r="S95" i="14"/>
  <c r="K93" i="14"/>
  <c r="R95" i="14"/>
  <c r="J98" i="14"/>
  <c r="T100" i="14"/>
  <c r="N95" i="14"/>
  <c r="K97" i="14"/>
  <c r="U99" i="14"/>
  <c r="T254" i="14"/>
  <c r="H249" i="14"/>
  <c r="F250" i="14"/>
  <c r="U252" i="14"/>
  <c r="U250" i="14"/>
  <c r="S254" i="14"/>
  <c r="M250" i="14"/>
  <c r="P251" i="14"/>
  <c r="F253" i="14"/>
  <c r="J254" i="14"/>
  <c r="N249" i="14"/>
  <c r="P250" i="14"/>
  <c r="N252" i="14"/>
  <c r="U253" i="14"/>
  <c r="T251" i="14"/>
  <c r="J253" i="14"/>
  <c r="K237" i="14"/>
  <c r="I237" i="14"/>
  <c r="J236" i="14"/>
  <c r="I239" i="14"/>
  <c r="F235" i="14"/>
  <c r="P238" i="14"/>
  <c r="N241" i="14"/>
  <c r="H235" i="14"/>
  <c r="U236" i="14"/>
  <c r="N238" i="14"/>
  <c r="S239" i="14"/>
  <c r="G235" i="14"/>
  <c r="R236" i="14"/>
  <c r="R238" i="14"/>
  <c r="I240" i="14"/>
  <c r="P95" i="14"/>
  <c r="F100" i="14"/>
  <c r="G97" i="14"/>
  <c r="F110" i="14"/>
  <c r="N110" i="14"/>
  <c r="M115" i="14"/>
  <c r="R112" i="14"/>
  <c r="U109" i="14"/>
  <c r="P114" i="14"/>
  <c r="F99" i="14"/>
  <c r="F254" i="14"/>
  <c r="N253" i="14"/>
  <c r="N247" i="14"/>
  <c r="K250" i="14"/>
  <c r="R253" i="14"/>
  <c r="M249" i="14"/>
  <c r="R251" i="14"/>
  <c r="G249" i="14"/>
  <c r="I250" i="14"/>
  <c r="U251" i="14"/>
  <c r="I253" i="14"/>
  <c r="U254" i="14"/>
  <c r="K249" i="14"/>
  <c r="T250" i="14"/>
  <c r="S252" i="14"/>
  <c r="G254" i="14"/>
  <c r="M252" i="14"/>
  <c r="T253" i="14"/>
  <c r="P236" i="14"/>
  <c r="M235" i="14"/>
  <c r="M237" i="14"/>
  <c r="J240" i="14"/>
  <c r="H236" i="14"/>
  <c r="F239" i="14"/>
  <c r="S235" i="14"/>
  <c r="H237" i="14"/>
  <c r="K238" i="14"/>
  <c r="N240" i="14"/>
  <c r="J235" i="14"/>
  <c r="J237" i="14"/>
  <c r="G239" i="14"/>
  <c r="R240" i="14"/>
  <c r="P100" i="14"/>
  <c r="M99" i="14"/>
  <c r="K96" i="14"/>
  <c r="I98" i="14"/>
  <c r="K114" i="14"/>
  <c r="K112" i="14"/>
  <c r="G114" i="14"/>
  <c r="M114" i="14"/>
  <c r="F111" i="14"/>
  <c r="K115" i="14"/>
  <c r="H238" i="14"/>
  <c r="K95" i="14"/>
  <c r="F251" i="14"/>
  <c r="S251" i="14"/>
  <c r="I251" i="14"/>
  <c r="P254" i="14"/>
  <c r="R249" i="14"/>
  <c r="P252" i="14"/>
  <c r="J249" i="14"/>
  <c r="S250" i="14"/>
  <c r="G252" i="14"/>
  <c r="S253" i="14"/>
  <c r="N255" i="14"/>
  <c r="U249" i="14"/>
  <c r="H251" i="14"/>
  <c r="M253" i="14"/>
  <c r="K254" i="14"/>
  <c r="R250" i="14"/>
  <c r="I252" i="14"/>
  <c r="I254" i="14"/>
  <c r="N235" i="14"/>
  <c r="R239" i="14"/>
  <c r="R237" i="14"/>
  <c r="S236" i="14"/>
  <c r="K239" i="14"/>
  <c r="K233" i="14"/>
  <c r="F236" i="14"/>
  <c r="P237" i="14"/>
  <c r="H239" i="14"/>
  <c r="K240" i="14"/>
  <c r="M236" i="14"/>
  <c r="T237" i="14"/>
  <c r="J239" i="14"/>
  <c r="H98" i="14"/>
  <c r="G96" i="14"/>
  <c r="S97" i="14"/>
  <c r="T99" i="14"/>
  <c r="T110" i="14"/>
  <c r="U114" i="14"/>
  <c r="I109" i="14"/>
  <c r="M110" i="14"/>
  <c r="H112" i="14"/>
  <c r="S100" i="14"/>
  <c r="N251" i="14"/>
  <c r="H226" i="14"/>
  <c r="I226" i="14"/>
  <c r="M224" i="14"/>
  <c r="K221" i="14"/>
  <c r="K139" i="14"/>
  <c r="P138" i="14"/>
  <c r="N157" i="14"/>
  <c r="S152" i="14"/>
  <c r="J156" i="14"/>
  <c r="I151" i="14"/>
  <c r="F155" i="14"/>
  <c r="U153" i="14"/>
  <c r="P169" i="14"/>
  <c r="R165" i="14"/>
  <c r="G170" i="14"/>
  <c r="T166" i="14"/>
  <c r="N168" i="14"/>
  <c r="K170" i="14"/>
  <c r="H167" i="14"/>
  <c r="G125" i="14"/>
  <c r="M124" i="14"/>
  <c r="K205" i="14"/>
  <c r="G211" i="14"/>
  <c r="U208" i="14"/>
  <c r="G252" i="15"/>
  <c r="H249" i="15"/>
  <c r="F253" i="15"/>
  <c r="J255" i="15"/>
  <c r="F249" i="15"/>
  <c r="J252" i="15"/>
  <c r="H255" i="15"/>
  <c r="G253" i="15"/>
  <c r="G254" i="15"/>
  <c r="I119" i="15"/>
  <c r="J149" i="15"/>
  <c r="H152" i="15"/>
  <c r="G151" i="15"/>
  <c r="F150" i="15"/>
  <c r="J152" i="15"/>
  <c r="H116" i="15"/>
  <c r="F119" i="15"/>
  <c r="I113" i="15"/>
  <c r="I118" i="15"/>
  <c r="F113" i="15"/>
  <c r="J116" i="15"/>
  <c r="H119" i="15"/>
  <c r="H201" i="15"/>
  <c r="G204" i="15"/>
  <c r="H198" i="15"/>
  <c r="J204" i="15"/>
  <c r="F201" i="15"/>
  <c r="J203" i="15"/>
  <c r="G198" i="15"/>
  <c r="G203" i="15"/>
  <c r="H205" i="15"/>
  <c r="G251" i="15"/>
  <c r="G255" i="15"/>
  <c r="G145" i="15"/>
  <c r="I117" i="15"/>
  <c r="J307" i="15"/>
  <c r="I307" i="15"/>
  <c r="G302" i="15"/>
  <c r="G306" i="15"/>
  <c r="I303" i="15"/>
  <c r="G304" i="15"/>
  <c r="I298" i="15"/>
  <c r="I256" i="15"/>
  <c r="H247" i="15"/>
  <c r="F251" i="15"/>
  <c r="J253" i="15"/>
  <c r="H256" i="15"/>
  <c r="F247" i="15"/>
  <c r="J249" i="15"/>
  <c r="H253" i="15"/>
  <c r="F256" i="15"/>
  <c r="I249" i="15"/>
  <c r="I251" i="15"/>
  <c r="I153" i="15"/>
  <c r="G113" i="15"/>
  <c r="H150" i="15"/>
  <c r="F153" i="15"/>
  <c r="I147" i="15"/>
  <c r="I152" i="15"/>
  <c r="F147" i="15"/>
  <c r="J150" i="15"/>
  <c r="H153" i="15"/>
  <c r="H113" i="15"/>
  <c r="F117" i="15"/>
  <c r="J119" i="15"/>
  <c r="G115" i="15"/>
  <c r="G119" i="15"/>
  <c r="F111" i="15"/>
  <c r="J113" i="15"/>
  <c r="H117" i="15"/>
  <c r="F120" i="15"/>
  <c r="H196" i="15"/>
  <c r="J202" i="15"/>
  <c r="I196" i="15"/>
  <c r="J200" i="15"/>
  <c r="F198" i="15"/>
  <c r="J201" i="15"/>
  <c r="H204" i="15"/>
  <c r="I200" i="15"/>
  <c r="I204" i="15"/>
  <c r="I252" i="15"/>
  <c r="G154" i="15"/>
  <c r="G111" i="15"/>
  <c r="G152" i="15"/>
  <c r="G256" i="15"/>
  <c r="G247" i="15"/>
  <c r="J251" i="15"/>
  <c r="H254" i="15"/>
  <c r="J247" i="15"/>
  <c r="H251" i="15"/>
  <c r="F254" i="15"/>
  <c r="J256" i="15"/>
  <c r="G249" i="15"/>
  <c r="I203" i="15"/>
  <c r="G147" i="15"/>
  <c r="H147" i="15"/>
  <c r="F151" i="15"/>
  <c r="J153" i="15"/>
  <c r="G149" i="15"/>
  <c r="G153" i="15"/>
  <c r="F145" i="15"/>
  <c r="J147" i="15"/>
  <c r="H151" i="15"/>
  <c r="F154" i="15"/>
  <c r="G116" i="15"/>
  <c r="H111" i="15"/>
  <c r="F115" i="15"/>
  <c r="J117" i="15"/>
  <c r="H120" i="15"/>
  <c r="I111" i="15"/>
  <c r="I116" i="15"/>
  <c r="I120" i="15"/>
  <c r="J111" i="15"/>
  <c r="H115" i="15"/>
  <c r="F118" i="15"/>
  <c r="J120" i="15"/>
  <c r="F204" i="15"/>
  <c r="G200" i="15"/>
  <c r="F202" i="15"/>
  <c r="F196" i="15"/>
  <c r="J198" i="15"/>
  <c r="H202" i="15"/>
  <c r="F205" i="15"/>
  <c r="G196" i="15"/>
  <c r="G201" i="15"/>
  <c r="G205" i="15"/>
  <c r="I151" i="15"/>
  <c r="I230" i="15"/>
  <c r="G234" i="15"/>
  <c r="I171" i="15"/>
  <c r="I162" i="15"/>
  <c r="I289" i="15"/>
  <c r="I285" i="15"/>
  <c r="J251" i="16"/>
  <c r="J253" i="16"/>
  <c r="G249" i="16"/>
  <c r="I254" i="16"/>
  <c r="H251" i="16"/>
  <c r="F254" i="16"/>
  <c r="I251" i="16"/>
  <c r="G254" i="16"/>
  <c r="I98" i="16"/>
  <c r="H98" i="16"/>
  <c r="J95" i="16"/>
  <c r="G207" i="16"/>
  <c r="J211" i="16"/>
  <c r="I210" i="16"/>
  <c r="H207" i="16"/>
  <c r="F210" i="16"/>
  <c r="J212" i="16"/>
  <c r="G208" i="16"/>
  <c r="G212" i="16"/>
  <c r="I99" i="16"/>
  <c r="I95" i="16"/>
  <c r="F98" i="16"/>
  <c r="F100" i="16"/>
  <c r="J98" i="16"/>
  <c r="J96" i="16"/>
  <c r="F251" i="16"/>
  <c r="F253" i="16"/>
  <c r="I252" i="16"/>
  <c r="H249" i="16"/>
  <c r="F252" i="16"/>
  <c r="J254" i="16"/>
  <c r="I249" i="16"/>
  <c r="G252" i="16"/>
  <c r="G97" i="16"/>
  <c r="H100" i="16"/>
  <c r="J97" i="16"/>
  <c r="F95" i="16"/>
  <c r="I208" i="16"/>
  <c r="J207" i="16"/>
  <c r="F208" i="16"/>
  <c r="J210" i="16"/>
  <c r="I209" i="16"/>
  <c r="G98" i="16"/>
  <c r="H95" i="16"/>
  <c r="H254" i="16"/>
  <c r="H97" i="16"/>
  <c r="F96" i="16"/>
  <c r="H252" i="16"/>
  <c r="F181" i="16"/>
  <c r="J182" i="16"/>
  <c r="H250" i="16"/>
  <c r="I250" i="16"/>
  <c r="G253" i="16"/>
  <c r="F250" i="16"/>
  <c r="J252" i="16"/>
  <c r="G250" i="16"/>
  <c r="H208" i="16"/>
  <c r="I100" i="16"/>
  <c r="I96" i="16"/>
  <c r="H212" i="16"/>
  <c r="J99" i="16"/>
  <c r="F97" i="16"/>
  <c r="G211" i="16"/>
  <c r="F209" i="16"/>
  <c r="J208" i="16"/>
  <c r="H211" i="16"/>
  <c r="G210" i="16"/>
  <c r="I97" i="16"/>
  <c r="J249" i="16"/>
  <c r="F249" i="16"/>
  <c r="F180" i="16"/>
  <c r="Q198" i="11"/>
  <c r="V196" i="11"/>
  <c r="W216" i="11"/>
  <c r="J198" i="11"/>
  <c r="I208" i="11"/>
  <c r="F208" i="11"/>
  <c r="K208" i="11"/>
  <c r="N298" i="14"/>
  <c r="K298" i="14"/>
  <c r="M298" i="14"/>
  <c r="I170" i="12"/>
  <c r="K178" i="12"/>
  <c r="I178" i="12"/>
  <c r="J170" i="12"/>
  <c r="J162" i="12"/>
  <c r="I162" i="12"/>
  <c r="K170" i="12"/>
  <c r="J178" i="12"/>
  <c r="K162" i="12"/>
  <c r="S218" i="11"/>
  <c r="T208" i="11"/>
  <c r="G198" i="11"/>
  <c r="G218" i="11"/>
  <c r="V206" i="11"/>
  <c r="J208" i="11"/>
  <c r="O208" i="11"/>
  <c r="R198" i="11"/>
  <c r="P198" i="11"/>
  <c r="U206" i="11"/>
  <c r="S198" i="11"/>
  <c r="K198" i="11"/>
  <c r="K218" i="11"/>
  <c r="P218" i="11"/>
  <c r="R208" i="11"/>
  <c r="W206" i="11"/>
  <c r="S208" i="11"/>
  <c r="W196" i="11"/>
  <c r="O198" i="11"/>
  <c r="T198" i="11"/>
  <c r="U196" i="11"/>
  <c r="I198" i="11"/>
  <c r="O218" i="11"/>
  <c r="T218" i="11"/>
  <c r="I218" i="11"/>
  <c r="R218" i="11"/>
  <c r="P208" i="11"/>
  <c r="G208" i="11"/>
  <c r="L26" i="6"/>
  <c r="L27" i="6"/>
  <c r="L24" i="6"/>
  <c r="L25" i="6"/>
  <c r="L28" i="6"/>
  <c r="L29" i="6"/>
  <c r="P186" i="16" l="1"/>
  <c r="Q125" i="16"/>
  <c r="Q128" i="16"/>
  <c r="Q126" i="16"/>
  <c r="K242" i="16"/>
  <c r="Q181" i="16"/>
  <c r="P200" i="16"/>
  <c r="Q250" i="16"/>
  <c r="N200" i="16"/>
  <c r="O228" i="16"/>
  <c r="O214" i="16"/>
  <c r="Q154" i="16"/>
  <c r="Q207" i="16"/>
  <c r="O158" i="16"/>
  <c r="M102" i="16"/>
  <c r="Q222" i="16"/>
  <c r="L102" i="16"/>
  <c r="Q211" i="16"/>
  <c r="Q225" i="16"/>
  <c r="Q155" i="16"/>
  <c r="Q238" i="16"/>
  <c r="Q141" i="16"/>
  <c r="M158" i="16"/>
  <c r="M130" i="16"/>
  <c r="Q100" i="16"/>
  <c r="Q123" i="16"/>
  <c r="Q110" i="16"/>
  <c r="Q196" i="16"/>
  <c r="Q140" i="16"/>
  <c r="Q95" i="16"/>
  <c r="Q170" i="16"/>
  <c r="Q183" i="16"/>
  <c r="K158" i="16"/>
  <c r="M200" i="16"/>
  <c r="Q96" i="16"/>
  <c r="N158" i="16"/>
  <c r="K130" i="16"/>
  <c r="K200" i="16"/>
  <c r="Q194" i="16"/>
  <c r="Q151" i="16"/>
  <c r="Q165" i="16"/>
  <c r="O130" i="16"/>
  <c r="Q198" i="16"/>
  <c r="Q251" i="16"/>
  <c r="Q168" i="16"/>
  <c r="L158" i="16"/>
  <c r="N130" i="16"/>
  <c r="K102" i="16"/>
  <c r="Q137" i="16"/>
  <c r="Q223" i="16"/>
  <c r="P158" i="16"/>
  <c r="P130" i="16"/>
  <c r="O200" i="16"/>
  <c r="M242" i="16"/>
  <c r="M228" i="16"/>
  <c r="Q210" i="16"/>
  <c r="Q98" i="16"/>
  <c r="Q212" i="16"/>
  <c r="Q209" i="16"/>
  <c r="L200" i="16"/>
  <c r="O102" i="16"/>
  <c r="N242" i="16"/>
  <c r="P228" i="16"/>
  <c r="Q208" i="16"/>
  <c r="Q226" i="16"/>
  <c r="Q112" i="16"/>
  <c r="Q236" i="16"/>
  <c r="L130" i="16"/>
  <c r="N102" i="16"/>
  <c r="K228" i="16"/>
  <c r="M214" i="16"/>
  <c r="M172" i="16"/>
  <c r="Q197" i="16"/>
  <c r="Q127" i="16"/>
  <c r="P214" i="16"/>
  <c r="L172" i="16"/>
  <c r="Q169" i="16"/>
  <c r="Q111" i="16"/>
  <c r="N228" i="16"/>
  <c r="K214" i="16"/>
  <c r="O172" i="16"/>
  <c r="M116" i="16"/>
  <c r="Q180" i="16"/>
  <c r="P242" i="16"/>
  <c r="N172" i="16"/>
  <c r="P116" i="16"/>
  <c r="M144" i="16"/>
  <c r="Q109" i="16"/>
  <c r="Q184" i="16"/>
  <c r="O242" i="16"/>
  <c r="K172" i="16"/>
  <c r="K116" i="16"/>
  <c r="K144" i="16"/>
  <c r="M186" i="16"/>
  <c r="Q239" i="16"/>
  <c r="N214" i="16"/>
  <c r="P172" i="16"/>
  <c r="O144" i="16"/>
  <c r="M256" i="16"/>
  <c r="Q221" i="16"/>
  <c r="Q179" i="16"/>
  <c r="L144" i="16"/>
  <c r="O186" i="16"/>
  <c r="N256" i="16"/>
  <c r="Q142" i="16"/>
  <c r="Q240" i="16"/>
  <c r="P102" i="16"/>
  <c r="L242" i="16"/>
  <c r="N116" i="16"/>
  <c r="N144" i="16"/>
  <c r="L186" i="16"/>
  <c r="K256" i="16"/>
  <c r="Q193" i="16"/>
  <c r="Q224" i="16"/>
  <c r="Q138" i="16"/>
  <c r="P144" i="16"/>
  <c r="N186" i="16"/>
  <c r="O256" i="16"/>
  <c r="Q97" i="16"/>
  <c r="Q252" i="16"/>
  <c r="L228" i="16"/>
  <c r="L116" i="16"/>
  <c r="K186" i="16"/>
  <c r="L256" i="16"/>
  <c r="Q254" i="16"/>
  <c r="Q195" i="16"/>
  <c r="Q235" i="16"/>
  <c r="Q166" i="16"/>
  <c r="Q156" i="16"/>
  <c r="O116" i="16"/>
  <c r="P256" i="16"/>
  <c r="Q167" i="16"/>
  <c r="L214" i="16"/>
  <c r="Q114" i="16"/>
  <c r="Q152" i="16"/>
  <c r="Q253" i="16"/>
  <c r="Q139" i="16"/>
  <c r="Q99" i="16"/>
  <c r="Q113" i="16"/>
  <c r="Q237" i="16"/>
  <c r="Q124" i="16"/>
  <c r="Q249" i="16"/>
  <c r="Q182" i="16"/>
  <c r="Q153" i="16"/>
  <c r="N344" i="13"/>
  <c r="O270" i="14"/>
  <c r="O284" i="14"/>
  <c r="M310" i="13"/>
  <c r="M344" i="13"/>
  <c r="O344" i="13"/>
  <c r="L270" i="14"/>
  <c r="L284" i="14"/>
  <c r="L310" i="13"/>
  <c r="Q218" i="15"/>
  <c r="P344" i="13"/>
  <c r="K344" i="13"/>
  <c r="O310" i="13"/>
  <c r="K310" i="13"/>
  <c r="Q154" i="15"/>
  <c r="Q145" i="15"/>
  <c r="Q270" i="15"/>
  <c r="Q213" i="15"/>
  <c r="Q281" i="15"/>
  <c r="L344" i="13"/>
  <c r="Q234" i="15"/>
  <c r="Q249" i="15"/>
  <c r="Q306" i="15"/>
  <c r="Q302" i="15"/>
  <c r="Q290" i="15"/>
  <c r="P310" i="13"/>
  <c r="N310" i="13"/>
  <c r="P207" i="15"/>
  <c r="P241" i="15"/>
  <c r="N207" i="15"/>
  <c r="O190" i="15"/>
  <c r="P122" i="15"/>
  <c r="M258" i="15"/>
  <c r="O173" i="15"/>
  <c r="K139" i="15"/>
  <c r="M207" i="15"/>
  <c r="N190" i="15"/>
  <c r="P173" i="15"/>
  <c r="K275" i="15"/>
  <c r="M292" i="15"/>
  <c r="K156" i="15"/>
  <c r="L241" i="15"/>
  <c r="M190" i="15"/>
  <c r="N156" i="15"/>
  <c r="P224" i="15"/>
  <c r="O156" i="15"/>
  <c r="O207" i="15"/>
  <c r="M224" i="15"/>
  <c r="M156" i="15"/>
  <c r="P309" i="15"/>
  <c r="L156" i="15"/>
  <c r="N224" i="15"/>
  <c r="K224" i="15"/>
  <c r="Q118" i="15"/>
  <c r="Q166" i="15"/>
  <c r="Q179" i="15"/>
  <c r="L122" i="15"/>
  <c r="O122" i="15"/>
  <c r="Q117" i="15"/>
  <c r="N258" i="15"/>
  <c r="Q247" i="15"/>
  <c r="K241" i="15"/>
  <c r="Q237" i="15"/>
  <c r="Q239" i="15"/>
  <c r="Q204" i="15"/>
  <c r="Q162" i="15"/>
  <c r="N275" i="15"/>
  <c r="Q272" i="15"/>
  <c r="L292" i="15"/>
  <c r="Q289" i="15"/>
  <c r="Q283" i="15"/>
  <c r="O309" i="15"/>
  <c r="L309" i="15"/>
  <c r="Q303" i="15"/>
  <c r="Q300" i="15"/>
  <c r="Q136" i="15"/>
  <c r="O224" i="15"/>
  <c r="Q254" i="15"/>
  <c r="Q222" i="15"/>
  <c r="Q186" i="15"/>
  <c r="Q238" i="15"/>
  <c r="Q187" i="15"/>
  <c r="Q188" i="15"/>
  <c r="Q115" i="15"/>
  <c r="Q116" i="15"/>
  <c r="Q253" i="15"/>
  <c r="Q251" i="15"/>
  <c r="Q236" i="15"/>
  <c r="Q201" i="15"/>
  <c r="Q203" i="15"/>
  <c r="Q169" i="15"/>
  <c r="Q171" i="15"/>
  <c r="P275" i="15"/>
  <c r="Q271" i="15"/>
  <c r="Q269" i="15"/>
  <c r="N292" i="15"/>
  <c r="P292" i="15"/>
  <c r="Q298" i="15"/>
  <c r="N139" i="15"/>
  <c r="M139" i="15"/>
  <c r="Q133" i="15"/>
  <c r="Q135" i="15"/>
  <c r="Q219" i="15"/>
  <c r="Q220" i="15"/>
  <c r="Q217" i="15"/>
  <c r="Q153" i="15"/>
  <c r="Q147" i="15"/>
  <c r="Q202" i="15"/>
  <c r="Q181" i="15"/>
  <c r="Q170" i="15"/>
  <c r="Q286" i="15"/>
  <c r="P190" i="15"/>
  <c r="K190" i="15"/>
  <c r="Q185" i="15"/>
  <c r="Q111" i="15"/>
  <c r="L258" i="15"/>
  <c r="K258" i="15"/>
  <c r="Q252" i="15"/>
  <c r="Q255" i="15"/>
  <c r="Q232" i="15"/>
  <c r="Q235" i="15"/>
  <c r="K207" i="15"/>
  <c r="Q200" i="15"/>
  <c r="Q196" i="15"/>
  <c r="L173" i="15"/>
  <c r="Q168" i="15"/>
  <c r="O275" i="15"/>
  <c r="M275" i="15"/>
  <c r="Q268" i="15"/>
  <c r="Q264" i="15"/>
  <c r="O292" i="15"/>
  <c r="Q287" i="15"/>
  <c r="Q288" i="15"/>
  <c r="Q285" i="15"/>
  <c r="M309" i="15"/>
  <c r="Q307" i="15"/>
  <c r="Q305" i="15"/>
  <c r="L139" i="15"/>
  <c r="O139" i="15"/>
  <c r="Q132" i="15"/>
  <c r="Q128" i="15"/>
  <c r="P156" i="15"/>
  <c r="Q113" i="15"/>
  <c r="Q134" i="15"/>
  <c r="Q150" i="15"/>
  <c r="L190" i="15"/>
  <c r="Q183" i="15"/>
  <c r="Q184" i="15"/>
  <c r="K122" i="15"/>
  <c r="N122" i="15"/>
  <c r="M122" i="15"/>
  <c r="Q119" i="15"/>
  <c r="Q120" i="15"/>
  <c r="O258" i="15"/>
  <c r="P258" i="15"/>
  <c r="Q256" i="15"/>
  <c r="O241" i="15"/>
  <c r="N241" i="15"/>
  <c r="M241" i="15"/>
  <c r="Q230" i="15"/>
  <c r="L207" i="15"/>
  <c r="Q205" i="15"/>
  <c r="Q198" i="15"/>
  <c r="K173" i="15"/>
  <c r="N173" i="15"/>
  <c r="M173" i="15"/>
  <c r="Q164" i="15"/>
  <c r="Q167" i="15"/>
  <c r="L275" i="15"/>
  <c r="Q266" i="15"/>
  <c r="Q273" i="15"/>
  <c r="K292" i="15"/>
  <c r="N309" i="15"/>
  <c r="K309" i="15"/>
  <c r="Q304" i="15"/>
  <c r="P139" i="15"/>
  <c r="Q137" i="15"/>
  <c r="Q130" i="15"/>
  <c r="L224" i="15"/>
  <c r="Q221" i="15"/>
  <c r="Q215" i="15"/>
  <c r="Q151" i="15"/>
  <c r="Q152" i="15"/>
  <c r="Q149" i="15"/>
  <c r="P208" i="13"/>
  <c r="L293" i="13"/>
  <c r="M225" i="13"/>
  <c r="N225" i="13"/>
  <c r="L225" i="13"/>
  <c r="P276" i="13"/>
  <c r="M174" i="13"/>
  <c r="M208" i="13"/>
  <c r="L208" i="13"/>
  <c r="M293" i="13"/>
  <c r="P293" i="13"/>
  <c r="K293" i="13"/>
  <c r="K225" i="13"/>
  <c r="N259" i="13"/>
  <c r="L259" i="13"/>
  <c r="M276" i="13"/>
  <c r="L276" i="13"/>
  <c r="O276" i="13"/>
  <c r="N276" i="13"/>
  <c r="N174" i="13"/>
  <c r="L242" i="13"/>
  <c r="K191" i="13"/>
  <c r="N191" i="13"/>
  <c r="O293" i="13"/>
  <c r="K174" i="13"/>
  <c r="P191" i="13"/>
  <c r="N208" i="13"/>
  <c r="K208" i="13"/>
  <c r="O225" i="13"/>
  <c r="M157" i="13"/>
  <c r="P157" i="13"/>
  <c r="K157" i="13"/>
  <c r="O157" i="13"/>
  <c r="L157" i="13"/>
  <c r="N157" i="13"/>
  <c r="M259" i="13"/>
  <c r="O259" i="13"/>
  <c r="K276" i="13"/>
  <c r="M242" i="13"/>
  <c r="P242" i="13"/>
  <c r="O242" i="13"/>
  <c r="M191" i="13"/>
  <c r="L191" i="13"/>
  <c r="O191" i="13"/>
  <c r="O208" i="13"/>
  <c r="N293" i="13"/>
  <c r="P225" i="13"/>
  <c r="K259" i="13"/>
  <c r="P174" i="13"/>
  <c r="L174" i="13"/>
  <c r="O174" i="13"/>
  <c r="K242" i="13"/>
  <c r="N242" i="13"/>
  <c r="M270" i="14"/>
  <c r="K270" i="14"/>
  <c r="Q268" i="14"/>
  <c r="Q265" i="14"/>
  <c r="N270" i="14"/>
  <c r="Q263" i="14"/>
  <c r="Q267" i="14"/>
  <c r="Q266" i="14"/>
  <c r="Q264" i="14"/>
  <c r="N284" i="14"/>
  <c r="Q279" i="14"/>
  <c r="L30" i="6"/>
  <c r="Q280" i="14"/>
  <c r="K284" i="14"/>
  <c r="Q155" i="14"/>
  <c r="Q278" i="14"/>
  <c r="Q282" i="14"/>
  <c r="O7" i="5"/>
  <c r="O13" i="5"/>
  <c r="O10" i="5"/>
  <c r="O6" i="5"/>
  <c r="O12" i="5"/>
  <c r="O8" i="5"/>
  <c r="O9" i="5"/>
  <c r="O11" i="5"/>
  <c r="O1079" i="5"/>
  <c r="Q277" i="14"/>
  <c r="Q111" i="14"/>
  <c r="Q254" i="14"/>
  <c r="M284" i="14"/>
  <c r="Q281" i="14"/>
  <c r="Q181" i="14"/>
  <c r="Q125" i="14"/>
  <c r="Q212" i="14"/>
  <c r="Q141" i="14"/>
  <c r="Q221" i="14"/>
  <c r="F158" i="11"/>
  <c r="J138" i="11"/>
  <c r="R98" i="11"/>
  <c r="P128" i="11"/>
  <c r="S98" i="11"/>
  <c r="P88" i="11"/>
  <c r="F88" i="11"/>
  <c r="Q188" i="11"/>
  <c r="G88" i="11"/>
  <c r="S128" i="11"/>
  <c r="K178" i="11"/>
  <c r="F138" i="11"/>
  <c r="R88" i="11"/>
  <c r="R148" i="11"/>
  <c r="T138" i="11"/>
  <c r="S88" i="11"/>
  <c r="J98" i="11"/>
  <c r="G138" i="11"/>
  <c r="I98" i="11"/>
  <c r="O138" i="11"/>
  <c r="T98" i="11"/>
  <c r="R188" i="11"/>
  <c r="P98" i="11"/>
  <c r="I138" i="11"/>
  <c r="O188" i="11"/>
  <c r="K138" i="11"/>
  <c r="I148" i="11"/>
  <c r="Q98" i="11"/>
  <c r="K98" i="11"/>
  <c r="R138" i="11"/>
  <c r="H138" i="11"/>
  <c r="S188" i="11"/>
  <c r="J148" i="11"/>
  <c r="G98" i="11"/>
  <c r="Q138" i="11"/>
  <c r="O98" i="11"/>
  <c r="S138" i="11"/>
  <c r="Q110" i="14"/>
  <c r="Q250" i="14"/>
  <c r="Q169" i="14"/>
  <c r="Q153" i="14"/>
  <c r="Q156" i="14"/>
  <c r="Q180" i="14"/>
  <c r="Q184" i="14"/>
  <c r="Q128" i="14"/>
  <c r="Q194" i="14"/>
  <c r="Q239" i="14"/>
  <c r="Q99" i="14"/>
  <c r="Q100" i="14"/>
  <c r="Q253" i="14"/>
  <c r="Q95" i="14"/>
  <c r="Q113" i="14"/>
  <c r="Q272" i="13"/>
  <c r="Q170" i="14"/>
  <c r="Q165" i="14"/>
  <c r="Q222" i="14"/>
  <c r="Q223" i="14"/>
  <c r="Q154" i="14"/>
  <c r="Q123" i="14"/>
  <c r="Q197" i="14"/>
  <c r="Q167" i="14"/>
  <c r="Q166" i="14"/>
  <c r="Q225" i="14"/>
  <c r="Q152" i="14"/>
  <c r="U86" i="11"/>
  <c r="Q126" i="14"/>
  <c r="Q198" i="14"/>
  <c r="Q97" i="14"/>
  <c r="Q98" i="14"/>
  <c r="Q112" i="14"/>
  <c r="Q240" i="14"/>
  <c r="Q210" i="14"/>
  <c r="Q208" i="14"/>
  <c r="Q211" i="14"/>
  <c r="Q127" i="14"/>
  <c r="Q182" i="14"/>
  <c r="Q140" i="14"/>
  <c r="K188" i="11"/>
  <c r="Q236" i="14"/>
  <c r="Q251" i="14"/>
  <c r="Q96" i="14"/>
  <c r="Q237" i="14"/>
  <c r="Q226" i="14"/>
  <c r="Q151" i="14"/>
  <c r="Q139" i="14"/>
  <c r="Q138" i="14"/>
  <c r="Q196" i="14"/>
  <c r="Q238" i="14"/>
  <c r="Q235" i="14"/>
  <c r="Q109" i="14"/>
  <c r="Q249" i="14"/>
  <c r="Q168" i="14"/>
  <c r="Q224" i="14"/>
  <c r="Q124" i="14"/>
  <c r="Q183" i="14"/>
  <c r="Q209" i="14"/>
  <c r="Q207" i="14"/>
  <c r="Q195" i="14"/>
  <c r="Q193" i="14"/>
  <c r="Q137" i="14"/>
  <c r="Q252" i="14"/>
  <c r="Q114" i="14"/>
  <c r="Q179" i="14"/>
  <c r="Q142" i="14"/>
  <c r="Q221" i="13"/>
  <c r="Q150" i="13"/>
  <c r="Q308" i="13"/>
  <c r="Q287" i="13"/>
  <c r="Q214" i="13"/>
  <c r="Q184" i="13"/>
  <c r="Q185" i="13"/>
  <c r="Q236" i="13"/>
  <c r="Q337" i="13"/>
  <c r="Q135" i="13"/>
  <c r="Q136" i="13"/>
  <c r="Q138" i="13"/>
  <c r="Q146" i="13"/>
  <c r="Q116" i="13"/>
  <c r="Q206" i="13"/>
  <c r="Q205" i="13"/>
  <c r="Q255" i="13"/>
  <c r="Q252" i="13"/>
  <c r="Q290" i="13"/>
  <c r="Q163" i="13"/>
  <c r="Q167" i="13"/>
  <c r="Q303" i="13"/>
  <c r="Q306" i="13"/>
  <c r="Q216" i="13"/>
  <c r="Q267" i="13"/>
  <c r="Q282" i="13"/>
  <c r="Q338" i="13"/>
  <c r="Q155" i="13"/>
  <c r="Q119" i="13"/>
  <c r="Q152" i="13"/>
  <c r="Q231" i="13"/>
  <c r="Q240" i="13"/>
  <c r="Q112" i="13"/>
  <c r="Q117" i="13"/>
  <c r="Q203" i="13"/>
  <c r="Q291" i="13"/>
  <c r="Q218" i="13"/>
  <c r="Q180" i="13"/>
  <c r="Q335" i="13"/>
  <c r="Q153" i="13"/>
  <c r="Q273" i="13"/>
  <c r="Q114" i="13"/>
  <c r="Q120" i="13"/>
  <c r="Q299" i="13"/>
  <c r="Q304" i="13"/>
  <c r="Q305" i="13"/>
  <c r="Q170" i="13"/>
  <c r="Q289" i="13"/>
  <c r="Q182" i="13"/>
  <c r="Q131" i="13"/>
  <c r="Q238" i="13"/>
  <c r="Q341" i="13"/>
  <c r="Q340" i="13"/>
  <c r="Q265" i="13"/>
  <c r="Q154" i="13"/>
  <c r="Q270" i="13"/>
  <c r="Q235" i="13"/>
  <c r="Q201" i="13"/>
  <c r="Q250" i="13"/>
  <c r="Q301" i="13"/>
  <c r="Q172" i="13"/>
  <c r="Q286" i="13"/>
  <c r="Q219" i="13"/>
  <c r="Q188" i="13"/>
  <c r="Q223" i="13"/>
  <c r="Q133" i="13"/>
  <c r="Q222" i="13"/>
  <c r="Q129" i="13"/>
  <c r="Q274" i="13"/>
  <c r="Q342" i="13"/>
  <c r="Q148" i="13"/>
  <c r="Q233" i="13"/>
  <c r="Q121" i="13"/>
  <c r="Q118" i="13"/>
  <c r="Q202" i="13"/>
  <c r="Q204" i="13"/>
  <c r="Q254" i="13"/>
  <c r="Q284" i="13"/>
  <c r="Q187" i="13"/>
  <c r="Q137" i="13"/>
  <c r="Q189" i="13"/>
  <c r="Q271" i="13"/>
  <c r="Q239" i="13"/>
  <c r="Q199" i="13"/>
  <c r="Q257" i="13"/>
  <c r="Q253" i="13"/>
  <c r="Q169" i="13"/>
  <c r="Q165" i="13"/>
  <c r="Q168" i="13"/>
  <c r="Q307" i="13"/>
  <c r="Q186" i="13"/>
  <c r="Q339" i="13"/>
  <c r="Q269" i="13"/>
  <c r="Q248" i="13"/>
  <c r="Q256" i="13"/>
  <c r="Q220" i="13"/>
  <c r="Q237" i="13"/>
  <c r="Q151" i="13"/>
  <c r="Q197" i="13"/>
  <c r="Q171" i="13"/>
  <c r="Q288" i="13"/>
  <c r="Q134" i="13"/>
  <c r="Q333" i="13"/>
  <c r="F188" i="11"/>
  <c r="R168" i="11"/>
  <c r="L7" i="6"/>
  <c r="L10" i="6"/>
  <c r="L8" i="6"/>
  <c r="L6" i="6"/>
  <c r="L32" i="6"/>
  <c r="L9" i="6"/>
  <c r="L11" i="6"/>
  <c r="O126" i="11"/>
  <c r="U126" i="11" s="1"/>
  <c r="P147" i="11"/>
  <c r="P148" i="11" s="1"/>
  <c r="J86" i="11"/>
  <c r="O85" i="11"/>
  <c r="O88" i="11" s="1"/>
  <c r="U136" i="11"/>
  <c r="G188" i="11"/>
  <c r="I188" i="11"/>
  <c r="P188" i="11"/>
  <c r="J188" i="11"/>
  <c r="V96" i="11"/>
  <c r="U96" i="11"/>
  <c r="V186" i="11"/>
  <c r="W136" i="11"/>
  <c r="W146" i="11"/>
  <c r="V136" i="11"/>
  <c r="K128" i="11"/>
  <c r="I128" i="11"/>
  <c r="T128" i="11"/>
  <c r="R108" i="11"/>
  <c r="T88" i="11"/>
  <c r="P138" i="11"/>
  <c r="T188" i="11"/>
  <c r="W186" i="11"/>
  <c r="Q88" i="11"/>
  <c r="Q128" i="11"/>
  <c r="T148" i="11"/>
  <c r="W96" i="11"/>
  <c r="F98" i="11"/>
  <c r="R128" i="11"/>
  <c r="U146" i="11"/>
  <c r="H148" i="11"/>
  <c r="N144" i="14"/>
  <c r="N130" i="14"/>
  <c r="K200" i="14"/>
  <c r="N200" i="14"/>
  <c r="M200" i="14"/>
  <c r="N214" i="14"/>
  <c r="Q148" i="11"/>
  <c r="O148" i="11"/>
  <c r="J128" i="11"/>
  <c r="H88" i="11"/>
  <c r="G148" i="11"/>
  <c r="H128" i="11"/>
  <c r="K88" i="11"/>
  <c r="M144" i="14"/>
  <c r="T108" i="11"/>
  <c r="Q158" i="11"/>
  <c r="F148" i="11"/>
  <c r="K214" i="14"/>
  <c r="O168" i="11"/>
  <c r="V146" i="11"/>
  <c r="K148" i="11"/>
  <c r="M214" i="14"/>
  <c r="N186" i="14"/>
  <c r="W86" i="11"/>
  <c r="S148" i="11"/>
  <c r="I88" i="11"/>
  <c r="F128" i="11"/>
  <c r="W126" i="11"/>
  <c r="G128" i="11"/>
  <c r="O78" i="11"/>
  <c r="I158" i="11"/>
  <c r="M186" i="14"/>
  <c r="K186" i="14"/>
  <c r="N158" i="14"/>
  <c r="K130" i="14"/>
  <c r="H78" i="11"/>
  <c r="F118" i="11"/>
  <c r="V76" i="11"/>
  <c r="O178" i="11"/>
  <c r="H158" i="11"/>
  <c r="F108" i="11"/>
  <c r="Q108" i="11"/>
  <c r="T78" i="11"/>
  <c r="R158" i="11"/>
  <c r="U156" i="11"/>
  <c r="S108" i="11"/>
  <c r="P108" i="11"/>
  <c r="I108" i="11"/>
  <c r="R78" i="11"/>
  <c r="S78" i="11"/>
  <c r="H118" i="11"/>
  <c r="Q168" i="11"/>
  <c r="W156" i="11"/>
  <c r="T178" i="11"/>
  <c r="N228" i="14"/>
  <c r="K118" i="11"/>
  <c r="O158" i="11"/>
  <c r="G158" i="11"/>
  <c r="O108" i="11"/>
  <c r="P78" i="11"/>
  <c r="K78" i="11"/>
  <c r="J78" i="11"/>
  <c r="K228" i="14"/>
  <c r="M158" i="14"/>
  <c r="K158" i="14"/>
  <c r="M228" i="14"/>
  <c r="R178" i="11"/>
  <c r="N256" i="14"/>
  <c r="U106" i="11"/>
  <c r="V106" i="11"/>
  <c r="N172" i="14"/>
  <c r="P178" i="11"/>
  <c r="G78" i="11"/>
  <c r="J158" i="11"/>
  <c r="J108" i="11"/>
  <c r="U76" i="11"/>
  <c r="M172" i="14"/>
  <c r="M256" i="14"/>
  <c r="K108" i="11"/>
  <c r="P158" i="11"/>
  <c r="V156" i="11"/>
  <c r="T158" i="11"/>
  <c r="G108" i="11"/>
  <c r="Q78" i="11"/>
  <c r="W76" i="11"/>
  <c r="K172" i="14"/>
  <c r="K242" i="14"/>
  <c r="M242" i="14"/>
  <c r="M102" i="14"/>
  <c r="N102" i="14"/>
  <c r="I168" i="11"/>
  <c r="U116" i="11"/>
  <c r="U176" i="11"/>
  <c r="T168" i="11"/>
  <c r="K168" i="11"/>
  <c r="K144" i="14"/>
  <c r="K256" i="14"/>
  <c r="K116" i="14"/>
  <c r="W176" i="11"/>
  <c r="F168" i="11"/>
  <c r="I118" i="11"/>
  <c r="V176" i="11"/>
  <c r="V126" i="11"/>
  <c r="W166" i="11"/>
  <c r="H188" i="11"/>
  <c r="G178" i="11"/>
  <c r="H108" i="11"/>
  <c r="I78" i="11"/>
  <c r="F78" i="11"/>
  <c r="W106" i="11"/>
  <c r="U166" i="11"/>
  <c r="S158" i="11"/>
  <c r="M130" i="14"/>
  <c r="K158" i="11"/>
  <c r="K102" i="14"/>
  <c r="V166" i="11"/>
  <c r="H168" i="11"/>
  <c r="J178" i="11"/>
  <c r="M116" i="14"/>
  <c r="P168" i="11"/>
  <c r="N116" i="14"/>
  <c r="S118" i="11"/>
  <c r="R118" i="11"/>
  <c r="W116" i="11"/>
  <c r="V116" i="11"/>
  <c r="P118" i="11"/>
  <c r="J168" i="11"/>
  <c r="O118" i="11"/>
  <c r="T118" i="11"/>
  <c r="J118" i="11"/>
  <c r="G168" i="11"/>
  <c r="U186" i="11"/>
  <c r="Q118" i="11"/>
  <c r="I178" i="11"/>
  <c r="S168" i="11"/>
  <c r="F178" i="11"/>
  <c r="H98" i="11"/>
  <c r="S178" i="11"/>
  <c r="G118" i="11"/>
  <c r="Q178" i="11"/>
  <c r="H178" i="11"/>
  <c r="N242" i="14"/>
  <c r="L1079" i="13" l="1"/>
  <c r="O1079" i="13"/>
  <c r="N1079" i="13"/>
  <c r="K1079" i="13"/>
  <c r="L829" i="6"/>
  <c r="L830" i="6" s="1"/>
  <c r="L12" i="6"/>
  <c r="O14" i="5"/>
  <c r="O128" i="11"/>
  <c r="V86" i="11"/>
  <c r="J88" i="11"/>
  <c r="L14" i="6"/>
  <c r="L15" i="6" s="1"/>
  <c r="A15" i="37" l="1"/>
  <c r="E34" i="16" l="1"/>
  <c r="E76" i="16"/>
  <c r="E62" i="16"/>
  <c r="E48" i="16"/>
  <c r="E39" i="15"/>
  <c r="E73" i="15"/>
  <c r="E90" i="15"/>
  <c r="E56" i="15"/>
  <c r="E52" i="12"/>
  <c r="C52" i="12" s="1"/>
  <c r="C53" i="12" s="1"/>
  <c r="C54" i="12" s="1"/>
  <c r="C55" i="12" s="1"/>
  <c r="C56" i="12" s="1"/>
  <c r="C57" i="12" s="1"/>
  <c r="C58" i="12" s="1"/>
  <c r="E36" i="12"/>
  <c r="C36" i="12" s="1"/>
  <c r="C37" i="12" s="1"/>
  <c r="C38" i="12" s="1"/>
  <c r="C39" i="12" s="1"/>
  <c r="C40" i="12" s="1"/>
  <c r="C41" i="12" s="1"/>
  <c r="C42" i="12" s="1"/>
  <c r="E44" i="12"/>
  <c r="C44" i="12" s="1"/>
  <c r="C45" i="12" s="1"/>
  <c r="C46" i="12" s="1"/>
  <c r="C47" i="12" s="1"/>
  <c r="C48" i="12" s="1"/>
  <c r="C49" i="12" s="1"/>
  <c r="C50" i="12" s="1"/>
  <c r="E28" i="12"/>
  <c r="C28" i="12" s="1"/>
  <c r="C29" i="12" s="1"/>
  <c r="C30" i="12" s="1"/>
  <c r="C31" i="12" s="1"/>
  <c r="C32" i="12" s="1"/>
  <c r="C33" i="12" s="1"/>
  <c r="C34" i="12" s="1"/>
  <c r="E40" i="11"/>
  <c r="E50" i="11"/>
  <c r="E60" i="11"/>
  <c r="E30" i="11"/>
  <c r="C48" i="16" l="1"/>
  <c r="C49" i="16" s="1"/>
  <c r="C50" i="16" s="1"/>
  <c r="C51" i="16" s="1"/>
  <c r="C52" i="16" s="1"/>
  <c r="C53" i="16" s="1"/>
  <c r="C54" i="16" s="1"/>
  <c r="C55" i="16" s="1"/>
  <c r="C56" i="16" s="1"/>
  <c r="C57" i="16" s="1"/>
  <c r="C58" i="16" s="1"/>
  <c r="C59" i="16" s="1"/>
  <c r="C60" i="16" s="1"/>
  <c r="P55" i="16"/>
  <c r="N55" i="16"/>
  <c r="P54" i="16"/>
  <c r="N54" i="16"/>
  <c r="P53" i="16"/>
  <c r="N53" i="16"/>
  <c r="O58" i="16"/>
  <c r="M58" i="16"/>
  <c r="O57" i="16"/>
  <c r="M57" i="16"/>
  <c r="O56" i="16"/>
  <c r="M56" i="16"/>
  <c r="O55" i="16"/>
  <c r="M55" i="16"/>
  <c r="O54" i="16"/>
  <c r="M54" i="16"/>
  <c r="O53" i="16"/>
  <c r="M53" i="16"/>
  <c r="P58" i="16"/>
  <c r="N58" i="16"/>
  <c r="P57" i="16"/>
  <c r="P56" i="16"/>
  <c r="L58" i="16"/>
  <c r="L57" i="16"/>
  <c r="L56" i="16"/>
  <c r="K54" i="16"/>
  <c r="L55" i="16"/>
  <c r="L54" i="16"/>
  <c r="K55" i="16"/>
  <c r="L53" i="16"/>
  <c r="K58" i="16"/>
  <c r="K57" i="16"/>
  <c r="K56" i="16"/>
  <c r="N57" i="16"/>
  <c r="K53" i="16"/>
  <c r="N56" i="16"/>
  <c r="M51" i="16"/>
  <c r="O51" i="16"/>
  <c r="P51" i="16"/>
  <c r="K51" i="16"/>
  <c r="N51" i="16"/>
  <c r="L51" i="16"/>
  <c r="P59" i="16"/>
  <c r="K59" i="16"/>
  <c r="N59" i="16"/>
  <c r="L59" i="16"/>
  <c r="O59" i="16"/>
  <c r="M59" i="16"/>
  <c r="C62" i="16"/>
  <c r="C63" i="16" s="1"/>
  <c r="C64" i="16" s="1"/>
  <c r="C65" i="16" s="1"/>
  <c r="C66" i="16" s="1"/>
  <c r="C67" i="16" s="1"/>
  <c r="C68" i="16" s="1"/>
  <c r="C69" i="16" s="1"/>
  <c r="C70" i="16" s="1"/>
  <c r="C71" i="16" s="1"/>
  <c r="C72" i="16" s="1"/>
  <c r="C73" i="16" s="1"/>
  <c r="C74" i="16" s="1"/>
  <c r="O72" i="16"/>
  <c r="M72" i="16"/>
  <c r="O71" i="16"/>
  <c r="M71" i="16"/>
  <c r="O70" i="16"/>
  <c r="M70" i="16"/>
  <c r="O69" i="16"/>
  <c r="M69" i="16"/>
  <c r="O68" i="16"/>
  <c r="M68" i="16"/>
  <c r="O67" i="16"/>
  <c r="M67" i="16"/>
  <c r="P72" i="16"/>
  <c r="N72" i="16"/>
  <c r="P71" i="16"/>
  <c r="N71" i="16"/>
  <c r="P70" i="16"/>
  <c r="N70" i="16"/>
  <c r="P69" i="16"/>
  <c r="N69" i="16"/>
  <c r="P68" i="16"/>
  <c r="N68" i="16"/>
  <c r="P67" i="16"/>
  <c r="N67" i="16"/>
  <c r="L72" i="16"/>
  <c r="L71" i="16"/>
  <c r="L70" i="16"/>
  <c r="L69" i="16"/>
  <c r="L68" i="16"/>
  <c r="L67" i="16"/>
  <c r="K69" i="16"/>
  <c r="K72" i="16"/>
  <c r="K70" i="16"/>
  <c r="K67" i="16"/>
  <c r="K71" i="16"/>
  <c r="K68" i="16"/>
  <c r="M65" i="16"/>
  <c r="L65" i="16"/>
  <c r="K65" i="16"/>
  <c r="N65" i="16"/>
  <c r="P65" i="16"/>
  <c r="O65" i="16"/>
  <c r="P73" i="16"/>
  <c r="O73" i="16"/>
  <c r="K73" i="16"/>
  <c r="N73" i="16"/>
  <c r="L73" i="16"/>
  <c r="M73" i="16"/>
  <c r="C76" i="16"/>
  <c r="C77" i="16" s="1"/>
  <c r="C78" i="16" s="1"/>
  <c r="C79" i="16" s="1"/>
  <c r="C80" i="16" s="1"/>
  <c r="C81" i="16" s="1"/>
  <c r="C82" i="16" s="1"/>
  <c r="C83" i="16" s="1"/>
  <c r="C84" i="16" s="1"/>
  <c r="C85" i="16" s="1"/>
  <c r="C86" i="16" s="1"/>
  <c r="C87" i="16" s="1"/>
  <c r="C88" i="16" s="1"/>
  <c r="O83" i="16"/>
  <c r="M83" i="16"/>
  <c r="O82" i="16"/>
  <c r="M82" i="16"/>
  <c r="O81" i="16"/>
  <c r="M81" i="16"/>
  <c r="P86" i="16"/>
  <c r="N86" i="16"/>
  <c r="P85" i="16"/>
  <c r="N85" i="16"/>
  <c r="P84" i="16"/>
  <c r="N84" i="16"/>
  <c r="P83" i="16"/>
  <c r="N83" i="16"/>
  <c r="P82" i="16"/>
  <c r="N82" i="16"/>
  <c r="P81" i="16"/>
  <c r="N81" i="16"/>
  <c r="O86" i="16"/>
  <c r="M86" i="16"/>
  <c r="K86" i="16"/>
  <c r="K85" i="16"/>
  <c r="O85" i="16"/>
  <c r="O84" i="16"/>
  <c r="K84" i="16"/>
  <c r="K83" i="16"/>
  <c r="K81" i="16"/>
  <c r="M84" i="16"/>
  <c r="K82" i="16"/>
  <c r="L82" i="16"/>
  <c r="L81" i="16"/>
  <c r="L86" i="16"/>
  <c r="L85" i="16"/>
  <c r="L84" i="16"/>
  <c r="M85" i="16"/>
  <c r="L83" i="16"/>
  <c r="O79" i="16"/>
  <c r="P79" i="16"/>
  <c r="L79" i="16"/>
  <c r="M79" i="16"/>
  <c r="K79" i="16"/>
  <c r="N79" i="16"/>
  <c r="P87" i="16"/>
  <c r="L87" i="16"/>
  <c r="O87" i="16"/>
  <c r="N87" i="16"/>
  <c r="K87" i="16"/>
  <c r="M87" i="16"/>
  <c r="C34" i="16"/>
  <c r="C35" i="16" s="1"/>
  <c r="C36" i="16" s="1"/>
  <c r="C37" i="16" s="1"/>
  <c r="C38" i="16" s="1"/>
  <c r="C39" i="16" s="1"/>
  <c r="C40" i="16" s="1"/>
  <c r="C41" i="16" s="1"/>
  <c r="C42" i="16" s="1"/>
  <c r="C43" i="16" s="1"/>
  <c r="C44" i="16" s="1"/>
  <c r="C45" i="16" s="1"/>
  <c r="C46" i="16" s="1"/>
  <c r="P44" i="16"/>
  <c r="N44" i="16"/>
  <c r="P43" i="16"/>
  <c r="N43" i="16"/>
  <c r="P42" i="16"/>
  <c r="N42" i="16"/>
  <c r="P41" i="16"/>
  <c r="N41" i="16"/>
  <c r="P40" i="16"/>
  <c r="N40" i="16"/>
  <c r="P39" i="16"/>
  <c r="N39" i="16"/>
  <c r="O44" i="16"/>
  <c r="M44" i="16"/>
  <c r="O43" i="16"/>
  <c r="M43" i="16"/>
  <c r="O42" i="16"/>
  <c r="M42" i="16"/>
  <c r="O41" i="16"/>
  <c r="M41" i="16"/>
  <c r="O40" i="16"/>
  <c r="M40" i="16"/>
  <c r="O39" i="16"/>
  <c r="M39" i="16"/>
  <c r="K44" i="16"/>
  <c r="K43" i="16"/>
  <c r="K41" i="16"/>
  <c r="K40" i="16"/>
  <c r="K39" i="16"/>
  <c r="K42" i="16"/>
  <c r="L44" i="16"/>
  <c r="L43" i="16"/>
  <c r="L42" i="16"/>
  <c r="L41" i="16"/>
  <c r="L40" i="16"/>
  <c r="L39" i="16"/>
  <c r="K37" i="16"/>
  <c r="P37" i="16"/>
  <c r="M37" i="16"/>
  <c r="O37" i="16"/>
  <c r="L37" i="16"/>
  <c r="N37" i="16"/>
  <c r="O45" i="16"/>
  <c r="N45" i="16"/>
  <c r="P45" i="16"/>
  <c r="L45" i="16"/>
  <c r="K45" i="16"/>
  <c r="M45" i="16"/>
  <c r="C39" i="15"/>
  <c r="C40" i="15" s="1"/>
  <c r="C41" i="15" s="1"/>
  <c r="C42" i="15" s="1"/>
  <c r="C43" i="15" s="1"/>
  <c r="C44" i="15" s="1"/>
  <c r="C45" i="15" s="1"/>
  <c r="C46" i="15" s="1"/>
  <c r="C47" i="15" s="1"/>
  <c r="C48" i="15" s="1"/>
  <c r="C49" i="15" s="1"/>
  <c r="C50" i="15" s="1"/>
  <c r="C51" i="15" s="1"/>
  <c r="C52" i="15" s="1"/>
  <c r="C53" i="15" s="1"/>
  <c r="C54" i="15" s="1"/>
  <c r="N43" i="15"/>
  <c r="N45" i="15"/>
  <c r="L47" i="15"/>
  <c r="P47" i="15"/>
  <c r="N48" i="15"/>
  <c r="L49" i="15"/>
  <c r="P49" i="15"/>
  <c r="N50" i="15"/>
  <c r="L51" i="15"/>
  <c r="P51" i="15"/>
  <c r="N52" i="15"/>
  <c r="K43" i="15"/>
  <c r="O43" i="15"/>
  <c r="K45" i="15"/>
  <c r="O45" i="15"/>
  <c r="M47" i="15"/>
  <c r="K48" i="15"/>
  <c r="O48" i="15"/>
  <c r="M49" i="15"/>
  <c r="K50" i="15"/>
  <c r="O50" i="15"/>
  <c r="M51" i="15"/>
  <c r="K52" i="15"/>
  <c r="O52" i="15"/>
  <c r="L43" i="15"/>
  <c r="P43" i="15"/>
  <c r="L45" i="15"/>
  <c r="P45" i="15"/>
  <c r="N47" i="15"/>
  <c r="L48" i="15"/>
  <c r="P48" i="15"/>
  <c r="N49" i="15"/>
  <c r="L50" i="15"/>
  <c r="P50" i="15"/>
  <c r="N51" i="15"/>
  <c r="L52" i="15"/>
  <c r="P52" i="15"/>
  <c r="M43" i="15"/>
  <c r="M45" i="15"/>
  <c r="K47" i="15"/>
  <c r="O47" i="15"/>
  <c r="M48" i="15"/>
  <c r="K49" i="15"/>
  <c r="O49" i="15"/>
  <c r="M50" i="15"/>
  <c r="K51" i="15"/>
  <c r="O51" i="15"/>
  <c r="M52" i="15"/>
  <c r="K53" i="15"/>
  <c r="K42" i="15"/>
  <c r="M53" i="15"/>
  <c r="L53" i="15"/>
  <c r="L42" i="15"/>
  <c r="O44" i="15"/>
  <c r="N53" i="15"/>
  <c r="M44" i="15"/>
  <c r="P44" i="15"/>
  <c r="K44" i="15"/>
  <c r="N44" i="15"/>
  <c r="M42" i="15"/>
  <c r="L44" i="15"/>
  <c r="O53" i="15"/>
  <c r="O42" i="15"/>
  <c r="N42" i="15"/>
  <c r="P53" i="15"/>
  <c r="P42" i="15"/>
  <c r="C56" i="15"/>
  <c r="C57" i="15" s="1"/>
  <c r="C58" i="15" s="1"/>
  <c r="C59" i="15" s="1"/>
  <c r="C60" i="15" s="1"/>
  <c r="C61" i="15" s="1"/>
  <c r="C62" i="15" s="1"/>
  <c r="C63" i="15" s="1"/>
  <c r="C64" i="15" s="1"/>
  <c r="C65" i="15" s="1"/>
  <c r="C66" i="15" s="1"/>
  <c r="C67" i="15" s="1"/>
  <c r="C68" i="15" s="1"/>
  <c r="C69" i="15" s="1"/>
  <c r="C70" i="15" s="1"/>
  <c r="C71" i="15" s="1"/>
  <c r="L60" i="15"/>
  <c r="P60" i="15"/>
  <c r="L62" i="15"/>
  <c r="P62" i="15"/>
  <c r="N64" i="15"/>
  <c r="L65" i="15"/>
  <c r="P65" i="15"/>
  <c r="N66" i="15"/>
  <c r="L67" i="15"/>
  <c r="P67" i="15"/>
  <c r="N68" i="15"/>
  <c r="L69" i="15"/>
  <c r="P69" i="15"/>
  <c r="M60" i="15"/>
  <c r="M62" i="15"/>
  <c r="K64" i="15"/>
  <c r="O64" i="15"/>
  <c r="M65" i="15"/>
  <c r="K66" i="15"/>
  <c r="O66" i="15"/>
  <c r="M67" i="15"/>
  <c r="K68" i="15"/>
  <c r="O68" i="15"/>
  <c r="M69" i="15"/>
  <c r="N60" i="15"/>
  <c r="N62" i="15"/>
  <c r="L64" i="15"/>
  <c r="P64" i="15"/>
  <c r="N65" i="15"/>
  <c r="L66" i="15"/>
  <c r="P66" i="15"/>
  <c r="N67" i="15"/>
  <c r="L68" i="15"/>
  <c r="P68" i="15"/>
  <c r="N69" i="15"/>
  <c r="K60" i="15"/>
  <c r="O60" i="15"/>
  <c r="K62" i="15"/>
  <c r="O62" i="15"/>
  <c r="M64" i="15"/>
  <c r="K65" i="15"/>
  <c r="O65" i="15"/>
  <c r="M66" i="15"/>
  <c r="K67" i="15"/>
  <c r="O67" i="15"/>
  <c r="M68" i="15"/>
  <c r="K69" i="15"/>
  <c r="O69" i="15"/>
  <c r="P70" i="15"/>
  <c r="P59" i="15"/>
  <c r="K70" i="15"/>
  <c r="K59" i="15"/>
  <c r="M70" i="15"/>
  <c r="L70" i="15"/>
  <c r="L59" i="15"/>
  <c r="O61" i="15"/>
  <c r="N70" i="15"/>
  <c r="M61" i="15"/>
  <c r="P61" i="15"/>
  <c r="K61" i="15"/>
  <c r="N61" i="15"/>
  <c r="M59" i="15"/>
  <c r="L61" i="15"/>
  <c r="O70" i="15"/>
  <c r="O59" i="15"/>
  <c r="N59" i="15"/>
  <c r="C90" i="15"/>
  <c r="C91" i="15" s="1"/>
  <c r="C92" i="15" s="1"/>
  <c r="C93" i="15" s="1"/>
  <c r="C94" i="15" s="1"/>
  <c r="C95" i="15" s="1"/>
  <c r="C96" i="15" s="1"/>
  <c r="C97" i="15" s="1"/>
  <c r="C98" i="15" s="1"/>
  <c r="C99" i="15" s="1"/>
  <c r="C100" i="15" s="1"/>
  <c r="C101" i="15" s="1"/>
  <c r="C102" i="15" s="1"/>
  <c r="C103" i="15" s="1"/>
  <c r="C104" i="15" s="1"/>
  <c r="C105" i="15" s="1"/>
  <c r="L94" i="15"/>
  <c r="P94" i="15"/>
  <c r="L96" i="15"/>
  <c r="P96" i="15"/>
  <c r="N98" i="15"/>
  <c r="L99" i="15"/>
  <c r="P99" i="15"/>
  <c r="N100" i="15"/>
  <c r="L101" i="15"/>
  <c r="P101" i="15"/>
  <c r="N102" i="15"/>
  <c r="L103" i="15"/>
  <c r="P103" i="15"/>
  <c r="M94" i="15"/>
  <c r="M96" i="15"/>
  <c r="K98" i="15"/>
  <c r="O98" i="15"/>
  <c r="M99" i="15"/>
  <c r="K100" i="15"/>
  <c r="O100" i="15"/>
  <c r="M101" i="15"/>
  <c r="K102" i="15"/>
  <c r="O102" i="15"/>
  <c r="M103" i="15"/>
  <c r="N94" i="15"/>
  <c r="N96" i="15"/>
  <c r="L98" i="15"/>
  <c r="P98" i="15"/>
  <c r="N99" i="15"/>
  <c r="L100" i="15"/>
  <c r="P100" i="15"/>
  <c r="N101" i="15"/>
  <c r="L102" i="15"/>
  <c r="P102" i="15"/>
  <c r="N103" i="15"/>
  <c r="K94" i="15"/>
  <c r="O94" i="15"/>
  <c r="K96" i="15"/>
  <c r="O96" i="15"/>
  <c r="M98" i="15"/>
  <c r="K99" i="15"/>
  <c r="O99" i="15"/>
  <c r="M100" i="15"/>
  <c r="K101" i="15"/>
  <c r="O101" i="15"/>
  <c r="M102" i="15"/>
  <c r="K103" i="15"/>
  <c r="O103" i="15"/>
  <c r="M93" i="15"/>
  <c r="L95" i="15"/>
  <c r="O104" i="15"/>
  <c r="O93" i="15"/>
  <c r="N93" i="15"/>
  <c r="P104" i="15"/>
  <c r="P93" i="15"/>
  <c r="K104" i="15"/>
  <c r="K93" i="15"/>
  <c r="M104" i="15"/>
  <c r="L104" i="15"/>
  <c r="L93" i="15"/>
  <c r="O95" i="15"/>
  <c r="N104" i="15"/>
  <c r="M95" i="15"/>
  <c r="P95" i="15"/>
  <c r="K95" i="15"/>
  <c r="N95" i="15"/>
  <c r="C73" i="15"/>
  <c r="C74" i="15" s="1"/>
  <c r="C75" i="15" s="1"/>
  <c r="C76" i="15" s="1"/>
  <c r="C77" i="15" s="1"/>
  <c r="C78" i="15" s="1"/>
  <c r="C79" i="15" s="1"/>
  <c r="C80" i="15" s="1"/>
  <c r="C81" i="15" s="1"/>
  <c r="C82" i="15" s="1"/>
  <c r="C83" i="15" s="1"/>
  <c r="C84" i="15" s="1"/>
  <c r="C85" i="15" s="1"/>
  <c r="C86" i="15" s="1"/>
  <c r="C87" i="15" s="1"/>
  <c r="C88" i="15" s="1"/>
  <c r="N77" i="15"/>
  <c r="N79" i="15"/>
  <c r="L81" i="15"/>
  <c r="P81" i="15"/>
  <c r="N82" i="15"/>
  <c r="L83" i="15"/>
  <c r="P83" i="15"/>
  <c r="N84" i="15"/>
  <c r="L85" i="15"/>
  <c r="P85" i="15"/>
  <c r="N86" i="15"/>
  <c r="K77" i="15"/>
  <c r="O77" i="15"/>
  <c r="K79" i="15"/>
  <c r="O79" i="15"/>
  <c r="M81" i="15"/>
  <c r="K82" i="15"/>
  <c r="O82" i="15"/>
  <c r="M83" i="15"/>
  <c r="K84" i="15"/>
  <c r="O84" i="15"/>
  <c r="M85" i="15"/>
  <c r="K86" i="15"/>
  <c r="O86" i="15"/>
  <c r="L77" i="15"/>
  <c r="P77" i="15"/>
  <c r="L79" i="15"/>
  <c r="P79" i="15"/>
  <c r="N81" i="15"/>
  <c r="L82" i="15"/>
  <c r="P82" i="15"/>
  <c r="N83" i="15"/>
  <c r="L84" i="15"/>
  <c r="P84" i="15"/>
  <c r="N85" i="15"/>
  <c r="L86" i="15"/>
  <c r="P86" i="15"/>
  <c r="M77" i="15"/>
  <c r="M79" i="15"/>
  <c r="K81" i="15"/>
  <c r="O81" i="15"/>
  <c r="M82" i="15"/>
  <c r="K83" i="15"/>
  <c r="O83" i="15"/>
  <c r="M84" i="15"/>
  <c r="K85" i="15"/>
  <c r="O85" i="15"/>
  <c r="M86" i="15"/>
  <c r="O87" i="15"/>
  <c r="O76" i="15"/>
  <c r="N76" i="15"/>
  <c r="P87" i="15"/>
  <c r="P76" i="15"/>
  <c r="K87" i="15"/>
  <c r="K76" i="15"/>
  <c r="M87" i="15"/>
  <c r="L87" i="15"/>
  <c r="L76" i="15"/>
  <c r="O78" i="15"/>
  <c r="N87" i="15"/>
  <c r="M78" i="15"/>
  <c r="P78" i="15"/>
  <c r="K78" i="15"/>
  <c r="N78" i="15"/>
  <c r="M76" i="15"/>
  <c r="L78" i="15"/>
  <c r="C61" i="11"/>
  <c r="C62" i="11" s="1"/>
  <c r="C63" i="11" s="1"/>
  <c r="C64" i="11" s="1"/>
  <c r="C65" i="11" s="1"/>
  <c r="C66" i="11" s="1"/>
  <c r="C67" i="11" s="1"/>
  <c r="C68" i="11" s="1"/>
  <c r="C60" i="11"/>
  <c r="C41" i="11"/>
  <c r="C42" i="11" s="1"/>
  <c r="C43" i="11" s="1"/>
  <c r="C44" i="11" s="1"/>
  <c r="C45" i="11" s="1"/>
  <c r="C46" i="11" s="1"/>
  <c r="C47" i="11" s="1"/>
  <c r="C48" i="11" s="1"/>
  <c r="C40" i="11"/>
  <c r="C50" i="11"/>
  <c r="C51" i="11"/>
  <c r="C52" i="11" s="1"/>
  <c r="C53" i="11" s="1"/>
  <c r="C54" i="11" s="1"/>
  <c r="C55" i="11" s="1"/>
  <c r="C56" i="11" s="1"/>
  <c r="C57" i="11" s="1"/>
  <c r="C58" i="11" s="1"/>
  <c r="C31" i="11"/>
  <c r="C32" i="11" s="1"/>
  <c r="C33" i="11" s="1"/>
  <c r="C34" i="11" s="1"/>
  <c r="C35" i="11" s="1"/>
  <c r="C36" i="11" s="1"/>
  <c r="C37" i="11" s="1"/>
  <c r="C38" i="11" s="1"/>
  <c r="C30" i="11"/>
  <c r="E1077" i="13"/>
  <c r="G65" i="14"/>
  <c r="N65" i="14"/>
  <c r="P65" i="14"/>
  <c r="H65" i="14"/>
  <c r="I65" i="14"/>
  <c r="K65" i="14"/>
  <c r="M65" i="14"/>
  <c r="J65" i="14"/>
  <c r="P79" i="14"/>
  <c r="J79" i="14"/>
  <c r="K79" i="14"/>
  <c r="M79" i="14"/>
  <c r="I79" i="14"/>
  <c r="G79" i="14"/>
  <c r="H79" i="14"/>
  <c r="N79" i="14"/>
  <c r="J51" i="14"/>
  <c r="K51" i="14"/>
  <c r="M51" i="14"/>
  <c r="H51" i="14"/>
  <c r="G51" i="14"/>
  <c r="N51" i="14"/>
  <c r="I51" i="14"/>
  <c r="P51" i="14"/>
  <c r="N37" i="14"/>
  <c r="I37" i="14"/>
  <c r="P37" i="14"/>
  <c r="J37" i="14"/>
  <c r="K37" i="14"/>
  <c r="H37" i="14"/>
  <c r="M37" i="14"/>
  <c r="G37" i="14"/>
  <c r="C82" i="14"/>
  <c r="C77" i="14"/>
  <c r="C83" i="14"/>
  <c r="C85" i="14"/>
  <c r="C78" i="14"/>
  <c r="C76" i="14"/>
  <c r="C84" i="14"/>
  <c r="C86" i="14"/>
  <c r="C79" i="14"/>
  <c r="C87" i="14"/>
  <c r="C80" i="14"/>
  <c r="C88" i="14"/>
  <c r="C81" i="14"/>
  <c r="C63" i="14"/>
  <c r="C71" i="14"/>
  <c r="C66" i="14"/>
  <c r="C64" i="14"/>
  <c r="C72" i="14"/>
  <c r="C67" i="14"/>
  <c r="C65" i="14"/>
  <c r="C73" i="14"/>
  <c r="C74" i="14"/>
  <c r="C62" i="14"/>
  <c r="C70" i="14"/>
  <c r="C68" i="14"/>
  <c r="C69" i="14"/>
  <c r="C52" i="14"/>
  <c r="C60" i="14"/>
  <c r="C53" i="14"/>
  <c r="C48" i="14"/>
  <c r="C55" i="14"/>
  <c r="C56" i="14"/>
  <c r="C59" i="14"/>
  <c r="C54" i="14"/>
  <c r="C49" i="14"/>
  <c r="C57" i="14"/>
  <c r="C50" i="14"/>
  <c r="C58" i="14"/>
  <c r="C51" i="14"/>
  <c r="C40" i="14"/>
  <c r="C41" i="14"/>
  <c r="C35" i="14"/>
  <c r="C36" i="14"/>
  <c r="C46" i="14"/>
  <c r="C34" i="14"/>
  <c r="C42" i="14"/>
  <c r="C43" i="14"/>
  <c r="C44" i="14"/>
  <c r="C38" i="14"/>
  <c r="C37" i="14"/>
  <c r="C45" i="14"/>
  <c r="C39" i="14"/>
  <c r="E22" i="15"/>
  <c r="E20" i="12"/>
  <c r="E516" i="12" s="1"/>
  <c r="E21" i="6"/>
  <c r="E828" i="6" s="1"/>
  <c r="E22" i="5"/>
  <c r="E20" i="11"/>
  <c r="E20" i="16"/>
  <c r="J72" i="16"/>
  <c r="F70" i="16"/>
  <c r="H67" i="16"/>
  <c r="F68" i="16"/>
  <c r="F72" i="16"/>
  <c r="H69" i="16"/>
  <c r="H71" i="16"/>
  <c r="J68" i="16"/>
  <c r="J70" i="16"/>
  <c r="I69" i="16"/>
  <c r="F69" i="16"/>
  <c r="J71" i="16"/>
  <c r="I70" i="16"/>
  <c r="G70" i="16"/>
  <c r="F67" i="16"/>
  <c r="J69" i="16"/>
  <c r="H72" i="16"/>
  <c r="G67" i="16"/>
  <c r="G71" i="16"/>
  <c r="I67" i="16"/>
  <c r="I71" i="16"/>
  <c r="J67" i="16"/>
  <c r="H70" i="16"/>
  <c r="I68" i="16"/>
  <c r="I72" i="16"/>
  <c r="G68" i="16"/>
  <c r="G72" i="16"/>
  <c r="H68" i="16"/>
  <c r="F71" i="16"/>
  <c r="G69" i="16"/>
  <c r="H85" i="16"/>
  <c r="J82" i="16"/>
  <c r="J84" i="16"/>
  <c r="F82" i="16"/>
  <c r="J86" i="16"/>
  <c r="F84" i="16"/>
  <c r="H81" i="16"/>
  <c r="F86" i="16"/>
  <c r="H83" i="16"/>
  <c r="I83" i="16"/>
  <c r="F83" i="16"/>
  <c r="J85" i="16"/>
  <c r="G81" i="16"/>
  <c r="G85" i="16"/>
  <c r="G84" i="16"/>
  <c r="F81" i="16"/>
  <c r="J83" i="16"/>
  <c r="H86" i="16"/>
  <c r="I82" i="16"/>
  <c r="I86" i="16"/>
  <c r="I81" i="16"/>
  <c r="I85" i="16"/>
  <c r="J81" i="16"/>
  <c r="H84" i="16"/>
  <c r="G83" i="16"/>
  <c r="G82" i="16"/>
  <c r="G86" i="16"/>
  <c r="H82" i="16"/>
  <c r="F85" i="16"/>
  <c r="I84" i="16"/>
  <c r="H57" i="16"/>
  <c r="J54" i="16"/>
  <c r="F58" i="16"/>
  <c r="H55" i="16"/>
  <c r="J56" i="16"/>
  <c r="F54" i="16"/>
  <c r="J58" i="16"/>
  <c r="F56" i="16"/>
  <c r="H53" i="16"/>
  <c r="I55" i="16"/>
  <c r="F55" i="16"/>
  <c r="J57" i="16"/>
  <c r="G55" i="16"/>
  <c r="G56" i="16"/>
  <c r="F53" i="16"/>
  <c r="J55" i="16"/>
  <c r="H58" i="16"/>
  <c r="I56" i="16"/>
  <c r="I53" i="16"/>
  <c r="I57" i="16"/>
  <c r="J53" i="16"/>
  <c r="H56" i="16"/>
  <c r="G53" i="16"/>
  <c r="G57" i="16"/>
  <c r="G54" i="16"/>
  <c r="G58" i="16"/>
  <c r="H54" i="16"/>
  <c r="F57" i="16"/>
  <c r="I54" i="16"/>
  <c r="I58" i="16"/>
  <c r="J44" i="16"/>
  <c r="F42" i="16"/>
  <c r="H39" i="16"/>
  <c r="J42" i="16"/>
  <c r="F40" i="16"/>
  <c r="F44" i="16"/>
  <c r="H41" i="16"/>
  <c r="H43" i="16"/>
  <c r="J40" i="16"/>
  <c r="I41" i="16"/>
  <c r="F41" i="16"/>
  <c r="J43" i="16"/>
  <c r="I40" i="16"/>
  <c r="I44" i="16"/>
  <c r="G42" i="16"/>
  <c r="F39" i="16"/>
  <c r="J41" i="16"/>
  <c r="H44" i="16"/>
  <c r="G41" i="16"/>
  <c r="I39" i="16"/>
  <c r="I43" i="16"/>
  <c r="J39" i="16"/>
  <c r="H42" i="16"/>
  <c r="I42" i="16"/>
  <c r="G40" i="16"/>
  <c r="G44" i="16"/>
  <c r="H40" i="16"/>
  <c r="F43" i="16"/>
  <c r="G39" i="16"/>
  <c r="G43" i="16"/>
  <c r="G100" i="15"/>
  <c r="I103" i="15"/>
  <c r="I99" i="15"/>
  <c r="I94" i="15"/>
  <c r="I101" i="15"/>
  <c r="I96" i="15"/>
  <c r="G102" i="15"/>
  <c r="G98" i="15"/>
  <c r="F94" i="15"/>
  <c r="J96" i="15"/>
  <c r="H100" i="15"/>
  <c r="F103" i="15"/>
  <c r="G94" i="15"/>
  <c r="G99" i="15"/>
  <c r="G103" i="15"/>
  <c r="H96" i="15"/>
  <c r="F100" i="15"/>
  <c r="J102" i="15"/>
  <c r="J94" i="15"/>
  <c r="H98" i="15"/>
  <c r="F101" i="15"/>
  <c r="J103" i="15"/>
  <c r="I100" i="15"/>
  <c r="H94" i="15"/>
  <c r="F98" i="15"/>
  <c r="J100" i="15"/>
  <c r="H103" i="15"/>
  <c r="F99" i="15"/>
  <c r="J101" i="15"/>
  <c r="G96" i="15"/>
  <c r="G101" i="15"/>
  <c r="J98" i="15"/>
  <c r="H101" i="15"/>
  <c r="I98" i="15"/>
  <c r="H102" i="15"/>
  <c r="F96" i="15"/>
  <c r="I102" i="15"/>
  <c r="H99" i="15"/>
  <c r="J99" i="15"/>
  <c r="F102" i="15"/>
  <c r="G82" i="15"/>
  <c r="H77" i="15"/>
  <c r="F81" i="15"/>
  <c r="I83" i="15"/>
  <c r="G86" i="15"/>
  <c r="G79" i="15"/>
  <c r="F86" i="15"/>
  <c r="H83" i="15"/>
  <c r="J79" i="15"/>
  <c r="F77" i="15"/>
  <c r="H86" i="15"/>
  <c r="J83" i="15"/>
  <c r="G81" i="15"/>
  <c r="I81" i="15"/>
  <c r="G77" i="15"/>
  <c r="H85" i="15"/>
  <c r="J82" i="15"/>
  <c r="F79" i="15"/>
  <c r="J85" i="15"/>
  <c r="F83" i="15"/>
  <c r="I77" i="15"/>
  <c r="I82" i="15"/>
  <c r="G84" i="15"/>
  <c r="J84" i="15"/>
  <c r="F82" i="15"/>
  <c r="F85" i="15"/>
  <c r="H82" i="15"/>
  <c r="G85" i="15"/>
  <c r="I85" i="15"/>
  <c r="G83" i="15"/>
  <c r="F84" i="15"/>
  <c r="H84" i="15"/>
  <c r="H81" i="15"/>
  <c r="J81" i="15"/>
  <c r="I79" i="15"/>
  <c r="J86" i="15"/>
  <c r="I86" i="15"/>
  <c r="J77" i="15"/>
  <c r="H79" i="15"/>
  <c r="I84" i="15"/>
  <c r="H67" i="15"/>
  <c r="J64" i="15"/>
  <c r="I66" i="15"/>
  <c r="G60" i="15"/>
  <c r="G62" i="15"/>
  <c r="G67" i="15"/>
  <c r="J62" i="15"/>
  <c r="I60" i="15"/>
  <c r="G66" i="15"/>
  <c r="G64" i="15"/>
  <c r="H69" i="15"/>
  <c r="J66" i="15"/>
  <c r="F64" i="15"/>
  <c r="H60" i="15"/>
  <c r="G69" i="15"/>
  <c r="J65" i="15"/>
  <c r="H66" i="15"/>
  <c r="F60" i="15"/>
  <c r="G65" i="15"/>
  <c r="J60" i="15"/>
  <c r="J68" i="15"/>
  <c r="F66" i="15"/>
  <c r="H62" i="15"/>
  <c r="H68" i="15"/>
  <c r="F62" i="15"/>
  <c r="I69" i="15"/>
  <c r="F69" i="15"/>
  <c r="I65" i="15"/>
  <c r="J69" i="15"/>
  <c r="H64" i="15"/>
  <c r="F68" i="15"/>
  <c r="I67" i="15"/>
  <c r="I64" i="15"/>
  <c r="I68" i="15"/>
  <c r="G68" i="15"/>
  <c r="H65" i="15"/>
  <c r="J67" i="15"/>
  <c r="I62" i="15"/>
  <c r="F65" i="15"/>
  <c r="F67" i="15"/>
  <c r="G45" i="15"/>
  <c r="H43" i="15"/>
  <c r="G47" i="15"/>
  <c r="I52" i="15"/>
  <c r="I47" i="15"/>
  <c r="F51" i="15"/>
  <c r="J50" i="15"/>
  <c r="F48" i="15"/>
  <c r="J49" i="15"/>
  <c r="F43" i="15"/>
  <c r="J47" i="15"/>
  <c r="G51" i="15"/>
  <c r="F47" i="15"/>
  <c r="G48" i="15"/>
  <c r="I43" i="15"/>
  <c r="H48" i="15"/>
  <c r="J52" i="15"/>
  <c r="F50" i="15"/>
  <c r="H47" i="15"/>
  <c r="I51" i="15"/>
  <c r="J43" i="15"/>
  <c r="I48" i="15"/>
  <c r="G52" i="15"/>
  <c r="F49" i="15"/>
  <c r="I50" i="15"/>
  <c r="G49" i="15"/>
  <c r="F52" i="15"/>
  <c r="H49" i="15"/>
  <c r="J45" i="15"/>
  <c r="I49" i="15"/>
  <c r="G50" i="15"/>
  <c r="J48" i="15"/>
  <c r="H50" i="15"/>
  <c r="H51" i="15"/>
  <c r="H45" i="15"/>
  <c r="G43" i="15"/>
  <c r="I45" i="15"/>
  <c r="F45" i="15"/>
  <c r="J51" i="15"/>
  <c r="H52" i="15"/>
  <c r="S58" i="14"/>
  <c r="K57" i="14"/>
  <c r="P56" i="14"/>
  <c r="N55" i="14"/>
  <c r="H54" i="14"/>
  <c r="F53" i="14"/>
  <c r="S57" i="14"/>
  <c r="T55" i="14"/>
  <c r="N54" i="14"/>
  <c r="G55" i="14"/>
  <c r="K58" i="14"/>
  <c r="J55" i="14"/>
  <c r="I58" i="14"/>
  <c r="U56" i="14"/>
  <c r="I55" i="14"/>
  <c r="P53" i="14"/>
  <c r="F56" i="14"/>
  <c r="I53" i="14"/>
  <c r="G58" i="14"/>
  <c r="F54" i="14"/>
  <c r="K59" i="14"/>
  <c r="P58" i="14"/>
  <c r="N57" i="14"/>
  <c r="H56" i="14"/>
  <c r="F55" i="14"/>
  <c r="U53" i="14"/>
  <c r="M59" i="14"/>
  <c r="I57" i="14"/>
  <c r="P55" i="14"/>
  <c r="J53" i="14"/>
  <c r="T58" i="14"/>
  <c r="J54" i="14"/>
  <c r="T57" i="14"/>
  <c r="H55" i="14"/>
  <c r="F58" i="14"/>
  <c r="J56" i="14"/>
  <c r="K54" i="14"/>
  <c r="M53" i="14"/>
  <c r="N58" i="14"/>
  <c r="R55" i="14"/>
  <c r="P57" i="14"/>
  <c r="G53" i="14"/>
  <c r="N59" i="14"/>
  <c r="H58" i="14"/>
  <c r="F57" i="14"/>
  <c r="U55" i="14"/>
  <c r="S54" i="14"/>
  <c r="K53" i="14"/>
  <c r="J58" i="14"/>
  <c r="K56" i="14"/>
  <c r="M55" i="14"/>
  <c r="H53" i="14"/>
  <c r="H57" i="14"/>
  <c r="S53" i="14"/>
  <c r="M57" i="14"/>
  <c r="I54" i="14"/>
  <c r="R57" i="14"/>
  <c r="M56" i="14"/>
  <c r="G54" i="14"/>
  <c r="J57" i="14"/>
  <c r="U54" i="14"/>
  <c r="R56" i="14"/>
  <c r="U57" i="14"/>
  <c r="N53" i="14"/>
  <c r="G56" i="14"/>
  <c r="G57" i="14"/>
  <c r="T56" i="14"/>
  <c r="I56" i="14"/>
  <c r="T54" i="14"/>
  <c r="S56" i="14"/>
  <c r="R54" i="14"/>
  <c r="N56" i="14"/>
  <c r="S55" i="14"/>
  <c r="M54" i="14"/>
  <c r="P54" i="14"/>
  <c r="U58" i="14"/>
  <c r="K55" i="14"/>
  <c r="R58" i="14"/>
  <c r="R53" i="14"/>
  <c r="T53" i="14"/>
  <c r="M58" i="14"/>
  <c r="R86" i="14"/>
  <c r="J85" i="14"/>
  <c r="H84" i="14"/>
  <c r="F83" i="14"/>
  <c r="U81" i="14"/>
  <c r="K87" i="14"/>
  <c r="P86" i="14"/>
  <c r="N85" i="14"/>
  <c r="T83" i="14"/>
  <c r="R82" i="14"/>
  <c r="J81" i="14"/>
  <c r="M86" i="14"/>
  <c r="S84" i="14"/>
  <c r="K83" i="14"/>
  <c r="P82" i="14"/>
  <c r="N81" i="14"/>
  <c r="I84" i="14"/>
  <c r="G83" i="14"/>
  <c r="U85" i="14"/>
  <c r="M82" i="14"/>
  <c r="K86" i="14"/>
  <c r="P85" i="14"/>
  <c r="N84" i="14"/>
  <c r="H83" i="14"/>
  <c r="F82" i="14"/>
  <c r="G86" i="14"/>
  <c r="T84" i="14"/>
  <c r="I83" i="14"/>
  <c r="G82" i="14"/>
  <c r="F81" i="14"/>
  <c r="N83" i="14"/>
  <c r="K85" i="14"/>
  <c r="T81" i="14"/>
  <c r="R84" i="14"/>
  <c r="K84" i="14"/>
  <c r="N82" i="14"/>
  <c r="M85" i="14"/>
  <c r="N87" i="14"/>
  <c r="G81" i="14"/>
  <c r="I86" i="14"/>
  <c r="N86" i="14"/>
  <c r="H85" i="14"/>
  <c r="F84" i="14"/>
  <c r="U82" i="14"/>
  <c r="S81" i="14"/>
  <c r="M87" i="14"/>
  <c r="R85" i="14"/>
  <c r="J84" i="14"/>
  <c r="M83" i="14"/>
  <c r="R81" i="14"/>
  <c r="K81" i="14"/>
  <c r="U83" i="14"/>
  <c r="H86" i="14"/>
  <c r="I82" i="14"/>
  <c r="G85" i="14"/>
  <c r="U86" i="14"/>
  <c r="P83" i="14"/>
  <c r="J86" i="14"/>
  <c r="J82" i="14"/>
  <c r="F85" i="14"/>
  <c r="F86" i="14"/>
  <c r="U84" i="14"/>
  <c r="S83" i="14"/>
  <c r="K82" i="14"/>
  <c r="P81" i="14"/>
  <c r="T86" i="14"/>
  <c r="I85" i="14"/>
  <c r="G84" i="14"/>
  <c r="T82" i="14"/>
  <c r="I81" i="14"/>
  <c r="H82" i="14"/>
  <c r="P84" i="14"/>
  <c r="S86" i="14"/>
  <c r="J83" i="14"/>
  <c r="T85" i="14"/>
  <c r="S85" i="14"/>
  <c r="H81" i="14"/>
  <c r="R83" i="14"/>
  <c r="M81" i="14"/>
  <c r="S82" i="14"/>
  <c r="M84" i="14"/>
  <c r="I44" i="14"/>
  <c r="G43" i="14"/>
  <c r="T41" i="14"/>
  <c r="I40" i="14"/>
  <c r="G39" i="14"/>
  <c r="M45" i="14"/>
  <c r="M43" i="14"/>
  <c r="G40" i="14"/>
  <c r="K43" i="14"/>
  <c r="N41" i="14"/>
  <c r="N39" i="14"/>
  <c r="N44" i="14"/>
  <c r="H43" i="14"/>
  <c r="F42" i="14"/>
  <c r="U40" i="14"/>
  <c r="S39" i="14"/>
  <c r="J44" i="14"/>
  <c r="R41" i="14"/>
  <c r="U43" i="14"/>
  <c r="K41" i="14"/>
  <c r="F39" i="14"/>
  <c r="K45" i="14"/>
  <c r="M44" i="14"/>
  <c r="R42" i="14"/>
  <c r="J41" i="14"/>
  <c r="M40" i="14"/>
  <c r="T44" i="14"/>
  <c r="J42" i="14"/>
  <c r="R39" i="14"/>
  <c r="N45" i="14"/>
  <c r="F43" i="14"/>
  <c r="S40" i="14"/>
  <c r="F44" i="14"/>
  <c r="U42" i="14"/>
  <c r="S41" i="14"/>
  <c r="K40" i="14"/>
  <c r="P39" i="14"/>
  <c r="I43" i="14"/>
  <c r="M41" i="14"/>
  <c r="N43" i="14"/>
  <c r="F41" i="14"/>
  <c r="T43" i="14"/>
  <c r="I42" i="14"/>
  <c r="G41" i="14"/>
  <c r="T39" i="14"/>
  <c r="G44" i="14"/>
  <c r="I41" i="14"/>
  <c r="M39" i="14"/>
  <c r="S44" i="14"/>
  <c r="P42" i="14"/>
  <c r="P40" i="14"/>
  <c r="U44" i="14"/>
  <c r="S43" i="14"/>
  <c r="K42" i="14"/>
  <c r="P41" i="14"/>
  <c r="N40" i="14"/>
  <c r="H39" i="14"/>
  <c r="T42" i="14"/>
  <c r="J40" i="14"/>
  <c r="S42" i="14"/>
  <c r="H40" i="14"/>
  <c r="R40" i="14"/>
  <c r="T40" i="14"/>
  <c r="U39" i="14"/>
  <c r="N42" i="14"/>
  <c r="H42" i="14"/>
  <c r="R43" i="14"/>
  <c r="P44" i="14"/>
  <c r="R44" i="14"/>
  <c r="J39" i="14"/>
  <c r="H41" i="14"/>
  <c r="G42" i="14"/>
  <c r="K39" i="14"/>
  <c r="M42" i="14"/>
  <c r="P43" i="14"/>
  <c r="J43" i="14"/>
  <c r="H44" i="14"/>
  <c r="K44" i="14"/>
  <c r="F40" i="14"/>
  <c r="I39" i="14"/>
  <c r="U41" i="14"/>
  <c r="K72" i="14"/>
  <c r="P71" i="14"/>
  <c r="T69" i="14"/>
  <c r="R68" i="14"/>
  <c r="J67" i="14"/>
  <c r="M72" i="14"/>
  <c r="U70" i="14"/>
  <c r="S69" i="14"/>
  <c r="K68" i="14"/>
  <c r="P67" i="14"/>
  <c r="F72" i="14"/>
  <c r="I70" i="14"/>
  <c r="G69" i="14"/>
  <c r="M68" i="14"/>
  <c r="N70" i="14"/>
  <c r="J71" i="14"/>
  <c r="H69" i="14"/>
  <c r="R72" i="14"/>
  <c r="F68" i="14"/>
  <c r="T72" i="14"/>
  <c r="I71" i="14"/>
  <c r="G70" i="14"/>
  <c r="T68" i="14"/>
  <c r="I67" i="14"/>
  <c r="G72" i="14"/>
  <c r="T70" i="14"/>
  <c r="I69" i="14"/>
  <c r="G68" i="14"/>
  <c r="K73" i="14"/>
  <c r="R71" i="14"/>
  <c r="M69" i="14"/>
  <c r="P72" i="14"/>
  <c r="N71" i="14"/>
  <c r="H70" i="14"/>
  <c r="F69" i="14"/>
  <c r="U67" i="14"/>
  <c r="H67" i="14"/>
  <c r="P69" i="14"/>
  <c r="S71" i="14"/>
  <c r="T67" i="14"/>
  <c r="R70" i="14"/>
  <c r="P70" i="14"/>
  <c r="F67" i="14"/>
  <c r="M70" i="14"/>
  <c r="M71" i="14"/>
  <c r="J68" i="14"/>
  <c r="H72" i="14"/>
  <c r="F71" i="14"/>
  <c r="U69" i="14"/>
  <c r="S68" i="14"/>
  <c r="K67" i="14"/>
  <c r="S67" i="14"/>
  <c r="F70" i="14"/>
  <c r="N72" i="14"/>
  <c r="I68" i="14"/>
  <c r="G71" i="14"/>
  <c r="J72" i="14"/>
  <c r="K71" i="14"/>
  <c r="H68" i="14"/>
  <c r="U68" i="14"/>
  <c r="G67" i="14"/>
  <c r="M73" i="14"/>
  <c r="J70" i="14"/>
  <c r="R67" i="14"/>
  <c r="N73" i="14"/>
  <c r="U71" i="14"/>
  <c r="S70" i="14"/>
  <c r="K69" i="14"/>
  <c r="P68" i="14"/>
  <c r="N67" i="14"/>
  <c r="N68" i="14"/>
  <c r="K70" i="14"/>
  <c r="U72" i="14"/>
  <c r="J69" i="14"/>
  <c r="T71" i="14"/>
  <c r="R69" i="14"/>
  <c r="M67" i="14"/>
  <c r="S72" i="14"/>
  <c r="N69" i="14"/>
  <c r="H71" i="14"/>
  <c r="I72" i="14"/>
  <c r="H104" i="13"/>
  <c r="F103" i="13"/>
  <c r="U101" i="13"/>
  <c r="S100" i="13"/>
  <c r="T97" i="13"/>
  <c r="G95" i="13"/>
  <c r="H102" i="13"/>
  <c r="F99" i="13"/>
  <c r="J95" i="13"/>
  <c r="S104" i="13"/>
  <c r="H100" i="13"/>
  <c r="U103" i="13"/>
  <c r="F101" i="13"/>
  <c r="G97" i="13"/>
  <c r="S102" i="13"/>
  <c r="U99" i="13"/>
  <c r="J97" i="13"/>
  <c r="T95" i="13"/>
  <c r="F95" i="13"/>
  <c r="I99" i="13"/>
  <c r="T100" i="13"/>
  <c r="G102" i="13"/>
  <c r="I103" i="13"/>
  <c r="T104" i="13"/>
  <c r="I95" i="13"/>
  <c r="H99" i="13"/>
  <c r="S103" i="13"/>
  <c r="U104" i="13"/>
  <c r="U97" i="13"/>
  <c r="G100" i="13"/>
  <c r="I101" i="13"/>
  <c r="T102" i="13"/>
  <c r="G104" i="13"/>
  <c r="F97" i="13"/>
  <c r="R103" i="13"/>
  <c r="R97" i="13"/>
  <c r="F102" i="13"/>
  <c r="S97" i="13"/>
  <c r="J101" i="13"/>
  <c r="R102" i="13"/>
  <c r="U95" i="13"/>
  <c r="I97" i="13"/>
  <c r="S101" i="13"/>
  <c r="G101" i="13"/>
  <c r="T103" i="13"/>
  <c r="R101" i="13"/>
  <c r="J104" i="13"/>
  <c r="U100" i="13"/>
  <c r="F104" i="13"/>
  <c r="S95" i="13"/>
  <c r="G99" i="13"/>
  <c r="I100" i="13"/>
  <c r="T101" i="13"/>
  <c r="G103" i="13"/>
  <c r="I104" i="13"/>
  <c r="R99" i="13"/>
  <c r="J102" i="13"/>
  <c r="S99" i="13"/>
  <c r="H101" i="13"/>
  <c r="U102" i="13"/>
  <c r="H97" i="13"/>
  <c r="J99" i="13"/>
  <c r="R100" i="13"/>
  <c r="J103" i="13"/>
  <c r="R104" i="13"/>
  <c r="J100" i="13"/>
  <c r="R95" i="13"/>
  <c r="F100" i="13"/>
  <c r="H103" i="13"/>
  <c r="H95" i="13"/>
  <c r="T99" i="13"/>
  <c r="I102" i="13"/>
  <c r="J86" i="13"/>
  <c r="T84" i="13"/>
  <c r="T82" i="13"/>
  <c r="G84" i="13"/>
  <c r="H78" i="13"/>
  <c r="I87" i="13"/>
  <c r="J82" i="13"/>
  <c r="P78" i="13"/>
  <c r="G86" i="13"/>
  <c r="R83" i="13"/>
  <c r="S80" i="13"/>
  <c r="R87" i="13"/>
  <c r="I85" i="13"/>
  <c r="P80" i="13"/>
  <c r="S78" i="13"/>
  <c r="H86" i="13"/>
  <c r="F85" i="13"/>
  <c r="U83" i="13"/>
  <c r="S82" i="13"/>
  <c r="I80" i="13"/>
  <c r="G87" i="13"/>
  <c r="T85" i="13"/>
  <c r="U87" i="13"/>
  <c r="P86" i="13"/>
  <c r="S84" i="13"/>
  <c r="R80" i="13"/>
  <c r="R78" i="13"/>
  <c r="J87" i="13"/>
  <c r="J85" i="13"/>
  <c r="R82" i="13"/>
  <c r="U86" i="13"/>
  <c r="S85" i="13"/>
  <c r="P83" i="13"/>
  <c r="G80" i="13"/>
  <c r="T78" i="13"/>
  <c r="H80" i="13"/>
  <c r="R85" i="13"/>
  <c r="U85" i="13"/>
  <c r="P84" i="13"/>
  <c r="F83" i="13"/>
  <c r="I78" i="13"/>
  <c r="R86" i="13"/>
  <c r="G85" i="13"/>
  <c r="T83" i="13"/>
  <c r="I82" i="13"/>
  <c r="F78" i="13"/>
  <c r="S87" i="13"/>
  <c r="P85" i="13"/>
  <c r="H83" i="13"/>
  <c r="F82" i="13"/>
  <c r="J78" i="13"/>
  <c r="G82" i="13"/>
  <c r="T86" i="13"/>
  <c r="F87" i="13"/>
  <c r="H84" i="13"/>
  <c r="P82" i="13"/>
  <c r="I86" i="13"/>
  <c r="R84" i="13"/>
  <c r="J83" i="13"/>
  <c r="F80" i="13"/>
  <c r="U78" i="13"/>
  <c r="P87" i="13"/>
  <c r="H85" i="13"/>
  <c r="F84" i="13"/>
  <c r="U82" i="13"/>
  <c r="T80" i="13"/>
  <c r="G78" i="13"/>
  <c r="I83" i="13"/>
  <c r="H82" i="13"/>
  <c r="H87" i="13"/>
  <c r="S86" i="13"/>
  <c r="I84" i="13"/>
  <c r="F86" i="13"/>
  <c r="J80" i="13"/>
  <c r="J84" i="13"/>
  <c r="T87" i="13"/>
  <c r="G83" i="13"/>
  <c r="U84" i="13"/>
  <c r="U80" i="13"/>
  <c r="S83" i="13"/>
  <c r="G51" i="13"/>
  <c r="H44" i="13"/>
  <c r="P46" i="13"/>
  <c r="G50" i="13"/>
  <c r="M53" i="13"/>
  <c r="J53" i="13"/>
  <c r="S44" i="13"/>
  <c r="J48" i="13"/>
  <c r="T50" i="13"/>
  <c r="R53" i="13"/>
  <c r="I48" i="13"/>
  <c r="M49" i="13"/>
  <c r="I51" i="13"/>
  <c r="J49" i="13"/>
  <c r="J52" i="13"/>
  <c r="R50" i="13"/>
  <c r="F46" i="13"/>
  <c r="G49" i="13"/>
  <c r="M52" i="13"/>
  <c r="S53" i="13"/>
  <c r="P51" i="13"/>
  <c r="H49" i="13"/>
  <c r="F48" i="13"/>
  <c r="J44" i="13"/>
  <c r="M43" i="13"/>
  <c r="H52" i="13"/>
  <c r="F51" i="13"/>
  <c r="U49" i="13"/>
  <c r="S48" i="13"/>
  <c r="I46" i="13"/>
  <c r="U46" i="13"/>
  <c r="H46" i="13"/>
  <c r="I49" i="13"/>
  <c r="G52" i="13"/>
  <c r="T51" i="13"/>
  <c r="T49" i="13"/>
  <c r="R52" i="13"/>
  <c r="P53" i="13"/>
  <c r="H51" i="13"/>
  <c r="F50" i="13"/>
  <c r="U48" i="13"/>
  <c r="T46" i="13"/>
  <c r="G44" i="13"/>
  <c r="F53" i="13"/>
  <c r="U51" i="13"/>
  <c r="S50" i="13"/>
  <c r="P48" i="13"/>
  <c r="M46" i="13"/>
  <c r="R44" i="13"/>
  <c r="M50" i="13"/>
  <c r="P44" i="13"/>
  <c r="S46" i="13"/>
  <c r="J50" i="13"/>
  <c r="T52" i="13"/>
  <c r="F44" i="13"/>
  <c r="M54" i="13"/>
  <c r="U44" i="13"/>
  <c r="M48" i="13"/>
  <c r="I50" i="13"/>
  <c r="G53" i="13"/>
  <c r="H53" i="13"/>
  <c r="F52" i="13"/>
  <c r="U50" i="13"/>
  <c r="S49" i="13"/>
  <c r="J46" i="13"/>
  <c r="M45" i="13"/>
  <c r="U53" i="13"/>
  <c r="S52" i="13"/>
  <c r="P50" i="13"/>
  <c r="H48" i="13"/>
  <c r="I44" i="13"/>
  <c r="I52" i="13"/>
  <c r="G48" i="13"/>
  <c r="M51" i="13"/>
  <c r="I53" i="13"/>
  <c r="U52" i="13"/>
  <c r="H50" i="13"/>
  <c r="M44" i="13"/>
  <c r="T48" i="13"/>
  <c r="R49" i="13"/>
  <c r="R48" i="13"/>
  <c r="S51" i="13"/>
  <c r="G46" i="13"/>
  <c r="F49" i="13"/>
  <c r="R51" i="13"/>
  <c r="J51" i="13"/>
  <c r="T44" i="13"/>
  <c r="P52" i="13"/>
  <c r="R46" i="13"/>
  <c r="T53" i="13"/>
  <c r="P49" i="13"/>
  <c r="H69" i="13"/>
  <c r="S67" i="13"/>
  <c r="F66" i="13"/>
  <c r="R63" i="13"/>
  <c r="R61" i="13"/>
  <c r="P69" i="13"/>
  <c r="F68" i="13"/>
  <c r="U68" i="13"/>
  <c r="H67" i="13"/>
  <c r="S65" i="13"/>
  <c r="M63" i="13"/>
  <c r="I61" i="13"/>
  <c r="F70" i="13"/>
  <c r="U66" i="13"/>
  <c r="P65" i="13"/>
  <c r="G70" i="13"/>
  <c r="T68" i="13"/>
  <c r="I67" i="13"/>
  <c r="G66" i="13"/>
  <c r="U63" i="13"/>
  <c r="H70" i="13"/>
  <c r="F69" i="13"/>
  <c r="U67" i="13"/>
  <c r="S66" i="13"/>
  <c r="J63" i="13"/>
  <c r="M62" i="13"/>
  <c r="M70" i="13"/>
  <c r="R68" i="13"/>
  <c r="J67" i="13"/>
  <c r="M66" i="13"/>
  <c r="S63" i="13"/>
  <c r="P61" i="13"/>
  <c r="I63" i="13"/>
  <c r="M71" i="13"/>
  <c r="R69" i="13"/>
  <c r="J68" i="13"/>
  <c r="M67" i="13"/>
  <c r="R65" i="13"/>
  <c r="U69" i="13"/>
  <c r="S68" i="13"/>
  <c r="P66" i="13"/>
  <c r="G63" i="13"/>
  <c r="T61" i="13"/>
  <c r="T69" i="13"/>
  <c r="I68" i="13"/>
  <c r="G67" i="13"/>
  <c r="T65" i="13"/>
  <c r="T70" i="13"/>
  <c r="I69" i="13"/>
  <c r="G68" i="13"/>
  <c r="T66" i="13"/>
  <c r="I65" i="13"/>
  <c r="F61" i="13"/>
  <c r="S70" i="13"/>
  <c r="P68" i="13"/>
  <c r="H66" i="13"/>
  <c r="J61" i="13"/>
  <c r="M60" i="13"/>
  <c r="R70" i="13"/>
  <c r="J69" i="13"/>
  <c r="M68" i="13"/>
  <c r="R66" i="13"/>
  <c r="J65" i="13"/>
  <c r="R67" i="13"/>
  <c r="U61" i="13"/>
  <c r="T63" i="13"/>
  <c r="I70" i="13"/>
  <c r="G65" i="13"/>
  <c r="S69" i="13"/>
  <c r="J66" i="13"/>
  <c r="H68" i="13"/>
  <c r="G69" i="13"/>
  <c r="P63" i="13"/>
  <c r="H65" i="13"/>
  <c r="U70" i="13"/>
  <c r="J70" i="13"/>
  <c r="M65" i="13"/>
  <c r="F67" i="13"/>
  <c r="G61" i="13"/>
  <c r="T67" i="13"/>
  <c r="H63" i="13"/>
  <c r="S61" i="13"/>
  <c r="P70" i="13"/>
  <c r="I66" i="13"/>
  <c r="U65" i="13"/>
  <c r="H61" i="13"/>
  <c r="M69" i="13"/>
  <c r="M61" i="13"/>
  <c r="F63" i="13"/>
  <c r="P67" i="13"/>
  <c r="I49" i="12"/>
  <c r="K49" i="12"/>
  <c r="K50" i="12" s="1"/>
  <c r="J49" i="12"/>
  <c r="J50" i="12" s="1"/>
  <c r="I41" i="12"/>
  <c r="K41" i="12"/>
  <c r="K42" i="12" s="1"/>
  <c r="J41" i="12"/>
  <c r="J42" i="12" s="1"/>
  <c r="K57" i="12"/>
  <c r="K58" i="12" s="1"/>
  <c r="I57" i="12"/>
  <c r="J57" i="12"/>
  <c r="J58" i="12" s="1"/>
  <c r="I33" i="12"/>
  <c r="K33" i="12"/>
  <c r="K34" i="12" s="1"/>
  <c r="J33" i="12"/>
  <c r="J34" i="12" s="1"/>
  <c r="P67" i="11"/>
  <c r="J66" i="11"/>
  <c r="T65" i="11"/>
  <c r="S67" i="11"/>
  <c r="Q66" i="11"/>
  <c r="O65" i="11"/>
  <c r="P66" i="11"/>
  <c r="J65" i="11"/>
  <c r="Q65" i="11"/>
  <c r="T67" i="11"/>
  <c r="H65" i="11"/>
  <c r="P65" i="11"/>
  <c r="O67" i="11"/>
  <c r="M66" i="11"/>
  <c r="K65" i="11"/>
  <c r="J67" i="11"/>
  <c r="L66" i="11"/>
  <c r="F65" i="11"/>
  <c r="I65" i="11"/>
  <c r="N66" i="11"/>
  <c r="I67" i="11"/>
  <c r="G67" i="11"/>
  <c r="R67" i="11"/>
  <c r="R65" i="11"/>
  <c r="S66" i="11"/>
  <c r="K67" i="11"/>
  <c r="I66" i="11"/>
  <c r="G65" i="11"/>
  <c r="F67" i="11"/>
  <c r="H66" i="11"/>
  <c r="O66" i="11"/>
  <c r="Q67" i="11"/>
  <c r="F66" i="11"/>
  <c r="K66" i="11"/>
  <c r="H67" i="11"/>
  <c r="S65" i="11"/>
  <c r="T66" i="11"/>
  <c r="G66" i="11"/>
  <c r="R66" i="11"/>
  <c r="T57" i="11"/>
  <c r="S57" i="11"/>
  <c r="G57" i="11"/>
  <c r="J56" i="11"/>
  <c r="R57" i="11"/>
  <c r="T56" i="11"/>
  <c r="I56" i="11"/>
  <c r="K55" i="11"/>
  <c r="H57" i="11"/>
  <c r="N56" i="11"/>
  <c r="P55" i="11"/>
  <c r="P56" i="11"/>
  <c r="R55" i="11"/>
  <c r="G55" i="11"/>
  <c r="F55" i="11"/>
  <c r="L56" i="11"/>
  <c r="I57" i="11"/>
  <c r="G56" i="11"/>
  <c r="O55" i="11"/>
  <c r="R56" i="11"/>
  <c r="J55" i="11"/>
  <c r="H55" i="11"/>
  <c r="Q56" i="11"/>
  <c r="S56" i="11"/>
  <c r="Q55" i="11"/>
  <c r="T55" i="11"/>
  <c r="F57" i="11"/>
  <c r="F56" i="11"/>
  <c r="O57" i="11"/>
  <c r="K56" i="11"/>
  <c r="P57" i="11"/>
  <c r="S55" i="11"/>
  <c r="J57" i="11"/>
  <c r="O56" i="11"/>
  <c r="I55" i="11"/>
  <c r="H56" i="11"/>
  <c r="K57" i="11"/>
  <c r="Q57" i="11"/>
  <c r="M56" i="11"/>
  <c r="S36" i="11"/>
  <c r="P36" i="11"/>
  <c r="R35" i="11"/>
  <c r="O36" i="11"/>
  <c r="Q35" i="11"/>
  <c r="F37" i="11"/>
  <c r="H36" i="11"/>
  <c r="J35" i="11"/>
  <c r="G36" i="11"/>
  <c r="I35" i="11"/>
  <c r="P37" i="11"/>
  <c r="J36" i="11"/>
  <c r="K37" i="11"/>
  <c r="I36" i="11"/>
  <c r="G35" i="11"/>
  <c r="T36" i="11"/>
  <c r="P35" i="11"/>
  <c r="H37" i="11"/>
  <c r="F36" i="11"/>
  <c r="H35" i="11"/>
  <c r="G37" i="11"/>
  <c r="S35" i="11"/>
  <c r="K36" i="11"/>
  <c r="J37" i="11"/>
  <c r="O37" i="11"/>
  <c r="K35" i="11"/>
  <c r="R36" i="11"/>
  <c r="T35" i="11"/>
  <c r="S37" i="11"/>
  <c r="Q36" i="11"/>
  <c r="O35" i="11"/>
  <c r="I37" i="11"/>
  <c r="F35" i="11"/>
  <c r="R37" i="11"/>
  <c r="T37" i="11"/>
  <c r="N36" i="11"/>
  <c r="M36" i="11"/>
  <c r="Q37" i="11"/>
  <c r="L36" i="11"/>
  <c r="K47" i="11"/>
  <c r="M46" i="11"/>
  <c r="P45" i="11"/>
  <c r="G45" i="11"/>
  <c r="T47" i="11"/>
  <c r="G47" i="11"/>
  <c r="I46" i="11"/>
  <c r="O45" i="11"/>
  <c r="O47" i="11"/>
  <c r="N46" i="11"/>
  <c r="S45" i="11"/>
  <c r="H45" i="11"/>
  <c r="S47" i="11"/>
  <c r="Q46" i="11"/>
  <c r="F46" i="11"/>
  <c r="K45" i="11"/>
  <c r="P46" i="11"/>
  <c r="J45" i="11"/>
  <c r="S46" i="11"/>
  <c r="Q45" i="11"/>
  <c r="J46" i="11"/>
  <c r="T46" i="11"/>
  <c r="T45" i="11"/>
  <c r="J47" i="11"/>
  <c r="L46" i="11"/>
  <c r="F45" i="11"/>
  <c r="O46" i="11"/>
  <c r="I45" i="11"/>
  <c r="R46" i="11"/>
  <c r="R47" i="11"/>
  <c r="I47" i="11"/>
  <c r="P47" i="11"/>
  <c r="F47" i="11"/>
  <c r="H46" i="11"/>
  <c r="Q47" i="11"/>
  <c r="K46" i="11"/>
  <c r="H47" i="11"/>
  <c r="R45" i="11"/>
  <c r="G46" i="11"/>
  <c r="E1078" i="5" l="1"/>
  <c r="L74" i="16"/>
  <c r="O74" i="16"/>
  <c r="P74" i="16"/>
  <c r="K60" i="16"/>
  <c r="Q69" i="16"/>
  <c r="L88" i="16"/>
  <c r="K74" i="16"/>
  <c r="Q53" i="16"/>
  <c r="P88" i="16"/>
  <c r="N60" i="16"/>
  <c r="Q82" i="16"/>
  <c r="Q68" i="16"/>
  <c r="Q58" i="16"/>
  <c r="Q70" i="16"/>
  <c r="Q41" i="16"/>
  <c r="Q54" i="16"/>
  <c r="N46" i="16"/>
  <c r="O88" i="16"/>
  <c r="N74" i="16"/>
  <c r="Q57" i="16"/>
  <c r="O46" i="16"/>
  <c r="L60" i="16"/>
  <c r="Q42" i="16"/>
  <c r="Q86" i="16"/>
  <c r="P60" i="16"/>
  <c r="Q83" i="16"/>
  <c r="O60" i="16"/>
  <c r="Q72" i="16"/>
  <c r="Q56" i="16"/>
  <c r="Q55" i="16"/>
  <c r="Q43" i="16"/>
  <c r="E888" i="16"/>
  <c r="O27" i="16"/>
  <c r="M27" i="16"/>
  <c r="O26" i="16"/>
  <c r="M26" i="16"/>
  <c r="O25" i="16"/>
  <c r="M25" i="16"/>
  <c r="P30" i="16"/>
  <c r="N30" i="16"/>
  <c r="P29" i="16"/>
  <c r="N29" i="16"/>
  <c r="P28" i="16"/>
  <c r="N28" i="16"/>
  <c r="P27" i="16"/>
  <c r="N27" i="16"/>
  <c r="P26" i="16"/>
  <c r="N26" i="16"/>
  <c r="P25" i="16"/>
  <c r="N25" i="16"/>
  <c r="O30" i="16"/>
  <c r="M30" i="16"/>
  <c r="M28" i="16"/>
  <c r="K30" i="16"/>
  <c r="K29" i="16"/>
  <c r="K28" i="16"/>
  <c r="L25" i="16"/>
  <c r="M29" i="16"/>
  <c r="O29" i="16"/>
  <c r="K27" i="16"/>
  <c r="K25" i="16"/>
  <c r="O28" i="16"/>
  <c r="K26" i="16"/>
  <c r="L27" i="16"/>
  <c r="L30" i="16"/>
  <c r="L26" i="16"/>
  <c r="L29" i="16"/>
  <c r="L28" i="16"/>
  <c r="P23" i="16"/>
  <c r="O23" i="16"/>
  <c r="M23" i="16"/>
  <c r="K23" i="16"/>
  <c r="L23" i="16"/>
  <c r="N23" i="16"/>
  <c r="K31" i="16"/>
  <c r="O31" i="16"/>
  <c r="P31" i="16"/>
  <c r="N31" i="16"/>
  <c r="L31" i="16"/>
  <c r="M31" i="16"/>
  <c r="Q39" i="16"/>
  <c r="Q84" i="16"/>
  <c r="Q44" i="16"/>
  <c r="Q85" i="16"/>
  <c r="Q40" i="16"/>
  <c r="Q81" i="16"/>
  <c r="Q71" i="16"/>
  <c r="Q67" i="16"/>
  <c r="M46" i="16"/>
  <c r="K46" i="16"/>
  <c r="M88" i="16"/>
  <c r="L46" i="16"/>
  <c r="K88" i="16"/>
  <c r="M74" i="16"/>
  <c r="P46" i="16"/>
  <c r="N88" i="16"/>
  <c r="M60" i="16"/>
  <c r="Q60" i="15"/>
  <c r="O54" i="15"/>
  <c r="O88" i="15"/>
  <c r="M105" i="15"/>
  <c r="Q45" i="15"/>
  <c r="Q82" i="15"/>
  <c r="L88" i="15"/>
  <c r="Q85" i="15"/>
  <c r="Q79" i="15"/>
  <c r="K105" i="15"/>
  <c r="N105" i="15"/>
  <c r="Q94" i="15"/>
  <c r="K71" i="15"/>
  <c r="Q64" i="15"/>
  <c r="Q51" i="15"/>
  <c r="Q52" i="15"/>
  <c r="Q49" i="15"/>
  <c r="Q98" i="15"/>
  <c r="M88" i="15"/>
  <c r="P88" i="15"/>
  <c r="L105" i="15"/>
  <c r="O105" i="15"/>
  <c r="Q101" i="15"/>
  <c r="Q103" i="15"/>
  <c r="L71" i="15"/>
  <c r="Q69" i="15"/>
  <c r="Q62" i="15"/>
  <c r="P54" i="15"/>
  <c r="K54" i="15"/>
  <c r="Q66" i="15"/>
  <c r="Q50" i="15"/>
  <c r="Q77" i="15"/>
  <c r="Q102" i="15"/>
  <c r="E1076" i="15"/>
  <c r="L26" i="15"/>
  <c r="P26" i="15"/>
  <c r="L28" i="15"/>
  <c r="P28" i="15"/>
  <c r="N30" i="15"/>
  <c r="L31" i="15"/>
  <c r="P31" i="15"/>
  <c r="N32" i="15"/>
  <c r="L33" i="15"/>
  <c r="P33" i="15"/>
  <c r="N34" i="15"/>
  <c r="L35" i="15"/>
  <c r="P35" i="15"/>
  <c r="M26" i="15"/>
  <c r="K27" i="15"/>
  <c r="O27" i="15"/>
  <c r="M28" i="15"/>
  <c r="K30" i="15"/>
  <c r="O30" i="15"/>
  <c r="M31" i="15"/>
  <c r="K32" i="15"/>
  <c r="O32" i="15"/>
  <c r="M33" i="15"/>
  <c r="K34" i="15"/>
  <c r="O34" i="15"/>
  <c r="M35" i="15"/>
  <c r="N26" i="15"/>
  <c r="L27" i="15"/>
  <c r="P27" i="15"/>
  <c r="N28" i="15"/>
  <c r="L30" i="15"/>
  <c r="P30" i="15"/>
  <c r="N31" i="15"/>
  <c r="L32" i="15"/>
  <c r="P32" i="15"/>
  <c r="N33" i="15"/>
  <c r="L34" i="15"/>
  <c r="P34" i="15"/>
  <c r="N35" i="15"/>
  <c r="L36" i="15"/>
  <c r="P36" i="15"/>
  <c r="K26" i="15"/>
  <c r="O26" i="15"/>
  <c r="K28" i="15"/>
  <c r="O28" i="15"/>
  <c r="M30" i="15"/>
  <c r="K31" i="15"/>
  <c r="O31" i="15"/>
  <c r="M32" i="15"/>
  <c r="K33" i="15"/>
  <c r="O33" i="15"/>
  <c r="M34" i="15"/>
  <c r="K35" i="15"/>
  <c r="O35" i="15"/>
  <c r="M36" i="15"/>
  <c r="L25" i="15"/>
  <c r="O36" i="15"/>
  <c r="N36" i="15"/>
  <c r="M27" i="15"/>
  <c r="K36" i="15"/>
  <c r="N27" i="15"/>
  <c r="M25" i="15"/>
  <c r="O25" i="15"/>
  <c r="N25" i="15"/>
  <c r="P25" i="15"/>
  <c r="K25" i="15"/>
  <c r="Q83" i="15"/>
  <c r="Q84" i="15"/>
  <c r="Q81" i="15"/>
  <c r="P105" i="15"/>
  <c r="Q100" i="15"/>
  <c r="N71" i="15"/>
  <c r="M71" i="15"/>
  <c r="P71" i="15"/>
  <c r="Q68" i="15"/>
  <c r="L54" i="15"/>
  <c r="Q47" i="15"/>
  <c r="Q48" i="15"/>
  <c r="Q86" i="15"/>
  <c r="K88" i="15"/>
  <c r="N88" i="15"/>
  <c r="Q96" i="15"/>
  <c r="Q99" i="15"/>
  <c r="O71" i="15"/>
  <c r="Q65" i="15"/>
  <c r="Q67" i="15"/>
  <c r="N54" i="15"/>
  <c r="M54" i="15"/>
  <c r="Q43" i="15"/>
  <c r="J26" i="16"/>
  <c r="C20" i="16"/>
  <c r="C21" i="16" s="1"/>
  <c r="C22" i="16" s="1"/>
  <c r="C23" i="16" s="1"/>
  <c r="C24" i="16" s="1"/>
  <c r="C25" i="16" s="1"/>
  <c r="C26" i="16" s="1"/>
  <c r="C27" i="16" s="1"/>
  <c r="C28" i="16" s="1"/>
  <c r="C29" i="16" s="1"/>
  <c r="C30" i="16" s="1"/>
  <c r="C31" i="16" s="1"/>
  <c r="C32" i="16" s="1"/>
  <c r="I35" i="15"/>
  <c r="C22" i="15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C36" i="15" s="1"/>
  <c r="C37" i="15" s="1"/>
  <c r="K25" i="12"/>
  <c r="K26" i="12" s="1"/>
  <c r="K520" i="12" s="1"/>
  <c r="C20" i="12"/>
  <c r="C21" i="12" s="1"/>
  <c r="C22" i="12" s="1"/>
  <c r="C23" i="12" s="1"/>
  <c r="C24" i="12" s="1"/>
  <c r="C25" i="12" s="1"/>
  <c r="C26" i="12" s="1"/>
  <c r="H26" i="11"/>
  <c r="E643" i="11"/>
  <c r="Q84" i="14"/>
  <c r="Q41" i="14"/>
  <c r="Q44" i="14"/>
  <c r="Q58" i="14"/>
  <c r="F27" i="11"/>
  <c r="F25" i="11"/>
  <c r="T27" i="11"/>
  <c r="M26" i="11"/>
  <c r="P25" i="11"/>
  <c r="S26" i="11"/>
  <c r="J27" i="11"/>
  <c r="G25" i="11"/>
  <c r="C21" i="11"/>
  <c r="C22" i="11" s="1"/>
  <c r="C23" i="11" s="1"/>
  <c r="C24" i="11" s="1"/>
  <c r="C25" i="11" s="1"/>
  <c r="C26" i="11" s="1"/>
  <c r="C27" i="11" s="1"/>
  <c r="C28" i="11" s="1"/>
  <c r="C20" i="11"/>
  <c r="R25" i="11"/>
  <c r="I26" i="11"/>
  <c r="Q26" i="11"/>
  <c r="Q27" i="11"/>
  <c r="O26" i="11"/>
  <c r="P27" i="11"/>
  <c r="P26" i="11"/>
  <c r="G27" i="11"/>
  <c r="G26" i="11"/>
  <c r="O27" i="11"/>
  <c r="F26" i="11"/>
  <c r="I27" i="11"/>
  <c r="S25" i="11"/>
  <c r="S27" i="11"/>
  <c r="O25" i="11"/>
  <c r="Q25" i="11"/>
  <c r="R26" i="11"/>
  <c r="J25" i="11"/>
  <c r="T26" i="11"/>
  <c r="H27" i="11"/>
  <c r="I25" i="11"/>
  <c r="Q82" i="14"/>
  <c r="Q40" i="14"/>
  <c r="Q43" i="14"/>
  <c r="Q55" i="14"/>
  <c r="Q56" i="14"/>
  <c r="Q70" i="14"/>
  <c r="Q42" i="14"/>
  <c r="Q71" i="14"/>
  <c r="Q39" i="14"/>
  <c r="Q81" i="14"/>
  <c r="Q67" i="14"/>
  <c r="Q69" i="14"/>
  <c r="Q68" i="14"/>
  <c r="Q72" i="14"/>
  <c r="Q86" i="14"/>
  <c r="Q53" i="14"/>
  <c r="Q85" i="14"/>
  <c r="Q83" i="14"/>
  <c r="Q57" i="14"/>
  <c r="Q54" i="14"/>
  <c r="Q87" i="13"/>
  <c r="Q103" i="13"/>
  <c r="Q104" i="13"/>
  <c r="Q68" i="13"/>
  <c r="Q63" i="13"/>
  <c r="Q85" i="13"/>
  <c r="Q86" i="13"/>
  <c r="Q84" i="13"/>
  <c r="Q78" i="13"/>
  <c r="Q83" i="13"/>
  <c r="Q95" i="13"/>
  <c r="Q61" i="13"/>
  <c r="Q69" i="13"/>
  <c r="Q66" i="13"/>
  <c r="Q101" i="13"/>
  <c r="Q70" i="13"/>
  <c r="Q102" i="13"/>
  <c r="Q67" i="13"/>
  <c r="Q82" i="13"/>
  <c r="Q97" i="13"/>
  <c r="Q80" i="13"/>
  <c r="Q65" i="13"/>
  <c r="Q100" i="13"/>
  <c r="Q99" i="13"/>
  <c r="Q50" i="13"/>
  <c r="Q51" i="13"/>
  <c r="Q52" i="13"/>
  <c r="Q49" i="13"/>
  <c r="Q44" i="13"/>
  <c r="Q53" i="13"/>
  <c r="Q48" i="13"/>
  <c r="Q46" i="13"/>
  <c r="J28" i="15"/>
  <c r="J34" i="15"/>
  <c r="G31" i="15"/>
  <c r="G33" i="15"/>
  <c r="F31" i="15"/>
  <c r="H25" i="11"/>
  <c r="R27" i="11"/>
  <c r="N26" i="11"/>
  <c r="K25" i="11"/>
  <c r="L26" i="11"/>
  <c r="F34" i="15"/>
  <c r="H32" i="15"/>
  <c r="G34" i="15"/>
  <c r="G35" i="15"/>
  <c r="J33" i="15"/>
  <c r="J31" i="15"/>
  <c r="F35" i="15"/>
  <c r="J26" i="15"/>
  <c r="H26" i="15"/>
  <c r="I31" i="15"/>
  <c r="G28" i="15"/>
  <c r="I28" i="15"/>
  <c r="H30" i="15"/>
  <c r="F30" i="15"/>
  <c r="I32" i="15"/>
  <c r="K27" i="11"/>
  <c r="T25" i="11"/>
  <c r="J26" i="11"/>
  <c r="K26" i="11"/>
  <c r="H31" i="15"/>
  <c r="I30" i="15"/>
  <c r="F33" i="15"/>
  <c r="J32" i="15"/>
  <c r="J30" i="15"/>
  <c r="F28" i="15"/>
  <c r="I34" i="15"/>
  <c r="J35" i="15"/>
  <c r="H35" i="15"/>
  <c r="H33" i="15"/>
  <c r="G32" i="15"/>
  <c r="I33" i="15"/>
  <c r="H28" i="15"/>
  <c r="G30" i="15"/>
  <c r="I26" i="15"/>
  <c r="H34" i="15"/>
  <c r="F26" i="15"/>
  <c r="F32" i="15"/>
  <c r="G26" i="15"/>
  <c r="U33" i="13"/>
  <c r="T35" i="13"/>
  <c r="S28" i="13"/>
  <c r="R31" i="13"/>
  <c r="J35" i="13"/>
  <c r="P37" i="13"/>
  <c r="P28" i="13"/>
  <c r="I31" i="13"/>
  <c r="G33" i="13"/>
  <c r="H35" i="13"/>
  <c r="M37" i="13"/>
  <c r="M28" i="13"/>
  <c r="F31" i="13"/>
  <c r="U32" i="13"/>
  <c r="T34" i="13"/>
  <c r="S36" i="13"/>
  <c r="S27" i="13"/>
  <c r="R29" i="13"/>
  <c r="J34" i="13"/>
  <c r="P36" i="13"/>
  <c r="P27" i="13"/>
  <c r="I29" i="13"/>
  <c r="G32" i="13"/>
  <c r="H34" i="13"/>
  <c r="M36" i="13"/>
  <c r="M27" i="13"/>
  <c r="F29" i="13"/>
  <c r="J26" i="13"/>
  <c r="U31" i="13"/>
  <c r="T33" i="13"/>
  <c r="S35" i="13"/>
  <c r="J33" i="13"/>
  <c r="P35" i="13"/>
  <c r="I37" i="13"/>
  <c r="I28" i="13"/>
  <c r="G31" i="13"/>
  <c r="H33" i="13"/>
  <c r="M35" i="13"/>
  <c r="P26" i="13"/>
  <c r="U29" i="13"/>
  <c r="T32" i="13"/>
  <c r="S34" i="13"/>
  <c r="R36" i="13"/>
  <c r="R27" i="13"/>
  <c r="J32" i="13"/>
  <c r="P34" i="13"/>
  <c r="I36" i="13"/>
  <c r="I27" i="13"/>
  <c r="G29" i="13"/>
  <c r="H32" i="13"/>
  <c r="M34" i="13"/>
  <c r="F36" i="13"/>
  <c r="F27" i="13"/>
  <c r="I26" i="13"/>
  <c r="T31" i="13"/>
  <c r="S33" i="13"/>
  <c r="R35" i="13"/>
  <c r="J31" i="13"/>
  <c r="P33" i="13"/>
  <c r="I35" i="13"/>
  <c r="G37" i="13"/>
  <c r="G28" i="13"/>
  <c r="H31" i="13"/>
  <c r="M33" i="13"/>
  <c r="F35" i="13"/>
  <c r="U36" i="13"/>
  <c r="U27" i="13"/>
  <c r="T29" i="13"/>
  <c r="S32" i="13"/>
  <c r="R34" i="13"/>
  <c r="J29" i="13"/>
  <c r="P32" i="13"/>
  <c r="I34" i="13"/>
  <c r="G36" i="13"/>
  <c r="G27" i="13"/>
  <c r="H29" i="13"/>
  <c r="M32" i="13"/>
  <c r="F34" i="13"/>
  <c r="G26" i="13"/>
  <c r="S29" i="13"/>
  <c r="J36" i="13"/>
  <c r="I32" i="13"/>
  <c r="G34" i="13"/>
  <c r="H27" i="13"/>
  <c r="F32" i="13"/>
  <c r="M26" i="13"/>
  <c r="U35" i="13"/>
  <c r="S31" i="13"/>
  <c r="R33" i="13"/>
  <c r="J37" i="13"/>
  <c r="J28" i="13"/>
  <c r="P31" i="13"/>
  <c r="I33" i="13"/>
  <c r="G35" i="13"/>
  <c r="H37" i="13"/>
  <c r="H28" i="13"/>
  <c r="M31" i="13"/>
  <c r="F33" i="13"/>
  <c r="H26" i="13"/>
  <c r="U34" i="13"/>
  <c r="T36" i="13"/>
  <c r="T27" i="13"/>
  <c r="R32" i="13"/>
  <c r="J27" i="13"/>
  <c r="P29" i="13"/>
  <c r="H36" i="13"/>
  <c r="M29" i="13"/>
  <c r="F25" i="14"/>
  <c r="G23" i="14"/>
  <c r="P23" i="14"/>
  <c r="N23" i="14"/>
  <c r="I23" i="14"/>
  <c r="J23" i="14"/>
  <c r="K23" i="14"/>
  <c r="M23" i="14"/>
  <c r="H23" i="14"/>
  <c r="S29" i="14"/>
  <c r="C21" i="14"/>
  <c r="C29" i="14"/>
  <c r="C24" i="14"/>
  <c r="C22" i="14"/>
  <c r="C30" i="14"/>
  <c r="C32" i="14"/>
  <c r="C25" i="14"/>
  <c r="C20" i="14"/>
  <c r="C23" i="14"/>
  <c r="C31" i="14"/>
  <c r="C26" i="14"/>
  <c r="C27" i="14"/>
  <c r="C28" i="14"/>
  <c r="J27" i="14"/>
  <c r="F27" i="14"/>
  <c r="P28" i="14"/>
  <c r="M31" i="14"/>
  <c r="T27" i="14"/>
  <c r="J30" i="14"/>
  <c r="M26" i="14"/>
  <c r="P25" i="14"/>
  <c r="H27" i="14"/>
  <c r="I29" i="14"/>
  <c r="M29" i="14"/>
  <c r="S30" i="14"/>
  <c r="I30" i="14"/>
  <c r="T28" i="14"/>
  <c r="M28" i="14"/>
  <c r="F29" i="14"/>
  <c r="H28" i="14"/>
  <c r="K26" i="14"/>
  <c r="R29" i="14"/>
  <c r="N30" i="14"/>
  <c r="H26" i="14"/>
  <c r="J26" i="14"/>
  <c r="P27" i="14"/>
  <c r="N29" i="14"/>
  <c r="N28" i="14"/>
  <c r="G25" i="14"/>
  <c r="F30" i="14"/>
  <c r="S27" i="14"/>
  <c r="K25" i="14"/>
  <c r="T29" i="14"/>
  <c r="I26" i="14"/>
  <c r="U27" i="14"/>
  <c r="K31" i="14"/>
  <c r="K30" i="14"/>
  <c r="S26" i="14"/>
  <c r="T25" i="14"/>
  <c r="R25" i="14"/>
  <c r="S25" i="14"/>
  <c r="G30" i="14"/>
  <c r="N25" i="14"/>
  <c r="H25" i="14"/>
  <c r="J25" i="14"/>
  <c r="N27" i="14"/>
  <c r="M27" i="14"/>
  <c r="U26" i="14"/>
  <c r="R28" i="14"/>
  <c r="M25" i="14"/>
  <c r="N26" i="14"/>
  <c r="U30" i="14"/>
  <c r="T26" i="14"/>
  <c r="G28" i="14"/>
  <c r="K29" i="14"/>
  <c r="J28" i="14"/>
  <c r="H30" i="14"/>
  <c r="R30" i="14"/>
  <c r="R26" i="14"/>
  <c r="P29" i="14"/>
  <c r="R27" i="14"/>
  <c r="N31" i="14"/>
  <c r="U25" i="14"/>
  <c r="I25" i="14"/>
  <c r="T30" i="14"/>
  <c r="P26" i="14"/>
  <c r="I28" i="14"/>
  <c r="F28" i="14"/>
  <c r="G26" i="14"/>
  <c r="P30" i="14"/>
  <c r="K27" i="14"/>
  <c r="G27" i="14"/>
  <c r="K28" i="14"/>
  <c r="J29" i="14"/>
  <c r="U28" i="14"/>
  <c r="S28" i="14"/>
  <c r="M30" i="14"/>
  <c r="H29" i="14"/>
  <c r="I27" i="14"/>
  <c r="F26" i="14"/>
  <c r="U29" i="14"/>
  <c r="G29" i="14"/>
  <c r="G27" i="16"/>
  <c r="H27" i="16"/>
  <c r="I25" i="16"/>
  <c r="J30" i="16"/>
  <c r="J27" i="16"/>
  <c r="H29" i="16"/>
  <c r="J25" i="12"/>
  <c r="J26" i="12" s="1"/>
  <c r="J520" i="12" s="1"/>
  <c r="F29" i="16"/>
  <c r="G25" i="16"/>
  <c r="H26" i="16"/>
  <c r="H28" i="16"/>
  <c r="I30" i="16"/>
  <c r="F25" i="16"/>
  <c r="J29" i="16"/>
  <c r="F30" i="16"/>
  <c r="F26" i="16"/>
  <c r="I25" i="12"/>
  <c r="I26" i="12" s="1"/>
  <c r="G30" i="16"/>
  <c r="J25" i="16"/>
  <c r="I26" i="16"/>
  <c r="G28" i="16"/>
  <c r="F27" i="16"/>
  <c r="H25" i="16"/>
  <c r="J28" i="16"/>
  <c r="I28" i="16"/>
  <c r="G26" i="16"/>
  <c r="I29" i="16"/>
  <c r="H30" i="16"/>
  <c r="G29" i="16"/>
  <c r="I27" i="16"/>
  <c r="F28" i="16"/>
  <c r="P38" i="11"/>
  <c r="S58" i="11"/>
  <c r="K74" i="14"/>
  <c r="T58" i="11"/>
  <c r="G58" i="11"/>
  <c r="W66" i="11"/>
  <c r="N60" i="14"/>
  <c r="P48" i="11"/>
  <c r="J38" i="11"/>
  <c r="H48" i="11"/>
  <c r="O38" i="11"/>
  <c r="V66" i="11"/>
  <c r="T48" i="11"/>
  <c r="V46" i="11"/>
  <c r="G68" i="11"/>
  <c r="P68" i="11"/>
  <c r="G38" i="11"/>
  <c r="F58" i="11"/>
  <c r="V56" i="11"/>
  <c r="M74" i="14"/>
  <c r="M46" i="14"/>
  <c r="N46" i="14"/>
  <c r="M88" i="14"/>
  <c r="N88" i="14"/>
  <c r="K88" i="14"/>
  <c r="M60" i="14"/>
  <c r="N74" i="14"/>
  <c r="K46" i="14"/>
  <c r="K60" i="14"/>
  <c r="M72" i="13"/>
  <c r="M55" i="13"/>
  <c r="I58" i="12"/>
  <c r="I34" i="12"/>
  <c r="I42" i="12"/>
  <c r="I50" i="12"/>
  <c r="R48" i="11"/>
  <c r="O48" i="11"/>
  <c r="U36" i="11"/>
  <c r="U56" i="11"/>
  <c r="F68" i="11"/>
  <c r="T68" i="11"/>
  <c r="F48" i="11"/>
  <c r="W46" i="11"/>
  <c r="J48" i="11"/>
  <c r="S48" i="11"/>
  <c r="Q38" i="11"/>
  <c r="K38" i="11"/>
  <c r="S38" i="11"/>
  <c r="I38" i="11"/>
  <c r="I58" i="11"/>
  <c r="W56" i="11"/>
  <c r="O58" i="11"/>
  <c r="K58" i="11"/>
  <c r="S68" i="11"/>
  <c r="R68" i="11"/>
  <c r="Q68" i="11"/>
  <c r="O68" i="11"/>
  <c r="U46" i="11"/>
  <c r="V36" i="11"/>
  <c r="F38" i="11"/>
  <c r="R38" i="11"/>
  <c r="H58" i="11"/>
  <c r="P58" i="11"/>
  <c r="U66" i="11"/>
  <c r="J68" i="11"/>
  <c r="G48" i="11"/>
  <c r="K48" i="11"/>
  <c r="I48" i="11"/>
  <c r="Q48" i="11"/>
  <c r="T38" i="11"/>
  <c r="H38" i="11"/>
  <c r="W36" i="11"/>
  <c r="Q58" i="11"/>
  <c r="J58" i="11"/>
  <c r="R58" i="11"/>
  <c r="I68" i="11"/>
  <c r="K68" i="11"/>
  <c r="H68" i="11"/>
  <c r="Q25" i="16" l="1"/>
  <c r="P32" i="16"/>
  <c r="P890" i="16" s="1"/>
  <c r="P891" i="16" s="1"/>
  <c r="Q28" i="16"/>
  <c r="N32" i="16"/>
  <c r="N890" i="16" s="1"/>
  <c r="N891" i="16" s="1"/>
  <c r="L32" i="16"/>
  <c r="L890" i="16" s="1"/>
  <c r="L891" i="16" s="1"/>
  <c r="O32" i="16"/>
  <c r="O890" i="16" s="1"/>
  <c r="O891" i="16" s="1"/>
  <c r="Q29" i="16"/>
  <c r="K32" i="16"/>
  <c r="K890" i="16" s="1"/>
  <c r="K891" i="16" s="1"/>
  <c r="Q27" i="16"/>
  <c r="M32" i="16"/>
  <c r="M890" i="16" s="1"/>
  <c r="M891" i="16" s="1"/>
  <c r="Q26" i="16"/>
  <c r="Q30" i="16"/>
  <c r="Q26" i="15"/>
  <c r="Q33" i="15"/>
  <c r="Q32" i="15"/>
  <c r="P37" i="15"/>
  <c r="P1079" i="15" s="1"/>
  <c r="L37" i="15"/>
  <c r="L1079" i="15" s="1"/>
  <c r="Q30" i="15"/>
  <c r="Q31" i="15"/>
  <c r="Q35" i="15"/>
  <c r="O37" i="15"/>
  <c r="O1079" i="15" s="1"/>
  <c r="N37" i="15"/>
  <c r="N1079" i="15" s="1"/>
  <c r="Q28" i="15"/>
  <c r="Q34" i="15"/>
  <c r="K37" i="15"/>
  <c r="K1079" i="15" s="1"/>
  <c r="M37" i="15"/>
  <c r="M1079" i="15" s="1"/>
  <c r="R28" i="11"/>
  <c r="R645" i="11" s="1"/>
  <c r="I520" i="12"/>
  <c r="Q29" i="14"/>
  <c r="F28" i="11"/>
  <c r="F645" i="11" s="1"/>
  <c r="P28" i="11"/>
  <c r="P645" i="11" s="1"/>
  <c r="Q28" i="11"/>
  <c r="Q645" i="11" s="1"/>
  <c r="S28" i="11"/>
  <c r="S645" i="11" s="1"/>
  <c r="T28" i="11"/>
  <c r="T645" i="11" s="1"/>
  <c r="H28" i="11"/>
  <c r="H645" i="11" s="1"/>
  <c r="K28" i="11"/>
  <c r="K645" i="11" s="1"/>
  <c r="J28" i="11"/>
  <c r="J645" i="11" s="1"/>
  <c r="G28" i="11"/>
  <c r="G645" i="11" s="1"/>
  <c r="U26" i="11"/>
  <c r="I28" i="11"/>
  <c r="I645" i="11" s="1"/>
  <c r="O28" i="11"/>
  <c r="O645" i="11" s="1"/>
  <c r="V26" i="11"/>
  <c r="Q26" i="14"/>
  <c r="Q30" i="14"/>
  <c r="Q27" i="14"/>
  <c r="Q25" i="14"/>
  <c r="Q28" i="14"/>
  <c r="Q27" i="13"/>
  <c r="Q32" i="13"/>
  <c r="Q35" i="13"/>
  <c r="Q36" i="13"/>
  <c r="Q29" i="13"/>
  <c r="Q34" i="13"/>
  <c r="Q31" i="13"/>
  <c r="Q33" i="13"/>
  <c r="W26" i="11"/>
  <c r="N32" i="14"/>
  <c r="N890" i="14" s="1"/>
  <c r="K32" i="14"/>
  <c r="K890" i="14" s="1"/>
  <c r="M32" i="14"/>
  <c r="M890" i="14" s="1"/>
  <c r="M38" i="13"/>
  <c r="M1079" i="13" s="1"/>
  <c r="K15" i="14" l="1"/>
  <c r="K891" i="14" s="1"/>
  <c r="N15" i="14"/>
  <c r="N891" i="14" s="1"/>
  <c r="M15" i="14"/>
  <c r="M891" i="14" s="1"/>
  <c r="M18" i="13"/>
  <c r="N10" i="11" l="1"/>
  <c r="N449" i="11" l="1"/>
  <c r="W449" i="11" s="1"/>
  <c r="N358" i="11"/>
  <c r="W358" i="11" s="1"/>
  <c r="N318" i="11"/>
  <c r="W318" i="11" s="1"/>
  <c r="N278" i="11"/>
  <c r="W278" i="11" s="1"/>
  <c r="N237" i="11"/>
  <c r="W237" i="11" s="1"/>
  <c r="N459" i="11"/>
  <c r="W459" i="11" s="1"/>
  <c r="N559" i="11"/>
  <c r="W559" i="11" s="1"/>
  <c r="N539" i="11"/>
  <c r="W539" i="11" s="1"/>
  <c r="N529" i="11"/>
  <c r="W529" i="11" s="1"/>
  <c r="N579" i="11"/>
  <c r="W579" i="11" s="1"/>
  <c r="N599" i="11"/>
  <c r="W599" i="11" s="1"/>
  <c r="N328" i="11"/>
  <c r="W328" i="11" s="1"/>
  <c r="N610" i="11"/>
  <c r="W610" i="11" s="1"/>
  <c r="N469" i="11"/>
  <c r="W469" i="11" s="1"/>
  <c r="N549" i="11"/>
  <c r="W549" i="11" s="1"/>
  <c r="N408" i="11"/>
  <c r="W408" i="11" s="1"/>
  <c r="N308" i="11"/>
  <c r="W308" i="11" s="1"/>
  <c r="N298" i="11"/>
  <c r="W298" i="11" s="1"/>
  <c r="N288" i="11"/>
  <c r="W288" i="11" s="1"/>
  <c r="N640" i="11"/>
  <c r="W640" i="11" s="1"/>
  <c r="N439" i="11"/>
  <c r="W439" i="11" s="1"/>
  <c r="N398" i="11"/>
  <c r="W398" i="11" s="1"/>
  <c r="N348" i="11"/>
  <c r="W348" i="11" s="1"/>
  <c r="N630" i="11"/>
  <c r="W630" i="11" s="1"/>
  <c r="N509" i="11"/>
  <c r="W509" i="11" s="1"/>
  <c r="N499" i="11"/>
  <c r="W499" i="11" s="1"/>
  <c r="N589" i="11"/>
  <c r="W589" i="11" s="1"/>
  <c r="N368" i="11"/>
  <c r="W368" i="11" s="1"/>
  <c r="N267" i="11"/>
  <c r="W267" i="11" s="1"/>
  <c r="N569" i="11"/>
  <c r="W569" i="11" s="1"/>
  <c r="N388" i="11"/>
  <c r="W388" i="11" s="1"/>
  <c r="N338" i="11"/>
  <c r="W338" i="11" s="1"/>
  <c r="N257" i="11"/>
  <c r="W257" i="11" s="1"/>
  <c r="N428" i="11"/>
  <c r="W428" i="11" s="1"/>
  <c r="N620" i="11"/>
  <c r="W620" i="11" s="1"/>
  <c r="N378" i="11"/>
  <c r="W378" i="11" s="1"/>
  <c r="N418" i="11"/>
  <c r="W418" i="11" s="1"/>
  <c r="N519" i="11"/>
  <c r="W519" i="11" s="1"/>
  <c r="N479" i="11"/>
  <c r="W479" i="11" s="1"/>
  <c r="N247" i="11"/>
  <c r="W247" i="11" s="1"/>
  <c r="N489" i="11"/>
  <c r="W489" i="11" s="1"/>
  <c r="N217" i="11"/>
  <c r="W217" i="11" s="1"/>
  <c r="N227" i="11"/>
  <c r="W227" i="11" s="1"/>
  <c r="N77" i="11"/>
  <c r="W77" i="11" s="1"/>
  <c r="N87" i="11"/>
  <c r="W87" i="11" s="1"/>
  <c r="N107" i="11"/>
  <c r="W107" i="11" s="1"/>
  <c r="N147" i="11"/>
  <c r="W147" i="11" s="1"/>
  <c r="N117" i="11"/>
  <c r="W117" i="11" s="1"/>
  <c r="N197" i="11"/>
  <c r="W197" i="11" s="1"/>
  <c r="N137" i="11"/>
  <c r="W137" i="11" s="1"/>
  <c r="N207" i="11"/>
  <c r="W207" i="11" s="1"/>
  <c r="N187" i="11"/>
  <c r="W187" i="11" s="1"/>
  <c r="N157" i="11"/>
  <c r="W157" i="11" s="1"/>
  <c r="N127" i="11"/>
  <c r="W127" i="11" s="1"/>
  <c r="N97" i="11"/>
  <c r="W97" i="11" s="1"/>
  <c r="N177" i="11"/>
  <c r="W177" i="11" s="1"/>
  <c r="N167" i="11"/>
  <c r="W167" i="11" s="1"/>
  <c r="N27" i="11"/>
  <c r="W27" i="11" s="1"/>
  <c r="N37" i="11"/>
  <c r="W37" i="11" s="1"/>
  <c r="N57" i="11"/>
  <c r="W57" i="11" s="1"/>
  <c r="N67" i="11"/>
  <c r="W67" i="11" s="1"/>
  <c r="N47" i="11"/>
  <c r="W47" i="11" s="1"/>
  <c r="G14" i="16"/>
  <c r="J14" i="16"/>
  <c r="I14" i="16"/>
  <c r="H14" i="16"/>
  <c r="J6" i="16"/>
  <c r="I6" i="16"/>
  <c r="H6" i="16"/>
  <c r="G6" i="16"/>
  <c r="F6" i="16"/>
  <c r="G8" i="15"/>
  <c r="Q8" i="15" s="1"/>
  <c r="F8" i="15"/>
  <c r="G17" i="15"/>
  <c r="Q17" i="15" s="1"/>
  <c r="F17" i="15"/>
  <c r="J6" i="15"/>
  <c r="I6" i="15"/>
  <c r="H6" i="15"/>
  <c r="G6" i="15"/>
  <c r="F6" i="15"/>
  <c r="F8" i="13"/>
  <c r="F17" i="13"/>
  <c r="F14" i="14"/>
  <c r="Q6" i="16" l="1"/>
  <c r="Q14" i="16"/>
  <c r="Q6" i="15"/>
  <c r="F521" i="13"/>
  <c r="Q521" i="13" s="1"/>
  <c r="Q14" i="14"/>
  <c r="F339" i="14"/>
  <c r="Q339" i="14" s="1"/>
  <c r="F530" i="13"/>
  <c r="Q530" i="13" s="1"/>
  <c r="J871" i="16"/>
  <c r="J885" i="16"/>
  <c r="H863" i="16"/>
  <c r="H877" i="16"/>
  <c r="I877" i="16"/>
  <c r="I863" i="16"/>
  <c r="F863" i="16"/>
  <c r="F877" i="16"/>
  <c r="G863" i="16"/>
  <c r="G877" i="16"/>
  <c r="J877" i="16"/>
  <c r="J863" i="16"/>
  <c r="H885" i="16"/>
  <c r="H871" i="16"/>
  <c r="G885" i="16"/>
  <c r="G871" i="16"/>
  <c r="I885" i="16"/>
  <c r="I871" i="16"/>
  <c r="H815" i="16"/>
  <c r="H829" i="16"/>
  <c r="H843" i="16"/>
  <c r="H787" i="16"/>
  <c r="H857" i="16"/>
  <c r="H759" i="16"/>
  <c r="H801" i="16"/>
  <c r="H773" i="16"/>
  <c r="H745" i="16"/>
  <c r="I857" i="16"/>
  <c r="I745" i="16"/>
  <c r="I801" i="16"/>
  <c r="I787" i="16"/>
  <c r="I759" i="16"/>
  <c r="I773" i="16"/>
  <c r="I829" i="16"/>
  <c r="I815" i="16"/>
  <c r="I843" i="16"/>
  <c r="J787" i="16"/>
  <c r="J843" i="16"/>
  <c r="J759" i="16"/>
  <c r="J857" i="16"/>
  <c r="J801" i="16"/>
  <c r="J773" i="16"/>
  <c r="J829" i="16"/>
  <c r="J815" i="16"/>
  <c r="J745" i="16"/>
  <c r="F751" i="16"/>
  <c r="F835" i="16"/>
  <c r="F807" i="16"/>
  <c r="F765" i="16"/>
  <c r="F821" i="16"/>
  <c r="F737" i="16"/>
  <c r="F849" i="16"/>
  <c r="F793" i="16"/>
  <c r="F779" i="16"/>
  <c r="G793" i="16"/>
  <c r="G779" i="16"/>
  <c r="G835" i="16"/>
  <c r="G807" i="16"/>
  <c r="G765" i="16"/>
  <c r="G821" i="16"/>
  <c r="G737" i="16"/>
  <c r="G849" i="16"/>
  <c r="G751" i="16"/>
  <c r="H835" i="16"/>
  <c r="H807" i="16"/>
  <c r="H765" i="16"/>
  <c r="H821" i="16"/>
  <c r="H737" i="16"/>
  <c r="H849" i="16"/>
  <c r="H793" i="16"/>
  <c r="H751" i="16"/>
  <c r="H779" i="16"/>
  <c r="I765" i="16"/>
  <c r="I849" i="16"/>
  <c r="I821" i="16"/>
  <c r="I737" i="16"/>
  <c r="I835" i="16"/>
  <c r="I793" i="16"/>
  <c r="I779" i="16"/>
  <c r="I751" i="16"/>
  <c r="I807" i="16"/>
  <c r="G773" i="16"/>
  <c r="G829" i="16"/>
  <c r="G801" i="16"/>
  <c r="G857" i="16"/>
  <c r="G843" i="16"/>
  <c r="G787" i="16"/>
  <c r="G759" i="16"/>
  <c r="G745" i="16"/>
  <c r="G815" i="16"/>
  <c r="J807" i="16"/>
  <c r="J849" i="16"/>
  <c r="J821" i="16"/>
  <c r="J737" i="16"/>
  <c r="J835" i="16"/>
  <c r="J793" i="16"/>
  <c r="J779" i="16"/>
  <c r="J751" i="16"/>
  <c r="J765" i="16"/>
  <c r="J731" i="16"/>
  <c r="J619" i="16"/>
  <c r="J661" i="16"/>
  <c r="J717" i="16"/>
  <c r="J605" i="16"/>
  <c r="J647" i="16"/>
  <c r="J633" i="16"/>
  <c r="J591" i="16"/>
  <c r="J689" i="16"/>
  <c r="J675" i="16"/>
  <c r="J703" i="16"/>
  <c r="J563" i="16"/>
  <c r="J521" i="16"/>
  <c r="J577" i="16"/>
  <c r="J549" i="16"/>
  <c r="J535" i="16"/>
  <c r="F695" i="16"/>
  <c r="F625" i="16"/>
  <c r="F681" i="16"/>
  <c r="F709" i="16"/>
  <c r="F555" i="16"/>
  <c r="F667" i="16"/>
  <c r="F583" i="16"/>
  <c r="F527" i="16"/>
  <c r="F653" i="16"/>
  <c r="F639" i="16"/>
  <c r="F611" i="16"/>
  <c r="F541" i="16"/>
  <c r="F513" i="16"/>
  <c r="F569" i="16"/>
  <c r="F723" i="16"/>
  <c r="F597" i="16"/>
  <c r="G717" i="16"/>
  <c r="G605" i="16"/>
  <c r="G647" i="16"/>
  <c r="G703" i="16"/>
  <c r="G689" i="16"/>
  <c r="G675" i="16"/>
  <c r="G577" i="16"/>
  <c r="G591" i="16"/>
  <c r="G563" i="16"/>
  <c r="G731" i="16"/>
  <c r="G661" i="16"/>
  <c r="G633" i="16"/>
  <c r="G619" i="16"/>
  <c r="G535" i="16"/>
  <c r="G521" i="16"/>
  <c r="G549" i="16"/>
  <c r="G625" i="16"/>
  <c r="G667" i="16"/>
  <c r="G723" i="16"/>
  <c r="G611" i="16"/>
  <c r="G709" i="16"/>
  <c r="G681" i="16"/>
  <c r="G695" i="16"/>
  <c r="G583" i="16"/>
  <c r="G653" i="16"/>
  <c r="G639" i="16"/>
  <c r="G555" i="16"/>
  <c r="G541" i="16"/>
  <c r="G513" i="16"/>
  <c r="G569" i="16"/>
  <c r="G527" i="16"/>
  <c r="G597" i="16"/>
  <c r="H667" i="16"/>
  <c r="H709" i="16"/>
  <c r="H653" i="16"/>
  <c r="H639" i="16"/>
  <c r="H611" i="16"/>
  <c r="H583" i="16"/>
  <c r="H723" i="16"/>
  <c r="H597" i="16"/>
  <c r="H681" i="16"/>
  <c r="H555" i="16"/>
  <c r="H625" i="16"/>
  <c r="H541" i="16"/>
  <c r="H569" i="16"/>
  <c r="H513" i="16"/>
  <c r="H695" i="16"/>
  <c r="H527" i="16"/>
  <c r="I709" i="16"/>
  <c r="I597" i="16"/>
  <c r="I639" i="16"/>
  <c r="I695" i="16"/>
  <c r="I625" i="16"/>
  <c r="I569" i="16"/>
  <c r="I667" i="16"/>
  <c r="I653" i="16"/>
  <c r="I541" i="16"/>
  <c r="I611" i="16"/>
  <c r="I723" i="16"/>
  <c r="I513" i="16"/>
  <c r="I583" i="16"/>
  <c r="I681" i="16"/>
  <c r="I555" i="16"/>
  <c r="I527" i="16"/>
  <c r="J639" i="16"/>
  <c r="J681" i="16"/>
  <c r="J625" i="16"/>
  <c r="J555" i="16"/>
  <c r="J653" i="16"/>
  <c r="J541" i="16"/>
  <c r="J709" i="16"/>
  <c r="J611" i="16"/>
  <c r="J569" i="16"/>
  <c r="J513" i="16"/>
  <c r="J723" i="16"/>
  <c r="J695" i="16"/>
  <c r="J667" i="16"/>
  <c r="J583" i="16"/>
  <c r="J597" i="16"/>
  <c r="J527" i="16"/>
  <c r="H647" i="16"/>
  <c r="H689" i="16"/>
  <c r="H633" i="16"/>
  <c r="H717" i="16"/>
  <c r="H619" i="16"/>
  <c r="H563" i="16"/>
  <c r="H731" i="16"/>
  <c r="H703" i="16"/>
  <c r="H605" i="16"/>
  <c r="H675" i="16"/>
  <c r="H661" i="16"/>
  <c r="H591" i="16"/>
  <c r="H521" i="16"/>
  <c r="H577" i="16"/>
  <c r="H535" i="16"/>
  <c r="H549" i="16"/>
  <c r="I689" i="16"/>
  <c r="I731" i="16"/>
  <c r="I619" i="16"/>
  <c r="I675" i="16"/>
  <c r="I717" i="16"/>
  <c r="I549" i="16"/>
  <c r="I661" i="16"/>
  <c r="I647" i="16"/>
  <c r="I591" i="16"/>
  <c r="I521" i="16"/>
  <c r="I703" i="16"/>
  <c r="I633" i="16"/>
  <c r="I563" i="16"/>
  <c r="I577" i="16"/>
  <c r="I605" i="16"/>
  <c r="I535" i="16"/>
  <c r="H465" i="16"/>
  <c r="H507" i="16"/>
  <c r="H437" i="16"/>
  <c r="H409" i="16"/>
  <c r="H423" i="16"/>
  <c r="H451" i="16"/>
  <c r="H479" i="16"/>
  <c r="H493" i="16"/>
  <c r="I507" i="16"/>
  <c r="I479" i="16"/>
  <c r="I451" i="16"/>
  <c r="I423" i="16"/>
  <c r="I437" i="16"/>
  <c r="I493" i="16"/>
  <c r="I465" i="16"/>
  <c r="I409" i="16"/>
  <c r="F401" i="16"/>
  <c r="F485" i="16"/>
  <c r="F457" i="16"/>
  <c r="F415" i="16"/>
  <c r="F443" i="16"/>
  <c r="F471" i="16"/>
  <c r="F499" i="16"/>
  <c r="F429" i="16"/>
  <c r="G423" i="16"/>
  <c r="G507" i="16"/>
  <c r="G479" i="16"/>
  <c r="G493" i="16"/>
  <c r="G465" i="16"/>
  <c r="G451" i="16"/>
  <c r="G409" i="16"/>
  <c r="G437" i="16"/>
  <c r="J507" i="16"/>
  <c r="J437" i="16"/>
  <c r="J479" i="16"/>
  <c r="J409" i="16"/>
  <c r="J493" i="16"/>
  <c r="J451" i="16"/>
  <c r="J465" i="16"/>
  <c r="J423" i="16"/>
  <c r="G443" i="16"/>
  <c r="G485" i="16"/>
  <c r="G415" i="16"/>
  <c r="G499" i="16"/>
  <c r="G471" i="16"/>
  <c r="G429" i="16"/>
  <c r="G401" i="16"/>
  <c r="G457" i="16"/>
  <c r="H485" i="16"/>
  <c r="H457" i="16"/>
  <c r="H499" i="16"/>
  <c r="H429" i="16"/>
  <c r="H415" i="16"/>
  <c r="H471" i="16"/>
  <c r="H443" i="16"/>
  <c r="H401" i="16"/>
  <c r="I415" i="16"/>
  <c r="I499" i="16"/>
  <c r="I471" i="16"/>
  <c r="I443" i="16"/>
  <c r="I485" i="16"/>
  <c r="I429" i="16"/>
  <c r="I457" i="16"/>
  <c r="I401" i="16"/>
  <c r="J457" i="16"/>
  <c r="J499" i="16"/>
  <c r="J429" i="16"/>
  <c r="J401" i="16"/>
  <c r="J443" i="16"/>
  <c r="J485" i="16"/>
  <c r="J471" i="16"/>
  <c r="J415" i="16"/>
  <c r="G373" i="16"/>
  <c r="G359" i="16"/>
  <c r="G345" i="16"/>
  <c r="G387" i="16"/>
  <c r="J395" i="16"/>
  <c r="J367" i="16"/>
  <c r="J381" i="16"/>
  <c r="J353" i="16"/>
  <c r="H373" i="16"/>
  <c r="H345" i="16"/>
  <c r="H359" i="16"/>
  <c r="H387" i="16"/>
  <c r="I373" i="16"/>
  <c r="I345" i="16"/>
  <c r="I387" i="16"/>
  <c r="I359" i="16"/>
  <c r="J345" i="16"/>
  <c r="J387" i="16"/>
  <c r="J359" i="16"/>
  <c r="J373" i="16"/>
  <c r="G381" i="16"/>
  <c r="G353" i="16"/>
  <c r="G395" i="16"/>
  <c r="G367" i="16"/>
  <c r="H353" i="16"/>
  <c r="H395" i="16"/>
  <c r="H367" i="16"/>
  <c r="H381" i="16"/>
  <c r="F359" i="16"/>
  <c r="F373" i="16"/>
  <c r="F345" i="16"/>
  <c r="F387" i="16"/>
  <c r="I353" i="16"/>
  <c r="I381" i="16"/>
  <c r="I395" i="16"/>
  <c r="I367" i="16"/>
  <c r="I339" i="16"/>
  <c r="I325" i="16"/>
  <c r="J325" i="16"/>
  <c r="J339" i="16"/>
  <c r="F317" i="16"/>
  <c r="F331" i="16"/>
  <c r="G339" i="16"/>
  <c r="G325" i="16"/>
  <c r="G317" i="16"/>
  <c r="G331" i="16"/>
  <c r="H317" i="16"/>
  <c r="H331" i="16"/>
  <c r="J331" i="16"/>
  <c r="J317" i="16"/>
  <c r="I331" i="16"/>
  <c r="I317" i="16"/>
  <c r="H339" i="16"/>
  <c r="H325" i="16"/>
  <c r="I311" i="16"/>
  <c r="I297" i="16"/>
  <c r="J311" i="16"/>
  <c r="J297" i="16"/>
  <c r="F289" i="16"/>
  <c r="F303" i="16"/>
  <c r="G311" i="16"/>
  <c r="G297" i="16"/>
  <c r="G289" i="16"/>
  <c r="G303" i="16"/>
  <c r="J289" i="16"/>
  <c r="J303" i="16"/>
  <c r="H303" i="16"/>
  <c r="H289" i="16"/>
  <c r="I303" i="16"/>
  <c r="I289" i="16"/>
  <c r="H311" i="16"/>
  <c r="H297" i="16"/>
  <c r="J1062" i="15"/>
  <c r="J1045" i="15"/>
  <c r="J977" i="15"/>
  <c r="J960" i="15"/>
  <c r="J892" i="15"/>
  <c r="J1011" i="15"/>
  <c r="J994" i="15"/>
  <c r="J909" i="15"/>
  <c r="J1028" i="15"/>
  <c r="J926" i="15"/>
  <c r="J943" i="15"/>
  <c r="H1030" i="15"/>
  <c r="H1047" i="15"/>
  <c r="H1064" i="15"/>
  <c r="H996" i="15"/>
  <c r="H928" i="15"/>
  <c r="H894" i="15"/>
  <c r="H911" i="15"/>
  <c r="H1013" i="15"/>
  <c r="H962" i="15"/>
  <c r="H945" i="15"/>
  <c r="H979" i="15"/>
  <c r="F1056" i="15"/>
  <c r="F1073" i="15"/>
  <c r="F954" i="15"/>
  <c r="F1039" i="15"/>
  <c r="F1005" i="15"/>
  <c r="F937" i="15"/>
  <c r="F1022" i="15"/>
  <c r="F971" i="15"/>
  <c r="F903" i="15"/>
  <c r="F988" i="15"/>
  <c r="F920" i="15"/>
  <c r="I1064" i="15"/>
  <c r="I996" i="15"/>
  <c r="I928" i="15"/>
  <c r="I1013" i="15"/>
  <c r="I979" i="15"/>
  <c r="I911" i="15"/>
  <c r="I1047" i="15"/>
  <c r="I945" i="15"/>
  <c r="I962" i="15"/>
  <c r="I1030" i="15"/>
  <c r="I894" i="15"/>
  <c r="G1039" i="15"/>
  <c r="G1073" i="15"/>
  <c r="G954" i="15"/>
  <c r="G1005" i="15"/>
  <c r="G937" i="15"/>
  <c r="G988" i="15"/>
  <c r="G1022" i="15"/>
  <c r="G903" i="15"/>
  <c r="G1056" i="15"/>
  <c r="G971" i="15"/>
  <c r="G920" i="15"/>
  <c r="J1013" i="15"/>
  <c r="J996" i="15"/>
  <c r="J1064" i="15"/>
  <c r="J979" i="15"/>
  <c r="J911" i="15"/>
  <c r="J1030" i="15"/>
  <c r="J962" i="15"/>
  <c r="J928" i="15"/>
  <c r="J894" i="15"/>
  <c r="J1047" i="15"/>
  <c r="J945" i="15"/>
  <c r="I1022" i="15"/>
  <c r="I1039" i="15"/>
  <c r="I1005" i="15"/>
  <c r="I988" i="15"/>
  <c r="I920" i="15"/>
  <c r="I1056" i="15"/>
  <c r="I937" i="15"/>
  <c r="I1073" i="15"/>
  <c r="I903" i="15"/>
  <c r="I954" i="15"/>
  <c r="I971" i="15"/>
  <c r="J988" i="15"/>
  <c r="J920" i="15"/>
  <c r="J1056" i="15"/>
  <c r="J971" i="15"/>
  <c r="J903" i="15"/>
  <c r="J1039" i="15"/>
  <c r="J1005" i="15"/>
  <c r="J937" i="15"/>
  <c r="J1073" i="15"/>
  <c r="J1022" i="15"/>
  <c r="J954" i="15"/>
  <c r="H1011" i="15"/>
  <c r="H994" i="15"/>
  <c r="H1045" i="15"/>
  <c r="H977" i="15"/>
  <c r="H909" i="15"/>
  <c r="H1028" i="15"/>
  <c r="H892" i="15"/>
  <c r="H926" i="15"/>
  <c r="H960" i="15"/>
  <c r="H1062" i="15"/>
  <c r="H943" i="15"/>
  <c r="F1047" i="15"/>
  <c r="F1030" i="15"/>
  <c r="F962" i="15"/>
  <c r="F945" i="15"/>
  <c r="F894" i="15"/>
  <c r="F1013" i="15"/>
  <c r="F996" i="15"/>
  <c r="F911" i="15"/>
  <c r="F1064" i="15"/>
  <c r="F928" i="15"/>
  <c r="F979" i="15"/>
  <c r="H1039" i="15"/>
  <c r="H1005" i="15"/>
  <c r="H937" i="15"/>
  <c r="H988" i="15"/>
  <c r="H920" i="15"/>
  <c r="H1073" i="15"/>
  <c r="H954" i="15"/>
  <c r="H1022" i="15"/>
  <c r="H1056" i="15"/>
  <c r="H903" i="15"/>
  <c r="H971" i="15"/>
  <c r="F1028" i="15"/>
  <c r="F1011" i="15"/>
  <c r="F994" i="15"/>
  <c r="F926" i="15"/>
  <c r="F1062" i="15"/>
  <c r="F1045" i="15"/>
  <c r="F960" i="15"/>
  <c r="F892" i="15"/>
  <c r="F909" i="15"/>
  <c r="F977" i="15"/>
  <c r="F943" i="15"/>
  <c r="G1028" i="15"/>
  <c r="G1011" i="15"/>
  <c r="G994" i="15"/>
  <c r="G926" i="15"/>
  <c r="G1045" i="15"/>
  <c r="G977" i="15"/>
  <c r="G909" i="15"/>
  <c r="G943" i="15"/>
  <c r="G892" i="15"/>
  <c r="G1062" i="15"/>
  <c r="G960" i="15"/>
  <c r="I1011" i="15"/>
  <c r="I1045" i="15"/>
  <c r="I977" i="15"/>
  <c r="I909" i="15"/>
  <c r="I960" i="15"/>
  <c r="I892" i="15"/>
  <c r="I994" i="15"/>
  <c r="I926" i="15"/>
  <c r="I1062" i="15"/>
  <c r="I1028" i="15"/>
  <c r="I943" i="15"/>
  <c r="G1047" i="15"/>
  <c r="G945" i="15"/>
  <c r="G1064" i="15"/>
  <c r="G996" i="15"/>
  <c r="G928" i="15"/>
  <c r="G962" i="15"/>
  <c r="G894" i="15"/>
  <c r="G1013" i="15"/>
  <c r="G911" i="15"/>
  <c r="G979" i="15"/>
  <c r="G1030" i="15"/>
  <c r="G869" i="15"/>
  <c r="G801" i="15"/>
  <c r="G852" i="15"/>
  <c r="G835" i="15"/>
  <c r="G733" i="15"/>
  <c r="G818" i="15"/>
  <c r="G784" i="15"/>
  <c r="G767" i="15"/>
  <c r="G886" i="15"/>
  <c r="G716" i="15"/>
  <c r="G648" i="15"/>
  <c r="G699" i="15"/>
  <c r="G750" i="15"/>
  <c r="G665" i="15"/>
  <c r="G682" i="15"/>
  <c r="G631" i="15"/>
  <c r="H835" i="15"/>
  <c r="H767" i="15"/>
  <c r="H852" i="15"/>
  <c r="H784" i="15"/>
  <c r="H869" i="15"/>
  <c r="H801" i="15"/>
  <c r="H750" i="15"/>
  <c r="H886" i="15"/>
  <c r="H818" i="15"/>
  <c r="H733" i="15"/>
  <c r="H699" i="15"/>
  <c r="H631" i="15"/>
  <c r="H682" i="15"/>
  <c r="H648" i="15"/>
  <c r="H716" i="15"/>
  <c r="H665" i="15"/>
  <c r="F858" i="15"/>
  <c r="F790" i="15"/>
  <c r="F773" i="15"/>
  <c r="F722" i="15"/>
  <c r="F841" i="15"/>
  <c r="F824" i="15"/>
  <c r="F875" i="15"/>
  <c r="F807" i="15"/>
  <c r="F705" i="15"/>
  <c r="F637" i="15"/>
  <c r="F654" i="15"/>
  <c r="F756" i="15"/>
  <c r="F620" i="15"/>
  <c r="F671" i="15"/>
  <c r="F739" i="15"/>
  <c r="F688" i="15"/>
  <c r="I852" i="15"/>
  <c r="I784" i="15"/>
  <c r="I818" i="15"/>
  <c r="I716" i="15"/>
  <c r="I886" i="15"/>
  <c r="I835" i="15"/>
  <c r="I767" i="15"/>
  <c r="I699" i="15"/>
  <c r="I631" i="15"/>
  <c r="I665" i="15"/>
  <c r="I750" i="15"/>
  <c r="I801" i="15"/>
  <c r="I682" i="15"/>
  <c r="I648" i="15"/>
  <c r="I869" i="15"/>
  <c r="I733" i="15"/>
  <c r="J843" i="15"/>
  <c r="J775" i="15"/>
  <c r="J877" i="15"/>
  <c r="J860" i="15"/>
  <c r="J826" i="15"/>
  <c r="J809" i="15"/>
  <c r="J792" i="15"/>
  <c r="J724" i="15"/>
  <c r="J690" i="15"/>
  <c r="J622" i="15"/>
  <c r="J656" i="15"/>
  <c r="J758" i="15"/>
  <c r="J707" i="15"/>
  <c r="J673" i="15"/>
  <c r="J639" i="15"/>
  <c r="J741" i="15"/>
  <c r="G824" i="15"/>
  <c r="G841" i="15"/>
  <c r="G773" i="15"/>
  <c r="G790" i="15"/>
  <c r="G875" i="15"/>
  <c r="G756" i="15"/>
  <c r="G858" i="15"/>
  <c r="G739" i="15"/>
  <c r="G688" i="15"/>
  <c r="G722" i="15"/>
  <c r="G671" i="15"/>
  <c r="G654" i="15"/>
  <c r="G705" i="15"/>
  <c r="G807" i="15"/>
  <c r="G637" i="15"/>
  <c r="G620" i="15"/>
  <c r="F877" i="15"/>
  <c r="F809" i="15"/>
  <c r="F741" i="15"/>
  <c r="F826" i="15"/>
  <c r="F843" i="15"/>
  <c r="F792" i="15"/>
  <c r="F656" i="15"/>
  <c r="F758" i="15"/>
  <c r="F860" i="15"/>
  <c r="F707" i="15"/>
  <c r="F673" i="15"/>
  <c r="F724" i="15"/>
  <c r="F639" i="15"/>
  <c r="F775" i="15"/>
  <c r="F690" i="15"/>
  <c r="F622" i="15"/>
  <c r="G843" i="15"/>
  <c r="G775" i="15"/>
  <c r="G860" i="15"/>
  <c r="G792" i="15"/>
  <c r="G877" i="15"/>
  <c r="G758" i="15"/>
  <c r="G741" i="15"/>
  <c r="G707" i="15"/>
  <c r="G673" i="15"/>
  <c r="G826" i="15"/>
  <c r="G809" i="15"/>
  <c r="G639" i="15"/>
  <c r="G656" i="15"/>
  <c r="G690" i="15"/>
  <c r="G724" i="15"/>
  <c r="G622" i="15"/>
  <c r="J824" i="15"/>
  <c r="J756" i="15"/>
  <c r="J875" i="15"/>
  <c r="J858" i="15"/>
  <c r="J841" i="15"/>
  <c r="J790" i="15"/>
  <c r="J807" i="15"/>
  <c r="J773" i="15"/>
  <c r="J739" i="15"/>
  <c r="J671" i="15"/>
  <c r="J722" i="15"/>
  <c r="J637" i="15"/>
  <c r="J705" i="15"/>
  <c r="J620" i="15"/>
  <c r="J688" i="15"/>
  <c r="J654" i="15"/>
  <c r="H860" i="15"/>
  <c r="H792" i="15"/>
  <c r="H724" i="15"/>
  <c r="H877" i="15"/>
  <c r="H843" i="15"/>
  <c r="H826" i="15"/>
  <c r="H809" i="15"/>
  <c r="H758" i="15"/>
  <c r="H741" i="15"/>
  <c r="H707" i="15"/>
  <c r="H639" i="15"/>
  <c r="H775" i="15"/>
  <c r="H690" i="15"/>
  <c r="H656" i="15"/>
  <c r="H673" i="15"/>
  <c r="H622" i="15"/>
  <c r="J886" i="15"/>
  <c r="J818" i="15"/>
  <c r="J835" i="15"/>
  <c r="J767" i="15"/>
  <c r="J750" i="15"/>
  <c r="J733" i="15"/>
  <c r="J801" i="15"/>
  <c r="J852" i="15"/>
  <c r="J869" i="15"/>
  <c r="J682" i="15"/>
  <c r="J699" i="15"/>
  <c r="J648" i="15"/>
  <c r="J716" i="15"/>
  <c r="J784" i="15"/>
  <c r="J665" i="15"/>
  <c r="J631" i="15"/>
  <c r="H841" i="15"/>
  <c r="H773" i="15"/>
  <c r="H875" i="15"/>
  <c r="H807" i="15"/>
  <c r="H824" i="15"/>
  <c r="H688" i="15"/>
  <c r="H620" i="15"/>
  <c r="H756" i="15"/>
  <c r="H739" i="15"/>
  <c r="H790" i="15"/>
  <c r="H722" i="15"/>
  <c r="H858" i="15"/>
  <c r="H637" i="15"/>
  <c r="H705" i="15"/>
  <c r="H671" i="15"/>
  <c r="H654" i="15"/>
  <c r="I875" i="15"/>
  <c r="I807" i="15"/>
  <c r="I824" i="15"/>
  <c r="I858" i="15"/>
  <c r="I739" i="15"/>
  <c r="I722" i="15"/>
  <c r="I841" i="15"/>
  <c r="I756" i="15"/>
  <c r="I671" i="15"/>
  <c r="I773" i="15"/>
  <c r="I705" i="15"/>
  <c r="I637" i="15"/>
  <c r="I620" i="15"/>
  <c r="I790" i="15"/>
  <c r="I688" i="15"/>
  <c r="I654" i="15"/>
  <c r="F852" i="15"/>
  <c r="F784" i="15"/>
  <c r="F869" i="15"/>
  <c r="F801" i="15"/>
  <c r="F886" i="15"/>
  <c r="F835" i="15"/>
  <c r="F818" i="15"/>
  <c r="F716" i="15"/>
  <c r="F750" i="15"/>
  <c r="F648" i="15"/>
  <c r="F699" i="15"/>
  <c r="F665" i="15"/>
  <c r="F733" i="15"/>
  <c r="F631" i="15"/>
  <c r="F682" i="15"/>
  <c r="F767" i="15"/>
  <c r="I826" i="15"/>
  <c r="I843" i="15"/>
  <c r="I775" i="15"/>
  <c r="I877" i="15"/>
  <c r="I860" i="15"/>
  <c r="I758" i="15"/>
  <c r="I741" i="15"/>
  <c r="I792" i="15"/>
  <c r="I809" i="15"/>
  <c r="I724" i="15"/>
  <c r="I690" i="15"/>
  <c r="I707" i="15"/>
  <c r="I656" i="15"/>
  <c r="I622" i="15"/>
  <c r="I673" i="15"/>
  <c r="I639" i="15"/>
  <c r="F580" i="15"/>
  <c r="F512" i="15"/>
  <c r="F597" i="15"/>
  <c r="F563" i="15"/>
  <c r="F546" i="15"/>
  <c r="F529" i="15"/>
  <c r="F495" i="15"/>
  <c r="F614" i="15"/>
  <c r="J605" i="15"/>
  <c r="J537" i="15"/>
  <c r="J571" i="15"/>
  <c r="J503" i="15"/>
  <c r="J588" i="15"/>
  <c r="J554" i="15"/>
  <c r="J520" i="15"/>
  <c r="J486" i="15"/>
  <c r="H563" i="15"/>
  <c r="H495" i="15"/>
  <c r="H546" i="15"/>
  <c r="H529" i="15"/>
  <c r="H512" i="15"/>
  <c r="H580" i="15"/>
  <c r="H614" i="15"/>
  <c r="H597" i="15"/>
  <c r="F552" i="15"/>
  <c r="F586" i="15"/>
  <c r="F518" i="15"/>
  <c r="F603" i="15"/>
  <c r="F569" i="15"/>
  <c r="F535" i="15"/>
  <c r="F484" i="15"/>
  <c r="F501" i="15"/>
  <c r="I614" i="15"/>
  <c r="I546" i="15"/>
  <c r="I580" i="15"/>
  <c r="I512" i="15"/>
  <c r="I529" i="15"/>
  <c r="I563" i="15"/>
  <c r="I495" i="15"/>
  <c r="I597" i="15"/>
  <c r="I554" i="15"/>
  <c r="I605" i="15"/>
  <c r="I588" i="15"/>
  <c r="I571" i="15"/>
  <c r="I537" i="15"/>
  <c r="I520" i="15"/>
  <c r="I503" i="15"/>
  <c r="I486" i="15"/>
  <c r="G563" i="15"/>
  <c r="G495" i="15"/>
  <c r="G597" i="15"/>
  <c r="G529" i="15"/>
  <c r="G580" i="15"/>
  <c r="G546" i="15"/>
  <c r="G512" i="15"/>
  <c r="G614" i="15"/>
  <c r="J614" i="15"/>
  <c r="J546" i="15"/>
  <c r="J512" i="15"/>
  <c r="J495" i="15"/>
  <c r="J597" i="15"/>
  <c r="J580" i="15"/>
  <c r="J563" i="15"/>
  <c r="J529" i="15"/>
  <c r="H603" i="15"/>
  <c r="H535" i="15"/>
  <c r="H569" i="15"/>
  <c r="H501" i="15"/>
  <c r="H586" i="15"/>
  <c r="H484" i="15"/>
  <c r="H552" i="15"/>
  <c r="H518" i="15"/>
  <c r="I603" i="15"/>
  <c r="I535" i="15"/>
  <c r="I586" i="15"/>
  <c r="I484" i="15"/>
  <c r="I569" i="15"/>
  <c r="I552" i="15"/>
  <c r="I518" i="15"/>
  <c r="I501" i="15"/>
  <c r="G571" i="15"/>
  <c r="G503" i="15"/>
  <c r="G605" i="15"/>
  <c r="G588" i="15"/>
  <c r="G554" i="15"/>
  <c r="G537" i="15"/>
  <c r="G520" i="15"/>
  <c r="G486" i="15"/>
  <c r="G552" i="15"/>
  <c r="G603" i="15"/>
  <c r="G586" i="15"/>
  <c r="G569" i="15"/>
  <c r="G535" i="15"/>
  <c r="G484" i="15"/>
  <c r="G518" i="15"/>
  <c r="G501" i="15"/>
  <c r="F571" i="15"/>
  <c r="F503" i="15"/>
  <c r="F605" i="15"/>
  <c r="F537" i="15"/>
  <c r="F588" i="15"/>
  <c r="F554" i="15"/>
  <c r="F520" i="15"/>
  <c r="F486" i="15"/>
  <c r="J586" i="15"/>
  <c r="J518" i="15"/>
  <c r="J552" i="15"/>
  <c r="J603" i="15"/>
  <c r="J484" i="15"/>
  <c r="J569" i="15"/>
  <c r="J535" i="15"/>
  <c r="J501" i="15"/>
  <c r="H554" i="15"/>
  <c r="H588" i="15"/>
  <c r="H520" i="15"/>
  <c r="H605" i="15"/>
  <c r="H571" i="15"/>
  <c r="H537" i="15"/>
  <c r="H503" i="15"/>
  <c r="H486" i="15"/>
  <c r="G427" i="15"/>
  <c r="G478" i="15"/>
  <c r="G461" i="15"/>
  <c r="G444" i="15"/>
  <c r="J469" i="15"/>
  <c r="J452" i="15"/>
  <c r="J435" i="15"/>
  <c r="J418" i="15"/>
  <c r="H427" i="15"/>
  <c r="H478" i="15"/>
  <c r="H444" i="15"/>
  <c r="H461" i="15"/>
  <c r="F416" i="15"/>
  <c r="F467" i="15"/>
  <c r="F450" i="15"/>
  <c r="F433" i="15"/>
  <c r="I478" i="15"/>
  <c r="I461" i="15"/>
  <c r="I444" i="15"/>
  <c r="I427" i="15"/>
  <c r="J478" i="15"/>
  <c r="J461" i="15"/>
  <c r="J427" i="15"/>
  <c r="J444" i="15"/>
  <c r="H467" i="15"/>
  <c r="H450" i="15"/>
  <c r="H433" i="15"/>
  <c r="H416" i="15"/>
  <c r="I467" i="15"/>
  <c r="I450" i="15"/>
  <c r="I433" i="15"/>
  <c r="I416" i="15"/>
  <c r="J450" i="15"/>
  <c r="J433" i="15"/>
  <c r="J416" i="15"/>
  <c r="J467" i="15"/>
  <c r="H418" i="15"/>
  <c r="H469" i="15"/>
  <c r="H452" i="15"/>
  <c r="H435" i="15"/>
  <c r="G416" i="15"/>
  <c r="G467" i="15"/>
  <c r="G433" i="15"/>
  <c r="G450" i="15"/>
  <c r="F435" i="15"/>
  <c r="F418" i="15"/>
  <c r="F469" i="15"/>
  <c r="F452" i="15"/>
  <c r="G435" i="15"/>
  <c r="G452" i="15"/>
  <c r="G469" i="15"/>
  <c r="G418" i="15"/>
  <c r="F444" i="15"/>
  <c r="F427" i="15"/>
  <c r="F461" i="15"/>
  <c r="F478" i="15"/>
  <c r="I418" i="15"/>
  <c r="I469" i="15"/>
  <c r="I435" i="15"/>
  <c r="I452" i="15"/>
  <c r="F410" i="15"/>
  <c r="F393" i="15"/>
  <c r="G410" i="15"/>
  <c r="G393" i="15"/>
  <c r="F399" i="15"/>
  <c r="F382" i="15"/>
  <c r="I410" i="15"/>
  <c r="I393" i="15"/>
  <c r="H401" i="15"/>
  <c r="H384" i="15"/>
  <c r="J401" i="15"/>
  <c r="J384" i="15"/>
  <c r="H410" i="15"/>
  <c r="H393" i="15"/>
  <c r="J410" i="15"/>
  <c r="J393" i="15"/>
  <c r="H399" i="15"/>
  <c r="H382" i="15"/>
  <c r="F401" i="15"/>
  <c r="F384" i="15"/>
  <c r="J382" i="15"/>
  <c r="J399" i="15"/>
  <c r="I401" i="15"/>
  <c r="I384" i="15"/>
  <c r="G399" i="15"/>
  <c r="G382" i="15"/>
  <c r="I399" i="15"/>
  <c r="I382" i="15"/>
  <c r="G401" i="15"/>
  <c r="G384" i="15"/>
  <c r="F376" i="15"/>
  <c r="F359" i="15"/>
  <c r="J350" i="15"/>
  <c r="J367" i="15"/>
  <c r="H359" i="15"/>
  <c r="H376" i="15"/>
  <c r="F348" i="15"/>
  <c r="F365" i="15"/>
  <c r="I376" i="15"/>
  <c r="I359" i="15"/>
  <c r="G365" i="15"/>
  <c r="G348" i="15"/>
  <c r="H348" i="15"/>
  <c r="H365" i="15"/>
  <c r="I365" i="15"/>
  <c r="I348" i="15"/>
  <c r="G367" i="15"/>
  <c r="G350" i="15"/>
  <c r="I367" i="15"/>
  <c r="I350" i="15"/>
  <c r="G376" i="15"/>
  <c r="G359" i="15"/>
  <c r="J376" i="15"/>
  <c r="J359" i="15"/>
  <c r="F367" i="15"/>
  <c r="F350" i="15"/>
  <c r="J348" i="15"/>
  <c r="J365" i="15"/>
  <c r="H350" i="15"/>
  <c r="H367" i="15"/>
  <c r="Q17" i="13"/>
  <c r="R17" i="15" s="1"/>
  <c r="Q8" i="13"/>
  <c r="R8" i="15" s="1"/>
  <c r="F311" i="14"/>
  <c r="Q311" i="14" s="1"/>
  <c r="F857" i="14"/>
  <c r="Q857" i="14" s="1"/>
  <c r="F843" i="14"/>
  <c r="Q843" i="14" s="1"/>
  <c r="F871" i="14"/>
  <c r="Q871" i="14" s="1"/>
  <c r="F885" i="14"/>
  <c r="Q885" i="14" s="1"/>
  <c r="F801" i="14"/>
  <c r="Q801" i="14" s="1"/>
  <c r="F745" i="14"/>
  <c r="Q745" i="14" s="1"/>
  <c r="F381" i="14"/>
  <c r="Q381" i="14" s="1"/>
  <c r="F689" i="14"/>
  <c r="Q689" i="14" s="1"/>
  <c r="F633" i="14"/>
  <c r="Q633" i="14" s="1"/>
  <c r="F493" i="14"/>
  <c r="Q493" i="14" s="1"/>
  <c r="F647" i="14"/>
  <c r="Q647" i="14" s="1"/>
  <c r="F367" i="14"/>
  <c r="Q367" i="14" s="1"/>
  <c r="F591" i="14"/>
  <c r="Q591" i="14" s="1"/>
  <c r="F353" i="14"/>
  <c r="Q353" i="14" s="1"/>
  <c r="F325" i="14"/>
  <c r="Q325" i="14" s="1"/>
  <c r="F409" i="14"/>
  <c r="Q409" i="14" s="1"/>
  <c r="F479" i="14"/>
  <c r="Q479" i="14" s="1"/>
  <c r="F619" i="14"/>
  <c r="Q619" i="14" s="1"/>
  <c r="F787" i="14"/>
  <c r="Q787" i="14" s="1"/>
  <c r="F731" i="14"/>
  <c r="Q731" i="14" s="1"/>
  <c r="F465" i="14"/>
  <c r="Q465" i="14" s="1"/>
  <c r="F451" i="14"/>
  <c r="Q451" i="14" s="1"/>
  <c r="F773" i="14"/>
  <c r="Q773" i="14" s="1"/>
  <c r="F829" i="14"/>
  <c r="Q829" i="14" s="1"/>
  <c r="F437" i="14"/>
  <c r="Q437" i="14" s="1"/>
  <c r="F815" i="14"/>
  <c r="Q815" i="14" s="1"/>
  <c r="F535" i="14"/>
  <c r="Q535" i="14" s="1"/>
  <c r="F577" i="14"/>
  <c r="Q577" i="14" s="1"/>
  <c r="F395" i="14"/>
  <c r="Q395" i="14" s="1"/>
  <c r="F759" i="14"/>
  <c r="Q759" i="14" s="1"/>
  <c r="F605" i="14"/>
  <c r="Q605" i="14" s="1"/>
  <c r="F507" i="14"/>
  <c r="Q507" i="14" s="1"/>
  <c r="F563" i="14"/>
  <c r="Q563" i="14" s="1"/>
  <c r="F661" i="14"/>
  <c r="Q661" i="14" s="1"/>
  <c r="F717" i="14"/>
  <c r="Q717" i="14" s="1"/>
  <c r="F675" i="14"/>
  <c r="Q675" i="14" s="1"/>
  <c r="F703" i="14"/>
  <c r="Q703" i="14" s="1"/>
  <c r="F423" i="14"/>
  <c r="Q423" i="14" s="1"/>
  <c r="F549" i="14"/>
  <c r="Q549" i="14" s="1"/>
  <c r="F521" i="14"/>
  <c r="Q521" i="14" s="1"/>
  <c r="F547" i="13"/>
  <c r="Q547" i="13" s="1"/>
  <c r="F836" i="13"/>
  <c r="Q836" i="13" s="1"/>
  <c r="F819" i="13"/>
  <c r="Q819" i="13" s="1"/>
  <c r="F1006" i="13"/>
  <c r="Q1006" i="13" s="1"/>
  <c r="F1057" i="13"/>
  <c r="Q1057" i="13" s="1"/>
  <c r="F802" i="13"/>
  <c r="Q802" i="13" s="1"/>
  <c r="F649" i="13"/>
  <c r="Q649" i="13" s="1"/>
  <c r="F666" i="13"/>
  <c r="Q666" i="13" s="1"/>
  <c r="F598" i="13"/>
  <c r="Q598" i="13" s="1"/>
  <c r="F972" i="13"/>
  <c r="Q972" i="13" s="1"/>
  <c r="F1040" i="13"/>
  <c r="Q1040" i="13" s="1"/>
  <c r="F938" i="13"/>
  <c r="Q938" i="13" s="1"/>
  <c r="F887" i="13"/>
  <c r="Q887" i="13" s="1"/>
  <c r="F989" i="13"/>
  <c r="Q989" i="13" s="1"/>
  <c r="F904" i="13"/>
  <c r="Q904" i="13" s="1"/>
  <c r="F870" i="13"/>
  <c r="Q870" i="13" s="1"/>
  <c r="F921" i="13"/>
  <c r="Q921" i="13" s="1"/>
  <c r="F632" i="13"/>
  <c r="Q632" i="13" s="1"/>
  <c r="F734" i="13"/>
  <c r="Q734" i="13" s="1"/>
  <c r="F615" i="13"/>
  <c r="Q615" i="13" s="1"/>
  <c r="F700" i="13"/>
  <c r="Q700" i="13" s="1"/>
  <c r="F1074" i="13"/>
  <c r="Q1074" i="13" s="1"/>
  <c r="F785" i="13"/>
  <c r="Q785" i="13" s="1"/>
  <c r="F768" i="13"/>
  <c r="Q768" i="13" s="1"/>
  <c r="F853" i="13"/>
  <c r="Q853" i="13" s="1"/>
  <c r="F955" i="13"/>
  <c r="Q955" i="13" s="1"/>
  <c r="F1023" i="13"/>
  <c r="Q1023" i="13" s="1"/>
  <c r="F564" i="13"/>
  <c r="Q564" i="13" s="1"/>
  <c r="F683" i="13"/>
  <c r="Q683" i="13" s="1"/>
  <c r="F581" i="13"/>
  <c r="Q581" i="13" s="1"/>
  <c r="F462" i="13"/>
  <c r="Q462" i="13" s="1"/>
  <c r="F445" i="13"/>
  <c r="Q445" i="13" s="1"/>
  <c r="F496" i="13"/>
  <c r="Q496" i="13" s="1"/>
  <c r="F717" i="13"/>
  <c r="Q717" i="13" s="1"/>
  <c r="F513" i="13"/>
  <c r="Q513" i="13" s="1"/>
  <c r="F479" i="13"/>
  <c r="Q479" i="13" s="1"/>
  <c r="F428" i="13"/>
  <c r="Q428" i="13" s="1"/>
  <c r="F411" i="13"/>
  <c r="Q411" i="13" s="1"/>
  <c r="F751" i="13"/>
  <c r="Q751" i="13" s="1"/>
  <c r="F394" i="13"/>
  <c r="Q394" i="13" s="1"/>
  <c r="F377" i="13"/>
  <c r="Q377" i="13" s="1"/>
  <c r="F37" i="13"/>
  <c r="Q37" i="13" s="1"/>
  <c r="F538" i="13"/>
  <c r="Q538" i="13" s="1"/>
  <c r="F912" i="13"/>
  <c r="Q912" i="13" s="1"/>
  <c r="F776" i="13"/>
  <c r="Q776" i="13" s="1"/>
  <c r="F640" i="13"/>
  <c r="Q640" i="13" s="1"/>
  <c r="F997" i="13"/>
  <c r="Q997" i="13" s="1"/>
  <c r="F1014" i="13"/>
  <c r="Q1014" i="13" s="1"/>
  <c r="F929" i="13"/>
  <c r="Q929" i="13" s="1"/>
  <c r="F674" i="13"/>
  <c r="Q674" i="13" s="1"/>
  <c r="F1031" i="13"/>
  <c r="Q1031" i="13" s="1"/>
  <c r="F895" i="13"/>
  <c r="Q895" i="13" s="1"/>
  <c r="F759" i="13"/>
  <c r="Q759" i="13" s="1"/>
  <c r="F810" i="13"/>
  <c r="Q810" i="13" s="1"/>
  <c r="F861" i="13"/>
  <c r="Q861" i="13" s="1"/>
  <c r="F793" i="13"/>
  <c r="Q793" i="13" s="1"/>
  <c r="F725" i="13"/>
  <c r="Q725" i="13" s="1"/>
  <c r="F1065" i="13"/>
  <c r="Q1065" i="13" s="1"/>
  <c r="F844" i="13"/>
  <c r="Q844" i="13" s="1"/>
  <c r="F606" i="13"/>
  <c r="Q606" i="13" s="1"/>
  <c r="F878" i="13"/>
  <c r="Q878" i="13" s="1"/>
  <c r="F963" i="13"/>
  <c r="Q963" i="13" s="1"/>
  <c r="F980" i="13"/>
  <c r="Q980" i="13" s="1"/>
  <c r="F1048" i="13"/>
  <c r="Q1048" i="13" s="1"/>
  <c r="F946" i="13"/>
  <c r="Q946" i="13" s="1"/>
  <c r="F827" i="13"/>
  <c r="Q827" i="13" s="1"/>
  <c r="F623" i="13"/>
  <c r="Q623" i="13" s="1"/>
  <c r="F589" i="13"/>
  <c r="Q589" i="13" s="1"/>
  <c r="F691" i="13"/>
  <c r="Q691" i="13" s="1"/>
  <c r="F708" i="13"/>
  <c r="Q708" i="13" s="1"/>
  <c r="F555" i="13"/>
  <c r="Q555" i="13" s="1"/>
  <c r="F657" i="13"/>
  <c r="Q657" i="13" s="1"/>
  <c r="F453" i="13"/>
  <c r="Q453" i="13" s="1"/>
  <c r="F470" i="13"/>
  <c r="Q470" i="13" s="1"/>
  <c r="F504" i="13"/>
  <c r="Q504" i="13" s="1"/>
  <c r="F487" i="13"/>
  <c r="Q487" i="13" s="1"/>
  <c r="F436" i="13"/>
  <c r="Q436" i="13" s="1"/>
  <c r="F572" i="13"/>
  <c r="Q572" i="13" s="1"/>
  <c r="F742" i="13"/>
  <c r="Q742" i="13" s="1"/>
  <c r="F385" i="13"/>
  <c r="Q385" i="13" s="1"/>
  <c r="F419" i="13"/>
  <c r="Q419" i="13" s="1"/>
  <c r="F368" i="13"/>
  <c r="Q368" i="13" s="1"/>
  <c r="F402" i="13"/>
  <c r="Q402" i="13" s="1"/>
  <c r="F28" i="13"/>
  <c r="Q28" i="13" s="1"/>
  <c r="G179" i="13"/>
  <c r="G128" i="13"/>
  <c r="G111" i="13"/>
  <c r="G145" i="13"/>
  <c r="G247" i="13"/>
  <c r="G213" i="13"/>
  <c r="G281" i="13"/>
  <c r="G332" i="13"/>
  <c r="G196" i="13"/>
  <c r="G315" i="13"/>
  <c r="G162" i="13"/>
  <c r="G349" i="13"/>
  <c r="G264" i="13"/>
  <c r="G230" i="13"/>
  <c r="G298" i="13"/>
  <c r="G94" i="13"/>
  <c r="G77" i="13"/>
  <c r="G43" i="13"/>
  <c r="G60" i="13"/>
  <c r="G342" i="15"/>
  <c r="G138" i="15"/>
  <c r="G172" i="15"/>
  <c r="G274" i="15"/>
  <c r="G189" i="15"/>
  <c r="G121" i="15"/>
  <c r="G223" i="15"/>
  <c r="G240" i="15"/>
  <c r="G325" i="15"/>
  <c r="G291" i="15"/>
  <c r="G308" i="15"/>
  <c r="G155" i="15"/>
  <c r="G257" i="15"/>
  <c r="G206" i="15"/>
  <c r="G104" i="15"/>
  <c r="G36" i="15"/>
  <c r="G87" i="15"/>
  <c r="G70" i="15"/>
  <c r="G53" i="15"/>
  <c r="I177" i="14"/>
  <c r="I135" i="14"/>
  <c r="I121" i="14"/>
  <c r="I191" i="14"/>
  <c r="I163" i="14"/>
  <c r="I219" i="14"/>
  <c r="I149" i="14"/>
  <c r="I261" i="14"/>
  <c r="I247" i="14"/>
  <c r="I205" i="14"/>
  <c r="I275" i="14"/>
  <c r="I289" i="14"/>
  <c r="I233" i="14"/>
  <c r="I93" i="14"/>
  <c r="I107" i="14"/>
  <c r="F297" i="14"/>
  <c r="F143" i="14"/>
  <c r="F185" i="14"/>
  <c r="F129" i="14"/>
  <c r="F171" i="14"/>
  <c r="F157" i="14"/>
  <c r="F199" i="14"/>
  <c r="F283" i="14"/>
  <c r="F213" i="14"/>
  <c r="F227" i="14"/>
  <c r="F269" i="14"/>
  <c r="F255" i="14"/>
  <c r="F115" i="14"/>
  <c r="F241" i="14"/>
  <c r="F101" i="14"/>
  <c r="F31" i="14"/>
  <c r="F59" i="14"/>
  <c r="F87" i="14"/>
  <c r="F45" i="14"/>
  <c r="F73" i="14"/>
  <c r="J121" i="14"/>
  <c r="J191" i="14"/>
  <c r="J289" i="14"/>
  <c r="J205" i="14"/>
  <c r="J261" i="14"/>
  <c r="J149" i="14"/>
  <c r="J275" i="14"/>
  <c r="J135" i="14"/>
  <c r="J177" i="14"/>
  <c r="J219" i="14"/>
  <c r="J163" i="14"/>
  <c r="J233" i="14"/>
  <c r="J93" i="14"/>
  <c r="J247" i="14"/>
  <c r="J107" i="14"/>
  <c r="H135" i="14"/>
  <c r="H191" i="14"/>
  <c r="H289" i="14"/>
  <c r="H177" i="14"/>
  <c r="H121" i="14"/>
  <c r="H163" i="14"/>
  <c r="H149" i="14"/>
  <c r="H205" i="14"/>
  <c r="H219" i="14"/>
  <c r="H275" i="14"/>
  <c r="H261" i="14"/>
  <c r="H233" i="14"/>
  <c r="H93" i="14"/>
  <c r="H247" i="14"/>
  <c r="H107" i="14"/>
  <c r="J283" i="14"/>
  <c r="J269" i="14"/>
  <c r="J227" i="14"/>
  <c r="J157" i="14"/>
  <c r="J129" i="14"/>
  <c r="J143" i="14"/>
  <c r="J199" i="14"/>
  <c r="J297" i="14"/>
  <c r="J171" i="14"/>
  <c r="J185" i="14"/>
  <c r="J241" i="14"/>
  <c r="J255" i="14"/>
  <c r="J101" i="14"/>
  <c r="J213" i="14"/>
  <c r="J115" i="14"/>
  <c r="J73" i="14"/>
  <c r="J45" i="14"/>
  <c r="J31" i="14"/>
  <c r="J59" i="14"/>
  <c r="J87" i="14"/>
  <c r="H185" i="14"/>
  <c r="H213" i="14"/>
  <c r="H283" i="14"/>
  <c r="H255" i="14"/>
  <c r="H143" i="14"/>
  <c r="H157" i="14"/>
  <c r="H171" i="14"/>
  <c r="H227" i="14"/>
  <c r="H269" i="14"/>
  <c r="H199" i="14"/>
  <c r="H297" i="14"/>
  <c r="H101" i="14"/>
  <c r="H241" i="14"/>
  <c r="H115" i="14"/>
  <c r="H129" i="14"/>
  <c r="H59" i="14"/>
  <c r="H87" i="14"/>
  <c r="H73" i="14"/>
  <c r="H31" i="14"/>
  <c r="H45" i="14"/>
  <c r="P247" i="13"/>
  <c r="P77" i="13"/>
  <c r="P43" i="13"/>
  <c r="P60" i="13"/>
  <c r="P258" i="13"/>
  <c r="P71" i="13"/>
  <c r="P88" i="13"/>
  <c r="P54" i="13"/>
  <c r="J130" i="13"/>
  <c r="J300" i="13"/>
  <c r="J181" i="13"/>
  <c r="J113" i="13"/>
  <c r="J198" i="13"/>
  <c r="J317" i="13"/>
  <c r="J164" i="13"/>
  <c r="J334" i="13"/>
  <c r="J351" i="13"/>
  <c r="J215" i="13"/>
  <c r="J249" i="13"/>
  <c r="J283" i="13"/>
  <c r="J147" i="13"/>
  <c r="J266" i="13"/>
  <c r="J232" i="13"/>
  <c r="J96" i="13"/>
  <c r="J45" i="13"/>
  <c r="J79" i="13"/>
  <c r="J62" i="13"/>
  <c r="H215" i="13"/>
  <c r="H113" i="13"/>
  <c r="H130" i="13"/>
  <c r="H249" i="13"/>
  <c r="H164" i="13"/>
  <c r="H198" i="13"/>
  <c r="H317" i="13"/>
  <c r="H334" i="13"/>
  <c r="H181" i="13"/>
  <c r="H283" i="13"/>
  <c r="H300" i="13"/>
  <c r="H351" i="13"/>
  <c r="H147" i="13"/>
  <c r="H232" i="13"/>
  <c r="H266" i="13"/>
  <c r="H96" i="13"/>
  <c r="H62" i="13"/>
  <c r="H79" i="13"/>
  <c r="H45" i="13"/>
  <c r="G212" i="15"/>
  <c r="G263" i="15"/>
  <c r="G127" i="15"/>
  <c r="G229" i="15"/>
  <c r="G178" i="15"/>
  <c r="G161" i="15"/>
  <c r="G280" i="15"/>
  <c r="G331" i="15"/>
  <c r="G314" i="15"/>
  <c r="G195" i="15"/>
  <c r="G297" i="15"/>
  <c r="G144" i="15"/>
  <c r="G110" i="15"/>
  <c r="G246" i="15"/>
  <c r="G42" i="15"/>
  <c r="G25" i="15"/>
  <c r="G59" i="15"/>
  <c r="G93" i="15"/>
  <c r="G76" i="15"/>
  <c r="F325" i="15"/>
  <c r="F172" i="15"/>
  <c r="F121" i="15"/>
  <c r="F240" i="15"/>
  <c r="F223" i="15"/>
  <c r="F189" i="15"/>
  <c r="F138" i="15"/>
  <c r="F274" i="15"/>
  <c r="F342" i="15"/>
  <c r="F308" i="15"/>
  <c r="F291" i="15"/>
  <c r="F206" i="15"/>
  <c r="F257" i="15"/>
  <c r="F155" i="15"/>
  <c r="F70" i="15"/>
  <c r="F53" i="15"/>
  <c r="F104" i="15"/>
  <c r="F36" i="15"/>
  <c r="F87" i="15"/>
  <c r="J240" i="15"/>
  <c r="J223" i="15"/>
  <c r="J274" i="15"/>
  <c r="J189" i="15"/>
  <c r="J325" i="15"/>
  <c r="J172" i="15"/>
  <c r="J342" i="15"/>
  <c r="J308" i="15"/>
  <c r="J291" i="15"/>
  <c r="J257" i="15"/>
  <c r="J138" i="15"/>
  <c r="J155" i="15"/>
  <c r="J121" i="15"/>
  <c r="J206" i="15"/>
  <c r="J104" i="15"/>
  <c r="J36" i="15"/>
  <c r="J53" i="15"/>
  <c r="J87" i="15"/>
  <c r="J70" i="15"/>
  <c r="I163" i="15"/>
  <c r="I180" i="15"/>
  <c r="I197" i="15"/>
  <c r="I112" i="15"/>
  <c r="I231" i="15"/>
  <c r="I129" i="15"/>
  <c r="I214" i="15"/>
  <c r="I282" i="15"/>
  <c r="I265" i="15"/>
  <c r="I316" i="15"/>
  <c r="I333" i="15"/>
  <c r="I299" i="15"/>
  <c r="I248" i="15"/>
  <c r="I146" i="15"/>
  <c r="I78" i="15"/>
  <c r="I27" i="15"/>
  <c r="I61" i="15"/>
  <c r="I44" i="15"/>
  <c r="I95" i="15"/>
  <c r="H149" i="16"/>
  <c r="H191" i="16"/>
  <c r="H177" i="16"/>
  <c r="H121" i="16"/>
  <c r="H219" i="16"/>
  <c r="H107" i="16"/>
  <c r="H275" i="16"/>
  <c r="H163" i="16"/>
  <c r="H261" i="16"/>
  <c r="H135" i="16"/>
  <c r="H233" i="16"/>
  <c r="H247" i="16"/>
  <c r="H93" i="16"/>
  <c r="H205" i="16"/>
  <c r="H23" i="16"/>
  <c r="H65" i="16"/>
  <c r="H79" i="16"/>
  <c r="H51" i="16"/>
  <c r="H37" i="16"/>
  <c r="I143" i="16"/>
  <c r="I129" i="16"/>
  <c r="I157" i="16"/>
  <c r="I199" i="16"/>
  <c r="I185" i="16"/>
  <c r="I283" i="16"/>
  <c r="I227" i="16"/>
  <c r="I269" i="16"/>
  <c r="I115" i="16"/>
  <c r="I171" i="16"/>
  <c r="I241" i="16"/>
  <c r="I213" i="16"/>
  <c r="I255" i="16"/>
  <c r="I101" i="16"/>
  <c r="I31" i="16"/>
  <c r="I73" i="16"/>
  <c r="I87" i="16"/>
  <c r="I59" i="16"/>
  <c r="I45" i="16"/>
  <c r="G139" i="13"/>
  <c r="G122" i="13"/>
  <c r="G173" i="13"/>
  <c r="G207" i="13"/>
  <c r="G360" i="13"/>
  <c r="G258" i="13"/>
  <c r="G190" i="13"/>
  <c r="G292" i="13"/>
  <c r="G309" i="13"/>
  <c r="G224" i="13"/>
  <c r="G326" i="13"/>
  <c r="G343" i="13"/>
  <c r="G275" i="13"/>
  <c r="G241" i="13"/>
  <c r="G156" i="13"/>
  <c r="G54" i="13"/>
  <c r="G105" i="13"/>
  <c r="G71" i="13"/>
  <c r="G88" i="13"/>
  <c r="H127" i="15"/>
  <c r="H229" i="15"/>
  <c r="H331" i="15"/>
  <c r="H178" i="15"/>
  <c r="H212" i="15"/>
  <c r="H161" i="15"/>
  <c r="H314" i="15"/>
  <c r="H280" i="15"/>
  <c r="H263" i="15"/>
  <c r="H297" i="15"/>
  <c r="H246" i="15"/>
  <c r="H144" i="15"/>
  <c r="H195" i="15"/>
  <c r="H110" i="15"/>
  <c r="H93" i="15"/>
  <c r="H76" i="15"/>
  <c r="H59" i="15"/>
  <c r="H42" i="15"/>
  <c r="H25" i="15"/>
  <c r="F163" i="15"/>
  <c r="F180" i="15"/>
  <c r="F112" i="15"/>
  <c r="F316" i="15"/>
  <c r="F197" i="15"/>
  <c r="F231" i="15"/>
  <c r="F214" i="15"/>
  <c r="F129" i="15"/>
  <c r="F282" i="15"/>
  <c r="F265" i="15"/>
  <c r="F333" i="15"/>
  <c r="F299" i="15"/>
  <c r="F146" i="15"/>
  <c r="F248" i="15"/>
  <c r="F95" i="15"/>
  <c r="F78" i="15"/>
  <c r="F61" i="15"/>
  <c r="F44" i="15"/>
  <c r="F27" i="15"/>
  <c r="J316" i="15"/>
  <c r="J129" i="15"/>
  <c r="J231" i="15"/>
  <c r="J214" i="15"/>
  <c r="J163" i="15"/>
  <c r="J180" i="15"/>
  <c r="J248" i="15"/>
  <c r="J333" i="15"/>
  <c r="J265" i="15"/>
  <c r="J299" i="15"/>
  <c r="J282" i="15"/>
  <c r="J112" i="15"/>
  <c r="J146" i="15"/>
  <c r="J197" i="15"/>
  <c r="J27" i="15"/>
  <c r="J61" i="15"/>
  <c r="J95" i="15"/>
  <c r="J78" i="15"/>
  <c r="J44" i="15"/>
  <c r="J143" i="16"/>
  <c r="J101" i="16"/>
  <c r="J115" i="16"/>
  <c r="J241" i="16"/>
  <c r="J269" i="16"/>
  <c r="J157" i="16"/>
  <c r="J199" i="16"/>
  <c r="J129" i="16"/>
  <c r="J227" i="16"/>
  <c r="J171" i="16"/>
  <c r="J283" i="16"/>
  <c r="J185" i="16"/>
  <c r="J213" i="16"/>
  <c r="J255" i="16"/>
  <c r="J31" i="16"/>
  <c r="J87" i="16"/>
  <c r="J59" i="16"/>
  <c r="J45" i="16"/>
  <c r="J73" i="16"/>
  <c r="P149" i="14"/>
  <c r="P219" i="14"/>
  <c r="P121" i="14"/>
  <c r="P163" i="14"/>
  <c r="P289" i="14"/>
  <c r="P135" i="14"/>
  <c r="P205" i="14"/>
  <c r="P275" i="14"/>
  <c r="P191" i="14"/>
  <c r="P233" i="14"/>
  <c r="P261" i="14"/>
  <c r="P177" i="14"/>
  <c r="P247" i="14"/>
  <c r="P107" i="14"/>
  <c r="P93" i="14"/>
  <c r="P249" i="13"/>
  <c r="P79" i="13"/>
  <c r="P45" i="13"/>
  <c r="P62" i="13"/>
  <c r="I149" i="16"/>
  <c r="I219" i="16"/>
  <c r="I191" i="16"/>
  <c r="I275" i="16"/>
  <c r="I121" i="16"/>
  <c r="I107" i="16"/>
  <c r="I247" i="16"/>
  <c r="I261" i="16"/>
  <c r="I135" i="16"/>
  <c r="I163" i="16"/>
  <c r="I177" i="16"/>
  <c r="I233" i="16"/>
  <c r="I205" i="16"/>
  <c r="I93" i="16"/>
  <c r="I51" i="16"/>
  <c r="I23" i="16"/>
  <c r="I65" i="16"/>
  <c r="I79" i="16"/>
  <c r="I37" i="16"/>
  <c r="G93" i="14"/>
  <c r="G289" i="14"/>
  <c r="G135" i="14"/>
  <c r="G163" i="14"/>
  <c r="G177" i="14"/>
  <c r="G219" i="14"/>
  <c r="G261" i="14"/>
  <c r="G121" i="14"/>
  <c r="G191" i="14"/>
  <c r="G205" i="14"/>
  <c r="G275" i="14"/>
  <c r="G149" i="14"/>
  <c r="G107" i="14"/>
  <c r="G247" i="14"/>
  <c r="G233" i="14"/>
  <c r="G185" i="14"/>
  <c r="G129" i="14"/>
  <c r="G171" i="14"/>
  <c r="G213" i="14"/>
  <c r="G269" i="14"/>
  <c r="G157" i="14"/>
  <c r="G283" i="14"/>
  <c r="G199" i="14"/>
  <c r="G227" i="14"/>
  <c r="G101" i="14"/>
  <c r="G297" i="14"/>
  <c r="G255" i="14"/>
  <c r="G115" i="14"/>
  <c r="G241" i="14"/>
  <c r="G143" i="14"/>
  <c r="G59" i="14"/>
  <c r="G45" i="14"/>
  <c r="G87" i="14"/>
  <c r="G31" i="14"/>
  <c r="G73" i="14"/>
  <c r="I247" i="13"/>
  <c r="I128" i="13"/>
  <c r="I111" i="13"/>
  <c r="I162" i="13"/>
  <c r="I213" i="13"/>
  <c r="I332" i="13"/>
  <c r="I196" i="13"/>
  <c r="I315" i="13"/>
  <c r="I179" i="13"/>
  <c r="I281" i="13"/>
  <c r="I349" i="13"/>
  <c r="I298" i="13"/>
  <c r="I230" i="13"/>
  <c r="I264" i="13"/>
  <c r="I145" i="13"/>
  <c r="I77" i="13"/>
  <c r="I60" i="13"/>
  <c r="I94" i="13"/>
  <c r="I43" i="13"/>
  <c r="F139" i="13"/>
  <c r="F122" i="13"/>
  <c r="F156" i="13"/>
  <c r="F173" i="13"/>
  <c r="F326" i="13"/>
  <c r="F224" i="13"/>
  <c r="F360" i="13"/>
  <c r="F190" i="13"/>
  <c r="F292" i="13"/>
  <c r="F343" i="13"/>
  <c r="F207" i="13"/>
  <c r="F258" i="13"/>
  <c r="F309" i="13"/>
  <c r="F275" i="13"/>
  <c r="F241" i="13"/>
  <c r="F88" i="13"/>
  <c r="F71" i="13"/>
  <c r="F54" i="13"/>
  <c r="F105" i="13"/>
  <c r="I173" i="13"/>
  <c r="I292" i="13"/>
  <c r="I122" i="13"/>
  <c r="I139" i="13"/>
  <c r="I156" i="13"/>
  <c r="I207" i="13"/>
  <c r="I326" i="13"/>
  <c r="I258" i="13"/>
  <c r="I309" i="13"/>
  <c r="I343" i="13"/>
  <c r="I190" i="13"/>
  <c r="I360" i="13"/>
  <c r="I224" i="13"/>
  <c r="I241" i="13"/>
  <c r="I275" i="13"/>
  <c r="I105" i="13"/>
  <c r="I88" i="13"/>
  <c r="I54" i="13"/>
  <c r="I71" i="13"/>
  <c r="G113" i="13"/>
  <c r="G130" i="13"/>
  <c r="G181" i="13"/>
  <c r="G283" i="13"/>
  <c r="G232" i="13"/>
  <c r="G300" i="13"/>
  <c r="G317" i="13"/>
  <c r="G249" i="13"/>
  <c r="G164" i="13"/>
  <c r="G215" i="13"/>
  <c r="G351" i="13"/>
  <c r="G198" i="13"/>
  <c r="G334" i="13"/>
  <c r="G266" i="13"/>
  <c r="G147" i="13"/>
  <c r="G96" i="13"/>
  <c r="G79" i="13"/>
  <c r="G45" i="13"/>
  <c r="G62" i="13"/>
  <c r="S215" i="13"/>
  <c r="S164" i="13"/>
  <c r="S130" i="13"/>
  <c r="S198" i="13"/>
  <c r="S317" i="13"/>
  <c r="S334" i="13"/>
  <c r="S181" i="13"/>
  <c r="S300" i="13"/>
  <c r="S351" i="13"/>
  <c r="S249" i="13"/>
  <c r="S266" i="13"/>
  <c r="S147" i="13"/>
  <c r="S283" i="13"/>
  <c r="S113" i="13"/>
  <c r="S232" i="13"/>
  <c r="S45" i="13"/>
  <c r="S62" i="13"/>
  <c r="S96" i="13"/>
  <c r="S79" i="13"/>
  <c r="I178" i="15"/>
  <c r="I144" i="15"/>
  <c r="I161" i="15"/>
  <c r="I229" i="15"/>
  <c r="I127" i="15"/>
  <c r="I246" i="15"/>
  <c r="I331" i="15"/>
  <c r="I297" i="15"/>
  <c r="I314" i="15"/>
  <c r="I212" i="15"/>
  <c r="I263" i="15"/>
  <c r="I280" i="15"/>
  <c r="I195" i="15"/>
  <c r="I110" i="15"/>
  <c r="I42" i="15"/>
  <c r="I25" i="15"/>
  <c r="I76" i="15"/>
  <c r="I59" i="15"/>
  <c r="I93" i="15"/>
  <c r="H189" i="15"/>
  <c r="H121" i="15"/>
  <c r="H223" i="15"/>
  <c r="H172" i="15"/>
  <c r="H138" i="15"/>
  <c r="H342" i="15"/>
  <c r="H308" i="15"/>
  <c r="H274" i="15"/>
  <c r="H325" i="15"/>
  <c r="H291" i="15"/>
  <c r="H257" i="15"/>
  <c r="H155" i="15"/>
  <c r="H206" i="15"/>
  <c r="H240" i="15"/>
  <c r="H53" i="15"/>
  <c r="H104" i="15"/>
  <c r="H87" i="15"/>
  <c r="H70" i="15"/>
  <c r="H36" i="15"/>
  <c r="G265" i="15"/>
  <c r="G180" i="15"/>
  <c r="G112" i="15"/>
  <c r="G231" i="15"/>
  <c r="G214" i="15"/>
  <c r="G129" i="15"/>
  <c r="G163" i="15"/>
  <c r="G197" i="15"/>
  <c r="G282" i="15"/>
  <c r="G316" i="15"/>
  <c r="G333" i="15"/>
  <c r="G146" i="15"/>
  <c r="G248" i="15"/>
  <c r="G299" i="15"/>
  <c r="G78" i="15"/>
  <c r="G61" i="15"/>
  <c r="G44" i="15"/>
  <c r="G27" i="15"/>
  <c r="G95" i="15"/>
  <c r="F135" i="16"/>
  <c r="F149" i="16"/>
  <c r="F191" i="16"/>
  <c r="F275" i="16"/>
  <c r="F121" i="16"/>
  <c r="F233" i="16"/>
  <c r="F177" i="16"/>
  <c r="F261" i="16"/>
  <c r="F107" i="16"/>
  <c r="F219" i="16"/>
  <c r="F163" i="16"/>
  <c r="F247" i="16"/>
  <c r="F93" i="16"/>
  <c r="F205" i="16"/>
  <c r="F37" i="16"/>
  <c r="F65" i="16"/>
  <c r="F23" i="16"/>
  <c r="F79" i="16"/>
  <c r="F51" i="16"/>
  <c r="J121" i="16"/>
  <c r="J261" i="16"/>
  <c r="J205" i="16"/>
  <c r="J219" i="16"/>
  <c r="J233" i="16"/>
  <c r="J177" i="16"/>
  <c r="J191" i="16"/>
  <c r="J107" i="16"/>
  <c r="J135" i="16"/>
  <c r="J149" i="16"/>
  <c r="J275" i="16"/>
  <c r="J93" i="16"/>
  <c r="J247" i="16"/>
  <c r="J163" i="16"/>
  <c r="J23" i="16"/>
  <c r="J79" i="16"/>
  <c r="J37" i="16"/>
  <c r="J51" i="16"/>
  <c r="J65" i="16"/>
  <c r="P143" i="14"/>
  <c r="P157" i="14"/>
  <c r="P227" i="14"/>
  <c r="P171" i="14"/>
  <c r="P185" i="14"/>
  <c r="P129" i="14"/>
  <c r="P199" i="14"/>
  <c r="P297" i="14"/>
  <c r="P269" i="14"/>
  <c r="P283" i="14"/>
  <c r="P115" i="14"/>
  <c r="P101" i="14"/>
  <c r="P213" i="14"/>
  <c r="P241" i="14"/>
  <c r="P255" i="14"/>
  <c r="P87" i="14"/>
  <c r="P31" i="14"/>
  <c r="P59" i="14"/>
  <c r="P45" i="14"/>
  <c r="P73" i="14"/>
  <c r="I129" i="14"/>
  <c r="I199" i="14"/>
  <c r="I157" i="14"/>
  <c r="I213" i="14"/>
  <c r="I269" i="14"/>
  <c r="I283" i="14"/>
  <c r="I143" i="14"/>
  <c r="I185" i="14"/>
  <c r="I227" i="14"/>
  <c r="I297" i="14"/>
  <c r="I241" i="14"/>
  <c r="I115" i="14"/>
  <c r="I255" i="14"/>
  <c r="I171" i="14"/>
  <c r="I101" i="14"/>
  <c r="I87" i="14"/>
  <c r="I73" i="14"/>
  <c r="I31" i="14"/>
  <c r="I59" i="14"/>
  <c r="I45" i="14"/>
  <c r="J111" i="13"/>
  <c r="J128" i="13"/>
  <c r="J179" i="13"/>
  <c r="J281" i="13"/>
  <c r="J332" i="13"/>
  <c r="J315" i="13"/>
  <c r="J247" i="13"/>
  <c r="J162" i="13"/>
  <c r="J349" i="13"/>
  <c r="J213" i="13"/>
  <c r="J196" i="13"/>
  <c r="J298" i="13"/>
  <c r="J230" i="13"/>
  <c r="J264" i="13"/>
  <c r="J145" i="13"/>
  <c r="J94" i="13"/>
  <c r="J43" i="13"/>
  <c r="J60" i="13"/>
  <c r="J77" i="13"/>
  <c r="H332" i="13"/>
  <c r="H128" i="13"/>
  <c r="H111" i="13"/>
  <c r="H315" i="13"/>
  <c r="H247" i="13"/>
  <c r="H264" i="13"/>
  <c r="H179" i="13"/>
  <c r="H213" i="13"/>
  <c r="H298" i="13"/>
  <c r="H349" i="13"/>
  <c r="H162" i="13"/>
  <c r="H196" i="13"/>
  <c r="H281" i="13"/>
  <c r="H230" i="13"/>
  <c r="H145" i="13"/>
  <c r="H94" i="13"/>
  <c r="H60" i="13"/>
  <c r="H43" i="13"/>
  <c r="H77" i="13"/>
  <c r="J309" i="13"/>
  <c r="J139" i="13"/>
  <c r="J122" i="13"/>
  <c r="J207" i="13"/>
  <c r="J190" i="13"/>
  <c r="J292" i="13"/>
  <c r="J224" i="13"/>
  <c r="J326" i="13"/>
  <c r="J173" i="13"/>
  <c r="J343" i="13"/>
  <c r="J360" i="13"/>
  <c r="J258" i="13"/>
  <c r="J241" i="13"/>
  <c r="J275" i="13"/>
  <c r="J156" i="13"/>
  <c r="J71" i="13"/>
  <c r="J88" i="13"/>
  <c r="J54" i="13"/>
  <c r="J105" i="13"/>
  <c r="H139" i="13"/>
  <c r="H190" i="13"/>
  <c r="H122" i="13"/>
  <c r="H258" i="13"/>
  <c r="H207" i="13"/>
  <c r="H292" i="13"/>
  <c r="H343" i="13"/>
  <c r="H224" i="13"/>
  <c r="H326" i="13"/>
  <c r="H173" i="13"/>
  <c r="H309" i="13"/>
  <c r="H360" i="13"/>
  <c r="H241" i="13"/>
  <c r="H156" i="13"/>
  <c r="H275" i="13"/>
  <c r="H54" i="13"/>
  <c r="H105" i="13"/>
  <c r="H71" i="13"/>
  <c r="H88" i="13"/>
  <c r="F198" i="13"/>
  <c r="F113" i="13"/>
  <c r="F215" i="13"/>
  <c r="F334" i="13"/>
  <c r="F164" i="13"/>
  <c r="F351" i="13"/>
  <c r="F130" i="13"/>
  <c r="F181" i="13"/>
  <c r="F317" i="13"/>
  <c r="F283" i="13"/>
  <c r="F300" i="13"/>
  <c r="F249" i="13"/>
  <c r="F232" i="13"/>
  <c r="F147" i="13"/>
  <c r="F266" i="13"/>
  <c r="F79" i="13"/>
  <c r="F45" i="13"/>
  <c r="F96" i="13"/>
  <c r="F62" i="13"/>
  <c r="I113" i="13"/>
  <c r="I130" i="13"/>
  <c r="I181" i="13"/>
  <c r="I283" i="13"/>
  <c r="I334" i="13"/>
  <c r="I317" i="13"/>
  <c r="I300" i="13"/>
  <c r="I164" i="13"/>
  <c r="I351" i="13"/>
  <c r="I198" i="13"/>
  <c r="I215" i="13"/>
  <c r="I266" i="13"/>
  <c r="I232" i="13"/>
  <c r="I249" i="13"/>
  <c r="I147" i="13"/>
  <c r="I62" i="13"/>
  <c r="I96" i="13"/>
  <c r="I45" i="13"/>
  <c r="I79" i="13"/>
  <c r="F127" i="15"/>
  <c r="F229" i="15"/>
  <c r="F212" i="15"/>
  <c r="F314" i="15"/>
  <c r="F161" i="15"/>
  <c r="F178" i="15"/>
  <c r="F331" i="15"/>
  <c r="F263" i="15"/>
  <c r="F297" i="15"/>
  <c r="F246" i="15"/>
  <c r="F280" i="15"/>
  <c r="F144" i="15"/>
  <c r="F195" i="15"/>
  <c r="F110" i="15"/>
  <c r="F93" i="15"/>
  <c r="F25" i="15"/>
  <c r="F42" i="15"/>
  <c r="F76" i="15"/>
  <c r="F59" i="15"/>
  <c r="J229" i="15"/>
  <c r="J212" i="15"/>
  <c r="J314" i="15"/>
  <c r="J127" i="15"/>
  <c r="J161" i="15"/>
  <c r="J178" i="15"/>
  <c r="J331" i="15"/>
  <c r="J297" i="15"/>
  <c r="J280" i="15"/>
  <c r="J263" i="15"/>
  <c r="J246" i="15"/>
  <c r="J144" i="15"/>
  <c r="J110" i="15"/>
  <c r="J195" i="15"/>
  <c r="J59" i="15"/>
  <c r="J76" i="15"/>
  <c r="J25" i="15"/>
  <c r="J42" i="15"/>
  <c r="J93" i="15"/>
  <c r="I172" i="15"/>
  <c r="I189" i="15"/>
  <c r="I240" i="15"/>
  <c r="I223" i="15"/>
  <c r="I138" i="15"/>
  <c r="I206" i="15"/>
  <c r="I274" i="15"/>
  <c r="I325" i="15"/>
  <c r="I291" i="15"/>
  <c r="I342" i="15"/>
  <c r="I308" i="15"/>
  <c r="I121" i="15"/>
  <c r="I257" i="15"/>
  <c r="I155" i="15"/>
  <c r="I87" i="15"/>
  <c r="I104" i="15"/>
  <c r="I70" i="15"/>
  <c r="I53" i="15"/>
  <c r="I36" i="15"/>
  <c r="H112" i="15"/>
  <c r="H231" i="15"/>
  <c r="H180" i="15"/>
  <c r="H214" i="15"/>
  <c r="H163" i="15"/>
  <c r="H129" i="15"/>
  <c r="H248" i="15"/>
  <c r="H265" i="15"/>
  <c r="H316" i="15"/>
  <c r="H282" i="15"/>
  <c r="H333" i="15"/>
  <c r="H299" i="15"/>
  <c r="H197" i="15"/>
  <c r="H146" i="15"/>
  <c r="H78" i="15"/>
  <c r="H61" i="15"/>
  <c r="H95" i="15"/>
  <c r="H27" i="15"/>
  <c r="H44" i="15"/>
  <c r="G121" i="16"/>
  <c r="G149" i="16"/>
  <c r="G191" i="16"/>
  <c r="G177" i="16"/>
  <c r="G275" i="16"/>
  <c r="G107" i="16"/>
  <c r="G135" i="16"/>
  <c r="G261" i="16"/>
  <c r="G163" i="16"/>
  <c r="G233" i="16"/>
  <c r="G219" i="16"/>
  <c r="G247" i="16"/>
  <c r="G205" i="16"/>
  <c r="G93" i="16"/>
  <c r="G23" i="16"/>
  <c r="G65" i="16"/>
  <c r="G79" i="16"/>
  <c r="G37" i="16"/>
  <c r="G51" i="16"/>
  <c r="H115" i="16"/>
  <c r="H143" i="16"/>
  <c r="H157" i="16"/>
  <c r="H199" i="16"/>
  <c r="H283" i="16"/>
  <c r="H101" i="16"/>
  <c r="H129" i="16"/>
  <c r="H269" i="16"/>
  <c r="H227" i="16"/>
  <c r="H171" i="16"/>
  <c r="H241" i="16"/>
  <c r="H185" i="16"/>
  <c r="H213" i="16"/>
  <c r="H255" i="16"/>
  <c r="H31" i="16"/>
  <c r="H45" i="16"/>
  <c r="H87" i="16"/>
  <c r="H73" i="16"/>
  <c r="H59" i="16"/>
  <c r="G227" i="16"/>
  <c r="G129" i="16"/>
  <c r="G115" i="16"/>
  <c r="G185" i="16"/>
  <c r="G143" i="16"/>
  <c r="G199" i="16"/>
  <c r="G241" i="16"/>
  <c r="G157" i="16"/>
  <c r="G283" i="16"/>
  <c r="G171" i="16"/>
  <c r="G269" i="16"/>
  <c r="G255" i="16"/>
  <c r="G101" i="16"/>
  <c r="G213" i="16"/>
  <c r="G31" i="16"/>
  <c r="G73" i="16"/>
  <c r="G87" i="16"/>
  <c r="G59" i="16"/>
  <c r="G45" i="16"/>
  <c r="F6" i="14"/>
  <c r="Q6" i="14" s="1"/>
  <c r="R6" i="16" s="1"/>
  <c r="P15" i="14"/>
  <c r="I18" i="13"/>
  <c r="G18" i="15"/>
  <c r="F14" i="16"/>
  <c r="J15" i="16"/>
  <c r="G15" i="16"/>
  <c r="G15" i="14"/>
  <c r="J18" i="13"/>
  <c r="H18" i="13"/>
  <c r="H18" i="15"/>
  <c r="I15" i="14"/>
  <c r="P18" i="13"/>
  <c r="I18" i="15"/>
  <c r="H15" i="16"/>
  <c r="J15" i="14"/>
  <c r="H15" i="14"/>
  <c r="G18" i="13"/>
  <c r="F18" i="15"/>
  <c r="J18" i="15"/>
  <c r="I15" i="16"/>
  <c r="F6" i="13"/>
  <c r="G8" i="12"/>
  <c r="G513" i="12" s="1"/>
  <c r="R14" i="16" l="1"/>
  <c r="Q871" i="16"/>
  <c r="Q247" i="16"/>
  <c r="Q115" i="16"/>
  <c r="Q79" i="16"/>
  <c r="Q219" i="16"/>
  <c r="Q275" i="16"/>
  <c r="Q157" i="16"/>
  <c r="Q23" i="16"/>
  <c r="Q191" i="16"/>
  <c r="Q199" i="16"/>
  <c r="Q121" i="16"/>
  <c r="Q745" i="16"/>
  <c r="Q59" i="16"/>
  <c r="Q261" i="16"/>
  <c r="Q37" i="16"/>
  <c r="Q107" i="16"/>
  <c r="Q409" i="16"/>
  <c r="Q759" i="16"/>
  <c r="Q773" i="16"/>
  <c r="Q65" i="16"/>
  <c r="Q843" i="16"/>
  <c r="Q241" i="16"/>
  <c r="Q163" i="16"/>
  <c r="Q149" i="16"/>
  <c r="Q171" i="16"/>
  <c r="Q45" i="16"/>
  <c r="Q101" i="16"/>
  <c r="Q227" i="16"/>
  <c r="Q507" i="16"/>
  <c r="Q233" i="16"/>
  <c r="Q73" i="16"/>
  <c r="Q185" i="16"/>
  <c r="Q31" i="16"/>
  <c r="Q255" i="16"/>
  <c r="Q51" i="16"/>
  <c r="Q205" i="16"/>
  <c r="Q135" i="16"/>
  <c r="Q437" i="16"/>
  <c r="Q829" i="16"/>
  <c r="Q765" i="16"/>
  <c r="Q787" i="16"/>
  <c r="Q283" i="16"/>
  <c r="Q177" i="16"/>
  <c r="Q465" i="16"/>
  <c r="Q857" i="16"/>
  <c r="Q93" i="16"/>
  <c r="Q289" i="16"/>
  <c r="Q317" i="16"/>
  <c r="Q381" i="16"/>
  <c r="Q815" i="16"/>
  <c r="Q345" i="16"/>
  <c r="Q471" i="16"/>
  <c r="Q479" i="16"/>
  <c r="Q527" i="16"/>
  <c r="Q653" i="16"/>
  <c r="Q723" i="16"/>
  <c r="Q619" i="16"/>
  <c r="Q577" i="16"/>
  <c r="Q717" i="16"/>
  <c r="Q801" i="16"/>
  <c r="Q821" i="16"/>
  <c r="Q87" i="16"/>
  <c r="Q269" i="16"/>
  <c r="Q143" i="16"/>
  <c r="Q297" i="16"/>
  <c r="Q325" i="16"/>
  <c r="Q359" i="16"/>
  <c r="Q499" i="16"/>
  <c r="Q569" i="16"/>
  <c r="Q583" i="16"/>
  <c r="Q667" i="16"/>
  <c r="Q633" i="16"/>
  <c r="Q675" i="16"/>
  <c r="Q311" i="16"/>
  <c r="Q339" i="16"/>
  <c r="Q373" i="16"/>
  <c r="Q415" i="16"/>
  <c r="Q423" i="16"/>
  <c r="Q513" i="16"/>
  <c r="Q695" i="16"/>
  <c r="Q625" i="16"/>
  <c r="Q661" i="16"/>
  <c r="Q689" i="16"/>
  <c r="Q807" i="16"/>
  <c r="Q877" i="16"/>
  <c r="Q367" i="16"/>
  <c r="Q457" i="16"/>
  <c r="Q485" i="16"/>
  <c r="Q451" i="16"/>
  <c r="Q541" i="16"/>
  <c r="Q681" i="16"/>
  <c r="Q549" i="16"/>
  <c r="Q731" i="16"/>
  <c r="Q703" i="16"/>
  <c r="Q751" i="16"/>
  <c r="Q835" i="16"/>
  <c r="Q885" i="16"/>
  <c r="Q863" i="16"/>
  <c r="Q213" i="16"/>
  <c r="Q129" i="16"/>
  <c r="Q395" i="16"/>
  <c r="Q401" i="16"/>
  <c r="Q443" i="16"/>
  <c r="Q555" i="16"/>
  <c r="Q709" i="16"/>
  <c r="Q521" i="16"/>
  <c r="Q563" i="16"/>
  <c r="Q647" i="16"/>
  <c r="Q849" i="16"/>
  <c r="Q779" i="16"/>
  <c r="Q303" i="16"/>
  <c r="Q331" i="16"/>
  <c r="Q353" i="16"/>
  <c r="Q387" i="16"/>
  <c r="Q429" i="16"/>
  <c r="Q493" i="16"/>
  <c r="Q597" i="16"/>
  <c r="Q639" i="16"/>
  <c r="Q611" i="16"/>
  <c r="Q535" i="16"/>
  <c r="Q591" i="16"/>
  <c r="Q605" i="16"/>
  <c r="Q737" i="16"/>
  <c r="Q793" i="16"/>
  <c r="Q962" i="15"/>
  <c r="Q996" i="15"/>
  <c r="Q945" i="15"/>
  <c r="Q979" i="15"/>
  <c r="Q376" i="15"/>
  <c r="Q469" i="15"/>
  <c r="Q512" i="15"/>
  <c r="Q597" i="15"/>
  <c r="Q197" i="15"/>
  <c r="Q127" i="15"/>
  <c r="Q189" i="15"/>
  <c r="Q433" i="15"/>
  <c r="Q586" i="15"/>
  <c r="Q860" i="15"/>
  <c r="Q784" i="15"/>
  <c r="Q926" i="15"/>
  <c r="Q146" i="15"/>
  <c r="Q76" i="15"/>
  <c r="Q280" i="15"/>
  <c r="Q367" i="15"/>
  <c r="Q518" i="15"/>
  <c r="Q605" i="15"/>
  <c r="Q637" i="15"/>
  <c r="Q773" i="15"/>
  <c r="Q648" i="15"/>
  <c r="Q943" i="15"/>
  <c r="Q231" i="15"/>
  <c r="Q342" i="15"/>
  <c r="Q461" i="15"/>
  <c r="Q858" i="15"/>
  <c r="Q682" i="15"/>
  <c r="Q971" i="15"/>
  <c r="Q61" i="15"/>
  <c r="Q297" i="15"/>
  <c r="Q257" i="15"/>
  <c r="Q724" i="15"/>
  <c r="Q741" i="15"/>
  <c r="Q852" i="15"/>
  <c r="Q95" i="15"/>
  <c r="Q78" i="15"/>
  <c r="Q333" i="15"/>
  <c r="Q163" i="15"/>
  <c r="Q112" i="15"/>
  <c r="Q93" i="15"/>
  <c r="Q246" i="15"/>
  <c r="Q195" i="15"/>
  <c r="Q161" i="15"/>
  <c r="Q263" i="15"/>
  <c r="Q36" i="15"/>
  <c r="Q155" i="15"/>
  <c r="Q240" i="15"/>
  <c r="Q274" i="15"/>
  <c r="Q348" i="15"/>
  <c r="Q384" i="15"/>
  <c r="Q382" i="15"/>
  <c r="Q452" i="15"/>
  <c r="Q467" i="15"/>
  <c r="Q478" i="15"/>
  <c r="Q484" i="15"/>
  <c r="Q603" i="15"/>
  <c r="Q537" i="15"/>
  <c r="Q503" i="15"/>
  <c r="Q546" i="15"/>
  <c r="Q495" i="15"/>
  <c r="Q690" i="15"/>
  <c r="Q826" i="15"/>
  <c r="Q758" i="15"/>
  <c r="Q775" i="15"/>
  <c r="Q807" i="15"/>
  <c r="Q722" i="15"/>
  <c r="Q756" i="15"/>
  <c r="Q841" i="15"/>
  <c r="Q665" i="15"/>
  <c r="Q716" i="15"/>
  <c r="Q818" i="15"/>
  <c r="Q801" i="15"/>
  <c r="Q911" i="15"/>
  <c r="Q928" i="15"/>
  <c r="Q1047" i="15"/>
  <c r="Q960" i="15"/>
  <c r="Q909" i="15"/>
  <c r="Q994" i="15"/>
  <c r="Q920" i="15"/>
  <c r="Q1022" i="15"/>
  <c r="Q954" i="15"/>
  <c r="Q42" i="15"/>
  <c r="Q325" i="15"/>
  <c r="Q520" i="15"/>
  <c r="Q809" i="15"/>
  <c r="Q671" i="15"/>
  <c r="Q903" i="15"/>
  <c r="Q1005" i="15"/>
  <c r="Q27" i="15"/>
  <c r="Q299" i="15"/>
  <c r="Q316" i="15"/>
  <c r="Q129" i="15"/>
  <c r="Q180" i="15"/>
  <c r="Q59" i="15"/>
  <c r="Q110" i="15"/>
  <c r="Q314" i="15"/>
  <c r="Q178" i="15"/>
  <c r="Q212" i="15"/>
  <c r="Q53" i="15"/>
  <c r="Q104" i="15"/>
  <c r="Q308" i="15"/>
  <c r="Q223" i="15"/>
  <c r="Q172" i="15"/>
  <c r="Q365" i="15"/>
  <c r="Q401" i="15"/>
  <c r="Q399" i="15"/>
  <c r="Q435" i="15"/>
  <c r="Q416" i="15"/>
  <c r="Q427" i="15"/>
  <c r="Q535" i="15"/>
  <c r="Q552" i="15"/>
  <c r="Q554" i="15"/>
  <c r="Q571" i="15"/>
  <c r="Q580" i="15"/>
  <c r="Q563" i="15"/>
  <c r="Q656" i="15"/>
  <c r="Q673" i="15"/>
  <c r="Q877" i="15"/>
  <c r="Q843" i="15"/>
  <c r="Q705" i="15"/>
  <c r="Q688" i="15"/>
  <c r="Q875" i="15"/>
  <c r="Q824" i="15"/>
  <c r="Q750" i="15"/>
  <c r="Q886" i="15"/>
  <c r="Q733" i="15"/>
  <c r="Q869" i="15"/>
  <c r="Q1013" i="15"/>
  <c r="Q1062" i="15"/>
  <c r="Q977" i="15"/>
  <c r="Q1011" i="15"/>
  <c r="Q988" i="15"/>
  <c r="Q1073" i="15"/>
  <c r="Q87" i="15"/>
  <c r="Q410" i="15"/>
  <c r="Q44" i="15"/>
  <c r="Q248" i="15"/>
  <c r="Q282" i="15"/>
  <c r="Q214" i="15"/>
  <c r="Q265" i="15"/>
  <c r="Q25" i="15"/>
  <c r="Q144" i="15"/>
  <c r="Q331" i="15"/>
  <c r="Q229" i="15"/>
  <c r="Q70" i="15"/>
  <c r="Q206" i="15"/>
  <c r="Q291" i="15"/>
  <c r="Q121" i="15"/>
  <c r="Q138" i="15"/>
  <c r="Q359" i="15"/>
  <c r="Q350" i="15"/>
  <c r="Q393" i="15"/>
  <c r="Q418" i="15"/>
  <c r="Q450" i="15"/>
  <c r="Q444" i="15"/>
  <c r="Q501" i="15"/>
  <c r="Q569" i="15"/>
  <c r="Q486" i="15"/>
  <c r="Q588" i="15"/>
  <c r="Q614" i="15"/>
  <c r="Q529" i="15"/>
  <c r="Q622" i="15"/>
  <c r="Q639" i="15"/>
  <c r="Q707" i="15"/>
  <c r="Q792" i="15"/>
  <c r="Q620" i="15"/>
  <c r="Q654" i="15"/>
  <c r="Q739" i="15"/>
  <c r="Q790" i="15"/>
  <c r="Q631" i="15"/>
  <c r="Q699" i="15"/>
  <c r="Q767" i="15"/>
  <c r="Q835" i="15"/>
  <c r="Q1030" i="15"/>
  <c r="Q894" i="15"/>
  <c r="Q1064" i="15"/>
  <c r="Q892" i="15"/>
  <c r="Q1045" i="15"/>
  <c r="Q1028" i="15"/>
  <c r="Q1056" i="15"/>
  <c r="Q937" i="15"/>
  <c r="Q1039" i="15"/>
  <c r="F519" i="13"/>
  <c r="Q519" i="13" s="1"/>
  <c r="Q6" i="13"/>
  <c r="R6" i="15" s="1"/>
  <c r="I466" i="16"/>
  <c r="H424" i="16"/>
  <c r="J410" i="16"/>
  <c r="J704" i="16"/>
  <c r="J424" i="16"/>
  <c r="I410" i="16"/>
  <c r="H683" i="15"/>
  <c r="J564" i="16"/>
  <c r="J536" i="16"/>
  <c r="I788" i="16"/>
  <c r="F331" i="14"/>
  <c r="Q331" i="14" s="1"/>
  <c r="I452" i="16"/>
  <c r="H438" i="16"/>
  <c r="J676" i="16"/>
  <c r="H746" i="16"/>
  <c r="J872" i="16"/>
  <c r="J746" i="16"/>
  <c r="J816" i="16"/>
  <c r="I858" i="16"/>
  <c r="I1006" i="15"/>
  <c r="J508" i="16"/>
  <c r="I508" i="16"/>
  <c r="H466" i="16"/>
  <c r="J690" i="16"/>
  <c r="J830" i="16"/>
  <c r="I816" i="16"/>
  <c r="G718" i="16"/>
  <c r="J972" i="15"/>
  <c r="G592" i="16"/>
  <c r="G410" i="16"/>
  <c r="I872" i="16"/>
  <c r="J886" i="16"/>
  <c r="G480" i="16"/>
  <c r="J662" i="16"/>
  <c r="I886" i="16"/>
  <c r="H886" i="16"/>
  <c r="H872" i="16"/>
  <c r="I396" i="16"/>
  <c r="J480" i="16"/>
  <c r="J606" i="16"/>
  <c r="J718" i="16"/>
  <c r="G704" i="16"/>
  <c r="G886" i="16"/>
  <c r="F871" i="16"/>
  <c r="F872" i="16" s="1"/>
  <c r="F885" i="16"/>
  <c r="F886" i="16" s="1"/>
  <c r="G872" i="16"/>
  <c r="J844" i="16"/>
  <c r="G522" i="16"/>
  <c r="H802" i="16"/>
  <c r="H858" i="16"/>
  <c r="I774" i="16"/>
  <c r="H410" i="16"/>
  <c r="I830" i="16"/>
  <c r="I844" i="16"/>
  <c r="H844" i="16"/>
  <c r="H816" i="16"/>
  <c r="I802" i="16"/>
  <c r="J802" i="16"/>
  <c r="H760" i="16"/>
  <c r="I760" i="16"/>
  <c r="J760" i="16"/>
  <c r="G746" i="16"/>
  <c r="I746" i="16"/>
  <c r="I592" i="16"/>
  <c r="G466" i="16"/>
  <c r="J620" i="16"/>
  <c r="I662" i="16"/>
  <c r="H536" i="16"/>
  <c r="H606" i="16"/>
  <c r="G606" i="16"/>
  <c r="J774" i="16"/>
  <c r="H788" i="16"/>
  <c r="H774" i="16"/>
  <c r="G760" i="16"/>
  <c r="G816" i="16"/>
  <c r="G802" i="16"/>
  <c r="H452" i="16"/>
  <c r="H732" i="16"/>
  <c r="G536" i="16"/>
  <c r="G858" i="16"/>
  <c r="G844" i="16"/>
  <c r="J452" i="16"/>
  <c r="I494" i="16"/>
  <c r="H578" i="16"/>
  <c r="G830" i="16"/>
  <c r="G508" i="16"/>
  <c r="I522" i="16"/>
  <c r="I704" i="16"/>
  <c r="H648" i="16"/>
  <c r="G620" i="16"/>
  <c r="J788" i="16"/>
  <c r="J858" i="16"/>
  <c r="J732" i="16"/>
  <c r="J634" i="16"/>
  <c r="I732" i="16"/>
  <c r="G564" i="16"/>
  <c r="G732" i="16"/>
  <c r="H830" i="16"/>
  <c r="G788" i="16"/>
  <c r="G676" i="16"/>
  <c r="F843" i="16"/>
  <c r="F844" i="16" s="1"/>
  <c r="F857" i="16"/>
  <c r="F858" i="16" s="1"/>
  <c r="F829" i="16"/>
  <c r="F830" i="16" s="1"/>
  <c r="F815" i="16"/>
  <c r="F816" i="16" s="1"/>
  <c r="F745" i="16"/>
  <c r="F746" i="16" s="1"/>
  <c r="F787" i="16"/>
  <c r="F788" i="16" s="1"/>
  <c r="F759" i="16"/>
  <c r="F760" i="16" s="1"/>
  <c r="F801" i="16"/>
  <c r="F802" i="16" s="1"/>
  <c r="F773" i="16"/>
  <c r="F774" i="16" s="1"/>
  <c r="G452" i="16"/>
  <c r="J578" i="16"/>
  <c r="J648" i="16"/>
  <c r="G774" i="16"/>
  <c r="I536" i="16"/>
  <c r="I564" i="16"/>
  <c r="I676" i="16"/>
  <c r="H704" i="16"/>
  <c r="H480" i="16"/>
  <c r="J592" i="16"/>
  <c r="J550" i="16"/>
  <c r="I690" i="16"/>
  <c r="I578" i="16"/>
  <c r="H522" i="16"/>
  <c r="H592" i="16"/>
  <c r="G578" i="16"/>
  <c r="G690" i="16"/>
  <c r="I634" i="16"/>
  <c r="H620" i="16"/>
  <c r="H550" i="16"/>
  <c r="G550" i="16"/>
  <c r="I648" i="16"/>
  <c r="H662" i="16"/>
  <c r="J522" i="16"/>
  <c r="I620" i="16"/>
  <c r="I606" i="16"/>
  <c r="H564" i="16"/>
  <c r="H718" i="16"/>
  <c r="G648" i="16"/>
  <c r="H634" i="16"/>
  <c r="F675" i="16"/>
  <c r="F676" i="16" s="1"/>
  <c r="F717" i="16"/>
  <c r="F718" i="16" s="1"/>
  <c r="F605" i="16"/>
  <c r="F606" i="16" s="1"/>
  <c r="F661" i="16"/>
  <c r="F662" i="16" s="1"/>
  <c r="F591" i="16"/>
  <c r="F592" i="16" s="1"/>
  <c r="F549" i="16"/>
  <c r="F550" i="16" s="1"/>
  <c r="F689" i="16"/>
  <c r="F690" i="16" s="1"/>
  <c r="F647" i="16"/>
  <c r="F648" i="16" s="1"/>
  <c r="F731" i="16"/>
  <c r="F732" i="16" s="1"/>
  <c r="F703" i="16"/>
  <c r="F704" i="16" s="1"/>
  <c r="F577" i="16"/>
  <c r="F578" i="16" s="1"/>
  <c r="F619" i="16"/>
  <c r="F620" i="16" s="1"/>
  <c r="F535" i="16"/>
  <c r="F536" i="16" s="1"/>
  <c r="F633" i="16"/>
  <c r="F634" i="16" s="1"/>
  <c r="F521" i="16"/>
  <c r="F522" i="16" s="1"/>
  <c r="F563" i="16"/>
  <c r="F564" i="16" s="1"/>
  <c r="H382" i="16"/>
  <c r="J466" i="16"/>
  <c r="I424" i="16"/>
  <c r="I550" i="16"/>
  <c r="I718" i="16"/>
  <c r="H690" i="16"/>
  <c r="H676" i="16"/>
  <c r="G662" i="16"/>
  <c r="G634" i="16"/>
  <c r="H326" i="16"/>
  <c r="I354" i="16"/>
  <c r="J494" i="16"/>
  <c r="I438" i="16"/>
  <c r="G438" i="16"/>
  <c r="J438" i="16"/>
  <c r="I480" i="16"/>
  <c r="H508" i="16"/>
  <c r="G424" i="16"/>
  <c r="J396" i="16"/>
  <c r="G494" i="16"/>
  <c r="F493" i="16"/>
  <c r="F494" i="16" s="1"/>
  <c r="F465" i="16"/>
  <c r="F466" i="16" s="1"/>
  <c r="F507" i="16"/>
  <c r="F508" i="16" s="1"/>
  <c r="F437" i="16"/>
  <c r="F438" i="16" s="1"/>
  <c r="F423" i="16"/>
  <c r="F424" i="16" s="1"/>
  <c r="F479" i="16"/>
  <c r="F480" i="16" s="1"/>
  <c r="F451" i="16"/>
  <c r="F452" i="16" s="1"/>
  <c r="F409" i="16"/>
  <c r="F410" i="16" s="1"/>
  <c r="J354" i="16"/>
  <c r="H494" i="16"/>
  <c r="H340" i="16"/>
  <c r="I368" i="16"/>
  <c r="I312" i="16"/>
  <c r="I382" i="16"/>
  <c r="I326" i="16"/>
  <c r="J382" i="16"/>
  <c r="H396" i="16"/>
  <c r="G396" i="16"/>
  <c r="I102" i="16"/>
  <c r="H312" i="16"/>
  <c r="J368" i="16"/>
  <c r="H368" i="16"/>
  <c r="G354" i="16"/>
  <c r="J326" i="16"/>
  <c r="H354" i="16"/>
  <c r="G368" i="16"/>
  <c r="F381" i="16"/>
  <c r="F382" i="16" s="1"/>
  <c r="F353" i="16"/>
  <c r="F354" i="16" s="1"/>
  <c r="F367" i="16"/>
  <c r="F368" i="16" s="1"/>
  <c r="F395" i="16"/>
  <c r="F396" i="16" s="1"/>
  <c r="G382" i="16"/>
  <c r="I340" i="16"/>
  <c r="J312" i="16"/>
  <c r="F325" i="16"/>
  <c r="F326" i="16" s="1"/>
  <c r="F339" i="16"/>
  <c r="F340" i="16" s="1"/>
  <c r="J340" i="16"/>
  <c r="G340" i="16"/>
  <c r="G326" i="16"/>
  <c r="J172" i="16"/>
  <c r="F311" i="16"/>
  <c r="F312" i="16" s="1"/>
  <c r="F297" i="16"/>
  <c r="F298" i="16" s="1"/>
  <c r="G312" i="16"/>
  <c r="I242" i="16"/>
  <c r="I615" i="15"/>
  <c r="F1057" i="15"/>
  <c r="J547" i="15"/>
  <c r="I853" i="15"/>
  <c r="F955" i="15"/>
  <c r="H394" i="15"/>
  <c r="I479" i="15"/>
  <c r="I581" i="15"/>
  <c r="F581" i="15"/>
  <c r="I1040" i="15"/>
  <c r="I1074" i="15"/>
  <c r="I1057" i="15"/>
  <c r="J1040" i="15"/>
  <c r="H1040" i="15"/>
  <c r="H1023" i="15"/>
  <c r="F1006" i="15"/>
  <c r="I989" i="15"/>
  <c r="F989" i="15"/>
  <c r="H989" i="15"/>
  <c r="H972" i="15"/>
  <c r="I972" i="15"/>
  <c r="J938" i="15"/>
  <c r="F938" i="15"/>
  <c r="I938" i="15"/>
  <c r="H921" i="15"/>
  <c r="F921" i="15"/>
  <c r="J904" i="15"/>
  <c r="H564" i="15"/>
  <c r="J513" i="15"/>
  <c r="I513" i="15"/>
  <c r="H530" i="15"/>
  <c r="F513" i="15"/>
  <c r="I666" i="15"/>
  <c r="I768" i="15"/>
  <c r="H666" i="15"/>
  <c r="H768" i="15"/>
  <c r="J666" i="15"/>
  <c r="J785" i="15"/>
  <c r="F700" i="15"/>
  <c r="F819" i="15"/>
  <c r="I955" i="15"/>
  <c r="I921" i="15"/>
  <c r="G972" i="15"/>
  <c r="G989" i="15"/>
  <c r="F1074" i="15"/>
  <c r="H955" i="15"/>
  <c r="J955" i="15"/>
  <c r="J1023" i="15"/>
  <c r="I530" i="15"/>
  <c r="J819" i="15"/>
  <c r="G1074" i="15"/>
  <c r="G1057" i="15"/>
  <c r="G1040" i="15"/>
  <c r="H1074" i="15"/>
  <c r="F428" i="15"/>
  <c r="I632" i="15"/>
  <c r="H649" i="15"/>
  <c r="H836" i="15"/>
  <c r="I1023" i="15"/>
  <c r="G955" i="15"/>
  <c r="H938" i="15"/>
  <c r="G904" i="15"/>
  <c r="J615" i="15"/>
  <c r="H870" i="15"/>
  <c r="H819" i="15"/>
  <c r="J870" i="15"/>
  <c r="G938" i="15"/>
  <c r="F904" i="15"/>
  <c r="F1023" i="15"/>
  <c r="F1040" i="15"/>
  <c r="H904" i="15"/>
  <c r="H1057" i="15"/>
  <c r="J989" i="15"/>
  <c r="I836" i="15"/>
  <c r="H734" i="15"/>
  <c r="J887" i="15"/>
  <c r="F785" i="15"/>
  <c r="I904" i="15"/>
  <c r="G1006" i="15"/>
  <c r="F972" i="15"/>
  <c r="H1006" i="15"/>
  <c r="J921" i="15"/>
  <c r="J1057" i="15"/>
  <c r="H802" i="15"/>
  <c r="G1023" i="15"/>
  <c r="J1006" i="15"/>
  <c r="J1074" i="15"/>
  <c r="G921" i="15"/>
  <c r="I700" i="15"/>
  <c r="H632" i="15"/>
  <c r="J700" i="15"/>
  <c r="G649" i="15"/>
  <c r="G870" i="15"/>
  <c r="F751" i="15"/>
  <c r="F887" i="15"/>
  <c r="G632" i="15"/>
  <c r="G751" i="15"/>
  <c r="J581" i="15"/>
  <c r="I802" i="15"/>
  <c r="I734" i="15"/>
  <c r="H717" i="15"/>
  <c r="H700" i="15"/>
  <c r="J632" i="15"/>
  <c r="J802" i="15"/>
  <c r="G819" i="15"/>
  <c r="G768" i="15"/>
  <c r="F683" i="15"/>
  <c r="F836" i="15"/>
  <c r="I751" i="15"/>
  <c r="J717" i="15"/>
  <c r="J853" i="15"/>
  <c r="G717" i="15"/>
  <c r="G887" i="15"/>
  <c r="F632" i="15"/>
  <c r="F853" i="15"/>
  <c r="I649" i="15"/>
  <c r="I870" i="15"/>
  <c r="J649" i="15"/>
  <c r="G666" i="15"/>
  <c r="G802" i="15"/>
  <c r="F768" i="15"/>
  <c r="F734" i="15"/>
  <c r="I717" i="15"/>
  <c r="H887" i="15"/>
  <c r="J734" i="15"/>
  <c r="G683" i="15"/>
  <c r="G785" i="15"/>
  <c r="F666" i="15"/>
  <c r="I785" i="15"/>
  <c r="I819" i="15"/>
  <c r="H785" i="15"/>
  <c r="J683" i="15"/>
  <c r="J768" i="15"/>
  <c r="G734" i="15"/>
  <c r="G853" i="15"/>
  <c r="F649" i="15"/>
  <c r="F802" i="15"/>
  <c r="F564" i="15"/>
  <c r="I683" i="15"/>
  <c r="I887" i="15"/>
  <c r="H751" i="15"/>
  <c r="H853" i="15"/>
  <c r="J751" i="15"/>
  <c r="J836" i="15"/>
  <c r="G700" i="15"/>
  <c r="G836" i="15"/>
  <c r="F717" i="15"/>
  <c r="F870" i="15"/>
  <c r="G530" i="15"/>
  <c r="F496" i="15"/>
  <c r="G513" i="15"/>
  <c r="G496" i="15"/>
  <c r="I564" i="15"/>
  <c r="H496" i="15"/>
  <c r="F547" i="15"/>
  <c r="J496" i="15"/>
  <c r="G547" i="15"/>
  <c r="H598" i="15"/>
  <c r="G581" i="15"/>
  <c r="I496" i="15"/>
  <c r="H513" i="15"/>
  <c r="F615" i="15"/>
  <c r="J564" i="15"/>
  <c r="G598" i="15"/>
  <c r="I598" i="15"/>
  <c r="H581" i="15"/>
  <c r="F530" i="15"/>
  <c r="J530" i="15"/>
  <c r="G615" i="15"/>
  <c r="I547" i="15"/>
  <c r="H547" i="15"/>
  <c r="F598" i="15"/>
  <c r="J598" i="15"/>
  <c r="G564" i="15"/>
  <c r="H615" i="15"/>
  <c r="F445" i="15"/>
  <c r="I445" i="15"/>
  <c r="F462" i="15"/>
  <c r="I428" i="15"/>
  <c r="I462" i="15"/>
  <c r="F479" i="15"/>
  <c r="G445" i="15"/>
  <c r="J428" i="15"/>
  <c r="H445" i="15"/>
  <c r="G462" i="15"/>
  <c r="H428" i="15"/>
  <c r="G479" i="15"/>
  <c r="J445" i="15"/>
  <c r="H462" i="15"/>
  <c r="J479" i="15"/>
  <c r="F411" i="15"/>
  <c r="G428" i="15"/>
  <c r="J462" i="15"/>
  <c r="H479" i="15"/>
  <c r="F377" i="15"/>
  <c r="J411" i="15"/>
  <c r="F394" i="15"/>
  <c r="J394" i="15"/>
  <c r="I394" i="15"/>
  <c r="I411" i="15"/>
  <c r="G394" i="15"/>
  <c r="G411" i="15"/>
  <c r="H411" i="15"/>
  <c r="I377" i="15"/>
  <c r="H377" i="15"/>
  <c r="J377" i="15"/>
  <c r="G377" i="15"/>
  <c r="G514" i="12"/>
  <c r="M513" i="12"/>
  <c r="M514" i="12" s="1"/>
  <c r="G497" i="12"/>
  <c r="G481" i="12"/>
  <c r="G465" i="12"/>
  <c r="G449" i="12"/>
  <c r="G433" i="12"/>
  <c r="G505" i="12"/>
  <c r="G489" i="12"/>
  <c r="G473" i="12"/>
  <c r="G457" i="12"/>
  <c r="G441" i="12"/>
  <c r="G425" i="12"/>
  <c r="G417" i="12"/>
  <c r="G401" i="12"/>
  <c r="G385" i="12"/>
  <c r="G369" i="12"/>
  <c r="G353" i="12"/>
  <c r="G337" i="12"/>
  <c r="G321" i="12"/>
  <c r="G305" i="12"/>
  <c r="G409" i="12"/>
  <c r="G393" i="12"/>
  <c r="G377" i="12"/>
  <c r="G361" i="12"/>
  <c r="G345" i="12"/>
  <c r="G329" i="12"/>
  <c r="G313" i="12"/>
  <c r="G297" i="12"/>
  <c r="G281" i="12"/>
  <c r="G265" i="12"/>
  <c r="G249" i="12"/>
  <c r="G233" i="12"/>
  <c r="G289" i="12"/>
  <c r="G273" i="12"/>
  <c r="G257" i="12"/>
  <c r="G241" i="12"/>
  <c r="G225" i="12"/>
  <c r="G209" i="12"/>
  <c r="G217" i="12"/>
  <c r="G201" i="12"/>
  <c r="G193" i="12"/>
  <c r="G185" i="12"/>
  <c r="G169" i="12"/>
  <c r="G177" i="12"/>
  <c r="M630" i="11"/>
  <c r="V630" i="11" s="1"/>
  <c r="M620" i="11"/>
  <c r="V620" i="11" s="1"/>
  <c r="M640" i="11"/>
  <c r="V640" i="11" s="1"/>
  <c r="M610" i="11"/>
  <c r="V610" i="11" s="1"/>
  <c r="M428" i="11"/>
  <c r="V428" i="11" s="1"/>
  <c r="M559" i="11"/>
  <c r="V559" i="11" s="1"/>
  <c r="M579" i="11"/>
  <c r="V579" i="11" s="1"/>
  <c r="M549" i="11"/>
  <c r="V549" i="11" s="1"/>
  <c r="M599" i="11"/>
  <c r="V599" i="11" s="1"/>
  <c r="M539" i="11"/>
  <c r="V539" i="11" s="1"/>
  <c r="M509" i="11"/>
  <c r="V509" i="11" s="1"/>
  <c r="M589" i="11"/>
  <c r="V589" i="11" s="1"/>
  <c r="M479" i="11"/>
  <c r="V479" i="11" s="1"/>
  <c r="M519" i="11"/>
  <c r="V519" i="11" s="1"/>
  <c r="M449" i="11"/>
  <c r="V449" i="11" s="1"/>
  <c r="M569" i="11"/>
  <c r="V569" i="11" s="1"/>
  <c r="M489" i="11"/>
  <c r="V489" i="11" s="1"/>
  <c r="M439" i="11"/>
  <c r="V439" i="11" s="1"/>
  <c r="M469" i="11"/>
  <c r="V469" i="11" s="1"/>
  <c r="M529" i="11"/>
  <c r="V529" i="11" s="1"/>
  <c r="M499" i="11"/>
  <c r="V499" i="11" s="1"/>
  <c r="M459" i="11"/>
  <c r="V459" i="11" s="1"/>
  <c r="M408" i="11"/>
  <c r="V408" i="11" s="1"/>
  <c r="M418" i="11"/>
  <c r="V418" i="11" s="1"/>
  <c r="M388" i="11"/>
  <c r="V388" i="11" s="1"/>
  <c r="M398" i="11"/>
  <c r="V398" i="11" s="1"/>
  <c r="M368" i="11"/>
  <c r="V368" i="11" s="1"/>
  <c r="M378" i="11"/>
  <c r="V378" i="11" s="1"/>
  <c r="M348" i="11"/>
  <c r="V348" i="11" s="1"/>
  <c r="M358" i="11"/>
  <c r="V358" i="11" s="1"/>
  <c r="M328" i="11"/>
  <c r="V328" i="11" s="1"/>
  <c r="M338" i="11"/>
  <c r="V338" i="11" s="1"/>
  <c r="M308" i="11"/>
  <c r="V308" i="11" s="1"/>
  <c r="M318" i="11"/>
  <c r="V318" i="11" s="1"/>
  <c r="M288" i="11"/>
  <c r="V288" i="11" s="1"/>
  <c r="M298" i="11"/>
  <c r="V298" i="11" s="1"/>
  <c r="M278" i="11"/>
  <c r="V278" i="11" s="1"/>
  <c r="M257" i="11"/>
  <c r="V257" i="11" s="1"/>
  <c r="M267" i="11"/>
  <c r="V267" i="11" s="1"/>
  <c r="M237" i="11"/>
  <c r="V237" i="11" s="1"/>
  <c r="M247" i="11"/>
  <c r="V247" i="11" s="1"/>
  <c r="M217" i="11"/>
  <c r="V217" i="11" s="1"/>
  <c r="M227" i="11"/>
  <c r="V227" i="11" s="1"/>
  <c r="Q351" i="13"/>
  <c r="Q343" i="13"/>
  <c r="Q122" i="13"/>
  <c r="Q101" i="14"/>
  <c r="Q190" i="13"/>
  <c r="Q147" i="13"/>
  <c r="Q199" i="14"/>
  <c r="Q54" i="13"/>
  <c r="J88" i="16"/>
  <c r="Q79" i="13"/>
  <c r="Q258" i="13"/>
  <c r="Q266" i="13"/>
  <c r="Q130" i="13"/>
  <c r="Q105" i="13"/>
  <c r="Q207" i="13"/>
  <c r="Q156" i="13"/>
  <c r="Q31" i="14"/>
  <c r="Q283" i="14"/>
  <c r="Q232" i="13"/>
  <c r="Q164" i="13"/>
  <c r="Q71" i="13"/>
  <c r="Q292" i="13"/>
  <c r="Q139" i="13"/>
  <c r="Q241" i="14"/>
  <c r="Q157" i="14"/>
  <c r="Q334" i="13"/>
  <c r="Q115" i="14"/>
  <c r="Q171" i="14"/>
  <c r="Q88" i="13"/>
  <c r="Q62" i="13"/>
  <c r="Q300" i="13"/>
  <c r="Q215" i="13"/>
  <c r="Q241" i="13"/>
  <c r="Q360" i="13"/>
  <c r="Q73" i="14"/>
  <c r="Q255" i="14"/>
  <c r="Q129" i="14"/>
  <c r="Q249" i="13"/>
  <c r="Q96" i="13"/>
  <c r="Q283" i="13"/>
  <c r="Q113" i="13"/>
  <c r="Q275" i="13"/>
  <c r="Q224" i="13"/>
  <c r="Q45" i="14"/>
  <c r="Q269" i="14"/>
  <c r="Q185" i="14"/>
  <c r="Q45" i="13"/>
  <c r="Q317" i="13"/>
  <c r="Q198" i="13"/>
  <c r="Q309" i="13"/>
  <c r="Q326" i="13"/>
  <c r="Q87" i="14"/>
  <c r="Q227" i="14"/>
  <c r="Q143" i="14"/>
  <c r="Q181" i="13"/>
  <c r="Q173" i="13"/>
  <c r="Q59" i="14"/>
  <c r="Q213" i="14"/>
  <c r="Q297" i="14"/>
  <c r="J32" i="16"/>
  <c r="I116" i="16"/>
  <c r="I144" i="16"/>
  <c r="I46" i="16"/>
  <c r="F303" i="14"/>
  <c r="F849" i="14"/>
  <c r="Q849" i="14" s="1"/>
  <c r="F863" i="14"/>
  <c r="Q863" i="14" s="1"/>
  <c r="F835" i="14"/>
  <c r="Q835" i="14" s="1"/>
  <c r="F877" i="14"/>
  <c r="Q877" i="14" s="1"/>
  <c r="F387" i="14"/>
  <c r="Q387" i="14" s="1"/>
  <c r="F597" i="14"/>
  <c r="Q597" i="14" s="1"/>
  <c r="F499" i="14"/>
  <c r="Q499" i="14" s="1"/>
  <c r="F737" i="14"/>
  <c r="Q737" i="14" s="1"/>
  <c r="F359" i="14"/>
  <c r="Q359" i="14" s="1"/>
  <c r="F765" i="14"/>
  <c r="Q765" i="14" s="1"/>
  <c r="F681" i="14"/>
  <c r="Q681" i="14" s="1"/>
  <c r="F527" i="14"/>
  <c r="Q527" i="14" s="1"/>
  <c r="F471" i="14"/>
  <c r="Q471" i="14" s="1"/>
  <c r="F569" i="14"/>
  <c r="Q569" i="14" s="1"/>
  <c r="F457" i="14"/>
  <c r="Q457" i="14" s="1"/>
  <c r="F751" i="14"/>
  <c r="Q751" i="14" s="1"/>
  <c r="F443" i="14"/>
  <c r="Q443" i="14" s="1"/>
  <c r="F373" i="14"/>
  <c r="Q373" i="14" s="1"/>
  <c r="F653" i="14"/>
  <c r="Q653" i="14" s="1"/>
  <c r="F709" i="14"/>
  <c r="Q709" i="14" s="1"/>
  <c r="F821" i="14"/>
  <c r="Q821" i="14" s="1"/>
  <c r="F401" i="14"/>
  <c r="Q401" i="14" s="1"/>
  <c r="F625" i="14"/>
  <c r="Q625" i="14" s="1"/>
  <c r="F485" i="14"/>
  <c r="Q485" i="14" s="1"/>
  <c r="F723" i="14"/>
  <c r="Q723" i="14" s="1"/>
  <c r="F513" i="14"/>
  <c r="Q513" i="14" s="1"/>
  <c r="F317" i="14"/>
  <c r="Q317" i="14" s="1"/>
  <c r="F807" i="14"/>
  <c r="Q807" i="14" s="1"/>
  <c r="F639" i="14"/>
  <c r="Q639" i="14" s="1"/>
  <c r="F555" i="14"/>
  <c r="Q555" i="14" s="1"/>
  <c r="F793" i="14"/>
  <c r="Q793" i="14" s="1"/>
  <c r="F583" i="14"/>
  <c r="Q583" i="14" s="1"/>
  <c r="F345" i="14"/>
  <c r="Q345" i="14" s="1"/>
  <c r="F667" i="14"/>
  <c r="Q667" i="14" s="1"/>
  <c r="F429" i="14"/>
  <c r="Q429" i="14" s="1"/>
  <c r="F611" i="14"/>
  <c r="Q611" i="14" s="1"/>
  <c r="F779" i="14"/>
  <c r="Q779" i="14" s="1"/>
  <c r="F415" i="14"/>
  <c r="Q415" i="14" s="1"/>
  <c r="F541" i="14"/>
  <c r="Q541" i="14" s="1"/>
  <c r="F695" i="14"/>
  <c r="Q695" i="14" s="1"/>
  <c r="F26" i="13"/>
  <c r="Q26" i="13" s="1"/>
  <c r="F536" i="13"/>
  <c r="Q536" i="13" s="1"/>
  <c r="F859" i="13"/>
  <c r="Q859" i="13" s="1"/>
  <c r="F927" i="13"/>
  <c r="Q927" i="13" s="1"/>
  <c r="F825" i="13"/>
  <c r="Q825" i="13" s="1"/>
  <c r="F791" i="13"/>
  <c r="Q791" i="13" s="1"/>
  <c r="F1063" i="13"/>
  <c r="Q1063" i="13" s="1"/>
  <c r="F774" i="13"/>
  <c r="Q774" i="13" s="1"/>
  <c r="F893" i="13"/>
  <c r="Q893" i="13" s="1"/>
  <c r="F638" i="13"/>
  <c r="Q638" i="13" s="1"/>
  <c r="F689" i="13"/>
  <c r="Q689" i="13" s="1"/>
  <c r="F723" i="13"/>
  <c r="Q723" i="13" s="1"/>
  <c r="F1029" i="13"/>
  <c r="Q1029" i="13" s="1"/>
  <c r="F808" i="13"/>
  <c r="Q808" i="13" s="1"/>
  <c r="F995" i="13"/>
  <c r="Q995" i="13" s="1"/>
  <c r="F1046" i="13"/>
  <c r="Q1046" i="13" s="1"/>
  <c r="F944" i="13"/>
  <c r="Q944" i="13" s="1"/>
  <c r="F1012" i="13"/>
  <c r="Q1012" i="13" s="1"/>
  <c r="F910" i="13"/>
  <c r="Q910" i="13" s="1"/>
  <c r="F876" i="13"/>
  <c r="Q876" i="13" s="1"/>
  <c r="F961" i="13"/>
  <c r="Q961" i="13" s="1"/>
  <c r="F757" i="13"/>
  <c r="Q757" i="13" s="1"/>
  <c r="F553" i="13"/>
  <c r="Q553" i="13" s="1"/>
  <c r="F978" i="13"/>
  <c r="Q978" i="13" s="1"/>
  <c r="F842" i="13"/>
  <c r="Q842" i="13" s="1"/>
  <c r="F621" i="13"/>
  <c r="Q621" i="13" s="1"/>
  <c r="F587" i="13"/>
  <c r="Q587" i="13" s="1"/>
  <c r="F604" i="13"/>
  <c r="Q604" i="13" s="1"/>
  <c r="F655" i="13"/>
  <c r="Q655" i="13" s="1"/>
  <c r="F485" i="13"/>
  <c r="Q485" i="13" s="1"/>
  <c r="F672" i="13"/>
  <c r="Q672" i="13" s="1"/>
  <c r="F570" i="13"/>
  <c r="Q570" i="13" s="1"/>
  <c r="F706" i="13"/>
  <c r="Q706" i="13" s="1"/>
  <c r="F451" i="13"/>
  <c r="Q451" i="13" s="1"/>
  <c r="F502" i="13"/>
  <c r="Q502" i="13" s="1"/>
  <c r="F434" i="13"/>
  <c r="Q434" i="13" s="1"/>
  <c r="F468" i="13"/>
  <c r="Q468" i="13" s="1"/>
  <c r="F400" i="13"/>
  <c r="Q400" i="13" s="1"/>
  <c r="F417" i="13"/>
  <c r="Q417" i="13" s="1"/>
  <c r="F383" i="13"/>
  <c r="Q383" i="13" s="1"/>
  <c r="F740" i="13"/>
  <c r="Q740" i="13" s="1"/>
  <c r="F366" i="13"/>
  <c r="Q366" i="13" s="1"/>
  <c r="J200" i="16"/>
  <c r="F326" i="15"/>
  <c r="J74" i="16"/>
  <c r="J284" i="16"/>
  <c r="J207" i="15"/>
  <c r="J309" i="15"/>
  <c r="F275" i="15"/>
  <c r="J258" i="15"/>
  <c r="F15" i="14"/>
  <c r="J139" i="15"/>
  <c r="J71" i="15"/>
  <c r="J343" i="15"/>
  <c r="J360" i="15"/>
  <c r="F241" i="15"/>
  <c r="J122" i="15"/>
  <c r="J190" i="15"/>
  <c r="J224" i="15"/>
  <c r="F54" i="15"/>
  <c r="F207" i="15"/>
  <c r="J144" i="16"/>
  <c r="J186" i="16"/>
  <c r="J270" i="16"/>
  <c r="J105" i="15"/>
  <c r="F71" i="15"/>
  <c r="F105" i="15"/>
  <c r="F292" i="15"/>
  <c r="F343" i="15"/>
  <c r="F224" i="15"/>
  <c r="J298" i="16"/>
  <c r="I270" i="16"/>
  <c r="J156" i="15"/>
  <c r="J326" i="15"/>
  <c r="F258" i="15"/>
  <c r="F190" i="15"/>
  <c r="J60" i="16"/>
  <c r="J158" i="16"/>
  <c r="I200" i="16"/>
  <c r="I74" i="16"/>
  <c r="I214" i="16"/>
  <c r="J228" i="16"/>
  <c r="I60" i="16"/>
  <c r="I88" i="16"/>
  <c r="I186" i="16"/>
  <c r="I256" i="16"/>
  <c r="I284" i="16"/>
  <c r="H157" i="13"/>
  <c r="H174" i="13"/>
  <c r="H191" i="13"/>
  <c r="J46" i="16"/>
  <c r="J256" i="16"/>
  <c r="J102" i="16"/>
  <c r="J116" i="16"/>
  <c r="I298" i="16"/>
  <c r="I130" i="16"/>
  <c r="J89" i="13"/>
  <c r="J54" i="15"/>
  <c r="J37" i="15"/>
  <c r="J292" i="15"/>
  <c r="F360" i="15"/>
  <c r="I172" i="16"/>
  <c r="J241" i="15"/>
  <c r="H293" i="13"/>
  <c r="J344" i="13"/>
  <c r="G74" i="14"/>
  <c r="H60" i="14"/>
  <c r="H116" i="14"/>
  <c r="H158" i="14"/>
  <c r="J74" i="14"/>
  <c r="I228" i="16"/>
  <c r="G298" i="16"/>
  <c r="G284" i="16"/>
  <c r="J242" i="16"/>
  <c r="J130" i="16"/>
  <c r="G200" i="14"/>
  <c r="I32" i="16"/>
  <c r="I158" i="16"/>
  <c r="H102" i="14"/>
  <c r="G242" i="14"/>
  <c r="G88" i="14"/>
  <c r="G102" i="14"/>
  <c r="H228" i="14"/>
  <c r="J88" i="14"/>
  <c r="J275" i="15"/>
  <c r="J259" i="13"/>
  <c r="F309" i="15"/>
  <c r="F173" i="15"/>
  <c r="F88" i="15"/>
  <c r="F122" i="15"/>
  <c r="J208" i="13"/>
  <c r="J88" i="15"/>
  <c r="J173" i="15"/>
  <c r="F156" i="15"/>
  <c r="F139" i="15"/>
  <c r="H259" i="13"/>
  <c r="G74" i="16"/>
  <c r="G172" i="16"/>
  <c r="G130" i="16"/>
  <c r="F37" i="15"/>
  <c r="F196" i="13"/>
  <c r="Q196" i="13" s="1"/>
  <c r="F128" i="13"/>
  <c r="Q128" i="13" s="1"/>
  <c r="F111" i="13"/>
  <c r="Q111" i="13" s="1"/>
  <c r="F162" i="13"/>
  <c r="Q162" i="13" s="1"/>
  <c r="F349" i="13"/>
  <c r="Q349" i="13" s="1"/>
  <c r="F179" i="13"/>
  <c r="Q179" i="13" s="1"/>
  <c r="F281" i="13"/>
  <c r="Q281" i="13" s="1"/>
  <c r="F298" i="13"/>
  <c r="Q298" i="13" s="1"/>
  <c r="F332" i="13"/>
  <c r="Q332" i="13" s="1"/>
  <c r="F213" i="13"/>
  <c r="Q213" i="13" s="1"/>
  <c r="F315" i="13"/>
  <c r="Q315" i="13" s="1"/>
  <c r="F230" i="13"/>
  <c r="Q230" i="13" s="1"/>
  <c r="F264" i="13"/>
  <c r="Q264" i="13" s="1"/>
  <c r="F145" i="13"/>
  <c r="Q145" i="13" s="1"/>
  <c r="F247" i="13"/>
  <c r="Q247" i="13" s="1"/>
  <c r="F94" i="13"/>
  <c r="Q94" i="13" s="1"/>
  <c r="F77" i="13"/>
  <c r="Q77" i="13" s="1"/>
  <c r="F43" i="13"/>
  <c r="Q43" i="13" s="1"/>
  <c r="F60" i="13"/>
  <c r="W61" i="13" s="1"/>
  <c r="G60" i="16"/>
  <c r="G32" i="16"/>
  <c r="G256" i="16"/>
  <c r="G270" i="16"/>
  <c r="G186" i="16"/>
  <c r="H89" i="13"/>
  <c r="H106" i="13"/>
  <c r="H208" i="13"/>
  <c r="H225" i="13"/>
  <c r="H327" i="13"/>
  <c r="J38" i="13"/>
  <c r="J106" i="13"/>
  <c r="J310" i="13"/>
  <c r="J174" i="13"/>
  <c r="J293" i="13"/>
  <c r="I105" i="15"/>
  <c r="I54" i="15"/>
  <c r="I292" i="15"/>
  <c r="I309" i="15"/>
  <c r="I241" i="15"/>
  <c r="I55" i="13"/>
  <c r="I89" i="13"/>
  <c r="I310" i="13"/>
  <c r="I327" i="13"/>
  <c r="I174" i="13"/>
  <c r="G32" i="14"/>
  <c r="G60" i="14"/>
  <c r="G158" i="14"/>
  <c r="G130" i="14"/>
  <c r="G172" i="14"/>
  <c r="P46" i="14"/>
  <c r="P32" i="14"/>
  <c r="P186" i="14"/>
  <c r="P284" i="14"/>
  <c r="P172" i="14"/>
  <c r="H37" i="15"/>
  <c r="H105" i="15"/>
  <c r="H258" i="15"/>
  <c r="H292" i="15"/>
  <c r="H190" i="15"/>
  <c r="H46" i="16"/>
  <c r="H32" i="16"/>
  <c r="H242" i="16"/>
  <c r="H284" i="16"/>
  <c r="H298" i="16"/>
  <c r="G88" i="15"/>
  <c r="G54" i="15"/>
  <c r="G309" i="15"/>
  <c r="G292" i="15"/>
  <c r="G241" i="15"/>
  <c r="P72" i="13"/>
  <c r="H74" i="14"/>
  <c r="H32" i="14"/>
  <c r="H242" i="14"/>
  <c r="H214" i="14"/>
  <c r="H186" i="14"/>
  <c r="J60" i="14"/>
  <c r="J32" i="14"/>
  <c r="J242" i="14"/>
  <c r="J144" i="14"/>
  <c r="J214" i="14"/>
  <c r="I32" i="14"/>
  <c r="I74" i="14"/>
  <c r="I298" i="14"/>
  <c r="I270" i="14"/>
  <c r="I200" i="14"/>
  <c r="G72" i="13"/>
  <c r="G38" i="13"/>
  <c r="G361" i="13"/>
  <c r="G344" i="13"/>
  <c r="G157" i="13"/>
  <c r="G102" i="16"/>
  <c r="G200" i="16"/>
  <c r="H55" i="13"/>
  <c r="H123" i="13"/>
  <c r="J157" i="13"/>
  <c r="J191" i="13"/>
  <c r="I71" i="15"/>
  <c r="I122" i="15"/>
  <c r="I275" i="15"/>
  <c r="I343" i="15"/>
  <c r="I173" i="15"/>
  <c r="I106" i="13"/>
  <c r="I157" i="13"/>
  <c r="I361" i="13"/>
  <c r="I208" i="13"/>
  <c r="I123" i="13"/>
  <c r="G284" i="14"/>
  <c r="G270" i="14"/>
  <c r="G144" i="14"/>
  <c r="P60" i="14"/>
  <c r="P102" i="14"/>
  <c r="P270" i="14"/>
  <c r="P214" i="14"/>
  <c r="P130" i="14"/>
  <c r="H54" i="15"/>
  <c r="H122" i="15"/>
  <c r="H360" i="15"/>
  <c r="H326" i="15"/>
  <c r="H343" i="15"/>
  <c r="H60" i="16"/>
  <c r="H214" i="16"/>
  <c r="H144" i="16"/>
  <c r="H116" i="16"/>
  <c r="H186" i="16"/>
  <c r="G105" i="15"/>
  <c r="G258" i="15"/>
  <c r="G207" i="15"/>
  <c r="G360" i="15"/>
  <c r="G139" i="15"/>
  <c r="P38" i="13"/>
  <c r="H270" i="14"/>
  <c r="H298" i="14"/>
  <c r="J116" i="14"/>
  <c r="J172" i="14"/>
  <c r="J284" i="14"/>
  <c r="J298" i="14"/>
  <c r="I46" i="14"/>
  <c r="I116" i="14"/>
  <c r="I284" i="14"/>
  <c r="I158" i="14"/>
  <c r="I130" i="14"/>
  <c r="G55" i="13"/>
  <c r="G310" i="13"/>
  <c r="G174" i="13"/>
  <c r="G293" i="13"/>
  <c r="G123" i="13"/>
  <c r="F275" i="14"/>
  <c r="Q275" i="14" s="1"/>
  <c r="F177" i="14"/>
  <c r="Q177" i="14" s="1"/>
  <c r="F191" i="14"/>
  <c r="Q191" i="14" s="1"/>
  <c r="F289" i="14"/>
  <c r="Q289" i="14" s="1"/>
  <c r="F163" i="14"/>
  <c r="Q163" i="14" s="1"/>
  <c r="F121" i="14"/>
  <c r="Q121" i="14" s="1"/>
  <c r="F135" i="14"/>
  <c r="Q135" i="14" s="1"/>
  <c r="F219" i="14"/>
  <c r="Q219" i="14" s="1"/>
  <c r="F149" i="14"/>
  <c r="Q149" i="14" s="1"/>
  <c r="F261" i="14"/>
  <c r="Q261" i="14" s="1"/>
  <c r="F205" i="14"/>
  <c r="Q205" i="14" s="1"/>
  <c r="F107" i="14"/>
  <c r="Q107" i="14" s="1"/>
  <c r="F233" i="14"/>
  <c r="Q233" i="14" s="1"/>
  <c r="F93" i="14"/>
  <c r="Q93" i="14" s="1"/>
  <c r="F247" i="14"/>
  <c r="Q247" i="14" s="1"/>
  <c r="F79" i="14"/>
  <c r="Q79" i="14" s="1"/>
  <c r="F37" i="14"/>
  <c r="Q37" i="14" s="1"/>
  <c r="F65" i="14"/>
  <c r="Q65" i="14" s="1"/>
  <c r="F23" i="14"/>
  <c r="Q23" i="14" s="1"/>
  <c r="F51" i="14"/>
  <c r="Q51" i="14" s="1"/>
  <c r="G46" i="16"/>
  <c r="G228" i="16"/>
  <c r="G144" i="16"/>
  <c r="Q15" i="16"/>
  <c r="G88" i="16"/>
  <c r="G214" i="16"/>
  <c r="G242" i="16"/>
  <c r="G116" i="16"/>
  <c r="G158" i="16"/>
  <c r="H38" i="13"/>
  <c r="H242" i="13"/>
  <c r="H361" i="13"/>
  <c r="H276" i="13"/>
  <c r="H140" i="13"/>
  <c r="J72" i="13"/>
  <c r="J276" i="13"/>
  <c r="J225" i="13"/>
  <c r="J327" i="13"/>
  <c r="J140" i="13"/>
  <c r="I88" i="15"/>
  <c r="I207" i="15"/>
  <c r="I224" i="15"/>
  <c r="I258" i="15"/>
  <c r="I156" i="15"/>
  <c r="I72" i="13"/>
  <c r="I276" i="13"/>
  <c r="I293" i="13"/>
  <c r="I344" i="13"/>
  <c r="I140" i="13"/>
  <c r="G46" i="14"/>
  <c r="G256" i="14"/>
  <c r="G214" i="14"/>
  <c r="G228" i="14"/>
  <c r="G298" i="14"/>
  <c r="P74" i="14"/>
  <c r="P116" i="14"/>
  <c r="P242" i="14"/>
  <c r="P144" i="14"/>
  <c r="P228" i="14"/>
  <c r="J214" i="16"/>
  <c r="H71" i="15"/>
  <c r="H207" i="15"/>
  <c r="H309" i="15"/>
  <c r="H173" i="15"/>
  <c r="H241" i="15"/>
  <c r="H88" i="16"/>
  <c r="H102" i="16"/>
  <c r="H270" i="16"/>
  <c r="H228" i="16"/>
  <c r="H200" i="16"/>
  <c r="G71" i="15"/>
  <c r="G122" i="15"/>
  <c r="G326" i="15"/>
  <c r="G173" i="15"/>
  <c r="G275" i="15"/>
  <c r="P55" i="13"/>
  <c r="H46" i="14"/>
  <c r="H256" i="14"/>
  <c r="H284" i="14"/>
  <c r="H172" i="14"/>
  <c r="H200" i="14"/>
  <c r="J46" i="14"/>
  <c r="J256" i="14"/>
  <c r="J228" i="14"/>
  <c r="J158" i="14"/>
  <c r="J200" i="14"/>
  <c r="I88" i="14"/>
  <c r="I102" i="14"/>
  <c r="I214" i="14"/>
  <c r="I228" i="14"/>
  <c r="I144" i="14"/>
  <c r="G89" i="13"/>
  <c r="G242" i="13"/>
  <c r="G327" i="13"/>
  <c r="G225" i="13"/>
  <c r="G140" i="13"/>
  <c r="F171" i="16"/>
  <c r="F172" i="16" s="1"/>
  <c r="F185" i="16"/>
  <c r="F186" i="16" s="1"/>
  <c r="F143" i="16"/>
  <c r="F144" i="16" s="1"/>
  <c r="F115" i="16"/>
  <c r="F116" i="16" s="1"/>
  <c r="F269" i="16"/>
  <c r="F270" i="16" s="1"/>
  <c r="F283" i="16"/>
  <c r="F284" i="16" s="1"/>
  <c r="F227" i="16"/>
  <c r="F228" i="16" s="1"/>
  <c r="F157" i="16"/>
  <c r="F158" i="16" s="1"/>
  <c r="F199" i="16"/>
  <c r="F200" i="16" s="1"/>
  <c r="F241" i="16"/>
  <c r="F242" i="16" s="1"/>
  <c r="F129" i="16"/>
  <c r="F130" i="16" s="1"/>
  <c r="F255" i="16"/>
  <c r="F256" i="16" s="1"/>
  <c r="F213" i="16"/>
  <c r="F214" i="16" s="1"/>
  <c r="F101" i="16"/>
  <c r="F102" i="16" s="1"/>
  <c r="F59" i="16"/>
  <c r="F60" i="16" s="1"/>
  <c r="F45" i="16"/>
  <c r="F46" i="16" s="1"/>
  <c r="F31" i="16"/>
  <c r="F32" i="16" s="1"/>
  <c r="F73" i="16"/>
  <c r="F74" i="16" s="1"/>
  <c r="F87" i="16"/>
  <c r="F88" i="16" s="1"/>
  <c r="H72" i="13"/>
  <c r="H310" i="13"/>
  <c r="H344" i="13"/>
  <c r="J55" i="13"/>
  <c r="J242" i="13"/>
  <c r="J361" i="13"/>
  <c r="J123" i="13"/>
  <c r="I37" i="15"/>
  <c r="I360" i="15"/>
  <c r="I326" i="15"/>
  <c r="I139" i="15"/>
  <c r="I190" i="15"/>
  <c r="I38" i="13"/>
  <c r="I242" i="13"/>
  <c r="I191" i="13"/>
  <c r="I225" i="13"/>
  <c r="I259" i="13"/>
  <c r="G116" i="14"/>
  <c r="G186" i="14"/>
  <c r="P88" i="14"/>
  <c r="P256" i="14"/>
  <c r="P200" i="14"/>
  <c r="P298" i="14"/>
  <c r="P158" i="14"/>
  <c r="H88" i="15"/>
  <c r="H156" i="15"/>
  <c r="H275" i="15"/>
  <c r="H224" i="15"/>
  <c r="H139" i="15"/>
  <c r="H74" i="16"/>
  <c r="H256" i="16"/>
  <c r="H172" i="16"/>
  <c r="H130" i="16"/>
  <c r="H158" i="16"/>
  <c r="G37" i="15"/>
  <c r="G156" i="15"/>
  <c r="G343" i="15"/>
  <c r="G190" i="15"/>
  <c r="G224" i="15"/>
  <c r="P89" i="13"/>
  <c r="P259" i="13"/>
  <c r="H88" i="14"/>
  <c r="H130" i="14"/>
  <c r="H144" i="14"/>
  <c r="J102" i="14"/>
  <c r="J186" i="14"/>
  <c r="J270" i="14"/>
  <c r="J130" i="14"/>
  <c r="I60" i="14"/>
  <c r="I242" i="14"/>
  <c r="I256" i="14"/>
  <c r="I172" i="14"/>
  <c r="I186" i="14"/>
  <c r="G106" i="13"/>
  <c r="G276" i="13"/>
  <c r="G208" i="13"/>
  <c r="G259" i="13"/>
  <c r="G191" i="13"/>
  <c r="G161" i="12"/>
  <c r="G153" i="12"/>
  <c r="G145" i="12"/>
  <c r="G137" i="12"/>
  <c r="G129" i="12"/>
  <c r="G121" i="12"/>
  <c r="G113" i="12"/>
  <c r="G105" i="12"/>
  <c r="G97" i="12"/>
  <c r="G89" i="12"/>
  <c r="G81" i="12"/>
  <c r="G73" i="12"/>
  <c r="G65" i="12"/>
  <c r="G57" i="12"/>
  <c r="G49" i="12"/>
  <c r="G41" i="12"/>
  <c r="G33" i="12"/>
  <c r="G25" i="12"/>
  <c r="M197" i="11"/>
  <c r="V197" i="11" s="1"/>
  <c r="M207" i="11"/>
  <c r="V207" i="11" s="1"/>
  <c r="M187" i="11"/>
  <c r="V187" i="11" s="1"/>
  <c r="M167" i="11"/>
  <c r="V167" i="11" s="1"/>
  <c r="M147" i="11"/>
  <c r="V147" i="11" s="1"/>
  <c r="M127" i="11"/>
  <c r="V127" i="11" s="1"/>
  <c r="M157" i="11"/>
  <c r="V157" i="11" s="1"/>
  <c r="M97" i="11"/>
  <c r="V97" i="11" s="1"/>
  <c r="M77" i="11"/>
  <c r="V77" i="11" s="1"/>
  <c r="M57" i="11"/>
  <c r="V57" i="11" s="1"/>
  <c r="M137" i="11"/>
  <c r="V137" i="11" s="1"/>
  <c r="M67" i="11"/>
  <c r="V67" i="11" s="1"/>
  <c r="M117" i="11"/>
  <c r="V117" i="11" s="1"/>
  <c r="M87" i="11"/>
  <c r="V87" i="11" s="1"/>
  <c r="M47" i="11"/>
  <c r="V47" i="11" s="1"/>
  <c r="M27" i="11"/>
  <c r="V27" i="11" s="1"/>
  <c r="M177" i="11"/>
  <c r="V177" i="11" s="1"/>
  <c r="M107" i="11"/>
  <c r="V107" i="11" s="1"/>
  <c r="M37" i="11"/>
  <c r="V37" i="11" s="1"/>
  <c r="Q18" i="15"/>
  <c r="F18" i="13"/>
  <c r="F15" i="16"/>
  <c r="F8" i="12"/>
  <c r="F513" i="12" s="1"/>
  <c r="Q340" i="16" l="1"/>
  <c r="P1079" i="13"/>
  <c r="Q788" i="16"/>
  <c r="Q648" i="16"/>
  <c r="Q830" i="16"/>
  <c r="Q242" i="16"/>
  <c r="Q312" i="16"/>
  <c r="Q886" i="16"/>
  <c r="Q746" i="16"/>
  <c r="Q270" i="16"/>
  <c r="Q256" i="16"/>
  <c r="Q760" i="16"/>
  <c r="Q88" i="16"/>
  <c r="Q802" i="16"/>
  <c r="Q424" i="16"/>
  <c r="Q872" i="16"/>
  <c r="Q690" i="16"/>
  <c r="Q494" i="16"/>
  <c r="Q130" i="16"/>
  <c r="Q844" i="16"/>
  <c r="Q774" i="16"/>
  <c r="Q116" i="16"/>
  <c r="I890" i="16"/>
  <c r="I891" i="16" s="1"/>
  <c r="Q284" i="16"/>
  <c r="Q438" i="16"/>
  <c r="Q368" i="16"/>
  <c r="Q704" i="16"/>
  <c r="Q466" i="16"/>
  <c r="Q816" i="16"/>
  <c r="Q564" i="16"/>
  <c r="Q326" i="16"/>
  <c r="Q858" i="16"/>
  <c r="Q508" i="16"/>
  <c r="Q676" i="16"/>
  <c r="Q102" i="16"/>
  <c r="Q1006" i="15"/>
  <c r="G1079" i="15"/>
  <c r="G1080" i="15" s="1"/>
  <c r="I1079" i="15"/>
  <c r="I1080" i="15" s="1"/>
  <c r="F1079" i="15"/>
  <c r="F1080" i="15" s="1"/>
  <c r="H890" i="16"/>
  <c r="H891" i="16" s="1"/>
  <c r="H1079" i="15"/>
  <c r="H1080" i="15" s="1"/>
  <c r="J1079" i="15"/>
  <c r="J1080" i="15" s="1"/>
  <c r="G890" i="16"/>
  <c r="G891" i="16" s="1"/>
  <c r="J890" i="16"/>
  <c r="J891" i="16" s="1"/>
  <c r="Q620" i="16"/>
  <c r="Q732" i="16"/>
  <c r="Q298" i="16"/>
  <c r="Q592" i="16"/>
  <c r="Q718" i="16"/>
  <c r="Q382" i="16"/>
  <c r="Q632" i="15"/>
  <c r="Q870" i="15"/>
  <c r="Q354" i="16"/>
  <c r="Q785" i="15"/>
  <c r="Q578" i="16"/>
  <c r="Q550" i="16"/>
  <c r="Q396" i="16"/>
  <c r="F890" i="16"/>
  <c r="F891" i="16" s="1"/>
  <c r="Q662" i="16"/>
  <c r="Q452" i="16"/>
  <c r="Q536" i="16"/>
  <c r="Q410" i="16"/>
  <c r="Q606" i="16"/>
  <c r="Q634" i="16"/>
  <c r="Q522" i="16"/>
  <c r="Q480" i="16"/>
  <c r="Q60" i="13"/>
  <c r="X61" i="13" s="1"/>
  <c r="Q853" i="15"/>
  <c r="Q955" i="15"/>
  <c r="Q938" i="15"/>
  <c r="Q921" i="15"/>
  <c r="Q819" i="15"/>
  <c r="Q683" i="15"/>
  <c r="Q1040" i="15"/>
  <c r="Q972" i="15"/>
  <c r="Q904" i="15"/>
  <c r="Q1057" i="15"/>
  <c r="Q887" i="15"/>
  <c r="Q1074" i="15"/>
  <c r="Q530" i="15"/>
  <c r="Q1023" i="15"/>
  <c r="Q989" i="15"/>
  <c r="Q666" i="15"/>
  <c r="Q768" i="15"/>
  <c r="Q649" i="15"/>
  <c r="Q462" i="15"/>
  <c r="Q836" i="15"/>
  <c r="Q700" i="15"/>
  <c r="Q734" i="15"/>
  <c r="Q751" i="15"/>
  <c r="Q717" i="15"/>
  <c r="Q445" i="15"/>
  <c r="Q547" i="15"/>
  <c r="Q802" i="15"/>
  <c r="Q496" i="15"/>
  <c r="Q513" i="15"/>
  <c r="Q581" i="15"/>
  <c r="Q428" i="15"/>
  <c r="Q564" i="15"/>
  <c r="Q615" i="15"/>
  <c r="Q598" i="15"/>
  <c r="Q411" i="15"/>
  <c r="Q377" i="15"/>
  <c r="Q479" i="15"/>
  <c r="Q394" i="15"/>
  <c r="F514" i="12"/>
  <c r="L513" i="12"/>
  <c r="L514" i="12" s="1"/>
  <c r="G426" i="12"/>
  <c r="M425" i="12"/>
  <c r="M426" i="12" s="1"/>
  <c r="G434" i="12"/>
  <c r="M433" i="12"/>
  <c r="M434" i="12" s="1"/>
  <c r="G442" i="12"/>
  <c r="M441" i="12"/>
  <c r="M442" i="12" s="1"/>
  <c r="G450" i="12"/>
  <c r="M449" i="12"/>
  <c r="M450" i="12" s="1"/>
  <c r="G458" i="12"/>
  <c r="M457" i="12"/>
  <c r="M458" i="12" s="1"/>
  <c r="G466" i="12"/>
  <c r="M465" i="12"/>
  <c r="M466" i="12" s="1"/>
  <c r="G474" i="12"/>
  <c r="M473" i="12"/>
  <c r="M474" i="12" s="1"/>
  <c r="G482" i="12"/>
  <c r="M481" i="12"/>
  <c r="M482" i="12" s="1"/>
  <c r="G498" i="12"/>
  <c r="M497" i="12"/>
  <c r="M498" i="12" s="1"/>
  <c r="G506" i="12"/>
  <c r="M505" i="12"/>
  <c r="M506" i="12" s="1"/>
  <c r="G490" i="12"/>
  <c r="M489" i="12"/>
  <c r="M490" i="12" s="1"/>
  <c r="F497" i="12"/>
  <c r="F481" i="12"/>
  <c r="F465" i="12"/>
  <c r="F449" i="12"/>
  <c r="F433" i="12"/>
  <c r="F505" i="12"/>
  <c r="F489" i="12"/>
  <c r="F473" i="12"/>
  <c r="F457" i="12"/>
  <c r="F441" i="12"/>
  <c r="F425" i="12"/>
  <c r="G306" i="12"/>
  <c r="M305" i="12"/>
  <c r="M306" i="12" s="1"/>
  <c r="G314" i="12"/>
  <c r="M313" i="12"/>
  <c r="M314" i="12" s="1"/>
  <c r="G322" i="12"/>
  <c r="M321" i="12"/>
  <c r="M322" i="12" s="1"/>
  <c r="G330" i="12"/>
  <c r="M329" i="12"/>
  <c r="M330" i="12" s="1"/>
  <c r="G338" i="12"/>
  <c r="M337" i="12"/>
  <c r="M338" i="12" s="1"/>
  <c r="G298" i="12"/>
  <c r="M297" i="12"/>
  <c r="M298" i="12" s="1"/>
  <c r="G346" i="12"/>
  <c r="M345" i="12"/>
  <c r="M346" i="12" s="1"/>
  <c r="G354" i="12"/>
  <c r="M353" i="12"/>
  <c r="M354" i="12" s="1"/>
  <c r="G362" i="12"/>
  <c r="M361" i="12"/>
  <c r="M362" i="12" s="1"/>
  <c r="G370" i="12"/>
  <c r="M369" i="12"/>
  <c r="M370" i="12" s="1"/>
  <c r="G378" i="12"/>
  <c r="M377" i="12"/>
  <c r="M378" i="12" s="1"/>
  <c r="G386" i="12"/>
  <c r="M385" i="12"/>
  <c r="M386" i="12" s="1"/>
  <c r="G394" i="12"/>
  <c r="M393" i="12"/>
  <c r="M394" i="12" s="1"/>
  <c r="G402" i="12"/>
  <c r="M401" i="12"/>
  <c r="M402" i="12" s="1"/>
  <c r="F417" i="12"/>
  <c r="F401" i="12"/>
  <c r="F385" i="12"/>
  <c r="F369" i="12"/>
  <c r="F353" i="12"/>
  <c r="F337" i="12"/>
  <c r="F321" i="12"/>
  <c r="F305" i="12"/>
  <c r="F409" i="12"/>
  <c r="F393" i="12"/>
  <c r="F377" i="12"/>
  <c r="F361" i="12"/>
  <c r="F345" i="12"/>
  <c r="F329" i="12"/>
  <c r="F313" i="12"/>
  <c r="F297" i="12"/>
  <c r="G410" i="12"/>
  <c r="M409" i="12"/>
  <c r="M410" i="12" s="1"/>
  <c r="G418" i="12"/>
  <c r="M417" i="12"/>
  <c r="M418" i="12" s="1"/>
  <c r="G258" i="12"/>
  <c r="M257" i="12"/>
  <c r="M258" i="12" s="1"/>
  <c r="G242" i="12"/>
  <c r="M241" i="12"/>
  <c r="M242" i="12" s="1"/>
  <c r="G274" i="12"/>
  <c r="M273" i="12"/>
  <c r="M274" i="12" s="1"/>
  <c r="G290" i="12"/>
  <c r="M289" i="12"/>
  <c r="M290" i="12" s="1"/>
  <c r="G234" i="12"/>
  <c r="M233" i="12"/>
  <c r="M234" i="12" s="1"/>
  <c r="G250" i="12"/>
  <c r="M249" i="12"/>
  <c r="M250" i="12" s="1"/>
  <c r="G266" i="12"/>
  <c r="M265" i="12"/>
  <c r="M266" i="12" s="1"/>
  <c r="F289" i="12"/>
  <c r="F273" i="12"/>
  <c r="F257" i="12"/>
  <c r="F241" i="12"/>
  <c r="F281" i="12"/>
  <c r="F265" i="12"/>
  <c r="F249" i="12"/>
  <c r="F233" i="12"/>
  <c r="G282" i="12"/>
  <c r="M281" i="12"/>
  <c r="M282" i="12" s="1"/>
  <c r="G202" i="12"/>
  <c r="M201" i="12"/>
  <c r="M202" i="12" s="1"/>
  <c r="F225" i="12"/>
  <c r="F209" i="12"/>
  <c r="F217" i="12"/>
  <c r="F201" i="12"/>
  <c r="G218" i="12"/>
  <c r="M217" i="12"/>
  <c r="M218" i="12" s="1"/>
  <c r="G210" i="12"/>
  <c r="M209" i="12"/>
  <c r="M210" i="12" s="1"/>
  <c r="G226" i="12"/>
  <c r="M225" i="12"/>
  <c r="M226" i="12" s="1"/>
  <c r="F193" i="12"/>
  <c r="F185" i="12"/>
  <c r="G186" i="12"/>
  <c r="M185" i="12"/>
  <c r="M186" i="12" s="1"/>
  <c r="G194" i="12"/>
  <c r="M193" i="12"/>
  <c r="M194" i="12" s="1"/>
  <c r="F177" i="12"/>
  <c r="F169" i="12"/>
  <c r="L437" i="11"/>
  <c r="L396" i="11"/>
  <c r="L386" i="11"/>
  <c r="L527" i="11"/>
  <c r="L457" i="11"/>
  <c r="L587" i="11"/>
  <c r="L426" i="11"/>
  <c r="L366" i="11"/>
  <c r="L326" i="11"/>
  <c r="L265" i="11"/>
  <c r="L507" i="11"/>
  <c r="U507" i="11" s="1"/>
  <c r="L487" i="11"/>
  <c r="L567" i="11"/>
  <c r="L336" i="11"/>
  <c r="L255" i="11"/>
  <c r="L346" i="11"/>
  <c r="L638" i="11"/>
  <c r="L356" i="11"/>
  <c r="L618" i="11"/>
  <c r="L477" i="11"/>
  <c r="L597" i="11"/>
  <c r="L416" i="11"/>
  <c r="L376" i="11"/>
  <c r="L245" i="11"/>
  <c r="L577" i="11"/>
  <c r="L628" i="11"/>
  <c r="L608" i="11"/>
  <c r="L557" i="11"/>
  <c r="L537" i="11"/>
  <c r="L447" i="11"/>
  <c r="L316" i="11"/>
  <c r="L306" i="11"/>
  <c r="L296" i="11"/>
  <c r="L276" i="11"/>
  <c r="L235" i="11"/>
  <c r="L517" i="11"/>
  <c r="L547" i="11"/>
  <c r="L497" i="11"/>
  <c r="L467" i="11"/>
  <c r="L286" i="11"/>
  <c r="L406" i="11"/>
  <c r="L529" i="11"/>
  <c r="U529" i="11" s="1"/>
  <c r="L428" i="11"/>
  <c r="U428" i="11" s="1"/>
  <c r="L358" i="11"/>
  <c r="U358" i="11" s="1"/>
  <c r="L338" i="11"/>
  <c r="U338" i="11" s="1"/>
  <c r="L439" i="11"/>
  <c r="U439" i="11" s="1"/>
  <c r="L288" i="11"/>
  <c r="U288" i="11" s="1"/>
  <c r="L539" i="11"/>
  <c r="U539" i="11" s="1"/>
  <c r="L620" i="11"/>
  <c r="U620" i="11" s="1"/>
  <c r="L599" i="11"/>
  <c r="U599" i="11" s="1"/>
  <c r="L519" i="11"/>
  <c r="U519" i="11" s="1"/>
  <c r="L418" i="11"/>
  <c r="U418" i="11" s="1"/>
  <c r="L388" i="11"/>
  <c r="U388" i="11" s="1"/>
  <c r="L378" i="11"/>
  <c r="U378" i="11" s="1"/>
  <c r="L509" i="11"/>
  <c r="L398" i="11"/>
  <c r="U398" i="11" s="1"/>
  <c r="L610" i="11"/>
  <c r="U610" i="11" s="1"/>
  <c r="L408" i="11"/>
  <c r="U408" i="11" s="1"/>
  <c r="L328" i="11"/>
  <c r="U328" i="11" s="1"/>
  <c r="L308" i="11"/>
  <c r="U308" i="11" s="1"/>
  <c r="L298" i="11"/>
  <c r="U298" i="11" s="1"/>
  <c r="L267" i="11"/>
  <c r="U267" i="11" s="1"/>
  <c r="L247" i="11"/>
  <c r="U247" i="11" s="1"/>
  <c r="L630" i="11"/>
  <c r="U630" i="11" s="1"/>
  <c r="L469" i="11"/>
  <c r="U469" i="11" s="1"/>
  <c r="L579" i="11"/>
  <c r="U579" i="11" s="1"/>
  <c r="L569" i="11"/>
  <c r="U569" i="11" s="1"/>
  <c r="L348" i="11"/>
  <c r="U348" i="11" s="1"/>
  <c r="L278" i="11"/>
  <c r="U278" i="11" s="1"/>
  <c r="L237" i="11"/>
  <c r="U237" i="11" s="1"/>
  <c r="L449" i="11"/>
  <c r="U449" i="11" s="1"/>
  <c r="L318" i="11"/>
  <c r="U318" i="11" s="1"/>
  <c r="L640" i="11"/>
  <c r="U640" i="11" s="1"/>
  <c r="L459" i="11"/>
  <c r="U459" i="11" s="1"/>
  <c r="L479" i="11"/>
  <c r="U479" i="11" s="1"/>
  <c r="L549" i="11"/>
  <c r="U549" i="11" s="1"/>
  <c r="L368" i="11"/>
  <c r="U368" i="11" s="1"/>
  <c r="L257" i="11"/>
  <c r="U257" i="11" s="1"/>
  <c r="L589" i="11"/>
  <c r="U589" i="11" s="1"/>
  <c r="L489" i="11"/>
  <c r="U489" i="11" s="1"/>
  <c r="L559" i="11"/>
  <c r="U559" i="11" s="1"/>
  <c r="L499" i="11"/>
  <c r="U499" i="11" s="1"/>
  <c r="M618" i="11"/>
  <c r="M638" i="11"/>
  <c r="M608" i="11"/>
  <c r="M628" i="11"/>
  <c r="M426" i="11"/>
  <c r="M429" i="11" s="1"/>
  <c r="M577" i="11"/>
  <c r="M547" i="11"/>
  <c r="M597" i="11"/>
  <c r="M567" i="11"/>
  <c r="M537" i="11"/>
  <c r="M557" i="11"/>
  <c r="M497" i="11"/>
  <c r="M587" i="11"/>
  <c r="M527" i="11"/>
  <c r="M487" i="11"/>
  <c r="M517" i="11"/>
  <c r="M507" i="11"/>
  <c r="M467" i="11"/>
  <c r="M457" i="11"/>
  <c r="M477" i="11"/>
  <c r="M447" i="11"/>
  <c r="M437" i="11"/>
  <c r="M406" i="11"/>
  <c r="M409" i="11" s="1"/>
  <c r="M416" i="11"/>
  <c r="M386" i="11"/>
  <c r="M389" i="11" s="1"/>
  <c r="M396" i="11"/>
  <c r="M366" i="11"/>
  <c r="M369" i="11" s="1"/>
  <c r="M376" i="11"/>
  <c r="M346" i="11"/>
  <c r="M349" i="11" s="1"/>
  <c r="M356" i="11"/>
  <c r="M326" i="11"/>
  <c r="M329" i="11" s="1"/>
  <c r="M336" i="11"/>
  <c r="M306" i="11"/>
  <c r="M309" i="11" s="1"/>
  <c r="M316" i="11"/>
  <c r="M286" i="11"/>
  <c r="M289" i="11" s="1"/>
  <c r="M296" i="11"/>
  <c r="M276" i="11"/>
  <c r="M255" i="11"/>
  <c r="V255" i="11" s="1"/>
  <c r="V258" i="11" s="1"/>
  <c r="M265" i="11"/>
  <c r="M235" i="11"/>
  <c r="V235" i="11" s="1"/>
  <c r="V238" i="11" s="1"/>
  <c r="M245" i="11"/>
  <c r="M215" i="11"/>
  <c r="M225" i="11"/>
  <c r="L215" i="11"/>
  <c r="U215" i="11" s="1"/>
  <c r="L225" i="11"/>
  <c r="L217" i="11"/>
  <c r="U217" i="11" s="1"/>
  <c r="L227" i="11"/>
  <c r="U227" i="11" s="1"/>
  <c r="P890" i="14"/>
  <c r="P891" i="14" s="1"/>
  <c r="J890" i="14"/>
  <c r="J891" i="14" s="1"/>
  <c r="H890" i="14"/>
  <c r="H891" i="14" s="1"/>
  <c r="I890" i="14"/>
  <c r="I891" i="14" s="1"/>
  <c r="G890" i="14"/>
  <c r="G891" i="14" s="1"/>
  <c r="F424" i="14"/>
  <c r="F676" i="14"/>
  <c r="F564" i="14"/>
  <c r="F522" i="14"/>
  <c r="F410" i="14"/>
  <c r="F382" i="14"/>
  <c r="F578" i="14"/>
  <c r="F774" i="14"/>
  <c r="F606" i="14"/>
  <c r="F872" i="14"/>
  <c r="F340" i="14"/>
  <c r="F788" i="14"/>
  <c r="F354" i="14"/>
  <c r="F648" i="14"/>
  <c r="F732" i="14"/>
  <c r="F830" i="14"/>
  <c r="F452" i="14"/>
  <c r="F480" i="14"/>
  <c r="F368" i="14"/>
  <c r="F396" i="14"/>
  <c r="F858" i="14"/>
  <c r="F704" i="14"/>
  <c r="F620" i="14"/>
  <c r="F592" i="14"/>
  <c r="F816" i="14"/>
  <c r="F494" i="14"/>
  <c r="F718" i="14"/>
  <c r="F760" i="14"/>
  <c r="F536" i="14"/>
  <c r="F746" i="14"/>
  <c r="F886" i="14"/>
  <c r="F550" i="14"/>
  <c r="F438" i="14"/>
  <c r="F802" i="14"/>
  <c r="F326" i="14"/>
  <c r="F634" i="14"/>
  <c r="F662" i="14"/>
  <c r="F466" i="14"/>
  <c r="F690" i="14"/>
  <c r="F508" i="14"/>
  <c r="F844" i="14"/>
  <c r="F378" i="13"/>
  <c r="F412" i="13"/>
  <c r="F463" i="13"/>
  <c r="F497" i="13"/>
  <c r="F633" i="13"/>
  <c r="F769" i="13"/>
  <c r="F922" i="13"/>
  <c r="F1007" i="13"/>
  <c r="F701" i="13"/>
  <c r="F1075" i="13"/>
  <c r="F939" i="13"/>
  <c r="F752" i="13"/>
  <c r="F480" i="13"/>
  <c r="F718" i="13"/>
  <c r="F667" i="13"/>
  <c r="F854" i="13"/>
  <c r="F973" i="13"/>
  <c r="F1024" i="13"/>
  <c r="F820" i="13"/>
  <c r="F650" i="13"/>
  <c r="F803" i="13"/>
  <c r="F871" i="13"/>
  <c r="F395" i="13"/>
  <c r="F446" i="13"/>
  <c r="F582" i="13"/>
  <c r="F616" i="13"/>
  <c r="F990" i="13"/>
  <c r="F531" i="13"/>
  <c r="F956" i="13"/>
  <c r="F1041" i="13"/>
  <c r="F905" i="13"/>
  <c r="F548" i="13"/>
  <c r="F429" i="13"/>
  <c r="F514" i="13"/>
  <c r="F684" i="13"/>
  <c r="F599" i="13"/>
  <c r="F565" i="13"/>
  <c r="F888" i="13"/>
  <c r="F1058" i="13"/>
  <c r="F735" i="13"/>
  <c r="F786" i="13"/>
  <c r="F837" i="13"/>
  <c r="Q172" i="16"/>
  <c r="Q144" i="16"/>
  <c r="Q158" i="16"/>
  <c r="F74" i="14"/>
  <c r="F102" i="14"/>
  <c r="F270" i="14"/>
  <c r="F130" i="14"/>
  <c r="F186" i="14"/>
  <c r="F72" i="13"/>
  <c r="F106" i="13"/>
  <c r="F242" i="13"/>
  <c r="F310" i="13"/>
  <c r="F174" i="13"/>
  <c r="F46" i="14"/>
  <c r="F242" i="14"/>
  <c r="F158" i="14"/>
  <c r="F172" i="14"/>
  <c r="F284" i="14"/>
  <c r="F259" i="13"/>
  <c r="F327" i="13"/>
  <c r="F293" i="13"/>
  <c r="F123" i="13"/>
  <c r="F60" i="14"/>
  <c r="F88" i="14"/>
  <c r="F116" i="14"/>
  <c r="F228" i="14"/>
  <c r="F298" i="14"/>
  <c r="F55" i="13"/>
  <c r="F157" i="13"/>
  <c r="F225" i="13"/>
  <c r="F191" i="13"/>
  <c r="F140" i="13"/>
  <c r="F256" i="14"/>
  <c r="F214" i="14"/>
  <c r="F144" i="14"/>
  <c r="F200" i="14"/>
  <c r="F89" i="13"/>
  <c r="F276" i="13"/>
  <c r="F344" i="13"/>
  <c r="F361" i="13"/>
  <c r="F208" i="13"/>
  <c r="Q173" i="15"/>
  <c r="Q74" i="16"/>
  <c r="Q60" i="16"/>
  <c r="Q228" i="16"/>
  <c r="Q46" i="16"/>
  <c r="Q186" i="16"/>
  <c r="Q224" i="15"/>
  <c r="Q343" i="15"/>
  <c r="Q190" i="15"/>
  <c r="Q37" i="15"/>
  <c r="Q275" i="15"/>
  <c r="Q326" i="15"/>
  <c r="Q360" i="15"/>
  <c r="Q200" i="16"/>
  <c r="Q241" i="15"/>
  <c r="Q88" i="15"/>
  <c r="Q32" i="16"/>
  <c r="F137" i="12"/>
  <c r="F129" i="12"/>
  <c r="F161" i="12"/>
  <c r="F121" i="12"/>
  <c r="F113" i="12"/>
  <c r="F145" i="12"/>
  <c r="F89" i="12"/>
  <c r="F97" i="12"/>
  <c r="F73" i="12"/>
  <c r="F153" i="12"/>
  <c r="F81" i="12"/>
  <c r="F105" i="12"/>
  <c r="F65" i="12"/>
  <c r="F33" i="12"/>
  <c r="F25" i="12"/>
  <c r="F41" i="12"/>
  <c r="F49" i="12"/>
  <c r="F57" i="12"/>
  <c r="Q156" i="15"/>
  <c r="Q71" i="15"/>
  <c r="Q105" i="15"/>
  <c r="F38" i="13"/>
  <c r="F32" i="14"/>
  <c r="Q139" i="15"/>
  <c r="Q207" i="15"/>
  <c r="Q292" i="15"/>
  <c r="Q54" i="15"/>
  <c r="L95" i="11"/>
  <c r="U95" i="11" s="1"/>
  <c r="L135" i="11"/>
  <c r="U135" i="11" s="1"/>
  <c r="L75" i="11"/>
  <c r="U75" i="11" s="1"/>
  <c r="L105" i="11"/>
  <c r="U105" i="11" s="1"/>
  <c r="L205" i="11"/>
  <c r="U205" i="11" s="1"/>
  <c r="L125" i="11"/>
  <c r="U125" i="11" s="1"/>
  <c r="L155" i="11"/>
  <c r="U155" i="11" s="1"/>
  <c r="L195" i="11"/>
  <c r="U195" i="11" s="1"/>
  <c r="L85" i="11"/>
  <c r="U85" i="11" s="1"/>
  <c r="L145" i="11"/>
  <c r="U145" i="11" s="1"/>
  <c r="L165" i="11"/>
  <c r="U165" i="11" s="1"/>
  <c r="L185" i="11"/>
  <c r="U185" i="11" s="1"/>
  <c r="L175" i="11"/>
  <c r="U175" i="11" s="1"/>
  <c r="L115" i="11"/>
  <c r="U115" i="11" s="1"/>
  <c r="L45" i="11"/>
  <c r="U45" i="11" s="1"/>
  <c r="L55" i="11"/>
  <c r="U55" i="11" s="1"/>
  <c r="L25" i="11"/>
  <c r="U25" i="11" s="1"/>
  <c r="L65" i="11"/>
  <c r="U65" i="11" s="1"/>
  <c r="L35" i="11"/>
  <c r="U35" i="11" s="1"/>
  <c r="Q122" i="15"/>
  <c r="Q258" i="15"/>
  <c r="Q214" i="16"/>
  <c r="Q309" i="15"/>
  <c r="G26" i="12"/>
  <c r="M25" i="12"/>
  <c r="M26" i="12" s="1"/>
  <c r="G58" i="12"/>
  <c r="M57" i="12"/>
  <c r="M58" i="12" s="1"/>
  <c r="G90" i="12"/>
  <c r="M89" i="12"/>
  <c r="M90" i="12" s="1"/>
  <c r="G122" i="12"/>
  <c r="M121" i="12"/>
  <c r="M122" i="12" s="1"/>
  <c r="G154" i="12"/>
  <c r="M153" i="12"/>
  <c r="M154" i="12" s="1"/>
  <c r="G34" i="12"/>
  <c r="M33" i="12"/>
  <c r="M34" i="12" s="1"/>
  <c r="G66" i="12"/>
  <c r="M65" i="12"/>
  <c r="M66" i="12" s="1"/>
  <c r="G98" i="12"/>
  <c r="M97" i="12"/>
  <c r="M98" i="12" s="1"/>
  <c r="G130" i="12"/>
  <c r="M129" i="12"/>
  <c r="M130" i="12" s="1"/>
  <c r="G162" i="12"/>
  <c r="M161" i="12"/>
  <c r="M162" i="12" s="1"/>
  <c r="G42" i="12"/>
  <c r="M41" i="12"/>
  <c r="M42" i="12" s="1"/>
  <c r="G74" i="12"/>
  <c r="M73" i="12"/>
  <c r="M74" i="12" s="1"/>
  <c r="G106" i="12"/>
  <c r="M105" i="12"/>
  <c r="M106" i="12" s="1"/>
  <c r="G138" i="12"/>
  <c r="M137" i="12"/>
  <c r="M138" i="12" s="1"/>
  <c r="G170" i="12"/>
  <c r="M169" i="12"/>
  <c r="M170" i="12" s="1"/>
  <c r="G50" i="12"/>
  <c r="M49" i="12"/>
  <c r="M50" i="12" s="1"/>
  <c r="G82" i="12"/>
  <c r="M81" i="12"/>
  <c r="M82" i="12" s="1"/>
  <c r="G114" i="12"/>
  <c r="M113" i="12"/>
  <c r="M114" i="12" s="1"/>
  <c r="G146" i="12"/>
  <c r="M145" i="12"/>
  <c r="M146" i="12" s="1"/>
  <c r="G178" i="12"/>
  <c r="M177" i="12"/>
  <c r="M178" i="12" s="1"/>
  <c r="L197" i="11"/>
  <c r="L187" i="11"/>
  <c r="L167" i="11"/>
  <c r="L147" i="11"/>
  <c r="L207" i="11"/>
  <c r="L127" i="11"/>
  <c r="L157" i="11"/>
  <c r="L97" i="11"/>
  <c r="L77" i="11"/>
  <c r="L37" i="11"/>
  <c r="L117" i="11"/>
  <c r="L87" i="11"/>
  <c r="L67" i="11"/>
  <c r="L57" i="11"/>
  <c r="L27" i="11"/>
  <c r="L177" i="11"/>
  <c r="L107" i="11"/>
  <c r="L47" i="11"/>
  <c r="L137" i="11"/>
  <c r="M195" i="11"/>
  <c r="M205" i="11"/>
  <c r="M185" i="11"/>
  <c r="M165" i="11"/>
  <c r="M175" i="11"/>
  <c r="M145" i="11"/>
  <c r="M125" i="11"/>
  <c r="M95" i="11"/>
  <c r="M75" i="11"/>
  <c r="M55" i="11"/>
  <c r="M115" i="11"/>
  <c r="M135" i="11"/>
  <c r="M105" i="11"/>
  <c r="M155" i="11"/>
  <c r="M45" i="11"/>
  <c r="M25" i="11"/>
  <c r="M65" i="11"/>
  <c r="M85" i="11"/>
  <c r="M35" i="11"/>
  <c r="Q1079" i="15" l="1"/>
  <c r="Q1080" i="15" s="1"/>
  <c r="Q890" i="16"/>
  <c r="Q891" i="16" s="1"/>
  <c r="M520" i="12"/>
  <c r="G520" i="12"/>
  <c r="F1079" i="13"/>
  <c r="F1080" i="13" s="1"/>
  <c r="F1081" i="13" s="1"/>
  <c r="F426" i="12"/>
  <c r="L425" i="12"/>
  <c r="L426" i="12" s="1"/>
  <c r="F434" i="12"/>
  <c r="L433" i="12"/>
  <c r="L434" i="12" s="1"/>
  <c r="F442" i="12"/>
  <c r="L441" i="12"/>
  <c r="L442" i="12" s="1"/>
  <c r="F450" i="12"/>
  <c r="L449" i="12"/>
  <c r="L450" i="12" s="1"/>
  <c r="F458" i="12"/>
  <c r="L457" i="12"/>
  <c r="L458" i="12" s="1"/>
  <c r="F466" i="12"/>
  <c r="L465" i="12"/>
  <c r="L466" i="12" s="1"/>
  <c r="F474" i="12"/>
  <c r="L473" i="12"/>
  <c r="L474" i="12" s="1"/>
  <c r="F482" i="12"/>
  <c r="L481" i="12"/>
  <c r="L482" i="12" s="1"/>
  <c r="F498" i="12"/>
  <c r="L497" i="12"/>
  <c r="L498" i="12" s="1"/>
  <c r="F506" i="12"/>
  <c r="L505" i="12"/>
  <c r="L506" i="12" s="1"/>
  <c r="F490" i="12"/>
  <c r="L489" i="12"/>
  <c r="L490" i="12" s="1"/>
  <c r="F378" i="12"/>
  <c r="L377" i="12"/>
  <c r="L378" i="12" s="1"/>
  <c r="F386" i="12"/>
  <c r="L385" i="12"/>
  <c r="L386" i="12" s="1"/>
  <c r="F394" i="12"/>
  <c r="L393" i="12"/>
  <c r="L394" i="12" s="1"/>
  <c r="F402" i="12"/>
  <c r="L401" i="12"/>
  <c r="L402" i="12" s="1"/>
  <c r="F410" i="12"/>
  <c r="L409" i="12"/>
  <c r="L410" i="12" s="1"/>
  <c r="F418" i="12"/>
  <c r="L417" i="12"/>
  <c r="L418" i="12" s="1"/>
  <c r="F362" i="12"/>
  <c r="L361" i="12"/>
  <c r="L362" i="12" s="1"/>
  <c r="F298" i="12"/>
  <c r="L297" i="12"/>
  <c r="L298" i="12" s="1"/>
  <c r="F306" i="12"/>
  <c r="L305" i="12"/>
  <c r="L306" i="12" s="1"/>
  <c r="F370" i="12"/>
  <c r="L369" i="12"/>
  <c r="L370" i="12" s="1"/>
  <c r="F314" i="12"/>
  <c r="L313" i="12"/>
  <c r="L314" i="12" s="1"/>
  <c r="F322" i="12"/>
  <c r="L321" i="12"/>
  <c r="L322" i="12" s="1"/>
  <c r="F330" i="12"/>
  <c r="L329" i="12"/>
  <c r="L330" i="12" s="1"/>
  <c r="F338" i="12"/>
  <c r="L337" i="12"/>
  <c r="L338" i="12" s="1"/>
  <c r="F346" i="12"/>
  <c r="L345" i="12"/>
  <c r="L346" i="12" s="1"/>
  <c r="F354" i="12"/>
  <c r="L353" i="12"/>
  <c r="L354" i="12" s="1"/>
  <c r="F274" i="12"/>
  <c r="L273" i="12"/>
  <c r="L274" i="12" s="1"/>
  <c r="F290" i="12"/>
  <c r="L289" i="12"/>
  <c r="L290" i="12" s="1"/>
  <c r="F234" i="12"/>
  <c r="L233" i="12"/>
  <c r="L234" i="12" s="1"/>
  <c r="F250" i="12"/>
  <c r="L249" i="12"/>
  <c r="L250" i="12" s="1"/>
  <c r="F282" i="12"/>
  <c r="L281" i="12"/>
  <c r="L282" i="12" s="1"/>
  <c r="F266" i="12"/>
  <c r="L265" i="12"/>
  <c r="L266" i="12" s="1"/>
  <c r="F242" i="12"/>
  <c r="L241" i="12"/>
  <c r="L242" i="12" s="1"/>
  <c r="F258" i="12"/>
  <c r="L257" i="12"/>
  <c r="L258" i="12" s="1"/>
  <c r="F202" i="12"/>
  <c r="L201" i="12"/>
  <c r="L202" i="12" s="1"/>
  <c r="F218" i="12"/>
  <c r="L217" i="12"/>
  <c r="L218" i="12" s="1"/>
  <c r="F226" i="12"/>
  <c r="L225" i="12"/>
  <c r="L226" i="12" s="1"/>
  <c r="F210" i="12"/>
  <c r="L209" i="12"/>
  <c r="L210" i="12" s="1"/>
  <c r="F186" i="12"/>
  <c r="L185" i="12"/>
  <c r="L186" i="12" s="1"/>
  <c r="F194" i="12"/>
  <c r="L193" i="12"/>
  <c r="L194" i="12" s="1"/>
  <c r="L309" i="11"/>
  <c r="U306" i="11"/>
  <c r="U309" i="11" s="1"/>
  <c r="L248" i="11"/>
  <c r="U245" i="11"/>
  <c r="U248" i="11" s="1"/>
  <c r="U366" i="11"/>
  <c r="U369" i="11" s="1"/>
  <c r="L369" i="11"/>
  <c r="L510" i="11"/>
  <c r="U509" i="11"/>
  <c r="U510" i="11" s="1"/>
  <c r="U467" i="11"/>
  <c r="U470" i="11" s="1"/>
  <c r="L470" i="11"/>
  <c r="L319" i="11"/>
  <c r="U316" i="11"/>
  <c r="U319" i="11" s="1"/>
  <c r="L379" i="11"/>
  <c r="U376" i="11"/>
  <c r="U379" i="11" s="1"/>
  <c r="L258" i="11"/>
  <c r="U255" i="11"/>
  <c r="U258" i="11" s="1"/>
  <c r="U426" i="11"/>
  <c r="U429" i="11" s="1"/>
  <c r="L429" i="11"/>
  <c r="U286" i="11"/>
  <c r="U289" i="11" s="1"/>
  <c r="L289" i="11"/>
  <c r="L349" i="11"/>
  <c r="U346" i="11"/>
  <c r="U349" i="11" s="1"/>
  <c r="L500" i="11"/>
  <c r="U497" i="11"/>
  <c r="U500" i="11" s="1"/>
  <c r="L450" i="11"/>
  <c r="U447" i="11"/>
  <c r="U450" i="11" s="1"/>
  <c r="U416" i="11"/>
  <c r="U419" i="11" s="1"/>
  <c r="L419" i="11"/>
  <c r="L339" i="11"/>
  <c r="U336" i="11"/>
  <c r="U339" i="11" s="1"/>
  <c r="L590" i="11"/>
  <c r="U587" i="11"/>
  <c r="U590" i="11" s="1"/>
  <c r="U547" i="11"/>
  <c r="U550" i="11" s="1"/>
  <c r="L550" i="11"/>
  <c r="L540" i="11"/>
  <c r="U537" i="11"/>
  <c r="U540" i="11" s="1"/>
  <c r="L600" i="11"/>
  <c r="U597" i="11"/>
  <c r="U600" i="11" s="1"/>
  <c r="L570" i="11"/>
  <c r="U567" i="11"/>
  <c r="U570" i="11" s="1"/>
  <c r="U457" i="11"/>
  <c r="U460" i="11" s="1"/>
  <c r="L460" i="11"/>
  <c r="L520" i="11"/>
  <c r="U517" i="11"/>
  <c r="U520" i="11" s="1"/>
  <c r="L560" i="11"/>
  <c r="U557" i="11"/>
  <c r="U560" i="11" s="1"/>
  <c r="U477" i="11"/>
  <c r="U480" i="11" s="1"/>
  <c r="L480" i="11"/>
  <c r="U487" i="11"/>
  <c r="U490" i="11" s="1"/>
  <c r="L490" i="11"/>
  <c r="L530" i="11"/>
  <c r="U527" i="11"/>
  <c r="U530" i="11" s="1"/>
  <c r="L238" i="11"/>
  <c r="U235" i="11"/>
  <c r="U238" i="11" s="1"/>
  <c r="U608" i="11"/>
  <c r="U611" i="11" s="1"/>
  <c r="L611" i="11"/>
  <c r="U618" i="11"/>
  <c r="U621" i="11" s="1"/>
  <c r="L621" i="11"/>
  <c r="L389" i="11"/>
  <c r="U386" i="11"/>
  <c r="U389" i="11" s="1"/>
  <c r="L279" i="11"/>
  <c r="U276" i="11"/>
  <c r="U279" i="11" s="1"/>
  <c r="U628" i="11"/>
  <c r="U631" i="11" s="1"/>
  <c r="L631" i="11"/>
  <c r="U356" i="11"/>
  <c r="U359" i="11" s="1"/>
  <c r="L359" i="11"/>
  <c r="L268" i="11"/>
  <c r="U265" i="11"/>
  <c r="U268" i="11" s="1"/>
  <c r="L399" i="11"/>
  <c r="U396" i="11"/>
  <c r="U399" i="11" s="1"/>
  <c r="L409" i="11"/>
  <c r="U406" i="11"/>
  <c r="U409" i="11" s="1"/>
  <c r="L299" i="11"/>
  <c r="U296" i="11"/>
  <c r="U299" i="11" s="1"/>
  <c r="L580" i="11"/>
  <c r="U577" i="11"/>
  <c r="U580" i="11" s="1"/>
  <c r="U638" i="11"/>
  <c r="U641" i="11" s="1"/>
  <c r="L641" i="11"/>
  <c r="L329" i="11"/>
  <c r="U326" i="11"/>
  <c r="U329" i="11" s="1"/>
  <c r="L440" i="11"/>
  <c r="U437" i="11"/>
  <c r="U440" i="11" s="1"/>
  <c r="V406" i="11"/>
  <c r="V409" i="11" s="1"/>
  <c r="M641" i="11"/>
  <c r="V638" i="11"/>
  <c r="V641" i="11" s="1"/>
  <c r="M621" i="11"/>
  <c r="V618" i="11"/>
  <c r="V621" i="11" s="1"/>
  <c r="M631" i="11"/>
  <c r="V628" i="11"/>
  <c r="V631" i="11" s="1"/>
  <c r="M611" i="11"/>
  <c r="V608" i="11"/>
  <c r="V611" i="11" s="1"/>
  <c r="M440" i="11"/>
  <c r="V437" i="11"/>
  <c r="V440" i="11" s="1"/>
  <c r="M530" i="11"/>
  <c r="V527" i="11"/>
  <c r="V530" i="11" s="1"/>
  <c r="M580" i="11"/>
  <c r="V577" i="11"/>
  <c r="V580" i="11" s="1"/>
  <c r="M450" i="11"/>
  <c r="V447" i="11"/>
  <c r="V450" i="11" s="1"/>
  <c r="M590" i="11"/>
  <c r="V587" i="11"/>
  <c r="V590" i="11" s="1"/>
  <c r="M480" i="11"/>
  <c r="V477" i="11"/>
  <c r="V480" i="11" s="1"/>
  <c r="M500" i="11"/>
  <c r="V497" i="11"/>
  <c r="V500" i="11" s="1"/>
  <c r="M460" i="11"/>
  <c r="V457" i="11"/>
  <c r="V460" i="11" s="1"/>
  <c r="M470" i="11"/>
  <c r="V467" i="11"/>
  <c r="V470" i="11" s="1"/>
  <c r="M570" i="11"/>
  <c r="V567" i="11"/>
  <c r="V570" i="11" s="1"/>
  <c r="V426" i="11"/>
  <c r="V429" i="11" s="1"/>
  <c r="M520" i="11"/>
  <c r="V517" i="11"/>
  <c r="V520" i="11" s="1"/>
  <c r="M600" i="11"/>
  <c r="V597" i="11"/>
  <c r="V600" i="11" s="1"/>
  <c r="M560" i="11"/>
  <c r="V557" i="11"/>
  <c r="V560" i="11" s="1"/>
  <c r="M540" i="11"/>
  <c r="V537" i="11"/>
  <c r="V540" i="11" s="1"/>
  <c r="M510" i="11"/>
  <c r="V507" i="11"/>
  <c r="V510" i="11" s="1"/>
  <c r="M490" i="11"/>
  <c r="V487" i="11"/>
  <c r="V490" i="11" s="1"/>
  <c r="M550" i="11"/>
  <c r="V547" i="11"/>
  <c r="V550" i="11" s="1"/>
  <c r="M419" i="11"/>
  <c r="V416" i="11"/>
  <c r="V419" i="11" s="1"/>
  <c r="V346" i="11"/>
  <c r="V349" i="11" s="1"/>
  <c r="M399" i="11"/>
  <c r="V396" i="11"/>
  <c r="V399" i="11" s="1"/>
  <c r="V386" i="11"/>
  <c r="V389" i="11" s="1"/>
  <c r="M379" i="11"/>
  <c r="V376" i="11"/>
  <c r="V379" i="11" s="1"/>
  <c r="V366" i="11"/>
  <c r="V369" i="11" s="1"/>
  <c r="V326" i="11"/>
  <c r="V329" i="11" s="1"/>
  <c r="M359" i="11"/>
  <c r="V356" i="11"/>
  <c r="V359" i="11" s="1"/>
  <c r="V286" i="11"/>
  <c r="V289" i="11" s="1"/>
  <c r="M339" i="11"/>
  <c r="V336" i="11"/>
  <c r="V339" i="11" s="1"/>
  <c r="V306" i="11"/>
  <c r="V309" i="11" s="1"/>
  <c r="M319" i="11"/>
  <c r="V316" i="11"/>
  <c r="V319" i="11" s="1"/>
  <c r="M299" i="11"/>
  <c r="V296" i="11"/>
  <c r="V299" i="11" s="1"/>
  <c r="M279" i="11"/>
  <c r="V276" i="11"/>
  <c r="V279" i="11" s="1"/>
  <c r="M238" i="11"/>
  <c r="M258" i="11"/>
  <c r="M268" i="11"/>
  <c r="V265" i="11"/>
  <c r="V268" i="11" s="1"/>
  <c r="M248" i="11"/>
  <c r="V245" i="11"/>
  <c r="V248" i="11" s="1"/>
  <c r="L228" i="11"/>
  <c r="U225" i="11"/>
  <c r="U228" i="11" s="1"/>
  <c r="M228" i="11"/>
  <c r="V225" i="11"/>
  <c r="V228" i="11" s="1"/>
  <c r="R8" i="13"/>
  <c r="F312" i="14"/>
  <c r="F890" i="14" s="1"/>
  <c r="F891" i="14" s="1"/>
  <c r="F50" i="12"/>
  <c r="L49" i="12"/>
  <c r="L50" i="12" s="1"/>
  <c r="F66" i="12"/>
  <c r="L65" i="12"/>
  <c r="L66" i="12" s="1"/>
  <c r="F154" i="12"/>
  <c r="L153" i="12"/>
  <c r="L154" i="12" s="1"/>
  <c r="F90" i="12"/>
  <c r="L89" i="12"/>
  <c r="L90" i="12" s="1"/>
  <c r="F162" i="12"/>
  <c r="L161" i="12"/>
  <c r="L162" i="12" s="1"/>
  <c r="F42" i="12"/>
  <c r="L41" i="12"/>
  <c r="L42" i="12" s="1"/>
  <c r="F106" i="12"/>
  <c r="L105" i="12"/>
  <c r="L106" i="12" s="1"/>
  <c r="F170" i="12"/>
  <c r="L169" i="12"/>
  <c r="L170" i="12" s="1"/>
  <c r="F146" i="12"/>
  <c r="L145" i="12"/>
  <c r="L146" i="12" s="1"/>
  <c r="F130" i="12"/>
  <c r="L129" i="12"/>
  <c r="L130" i="12" s="1"/>
  <c r="F26" i="12"/>
  <c r="L25" i="12"/>
  <c r="L26" i="12" s="1"/>
  <c r="F178" i="12"/>
  <c r="L177" i="12"/>
  <c r="L178" i="12" s="1"/>
  <c r="F74" i="12"/>
  <c r="L73" i="12"/>
  <c r="L74" i="12" s="1"/>
  <c r="F114" i="12"/>
  <c r="L113" i="12"/>
  <c r="L114" i="12" s="1"/>
  <c r="F138" i="12"/>
  <c r="L137" i="12"/>
  <c r="L138" i="12" s="1"/>
  <c r="F58" i="12"/>
  <c r="L57" i="12"/>
  <c r="L58" i="12" s="1"/>
  <c r="F34" i="12"/>
  <c r="L33" i="12"/>
  <c r="L34" i="12" s="1"/>
  <c r="F82" i="12"/>
  <c r="L81" i="12"/>
  <c r="L82" i="12" s="1"/>
  <c r="F98" i="12"/>
  <c r="L97" i="12"/>
  <c r="L98" i="12" s="1"/>
  <c r="F122" i="12"/>
  <c r="L121" i="12"/>
  <c r="L122" i="12" s="1"/>
  <c r="M158" i="11"/>
  <c r="V155" i="11"/>
  <c r="V158" i="11" s="1"/>
  <c r="M148" i="11"/>
  <c r="V145" i="11"/>
  <c r="V148" i="11" s="1"/>
  <c r="M68" i="11"/>
  <c r="V65" i="11"/>
  <c r="V68" i="11" s="1"/>
  <c r="M38" i="11"/>
  <c r="V35" i="11"/>
  <c r="V38" i="11" s="1"/>
  <c r="M48" i="11"/>
  <c r="V45" i="11"/>
  <c r="V48" i="11" s="1"/>
  <c r="M118" i="11"/>
  <c r="V115" i="11"/>
  <c r="V118" i="11" s="1"/>
  <c r="M128" i="11"/>
  <c r="V125" i="11"/>
  <c r="V128" i="11" s="1"/>
  <c r="M188" i="11"/>
  <c r="V185" i="11"/>
  <c r="V188" i="11" s="1"/>
  <c r="U137" i="11"/>
  <c r="U138" i="11" s="1"/>
  <c r="L138" i="11"/>
  <c r="U27" i="11"/>
  <c r="U28" i="11" s="1"/>
  <c r="L28" i="11"/>
  <c r="U117" i="11"/>
  <c r="U118" i="11" s="1"/>
  <c r="L118" i="11"/>
  <c r="U157" i="11"/>
  <c r="U158" i="11" s="1"/>
  <c r="L158" i="11"/>
  <c r="U167" i="11"/>
  <c r="U168" i="11" s="1"/>
  <c r="L168" i="11"/>
  <c r="M58" i="11"/>
  <c r="V55" i="11"/>
  <c r="V58" i="11" s="1"/>
  <c r="U47" i="11"/>
  <c r="U48" i="11" s="1"/>
  <c r="L48" i="11"/>
  <c r="U57" i="11"/>
  <c r="U58" i="11" s="1"/>
  <c r="L58" i="11"/>
  <c r="L38" i="11"/>
  <c r="U37" i="11"/>
  <c r="U38" i="11" s="1"/>
  <c r="U127" i="11"/>
  <c r="U128" i="11" s="1"/>
  <c r="L128" i="11"/>
  <c r="L188" i="11"/>
  <c r="U187" i="11"/>
  <c r="U188" i="11" s="1"/>
  <c r="M78" i="11"/>
  <c r="V75" i="11"/>
  <c r="V78" i="11" s="1"/>
  <c r="M198" i="11"/>
  <c r="V195" i="11"/>
  <c r="V198" i="11" s="1"/>
  <c r="L108" i="11"/>
  <c r="U107" i="11"/>
  <c r="U108" i="11" s="1"/>
  <c r="U67" i="11"/>
  <c r="U68" i="11" s="1"/>
  <c r="L68" i="11"/>
  <c r="U77" i="11"/>
  <c r="U78" i="11" s="1"/>
  <c r="L78" i="11"/>
  <c r="L208" i="11"/>
  <c r="U207" i="11"/>
  <c r="U208" i="11" s="1"/>
  <c r="L198" i="11"/>
  <c r="U197" i="11"/>
  <c r="U198" i="11" s="1"/>
  <c r="M88" i="11"/>
  <c r="V85" i="11"/>
  <c r="V88" i="11" s="1"/>
  <c r="M208" i="11"/>
  <c r="V205" i="11"/>
  <c r="V208" i="11" s="1"/>
  <c r="M108" i="11"/>
  <c r="V105" i="11"/>
  <c r="V108" i="11" s="1"/>
  <c r="M178" i="11"/>
  <c r="V175" i="11"/>
  <c r="V178" i="11" s="1"/>
  <c r="M28" i="11"/>
  <c r="V25" i="11"/>
  <c r="V28" i="11" s="1"/>
  <c r="M138" i="11"/>
  <c r="V135" i="11"/>
  <c r="V138" i="11" s="1"/>
  <c r="M98" i="11"/>
  <c r="V95" i="11"/>
  <c r="V98" i="11" s="1"/>
  <c r="M168" i="11"/>
  <c r="V165" i="11"/>
  <c r="V168" i="11" s="1"/>
  <c r="M218" i="11"/>
  <c r="V215" i="11"/>
  <c r="V218" i="11" s="1"/>
  <c r="U177" i="11"/>
  <c r="U178" i="11" s="1"/>
  <c r="L178" i="11"/>
  <c r="L88" i="11"/>
  <c r="U87" i="11"/>
  <c r="U88" i="11" s="1"/>
  <c r="L98" i="11"/>
  <c r="U97" i="11"/>
  <c r="U98" i="11" s="1"/>
  <c r="L148" i="11"/>
  <c r="U147" i="11"/>
  <c r="U148" i="11" s="1"/>
  <c r="U218" i="11"/>
  <c r="L218" i="11"/>
  <c r="L520" i="12" l="1"/>
  <c r="F520" i="12"/>
  <c r="R521" i="13"/>
  <c r="L645" i="11"/>
  <c r="U645" i="11"/>
  <c r="V645" i="11"/>
  <c r="M645" i="11"/>
  <c r="R776" i="13"/>
  <c r="R555" i="13"/>
  <c r="R1031" i="13"/>
  <c r="R946" i="13"/>
  <c r="R878" i="13"/>
  <c r="R453" i="13"/>
  <c r="R606" i="13"/>
  <c r="R657" i="13"/>
  <c r="R419" i="13"/>
  <c r="R368" i="13"/>
  <c r="R28" i="13"/>
  <c r="R147" i="13"/>
  <c r="R181" i="13"/>
  <c r="R96" i="13"/>
  <c r="R283" i="13"/>
  <c r="R334" i="13"/>
  <c r="R980" i="13"/>
  <c r="R504" i="13"/>
  <c r="R708" i="13"/>
  <c r="R691" i="13"/>
  <c r="R1014" i="13"/>
  <c r="R436" i="13"/>
  <c r="R963" i="13"/>
  <c r="R674" i="13"/>
  <c r="R385" i="13"/>
  <c r="R759" i="13"/>
  <c r="R249" i="13"/>
  <c r="R79" i="13"/>
  <c r="R232" i="13"/>
  <c r="R198" i="13"/>
  <c r="R266" i="13"/>
  <c r="R572" i="13"/>
  <c r="R895" i="13"/>
  <c r="R470" i="13"/>
  <c r="R810" i="13"/>
  <c r="R589" i="13"/>
  <c r="R793" i="13"/>
  <c r="R725" i="13"/>
  <c r="R861" i="13"/>
  <c r="R623" i="13"/>
  <c r="R402" i="13"/>
  <c r="R929" i="13"/>
  <c r="R317" i="13"/>
  <c r="R113" i="13"/>
  <c r="R45" i="13"/>
  <c r="R130" i="13"/>
  <c r="R62" i="13"/>
  <c r="R1065" i="13"/>
  <c r="R997" i="13"/>
  <c r="R844" i="13"/>
  <c r="R640" i="13"/>
  <c r="R487" i="13"/>
  <c r="R827" i="13"/>
  <c r="R912" i="13"/>
  <c r="R1048" i="13"/>
  <c r="R742" i="13"/>
  <c r="R538" i="13"/>
  <c r="R215" i="13"/>
  <c r="R300" i="13"/>
  <c r="R164" i="13"/>
  <c r="R351" i="13"/>
  <c r="R17" i="13" l="1"/>
  <c r="R14" i="14"/>
  <c r="L8" i="12"/>
  <c r="L9" i="12" s="1"/>
  <c r="L521" i="12" s="1"/>
  <c r="M8" i="12"/>
  <c r="M9" i="12" s="1"/>
  <c r="M521" i="12" s="1"/>
  <c r="F9" i="12"/>
  <c r="F521" i="12" s="1"/>
  <c r="G9" i="12"/>
  <c r="G521" i="12" s="1"/>
  <c r="I9" i="12"/>
  <c r="I521" i="12" s="1"/>
  <c r="J9" i="12"/>
  <c r="J521" i="12" s="1"/>
  <c r="K9" i="12"/>
  <c r="K521" i="12" s="1"/>
  <c r="U8" i="11"/>
  <c r="V8" i="11"/>
  <c r="U9" i="11"/>
  <c r="V9" i="11"/>
  <c r="W9" i="11"/>
  <c r="U10" i="11"/>
  <c r="V10" i="11"/>
  <c r="W10" i="11"/>
  <c r="F11" i="11"/>
  <c r="F646" i="11" s="1"/>
  <c r="G11" i="11"/>
  <c r="G646" i="11" s="1"/>
  <c r="H11" i="11"/>
  <c r="H646" i="11" s="1"/>
  <c r="I11" i="11"/>
  <c r="I646" i="11" s="1"/>
  <c r="J11" i="11"/>
  <c r="J646" i="11" s="1"/>
  <c r="K11" i="11"/>
  <c r="K646" i="11" s="1"/>
  <c r="L11" i="11"/>
  <c r="L646" i="11" s="1"/>
  <c r="M11" i="11"/>
  <c r="M646" i="11" s="1"/>
  <c r="O11" i="11"/>
  <c r="O646" i="11" s="1"/>
  <c r="P11" i="11"/>
  <c r="P646" i="11" s="1"/>
  <c r="Q11" i="11"/>
  <c r="Q646" i="11" s="1"/>
  <c r="R11" i="11"/>
  <c r="R646" i="11" s="1"/>
  <c r="S11" i="11"/>
  <c r="S646" i="11" s="1"/>
  <c r="T11" i="11"/>
  <c r="T646" i="11" s="1"/>
  <c r="R871" i="14" l="1"/>
  <c r="R339" i="14"/>
  <c r="R768" i="13"/>
  <c r="R59" i="14"/>
  <c r="R885" i="14"/>
  <c r="R802" i="13"/>
  <c r="R530" i="13"/>
  <c r="R465" i="14"/>
  <c r="R751" i="13"/>
  <c r="R115" i="14"/>
  <c r="R632" i="13"/>
  <c r="R309" i="13"/>
  <c r="R836" i="13"/>
  <c r="R105" i="13"/>
  <c r="R462" i="13"/>
  <c r="R395" i="14"/>
  <c r="R683" i="13"/>
  <c r="R343" i="13"/>
  <c r="R156" i="13"/>
  <c r="R411" i="13"/>
  <c r="R513" i="13"/>
  <c r="R734" i="13"/>
  <c r="R666" i="13"/>
  <c r="R1023" i="13"/>
  <c r="R241" i="13"/>
  <c r="R54" i="13"/>
  <c r="R275" i="13"/>
  <c r="R394" i="13"/>
  <c r="R1040" i="13"/>
  <c r="R785" i="13"/>
  <c r="R615" i="13"/>
  <c r="R1006" i="13"/>
  <c r="R207" i="13"/>
  <c r="R190" i="13"/>
  <c r="R37" i="13"/>
  <c r="R700" i="13"/>
  <c r="R717" i="13"/>
  <c r="R1057" i="13"/>
  <c r="R972" i="13"/>
  <c r="R173" i="13"/>
  <c r="R360" i="13"/>
  <c r="R292" i="13"/>
  <c r="R224" i="13"/>
  <c r="R258" i="13"/>
  <c r="R938" i="13"/>
  <c r="R428" i="13"/>
  <c r="R581" i="13"/>
  <c r="R921" i="13"/>
  <c r="R955" i="13"/>
  <c r="R1074" i="13"/>
  <c r="R479" i="13"/>
  <c r="R853" i="13"/>
  <c r="R649" i="13"/>
  <c r="R819" i="13"/>
  <c r="R71" i="13"/>
  <c r="R122" i="13"/>
  <c r="R326" i="13"/>
  <c r="R88" i="13"/>
  <c r="R139" i="13"/>
  <c r="R377" i="13"/>
  <c r="R870" i="13"/>
  <c r="R547" i="13"/>
  <c r="R496" i="13"/>
  <c r="R887" i="13"/>
  <c r="R445" i="13"/>
  <c r="R598" i="13"/>
  <c r="R904" i="13"/>
  <c r="R564" i="13"/>
  <c r="R989" i="13"/>
  <c r="R409" i="14"/>
  <c r="R297" i="14"/>
  <c r="R633" i="14"/>
  <c r="R857" i="14"/>
  <c r="R437" i="14"/>
  <c r="R815" i="14"/>
  <c r="R801" i="14"/>
  <c r="R129" i="14"/>
  <c r="R731" i="14"/>
  <c r="R563" i="14"/>
  <c r="R311" i="14"/>
  <c r="R143" i="14"/>
  <c r="R241" i="14"/>
  <c r="R661" i="14"/>
  <c r="R787" i="14"/>
  <c r="R227" i="14"/>
  <c r="R423" i="14"/>
  <c r="R381" i="14"/>
  <c r="R283" i="14"/>
  <c r="R549" i="14"/>
  <c r="R619" i="14"/>
  <c r="R745" i="14"/>
  <c r="R157" i="14"/>
  <c r="R31" i="14"/>
  <c r="R325" i="14"/>
  <c r="R703" i="14"/>
  <c r="R73" i="14"/>
  <c r="R199" i="14"/>
  <c r="R185" i="14"/>
  <c r="R213" i="14"/>
  <c r="R171" i="14"/>
  <c r="R577" i="14"/>
  <c r="R829" i="14"/>
  <c r="R479" i="14"/>
  <c r="R591" i="14"/>
  <c r="R493" i="14"/>
  <c r="R353" i="14"/>
  <c r="R451" i="14"/>
  <c r="R675" i="14"/>
  <c r="R605" i="14"/>
  <c r="R843" i="14"/>
  <c r="R101" i="14"/>
  <c r="R87" i="14"/>
  <c r="R269" i="14"/>
  <c r="R45" i="14"/>
  <c r="R255" i="14"/>
  <c r="R521" i="14"/>
  <c r="R773" i="14"/>
  <c r="R689" i="14"/>
  <c r="R507" i="14"/>
  <c r="R535" i="14"/>
  <c r="R367" i="14"/>
  <c r="R647" i="14"/>
  <c r="R717" i="14"/>
  <c r="R759" i="14"/>
  <c r="R6" i="13"/>
  <c r="S14" i="14"/>
  <c r="U11" i="11"/>
  <c r="U646" i="11" s="1"/>
  <c r="V11" i="11"/>
  <c r="V646" i="11" s="1"/>
  <c r="S871" i="14" l="1"/>
  <c r="S339" i="14"/>
  <c r="R1012" i="13"/>
  <c r="R1024" i="13" s="1"/>
  <c r="R519" i="13"/>
  <c r="R531" i="13" s="1"/>
  <c r="S255" i="14"/>
  <c r="S885" i="14"/>
  <c r="S563" i="14"/>
  <c r="S773" i="14"/>
  <c r="S45" i="14"/>
  <c r="S367" i="14"/>
  <c r="S283" i="14"/>
  <c r="S31" i="14"/>
  <c r="S689" i="14"/>
  <c r="S535" i="14"/>
  <c r="S731" i="14"/>
  <c r="S59" i="14"/>
  <c r="S129" i="14"/>
  <c r="S549" i="14"/>
  <c r="S815" i="14"/>
  <c r="S395" i="14"/>
  <c r="S171" i="14"/>
  <c r="S619" i="14"/>
  <c r="S829" i="14"/>
  <c r="S353" i="14"/>
  <c r="S661" i="14"/>
  <c r="R910" i="13"/>
  <c r="R922" i="13" s="1"/>
  <c r="R655" i="13"/>
  <c r="R667" i="13" s="1"/>
  <c r="S297" i="14"/>
  <c r="S381" i="14"/>
  <c r="R332" i="13"/>
  <c r="R344" i="13" s="1"/>
  <c r="R26" i="13"/>
  <c r="R38" i="13" s="1"/>
  <c r="R570" i="13"/>
  <c r="R582" i="13" s="1"/>
  <c r="R43" i="13"/>
  <c r="R55" i="13" s="1"/>
  <c r="R774" i="13"/>
  <c r="R786" i="13" s="1"/>
  <c r="R162" i="13"/>
  <c r="R174" i="13" s="1"/>
  <c r="R1046" i="13"/>
  <c r="R1058" i="13" s="1"/>
  <c r="R145" i="13"/>
  <c r="R157" i="13" s="1"/>
  <c r="R179" i="13"/>
  <c r="R191" i="13" s="1"/>
  <c r="R825" i="13"/>
  <c r="R837" i="13" s="1"/>
  <c r="R672" i="13"/>
  <c r="R684" i="13" s="1"/>
  <c r="R111" i="13"/>
  <c r="R123" i="13" s="1"/>
  <c r="R18" i="13"/>
  <c r="R791" i="13"/>
  <c r="R803" i="13" s="1"/>
  <c r="R434" i="13"/>
  <c r="R446" i="13" s="1"/>
  <c r="R842" i="13"/>
  <c r="R854" i="13" s="1"/>
  <c r="R944" i="13"/>
  <c r="R956" i="13" s="1"/>
  <c r="R502" i="13"/>
  <c r="R514" i="13" s="1"/>
  <c r="R876" i="13"/>
  <c r="R888" i="13" s="1"/>
  <c r="R740" i="13"/>
  <c r="R752" i="13" s="1"/>
  <c r="R961" i="13"/>
  <c r="R973" i="13" s="1"/>
  <c r="R94" i="13"/>
  <c r="R106" i="13" s="1"/>
  <c r="R60" i="13"/>
  <c r="R72" i="13" s="1"/>
  <c r="R417" i="13"/>
  <c r="R429" i="13" s="1"/>
  <c r="R723" i="13"/>
  <c r="R735" i="13" s="1"/>
  <c r="R859" i="13"/>
  <c r="R871" i="13" s="1"/>
  <c r="R587" i="13"/>
  <c r="R599" i="13" s="1"/>
  <c r="R213" i="13"/>
  <c r="R225" i="13" s="1"/>
  <c r="R77" i="13"/>
  <c r="R89" i="13" s="1"/>
  <c r="R264" i="13"/>
  <c r="R276" i="13" s="1"/>
  <c r="R230" i="13"/>
  <c r="R242" i="13" s="1"/>
  <c r="R757" i="13"/>
  <c r="R769" i="13" s="1"/>
  <c r="R468" i="13"/>
  <c r="R480" i="13" s="1"/>
  <c r="R536" i="13"/>
  <c r="R808" i="13"/>
  <c r="R820" i="13" s="1"/>
  <c r="R553" i="13"/>
  <c r="R565" i="13" s="1"/>
  <c r="R995" i="13"/>
  <c r="R1007" i="13" s="1"/>
  <c r="R1063" i="13"/>
  <c r="R1075" i="13" s="1"/>
  <c r="R281" i="13"/>
  <c r="R293" i="13" s="1"/>
  <c r="R298" i="13"/>
  <c r="R310" i="13" s="1"/>
  <c r="R196" i="13"/>
  <c r="R208" i="13" s="1"/>
  <c r="R366" i="13"/>
  <c r="R378" i="13" s="1"/>
  <c r="R451" i="13"/>
  <c r="R463" i="13" s="1"/>
  <c r="R604" i="13"/>
  <c r="R616" i="13" s="1"/>
  <c r="R893" i="13"/>
  <c r="R905" i="13" s="1"/>
  <c r="R689" i="13"/>
  <c r="R701" i="13" s="1"/>
  <c r="R315" i="13"/>
  <c r="R327" i="13" s="1"/>
  <c r="R400" i="13"/>
  <c r="R412" i="13" s="1"/>
  <c r="R638" i="13"/>
  <c r="R650" i="13" s="1"/>
  <c r="R621" i="13"/>
  <c r="R633" i="13" s="1"/>
  <c r="R978" i="13"/>
  <c r="R990" i="13" s="1"/>
  <c r="R706" i="13"/>
  <c r="R718" i="13" s="1"/>
  <c r="R247" i="13"/>
  <c r="R259" i="13" s="1"/>
  <c r="R128" i="13"/>
  <c r="R140" i="13" s="1"/>
  <c r="R349" i="13"/>
  <c r="R361" i="13" s="1"/>
  <c r="R383" i="13"/>
  <c r="R395" i="13" s="1"/>
  <c r="R927" i="13"/>
  <c r="R939" i="13" s="1"/>
  <c r="R485" i="13"/>
  <c r="R497" i="13" s="1"/>
  <c r="R1029" i="13"/>
  <c r="R1041" i="13" s="1"/>
  <c r="S241" i="14"/>
  <c r="S115" i="14"/>
  <c r="S675" i="14"/>
  <c r="S451" i="14"/>
  <c r="S269" i="14"/>
  <c r="S87" i="14"/>
  <c r="S157" i="14"/>
  <c r="S703" i="14"/>
  <c r="S717" i="14"/>
  <c r="S801" i="14"/>
  <c r="S507" i="14"/>
  <c r="S843" i="14"/>
  <c r="S213" i="14"/>
  <c r="S577" i="14"/>
  <c r="S633" i="14"/>
  <c r="S423" i="14"/>
  <c r="S857" i="14"/>
  <c r="S101" i="14"/>
  <c r="S605" i="14"/>
  <c r="S227" i="14"/>
  <c r="S199" i="14"/>
  <c r="S787" i="14"/>
  <c r="S479" i="14"/>
  <c r="S647" i="14"/>
  <c r="S437" i="14"/>
  <c r="S465" i="14"/>
  <c r="S311" i="14"/>
  <c r="S185" i="14"/>
  <c r="S73" i="14"/>
  <c r="S521" i="14"/>
  <c r="S325" i="14"/>
  <c r="S409" i="14"/>
  <c r="S591" i="14"/>
  <c r="S493" i="14"/>
  <c r="S143" i="14"/>
  <c r="S759" i="14"/>
  <c r="S745" i="14"/>
  <c r="S6" i="14"/>
  <c r="R6" i="14"/>
  <c r="R331" i="14" s="1"/>
  <c r="S17" i="13"/>
  <c r="S6" i="13"/>
  <c r="S849" i="14" l="1"/>
  <c r="S858" i="14" s="1"/>
  <c r="S331" i="14"/>
  <c r="S340" i="14" s="1"/>
  <c r="S530" i="13"/>
  <c r="S519" i="13"/>
  <c r="S107" i="14"/>
  <c r="S116" i="14" s="1"/>
  <c r="S37" i="14"/>
  <c r="S46" i="14" s="1"/>
  <c r="S681" i="14"/>
  <c r="S690" i="14" s="1"/>
  <c r="S387" i="14"/>
  <c r="S396" i="14" s="1"/>
  <c r="S555" i="14"/>
  <c r="S564" i="14" s="1"/>
  <c r="S863" i="14"/>
  <c r="S872" i="14" s="1"/>
  <c r="S807" i="14"/>
  <c r="S816" i="14" s="1"/>
  <c r="S303" i="14"/>
  <c r="S312" i="14" s="1"/>
  <c r="S583" i="14"/>
  <c r="S592" i="14" s="1"/>
  <c r="S247" i="14"/>
  <c r="S256" i="14" s="1"/>
  <c r="S15" i="14"/>
  <c r="S345" i="14"/>
  <c r="S354" i="14" s="1"/>
  <c r="S275" i="14"/>
  <c r="S284" i="14" s="1"/>
  <c r="S723" i="14"/>
  <c r="S732" i="14" s="1"/>
  <c r="S569" i="14"/>
  <c r="S578" i="14" s="1"/>
  <c r="S667" i="14"/>
  <c r="S676" i="14" s="1"/>
  <c r="S121" i="14"/>
  <c r="S130" i="14" s="1"/>
  <c r="S93" i="14"/>
  <c r="S102" i="14" s="1"/>
  <c r="S23" i="14"/>
  <c r="S32" i="14" s="1"/>
  <c r="S401" i="14"/>
  <c r="S410" i="14" s="1"/>
  <c r="S709" i="14"/>
  <c r="S718" i="14" s="1"/>
  <c r="S695" i="14"/>
  <c r="S704" i="14" s="1"/>
  <c r="S359" i="14"/>
  <c r="S368" i="14" s="1"/>
  <c r="S793" i="14"/>
  <c r="S802" i="14" s="1"/>
  <c r="S219" i="14"/>
  <c r="S228" i="14" s="1"/>
  <c r="S233" i="14"/>
  <c r="S242" i="14" s="1"/>
  <c r="S79" i="14"/>
  <c r="S88" i="14" s="1"/>
  <c r="S485" i="14"/>
  <c r="S494" i="14" s="1"/>
  <c r="S499" i="14"/>
  <c r="S508" i="14" s="1"/>
  <c r="S471" i="14"/>
  <c r="S480" i="14" s="1"/>
  <c r="S541" i="14"/>
  <c r="S550" i="14" s="1"/>
  <c r="S835" i="14"/>
  <c r="S844" i="14" s="1"/>
  <c r="S177" i="14"/>
  <c r="S186" i="14" s="1"/>
  <c r="S149" i="14"/>
  <c r="S158" i="14" s="1"/>
  <c r="S205" i="14"/>
  <c r="S214" i="14" s="1"/>
  <c r="S135" i="14"/>
  <c r="S144" i="14" s="1"/>
  <c r="S65" i="14"/>
  <c r="S74" i="14" s="1"/>
  <c r="S513" i="14"/>
  <c r="S522" i="14" s="1"/>
  <c r="S457" i="14"/>
  <c r="S466" i="14" s="1"/>
  <c r="S821" i="14"/>
  <c r="S830" i="14" s="1"/>
  <c r="S737" i="14"/>
  <c r="S746" i="14" s="1"/>
  <c r="S751" i="14"/>
  <c r="S760" i="14" s="1"/>
  <c r="S779" i="14"/>
  <c r="S788" i="14" s="1"/>
  <c r="S317" i="14"/>
  <c r="S326" i="14" s="1"/>
  <c r="S639" i="14"/>
  <c r="S648" i="14" s="1"/>
  <c r="S653" i="14"/>
  <c r="S662" i="14" s="1"/>
  <c r="S877" i="14"/>
  <c r="S886" i="14" s="1"/>
  <c r="Q303" i="14"/>
  <c r="Q312" i="14" s="1"/>
  <c r="S191" i="14"/>
  <c r="S200" i="14" s="1"/>
  <c r="S289" i="14"/>
  <c r="S298" i="14" s="1"/>
  <c r="S261" i="14"/>
  <c r="S270" i="14" s="1"/>
  <c r="S163" i="14"/>
  <c r="S172" i="14" s="1"/>
  <c r="S51" i="14"/>
  <c r="S60" i="14" s="1"/>
  <c r="S373" i="14"/>
  <c r="S382" i="14" s="1"/>
  <c r="S527" i="14"/>
  <c r="S536" i="14" s="1"/>
  <c r="S765" i="14"/>
  <c r="S774" i="14" s="1"/>
  <c r="S429" i="14"/>
  <c r="S438" i="14" s="1"/>
  <c r="S415" i="14"/>
  <c r="S424" i="14" s="1"/>
  <c r="S625" i="14"/>
  <c r="S634" i="14" s="1"/>
  <c r="S597" i="14"/>
  <c r="S606" i="14" s="1"/>
  <c r="S611" i="14"/>
  <c r="S620" i="14" s="1"/>
  <c r="S443" i="14"/>
  <c r="S452" i="14" s="1"/>
  <c r="R877" i="14"/>
  <c r="R583" i="14"/>
  <c r="R485" i="14"/>
  <c r="R494" i="14" s="1"/>
  <c r="R499" i="14"/>
  <c r="R508" i="14" s="1"/>
  <c r="R513" i="14"/>
  <c r="R443" i="14"/>
  <c r="R667" i="14"/>
  <c r="R681" i="14"/>
  <c r="R695" i="14"/>
  <c r="R704" i="14" s="1"/>
  <c r="R779" i="14"/>
  <c r="R37" i="14"/>
  <c r="R219" i="14"/>
  <c r="R228" i="14" s="1"/>
  <c r="R15" i="14"/>
  <c r="R93" i="14"/>
  <c r="R102" i="14" s="1"/>
  <c r="R205" i="14"/>
  <c r="R214" i="14" s="1"/>
  <c r="R303" i="14"/>
  <c r="R312" i="14" s="1"/>
  <c r="R863" i="14"/>
  <c r="R653" i="14"/>
  <c r="R569" i="14"/>
  <c r="R737" i="14"/>
  <c r="R541" i="14"/>
  <c r="R555" i="14"/>
  <c r="R821" i="14"/>
  <c r="R611" i="14"/>
  <c r="R620" i="14" s="1"/>
  <c r="R359" i="14"/>
  <c r="R457" i="14"/>
  <c r="R79" i="14"/>
  <c r="R88" i="14" s="1"/>
  <c r="R121" i="14"/>
  <c r="R130" i="14" s="1"/>
  <c r="R149" i="14"/>
  <c r="R158" i="14" s="1"/>
  <c r="R177" i="14"/>
  <c r="R186" i="14" s="1"/>
  <c r="R191" i="14"/>
  <c r="R200" i="14" s="1"/>
  <c r="R849" i="14"/>
  <c r="R858" i="14" s="1"/>
  <c r="R597" i="14"/>
  <c r="R345" i="14"/>
  <c r="R639" i="14"/>
  <c r="R765" i="14"/>
  <c r="R774" i="14" s="1"/>
  <c r="R625" i="14"/>
  <c r="R793" i="14"/>
  <c r="R802" i="14" s="1"/>
  <c r="R317" i="14"/>
  <c r="R723" i="14"/>
  <c r="R527" i="14"/>
  <c r="R340" i="14"/>
  <c r="R65" i="14"/>
  <c r="R275" i="14"/>
  <c r="R284" i="14" s="1"/>
  <c r="R135" i="14"/>
  <c r="R144" i="14" s="1"/>
  <c r="R233" i="14"/>
  <c r="R242" i="14" s="1"/>
  <c r="R261" i="14"/>
  <c r="R270" i="14" s="1"/>
  <c r="R835" i="14"/>
  <c r="R373" i="14"/>
  <c r="R382" i="14" s="1"/>
  <c r="R429" i="14"/>
  <c r="R751" i="14"/>
  <c r="R807" i="14"/>
  <c r="R387" i="14"/>
  <c r="R709" i="14"/>
  <c r="R401" i="14"/>
  <c r="R410" i="14" s="1"/>
  <c r="R415" i="14"/>
  <c r="R471" i="14"/>
  <c r="R480" i="14" s="1"/>
  <c r="R51" i="14"/>
  <c r="R23" i="14"/>
  <c r="R32" i="14" s="1"/>
  <c r="R107" i="14"/>
  <c r="R116" i="14" s="1"/>
  <c r="R289" i="14"/>
  <c r="R298" i="14" s="1"/>
  <c r="R163" i="14"/>
  <c r="R172" i="14" s="1"/>
  <c r="R247" i="14"/>
  <c r="R256" i="14" s="1"/>
  <c r="S757" i="13"/>
  <c r="S1046" i="13"/>
  <c r="S723" i="13"/>
  <c r="S570" i="13"/>
  <c r="S876" i="13"/>
  <c r="S1029" i="13"/>
  <c r="S893" i="13"/>
  <c r="S995" i="13"/>
  <c r="S1012" i="13"/>
  <c r="S587" i="13"/>
  <c r="S638" i="13"/>
  <c r="S655" i="13"/>
  <c r="S468" i="13"/>
  <c r="S451" i="13"/>
  <c r="S978" i="13"/>
  <c r="S621" i="13"/>
  <c r="S604" i="13"/>
  <c r="S706" i="13"/>
  <c r="S1063" i="13"/>
  <c r="S808" i="13"/>
  <c r="S859" i="13"/>
  <c r="S944" i="13"/>
  <c r="S553" i="13"/>
  <c r="S502" i="13"/>
  <c r="S434" i="13"/>
  <c r="S536" i="13"/>
  <c r="S961" i="13"/>
  <c r="S791" i="13"/>
  <c r="S825" i="13"/>
  <c r="S672" i="13"/>
  <c r="S485" i="13"/>
  <c r="S774" i="13"/>
  <c r="S689" i="13"/>
  <c r="S842" i="13"/>
  <c r="S927" i="13"/>
  <c r="S417" i="13"/>
  <c r="S366" i="13"/>
  <c r="S910" i="13"/>
  <c r="S740" i="13"/>
  <c r="S400" i="13"/>
  <c r="S383" i="13"/>
  <c r="S26" i="13"/>
  <c r="S162" i="13"/>
  <c r="S349" i="13"/>
  <c r="S247" i="13"/>
  <c r="S43" i="13"/>
  <c r="S298" i="13"/>
  <c r="S145" i="13"/>
  <c r="S332" i="13"/>
  <c r="S179" i="13"/>
  <c r="S196" i="13"/>
  <c r="S230" i="13"/>
  <c r="S94" i="13"/>
  <c r="S111" i="13"/>
  <c r="S281" i="13"/>
  <c r="S213" i="13"/>
  <c r="S264" i="13"/>
  <c r="S60" i="13"/>
  <c r="S128" i="13"/>
  <c r="S315" i="13"/>
  <c r="S77" i="13"/>
  <c r="S18" i="13"/>
  <c r="S887" i="13"/>
  <c r="S1057" i="13"/>
  <c r="S955" i="13"/>
  <c r="S1023" i="13"/>
  <c r="S717" i="13"/>
  <c r="S581" i="13"/>
  <c r="S649" i="13"/>
  <c r="S513" i="13"/>
  <c r="S445" i="13"/>
  <c r="S938" i="13"/>
  <c r="S1040" i="13"/>
  <c r="S819" i="13"/>
  <c r="S615" i="13"/>
  <c r="S853" i="13"/>
  <c r="S462" i="13"/>
  <c r="S496" i="13"/>
  <c r="S547" i="13"/>
  <c r="S700" i="13"/>
  <c r="S972" i="13"/>
  <c r="S632" i="13"/>
  <c r="S598" i="13"/>
  <c r="S836" i="13"/>
  <c r="S785" i="13"/>
  <c r="S768" i="13"/>
  <c r="S921" i="13"/>
  <c r="S666" i="13"/>
  <c r="S479" i="13"/>
  <c r="S1074" i="13"/>
  <c r="S734" i="13"/>
  <c r="S904" i="13"/>
  <c r="S870" i="13"/>
  <c r="S989" i="13"/>
  <c r="S564" i="13"/>
  <c r="S683" i="13"/>
  <c r="S1006" i="13"/>
  <c r="S802" i="13"/>
  <c r="S428" i="13"/>
  <c r="S394" i="13"/>
  <c r="S411" i="13"/>
  <c r="S751" i="13"/>
  <c r="S377" i="13"/>
  <c r="S37" i="13"/>
  <c r="S122" i="13"/>
  <c r="S360" i="13"/>
  <c r="S343" i="13"/>
  <c r="S105" i="13"/>
  <c r="S190" i="13"/>
  <c r="S326" i="13"/>
  <c r="S207" i="13"/>
  <c r="S241" i="13"/>
  <c r="S88" i="13"/>
  <c r="S139" i="13"/>
  <c r="S173" i="13"/>
  <c r="S292" i="13"/>
  <c r="S275" i="13"/>
  <c r="S54" i="13"/>
  <c r="S224" i="13"/>
  <c r="S258" i="13"/>
  <c r="S309" i="13"/>
  <c r="S156" i="13"/>
  <c r="S71" i="13"/>
  <c r="P5" i="6"/>
  <c r="M5" i="6"/>
  <c r="N5" i="6"/>
  <c r="P28" i="6"/>
  <c r="N26" i="6"/>
  <c r="M26" i="6"/>
  <c r="S890" i="14" l="1"/>
  <c r="S891" i="14" s="1"/>
  <c r="Q704" i="14"/>
  <c r="Q802" i="14"/>
  <c r="Q480" i="14"/>
  <c r="Q382" i="14"/>
  <c r="Q494" i="14"/>
  <c r="Q410" i="14"/>
  <c r="Q340" i="14"/>
  <c r="Q858" i="14"/>
  <c r="Q424" i="14"/>
  <c r="R424" i="14"/>
  <c r="R816" i="14"/>
  <c r="Q816" i="14"/>
  <c r="R844" i="14"/>
  <c r="Q844" i="14"/>
  <c r="R732" i="14"/>
  <c r="Q732" i="14"/>
  <c r="R746" i="14"/>
  <c r="Q746" i="14"/>
  <c r="R690" i="14"/>
  <c r="Q690" i="14"/>
  <c r="Q508" i="14"/>
  <c r="Q760" i="14"/>
  <c r="R760" i="14"/>
  <c r="R74" i="14"/>
  <c r="Q326" i="14"/>
  <c r="R326" i="14"/>
  <c r="R648" i="14"/>
  <c r="Q648" i="14"/>
  <c r="Q830" i="14"/>
  <c r="R830" i="14"/>
  <c r="Q578" i="14"/>
  <c r="R578" i="14"/>
  <c r="R46" i="14"/>
  <c r="Q676" i="14"/>
  <c r="R676" i="14"/>
  <c r="R60" i="14"/>
  <c r="R718" i="14"/>
  <c r="Q718" i="14"/>
  <c r="R438" i="14"/>
  <c r="Q438" i="14"/>
  <c r="Q354" i="14"/>
  <c r="R354" i="14"/>
  <c r="R466" i="14"/>
  <c r="Q466" i="14"/>
  <c r="R564" i="14"/>
  <c r="Q564" i="14"/>
  <c r="R662" i="14"/>
  <c r="Q662" i="14"/>
  <c r="R788" i="14"/>
  <c r="Q788" i="14"/>
  <c r="R452" i="14"/>
  <c r="Q452" i="14"/>
  <c r="Q592" i="14"/>
  <c r="R592" i="14"/>
  <c r="Q774" i="14"/>
  <c r="Q620" i="14"/>
  <c r="Q396" i="14"/>
  <c r="R396" i="14"/>
  <c r="Q536" i="14"/>
  <c r="R536" i="14"/>
  <c r="R634" i="14"/>
  <c r="Q634" i="14"/>
  <c r="R606" i="14"/>
  <c r="Q606" i="14"/>
  <c r="R368" i="14"/>
  <c r="Q368" i="14"/>
  <c r="Q550" i="14"/>
  <c r="R550" i="14"/>
  <c r="Q872" i="14"/>
  <c r="R872" i="14"/>
  <c r="Q522" i="14"/>
  <c r="R522" i="14"/>
  <c r="R886" i="14"/>
  <c r="Q886" i="14"/>
  <c r="S72" i="13"/>
  <c r="S123" i="13"/>
  <c r="S191" i="13"/>
  <c r="S55" i="13"/>
  <c r="S38" i="13"/>
  <c r="Q38" i="13"/>
  <c r="S922" i="13"/>
  <c r="Q922" i="13"/>
  <c r="S854" i="13"/>
  <c r="Q854" i="13"/>
  <c r="S684" i="13"/>
  <c r="Q684" i="13"/>
  <c r="Q548" i="13"/>
  <c r="S956" i="13"/>
  <c r="Q956" i="13"/>
  <c r="S1075" i="13"/>
  <c r="Q1075" i="13"/>
  <c r="S990" i="13"/>
  <c r="Q990" i="13"/>
  <c r="S650" i="13"/>
  <c r="Q650" i="13"/>
  <c r="S905" i="13"/>
  <c r="Q905" i="13"/>
  <c r="S735" i="13"/>
  <c r="Q735" i="13"/>
  <c r="S89" i="13"/>
  <c r="S276" i="13"/>
  <c r="S106" i="13"/>
  <c r="S344" i="13"/>
  <c r="S259" i="13"/>
  <c r="S395" i="13"/>
  <c r="Q395" i="13"/>
  <c r="S378" i="13"/>
  <c r="Q378" i="13"/>
  <c r="S701" i="13"/>
  <c r="Q701" i="13"/>
  <c r="S837" i="13"/>
  <c r="Q837" i="13"/>
  <c r="S446" i="13"/>
  <c r="Q446" i="13"/>
  <c r="S871" i="13"/>
  <c r="Q871" i="13"/>
  <c r="S718" i="13"/>
  <c r="Q718" i="13"/>
  <c r="S463" i="13"/>
  <c r="Q463" i="13"/>
  <c r="S599" i="13"/>
  <c r="Q599" i="13"/>
  <c r="S1041" i="13"/>
  <c r="Q1041" i="13"/>
  <c r="S1058" i="13"/>
  <c r="Q1058" i="13"/>
  <c r="S327" i="13"/>
  <c r="S225" i="13"/>
  <c r="S242" i="13"/>
  <c r="S157" i="13"/>
  <c r="S361" i="13"/>
  <c r="S412" i="13"/>
  <c r="Q412" i="13"/>
  <c r="S429" i="13"/>
  <c r="Q429" i="13"/>
  <c r="S786" i="13"/>
  <c r="Q786" i="13"/>
  <c r="S803" i="13"/>
  <c r="Q803" i="13"/>
  <c r="S514" i="13"/>
  <c r="Q514" i="13"/>
  <c r="S820" i="13"/>
  <c r="Q820" i="13"/>
  <c r="S616" i="13"/>
  <c r="Q616" i="13"/>
  <c r="S480" i="13"/>
  <c r="Q480" i="13"/>
  <c r="S1024" i="13"/>
  <c r="Q1024" i="13"/>
  <c r="S888" i="13"/>
  <c r="Q888" i="13"/>
  <c r="S769" i="13"/>
  <c r="Q769" i="13"/>
  <c r="S140" i="13"/>
  <c r="S293" i="13"/>
  <c r="S208" i="13"/>
  <c r="S310" i="13"/>
  <c r="S174" i="13"/>
  <c r="S752" i="13"/>
  <c r="Q752" i="13"/>
  <c r="S939" i="13"/>
  <c r="Q939" i="13"/>
  <c r="S497" i="13"/>
  <c r="Q497" i="13"/>
  <c r="S973" i="13"/>
  <c r="Q973" i="13"/>
  <c r="S565" i="13"/>
  <c r="Q565" i="13"/>
  <c r="S531" i="13"/>
  <c r="Q531" i="13"/>
  <c r="S633" i="13"/>
  <c r="Q633" i="13"/>
  <c r="S667" i="13"/>
  <c r="Q667" i="13"/>
  <c r="S1007" i="13"/>
  <c r="Q1007" i="13"/>
  <c r="S582" i="13"/>
  <c r="Q582" i="13"/>
  <c r="R890" i="14" l="1"/>
  <c r="R891" i="14" s="1"/>
  <c r="Q18" i="13" l="1"/>
  <c r="Q242" i="14" l="1"/>
  <c r="Q298" i="14"/>
  <c r="Q116" i="14"/>
  <c r="Q172" i="14"/>
  <c r="Q144" i="14"/>
  <c r="Q270" i="14"/>
  <c r="Q200" i="14"/>
  <c r="Q32" i="14"/>
  <c r="Q102" i="14"/>
  <c r="Q228" i="14"/>
  <c r="Q130" i="14"/>
  <c r="Q284" i="14"/>
  <c r="Q256" i="14"/>
  <c r="Q214" i="14"/>
  <c r="Q15" i="14"/>
  <c r="O30" i="6" l="1"/>
  <c r="O11" i="6"/>
  <c r="O8" i="6"/>
  <c r="O10" i="6"/>
  <c r="O7" i="6"/>
  <c r="O32" i="6"/>
  <c r="O6" i="6"/>
  <c r="O9" i="6"/>
  <c r="O18" i="5"/>
  <c r="O829" i="6" l="1"/>
  <c r="O830" i="6" s="1"/>
  <c r="O19" i="5"/>
  <c r="O1080" i="5"/>
  <c r="O12" i="6"/>
  <c r="O14" i="6"/>
  <c r="O15" i="6" s="1"/>
  <c r="S548" i="13"/>
  <c r="S1079" i="13" s="1"/>
  <c r="S1080" i="13" s="1"/>
  <c r="M1080" i="13"/>
  <c r="P1080" i="13"/>
  <c r="I548" i="13"/>
  <c r="I1079" i="13" s="1"/>
  <c r="I1080" i="13" s="1"/>
  <c r="G548" i="13"/>
  <c r="G1079" i="13" s="1"/>
  <c r="G1080" i="13" s="1"/>
  <c r="R548" i="13"/>
  <c r="R1079" i="13" s="1"/>
  <c r="R1080" i="13" s="1"/>
  <c r="H548" i="13"/>
  <c r="H1079" i="13" s="1"/>
  <c r="H1080" i="13" s="1"/>
  <c r="J548" i="13"/>
  <c r="J1079" i="13" s="1"/>
  <c r="J1080" i="13" s="1"/>
  <c r="M7" i="5" l="1"/>
  <c r="M11" i="5"/>
  <c r="M6" i="5"/>
  <c r="N12" i="5"/>
  <c r="N11" i="5"/>
  <c r="M13" i="5"/>
  <c r="P11" i="5"/>
  <c r="P10" i="5"/>
  <c r="P12" i="5"/>
  <c r="N9" i="5"/>
  <c r="M8" i="5"/>
  <c r="N6" i="5"/>
  <c r="N13" i="5"/>
  <c r="N7" i="5"/>
  <c r="N8" i="5"/>
  <c r="P7" i="5"/>
  <c r="P9" i="5"/>
  <c r="P13" i="5"/>
  <c r="N10" i="5"/>
  <c r="M10" i="5"/>
  <c r="P6" i="5"/>
  <c r="M9" i="5"/>
  <c r="P8" i="5"/>
  <c r="N1079" i="5"/>
  <c r="P1079" i="5"/>
  <c r="M1079" i="5"/>
  <c r="P14" i="5" l="1"/>
  <c r="N14" i="5"/>
  <c r="M14" i="5"/>
  <c r="M18" i="5" l="1"/>
  <c r="N18" i="5"/>
  <c r="P18" i="5"/>
  <c r="P19" i="5" l="1"/>
  <c r="P1080" i="5"/>
  <c r="M19" i="5"/>
  <c r="M1080" i="5"/>
  <c r="N19" i="5"/>
  <c r="N1080" i="5"/>
  <c r="E502" i="7" l="1"/>
  <c r="G511" i="7" s="1"/>
  <c r="E442" i="7"/>
  <c r="F445" i="7" s="1"/>
  <c r="E482" i="7"/>
  <c r="E61" i="7"/>
  <c r="E213" i="7"/>
  <c r="F225" i="7" s="1"/>
  <c r="E1131" i="7"/>
  <c r="E194" i="7"/>
  <c r="E23" i="7"/>
  <c r="F36" i="7" s="1"/>
  <c r="E232" i="7"/>
  <c r="F241" i="7" s="1"/>
  <c r="E365" i="7"/>
  <c r="E521" i="7"/>
  <c r="E797" i="7"/>
  <c r="G800" i="7" s="1"/>
  <c r="E1032" i="7"/>
  <c r="E1111" i="7"/>
  <c r="E1209" i="7"/>
  <c r="E80" i="7"/>
  <c r="E600" i="7"/>
  <c r="F603" i="7" s="1"/>
  <c r="E855" i="7"/>
  <c r="E346" i="7"/>
  <c r="F362" i="7" s="1"/>
  <c r="E699" i="7"/>
  <c r="E933" i="7"/>
  <c r="F944" i="7" s="1"/>
  <c r="E156" i="7"/>
  <c r="E914" i="7"/>
  <c r="F917" i="7" s="1"/>
  <c r="E660" i="7"/>
  <c r="F668" i="7" s="1"/>
  <c r="E757" i="7"/>
  <c r="F760" i="7" s="1"/>
  <c r="E894" i="7"/>
  <c r="E541" i="7"/>
  <c r="F544" i="7" s="1"/>
  <c r="E99" i="7"/>
  <c r="E251" i="7"/>
  <c r="E973" i="7"/>
  <c r="F978" i="7" s="1"/>
  <c r="E1170" i="7"/>
  <c r="F1173" i="7" s="1"/>
  <c r="E270" i="7"/>
  <c r="E561" i="7"/>
  <c r="E423" i="7"/>
  <c r="F436" i="7" s="1"/>
  <c r="E738" i="7"/>
  <c r="G741" i="7" s="1"/>
  <c r="E817" i="7"/>
  <c r="G823" i="7" s="1"/>
  <c r="E953" i="7"/>
  <c r="E581" i="7"/>
  <c r="F584" i="7" s="1"/>
  <c r="E620" i="7"/>
  <c r="F623" i="7" s="1"/>
  <c r="E137" i="7"/>
  <c r="F140" i="7" s="1"/>
  <c r="E718" i="7"/>
  <c r="F721" i="7" s="1"/>
  <c r="E327" i="7"/>
  <c r="F330" i="7" s="1"/>
  <c r="E640" i="7"/>
  <c r="F643" i="7" s="1"/>
  <c r="E777" i="7"/>
  <c r="F780" i="7" s="1"/>
  <c r="E1072" i="7"/>
  <c r="F1085" i="7" s="1"/>
  <c r="E1151" i="7"/>
  <c r="F1154" i="7" s="1"/>
  <c r="E42" i="7"/>
  <c r="E1012" i="7"/>
  <c r="F1015" i="7" s="1"/>
  <c r="E1091" i="7"/>
  <c r="G1094" i="7" s="1"/>
  <c r="E462" i="7"/>
  <c r="E679" i="7"/>
  <c r="E1052" i="7"/>
  <c r="F1065" i="7" s="1"/>
  <c r="E308" i="7"/>
  <c r="E836" i="7"/>
  <c r="E175" i="7"/>
  <c r="E118" i="7"/>
  <c r="F121" i="7" s="1"/>
  <c r="E289" i="7"/>
  <c r="F292" i="7" s="1"/>
  <c r="E993" i="7"/>
  <c r="F996" i="7" s="1"/>
  <c r="E1190" i="7"/>
  <c r="F1193" i="7" s="1"/>
  <c r="E1248" i="7"/>
  <c r="F1251" i="7" s="1"/>
  <c r="E1229" i="7"/>
  <c r="F1232" i="7" s="1"/>
  <c r="F64" i="7" l="1"/>
  <c r="G77" i="7"/>
  <c r="F398" i="7"/>
  <c r="F387" i="7"/>
  <c r="G387" i="7"/>
  <c r="G726" i="7"/>
  <c r="G571" i="7"/>
  <c r="G957" i="7"/>
  <c r="G773" i="7"/>
  <c r="G1215" i="7"/>
  <c r="F1137" i="7"/>
  <c r="G960" i="7"/>
  <c r="G723" i="7"/>
  <c r="G547" i="7"/>
  <c r="F1002" i="7"/>
  <c r="G793" i="7"/>
  <c r="F731" i="7"/>
  <c r="G963" i="7"/>
  <c r="G616" i="7"/>
  <c r="F1215" i="7"/>
  <c r="G373" i="7"/>
  <c r="G649" i="7"/>
  <c r="F941" i="7"/>
  <c r="G615" i="7"/>
  <c r="G1218" i="7"/>
  <c r="G246" i="7"/>
  <c r="F217" i="7"/>
  <c r="G1003" i="7"/>
  <c r="F147" i="7"/>
  <c r="G766" i="7"/>
  <c r="F606" i="7"/>
  <c r="F1224" i="7"/>
  <c r="G611" i="7"/>
  <c r="F625" i="7"/>
  <c r="G266" i="7"/>
  <c r="G605" i="7"/>
  <c r="G27" i="7"/>
  <c r="G389" i="7" s="1"/>
  <c r="F845" i="7"/>
  <c r="F1157" i="7"/>
  <c r="G438" i="7"/>
  <c r="F352" i="7"/>
  <c r="G1045" i="7"/>
  <c r="G451" i="7"/>
  <c r="G923" i="7"/>
  <c r="G361" i="7"/>
  <c r="F613" i="7"/>
  <c r="G455" i="7"/>
  <c r="G1144" i="7"/>
  <c r="G998" i="7"/>
  <c r="G841" i="7"/>
  <c r="G846" i="7"/>
  <c r="G320" i="7"/>
  <c r="F313" i="7"/>
  <c r="G312" i="7"/>
  <c r="G1156" i="7"/>
  <c r="F782" i="7"/>
  <c r="G650" i="7"/>
  <c r="G647" i="7"/>
  <c r="F644" i="7"/>
  <c r="F653" i="7"/>
  <c r="G731" i="7"/>
  <c r="G141" i="7"/>
  <c r="G624" i="7"/>
  <c r="G958" i="7"/>
  <c r="F962" i="7"/>
  <c r="G1179" i="7"/>
  <c r="F551" i="7"/>
  <c r="F929" i="7"/>
  <c r="G949" i="7"/>
  <c r="G704" i="7"/>
  <c r="F609" i="7"/>
  <c r="G614" i="7"/>
  <c r="G1214" i="7"/>
  <c r="F1048" i="7"/>
  <c r="F813" i="7"/>
  <c r="F370" i="7"/>
  <c r="F446" i="7"/>
  <c r="G1185" i="7"/>
  <c r="G128" i="7"/>
  <c r="G849" i="7"/>
  <c r="F843" i="7"/>
  <c r="G321" i="7"/>
  <c r="F316" i="7"/>
  <c r="F312" i="7"/>
  <c r="F321" i="7"/>
  <c r="G1163" i="7"/>
  <c r="F788" i="7"/>
  <c r="F655" i="7"/>
  <c r="G654" i="7"/>
  <c r="G722" i="7"/>
  <c r="F726" i="7"/>
  <c r="G146" i="7"/>
  <c r="G140" i="7"/>
  <c r="G631" i="7"/>
  <c r="F963" i="7"/>
  <c r="F961" i="7"/>
  <c r="G742" i="7"/>
  <c r="F1185" i="7"/>
  <c r="G1180" i="7"/>
  <c r="G546" i="7"/>
  <c r="G667" i="7"/>
  <c r="F940" i="7"/>
  <c r="G607" i="7"/>
  <c r="F611" i="7"/>
  <c r="G1225" i="7"/>
  <c r="G1040" i="7"/>
  <c r="F802" i="7"/>
  <c r="F77" i="7"/>
  <c r="G125" i="7"/>
  <c r="F323" i="7"/>
  <c r="F123" i="7"/>
  <c r="F317" i="7"/>
  <c r="F320" i="7"/>
  <c r="G317" i="7"/>
  <c r="G318" i="7"/>
  <c r="F1160" i="7"/>
  <c r="F646" i="7"/>
  <c r="G733" i="7"/>
  <c r="F627" i="7"/>
  <c r="F1186" i="7"/>
  <c r="G549" i="7"/>
  <c r="F1039" i="7"/>
  <c r="G32" i="7"/>
  <c r="G394" i="7" s="1"/>
  <c r="G1143" i="7"/>
  <c r="G1146" i="7"/>
  <c r="G225" i="7"/>
  <c r="F71" i="7"/>
  <c r="G447" i="7"/>
  <c r="F1255" i="7"/>
  <c r="G691" i="7"/>
  <c r="F691" i="7"/>
  <c r="G687" i="7"/>
  <c r="F1017" i="7"/>
  <c r="G1016" i="7"/>
  <c r="G1027" i="7"/>
  <c r="G331" i="7"/>
  <c r="F897" i="7"/>
  <c r="F902" i="7"/>
  <c r="G908" i="7"/>
  <c r="F909" i="7"/>
  <c r="G897" i="7"/>
  <c r="F899" i="7"/>
  <c r="G899" i="7"/>
  <c r="G1121" i="7"/>
  <c r="F1127" i="7"/>
  <c r="F1118" i="7"/>
  <c r="G1124" i="7"/>
  <c r="G1122" i="7"/>
  <c r="G1126" i="7"/>
  <c r="G1259" i="7"/>
  <c r="G1068" i="7"/>
  <c r="F1064" i="7"/>
  <c r="F690" i="7"/>
  <c r="F1028" i="7"/>
  <c r="F1027" i="7"/>
  <c r="G1026" i="7"/>
  <c r="F1019" i="7"/>
  <c r="G1155" i="7"/>
  <c r="G1166" i="7"/>
  <c r="F1158" i="7"/>
  <c r="G786" i="7"/>
  <c r="G780" i="7"/>
  <c r="G332" i="7"/>
  <c r="F334" i="7"/>
  <c r="F624" i="7"/>
  <c r="F632" i="7"/>
  <c r="F629" i="7"/>
  <c r="F631" i="7"/>
  <c r="G590" i="7"/>
  <c r="F587" i="7"/>
  <c r="G584" i="7"/>
  <c r="F824" i="7"/>
  <c r="G826" i="7"/>
  <c r="G824" i="7"/>
  <c r="F438" i="7"/>
  <c r="G436" i="7"/>
  <c r="F439" i="7"/>
  <c r="F430" i="7"/>
  <c r="F433" i="7"/>
  <c r="G435" i="7"/>
  <c r="G437" i="7"/>
  <c r="G572" i="7"/>
  <c r="F254" i="7"/>
  <c r="G259" i="7"/>
  <c r="F259" i="7"/>
  <c r="G263" i="7"/>
  <c r="F255" i="7"/>
  <c r="G262" i="7"/>
  <c r="G901" i="7"/>
  <c r="F1264" i="7"/>
  <c r="F1062" i="7"/>
  <c r="G1099" i="7"/>
  <c r="G588" i="7"/>
  <c r="F862" i="7"/>
  <c r="G860" i="7"/>
  <c r="F863" i="7"/>
  <c r="G858" i="7"/>
  <c r="F860" i="7"/>
  <c r="G869" i="7"/>
  <c r="F866" i="7"/>
  <c r="F861" i="7"/>
  <c r="F511" i="7"/>
  <c r="G514" i="7"/>
  <c r="G515" i="7"/>
  <c r="F515" i="7"/>
  <c r="F507" i="7"/>
  <c r="G1261" i="7"/>
  <c r="G1254" i="7"/>
  <c r="F1257" i="7"/>
  <c r="G1007" i="7"/>
  <c r="G133" i="7"/>
  <c r="G852" i="7"/>
  <c r="G842" i="7"/>
  <c r="F324" i="7"/>
  <c r="G313" i="7"/>
  <c r="F695" i="7"/>
  <c r="G689" i="7"/>
  <c r="G684" i="7"/>
  <c r="F692" i="7"/>
  <c r="G1100" i="7"/>
  <c r="G1097" i="7"/>
  <c r="F1021" i="7"/>
  <c r="G1020" i="7"/>
  <c r="G1018" i="7"/>
  <c r="F1020" i="7"/>
  <c r="G1158" i="7"/>
  <c r="F1155" i="7"/>
  <c r="G1160" i="7"/>
  <c r="F792" i="7"/>
  <c r="G789" i="7"/>
  <c r="G655" i="7"/>
  <c r="F645" i="7"/>
  <c r="G342" i="7"/>
  <c r="F332" i="7"/>
  <c r="G330" i="7"/>
  <c r="G730" i="7"/>
  <c r="F722" i="7"/>
  <c r="F725" i="7"/>
  <c r="G153" i="7"/>
  <c r="G142" i="7"/>
  <c r="G628" i="7"/>
  <c r="G626" i="7"/>
  <c r="G636" i="7"/>
  <c r="G629" i="7"/>
  <c r="G585" i="7"/>
  <c r="F966" i="7"/>
  <c r="G966" i="7"/>
  <c r="G967" i="7"/>
  <c r="G968" i="7"/>
  <c r="G962" i="7"/>
  <c r="F959" i="7"/>
  <c r="G964" i="7"/>
  <c r="G961" i="7"/>
  <c r="F968" i="7"/>
  <c r="F965" i="7"/>
  <c r="F960" i="7"/>
  <c r="F828" i="7"/>
  <c r="F905" i="7"/>
  <c r="G861" i="7"/>
  <c r="F91" i="7"/>
  <c r="G88" i="7"/>
  <c r="G89" i="7"/>
  <c r="F84" i="7"/>
  <c r="F1120" i="7"/>
  <c r="F513" i="7"/>
  <c r="F1260" i="7"/>
  <c r="F1258" i="7"/>
  <c r="F1004" i="7"/>
  <c r="G132" i="7"/>
  <c r="F131" i="7"/>
  <c r="G840" i="7"/>
  <c r="G851" i="7"/>
  <c r="F847" i="7"/>
  <c r="F1063" i="7"/>
  <c r="F684" i="7"/>
  <c r="G683" i="7"/>
  <c r="F1101" i="7"/>
  <c r="F1104" i="7"/>
  <c r="F1016" i="7"/>
  <c r="G1015" i="7"/>
  <c r="F1166" i="7"/>
  <c r="G1165" i="7"/>
  <c r="G1161" i="7"/>
  <c r="G1167" i="7"/>
  <c r="F1162" i="7"/>
  <c r="G1084" i="7"/>
  <c r="G787" i="7"/>
  <c r="F343" i="7"/>
  <c r="G732" i="7"/>
  <c r="G728" i="7"/>
  <c r="G734" i="7"/>
  <c r="G144" i="7"/>
  <c r="F150" i="7"/>
  <c r="F630" i="7"/>
  <c r="G632" i="7"/>
  <c r="F633" i="7"/>
  <c r="G597" i="7"/>
  <c r="F957" i="7"/>
  <c r="F964" i="7"/>
  <c r="G832" i="7"/>
  <c r="G432" i="7"/>
  <c r="F663" i="7"/>
  <c r="G666" i="7"/>
  <c r="G670" i="7"/>
  <c r="G672" i="7"/>
  <c r="G663" i="7"/>
  <c r="G664" i="7"/>
  <c r="F669" i="7"/>
  <c r="F667" i="7"/>
  <c r="F666" i="7"/>
  <c r="G1116" i="7"/>
  <c r="G205" i="7"/>
  <c r="F205" i="7"/>
  <c r="F204" i="7"/>
  <c r="G281" i="7"/>
  <c r="G771" i="7"/>
  <c r="F764" i="7"/>
  <c r="G928" i="7"/>
  <c r="F169" i="7"/>
  <c r="G948" i="7"/>
  <c r="F715" i="7"/>
  <c r="F708" i="7"/>
  <c r="F1214" i="7"/>
  <c r="G1213" i="7"/>
  <c r="G1043" i="7"/>
  <c r="F1045" i="7"/>
  <c r="G813" i="7"/>
  <c r="F809" i="7"/>
  <c r="G810" i="7"/>
  <c r="F810" i="7"/>
  <c r="F243" i="7"/>
  <c r="G34" i="7"/>
  <c r="G396" i="7" s="1"/>
  <c r="G75" i="7"/>
  <c r="F69" i="7"/>
  <c r="G458" i="7"/>
  <c r="G454" i="7"/>
  <c r="F454" i="7"/>
  <c r="F453" i="7"/>
  <c r="F277" i="7"/>
  <c r="G937" i="7"/>
  <c r="F705" i="7"/>
  <c r="F710" i="7"/>
  <c r="F359" i="7"/>
  <c r="F1222" i="7"/>
  <c r="G803" i="7"/>
  <c r="F812" i="7"/>
  <c r="F66" i="7"/>
  <c r="F72" i="7"/>
  <c r="G449" i="7"/>
  <c r="F450" i="7"/>
  <c r="F216" i="7"/>
  <c r="G746" i="7"/>
  <c r="G274" i="7"/>
  <c r="G548" i="7"/>
  <c r="G770" i="7"/>
  <c r="F923" i="7"/>
  <c r="F918" i="7"/>
  <c r="G712" i="7"/>
  <c r="F707" i="7"/>
  <c r="G613" i="7"/>
  <c r="G606" i="7"/>
  <c r="G604" i="7"/>
  <c r="F1221" i="7"/>
  <c r="G1220" i="7"/>
  <c r="F1047" i="7"/>
  <c r="F806" i="7"/>
  <c r="G369" i="7"/>
  <c r="F38" i="7"/>
  <c r="G37" i="7"/>
  <c r="G399" i="7" s="1"/>
  <c r="F34" i="7"/>
  <c r="F396" i="7" s="1"/>
  <c r="F1139" i="7"/>
  <c r="G1134" i="7"/>
  <c r="F76" i="7"/>
  <c r="G74" i="7"/>
  <c r="F458" i="7"/>
  <c r="F448" i="7"/>
  <c r="G453" i="7"/>
  <c r="G445" i="7"/>
  <c r="G1202" i="7"/>
  <c r="F1200" i="7"/>
  <c r="F1201" i="7"/>
  <c r="G293" i="7"/>
  <c r="F178" i="7"/>
  <c r="F188" i="7"/>
  <c r="F179" i="7"/>
  <c r="G185" i="7"/>
  <c r="G189" i="7"/>
  <c r="F183" i="7"/>
  <c r="G472" i="7"/>
  <c r="F45" i="7"/>
  <c r="G55" i="7"/>
  <c r="G57" i="7"/>
  <c r="G51" i="7"/>
  <c r="G47" i="7"/>
  <c r="G58" i="7"/>
  <c r="F52" i="7"/>
  <c r="G54" i="7"/>
  <c r="F50" i="7"/>
  <c r="G46" i="7"/>
  <c r="G52" i="7"/>
  <c r="F51" i="7"/>
  <c r="G485" i="7"/>
  <c r="F488" i="7"/>
  <c r="G493" i="7"/>
  <c r="F494" i="7"/>
  <c r="F490" i="7"/>
  <c r="F486" i="7"/>
  <c r="F493" i="7"/>
  <c r="G491" i="7"/>
  <c r="G497" i="7"/>
  <c r="G492" i="7"/>
  <c r="F498" i="7"/>
  <c r="F489" i="7"/>
  <c r="G486" i="7"/>
  <c r="G489" i="7"/>
  <c r="G488" i="7"/>
  <c r="G498" i="7"/>
  <c r="G496" i="7"/>
  <c r="F491" i="7"/>
  <c r="G494" i="7"/>
  <c r="G490" i="7"/>
  <c r="G495" i="7"/>
  <c r="F485" i="7"/>
  <c r="F495" i="7"/>
  <c r="F497" i="7"/>
  <c r="F492" i="7"/>
  <c r="G487" i="7"/>
  <c r="F487" i="7"/>
  <c r="G1238" i="7"/>
  <c r="G1242" i="7"/>
  <c r="G1237" i="7"/>
  <c r="G1236" i="7"/>
  <c r="F1234" i="7"/>
  <c r="F1238" i="7"/>
  <c r="F1236" i="7"/>
  <c r="G1255" i="7"/>
  <c r="G1260" i="7"/>
  <c r="G1256" i="7"/>
  <c r="G1262" i="7"/>
  <c r="F1254" i="7"/>
  <c r="F1256" i="7"/>
  <c r="G1251" i="7"/>
  <c r="G1206" i="7"/>
  <c r="G1199" i="7"/>
  <c r="F1196" i="7"/>
  <c r="F1202" i="7"/>
  <c r="G1198" i="7"/>
  <c r="G1196" i="7"/>
  <c r="F1203" i="7"/>
  <c r="F1001" i="7"/>
  <c r="F1009" i="7"/>
  <c r="G1006" i="7"/>
  <c r="G1008" i="7"/>
  <c r="F998" i="7"/>
  <c r="G999" i="7"/>
  <c r="F997" i="7"/>
  <c r="G997" i="7"/>
  <c r="G996" i="7"/>
  <c r="F305" i="7"/>
  <c r="G297" i="7"/>
  <c r="G304" i="7"/>
  <c r="F295" i="7"/>
  <c r="G295" i="7"/>
  <c r="F298" i="7"/>
  <c r="F300" i="7"/>
  <c r="G129" i="7"/>
  <c r="G124" i="7"/>
  <c r="G122" i="7"/>
  <c r="F126" i="7"/>
  <c r="F127" i="7"/>
  <c r="G134" i="7"/>
  <c r="F124" i="7"/>
  <c r="G126" i="7"/>
  <c r="F125" i="7"/>
  <c r="G121" i="7"/>
  <c r="G188" i="7"/>
  <c r="G182" i="7"/>
  <c r="G183" i="7"/>
  <c r="F180" i="7"/>
  <c r="G186" i="7"/>
  <c r="G191" i="7"/>
  <c r="F846" i="7"/>
  <c r="G845" i="7"/>
  <c r="F840" i="7"/>
  <c r="F311" i="7"/>
  <c r="F319" i="7"/>
  <c r="G314" i="7"/>
  <c r="G319" i="7"/>
  <c r="G316" i="7"/>
  <c r="F318" i="7"/>
  <c r="G324" i="7"/>
  <c r="G323" i="7"/>
  <c r="G322" i="7"/>
  <c r="F314" i="7"/>
  <c r="G315" i="7"/>
  <c r="F315" i="7"/>
  <c r="G311" i="7"/>
  <c r="G1063" i="7"/>
  <c r="G1058" i="7"/>
  <c r="F687" i="7"/>
  <c r="G688" i="7"/>
  <c r="G694" i="7"/>
  <c r="F689" i="7"/>
  <c r="G685" i="7"/>
  <c r="F683" i="7"/>
  <c r="G478" i="7"/>
  <c r="F471" i="7"/>
  <c r="F477" i="7"/>
  <c r="F1096" i="7"/>
  <c r="F1095" i="7"/>
  <c r="G1102" i="7"/>
  <c r="F1098" i="7"/>
  <c r="G49" i="7"/>
  <c r="F46" i="7"/>
  <c r="F48" i="7"/>
  <c r="G45" i="7"/>
  <c r="G1080" i="7"/>
  <c r="G1078" i="7"/>
  <c r="F1079" i="7"/>
  <c r="F749" i="7"/>
  <c r="G1243" i="7"/>
  <c r="F1233" i="7"/>
  <c r="F299" i="7"/>
  <c r="G300" i="7"/>
  <c r="F190" i="7"/>
  <c r="G181" i="7"/>
  <c r="F465" i="7"/>
  <c r="G465" i="7"/>
  <c r="F473" i="7"/>
  <c r="G466" i="7"/>
  <c r="F466" i="7"/>
  <c r="G468" i="7"/>
  <c r="F467" i="7"/>
  <c r="G477" i="7"/>
  <c r="G475" i="7"/>
  <c r="F478" i="7"/>
  <c r="F470" i="7"/>
  <c r="G470" i="7"/>
  <c r="F468" i="7"/>
  <c r="F475" i="7"/>
  <c r="G48" i="7"/>
  <c r="G50" i="7"/>
  <c r="F53" i="7"/>
  <c r="G1235" i="7"/>
  <c r="G1244" i="7"/>
  <c r="F1241" i="7"/>
  <c r="G1234" i="7"/>
  <c r="F1245" i="7"/>
  <c r="F1235" i="7"/>
  <c r="G1257" i="7"/>
  <c r="F1252" i="7"/>
  <c r="G1203" i="7"/>
  <c r="G1204" i="7"/>
  <c r="G1197" i="7"/>
  <c r="G1200" i="7"/>
  <c r="G1195" i="7"/>
  <c r="G1194" i="7"/>
  <c r="F1197" i="7"/>
  <c r="G1002" i="7"/>
  <c r="F1003" i="7"/>
  <c r="F1005" i="7"/>
  <c r="F1000" i="7"/>
  <c r="G298" i="7"/>
  <c r="F301" i="7"/>
  <c r="G303" i="7"/>
  <c r="G294" i="7"/>
  <c r="F293" i="7"/>
  <c r="F302" i="7"/>
  <c r="F134" i="7"/>
  <c r="G131" i="7"/>
  <c r="F130" i="7"/>
  <c r="F133" i="7"/>
  <c r="G190" i="7"/>
  <c r="F185" i="7"/>
  <c r="G180" i="7"/>
  <c r="F186" i="7"/>
  <c r="F839" i="7"/>
  <c r="G839" i="7"/>
  <c r="F849" i="7"/>
  <c r="F842" i="7"/>
  <c r="F841" i="7"/>
  <c r="G847" i="7"/>
  <c r="G850" i="7"/>
  <c r="F848" i="7"/>
  <c r="F851" i="7"/>
  <c r="G843" i="7"/>
  <c r="F852" i="7"/>
  <c r="G844" i="7"/>
  <c r="G848" i="7"/>
  <c r="F844" i="7"/>
  <c r="G1061" i="7"/>
  <c r="G1065" i="7"/>
  <c r="F1061" i="7"/>
  <c r="F1057" i="7"/>
  <c r="G1067" i="7"/>
  <c r="F682" i="7"/>
  <c r="F686" i="7"/>
  <c r="G693" i="7"/>
  <c r="G690" i="7"/>
  <c r="G686" i="7"/>
  <c r="F685" i="7"/>
  <c r="F688" i="7"/>
  <c r="G695" i="7"/>
  <c r="G692" i="7"/>
  <c r="F694" i="7"/>
  <c r="G682" i="7"/>
  <c r="F474" i="7"/>
  <c r="G473" i="7"/>
  <c r="G476" i="7"/>
  <c r="F469" i="7"/>
  <c r="G1107" i="7"/>
  <c r="G1101" i="7"/>
  <c r="F1100" i="7"/>
  <c r="G1106" i="7"/>
  <c r="G1105" i="7"/>
  <c r="G56" i="7"/>
  <c r="F47" i="7"/>
  <c r="F49" i="7"/>
  <c r="G1083" i="7"/>
  <c r="G1085" i="7"/>
  <c r="F1082" i="7"/>
  <c r="G1239" i="7"/>
  <c r="G1233" i="7"/>
  <c r="G1240" i="7"/>
  <c r="F1237" i="7"/>
  <c r="F1240" i="7"/>
  <c r="F1242" i="7"/>
  <c r="F1199" i="7"/>
  <c r="G299" i="7"/>
  <c r="G184" i="7"/>
  <c r="G178" i="7"/>
  <c r="G1253" i="7"/>
  <c r="F1253" i="7"/>
  <c r="F1261" i="7"/>
  <c r="G1241" i="7"/>
  <c r="F1244" i="7"/>
  <c r="F1239" i="7"/>
  <c r="G1245" i="7"/>
  <c r="G1232" i="7"/>
  <c r="G1258" i="7"/>
  <c r="F1263" i="7"/>
  <c r="G1263" i="7"/>
  <c r="G1252" i="7"/>
  <c r="G1264" i="7"/>
  <c r="F1259" i="7"/>
  <c r="F1198" i="7"/>
  <c r="F1205" i="7"/>
  <c r="F1206" i="7"/>
  <c r="F1195" i="7"/>
  <c r="G1205" i="7"/>
  <c r="G1201" i="7"/>
  <c r="F1194" i="7"/>
  <c r="G1193" i="7"/>
  <c r="G1009" i="7"/>
  <c r="G1001" i="7"/>
  <c r="G1005" i="7"/>
  <c r="F999" i="7"/>
  <c r="G1000" i="7"/>
  <c r="G1004" i="7"/>
  <c r="F1008" i="7"/>
  <c r="F1006" i="7"/>
  <c r="F297" i="7"/>
  <c r="G305" i="7"/>
  <c r="G302" i="7"/>
  <c r="F304" i="7"/>
  <c r="G296" i="7"/>
  <c r="G301" i="7"/>
  <c r="F294" i="7"/>
  <c r="F296" i="7"/>
  <c r="G292" i="7"/>
  <c r="F122" i="7"/>
  <c r="G123" i="7"/>
  <c r="G127" i="7"/>
  <c r="F128" i="7"/>
  <c r="G130" i="7"/>
  <c r="F129" i="7"/>
  <c r="F184" i="7"/>
  <c r="G187" i="7"/>
  <c r="F191" i="7"/>
  <c r="F181" i="7"/>
  <c r="G179" i="7"/>
  <c r="F187" i="7"/>
  <c r="F182" i="7"/>
  <c r="F1055" i="7"/>
  <c r="G1055" i="7"/>
  <c r="F1059" i="7"/>
  <c r="G1056" i="7"/>
  <c r="G1057" i="7"/>
  <c r="G1060" i="7"/>
  <c r="F1058" i="7"/>
  <c r="F1056" i="7"/>
  <c r="G1062" i="7"/>
  <c r="F1060" i="7"/>
  <c r="G1066" i="7"/>
  <c r="G1064" i="7"/>
  <c r="G1059" i="7"/>
  <c r="F1068" i="7"/>
  <c r="F1067" i="7"/>
  <c r="G471" i="7"/>
  <c r="G474" i="7"/>
  <c r="F472" i="7"/>
  <c r="G469" i="7"/>
  <c r="G467" i="7"/>
  <c r="F1094" i="7"/>
  <c r="F1102" i="7"/>
  <c r="F1097" i="7"/>
  <c r="F1099" i="7"/>
  <c r="F1106" i="7"/>
  <c r="G1104" i="7"/>
  <c r="G1095" i="7"/>
  <c r="G1098" i="7"/>
  <c r="G1103" i="7"/>
  <c r="G1096" i="7"/>
  <c r="F1103" i="7"/>
  <c r="F1107" i="7"/>
  <c r="F54" i="7"/>
  <c r="G53" i="7"/>
  <c r="F58" i="7"/>
  <c r="F57" i="7"/>
  <c r="F55" i="7"/>
  <c r="F1075" i="7"/>
  <c r="F1083" i="7"/>
  <c r="F1081" i="7"/>
  <c r="G1086" i="7"/>
  <c r="F1087" i="7"/>
  <c r="G1081" i="7"/>
  <c r="F1080" i="7"/>
  <c r="G1075" i="7"/>
  <c r="G1077" i="7"/>
  <c r="G1079" i="7"/>
  <c r="F1077" i="7"/>
  <c r="G1087" i="7"/>
  <c r="F1076" i="7"/>
  <c r="G1082" i="7"/>
  <c r="G1076" i="7"/>
  <c r="F1078" i="7"/>
  <c r="F1084" i="7"/>
  <c r="F741" i="7"/>
  <c r="G752" i="7"/>
  <c r="F743" i="7"/>
  <c r="G744" i="7"/>
  <c r="F744" i="7"/>
  <c r="G747" i="7"/>
  <c r="F742" i="7"/>
  <c r="G745" i="7"/>
  <c r="G753" i="7"/>
  <c r="F747" i="7"/>
  <c r="F753" i="7"/>
  <c r="G749" i="7"/>
  <c r="F745" i="7"/>
  <c r="F746" i="7"/>
  <c r="G743" i="7"/>
  <c r="G754" i="7"/>
  <c r="F754" i="7"/>
  <c r="F751" i="7"/>
  <c r="G748" i="7"/>
  <c r="F750" i="7"/>
  <c r="G750" i="7"/>
  <c r="G751" i="7"/>
  <c r="F748" i="7"/>
  <c r="G791" i="7"/>
  <c r="F787" i="7"/>
  <c r="F793" i="7"/>
  <c r="G792" i="7"/>
  <c r="F790" i="7"/>
  <c r="F784" i="7"/>
  <c r="G335" i="7"/>
  <c r="F335" i="7"/>
  <c r="F339" i="7"/>
  <c r="G341" i="7"/>
  <c r="G338" i="7"/>
  <c r="F337" i="7"/>
  <c r="F338" i="7"/>
  <c r="G147" i="7"/>
  <c r="G152" i="7"/>
  <c r="F152" i="7"/>
  <c r="G143" i="7"/>
  <c r="F144" i="7"/>
  <c r="F148" i="7"/>
  <c r="G591" i="7"/>
  <c r="G596" i="7"/>
  <c r="F596" i="7"/>
  <c r="G587" i="7"/>
  <c r="F588" i="7"/>
  <c r="F820" i="7"/>
  <c r="G820" i="7"/>
  <c r="G833" i="7"/>
  <c r="F832" i="7"/>
  <c r="F825" i="7"/>
  <c r="G822" i="7"/>
  <c r="F826" i="7"/>
  <c r="F823" i="7"/>
  <c r="G828" i="7"/>
  <c r="F822" i="7"/>
  <c r="G831" i="7"/>
  <c r="F564" i="7"/>
  <c r="F576" i="7"/>
  <c r="F571" i="7"/>
  <c r="G570" i="7"/>
  <c r="G566" i="7"/>
  <c r="F565" i="7"/>
  <c r="G564" i="7"/>
  <c r="F572" i="7"/>
  <c r="G569" i="7"/>
  <c r="F567" i="7"/>
  <c r="G577" i="7"/>
  <c r="F570" i="7"/>
  <c r="F569" i="7"/>
  <c r="F566" i="7"/>
  <c r="G573" i="7"/>
  <c r="F573" i="7"/>
  <c r="F568" i="7"/>
  <c r="F976" i="7"/>
  <c r="G976" i="7"/>
  <c r="F979" i="7"/>
  <c r="G978" i="7"/>
  <c r="G980" i="7"/>
  <c r="G987" i="7"/>
  <c r="G985" i="7"/>
  <c r="F989" i="7"/>
  <c r="F977" i="7"/>
  <c r="F983" i="7"/>
  <c r="F981" i="7"/>
  <c r="G986" i="7"/>
  <c r="G983" i="7"/>
  <c r="G981" i="7"/>
  <c r="G984" i="7"/>
  <c r="F986" i="7"/>
  <c r="G988" i="7"/>
  <c r="F988" i="7"/>
  <c r="G989" i="7"/>
  <c r="G977" i="7"/>
  <c r="G979" i="7"/>
  <c r="F985" i="7"/>
  <c r="F102" i="7"/>
  <c r="F112" i="7"/>
  <c r="F110" i="7"/>
  <c r="F103" i="7"/>
  <c r="G114" i="7"/>
  <c r="F107" i="7"/>
  <c r="F106" i="7"/>
  <c r="G107" i="7"/>
  <c r="G112" i="7"/>
  <c r="F114" i="7"/>
  <c r="G115" i="7"/>
  <c r="G104" i="7"/>
  <c r="G113" i="7"/>
  <c r="G102" i="7"/>
  <c r="G106" i="7"/>
  <c r="F108" i="7"/>
  <c r="G108" i="7"/>
  <c r="G109" i="7"/>
  <c r="F115" i="7"/>
  <c r="G110" i="7"/>
  <c r="F111" i="7"/>
  <c r="G103" i="7"/>
  <c r="G105" i="7"/>
  <c r="F105" i="7"/>
  <c r="G1028" i="7"/>
  <c r="G1025" i="7"/>
  <c r="G1023" i="7"/>
  <c r="F1022" i="7"/>
  <c r="G1021" i="7"/>
  <c r="G1022" i="7"/>
  <c r="G1024" i="7"/>
  <c r="F1163" i="7"/>
  <c r="G1159" i="7"/>
  <c r="G1157" i="7"/>
  <c r="F1156" i="7"/>
  <c r="F1159" i="7"/>
  <c r="G1164" i="7"/>
  <c r="F1164" i="7"/>
  <c r="G1154" i="7"/>
  <c r="G785" i="7"/>
  <c r="F789" i="7"/>
  <c r="G790" i="7"/>
  <c r="G788" i="7"/>
  <c r="F783" i="7"/>
  <c r="F786" i="7"/>
  <c r="G782" i="7"/>
  <c r="F656" i="7"/>
  <c r="F648" i="7"/>
  <c r="F649" i="7"/>
  <c r="G656" i="7"/>
  <c r="G648" i="7"/>
  <c r="G645" i="7"/>
  <c r="G644" i="7"/>
  <c r="F651" i="7"/>
  <c r="G643" i="7"/>
  <c r="G336" i="7"/>
  <c r="F342" i="7"/>
  <c r="G334" i="7"/>
  <c r="G339" i="7"/>
  <c r="F336" i="7"/>
  <c r="G343" i="7"/>
  <c r="F340" i="7"/>
  <c r="F733" i="7"/>
  <c r="G725" i="7"/>
  <c r="G724" i="7"/>
  <c r="G729" i="7"/>
  <c r="F728" i="7"/>
  <c r="G721" i="7"/>
  <c r="F143" i="7"/>
  <c r="F146" i="7"/>
  <c r="F142" i="7"/>
  <c r="G145" i="7"/>
  <c r="G151" i="7"/>
  <c r="G148" i="7"/>
  <c r="F635" i="7"/>
  <c r="F626" i="7"/>
  <c r="G635" i="7"/>
  <c r="G625" i="7"/>
  <c r="G630" i="7"/>
  <c r="F636" i="7"/>
  <c r="G623" i="7"/>
  <c r="F589" i="7"/>
  <c r="F590" i="7"/>
  <c r="F586" i="7"/>
  <c r="G589" i="7"/>
  <c r="G595" i="7"/>
  <c r="G592" i="7"/>
  <c r="F592" i="7"/>
  <c r="F821" i="7"/>
  <c r="G825" i="7"/>
  <c r="G827" i="7"/>
  <c r="F829" i="7"/>
  <c r="G830" i="7"/>
  <c r="F830" i="7"/>
  <c r="F426" i="7"/>
  <c r="G426" i="7"/>
  <c r="F434" i="7"/>
  <c r="G430" i="7"/>
  <c r="F432" i="7"/>
  <c r="F431" i="7"/>
  <c r="F428" i="7"/>
  <c r="G429" i="7"/>
  <c r="G434" i="7"/>
  <c r="G428" i="7"/>
  <c r="G433" i="7"/>
  <c r="G439" i="7"/>
  <c r="F429" i="7"/>
  <c r="G575" i="7"/>
  <c r="G565" i="7"/>
  <c r="G576" i="7"/>
  <c r="G568" i="7"/>
  <c r="F273" i="7"/>
  <c r="G273" i="7"/>
  <c r="F275" i="7"/>
  <c r="F278" i="7"/>
  <c r="G280" i="7"/>
  <c r="G283" i="7"/>
  <c r="G284" i="7"/>
  <c r="F282" i="7"/>
  <c r="F276" i="7"/>
  <c r="F283" i="7"/>
  <c r="G277" i="7"/>
  <c r="F274" i="7"/>
  <c r="G282" i="7"/>
  <c r="G275" i="7"/>
  <c r="G286" i="7"/>
  <c r="F285" i="7"/>
  <c r="G276" i="7"/>
  <c r="F280" i="7"/>
  <c r="G279" i="7"/>
  <c r="F281" i="7"/>
  <c r="F982" i="7"/>
  <c r="F980" i="7"/>
  <c r="G111" i="7"/>
  <c r="F1024" i="7"/>
  <c r="F1018" i="7"/>
  <c r="G1019" i="7"/>
  <c r="G1017" i="7"/>
  <c r="F1023" i="7"/>
  <c r="F1025" i="7"/>
  <c r="F1161" i="7"/>
  <c r="G1162" i="7"/>
  <c r="F1167" i="7"/>
  <c r="F785" i="7"/>
  <c r="G784" i="7"/>
  <c r="F781" i="7"/>
  <c r="G781" i="7"/>
  <c r="G783" i="7"/>
  <c r="G652" i="7"/>
  <c r="G653" i="7"/>
  <c r="F652" i="7"/>
  <c r="F650" i="7"/>
  <c r="G651" i="7"/>
  <c r="G646" i="7"/>
  <c r="F647" i="7"/>
  <c r="G337" i="7"/>
  <c r="G340" i="7"/>
  <c r="G333" i="7"/>
  <c r="F331" i="7"/>
  <c r="F333" i="7"/>
  <c r="G727" i="7"/>
  <c r="F730" i="7"/>
  <c r="F723" i="7"/>
  <c r="F734" i="7"/>
  <c r="F727" i="7"/>
  <c r="F724" i="7"/>
  <c r="F729" i="7"/>
  <c r="F153" i="7"/>
  <c r="G149" i="7"/>
  <c r="G150" i="7"/>
  <c r="F149" i="7"/>
  <c r="F145" i="7"/>
  <c r="F141" i="7"/>
  <c r="G634" i="7"/>
  <c r="F628" i="7"/>
  <c r="G627" i="7"/>
  <c r="G633" i="7"/>
  <c r="F597" i="7"/>
  <c r="G593" i="7"/>
  <c r="F591" i="7"/>
  <c r="F593" i="7"/>
  <c r="G586" i="7"/>
  <c r="F585" i="7"/>
  <c r="G594" i="7"/>
  <c r="F594" i="7"/>
  <c r="F956" i="7"/>
  <c r="G959" i="7"/>
  <c r="G969" i="7"/>
  <c r="F969" i="7"/>
  <c r="G965" i="7"/>
  <c r="F958" i="7"/>
  <c r="G956" i="7"/>
  <c r="F827" i="7"/>
  <c r="F833" i="7"/>
  <c r="G829" i="7"/>
  <c r="G821" i="7"/>
  <c r="F427" i="7"/>
  <c r="G427" i="7"/>
  <c r="F435" i="7"/>
  <c r="G431" i="7"/>
  <c r="G567" i="7"/>
  <c r="F577" i="7"/>
  <c r="G574" i="7"/>
  <c r="F574" i="7"/>
  <c r="G278" i="7"/>
  <c r="F286" i="7"/>
  <c r="G285" i="7"/>
  <c r="F279" i="7"/>
  <c r="G982" i="7"/>
  <c r="F984" i="7"/>
  <c r="F109" i="7"/>
  <c r="F104" i="7"/>
  <c r="G1181" i="7"/>
  <c r="F1176" i="7"/>
  <c r="F1178" i="7"/>
  <c r="G1183" i="7"/>
  <c r="G1178" i="7"/>
  <c r="F1175" i="7"/>
  <c r="G1184" i="7"/>
  <c r="F1177" i="7"/>
  <c r="G1173" i="7"/>
  <c r="G265" i="7"/>
  <c r="G256" i="7"/>
  <c r="G267" i="7"/>
  <c r="F267" i="7"/>
  <c r="F260" i="7"/>
  <c r="F256" i="7"/>
  <c r="G254" i="7"/>
  <c r="F159" i="7"/>
  <c r="F163" i="7"/>
  <c r="G169" i="7"/>
  <c r="F160" i="7"/>
  <c r="G161" i="7"/>
  <c r="F171" i="7"/>
  <c r="F161" i="7"/>
  <c r="F166" i="7"/>
  <c r="G159" i="7"/>
  <c r="F167" i="7"/>
  <c r="G166" i="7"/>
  <c r="G172" i="7"/>
  <c r="G168" i="7"/>
  <c r="G167" i="7"/>
  <c r="G170" i="7"/>
  <c r="G165" i="7"/>
  <c r="F164" i="7"/>
  <c r="G164" i="7"/>
  <c r="G160" i="7"/>
  <c r="G171" i="7"/>
  <c r="G163" i="7"/>
  <c r="F162" i="7"/>
  <c r="F165" i="7"/>
  <c r="G1175" i="7"/>
  <c r="G1186" i="7"/>
  <c r="F1180" i="7"/>
  <c r="G1177" i="7"/>
  <c r="F1174" i="7"/>
  <c r="F1182" i="7"/>
  <c r="F1183" i="7"/>
  <c r="F266" i="7"/>
  <c r="F261" i="7"/>
  <c r="G264" i="7"/>
  <c r="G258" i="7"/>
  <c r="F258" i="7"/>
  <c r="F262" i="7"/>
  <c r="F168" i="7"/>
  <c r="G162" i="7"/>
  <c r="F524" i="7"/>
  <c r="F528" i="7"/>
  <c r="G534" i="7"/>
  <c r="F526" i="7"/>
  <c r="G535" i="7"/>
  <c r="F529" i="7"/>
  <c r="F525" i="7"/>
  <c r="G528" i="7"/>
  <c r="F531" i="7"/>
  <c r="F530" i="7"/>
  <c r="G533" i="7"/>
  <c r="G531" i="7"/>
  <c r="G526" i="7"/>
  <c r="G537" i="7"/>
  <c r="F532" i="7"/>
  <c r="G536" i="7"/>
  <c r="F536" i="7"/>
  <c r="F533" i="7"/>
  <c r="F534" i="7"/>
  <c r="G530" i="7"/>
  <c r="G529" i="7"/>
  <c r="F527" i="7"/>
  <c r="G524" i="7"/>
  <c r="F537" i="7"/>
  <c r="G532" i="7"/>
  <c r="G525" i="7"/>
  <c r="G1174" i="7"/>
  <c r="G1176" i="7"/>
  <c r="G1182" i="7"/>
  <c r="F1179" i="7"/>
  <c r="F1181" i="7"/>
  <c r="G257" i="7"/>
  <c r="G255" i="7"/>
  <c r="F257" i="7"/>
  <c r="G261" i="7"/>
  <c r="F263" i="7"/>
  <c r="G260" i="7"/>
  <c r="F264" i="7"/>
  <c r="F172" i="7"/>
  <c r="G527" i="7"/>
  <c r="G556" i="7"/>
  <c r="F557" i="7"/>
  <c r="F550" i="7"/>
  <c r="G550" i="7"/>
  <c r="F546" i="7"/>
  <c r="F548" i="7"/>
  <c r="G544" i="7"/>
  <c r="F900" i="7"/>
  <c r="G910" i="7"/>
  <c r="G905" i="7"/>
  <c r="G909" i="7"/>
  <c r="G906" i="7"/>
  <c r="F901" i="7"/>
  <c r="G772" i="7"/>
  <c r="F766" i="7"/>
  <c r="F765" i="7"/>
  <c r="F767" i="7"/>
  <c r="G761" i="7"/>
  <c r="F761" i="7"/>
  <c r="G764" i="7"/>
  <c r="G760" i="7"/>
  <c r="F670" i="7"/>
  <c r="F675" i="7"/>
  <c r="G676" i="7"/>
  <c r="G671" i="7"/>
  <c r="G673" i="7"/>
  <c r="G924" i="7"/>
  <c r="G926" i="7"/>
  <c r="F924" i="7"/>
  <c r="G927" i="7"/>
  <c r="G921" i="7"/>
  <c r="G919" i="7"/>
  <c r="F922" i="7"/>
  <c r="G917" i="7"/>
  <c r="G947" i="7"/>
  <c r="F938" i="7"/>
  <c r="G944" i="7"/>
  <c r="F945" i="7"/>
  <c r="G938" i="7"/>
  <c r="G945" i="7"/>
  <c r="G940" i="7"/>
  <c r="F703" i="7"/>
  <c r="G703" i="7"/>
  <c r="G711" i="7"/>
  <c r="F349" i="7"/>
  <c r="G349" i="7"/>
  <c r="F353" i="7"/>
  <c r="F358" i="7"/>
  <c r="F356" i="7"/>
  <c r="G356" i="7"/>
  <c r="G357" i="7"/>
  <c r="G352" i="7"/>
  <c r="G358" i="7"/>
  <c r="G355" i="7"/>
  <c r="F351" i="7"/>
  <c r="F361" i="7"/>
  <c r="G865" i="7"/>
  <c r="F864" i="7"/>
  <c r="G863" i="7"/>
  <c r="F88" i="7"/>
  <c r="F90" i="7"/>
  <c r="G85" i="7"/>
  <c r="G555" i="7"/>
  <c r="G551" i="7"/>
  <c r="F553" i="7"/>
  <c r="G554" i="7"/>
  <c r="F547" i="7"/>
  <c r="G552" i="7"/>
  <c r="G900" i="7"/>
  <c r="G898" i="7"/>
  <c r="F898" i="7"/>
  <c r="G902" i="7"/>
  <c r="F903" i="7"/>
  <c r="F907" i="7"/>
  <c r="G769" i="7"/>
  <c r="F769" i="7"/>
  <c r="G762" i="7"/>
  <c r="F762" i="7"/>
  <c r="F773" i="7"/>
  <c r="G763" i="7"/>
  <c r="G768" i="7"/>
  <c r="F665" i="7"/>
  <c r="G668" i="7"/>
  <c r="G669" i="7"/>
  <c r="F664" i="7"/>
  <c r="F671" i="7"/>
  <c r="F673" i="7"/>
  <c r="F930" i="7"/>
  <c r="G925" i="7"/>
  <c r="F920" i="7"/>
  <c r="G920" i="7"/>
  <c r="F926" i="7"/>
  <c r="F919" i="7"/>
  <c r="F921" i="7"/>
  <c r="F936" i="7"/>
  <c r="G936" i="7"/>
  <c r="F939" i="7"/>
  <c r="F948" i="7"/>
  <c r="G943" i="7"/>
  <c r="F937" i="7"/>
  <c r="G946" i="7"/>
  <c r="F943" i="7"/>
  <c r="G941" i="7"/>
  <c r="F714" i="7"/>
  <c r="G705" i="7"/>
  <c r="G706" i="7"/>
  <c r="G714" i="7"/>
  <c r="F354" i="7"/>
  <c r="G351" i="7"/>
  <c r="G350" i="7"/>
  <c r="G353" i="7"/>
  <c r="G359" i="7"/>
  <c r="F83" i="7"/>
  <c r="G84" i="7"/>
  <c r="G87" i="7"/>
  <c r="G95" i="7"/>
  <c r="F95" i="7"/>
  <c r="G92" i="7"/>
  <c r="F85" i="7"/>
  <c r="F93" i="7"/>
  <c r="F87" i="7"/>
  <c r="G86" i="7"/>
  <c r="F89" i="7"/>
  <c r="G96" i="7"/>
  <c r="G93" i="7"/>
  <c r="F86" i="7"/>
  <c r="G94" i="7"/>
  <c r="G545" i="7"/>
  <c r="F556" i="7"/>
  <c r="G557" i="7"/>
  <c r="F545" i="7"/>
  <c r="G553" i="7"/>
  <c r="F549" i="7"/>
  <c r="F552" i="7"/>
  <c r="F554" i="7"/>
  <c r="F906" i="7"/>
  <c r="G904" i="7"/>
  <c r="F910" i="7"/>
  <c r="F904" i="7"/>
  <c r="G907" i="7"/>
  <c r="G903" i="7"/>
  <c r="F763" i="7"/>
  <c r="G767" i="7"/>
  <c r="G765" i="7"/>
  <c r="F772" i="7"/>
  <c r="F768" i="7"/>
  <c r="F770" i="7"/>
  <c r="G675" i="7"/>
  <c r="F672" i="7"/>
  <c r="G665" i="7"/>
  <c r="G674" i="7"/>
  <c r="F676" i="7"/>
  <c r="G930" i="7"/>
  <c r="G929" i="7"/>
  <c r="G922" i="7"/>
  <c r="G918" i="7"/>
  <c r="F927" i="7"/>
  <c r="F925" i="7"/>
  <c r="G939" i="7"/>
  <c r="G942" i="7"/>
  <c r="F942" i="7"/>
  <c r="F949" i="7"/>
  <c r="F946" i="7"/>
  <c r="F702" i="7"/>
  <c r="F712" i="7"/>
  <c r="G708" i="7"/>
  <c r="G709" i="7"/>
  <c r="G715" i="7"/>
  <c r="G713" i="7"/>
  <c r="F704" i="7"/>
  <c r="G707" i="7"/>
  <c r="F711" i="7"/>
  <c r="F709" i="7"/>
  <c r="G710" i="7"/>
  <c r="F706" i="7"/>
  <c r="G702" i="7"/>
  <c r="G360" i="7"/>
  <c r="F350" i="7"/>
  <c r="F355" i="7"/>
  <c r="G362" i="7"/>
  <c r="G354" i="7"/>
  <c r="F357" i="7"/>
  <c r="F858" i="7"/>
  <c r="G864" i="7"/>
  <c r="F859" i="7"/>
  <c r="F865" i="7"/>
  <c r="G862" i="7"/>
  <c r="G868" i="7"/>
  <c r="G870" i="7"/>
  <c r="F871" i="7"/>
  <c r="G866" i="7"/>
  <c r="F867" i="7"/>
  <c r="F870" i="7"/>
  <c r="G871" i="7"/>
  <c r="G867" i="7"/>
  <c r="G859" i="7"/>
  <c r="F868" i="7"/>
  <c r="G91" i="7"/>
  <c r="F96" i="7"/>
  <c r="G90" i="7"/>
  <c r="F92" i="7"/>
  <c r="G83" i="7"/>
  <c r="F608" i="7"/>
  <c r="F616" i="7"/>
  <c r="G610" i="7"/>
  <c r="F605" i="7"/>
  <c r="F615" i="7"/>
  <c r="F604" i="7"/>
  <c r="G608" i="7"/>
  <c r="G603" i="7"/>
  <c r="F1219" i="7"/>
  <c r="G1216" i="7"/>
  <c r="G1217" i="7"/>
  <c r="F1213" i="7"/>
  <c r="F1217" i="7"/>
  <c r="G1219" i="7"/>
  <c r="F1218" i="7"/>
  <c r="F1216" i="7"/>
  <c r="F1114" i="7"/>
  <c r="F1124" i="7"/>
  <c r="G1120" i="7"/>
  <c r="F1115" i="7"/>
  <c r="G1119" i="7"/>
  <c r="G1118" i="7"/>
  <c r="G1125" i="7"/>
  <c r="F1119" i="7"/>
  <c r="F1126" i="7"/>
  <c r="F1123" i="7"/>
  <c r="F1121" i="7"/>
  <c r="G1117" i="7"/>
  <c r="G1114" i="7"/>
  <c r="F1042" i="7"/>
  <c r="G1037" i="7"/>
  <c r="F1040" i="7"/>
  <c r="F1043" i="7"/>
  <c r="G811" i="7"/>
  <c r="F805" i="7"/>
  <c r="G801" i="7"/>
  <c r="F803" i="7"/>
  <c r="F801" i="7"/>
  <c r="F804" i="7"/>
  <c r="G380" i="7"/>
  <c r="F373" i="7"/>
  <c r="F376" i="7"/>
  <c r="F235" i="7"/>
  <c r="F239" i="7"/>
  <c r="G242" i="7"/>
  <c r="F248" i="7"/>
  <c r="G240" i="7"/>
  <c r="G236" i="7"/>
  <c r="F247" i="7"/>
  <c r="F237" i="7"/>
  <c r="F242" i="7"/>
  <c r="G247" i="7"/>
  <c r="G244" i="7"/>
  <c r="G238" i="7"/>
  <c r="G248" i="7"/>
  <c r="F236" i="7"/>
  <c r="G237" i="7"/>
  <c r="G239" i="7"/>
  <c r="F238" i="7"/>
  <c r="F240" i="7"/>
  <c r="G245" i="7"/>
  <c r="G609" i="7"/>
  <c r="G612" i="7"/>
  <c r="F610" i="7"/>
  <c r="F612" i="7"/>
  <c r="F607" i="7"/>
  <c r="F1212" i="7"/>
  <c r="F1220" i="7"/>
  <c r="G1221" i="7"/>
  <c r="F1225" i="7"/>
  <c r="G1223" i="7"/>
  <c r="G1224" i="7"/>
  <c r="G1222" i="7"/>
  <c r="G1212" i="7"/>
  <c r="G1127" i="7"/>
  <c r="G1115" i="7"/>
  <c r="G1123" i="7"/>
  <c r="F1117" i="7"/>
  <c r="F1116" i="7"/>
  <c r="F1122" i="7"/>
  <c r="G1048" i="7"/>
  <c r="F1044" i="7"/>
  <c r="F1037" i="7"/>
  <c r="G1041" i="7"/>
  <c r="F800" i="7"/>
  <c r="F808" i="7"/>
  <c r="G807" i="7"/>
  <c r="G808" i="7"/>
  <c r="F807" i="7"/>
  <c r="G809" i="7"/>
  <c r="G812" i="7"/>
  <c r="G806" i="7"/>
  <c r="G805" i="7"/>
  <c r="G804" i="7"/>
  <c r="G802" i="7"/>
  <c r="F375" i="7"/>
  <c r="F380" i="7"/>
  <c r="G235" i="7"/>
  <c r="F197" i="7"/>
  <c r="G197" i="7"/>
  <c r="F198" i="7"/>
  <c r="G202" i="7"/>
  <c r="G210" i="7"/>
  <c r="F203" i="7"/>
  <c r="F202" i="7"/>
  <c r="F210" i="7"/>
  <c r="F201" i="7"/>
  <c r="G208" i="7"/>
  <c r="G200" i="7"/>
  <c r="F209" i="7"/>
  <c r="F199" i="7"/>
  <c r="G209" i="7"/>
  <c r="G204" i="7"/>
  <c r="F207" i="7"/>
  <c r="G198" i="7"/>
  <c r="F200" i="7"/>
  <c r="G201" i="7"/>
  <c r="G206" i="7"/>
  <c r="G203" i="7"/>
  <c r="G207" i="7"/>
  <c r="G199" i="7"/>
  <c r="F1035" i="7"/>
  <c r="G1044" i="7"/>
  <c r="G1038" i="7"/>
  <c r="G1047" i="7"/>
  <c r="F1041" i="7"/>
  <c r="G1042" i="7"/>
  <c r="G1039" i="7"/>
  <c r="G1046" i="7"/>
  <c r="F1038" i="7"/>
  <c r="F1036" i="7"/>
  <c r="G1036" i="7"/>
  <c r="G1035" i="7"/>
  <c r="F378" i="7"/>
  <c r="F372" i="7"/>
  <c r="F381" i="7"/>
  <c r="G376" i="7"/>
  <c r="F374" i="7"/>
  <c r="F377" i="7"/>
  <c r="G379" i="7"/>
  <c r="F371" i="7"/>
  <c r="F368" i="7"/>
  <c r="G368" i="7"/>
  <c r="G374" i="7"/>
  <c r="G377" i="7"/>
  <c r="G371" i="7"/>
  <c r="G381" i="7"/>
  <c r="G375" i="7"/>
  <c r="G370" i="7"/>
  <c r="G372" i="7"/>
  <c r="F369" i="7"/>
  <c r="G378" i="7"/>
  <c r="F244" i="7"/>
  <c r="G243" i="7"/>
  <c r="G241" i="7"/>
  <c r="F245" i="7"/>
  <c r="F206" i="7"/>
  <c r="F39" i="7"/>
  <c r="F28" i="7"/>
  <c r="F390" i="7" s="1"/>
  <c r="G29" i="7"/>
  <c r="G391" i="7" s="1"/>
  <c r="F33" i="7"/>
  <c r="F395" i="7" s="1"/>
  <c r="G36" i="7"/>
  <c r="G398" i="7" s="1"/>
  <c r="F31" i="7"/>
  <c r="F393" i="7" s="1"/>
  <c r="F30" i="7"/>
  <c r="F392" i="7" s="1"/>
  <c r="F1146" i="7"/>
  <c r="G1136" i="7"/>
  <c r="F1136" i="7"/>
  <c r="G1147" i="7"/>
  <c r="G217" i="7"/>
  <c r="F223" i="7"/>
  <c r="G220" i="7"/>
  <c r="G222" i="7"/>
  <c r="G229" i="7"/>
  <c r="G224" i="7"/>
  <c r="G227" i="7"/>
  <c r="G221" i="7"/>
  <c r="F218" i="7"/>
  <c r="F222" i="7"/>
  <c r="F219" i="7"/>
  <c r="G228" i="7"/>
  <c r="F228" i="7"/>
  <c r="G219" i="7"/>
  <c r="F220" i="7"/>
  <c r="F26" i="7"/>
  <c r="F388" i="7" s="1"/>
  <c r="G26" i="7"/>
  <c r="G388" i="7" s="1"/>
  <c r="G31" i="7"/>
  <c r="G393" i="7" s="1"/>
  <c r="F35" i="7"/>
  <c r="F397" i="7" s="1"/>
  <c r="G28" i="7"/>
  <c r="G390" i="7" s="1"/>
  <c r="F27" i="7"/>
  <c r="F389" i="7" s="1"/>
  <c r="G38" i="7"/>
  <c r="G400" i="7" s="1"/>
  <c r="G35" i="7"/>
  <c r="G397" i="7" s="1"/>
  <c r="F1134" i="7"/>
  <c r="F1142" i="7"/>
  <c r="F1138" i="7"/>
  <c r="G1138" i="7"/>
  <c r="F1140" i="7"/>
  <c r="G1135" i="7"/>
  <c r="G1140" i="7"/>
  <c r="G1145" i="7"/>
  <c r="F1135" i="7"/>
  <c r="G1141" i="7"/>
  <c r="F1141" i="7"/>
  <c r="E403" i="7"/>
  <c r="E1267" i="7" s="1"/>
  <c r="F229" i="7"/>
  <c r="G226" i="7"/>
  <c r="F221" i="7"/>
  <c r="G218" i="7"/>
  <c r="G216" i="7"/>
  <c r="F29" i="7"/>
  <c r="F391" i="7" s="1"/>
  <c r="G30" i="7"/>
  <c r="G392" i="7" s="1"/>
  <c r="F32" i="7"/>
  <c r="F394" i="7" s="1"/>
  <c r="G39" i="7"/>
  <c r="G33" i="7"/>
  <c r="G395" i="7" s="1"/>
  <c r="G1139" i="7"/>
  <c r="F1143" i="7"/>
  <c r="G1137" i="7"/>
  <c r="G1142" i="7"/>
  <c r="F1147" i="7"/>
  <c r="F1144" i="7"/>
  <c r="G223" i="7"/>
  <c r="F224" i="7"/>
  <c r="F226" i="7"/>
  <c r="G69" i="7"/>
  <c r="G67" i="7"/>
  <c r="G71" i="7"/>
  <c r="F73" i="7"/>
  <c r="G65" i="7"/>
  <c r="G68" i="7"/>
  <c r="G64" i="7"/>
  <c r="G73" i="7"/>
  <c r="F67" i="7"/>
  <c r="G66" i="7"/>
  <c r="F68" i="7"/>
  <c r="F65" i="7"/>
  <c r="G76" i="7"/>
  <c r="G72" i="7"/>
  <c r="G70" i="7"/>
  <c r="F70" i="7"/>
  <c r="F74" i="7"/>
  <c r="G452" i="7"/>
  <c r="G457" i="7"/>
  <c r="F457" i="7"/>
  <c r="G446" i="7"/>
  <c r="F449" i="7"/>
  <c r="F455" i="7"/>
  <c r="F517" i="7"/>
  <c r="F514" i="7"/>
  <c r="F510" i="7"/>
  <c r="G512" i="7"/>
  <c r="F508" i="7"/>
  <c r="G509" i="7"/>
  <c r="F509" i="7"/>
  <c r="F452" i="7"/>
  <c r="F451" i="7"/>
  <c r="F447" i="7"/>
  <c r="G450" i="7"/>
  <c r="G456" i="7"/>
  <c r="G448" i="7"/>
  <c r="G518" i="7"/>
  <c r="G510" i="7"/>
  <c r="G507" i="7"/>
  <c r="G516" i="7"/>
  <c r="G513" i="7"/>
  <c r="F506" i="7"/>
  <c r="F518" i="7"/>
  <c r="G505" i="7"/>
  <c r="F505" i="7"/>
  <c r="G517" i="7"/>
  <c r="F512" i="7"/>
  <c r="G508" i="7"/>
  <c r="G506" i="7"/>
  <c r="F890" i="7" l="1"/>
  <c r="F400" i="7"/>
  <c r="G872" i="7"/>
  <c r="G890" i="7"/>
  <c r="G889" i="7"/>
  <c r="G677" i="7"/>
  <c r="G1148" i="7"/>
  <c r="G814" i="7"/>
  <c r="G716" i="7"/>
  <c r="G911" i="7"/>
  <c r="G538" i="7"/>
  <c r="G598" i="7"/>
  <c r="G794" i="7"/>
  <c r="G735" i="7"/>
  <c r="G344" i="7"/>
  <c r="G116" i="7"/>
  <c r="G459" i="7"/>
  <c r="G1029" i="7"/>
  <c r="G154" i="7"/>
  <c r="G755" i="7"/>
  <c r="G1108" i="7"/>
  <c r="G401" i="7"/>
  <c r="G211" i="7"/>
  <c r="G287" i="7"/>
  <c r="G440" i="7"/>
  <c r="G834" i="7"/>
  <c r="G519" i="7"/>
  <c r="G1226" i="7"/>
  <c r="G950" i="7"/>
  <c r="G774" i="7"/>
  <c r="G1187" i="7"/>
  <c r="G578" i="7"/>
  <c r="G1246" i="7"/>
  <c r="G135" i="7"/>
  <c r="G617" i="7"/>
  <c r="G558" i="7"/>
  <c r="G1168" i="7"/>
  <c r="G990" i="7"/>
  <c r="G78" i="7"/>
  <c r="G230" i="7"/>
  <c r="G1049" i="7"/>
  <c r="G249" i="7"/>
  <c r="G1128" i="7"/>
  <c r="G363" i="7"/>
  <c r="G931" i="7"/>
  <c r="G970" i="7"/>
  <c r="G1207" i="7"/>
  <c r="G192" i="7"/>
  <c r="G696" i="7"/>
  <c r="G853" i="7"/>
  <c r="G1010" i="7"/>
  <c r="G499" i="7"/>
  <c r="G40" i="7"/>
  <c r="G657" i="7"/>
  <c r="F414" i="7"/>
  <c r="G412" i="7"/>
  <c r="F419" i="7"/>
  <c r="F411" i="7"/>
  <c r="G407" i="7"/>
  <c r="G409" i="7"/>
  <c r="F408" i="7"/>
  <c r="G411" i="7"/>
  <c r="G416" i="7"/>
  <c r="F412" i="7"/>
  <c r="F415" i="7"/>
  <c r="G408" i="7"/>
  <c r="F407" i="7"/>
  <c r="F409" i="7"/>
  <c r="G406" i="7"/>
  <c r="G415" i="7"/>
  <c r="G419" i="7"/>
  <c r="F413" i="7"/>
  <c r="F406" i="7"/>
  <c r="F410" i="7"/>
  <c r="G413" i="7"/>
  <c r="G417" i="7"/>
  <c r="G410" i="7"/>
  <c r="G414" i="7"/>
  <c r="F418" i="7"/>
  <c r="F416" i="7"/>
  <c r="G418" i="7"/>
  <c r="G382" i="7"/>
  <c r="G97" i="7"/>
  <c r="G173" i="7"/>
  <c r="G268" i="7"/>
  <c r="G637" i="7"/>
  <c r="G1089" i="7"/>
  <c r="G1069" i="7"/>
  <c r="G306" i="7"/>
  <c r="G479" i="7"/>
  <c r="G59" i="7"/>
  <c r="G325" i="7"/>
  <c r="G1265" i="7"/>
  <c r="G891" i="7" l="1"/>
  <c r="G420" i="7"/>
  <c r="G1051" i="7" l="1"/>
  <c r="G1269" i="7" s="1"/>
  <c r="G1270" i="7" s="1"/>
  <c r="V15" i="14" l="1"/>
  <c r="D7" i="36" l="1"/>
  <c r="H5" i="5"/>
  <c r="H5" i="6"/>
  <c r="H23" i="6"/>
  <c r="H6" i="4" l="1"/>
  <c r="H5" i="4"/>
  <c r="H2" i="4"/>
  <c r="H3" i="4"/>
  <c r="H4" i="4"/>
  <c r="H21" i="4"/>
  <c r="H22" i="4" s="1"/>
  <c r="I22" i="4" s="1"/>
  <c r="B33" i="4" l="1"/>
  <c r="B25" i="4"/>
  <c r="B17" i="4"/>
  <c r="B30" i="4"/>
  <c r="B38" i="4"/>
  <c r="B22" i="4"/>
  <c r="B29" i="4"/>
  <c r="B37" i="4"/>
  <c r="B21" i="4"/>
  <c r="B36" i="4"/>
  <c r="B28" i="4"/>
  <c r="B20" i="4"/>
  <c r="B31" i="4"/>
  <c r="B39" i="4"/>
  <c r="B23" i="4"/>
  <c r="I4" i="4"/>
  <c r="I3" i="4"/>
  <c r="I5" i="4"/>
  <c r="I6" i="4"/>
  <c r="I2" i="4"/>
  <c r="P54" i="20" l="1"/>
  <c r="AJ20" i="20" s="1"/>
  <c r="P53" i="20"/>
  <c r="P65" i="20"/>
  <c r="H274" i="6"/>
  <c r="H389" i="6"/>
  <c r="M455" i="6"/>
  <c r="N314" i="6"/>
  <c r="N208" i="6"/>
  <c r="M312" i="6"/>
  <c r="M391" i="6"/>
  <c r="N146" i="6"/>
  <c r="P794" i="6"/>
  <c r="N549" i="6"/>
  <c r="N119" i="6"/>
  <c r="N131" i="6"/>
  <c r="H379" i="6"/>
  <c r="N170" i="6"/>
  <c r="P767" i="6"/>
  <c r="N338" i="6"/>
  <c r="M220" i="6"/>
  <c r="P207" i="6"/>
  <c r="M207" i="6"/>
  <c r="M545" i="6"/>
  <c r="N784" i="6"/>
  <c r="M143" i="6"/>
  <c r="N181" i="6"/>
  <c r="M727" i="6"/>
  <c r="P352" i="6"/>
  <c r="N520" i="6"/>
  <c r="M740" i="6"/>
  <c r="P599" i="6"/>
  <c r="H355" i="6"/>
  <c r="P690" i="6"/>
  <c r="H170" i="6"/>
  <c r="H432" i="6"/>
  <c r="H692" i="6"/>
  <c r="N780" i="6"/>
  <c r="M315" i="6"/>
  <c r="H718" i="6"/>
  <c r="N198" i="6"/>
  <c r="M251" i="6"/>
  <c r="H78" i="6"/>
  <c r="H69" i="6"/>
  <c r="M328" i="6"/>
  <c r="N428" i="6"/>
  <c r="H563" i="6"/>
  <c r="P290" i="6"/>
  <c r="P394" i="6"/>
  <c r="P94" i="6"/>
  <c r="M248" i="6"/>
  <c r="P692" i="6"/>
  <c r="M158" i="6"/>
  <c r="M183" i="6"/>
  <c r="P729" i="6"/>
  <c r="H173" i="6"/>
  <c r="M560" i="6"/>
  <c r="H405" i="6"/>
  <c r="M780" i="6"/>
  <c r="M246" i="6"/>
  <c r="P563" i="6"/>
  <c r="M259" i="6"/>
  <c r="P459" i="6"/>
  <c r="M247" i="6"/>
  <c r="H224" i="6"/>
  <c r="H65" i="6"/>
  <c r="M627" i="6"/>
  <c r="M689" i="6"/>
  <c r="H354" i="6"/>
  <c r="H693" i="6"/>
  <c r="M470" i="6"/>
  <c r="P119" i="6"/>
  <c r="P328" i="6"/>
  <c r="N547" i="6"/>
  <c r="M261" i="6"/>
  <c r="N431" i="6"/>
  <c r="M508" i="6"/>
  <c r="N261" i="6"/>
  <c r="P731" i="6"/>
  <c r="M493" i="6"/>
  <c r="H27" i="6"/>
  <c r="P471" i="6"/>
  <c r="H155" i="6"/>
  <c r="M576" i="6"/>
  <c r="M731" i="6"/>
  <c r="M506" i="6"/>
  <c r="H325" i="6"/>
  <c r="N441" i="6"/>
  <c r="M822" i="6"/>
  <c r="H810" i="6"/>
  <c r="P238" i="6"/>
  <c r="H688" i="6"/>
  <c r="H523" i="6"/>
  <c r="M767" i="6"/>
  <c r="M573" i="6"/>
  <c r="M300" i="6"/>
  <c r="N406" i="6"/>
  <c r="H329" i="6"/>
  <c r="P560" i="6"/>
  <c r="M719" i="6"/>
  <c r="N171" i="6"/>
  <c r="H182" i="6"/>
  <c r="N818" i="6"/>
  <c r="H663" i="6"/>
  <c r="N796" i="6"/>
  <c r="N641" i="6"/>
  <c r="M510" i="6"/>
  <c r="M742" i="6"/>
  <c r="M67" i="6"/>
  <c r="H796" i="6"/>
  <c r="P407" i="6"/>
  <c r="P406" i="6"/>
  <c r="H495" i="6"/>
  <c r="H782" i="6"/>
  <c r="P547" i="6"/>
  <c r="M446" i="6"/>
  <c r="N732" i="6"/>
  <c r="P598" i="6"/>
  <c r="N484" i="6"/>
  <c r="H807" i="6"/>
  <c r="M664" i="6"/>
  <c r="M701" i="6"/>
  <c r="N142" i="6"/>
  <c r="P288" i="6"/>
  <c r="N342" i="6"/>
  <c r="M273" i="6"/>
  <c r="H172" i="6"/>
  <c r="M352" i="6"/>
  <c r="M496" i="6"/>
  <c r="P341" i="6"/>
  <c r="P300" i="6"/>
  <c r="M562" i="6"/>
  <c r="H250" i="6"/>
  <c r="N753" i="6"/>
  <c r="M250" i="6"/>
  <c r="M705" i="6"/>
  <c r="P769" i="6"/>
  <c r="P172" i="6"/>
  <c r="N679" i="6"/>
  <c r="M381" i="6"/>
  <c r="M628" i="6"/>
  <c r="P693" i="6"/>
  <c r="H24" i="6"/>
  <c r="P678" i="6"/>
  <c r="N532" i="6"/>
  <c r="M145" i="6"/>
  <c r="M249" i="6"/>
  <c r="N272" i="6"/>
  <c r="M418" i="6"/>
  <c r="N688" i="6"/>
  <c r="N286" i="6"/>
  <c r="M680" i="6"/>
  <c r="M420" i="6"/>
  <c r="H823" i="6"/>
  <c r="P418" i="6"/>
  <c r="M365" i="6"/>
  <c r="H132" i="6"/>
  <c r="M649" i="6"/>
  <c r="P675" i="6"/>
  <c r="P146" i="6"/>
  <c r="M509" i="6"/>
  <c r="N392" i="6"/>
  <c r="P587" i="6"/>
  <c r="P170" i="6"/>
  <c r="P389" i="6"/>
  <c r="N390" i="6"/>
  <c r="P550" i="6"/>
  <c r="P107" i="6"/>
  <c r="H315" i="6"/>
  <c r="M679" i="6"/>
  <c r="P740" i="6"/>
  <c r="H457" i="6"/>
  <c r="M612" i="6"/>
  <c r="P615" i="6"/>
  <c r="N379" i="6"/>
  <c r="H159" i="6"/>
  <c r="P121" i="6"/>
  <c r="H207" i="6"/>
  <c r="N186" i="6"/>
  <c r="N797" i="6"/>
  <c r="N185" i="6"/>
  <c r="M316" i="6"/>
  <c r="M729" i="6"/>
  <c r="N823" i="6"/>
  <c r="N429" i="6"/>
  <c r="N792" i="6"/>
  <c r="N224" i="6"/>
  <c r="P559" i="6"/>
  <c r="M766" i="6"/>
  <c r="N120" i="6"/>
  <c r="N77" i="6"/>
  <c r="P584" i="6"/>
  <c r="N66" i="6"/>
  <c r="M107" i="6"/>
  <c r="P350" i="6"/>
  <c r="P624" i="6"/>
  <c r="H29" i="6"/>
  <c r="P235" i="6"/>
  <c r="H678" i="6"/>
  <c r="M53" i="6"/>
  <c r="P56" i="6"/>
  <c r="M483" i="6"/>
  <c r="H636" i="6"/>
  <c r="N42" i="6"/>
  <c r="H808" i="6"/>
  <c r="M224" i="6"/>
  <c r="P142" i="6"/>
  <c r="H90" i="6"/>
  <c r="N116" i="6"/>
  <c r="P444" i="6"/>
  <c r="N183" i="6"/>
  <c r="P366" i="6"/>
  <c r="N446" i="6"/>
  <c r="P467" i="6"/>
  <c r="H729" i="6"/>
  <c r="N706" i="6"/>
  <c r="M264" i="6"/>
  <c r="H407" i="6"/>
  <c r="M819" i="6"/>
  <c r="P303" i="6"/>
  <c r="N485" i="6"/>
  <c r="M303" i="6"/>
  <c r="P353" i="6"/>
  <c r="H129" i="6"/>
  <c r="N545" i="6"/>
  <c r="N274" i="6"/>
  <c r="N704" i="6"/>
  <c r="P210" i="6"/>
  <c r="N654" i="6"/>
  <c r="N675" i="6"/>
  <c r="H212" i="6"/>
  <c r="M794" i="6"/>
  <c r="M364" i="6"/>
  <c r="M454" i="6"/>
  <c r="N168" i="6"/>
  <c r="H233" i="6"/>
  <c r="P627" i="6"/>
  <c r="N290" i="6"/>
  <c r="P664" i="6"/>
  <c r="M405" i="6"/>
  <c r="N64" i="6"/>
  <c r="M392" i="6"/>
  <c r="N91" i="6"/>
  <c r="P545" i="6"/>
  <c r="H56" i="6"/>
  <c r="N584" i="6"/>
  <c r="N285" i="6"/>
  <c r="N537" i="6"/>
  <c r="P535" i="6"/>
  <c r="H222" i="6"/>
  <c r="N29" i="6"/>
  <c r="P354" i="6"/>
  <c r="N719" i="6"/>
  <c r="M484" i="6"/>
  <c r="P53" i="6"/>
  <c r="P705" i="6"/>
  <c r="N417" i="6"/>
  <c r="M171" i="6"/>
  <c r="P676" i="6"/>
  <c r="N117" i="6"/>
  <c r="P41" i="6"/>
  <c r="H130" i="6"/>
  <c r="P108" i="6"/>
  <c r="P157" i="6"/>
  <c r="H641" i="6"/>
  <c r="N298" i="6"/>
  <c r="M548" i="6"/>
  <c r="N458" i="6"/>
  <c r="M482" i="6"/>
  <c r="P95" i="6"/>
  <c r="M795" i="6"/>
  <c r="M108" i="6"/>
  <c r="N662" i="6"/>
  <c r="H404" i="6"/>
  <c r="P264" i="6"/>
  <c r="N468" i="6"/>
  <c r="H587" i="6"/>
  <c r="P261" i="6"/>
  <c r="P78" i="6"/>
  <c r="H353" i="6"/>
  <c r="P743" i="6"/>
  <c r="N69" i="6"/>
  <c r="N536" i="6"/>
  <c r="N588" i="6"/>
  <c r="P364" i="6"/>
  <c r="P601" i="6"/>
  <c r="H819" i="6"/>
  <c r="M613" i="6"/>
  <c r="H719" i="6"/>
  <c r="N472" i="6"/>
  <c r="N276" i="6"/>
  <c r="N496" i="6"/>
  <c r="N430" i="6"/>
  <c r="H508" i="6"/>
  <c r="H77" i="6"/>
  <c r="N53" i="6"/>
  <c r="M404" i="6"/>
  <c r="H365" i="6"/>
  <c r="N407" i="6"/>
  <c r="P392" i="6"/>
  <c r="M263" i="6"/>
  <c r="H403" i="6"/>
  <c r="N457" i="6"/>
  <c r="M185" i="6"/>
  <c r="P39" i="6"/>
  <c r="H784" i="6"/>
  <c r="N533" i="6"/>
  <c r="P380" i="6"/>
  <c r="P302" i="6"/>
  <c r="N211" i="6"/>
  <c r="N251" i="6"/>
  <c r="H338" i="6"/>
  <c r="H417" i="6"/>
  <c r="N548" i="6"/>
  <c r="M559" i="6"/>
  <c r="H81" i="6"/>
  <c r="P495" i="6"/>
  <c r="N511" i="6"/>
  <c r="P171" i="6"/>
  <c r="N614" i="6"/>
  <c r="H652" i="6"/>
  <c r="P147" i="6"/>
  <c r="H237" i="6"/>
  <c r="N612" i="6"/>
  <c r="P441" i="6"/>
  <c r="P561" i="6"/>
  <c r="P742" i="6"/>
  <c r="H290" i="6"/>
  <c r="P523" i="6"/>
  <c r="P793" i="6"/>
  <c r="H327" i="6"/>
  <c r="N105" i="6"/>
  <c r="P805" i="6"/>
  <c r="P728" i="6"/>
  <c r="H456" i="6"/>
  <c r="P575" i="6"/>
  <c r="P312" i="6"/>
  <c r="H574" i="6"/>
  <c r="P24" i="6"/>
  <c r="P298" i="6"/>
  <c r="M28" i="6"/>
  <c r="M379" i="6"/>
  <c r="N303" i="6"/>
  <c r="N55" i="6"/>
  <c r="M285" i="6"/>
  <c r="P507" i="6"/>
  <c r="P784" i="6"/>
  <c r="H575" i="6"/>
  <c r="N693" i="6"/>
  <c r="M419" i="6"/>
  <c r="N263" i="6"/>
  <c r="M132" i="6"/>
  <c r="H758" i="6"/>
  <c r="H533" i="6"/>
  <c r="M810" i="6"/>
  <c r="H195" i="6"/>
  <c r="H534" i="6"/>
  <c r="N717" i="6"/>
  <c r="P677" i="6"/>
  <c r="H168" i="6"/>
  <c r="N793" i="6"/>
  <c r="P445" i="6"/>
  <c r="M666" i="6"/>
  <c r="M611" i="6"/>
  <c r="M522" i="6"/>
  <c r="N365" i="6"/>
  <c r="M120" i="6"/>
  <c r="H433" i="6"/>
  <c r="P597" i="6"/>
  <c r="H550" i="6"/>
  <c r="P130" i="6"/>
  <c r="P766" i="6"/>
  <c r="P52" i="6"/>
  <c r="M325" i="6"/>
  <c r="M796" i="6"/>
  <c r="M394" i="6"/>
  <c r="N741" i="6"/>
  <c r="H459" i="6"/>
  <c r="P368" i="6"/>
  <c r="M160" i="6"/>
  <c r="M130" i="6"/>
  <c r="M692" i="6"/>
  <c r="H755" i="6"/>
  <c r="M717" i="6"/>
  <c r="M39" i="6"/>
  <c r="P770" i="6"/>
  <c r="H497" i="6"/>
  <c r="N209" i="6"/>
  <c r="N649" i="6"/>
  <c r="P314" i="6"/>
  <c r="N535" i="6"/>
  <c r="H418" i="6"/>
  <c r="N443" i="6"/>
  <c r="M755" i="6"/>
  <c r="N509" i="6"/>
  <c r="P732" i="6"/>
  <c r="N781" i="6"/>
  <c r="N238" i="6"/>
  <c r="N118" i="6"/>
  <c r="H559" i="6"/>
  <c r="N378" i="6"/>
  <c r="N225" i="6"/>
  <c r="M380" i="6"/>
  <c r="M65" i="6"/>
  <c r="N132" i="6"/>
  <c r="N779" i="6"/>
  <c r="N562" i="6"/>
  <c r="M471" i="6"/>
  <c r="P212" i="6"/>
  <c r="P809" i="6"/>
  <c r="N391" i="6"/>
  <c r="N95" i="6"/>
  <c r="N341" i="6"/>
  <c r="N599" i="6"/>
  <c r="M823" i="6"/>
  <c r="P704" i="6"/>
  <c r="H314" i="6"/>
  <c r="M43" i="6"/>
  <c r="N691" i="6"/>
  <c r="M121" i="6"/>
  <c r="M64" i="6"/>
  <c r="P792" i="6"/>
  <c r="H42" i="6"/>
  <c r="N639" i="6"/>
  <c r="P666" i="6"/>
  <c r="M651" i="6"/>
  <c r="M432" i="6"/>
  <c r="M614" i="6"/>
  <c r="M497" i="6"/>
  <c r="N43" i="6"/>
  <c r="H753" i="6"/>
  <c r="P536" i="6"/>
  <c r="P326" i="6"/>
  <c r="H406" i="6"/>
  <c r="P340" i="6"/>
  <c r="M756" i="6"/>
  <c r="H337" i="6"/>
  <c r="P688" i="6"/>
  <c r="H649" i="6"/>
  <c r="N585" i="6"/>
  <c r="M337" i="6"/>
  <c r="M212" i="6"/>
  <c r="H571" i="6"/>
  <c r="N394" i="6"/>
  <c r="N81" i="6"/>
  <c r="P456" i="6"/>
  <c r="P493" i="6"/>
  <c r="N403" i="6"/>
  <c r="M445" i="6"/>
  <c r="P667" i="6"/>
  <c r="M301" i="6"/>
  <c r="N299" i="6"/>
  <c r="N613" i="6"/>
  <c r="M222" i="6"/>
  <c r="P420" i="6"/>
  <c r="M624" i="6"/>
  <c r="P468" i="6"/>
  <c r="H455" i="6"/>
  <c r="P680" i="6"/>
  <c r="P145" i="6"/>
  <c r="N589" i="6"/>
  <c r="H223" i="6"/>
  <c r="M170" i="6"/>
  <c r="N771" i="6"/>
  <c r="N624" i="6"/>
  <c r="M600" i="6"/>
  <c r="P155" i="6"/>
  <c r="M597" i="6"/>
  <c r="P572" i="6"/>
  <c r="N783" i="6"/>
  <c r="N692" i="6"/>
  <c r="M314" i="6"/>
  <c r="M459" i="6"/>
  <c r="H493" i="6"/>
  <c r="N602" i="6"/>
  <c r="H482" i="6"/>
  <c r="M743" i="6"/>
  <c r="M638" i="6"/>
  <c r="N79" i="6"/>
  <c r="P741" i="6"/>
  <c r="N598" i="6"/>
  <c r="M636" i="6"/>
  <c r="N455" i="6"/>
  <c r="H601" i="6"/>
  <c r="N237" i="6"/>
  <c r="N368" i="6"/>
  <c r="H142" i="6"/>
  <c r="H263" i="6"/>
  <c r="M92" i="6"/>
  <c r="N794" i="6"/>
  <c r="N703" i="6"/>
  <c r="N653" i="6"/>
  <c r="N469" i="6"/>
  <c r="H341" i="6"/>
  <c r="N260" i="6"/>
  <c r="H251" i="6"/>
  <c r="N315" i="6"/>
  <c r="M81" i="6"/>
  <c r="N664" i="6"/>
  <c r="H485" i="6"/>
  <c r="N377" i="6"/>
  <c r="P576" i="6"/>
  <c r="P612" i="6"/>
  <c r="P105" i="6"/>
  <c r="P90" i="6"/>
  <c r="M494" i="6"/>
  <c r="M184" i="6"/>
  <c r="H598" i="6"/>
  <c r="P781" i="6"/>
  <c r="H615" i="6"/>
  <c r="N67" i="6"/>
  <c r="P182" i="6"/>
  <c r="M520" i="6"/>
  <c r="N766" i="6"/>
  <c r="N521" i="6"/>
  <c r="M199" i="6"/>
  <c r="P54" i="6"/>
  <c r="M298" i="6"/>
  <c r="N640" i="6"/>
  <c r="N810" i="6"/>
  <c r="H454" i="6"/>
  <c r="P275" i="6"/>
  <c r="N418" i="6"/>
  <c r="H288" i="6"/>
  <c r="M572" i="6"/>
  <c r="H147" i="6"/>
  <c r="N494" i="6"/>
  <c r="H562" i="6"/>
  <c r="M119" i="6"/>
  <c r="P640" i="6"/>
  <c r="M663" i="6"/>
  <c r="M350" i="6"/>
  <c r="M430" i="6"/>
  <c r="M66" i="6"/>
  <c r="N667" i="6"/>
  <c r="P417" i="6"/>
  <c r="P534" i="6"/>
  <c r="M706" i="6"/>
  <c r="H706" i="6"/>
  <c r="P519" i="6"/>
  <c r="N129" i="6"/>
  <c r="H756" i="6"/>
  <c r="P719" i="6"/>
  <c r="M714" i="6"/>
  <c r="M403" i="6"/>
  <c r="H731" i="6"/>
  <c r="P220" i="6"/>
  <c r="N822" i="6"/>
  <c r="M495" i="6"/>
  <c r="P198" i="6"/>
  <c r="M754" i="6"/>
  <c r="N288" i="6"/>
  <c r="M623" i="6"/>
  <c r="P117" i="6"/>
  <c r="H640" i="6"/>
  <c r="P259" i="6"/>
  <c r="N160" i="6"/>
  <c r="M769" i="6"/>
  <c r="N94" i="6"/>
  <c r="M69" i="6"/>
  <c r="N745" i="6"/>
  <c r="P638" i="6"/>
  <c r="H703" i="6"/>
  <c r="M547" i="6"/>
  <c r="P196" i="6"/>
  <c r="M106" i="6"/>
  <c r="H728" i="6"/>
  <c r="P641" i="6"/>
  <c r="N106" i="6"/>
  <c r="P415" i="6"/>
  <c r="P480" i="6"/>
  <c r="N134" i="6"/>
  <c r="P195" i="6"/>
  <c r="N92" i="6"/>
  <c r="P428" i="6"/>
  <c r="P69" i="6"/>
  <c r="N626" i="6"/>
  <c r="H51" i="6"/>
  <c r="P377" i="6"/>
  <c r="M589" i="6"/>
  <c r="P27" i="6"/>
  <c r="N78" i="6"/>
  <c r="N93" i="6"/>
  <c r="P782" i="6"/>
  <c r="P430" i="6"/>
  <c r="M792" i="6"/>
  <c r="M29" i="6"/>
  <c r="P355" i="6"/>
  <c r="N196" i="6"/>
  <c r="H352" i="6"/>
  <c r="P806" i="6"/>
  <c r="M468" i="6"/>
  <c r="H470" i="6"/>
  <c r="H419" i="6"/>
  <c r="M481" i="6"/>
  <c r="H28" i="6"/>
  <c r="H444" i="6"/>
  <c r="P691" i="6"/>
  <c r="H519" i="6"/>
  <c r="N220" i="6"/>
  <c r="M198" i="6"/>
  <c r="N757" i="6"/>
  <c r="M155" i="6"/>
  <c r="M157" i="6"/>
  <c r="P715" i="6"/>
  <c r="P40" i="6"/>
  <c r="N173" i="6"/>
  <c r="M716" i="6"/>
  <c r="M818" i="6"/>
  <c r="M809" i="6"/>
  <c r="M431" i="6"/>
  <c r="N467" i="6"/>
  <c r="P106" i="6"/>
  <c r="P263" i="6"/>
  <c r="N25" i="6"/>
  <c r="N143" i="6"/>
  <c r="H614" i="6"/>
  <c r="M599" i="6"/>
  <c r="P246" i="6"/>
  <c r="N145" i="6"/>
  <c r="M662" i="6"/>
  <c r="P29" i="6"/>
  <c r="M95" i="6"/>
  <c r="P287" i="6"/>
  <c r="N316" i="6"/>
  <c r="H744" i="6"/>
  <c r="H236" i="6"/>
  <c r="N301" i="6"/>
  <c r="N246" i="6"/>
  <c r="M272" i="6"/>
  <c r="M235" i="6"/>
  <c r="M534" i="6"/>
  <c r="H637" i="6"/>
  <c r="P285" i="6"/>
  <c r="N575" i="6"/>
  <c r="P558" i="6"/>
  <c r="H156" i="6"/>
  <c r="P821" i="6"/>
  <c r="M237" i="6"/>
  <c r="M90" i="6"/>
  <c r="M287" i="6"/>
  <c r="H272" i="6"/>
  <c r="M299" i="6"/>
  <c r="H238" i="6"/>
  <c r="P446" i="6"/>
  <c r="N652" i="6"/>
  <c r="M519" i="6"/>
  <c r="N221" i="6"/>
  <c r="H628" i="6"/>
  <c r="M753" i="6"/>
  <c r="H627" i="6"/>
  <c r="P329" i="6"/>
  <c r="M428" i="6"/>
  <c r="N40" i="6"/>
  <c r="P316" i="6"/>
  <c r="M260" i="6"/>
  <c r="M340" i="6"/>
  <c r="P92" i="6"/>
  <c r="P510" i="6"/>
  <c r="P714" i="6"/>
  <c r="P610" i="6"/>
  <c r="P613" i="6"/>
  <c r="M172" i="6"/>
  <c r="P457" i="6"/>
  <c r="P744" i="6"/>
  <c r="P367" i="6"/>
  <c r="N56" i="6"/>
  <c r="H273" i="6"/>
  <c r="P637" i="6"/>
  <c r="M324" i="6"/>
  <c r="N470" i="6"/>
  <c r="N355" i="6"/>
  <c r="N364" i="6"/>
  <c r="H157" i="6"/>
  <c r="H198" i="6"/>
  <c r="N705" i="6"/>
  <c r="M169" i="6"/>
  <c r="N756" i="6"/>
  <c r="M626" i="6"/>
  <c r="H225" i="6"/>
  <c r="H524" i="6"/>
  <c r="M678" i="6"/>
  <c r="M443" i="6"/>
  <c r="P511" i="6"/>
  <c r="N415" i="6"/>
  <c r="N432" i="6"/>
  <c r="H235" i="6"/>
  <c r="H792" i="6"/>
  <c r="P600" i="6"/>
  <c r="H185" i="6"/>
  <c r="M584" i="6"/>
  <c r="H573" i="6"/>
  <c r="M27" i="6"/>
  <c r="N207" i="6"/>
  <c r="H806" i="6"/>
  <c r="H66" i="6"/>
  <c r="M598" i="6"/>
  <c r="N820" i="6"/>
  <c r="N743" i="6"/>
  <c r="H394" i="6"/>
  <c r="P663" i="6"/>
  <c r="H289" i="6"/>
  <c r="M820" i="6"/>
  <c r="H183" i="6"/>
  <c r="M313" i="6"/>
  <c r="P116" i="6"/>
  <c r="H745" i="6"/>
  <c r="M389" i="6"/>
  <c r="P628" i="6"/>
  <c r="P650" i="6"/>
  <c r="N572" i="6"/>
  <c r="H264" i="6"/>
  <c r="M757" i="6"/>
  <c r="H316" i="6"/>
  <c r="P315" i="6"/>
  <c r="M416" i="6"/>
  <c r="M444" i="6"/>
  <c r="H339" i="6"/>
  <c r="H511" i="6"/>
  <c r="H654" i="6"/>
  <c r="H131" i="6"/>
  <c r="N560" i="6"/>
  <c r="M104" i="6"/>
  <c r="N727" i="6"/>
  <c r="N65" i="6"/>
  <c r="M93" i="6"/>
  <c r="M156" i="6"/>
  <c r="H675" i="6"/>
  <c r="M338" i="6"/>
  <c r="M574" i="6"/>
  <c r="H610" i="6"/>
  <c r="P209" i="6"/>
  <c r="N729" i="6"/>
  <c r="M25" i="6"/>
  <c r="N108" i="6"/>
  <c r="M498" i="6"/>
  <c r="H340" i="6"/>
  <c r="N419" i="6"/>
  <c r="P481" i="6"/>
  <c r="M563" i="6"/>
  <c r="P156" i="6"/>
  <c r="M507" i="6"/>
  <c r="H546" i="6"/>
  <c r="N233" i="6"/>
  <c r="H446" i="6"/>
  <c r="N287" i="6"/>
  <c r="M262" i="6"/>
  <c r="H821" i="6"/>
  <c r="P703" i="6"/>
  <c r="N277" i="6"/>
  <c r="H431" i="6"/>
  <c r="P223" i="6"/>
  <c r="N234" i="6"/>
  <c r="H690" i="6"/>
  <c r="M781" i="6"/>
  <c r="H55" i="6"/>
  <c r="P797" i="6"/>
  <c r="M329" i="6"/>
  <c r="H194" i="6"/>
  <c r="H41" i="6"/>
  <c r="H420" i="6"/>
  <c r="N638" i="6"/>
  <c r="H275" i="6"/>
  <c r="N212" i="6"/>
  <c r="H143" i="6"/>
  <c r="M783" i="6"/>
  <c r="P251" i="6"/>
  <c r="H221" i="6"/>
  <c r="P823" i="6"/>
  <c r="H506" i="6"/>
  <c r="P249" i="6"/>
  <c r="N770" i="6"/>
  <c r="P549" i="6"/>
  <c r="M744" i="6"/>
  <c r="H494" i="6"/>
  <c r="H93" i="6"/>
  <c r="M209" i="6"/>
  <c r="P363" i="6"/>
  <c r="H638" i="6"/>
  <c r="M366" i="6"/>
  <c r="H220" i="6"/>
  <c r="N651" i="6"/>
  <c r="M653" i="6"/>
  <c r="M79" i="6"/>
  <c r="N262" i="6"/>
  <c r="P822" i="6"/>
  <c r="M587" i="6"/>
  <c r="P81" i="6"/>
  <c r="H509" i="6"/>
  <c r="M55" i="6"/>
  <c r="N130" i="6"/>
  <c r="P365" i="6"/>
  <c r="H742" i="6"/>
  <c r="P222" i="6"/>
  <c r="N611" i="6"/>
  <c r="M341" i="6"/>
  <c r="N326" i="6"/>
  <c r="H95" i="6"/>
  <c r="P82" i="6"/>
  <c r="P756" i="6"/>
  <c r="M68" i="6"/>
  <c r="M277" i="6"/>
  <c r="M117" i="6"/>
  <c r="N38" i="6"/>
  <c r="P819" i="6"/>
  <c r="H210" i="6"/>
  <c r="N601" i="6"/>
  <c r="N302" i="6"/>
  <c r="P649" i="6"/>
  <c r="N573" i="6"/>
  <c r="N376" i="6"/>
  <c r="M40" i="6"/>
  <c r="P454" i="6"/>
  <c r="H532" i="6"/>
  <c r="P689" i="6"/>
  <c r="N715" i="6"/>
  <c r="H40" i="6"/>
  <c r="H771" i="6"/>
  <c r="M225" i="6"/>
  <c r="N819" i="6"/>
  <c r="H472" i="6"/>
  <c r="P472" i="6"/>
  <c r="N313" i="6"/>
  <c r="M134" i="6"/>
  <c r="N690" i="6"/>
  <c r="M433" i="6"/>
  <c r="H259" i="6"/>
  <c r="H589" i="6"/>
  <c r="H108" i="6"/>
  <c r="H146" i="6"/>
  <c r="P497" i="6"/>
  <c r="N393" i="6"/>
  <c r="N809" i="6"/>
  <c r="P546" i="6"/>
  <c r="P93" i="6"/>
  <c r="N482" i="6"/>
  <c r="H133" i="6"/>
  <c r="H392" i="6"/>
  <c r="P419" i="6"/>
  <c r="H705" i="6"/>
  <c r="P524" i="6"/>
  <c r="P403" i="6"/>
  <c r="P753" i="6"/>
  <c r="H299" i="6"/>
  <c r="P221" i="6"/>
  <c r="H445" i="6"/>
  <c r="P820" i="6"/>
  <c r="H666" i="6"/>
  <c r="H79" i="6"/>
  <c r="H208" i="6"/>
  <c r="H676" i="6"/>
  <c r="N103" i="6"/>
  <c r="N755" i="6"/>
  <c r="M147" i="6"/>
  <c r="H117" i="6"/>
  <c r="M24" i="6"/>
  <c r="H548" i="6"/>
  <c r="P276" i="6"/>
  <c r="N172" i="6"/>
  <c r="M533" i="6"/>
  <c r="N495" i="6"/>
  <c r="M641" i="6"/>
  <c r="P508" i="6"/>
  <c r="H783" i="6"/>
  <c r="P184" i="6"/>
  <c r="H390" i="6"/>
  <c r="H507" i="6"/>
  <c r="H612" i="6"/>
  <c r="N559" i="6"/>
  <c r="M94" i="6"/>
  <c r="P718" i="6"/>
  <c r="P589" i="6"/>
  <c r="H26" i="6"/>
  <c r="M472" i="6"/>
  <c r="H795" i="6"/>
  <c r="M797" i="6"/>
  <c r="H328" i="6"/>
  <c r="N250" i="6"/>
  <c r="P351" i="6"/>
  <c r="H381" i="6"/>
  <c r="H107" i="6"/>
  <c r="H80" i="6"/>
  <c r="H277" i="6"/>
  <c r="N615" i="6"/>
  <c r="H246" i="6"/>
  <c r="P573" i="6"/>
  <c r="H234" i="6"/>
  <c r="P807" i="6"/>
  <c r="P144" i="6"/>
  <c r="M290" i="6"/>
  <c r="H769" i="6"/>
  <c r="P522" i="6"/>
  <c r="H380" i="6"/>
  <c r="H298" i="6"/>
  <c r="M601" i="6"/>
  <c r="N650" i="6"/>
  <c r="M238" i="6"/>
  <c r="H248" i="6"/>
  <c r="P262" i="6"/>
  <c r="P702" i="6"/>
  <c r="P168" i="6"/>
  <c r="M354" i="6"/>
  <c r="N483" i="6"/>
  <c r="P730" i="6"/>
  <c r="M690" i="6"/>
  <c r="H701" i="6"/>
  <c r="M768" i="6"/>
  <c r="H82" i="6"/>
  <c r="N353" i="6"/>
  <c r="M286" i="6"/>
  <c r="N133" i="6"/>
  <c r="P405" i="6"/>
  <c r="N677" i="6"/>
  <c r="M129" i="6"/>
  <c r="H793" i="6"/>
  <c r="H781" i="6"/>
  <c r="H650" i="6"/>
  <c r="N329" i="6"/>
  <c r="P586" i="6"/>
  <c r="H287" i="6"/>
  <c r="N625" i="6"/>
  <c r="N300" i="6"/>
  <c r="H480" i="6"/>
  <c r="P574" i="6"/>
  <c r="P376" i="6"/>
  <c r="M741" i="6"/>
  <c r="N701" i="6"/>
  <c r="N445" i="6"/>
  <c r="P64" i="6"/>
  <c r="M197" i="6"/>
  <c r="P639" i="6"/>
  <c r="H611" i="6"/>
  <c r="M469" i="6"/>
  <c r="P197" i="6"/>
  <c r="H741" i="6"/>
  <c r="H103" i="6"/>
  <c r="M275" i="6"/>
  <c r="M77" i="6"/>
  <c r="H469" i="6"/>
  <c r="H561" i="6"/>
  <c r="N740" i="6"/>
  <c r="H560" i="6"/>
  <c r="P80" i="6"/>
  <c r="P79" i="6"/>
  <c r="P26" i="6"/>
  <c r="M56" i="6"/>
  <c r="P654" i="6"/>
  <c r="M38" i="6"/>
  <c r="N571" i="6"/>
  <c r="P160" i="6"/>
  <c r="H199" i="6"/>
  <c r="P494" i="6"/>
  <c r="M326" i="6"/>
  <c r="H376" i="6"/>
  <c r="P623" i="6"/>
  <c r="N523" i="6"/>
  <c r="H689" i="6"/>
  <c r="M718" i="6"/>
  <c r="N363" i="6"/>
  <c r="P55" i="6"/>
  <c r="P755" i="6"/>
  <c r="P571" i="6"/>
  <c r="M535" i="6"/>
  <c r="N442" i="6"/>
  <c r="H118" i="6"/>
  <c r="H429" i="6"/>
  <c r="M728" i="6"/>
  <c r="P159" i="6"/>
  <c r="M610" i="6"/>
  <c r="M784" i="6"/>
  <c r="H416" i="6"/>
  <c r="N157" i="6"/>
  <c r="M745" i="6"/>
  <c r="M351" i="6"/>
  <c r="H602" i="6"/>
  <c r="M715" i="6"/>
  <c r="M688" i="6"/>
  <c r="M168" i="6"/>
  <c r="N730" i="6"/>
  <c r="H39" i="6"/>
  <c r="M223" i="6"/>
  <c r="M558" i="6"/>
  <c r="N259" i="6"/>
  <c r="M376" i="6"/>
  <c r="H624" i="6"/>
  <c r="M91" i="6"/>
  <c r="H623" i="6"/>
  <c r="M691" i="6"/>
  <c r="N235" i="6"/>
  <c r="H92" i="6"/>
  <c r="N666" i="6"/>
  <c r="H377" i="6"/>
  <c r="P169" i="6"/>
  <c r="M208" i="6"/>
  <c r="N54" i="6"/>
  <c r="P129" i="6"/>
  <c r="H484" i="6"/>
  <c r="P131" i="6"/>
  <c r="M571" i="6"/>
  <c r="M41" i="6"/>
  <c r="N678" i="6"/>
  <c r="M702" i="6"/>
  <c r="P771" i="6"/>
  <c r="P727" i="6"/>
  <c r="M302" i="6"/>
  <c r="P458" i="6"/>
  <c r="N550" i="6"/>
  <c r="P653" i="6"/>
  <c r="N689" i="6"/>
  <c r="N433" i="6"/>
  <c r="M615" i="6"/>
  <c r="N275" i="6"/>
  <c r="H600" i="6"/>
  <c r="N459" i="6"/>
  <c r="N782" i="6"/>
  <c r="N767" i="6"/>
  <c r="M415" i="6"/>
  <c r="M390" i="6"/>
  <c r="P780" i="6"/>
  <c r="M521" i="6"/>
  <c r="P225" i="6"/>
  <c r="P337" i="6"/>
  <c r="P237" i="6"/>
  <c r="H471" i="6"/>
  <c r="M52" i="6"/>
  <c r="P757" i="6"/>
  <c r="H717" i="6"/>
  <c r="N107" i="6"/>
  <c r="N420" i="6"/>
  <c r="P91" i="6"/>
  <c r="M339" i="6"/>
  <c r="P381" i="6"/>
  <c r="M806" i="6"/>
  <c r="P588" i="6"/>
  <c r="H585" i="6"/>
  <c r="N350" i="6"/>
  <c r="H715" i="6"/>
  <c r="M402" i="6"/>
  <c r="P533" i="6"/>
  <c r="P498" i="6"/>
  <c r="M779" i="6"/>
  <c r="M586" i="6"/>
  <c r="N82" i="6"/>
  <c r="H145" i="6"/>
  <c r="H586" i="6"/>
  <c r="M80" i="6"/>
  <c r="H43" i="6"/>
  <c r="P717" i="6"/>
  <c r="H38" i="6"/>
  <c r="M524" i="6"/>
  <c r="N169" i="6"/>
  <c r="N627" i="6"/>
  <c r="H285" i="6"/>
  <c r="M311" i="6"/>
  <c r="M407" i="6"/>
  <c r="M288" i="6"/>
  <c r="M732" i="6"/>
  <c r="P701" i="6"/>
  <c r="P67" i="6"/>
  <c r="N480" i="6"/>
  <c r="H743" i="6"/>
  <c r="P313" i="6"/>
  <c r="N665" i="6"/>
  <c r="M142" i="6"/>
  <c r="H303" i="6"/>
  <c r="M808" i="6"/>
  <c r="H576" i="6"/>
  <c r="H537" i="6"/>
  <c r="H677" i="6"/>
  <c r="N628" i="6"/>
  <c r="N197" i="6"/>
  <c r="P482" i="6"/>
  <c r="P521" i="6"/>
  <c r="M602" i="6"/>
  <c r="H626" i="6"/>
  <c r="H667" i="6"/>
  <c r="P103" i="6"/>
  <c r="H597" i="6"/>
  <c r="N41" i="6"/>
  <c r="P224" i="6"/>
  <c r="N352" i="6"/>
  <c r="M236" i="6"/>
  <c r="P274" i="6"/>
  <c r="N680" i="6"/>
  <c r="M730" i="6"/>
  <c r="P186" i="6"/>
  <c r="M103" i="6"/>
  <c r="M429" i="6"/>
  <c r="H351" i="6"/>
  <c r="P65" i="6"/>
  <c r="P185" i="6"/>
  <c r="P379" i="6"/>
  <c r="N121" i="6"/>
  <c r="M650" i="6"/>
  <c r="M393" i="6"/>
  <c r="H680" i="6"/>
  <c r="N558" i="6"/>
  <c r="M417" i="6"/>
  <c r="M770" i="6"/>
  <c r="P43" i="6"/>
  <c r="N68" i="6"/>
  <c r="H196" i="6"/>
  <c r="H106" i="6"/>
  <c r="H547" i="6"/>
  <c r="M771" i="6"/>
  <c r="M105" i="6"/>
  <c r="H704" i="6"/>
  <c r="N339" i="6"/>
  <c r="M131" i="6"/>
  <c r="P181" i="6"/>
  <c r="P194" i="6"/>
  <c r="M355" i="6"/>
  <c r="P211" i="6"/>
  <c r="H732" i="6"/>
  <c r="N663" i="6"/>
  <c r="P299" i="6"/>
  <c r="P808" i="6"/>
  <c r="M442" i="6"/>
  <c r="H691" i="6"/>
  <c r="H522" i="6"/>
  <c r="H415" i="6"/>
  <c r="H443" i="6"/>
  <c r="M549" i="6"/>
  <c r="M480" i="6"/>
  <c r="M234" i="6"/>
  <c r="M758" i="6"/>
  <c r="N405" i="6"/>
  <c r="H498" i="6"/>
  <c r="M363" i="6"/>
  <c r="N718" i="6"/>
  <c r="H458" i="6"/>
  <c r="M146" i="6"/>
  <c r="H247" i="6"/>
  <c r="N104" i="6"/>
  <c r="M693" i="6"/>
  <c r="P118" i="6"/>
  <c r="N28" i="6"/>
  <c r="H805" i="6"/>
  <c r="H134" i="6"/>
  <c r="M378" i="6"/>
  <c r="M704" i="6"/>
  <c r="M640" i="6"/>
  <c r="P77" i="6"/>
  <c r="H588" i="6"/>
  <c r="M675" i="6"/>
  <c r="H727" i="6"/>
  <c r="H625" i="6"/>
  <c r="N80" i="6"/>
  <c r="H119" i="6"/>
  <c r="H261" i="6"/>
  <c r="P484" i="6"/>
  <c r="H822" i="6"/>
  <c r="M368" i="6"/>
  <c r="H311" i="6"/>
  <c r="N158" i="6"/>
  <c r="M575" i="6"/>
  <c r="H94" i="6"/>
  <c r="N351" i="6"/>
  <c r="P233" i="6"/>
  <c r="N574" i="6"/>
  <c r="P611" i="6"/>
  <c r="P431" i="6"/>
  <c r="M561" i="6"/>
  <c r="N289" i="6"/>
  <c r="N147" i="6"/>
  <c r="N795" i="6"/>
  <c r="M821" i="6"/>
  <c r="H767" i="6"/>
  <c r="N731" i="6"/>
  <c r="M377" i="6"/>
  <c r="N522" i="6"/>
  <c r="N524" i="6"/>
  <c r="H768" i="6"/>
  <c r="H286" i="6"/>
  <c r="H794" i="6"/>
  <c r="N312" i="6"/>
  <c r="P183" i="6"/>
  <c r="H184" i="6"/>
  <c r="M665" i="6"/>
  <c r="H716" i="6"/>
  <c r="P327" i="6"/>
  <c r="P432" i="6"/>
  <c r="N311" i="6"/>
  <c r="H730" i="6"/>
  <c r="H545" i="6"/>
  <c r="H171" i="6"/>
  <c r="M523" i="6"/>
  <c r="M546" i="6"/>
  <c r="N90" i="6"/>
  <c r="H363" i="6"/>
  <c r="P132" i="6"/>
  <c r="P272" i="6"/>
  <c r="N702" i="6"/>
  <c r="P68" i="6"/>
  <c r="H770" i="6"/>
  <c r="M159" i="6"/>
  <c r="P636" i="6"/>
  <c r="P433" i="6"/>
  <c r="H54" i="6"/>
  <c r="M793" i="6"/>
  <c r="H91" i="6"/>
  <c r="H68" i="6"/>
  <c r="N597" i="6"/>
  <c r="H428" i="6"/>
  <c r="P679" i="6"/>
  <c r="M233" i="6"/>
  <c r="P662" i="6"/>
  <c r="N808" i="6"/>
  <c r="H120" i="6"/>
  <c r="H613" i="6"/>
  <c r="P768" i="6"/>
  <c r="H572" i="6"/>
  <c r="P260" i="6"/>
  <c r="H442" i="6"/>
  <c r="M441" i="6"/>
  <c r="H260" i="6"/>
  <c r="N155" i="6"/>
  <c r="P562" i="6"/>
  <c r="M211" i="6"/>
  <c r="H324" i="6"/>
  <c r="P652" i="6"/>
  <c r="P247" i="6"/>
  <c r="P496" i="6"/>
  <c r="P625" i="6"/>
  <c r="P818" i="6"/>
  <c r="H468" i="6"/>
  <c r="M458" i="6"/>
  <c r="P390" i="6"/>
  <c r="N510" i="6"/>
  <c r="P404" i="6"/>
  <c r="N586" i="6"/>
  <c r="P483" i="6"/>
  <c r="H599" i="6"/>
  <c r="P716" i="6"/>
  <c r="P325" i="6"/>
  <c r="H766" i="6"/>
  <c r="P250" i="6"/>
  <c r="N587" i="6"/>
  <c r="H302" i="6"/>
  <c r="N454" i="6"/>
  <c r="P311" i="6"/>
  <c r="H350" i="6"/>
  <c r="H780" i="6"/>
  <c r="M327" i="6"/>
  <c r="N222" i="6"/>
  <c r="M676" i="6"/>
  <c r="N249" i="6"/>
  <c r="M274" i="6"/>
  <c r="M677" i="6"/>
  <c r="P758" i="6"/>
  <c r="P532" i="6"/>
  <c r="H121" i="6"/>
  <c r="M194" i="6"/>
  <c r="H809" i="6"/>
  <c r="P38" i="6"/>
  <c r="H820" i="6"/>
  <c r="H483" i="6"/>
  <c r="M667" i="6"/>
  <c r="P796" i="6"/>
  <c r="P520" i="6"/>
  <c r="H510" i="6"/>
  <c r="P585" i="6"/>
  <c r="N637" i="6"/>
  <c r="N563" i="6"/>
  <c r="H67" i="6"/>
  <c r="H520" i="6"/>
  <c r="N805" i="6"/>
  <c r="N481" i="6"/>
  <c r="H535" i="6"/>
  <c r="N273" i="6"/>
  <c r="N367" i="6"/>
  <c r="N506" i="6"/>
  <c r="N324" i="6"/>
  <c r="H181" i="6"/>
  <c r="P455" i="6"/>
  <c r="H160" i="6"/>
  <c r="P754" i="6"/>
  <c r="P234" i="6"/>
  <c r="P143" i="6"/>
  <c r="P469" i="6"/>
  <c r="P289" i="6"/>
  <c r="N754" i="6"/>
  <c r="N576" i="6"/>
  <c r="N807" i="6"/>
  <c r="N497" i="6"/>
  <c r="P391" i="6"/>
  <c r="H169" i="6"/>
  <c r="P199" i="6"/>
  <c r="M456" i="6"/>
  <c r="H740" i="6"/>
  <c r="N195" i="6"/>
  <c r="N716" i="6"/>
  <c r="H313" i="6"/>
  <c r="P277" i="6"/>
  <c r="H53" i="6"/>
  <c r="P626" i="6"/>
  <c r="M342" i="6"/>
  <c r="P506" i="6"/>
  <c r="N236" i="6"/>
  <c r="P393" i="6"/>
  <c r="P286" i="6"/>
  <c r="M639" i="6"/>
  <c r="N199" i="6"/>
  <c r="P485" i="6"/>
  <c r="N159" i="6"/>
  <c r="M485" i="6"/>
  <c r="H116" i="6"/>
  <c r="P301" i="6"/>
  <c r="N247" i="6"/>
  <c r="P810" i="6"/>
  <c r="H300" i="6"/>
  <c r="N210" i="6"/>
  <c r="N508" i="6"/>
  <c r="P133" i="6"/>
  <c r="M133" i="6"/>
  <c r="H481" i="6"/>
  <c r="N728" i="6"/>
  <c r="N39" i="6"/>
  <c r="M196" i="6"/>
  <c r="N354" i="6"/>
  <c r="N769" i="6"/>
  <c r="N444" i="6"/>
  <c r="M42" i="6"/>
  <c r="H391" i="6"/>
  <c r="H393" i="6"/>
  <c r="H52" i="6"/>
  <c r="M467" i="6"/>
  <c r="M210" i="6"/>
  <c r="N381" i="6"/>
  <c r="M182" i="6"/>
  <c r="N519" i="6"/>
  <c r="P208" i="6"/>
  <c r="N600" i="6"/>
  <c r="H144" i="6"/>
  <c r="H797" i="6"/>
  <c r="M625" i="6"/>
  <c r="N498" i="6"/>
  <c r="H312" i="6"/>
  <c r="N24" i="6"/>
  <c r="H211" i="6"/>
  <c r="P602" i="6"/>
  <c r="H441" i="6"/>
  <c r="H186" i="6"/>
  <c r="H754" i="6"/>
  <c r="M537" i="6"/>
  <c r="P795" i="6"/>
  <c r="P470" i="6"/>
  <c r="H366" i="6"/>
  <c r="N768" i="6"/>
  <c r="H584" i="6"/>
  <c r="N636" i="6"/>
  <c r="H262" i="6"/>
  <c r="P783" i="6"/>
  <c r="N534" i="6"/>
  <c r="H209" i="6"/>
  <c r="H301" i="6"/>
  <c r="N27" i="6"/>
  <c r="P537" i="6"/>
  <c r="P25" i="6"/>
  <c r="N194" i="6"/>
  <c r="H378" i="6"/>
  <c r="N561" i="6"/>
  <c r="P509" i="6"/>
  <c r="N623" i="6"/>
  <c r="M54" i="6"/>
  <c r="P339" i="6"/>
  <c r="P402" i="6"/>
  <c r="N51" i="6"/>
  <c r="P134" i="6"/>
  <c r="N546" i="6"/>
  <c r="N248" i="6"/>
  <c r="P66" i="6"/>
  <c r="M532" i="6"/>
  <c r="N325" i="6"/>
  <c r="N340" i="6"/>
  <c r="P104" i="6"/>
  <c r="P120" i="6"/>
  <c r="P548" i="6"/>
  <c r="N156" i="6"/>
  <c r="H496" i="6"/>
  <c r="N471" i="6"/>
  <c r="H521" i="6"/>
  <c r="M511" i="6"/>
  <c r="P338" i="6"/>
  <c r="M585" i="6"/>
  <c r="N328" i="6"/>
  <c r="H430" i="6"/>
  <c r="N714" i="6"/>
  <c r="N380" i="6"/>
  <c r="N493" i="6"/>
  <c r="M276" i="6"/>
  <c r="N821" i="6"/>
  <c r="H558" i="6"/>
  <c r="M51" i="6"/>
  <c r="M807" i="6"/>
  <c r="H326" i="6"/>
  <c r="M289" i="6"/>
  <c r="H342" i="6"/>
  <c r="P779" i="6"/>
  <c r="H402" i="6"/>
  <c r="P443" i="6"/>
  <c r="P378" i="6"/>
  <c r="H105" i="6"/>
  <c r="N806" i="6"/>
  <c r="M353" i="6"/>
  <c r="M118" i="6"/>
  <c r="N404" i="6"/>
  <c r="P442" i="6"/>
  <c r="P651" i="6"/>
  <c r="H197" i="6"/>
  <c r="P51" i="6"/>
  <c r="M805" i="6"/>
  <c r="P429" i="6"/>
  <c r="H368" i="6"/>
  <c r="N742" i="6"/>
  <c r="N456" i="6"/>
  <c r="H651" i="6"/>
  <c r="M457" i="6"/>
  <c r="H702" i="6"/>
  <c r="P236" i="6"/>
  <c r="M78" i="6"/>
  <c r="N182" i="6"/>
  <c r="P416" i="6"/>
  <c r="H64" i="6"/>
  <c r="N366" i="6"/>
  <c r="N402" i="6"/>
  <c r="N184" i="6"/>
  <c r="N758" i="6"/>
  <c r="N507" i="6"/>
  <c r="H662" i="6"/>
  <c r="M221" i="6"/>
  <c r="M782" i="6"/>
  <c r="N676" i="6"/>
  <c r="M367" i="6"/>
  <c r="P42" i="6"/>
  <c r="P665" i="6"/>
  <c r="P273" i="6"/>
  <c r="H276" i="6"/>
  <c r="M703" i="6"/>
  <c r="M181" i="6"/>
  <c r="H249" i="6"/>
  <c r="M550" i="6"/>
  <c r="P248" i="6"/>
  <c r="H653" i="6"/>
  <c r="M186" i="6"/>
  <c r="H104" i="6"/>
  <c r="H639" i="6"/>
  <c r="H549" i="6"/>
  <c r="H714" i="6"/>
  <c r="N264" i="6"/>
  <c r="M406" i="6"/>
  <c r="P173" i="6"/>
  <c r="P745" i="6"/>
  <c r="M195" i="6"/>
  <c r="M652" i="6"/>
  <c r="H367" i="6"/>
  <c r="N610" i="6"/>
  <c r="H364" i="6"/>
  <c r="H665" i="6"/>
  <c r="H536" i="6"/>
  <c r="N144" i="6"/>
  <c r="P706" i="6"/>
  <c r="H779" i="6"/>
  <c r="H757" i="6"/>
  <c r="H818" i="6"/>
  <c r="N389" i="6"/>
  <c r="N337" i="6"/>
  <c r="N223" i="6"/>
  <c r="M82" i="6"/>
  <c r="P342" i="6"/>
  <c r="M637" i="6"/>
  <c r="N744" i="6"/>
  <c r="H467" i="6"/>
  <c r="H664" i="6"/>
  <c r="M116" i="6"/>
  <c r="M588" i="6"/>
  <c r="N327" i="6"/>
  <c r="H679" i="6"/>
  <c r="H158" i="6"/>
  <c r="P324" i="6"/>
  <c r="N52" i="6"/>
  <c r="M654" i="6"/>
  <c r="H25" i="6"/>
  <c r="M536" i="6"/>
  <c r="P614" i="6"/>
  <c r="N416" i="6"/>
  <c r="M144" i="6"/>
  <c r="M173" i="6"/>
  <c r="P158" i="6"/>
  <c r="H383" i="5"/>
  <c r="H920" i="5"/>
  <c r="H657" i="5"/>
  <c r="H683" i="5"/>
  <c r="H944" i="5"/>
  <c r="H882" i="5"/>
  <c r="H63" i="5"/>
  <c r="H866" i="5"/>
  <c r="H632" i="5"/>
  <c r="H154" i="5"/>
  <c r="H985" i="5"/>
  <c r="H287" i="5"/>
  <c r="H222" i="5"/>
  <c r="H886" i="5"/>
  <c r="H27" i="5"/>
  <c r="H215" i="5"/>
  <c r="H53" i="5"/>
  <c r="H320" i="5"/>
  <c r="H784" i="5"/>
  <c r="H81" i="5"/>
  <c r="H120" i="5"/>
  <c r="H422" i="5"/>
  <c r="H623" i="5"/>
  <c r="H660" i="5"/>
  <c r="H724" i="5"/>
  <c r="H104" i="5"/>
  <c r="H231" i="5"/>
  <c r="H727" i="5"/>
  <c r="H801" i="5"/>
  <c r="H333" i="5"/>
  <c r="H304" i="5"/>
  <c r="H712" i="5"/>
  <c r="H903" i="5"/>
  <c r="H332" i="5"/>
  <c r="H747" i="5"/>
  <c r="H336" i="5"/>
  <c r="H758" i="5"/>
  <c r="H216" i="5"/>
  <c r="H802" i="5"/>
  <c r="H520" i="5"/>
  <c r="H473" i="5"/>
  <c r="H504" i="5"/>
  <c r="H997" i="5"/>
  <c r="H387" i="5"/>
  <c r="H494" i="5"/>
  <c r="H921" i="5"/>
  <c r="H77" i="5"/>
  <c r="H417" i="5"/>
  <c r="H1066" i="5"/>
  <c r="H864" i="5"/>
  <c r="H31" i="5"/>
  <c r="H709" i="5"/>
  <c r="H457" i="5"/>
  <c r="H631" i="5"/>
  <c r="H597" i="5"/>
  <c r="H1053" i="5"/>
  <c r="H530" i="5"/>
  <c r="H690" i="5"/>
  <c r="H861" i="5"/>
  <c r="H980" i="5"/>
  <c r="H479" i="5"/>
  <c r="H982" i="5"/>
  <c r="H828" i="5"/>
  <c r="H832" i="5"/>
  <c r="H894" i="5"/>
  <c r="H356" i="5"/>
  <c r="H869" i="5"/>
  <c r="H477" i="5"/>
  <c r="H88" i="5"/>
  <c r="H237" i="5"/>
  <c r="H254" i="5"/>
  <c r="H424" i="5"/>
  <c r="H257" i="5"/>
  <c r="H897" i="5"/>
  <c r="H486" i="5"/>
  <c r="H66" i="5"/>
  <c r="H386" i="5"/>
  <c r="H82" i="5"/>
  <c r="H196" i="5"/>
  <c r="H929" i="5"/>
  <c r="H966" i="5"/>
  <c r="H273" i="5"/>
  <c r="H307" i="5"/>
  <c r="H80" i="5"/>
  <c r="H700" i="5"/>
  <c r="H67" i="5"/>
  <c r="H945" i="5"/>
  <c r="H368" i="5"/>
  <c r="H829" i="5"/>
  <c r="H488" i="5"/>
  <c r="H34" i="5"/>
  <c r="H860" i="5"/>
  <c r="H453" i="5"/>
  <c r="H100" i="5"/>
  <c r="H324" i="5"/>
  <c r="H794" i="5"/>
  <c r="H819" i="5"/>
  <c r="H1004" i="5"/>
  <c r="H911" i="5"/>
  <c r="H917" i="5"/>
  <c r="H70" i="5"/>
  <c r="H438" i="5"/>
  <c r="H916" i="5"/>
  <c r="H132" i="5"/>
  <c r="H25" i="5"/>
  <c r="H759" i="5"/>
  <c r="H638" i="5"/>
  <c r="H529" i="5"/>
  <c r="H230" i="5"/>
  <c r="H455" i="5"/>
  <c r="H592" i="5"/>
  <c r="H809" i="5"/>
  <c r="H1050" i="5"/>
  <c r="H844" i="5"/>
  <c r="H798" i="5"/>
  <c r="H507" i="5"/>
  <c r="H461" i="5"/>
  <c r="H936" i="5"/>
  <c r="H611" i="5"/>
  <c r="H689" i="5"/>
  <c r="H117" i="5"/>
  <c r="H232" i="5"/>
  <c r="H203" i="5"/>
  <c r="H730" i="5"/>
  <c r="H588" i="5"/>
  <c r="H478" i="5"/>
  <c r="H166" i="5"/>
  <c r="H445" i="5"/>
  <c r="H291" i="5"/>
  <c r="H947" i="5"/>
  <c r="H369" i="5"/>
  <c r="H43" i="5"/>
  <c r="H207" i="5"/>
  <c r="H851" i="5"/>
  <c r="H666" i="5"/>
  <c r="H664" i="5"/>
  <c r="H699" i="5"/>
  <c r="H253" i="5"/>
  <c r="H800" i="5"/>
  <c r="H877" i="5"/>
  <c r="H919" i="5"/>
  <c r="H766" i="5"/>
  <c r="H598" i="5"/>
  <c r="H825" i="5"/>
  <c r="H303" i="5"/>
  <c r="H505" i="5"/>
  <c r="H184" i="5"/>
  <c r="H978" i="5"/>
  <c r="H1063" i="5"/>
  <c r="H164" i="5"/>
  <c r="H725" i="5"/>
  <c r="H270" i="5"/>
  <c r="H964" i="5"/>
  <c r="H223" i="5"/>
  <c r="H868" i="5"/>
  <c r="H928" i="5"/>
  <c r="H269" i="5"/>
  <c r="H728" i="5"/>
  <c r="H342" i="5"/>
  <c r="H627" i="5"/>
  <c r="H972" i="5"/>
  <c r="H419" i="5"/>
  <c r="H870" i="5"/>
  <c r="H234" i="5"/>
  <c r="H648" i="5"/>
  <c r="H1036" i="5"/>
  <c r="H761" i="5"/>
  <c r="H188" i="5"/>
  <c r="H572" i="5"/>
  <c r="H251" i="5"/>
  <c r="H301" i="5"/>
  <c r="H197" i="5"/>
  <c r="H713" i="5"/>
  <c r="H86" i="5"/>
  <c r="H998" i="5"/>
  <c r="H1015" i="5"/>
  <c r="H1047" i="5"/>
  <c r="H757" i="5"/>
  <c r="H779" i="5"/>
  <c r="H60" i="5"/>
  <c r="H96" i="5"/>
  <c r="H775" i="5"/>
  <c r="H642" i="5"/>
  <c r="H163" i="5"/>
  <c r="H1072" i="5"/>
  <c r="H122" i="5"/>
  <c r="H247" i="5"/>
  <c r="H883" i="5"/>
  <c r="H452" i="5"/>
  <c r="H200" i="5"/>
  <c r="H750" i="5"/>
  <c r="H644" i="5"/>
  <c r="H865" i="5"/>
  <c r="H953" i="5"/>
  <c r="H555" i="5"/>
  <c r="H774" i="5"/>
  <c r="H693" i="5"/>
  <c r="H658" i="5"/>
  <c r="H987" i="5"/>
  <c r="H1035" i="5"/>
  <c r="H298" i="5"/>
  <c r="H468" i="5"/>
  <c r="H999" i="5"/>
  <c r="H491" i="5"/>
  <c r="H236" i="5"/>
  <c r="H489" i="5"/>
  <c r="H573" i="5"/>
  <c r="H831" i="5"/>
  <c r="H876" i="5"/>
  <c r="H717" i="5"/>
  <c r="H665" i="5"/>
  <c r="H625" i="5"/>
  <c r="H460" i="5"/>
  <c r="H402" i="5"/>
  <c r="H988" i="5"/>
  <c r="H189" i="5"/>
  <c r="H879" i="5"/>
  <c r="H1046" i="5"/>
  <c r="H655" i="5"/>
  <c r="H147" i="5"/>
  <c r="H938" i="5"/>
  <c r="H691" i="5"/>
  <c r="H1017" i="5"/>
  <c r="H475" i="5"/>
  <c r="H218" i="5"/>
  <c r="H265" i="5"/>
  <c r="H989" i="5"/>
  <c r="H541" i="5"/>
  <c r="H591" i="5"/>
  <c r="H540" i="5"/>
  <c r="H745" i="5"/>
  <c r="H485" i="5"/>
  <c r="H390" i="5"/>
  <c r="H360" i="5"/>
  <c r="H350" i="5"/>
  <c r="H948" i="5"/>
  <c r="H152" i="5"/>
  <c r="H547" i="5"/>
  <c r="H186" i="5"/>
  <c r="H199" i="5"/>
  <c r="H614" i="5"/>
  <c r="H522" i="5"/>
  <c r="H937" i="5"/>
  <c r="H558" i="5"/>
  <c r="H678" i="5"/>
  <c r="H101" i="5"/>
  <c r="H647" i="5"/>
  <c r="H594" i="5"/>
  <c r="H62" i="5"/>
  <c r="H1069" i="5"/>
  <c r="H792" i="5"/>
  <c r="H624" i="5"/>
  <c r="H495" i="5"/>
  <c r="H46" i="5"/>
  <c r="H69" i="5"/>
  <c r="H843" i="5"/>
  <c r="H421" i="5"/>
  <c r="H103" i="5"/>
  <c r="H435" i="5"/>
  <c r="H571" i="5"/>
  <c r="H546" i="5"/>
  <c r="H145" i="5"/>
  <c r="H283" i="5"/>
  <c r="H32" i="5"/>
  <c r="H695" i="5"/>
  <c r="H1032" i="5"/>
  <c r="H581" i="5"/>
  <c r="H912" i="5"/>
  <c r="H900" i="5"/>
  <c r="H1070" i="5"/>
  <c r="H376" i="5"/>
  <c r="H240" i="5"/>
  <c r="H393" i="5"/>
  <c r="H334" i="5"/>
  <c r="H1013" i="5"/>
  <c r="H995" i="5"/>
  <c r="H451" i="5"/>
  <c r="H30" i="5"/>
  <c r="H343" i="5"/>
  <c r="H954" i="5"/>
  <c r="H613" i="5"/>
  <c r="H180" i="5"/>
  <c r="H902" i="5"/>
  <c r="H896" i="5"/>
  <c r="H384" i="5"/>
  <c r="H673" i="5"/>
  <c r="H271" i="5"/>
  <c r="H420" i="5"/>
  <c r="H951" i="5"/>
  <c r="H168" i="5"/>
  <c r="H131" i="5"/>
  <c r="H776" i="5"/>
  <c r="H643" i="5"/>
  <c r="H258" i="5"/>
  <c r="H339" i="5"/>
  <c r="H692" i="5"/>
  <c r="H64" i="5"/>
  <c r="H862" i="5"/>
  <c r="H274" i="5"/>
  <c r="H610" i="5"/>
  <c r="H286" i="5"/>
  <c r="H895" i="5"/>
  <c r="H543" i="5"/>
  <c r="H471" i="5"/>
  <c r="H1056" i="5"/>
  <c r="H282" i="5"/>
  <c r="H401" i="5"/>
  <c r="H325" i="5"/>
  <c r="H321" i="5"/>
  <c r="H815" i="5"/>
  <c r="H1051" i="5"/>
  <c r="H615" i="5"/>
  <c r="H661" i="5"/>
  <c r="H202" i="5"/>
  <c r="H1000" i="5"/>
  <c r="H742" i="5"/>
  <c r="H523" i="5"/>
  <c r="H793" i="5"/>
  <c r="H148" i="5"/>
  <c r="H970" i="5"/>
  <c r="H931" i="5"/>
  <c r="H437" i="5"/>
  <c r="H410" i="5"/>
  <c r="H716" i="5"/>
  <c r="H904" i="5"/>
  <c r="H1067" i="5"/>
  <c r="H563" i="5"/>
  <c r="H880" i="5"/>
  <c r="H777" i="5"/>
  <c r="H542" i="5"/>
  <c r="H48" i="5"/>
  <c r="H674" i="5"/>
  <c r="H641" i="5"/>
  <c r="H795" i="5"/>
  <c r="H308" i="5"/>
  <c r="H115" i="5"/>
  <c r="H506" i="5"/>
  <c r="H749" i="5"/>
  <c r="H267" i="5"/>
  <c r="H570" i="5"/>
  <c r="H1064" i="5"/>
  <c r="H593" i="5"/>
  <c r="H403" i="5"/>
  <c r="H252" i="5"/>
  <c r="H961" i="5"/>
  <c r="H146" i="5"/>
  <c r="H813" i="5"/>
  <c r="H318" i="5"/>
  <c r="H388" i="5"/>
  <c r="H834" i="5"/>
  <c r="H1012" i="5"/>
  <c r="H165" i="5"/>
  <c r="H83" i="5"/>
  <c r="H605" i="5"/>
  <c r="H1021" i="5"/>
  <c r="H1073" i="5"/>
  <c r="H434" i="5"/>
  <c r="H659" i="5"/>
  <c r="H1049" i="5"/>
  <c r="H359" i="5"/>
  <c r="H596" i="5"/>
  <c r="H1040" i="5"/>
  <c r="H525" i="5"/>
  <c r="H817" i="5"/>
  <c r="H887" i="5"/>
  <c r="H744" i="5"/>
  <c r="H201" i="5"/>
  <c r="H836" i="5"/>
  <c r="H436" i="5"/>
  <c r="H217" i="5"/>
  <c r="H679" i="5"/>
  <c r="H309" i="5"/>
  <c r="H190" i="5"/>
  <c r="H878" i="5"/>
  <c r="H524" i="5"/>
  <c r="H827" i="5"/>
  <c r="H26" i="5"/>
  <c r="H351" i="5"/>
  <c r="H785" i="5"/>
  <c r="H439" i="5"/>
  <c r="H723" i="5"/>
  <c r="H640" i="5"/>
  <c r="H1005" i="5"/>
  <c r="H560" i="5"/>
  <c r="H198" i="5"/>
  <c r="H172" i="5"/>
  <c r="H963" i="5"/>
  <c r="H54" i="5"/>
  <c r="H852" i="5"/>
  <c r="H285" i="5"/>
  <c r="H848" i="5"/>
  <c r="H556" i="5"/>
  <c r="H113" i="5"/>
  <c r="H1031" i="5"/>
  <c r="H389" i="5"/>
  <c r="H441" i="5"/>
  <c r="H118" i="5"/>
  <c r="H133" i="5"/>
  <c r="H1039" i="5"/>
  <c r="H783" i="5"/>
  <c r="H105" i="5"/>
  <c r="H116" i="5"/>
  <c r="H511" i="5"/>
  <c r="H521" i="5"/>
  <c r="H609" i="5"/>
  <c r="H797" i="5"/>
  <c r="H762" i="5"/>
  <c r="H371" i="5"/>
  <c r="H185" i="5"/>
  <c r="H554" i="5"/>
  <c r="H1074" i="5"/>
  <c r="H835" i="5"/>
  <c r="H370" i="5"/>
  <c r="H934" i="5"/>
  <c r="H443" i="5"/>
  <c r="H338" i="5"/>
  <c r="H50" i="5"/>
  <c r="H45" i="5"/>
  <c r="H114" i="5"/>
  <c r="H796" i="5"/>
  <c r="H562" i="5"/>
  <c r="H162" i="5"/>
  <c r="H440" i="5"/>
  <c r="H763" i="5"/>
  <c r="H768" i="5"/>
  <c r="H266" i="5"/>
  <c r="H913" i="5"/>
  <c r="H275" i="5"/>
  <c r="H519" i="5"/>
  <c r="H863" i="5"/>
  <c r="H281" i="5"/>
  <c r="H28" i="5"/>
  <c r="H385" i="5"/>
  <c r="H121" i="5"/>
  <c r="H268" i="5"/>
  <c r="H1001" i="5"/>
  <c r="H1002" i="5"/>
  <c r="H322" i="5"/>
  <c r="H149" i="5"/>
  <c r="H933" i="5"/>
  <c r="H711" i="5"/>
  <c r="H979" i="5"/>
  <c r="H810" i="5"/>
  <c r="H44" i="5"/>
  <c r="H899" i="5"/>
  <c r="H760" i="5"/>
  <c r="H579" i="5"/>
  <c r="H250" i="5"/>
  <c r="H677" i="5"/>
  <c r="H130" i="5"/>
  <c r="H155" i="5"/>
  <c r="H326" i="5"/>
  <c r="H111" i="5"/>
  <c r="H151" i="5"/>
  <c r="H462" i="5"/>
  <c r="H818" i="5"/>
  <c r="H256" i="5"/>
  <c r="H740" i="5"/>
  <c r="H503" i="5"/>
  <c r="H930" i="5"/>
  <c r="H284" i="5"/>
  <c r="H135" i="5"/>
  <c r="H470" i="5"/>
  <c r="H968" i="5"/>
  <c r="H1006" i="5"/>
  <c r="H353" i="5"/>
  <c r="H847" i="5"/>
  <c r="H846" i="5"/>
  <c r="H456" i="5"/>
  <c r="H1038" i="5"/>
  <c r="H183" i="5"/>
  <c r="H490" i="5"/>
  <c r="H509" i="5"/>
  <c r="H842" i="5"/>
  <c r="H587" i="5"/>
  <c r="H780" i="5"/>
  <c r="H167" i="5"/>
  <c r="H946" i="5"/>
  <c r="H372" i="5"/>
  <c r="H205" i="5"/>
  <c r="H173" i="5"/>
  <c r="H139" i="5"/>
  <c r="H662" i="5"/>
  <c r="H375" i="5"/>
  <c r="H698" i="5"/>
  <c r="H487" i="5"/>
  <c r="H751" i="5"/>
  <c r="H962" i="5"/>
  <c r="H404" i="5"/>
  <c r="H1014" i="5"/>
  <c r="H649" i="5"/>
  <c r="H626" i="5"/>
  <c r="H971" i="5"/>
  <c r="H559" i="5"/>
  <c r="H955" i="5"/>
  <c r="H741" i="5"/>
  <c r="H316" i="5"/>
  <c r="H639" i="5"/>
  <c r="H79" i="5"/>
  <c r="H893" i="5"/>
  <c r="H1057" i="5"/>
  <c r="H681" i="5"/>
  <c r="H502" i="5"/>
  <c r="H606" i="5"/>
  <c r="H767" i="5"/>
  <c r="H682" i="5"/>
  <c r="H239" i="5"/>
  <c r="H950" i="5"/>
  <c r="H853" i="5"/>
  <c r="H729" i="5"/>
  <c r="H965" i="5"/>
  <c r="H590" i="5"/>
  <c r="H589" i="5"/>
  <c r="H214" i="5"/>
  <c r="H1055" i="5"/>
  <c r="H496" i="5"/>
  <c r="H87" i="5"/>
  <c r="H392" i="5"/>
  <c r="H35" i="5"/>
  <c r="H830" i="5"/>
  <c r="H932" i="5"/>
  <c r="H290" i="5"/>
  <c r="H337" i="5"/>
  <c r="H134" i="5"/>
  <c r="H300" i="5"/>
  <c r="H814" i="5"/>
  <c r="H885" i="5"/>
  <c r="H513" i="5"/>
  <c r="H1018" i="5"/>
  <c r="H179" i="5"/>
  <c r="H1065" i="5"/>
  <c r="H95" i="5"/>
  <c r="H707" i="5"/>
  <c r="H1033" i="5"/>
  <c r="H377" i="5"/>
  <c r="H1023" i="5"/>
  <c r="H409" i="5"/>
  <c r="H220" i="5"/>
  <c r="H791" i="5"/>
  <c r="H292" i="5"/>
  <c r="H264" i="5"/>
  <c r="H608" i="5"/>
  <c r="H537" i="5"/>
  <c r="H213" i="5"/>
  <c r="H427" i="5"/>
  <c r="H910" i="5"/>
  <c r="H672" i="5"/>
  <c r="H317" i="5"/>
  <c r="H97" i="5"/>
  <c r="H129" i="5"/>
  <c r="H150" i="5"/>
  <c r="H302" i="5"/>
  <c r="H604" i="5"/>
  <c r="H694" i="5"/>
  <c r="H508" i="5"/>
  <c r="H426" i="5"/>
  <c r="H128" i="5"/>
  <c r="H406" i="5"/>
  <c r="H84" i="5"/>
  <c r="H733" i="5"/>
  <c r="H914" i="5"/>
  <c r="H219" i="5"/>
  <c r="H575" i="5"/>
  <c r="H49" i="5"/>
  <c r="H528" i="5"/>
  <c r="H98" i="5"/>
  <c r="H373" i="5"/>
  <c r="H47" i="5"/>
  <c r="H696" i="5"/>
  <c r="H715" i="5"/>
  <c r="H743" i="5"/>
  <c r="H169" i="5"/>
  <c r="H536" i="5"/>
  <c r="H248" i="5"/>
  <c r="H1019" i="5"/>
  <c r="H341" i="5"/>
  <c r="H811" i="5"/>
  <c r="H557" i="5"/>
  <c r="H580" i="5"/>
  <c r="H983" i="5"/>
  <c r="H472" i="5"/>
  <c r="H358" i="5"/>
  <c r="H305" i="5"/>
  <c r="H355" i="5"/>
  <c r="H288" i="5"/>
  <c r="H224" i="5"/>
  <c r="H984" i="5"/>
  <c r="H526" i="5"/>
  <c r="H574" i="5"/>
  <c r="H1034" i="5"/>
  <c r="H512" i="5"/>
  <c r="H553" i="5"/>
  <c r="H71" i="5"/>
  <c r="H845" i="5"/>
  <c r="H826" i="5"/>
  <c r="H996" i="5"/>
  <c r="H628" i="5"/>
  <c r="H474" i="5"/>
  <c r="H630" i="5"/>
  <c r="H61" i="5"/>
  <c r="H181" i="5"/>
  <c r="H94" i="5"/>
  <c r="H78" i="5"/>
  <c r="H241" i="5"/>
  <c r="H808" i="5"/>
  <c r="H137" i="5"/>
  <c r="H710" i="5"/>
  <c r="H764" i="5"/>
  <c r="H138" i="5"/>
  <c r="H708" i="5"/>
  <c r="H577" i="5"/>
  <c r="H915" i="5"/>
  <c r="H781" i="5"/>
  <c r="H366" i="5"/>
  <c r="H99" i="5"/>
  <c r="H29" i="5"/>
  <c r="H726" i="5"/>
  <c r="H564" i="5"/>
  <c r="H734" i="5"/>
  <c r="H233" i="5"/>
  <c r="H732" i="5"/>
  <c r="H354" i="5"/>
  <c r="H315" i="5"/>
  <c r="H394" i="5"/>
  <c r="H1016" i="5"/>
  <c r="H1048" i="5"/>
  <c r="H405" i="5"/>
  <c r="H444" i="5"/>
  <c r="H545" i="5"/>
  <c r="H981" i="5"/>
  <c r="H458" i="5"/>
  <c r="H1030" i="5"/>
  <c r="H65" i="5"/>
  <c r="H706" i="5"/>
  <c r="H1052" i="5"/>
  <c r="H418" i="5"/>
  <c r="H859" i="5"/>
  <c r="H576" i="5"/>
  <c r="H299" i="5"/>
  <c r="H319" i="5"/>
  <c r="H746" i="5"/>
  <c r="H407" i="5"/>
  <c r="H411" i="5"/>
  <c r="H171" i="5"/>
  <c r="H52" i="5"/>
  <c r="H881" i="5"/>
  <c r="H335" i="5"/>
  <c r="H349" i="5"/>
  <c r="H967" i="5"/>
  <c r="H423" i="5"/>
  <c r="H645" i="5"/>
  <c r="H538" i="5"/>
  <c r="H182" i="5"/>
  <c r="H898" i="5"/>
  <c r="H400" i="5"/>
  <c r="H469" i="5"/>
  <c r="H249" i="5"/>
  <c r="H656" i="5"/>
  <c r="H36" i="5"/>
  <c r="H927" i="5"/>
  <c r="H622" i="5"/>
  <c r="H607" i="5"/>
  <c r="H812" i="5"/>
  <c r="H621" i="5"/>
  <c r="H539" i="5"/>
  <c r="H676" i="5"/>
  <c r="H156" i="5"/>
  <c r="H235" i="5"/>
  <c r="H428" i="5"/>
  <c r="H1068" i="5"/>
  <c r="H1022" i="5"/>
  <c r="H778" i="5"/>
  <c r="H206" i="5"/>
  <c r="H112" i="5"/>
  <c r="H1029" i="5"/>
  <c r="H949" i="5"/>
  <c r="H849" i="5"/>
  <c r="H454" i="5"/>
  <c r="H675" i="5"/>
  <c r="H367" i="5"/>
  <c r="H492" i="5"/>
  <c r="H352" i="5"/>
  <c r="B27" i="4"/>
  <c r="B35" i="4"/>
  <c r="B19" i="4"/>
  <c r="M202" i="6" l="1"/>
  <c r="M200" i="6"/>
  <c r="H7" i="5"/>
  <c r="H98" i="6"/>
  <c r="H96" i="6"/>
  <c r="H709" i="6"/>
  <c r="H707" i="6"/>
  <c r="H527" i="5"/>
  <c r="H531" i="5" s="1"/>
  <c r="N785" i="6"/>
  <c r="N787" i="6"/>
  <c r="M761" i="6"/>
  <c r="M759" i="6"/>
  <c r="P657" i="6"/>
  <c r="P655" i="6"/>
  <c r="N486" i="6"/>
  <c r="N488" i="6"/>
  <c r="N8" i="6"/>
  <c r="N813" i="6"/>
  <c r="N811" i="6"/>
  <c r="P369" i="6"/>
  <c r="P371" i="6"/>
  <c r="H202" i="6"/>
  <c r="H200" i="6"/>
  <c r="H561" i="5"/>
  <c r="H565" i="5" s="1"/>
  <c r="H553" i="6"/>
  <c r="H551" i="6"/>
  <c r="H136" i="5"/>
  <c r="H140" i="5" s="1"/>
  <c r="N460" i="6"/>
  <c r="N462" i="6"/>
  <c r="H425" i="5"/>
  <c r="H429" i="5" s="1"/>
  <c r="H135" i="6"/>
  <c r="H137" i="6"/>
  <c r="M772" i="6"/>
  <c r="M774" i="6"/>
  <c r="H952" i="5"/>
  <c r="H956" i="5" s="1"/>
  <c r="H731" i="5"/>
  <c r="H735" i="5" s="1"/>
  <c r="H187" i="5"/>
  <c r="H191" i="5" s="1"/>
  <c r="H449" i="6"/>
  <c r="H447" i="6"/>
  <c r="P423" i="6"/>
  <c r="P421" i="6"/>
  <c r="H486" i="6"/>
  <c r="H488" i="6"/>
  <c r="M85" i="6"/>
  <c r="M83" i="6"/>
  <c r="H408" i="5"/>
  <c r="H412" i="5" s="1"/>
  <c r="M7" i="6"/>
  <c r="H867" i="5"/>
  <c r="H871" i="5" s="1"/>
  <c r="N241" i="6"/>
  <c r="N239" i="6"/>
  <c r="M187" i="6"/>
  <c r="M189" i="6"/>
  <c r="H345" i="6"/>
  <c r="H33" i="5"/>
  <c r="H37" i="5" s="1"/>
  <c r="H6" i="5"/>
  <c r="M9" i="6"/>
  <c r="P592" i="6"/>
  <c r="P590" i="6"/>
  <c r="N135" i="6"/>
  <c r="N137" i="6"/>
  <c r="H153" i="5"/>
  <c r="H157" i="5" s="1"/>
  <c r="P629" i="6"/>
  <c r="P631" i="6"/>
  <c r="P254" i="6"/>
  <c r="P252" i="6"/>
  <c r="N748" i="6"/>
  <c r="N746" i="6"/>
  <c r="P278" i="6"/>
  <c r="P280" i="6"/>
  <c r="H772" i="6"/>
  <c r="H774" i="6"/>
  <c r="H510" i="5"/>
  <c r="H514" i="5" s="1"/>
  <c r="H255" i="5"/>
  <c r="H259" i="5" s="1"/>
  <c r="H11" i="6"/>
  <c r="H7" i="6"/>
  <c r="H32" i="6"/>
  <c r="H6" i="6"/>
  <c r="H30" i="6"/>
  <c r="M462" i="6"/>
  <c r="M460" i="6"/>
  <c r="N10" i="6"/>
  <c r="M694" i="6"/>
  <c r="M696" i="6"/>
  <c r="P707" i="6"/>
  <c r="P709" i="6"/>
  <c r="M278" i="6"/>
  <c r="M280" i="6"/>
  <c r="H816" i="5"/>
  <c r="H820" i="5" s="1"/>
  <c r="M566" i="6"/>
  <c r="M564" i="6"/>
  <c r="H564" i="6"/>
  <c r="H566" i="6"/>
  <c r="H358" i="6"/>
  <c r="H356" i="6"/>
  <c r="H476" i="5"/>
  <c r="H480" i="5" s="1"/>
  <c r="P317" i="6"/>
  <c r="P319" i="6"/>
  <c r="M369" i="6"/>
  <c r="M371" i="6"/>
  <c r="H544" i="5"/>
  <c r="H548" i="5" s="1"/>
  <c r="N616" i="6"/>
  <c r="N618" i="6"/>
  <c r="P501" i="6"/>
  <c r="P499" i="6"/>
  <c r="N421" i="6"/>
  <c r="N423" i="6"/>
  <c r="H12" i="5"/>
  <c r="H176" i="6"/>
  <c r="H174" i="6"/>
  <c r="H918" i="5"/>
  <c r="H922" i="5" s="1"/>
  <c r="H646" i="5"/>
  <c r="H650" i="5" s="1"/>
  <c r="P85" i="6"/>
  <c r="P83" i="6"/>
  <c r="P785" i="6"/>
  <c r="P787" i="6"/>
  <c r="H85" i="5"/>
  <c r="H89" i="5" s="1"/>
  <c r="N577" i="6"/>
  <c r="N579" i="6"/>
  <c r="H161" i="6"/>
  <c r="H163" i="6"/>
  <c r="P605" i="6"/>
  <c r="P603" i="6"/>
  <c r="M332" i="6"/>
  <c r="M330" i="6"/>
  <c r="H798" i="6"/>
  <c r="H800" i="6"/>
  <c r="N410" i="6"/>
  <c r="N408" i="6"/>
  <c r="N46" i="6"/>
  <c r="N44" i="6"/>
  <c r="H579" i="6"/>
  <c r="H577" i="6"/>
  <c r="H8" i="6"/>
  <c r="H697" i="5"/>
  <c r="H701" i="5" s="1"/>
  <c r="H538" i="6"/>
  <c r="H540" i="6"/>
  <c r="H382" i="6"/>
  <c r="H384" i="6"/>
  <c r="M267" i="6"/>
  <c r="M265" i="6"/>
  <c r="H239" i="6"/>
  <c r="H241" i="6"/>
  <c r="H254" i="6"/>
  <c r="H252" i="6"/>
  <c r="H512" i="6"/>
  <c r="H514" i="6"/>
  <c r="P59" i="6"/>
  <c r="P57" i="6"/>
  <c r="H605" i="6"/>
  <c r="H603" i="6"/>
  <c r="P538" i="6"/>
  <c r="P540" i="6"/>
  <c r="M551" i="6"/>
  <c r="M553" i="6"/>
  <c r="M826" i="6"/>
  <c r="M824" i="6"/>
  <c r="H746" i="6"/>
  <c r="H748" i="6"/>
  <c r="H280" i="6"/>
  <c r="H278" i="6"/>
  <c r="H8" i="5"/>
  <c r="P579" i="6"/>
  <c r="P577" i="6"/>
  <c r="M11" i="6"/>
  <c r="P774" i="6"/>
  <c r="P772" i="6"/>
  <c r="H824" i="6"/>
  <c r="H826" i="6"/>
  <c r="H11" i="5"/>
  <c r="H680" i="5"/>
  <c r="H684" i="5" s="1"/>
  <c r="M124" i="6"/>
  <c r="M122" i="6"/>
  <c r="H748" i="5"/>
  <c r="H752" i="5" s="1"/>
  <c r="H68" i="5"/>
  <c r="H72" i="5" s="1"/>
  <c r="P670" i="6"/>
  <c r="P668" i="6"/>
  <c r="H765" i="5"/>
  <c r="H769" i="5" s="1"/>
  <c r="P293" i="6"/>
  <c r="P291" i="6"/>
  <c r="H9" i="6"/>
  <c r="P7" i="6"/>
  <c r="H578" i="5"/>
  <c r="H582" i="5" s="1"/>
  <c r="M317" i="6"/>
  <c r="M319" i="6"/>
  <c r="H272" i="5"/>
  <c r="H276" i="5" s="1"/>
  <c r="H735" i="6"/>
  <c r="H733" i="6"/>
  <c r="M577" i="6"/>
  <c r="M579" i="6"/>
  <c r="N395" i="6"/>
  <c r="N397" i="6"/>
  <c r="N161" i="6"/>
  <c r="N163" i="6"/>
  <c r="P798" i="6"/>
  <c r="P800" i="6"/>
  <c r="N9" i="6"/>
  <c r="M616" i="6"/>
  <c r="M618" i="6"/>
  <c r="H694" i="6"/>
  <c r="H696" i="6"/>
  <c r="H799" i="5"/>
  <c r="H803" i="5" s="1"/>
  <c r="H111" i="6"/>
  <c r="H109" i="6"/>
  <c r="P735" i="6"/>
  <c r="P733" i="6"/>
  <c r="H70" i="6"/>
  <c r="H72" i="6"/>
  <c r="P410" i="6"/>
  <c r="P408" i="6"/>
  <c r="H51" i="5"/>
  <c r="H55" i="5" s="1"/>
  <c r="H901" i="5"/>
  <c r="H905" i="5" s="1"/>
  <c r="H267" i="6"/>
  <c r="H265" i="6"/>
  <c r="N317" i="6"/>
  <c r="N319" i="6"/>
  <c r="N384" i="6"/>
  <c r="N382" i="6"/>
  <c r="H170" i="5"/>
  <c r="H174" i="5" s="1"/>
  <c r="H629" i="5"/>
  <c r="H633" i="5" s="1"/>
  <c r="M174" i="6"/>
  <c r="M176" i="6"/>
  <c r="N527" i="6"/>
  <c r="N525" i="6"/>
  <c r="N332" i="6"/>
  <c r="N330" i="6"/>
  <c r="N85" i="6"/>
  <c r="N83" i="6"/>
  <c r="P683" i="6"/>
  <c r="P681" i="6"/>
  <c r="M785" i="6"/>
  <c r="M787" i="6"/>
  <c r="M254" i="6"/>
  <c r="M252" i="6"/>
  <c r="P527" i="6"/>
  <c r="P525" i="6"/>
  <c r="H213" i="6"/>
  <c r="H215" i="6"/>
  <c r="H668" i="6"/>
  <c r="H670" i="6"/>
  <c r="P395" i="6"/>
  <c r="P397" i="6"/>
  <c r="H1054" i="5"/>
  <c r="H1058" i="5" s="1"/>
  <c r="N252" i="6"/>
  <c r="N254" i="6"/>
  <c r="N187" i="6"/>
  <c r="N189" i="6"/>
  <c r="H616" i="6"/>
  <c r="H618" i="6"/>
  <c r="P811" i="6"/>
  <c r="P813" i="6"/>
  <c r="N642" i="6"/>
  <c r="N644" i="6"/>
  <c r="M746" i="6"/>
  <c r="M748" i="6"/>
  <c r="P343" i="6"/>
  <c r="P345" i="6"/>
  <c r="N70" i="6"/>
  <c r="N72" i="6"/>
  <c r="H612" i="5"/>
  <c r="H616" i="5" s="1"/>
  <c r="H436" i="6"/>
  <c r="H434" i="6"/>
  <c r="H391" i="5"/>
  <c r="H395" i="5" s="1"/>
  <c r="M655" i="6"/>
  <c r="M657" i="6"/>
  <c r="H642" i="6"/>
  <c r="H644" i="6"/>
  <c r="H813" i="6"/>
  <c r="H811" i="6"/>
  <c r="N475" i="6"/>
  <c r="N473" i="6"/>
  <c r="H442" i="5"/>
  <c r="H446" i="5" s="1"/>
  <c r="H475" i="6"/>
  <c r="H473" i="6"/>
  <c r="H323" i="5"/>
  <c r="H327" i="5" s="1"/>
  <c r="H238" i="5"/>
  <c r="H242" i="5" s="1"/>
  <c r="H357" i="5"/>
  <c r="H361" i="5" s="1"/>
  <c r="N174" i="6"/>
  <c r="N176" i="6"/>
  <c r="H459" i="5"/>
  <c r="H463" i="5" s="1"/>
  <c r="H410" i="6"/>
  <c r="H408" i="6"/>
  <c r="M228" i="6"/>
  <c r="M226" i="6"/>
  <c r="P176" i="6"/>
  <c r="P174" i="6"/>
  <c r="N293" i="6"/>
  <c r="N291" i="6"/>
  <c r="P267" i="6"/>
  <c r="P265" i="6"/>
  <c r="P512" i="6"/>
  <c r="P514" i="6"/>
  <c r="H421" i="6"/>
  <c r="H423" i="6"/>
  <c r="H10" i="6"/>
  <c r="P111" i="6"/>
  <c r="P109" i="6"/>
  <c r="H629" i="6"/>
  <c r="H631" i="6"/>
  <c r="H46" i="6"/>
  <c r="H44" i="6"/>
  <c r="H119" i="5"/>
  <c r="H123" i="5" s="1"/>
  <c r="H884" i="5"/>
  <c r="H888" i="5" s="1"/>
  <c r="H833" i="5"/>
  <c r="H837" i="5" s="1"/>
  <c r="M421" i="6"/>
  <c r="M423" i="6"/>
  <c r="H1020" i="5"/>
  <c r="H1024" i="5" s="1"/>
  <c r="M486" i="6"/>
  <c r="M488" i="6"/>
  <c r="M30" i="6"/>
  <c r="M6" i="6"/>
  <c r="M32" i="6"/>
  <c r="M306" i="6"/>
  <c r="M304" i="6"/>
  <c r="H9" i="5"/>
  <c r="M59" i="6"/>
  <c r="M57" i="6"/>
  <c r="P137" i="6"/>
  <c r="P135" i="6"/>
  <c r="M681" i="6"/>
  <c r="M683" i="6"/>
  <c r="M722" i="6"/>
  <c r="M720" i="6"/>
  <c r="H782" i="5"/>
  <c r="H786" i="5" s="1"/>
  <c r="N774" i="6"/>
  <c r="N772" i="6"/>
  <c r="H330" i="6"/>
  <c r="H332" i="6"/>
  <c r="N148" i="6"/>
  <c r="N150" i="6"/>
  <c r="H369" i="6"/>
  <c r="H371" i="6"/>
  <c r="N345" i="6"/>
  <c r="N343" i="6"/>
  <c r="H1003" i="5"/>
  <c r="H1007" i="5" s="1"/>
  <c r="M10" i="6"/>
  <c r="M163" i="6"/>
  <c r="M161" i="6"/>
  <c r="H595" i="5"/>
  <c r="H599" i="5" s="1"/>
  <c r="N707" i="6"/>
  <c r="N709" i="6"/>
  <c r="N566" i="6"/>
  <c r="N564" i="6"/>
  <c r="H340" i="5"/>
  <c r="H344" i="5" s="1"/>
  <c r="P9" i="6"/>
  <c r="N694" i="6"/>
  <c r="N696" i="6"/>
  <c r="P746" i="6"/>
  <c r="P748" i="6"/>
  <c r="P161" i="6"/>
  <c r="P163" i="6"/>
  <c r="M408" i="6"/>
  <c r="M410" i="6"/>
  <c r="N735" i="6"/>
  <c r="N733" i="6"/>
  <c r="H85" i="6"/>
  <c r="H83" i="6"/>
  <c r="N306" i="6"/>
  <c r="N304" i="6"/>
  <c r="M811" i="6"/>
  <c r="M813" i="6"/>
  <c r="H501" i="6"/>
  <c r="H499" i="6"/>
  <c r="M395" i="6"/>
  <c r="M397" i="6"/>
  <c r="H1037" i="5"/>
  <c r="H1041" i="5" s="1"/>
  <c r="P720" i="6"/>
  <c r="P722" i="6"/>
  <c r="M475" i="6"/>
  <c r="M473" i="6"/>
  <c r="P239" i="6"/>
  <c r="P241" i="6"/>
  <c r="P213" i="6"/>
  <c r="P215" i="6"/>
  <c r="N514" i="6"/>
  <c r="N512" i="6"/>
  <c r="H761" i="6"/>
  <c r="H759" i="6"/>
  <c r="N434" i="6"/>
  <c r="N436" i="6"/>
  <c r="H221" i="5"/>
  <c r="H225" i="5" s="1"/>
  <c r="N111" i="6"/>
  <c r="N109" i="6"/>
  <c r="H590" i="6"/>
  <c r="H592" i="6"/>
  <c r="M239" i="6"/>
  <c r="M241" i="6"/>
  <c r="P72" i="6"/>
  <c r="P70" i="6"/>
  <c r="M345" i="6"/>
  <c r="M343" i="6"/>
  <c r="M109" i="6"/>
  <c r="M111" i="6"/>
  <c r="P330" i="6"/>
  <c r="P332" i="6"/>
  <c r="M644" i="6"/>
  <c r="M642" i="6"/>
  <c r="P826" i="6"/>
  <c r="P824" i="6"/>
  <c r="N499" i="6"/>
  <c r="N501" i="6"/>
  <c r="N826" i="6"/>
  <c r="N824" i="6"/>
  <c r="M512" i="6"/>
  <c r="M514" i="6"/>
  <c r="N280" i="6"/>
  <c r="N278" i="6"/>
  <c r="N592" i="6"/>
  <c r="N590" i="6"/>
  <c r="H306" i="5"/>
  <c r="H310" i="5" s="1"/>
  <c r="N657" i="6"/>
  <c r="N655" i="6"/>
  <c r="H150" i="6"/>
  <c r="H148" i="6"/>
  <c r="N449" i="6"/>
  <c r="N447" i="6"/>
  <c r="N215" i="6"/>
  <c r="N213" i="6"/>
  <c r="N202" i="6"/>
  <c r="N200" i="6"/>
  <c r="N603" i="6"/>
  <c r="N605" i="6"/>
  <c r="H683" i="6"/>
  <c r="H681" i="6"/>
  <c r="H306" i="6"/>
  <c r="H304" i="6"/>
  <c r="H10" i="5"/>
  <c r="H13" i="5"/>
  <c r="M44" i="6"/>
  <c r="M46" i="6"/>
  <c r="P436" i="6"/>
  <c r="P434" i="6"/>
  <c r="N98" i="6"/>
  <c r="N96" i="6"/>
  <c r="P566" i="6"/>
  <c r="P564" i="6"/>
  <c r="H397" i="6"/>
  <c r="H395" i="6"/>
  <c r="N553" i="6"/>
  <c r="N551" i="6"/>
  <c r="N59" i="6"/>
  <c r="N57" i="6"/>
  <c r="H720" i="6"/>
  <c r="H722" i="6"/>
  <c r="N670" i="6"/>
  <c r="N668" i="6"/>
  <c r="N798" i="6"/>
  <c r="N800" i="6"/>
  <c r="M670" i="6"/>
  <c r="M668" i="6"/>
  <c r="M137" i="6"/>
  <c r="M135" i="6"/>
  <c r="H293" i="6"/>
  <c r="H291" i="6"/>
  <c r="H1071" i="5"/>
  <c r="H1075" i="5" s="1"/>
  <c r="P553" i="6"/>
  <c r="P551" i="6"/>
  <c r="N720" i="6"/>
  <c r="N722" i="6"/>
  <c r="M213" i="6"/>
  <c r="M215" i="6"/>
  <c r="P616" i="6"/>
  <c r="P618" i="6"/>
  <c r="P306" i="6"/>
  <c r="P304" i="6"/>
  <c r="N267" i="6"/>
  <c r="N265" i="6"/>
  <c r="H319" i="6"/>
  <c r="H317" i="6"/>
  <c r="P30" i="6"/>
  <c r="P6" i="6"/>
  <c r="P32" i="6"/>
  <c r="H935" i="5"/>
  <c r="H939" i="5" s="1"/>
  <c r="H493" i="5"/>
  <c r="H497" i="5" s="1"/>
  <c r="H714" i="5"/>
  <c r="H718" i="5" s="1"/>
  <c r="P696" i="6"/>
  <c r="P694" i="6"/>
  <c r="H102" i="5"/>
  <c r="H106" i="5" s="1"/>
  <c r="P449" i="6"/>
  <c r="P447" i="6"/>
  <c r="H655" i="6"/>
  <c r="H657" i="6"/>
  <c r="M449" i="6"/>
  <c r="M447" i="6"/>
  <c r="P228" i="6"/>
  <c r="P226" i="6"/>
  <c r="P462" i="6"/>
  <c r="P460" i="6"/>
  <c r="M798" i="6"/>
  <c r="M800" i="6"/>
  <c r="P473" i="6"/>
  <c r="P475" i="6"/>
  <c r="M629" i="6"/>
  <c r="M631" i="6"/>
  <c r="P46" i="6"/>
  <c r="P44" i="6"/>
  <c r="H289" i="5"/>
  <c r="H293" i="5" s="1"/>
  <c r="H986" i="5"/>
  <c r="H990" i="5" s="1"/>
  <c r="N7" i="6"/>
  <c r="P189" i="6"/>
  <c r="P187" i="6"/>
  <c r="M592" i="6"/>
  <c r="M590" i="6"/>
  <c r="M709" i="6"/>
  <c r="M707" i="6"/>
  <c r="H57" i="6"/>
  <c r="H59" i="6"/>
  <c r="H969" i="5"/>
  <c r="H973" i="5" s="1"/>
  <c r="H124" i="6"/>
  <c r="H122" i="6"/>
  <c r="M98" i="6"/>
  <c r="M96" i="6"/>
  <c r="P202" i="6"/>
  <c r="P200" i="6"/>
  <c r="M434" i="6"/>
  <c r="M436" i="6"/>
  <c r="M605" i="6"/>
  <c r="M603" i="6"/>
  <c r="P122" i="6"/>
  <c r="P124" i="6"/>
  <c r="N538" i="6"/>
  <c r="N540" i="6"/>
  <c r="P642" i="6"/>
  <c r="P644" i="6"/>
  <c r="H663" i="5"/>
  <c r="H667" i="5" s="1"/>
  <c r="H460" i="6"/>
  <c r="H462" i="6"/>
  <c r="M525" i="6"/>
  <c r="M527" i="6"/>
  <c r="M8" i="6"/>
  <c r="M733" i="6"/>
  <c r="M735" i="6"/>
  <c r="H204" i="5"/>
  <c r="H208" i="5" s="1"/>
  <c r="H527" i="6"/>
  <c r="H525" i="6"/>
  <c r="H374" i="5"/>
  <c r="H378" i="5" s="1"/>
  <c r="P11" i="6"/>
  <c r="M540" i="6"/>
  <c r="M538" i="6"/>
  <c r="N356" i="6"/>
  <c r="N358" i="6"/>
  <c r="P382" i="6"/>
  <c r="P384" i="6"/>
  <c r="P761" i="6"/>
  <c r="P759" i="6"/>
  <c r="H850" i="5"/>
  <c r="H854" i="5" s="1"/>
  <c r="H226" i="6"/>
  <c r="H228" i="6"/>
  <c r="N122" i="6"/>
  <c r="N124" i="6"/>
  <c r="N761" i="6"/>
  <c r="N759" i="6"/>
  <c r="N226" i="6"/>
  <c r="N228" i="6"/>
  <c r="P486" i="6"/>
  <c r="P488" i="6"/>
  <c r="N683" i="6"/>
  <c r="N681" i="6"/>
  <c r="M72" i="6"/>
  <c r="M70" i="6"/>
  <c r="M384" i="6"/>
  <c r="M382" i="6"/>
  <c r="P8" i="6"/>
  <c r="P150" i="6"/>
  <c r="P148" i="6"/>
  <c r="H785" i="6"/>
  <c r="H787" i="6"/>
  <c r="M501" i="6"/>
  <c r="M499" i="6"/>
  <c r="H189" i="6"/>
  <c r="H187" i="6"/>
  <c r="N629" i="6"/>
  <c r="N631" i="6"/>
  <c r="N371" i="6"/>
  <c r="N369" i="6"/>
  <c r="N30" i="6"/>
  <c r="N6" i="6"/>
  <c r="N32" i="6"/>
  <c r="P96" i="6"/>
  <c r="P98" i="6"/>
  <c r="M358" i="6"/>
  <c r="M356" i="6"/>
  <c r="N11" i="6"/>
  <c r="M293" i="6"/>
  <c r="M291" i="6"/>
  <c r="P356" i="6"/>
  <c r="P358" i="6"/>
  <c r="M150" i="6"/>
  <c r="M148" i="6"/>
  <c r="P10" i="6"/>
  <c r="B34" i="4"/>
  <c r="B26" i="4"/>
  <c r="B18" i="4"/>
  <c r="P47" i="20"/>
  <c r="J5" i="5"/>
  <c r="F17" i="50"/>
  <c r="F17" i="7"/>
  <c r="J5" i="6"/>
  <c r="J23" i="6"/>
  <c r="Q53" i="20"/>
  <c r="AJ17" i="20" s="1"/>
  <c r="R53" i="20"/>
  <c r="AJ10" i="20" s="1"/>
  <c r="G5" i="6"/>
  <c r="G5" i="5"/>
  <c r="G23" i="6"/>
  <c r="T8" i="13"/>
  <c r="P48" i="20"/>
  <c r="AK20" i="20" s="1"/>
  <c r="U8" i="13" s="1"/>
  <c r="M2" i="5"/>
  <c r="L23" i="6"/>
  <c r="G2" i="5"/>
  <c r="P52" i="20"/>
  <c r="P46" i="20"/>
  <c r="G36" i="5"/>
  <c r="N12" i="6" l="1"/>
  <c r="N14" i="6"/>
  <c r="N15" i="6" s="1"/>
  <c r="P829" i="6"/>
  <c r="P830" i="6" s="1"/>
  <c r="H829" i="6"/>
  <c r="H830" i="6" s="1"/>
  <c r="H1079" i="5"/>
  <c r="N829" i="6"/>
  <c r="N830" i="6" s="1"/>
  <c r="H12" i="6"/>
  <c r="H14" i="6"/>
  <c r="M12" i="6"/>
  <c r="M829" i="6"/>
  <c r="M830" i="6" s="1"/>
  <c r="P12" i="6"/>
  <c r="P14" i="6"/>
  <c r="P15" i="6" s="1"/>
  <c r="M14" i="6"/>
  <c r="M15" i="6" s="1"/>
  <c r="H14" i="5"/>
  <c r="S53" i="20"/>
  <c r="AL20" i="20"/>
  <c r="D11" i="37"/>
  <c r="D7" i="37"/>
  <c r="F1066" i="7"/>
  <c r="F1069" i="7" s="1"/>
  <c r="C1052" i="7" s="1"/>
  <c r="C1053" i="7" s="1"/>
  <c r="C1054" i="7" s="1"/>
  <c r="C1055" i="7" s="1"/>
  <c r="C1056" i="7" s="1"/>
  <c r="C1057" i="7" s="1"/>
  <c r="C1058" i="7" s="1"/>
  <c r="C1059" i="7" s="1"/>
  <c r="C1060" i="7" s="1"/>
  <c r="C1061" i="7" s="1"/>
  <c r="C1062" i="7" s="1"/>
  <c r="C1063" i="7" s="1"/>
  <c r="C1064" i="7" s="1"/>
  <c r="C1065" i="7" s="1"/>
  <c r="C1066" i="7" s="1"/>
  <c r="C1067" i="7" s="1"/>
  <c r="C1068" i="7" s="1"/>
  <c r="C1069" i="7" s="1"/>
  <c r="F1026" i="7"/>
  <c r="F1029" i="7" s="1"/>
  <c r="C1012" i="7" s="1"/>
  <c r="C1013" i="7" s="1"/>
  <c r="C1014" i="7" s="1"/>
  <c r="C1015" i="7" s="1"/>
  <c r="C1016" i="7" s="1"/>
  <c r="C1017" i="7" s="1"/>
  <c r="C1018" i="7" s="1"/>
  <c r="C1019" i="7" s="1"/>
  <c r="C1020" i="7" s="1"/>
  <c r="C1021" i="7" s="1"/>
  <c r="C1022" i="7" s="1"/>
  <c r="C1023" i="7" s="1"/>
  <c r="C1024" i="7" s="1"/>
  <c r="C1025" i="7" s="1"/>
  <c r="C1026" i="7" s="1"/>
  <c r="C1027" i="7" s="1"/>
  <c r="C1028" i="7" s="1"/>
  <c r="C1029" i="7" s="1"/>
  <c r="F75" i="7"/>
  <c r="F78" i="7" s="1"/>
  <c r="C61" i="7" s="1"/>
  <c r="C62" i="7" s="1"/>
  <c r="C63" i="7" s="1"/>
  <c r="C64" i="7" s="1"/>
  <c r="C65" i="7" s="1"/>
  <c r="C66" i="7" s="1"/>
  <c r="C67" i="7" s="1"/>
  <c r="C68" i="7" s="1"/>
  <c r="C69" i="7" s="1"/>
  <c r="C70" i="7" s="1"/>
  <c r="C71" i="7" s="1"/>
  <c r="C72" i="7" s="1"/>
  <c r="C73" i="7" s="1"/>
  <c r="C74" i="7" s="1"/>
  <c r="C75" i="7" s="1"/>
  <c r="C76" i="7" s="1"/>
  <c r="C77" i="7" s="1"/>
  <c r="C78" i="7" s="1"/>
  <c r="F379" i="7"/>
  <c r="F382" i="7" s="1"/>
  <c r="C365" i="7" s="1"/>
  <c r="C366" i="7" s="1"/>
  <c r="C367" i="7" s="1"/>
  <c r="C368" i="7" s="1"/>
  <c r="C369" i="7" s="1"/>
  <c r="C370" i="7" s="1"/>
  <c r="C371" i="7" s="1"/>
  <c r="C372" i="7" s="1"/>
  <c r="C373" i="7" s="1"/>
  <c r="C374" i="7" s="1"/>
  <c r="C375" i="7" s="1"/>
  <c r="C376" i="7" s="1"/>
  <c r="C377" i="7" s="1"/>
  <c r="C378" i="7" s="1"/>
  <c r="C379" i="7" s="1"/>
  <c r="C380" i="7" s="1"/>
  <c r="C381" i="7" s="1"/>
  <c r="C382" i="7" s="1"/>
  <c r="F869" i="7"/>
  <c r="F872" i="7" s="1"/>
  <c r="C855" i="7" s="1"/>
  <c r="C856" i="7" s="1"/>
  <c r="C857" i="7" s="1"/>
  <c r="C858" i="7" s="1"/>
  <c r="C859" i="7" s="1"/>
  <c r="C860" i="7" s="1"/>
  <c r="C861" i="7" s="1"/>
  <c r="C862" i="7" s="1"/>
  <c r="C863" i="7" s="1"/>
  <c r="C864" i="7" s="1"/>
  <c r="C865" i="7" s="1"/>
  <c r="C866" i="7" s="1"/>
  <c r="C867" i="7" s="1"/>
  <c r="C868" i="7" s="1"/>
  <c r="C869" i="7" s="1"/>
  <c r="C870" i="7" s="1"/>
  <c r="C871" i="7" s="1"/>
  <c r="C872" i="7" s="1"/>
  <c r="F20" i="7"/>
  <c r="F437" i="7"/>
  <c r="F440" i="7" s="1"/>
  <c r="C423" i="7" s="1"/>
  <c r="C424" i="7" s="1"/>
  <c r="C425" i="7" s="1"/>
  <c r="C426" i="7" s="1"/>
  <c r="C427" i="7" s="1"/>
  <c r="C428" i="7" s="1"/>
  <c r="C429" i="7" s="1"/>
  <c r="C430" i="7" s="1"/>
  <c r="C431" i="7" s="1"/>
  <c r="C432" i="7" s="1"/>
  <c r="C433" i="7" s="1"/>
  <c r="C434" i="7" s="1"/>
  <c r="C435" i="7" s="1"/>
  <c r="C436" i="7" s="1"/>
  <c r="C437" i="7" s="1"/>
  <c r="C438" i="7" s="1"/>
  <c r="C439" i="7" s="1"/>
  <c r="C440" i="7" s="1"/>
  <c r="F831" i="7"/>
  <c r="F834" i="7" s="1"/>
  <c r="C817" i="7" s="1"/>
  <c r="C818" i="7" s="1"/>
  <c r="C819" i="7" s="1"/>
  <c r="C820" i="7" s="1"/>
  <c r="C821" i="7" s="1"/>
  <c r="C822" i="7" s="1"/>
  <c r="C823" i="7" s="1"/>
  <c r="C824" i="7" s="1"/>
  <c r="C825" i="7" s="1"/>
  <c r="C826" i="7" s="1"/>
  <c r="C827" i="7" s="1"/>
  <c r="C828" i="7" s="1"/>
  <c r="C829" i="7" s="1"/>
  <c r="C830" i="7" s="1"/>
  <c r="C831" i="7" s="1"/>
  <c r="C832" i="7" s="1"/>
  <c r="C833" i="7" s="1"/>
  <c r="C834" i="7" s="1"/>
  <c r="F674" i="7"/>
  <c r="F677" i="7" s="1"/>
  <c r="C660" i="7" s="1"/>
  <c r="C661" i="7" s="1"/>
  <c r="C662" i="7" s="1"/>
  <c r="C663" i="7" s="1"/>
  <c r="C664" i="7" s="1"/>
  <c r="C665" i="7" s="1"/>
  <c r="C666" i="7" s="1"/>
  <c r="C667" i="7" s="1"/>
  <c r="C668" i="7" s="1"/>
  <c r="C669" i="7" s="1"/>
  <c r="C670" i="7" s="1"/>
  <c r="C671" i="7" s="1"/>
  <c r="C672" i="7" s="1"/>
  <c r="C673" i="7" s="1"/>
  <c r="C674" i="7" s="1"/>
  <c r="C675" i="7" s="1"/>
  <c r="C676" i="7" s="1"/>
  <c r="C677" i="7" s="1"/>
  <c r="F732" i="7"/>
  <c r="F735" i="7" s="1"/>
  <c r="C718" i="7" s="1"/>
  <c r="C719" i="7" s="1"/>
  <c r="C720" i="7" s="1"/>
  <c r="C721" i="7" s="1"/>
  <c r="C722" i="7" s="1"/>
  <c r="C723" i="7" s="1"/>
  <c r="C724" i="7" s="1"/>
  <c r="C725" i="7" s="1"/>
  <c r="C726" i="7" s="1"/>
  <c r="C727" i="7" s="1"/>
  <c r="C728" i="7" s="1"/>
  <c r="C729" i="7" s="1"/>
  <c r="C730" i="7" s="1"/>
  <c r="C731" i="7" s="1"/>
  <c r="C732" i="7" s="1"/>
  <c r="C733" i="7" s="1"/>
  <c r="C734" i="7" s="1"/>
  <c r="C735" i="7" s="1"/>
  <c r="F341" i="7"/>
  <c r="F344" i="7" s="1"/>
  <c r="C327" i="7" s="1"/>
  <c r="C328" i="7" s="1"/>
  <c r="C329" i="7" s="1"/>
  <c r="C330" i="7" s="1"/>
  <c r="C331" i="7" s="1"/>
  <c r="C332" i="7" s="1"/>
  <c r="C333" i="7" s="1"/>
  <c r="C334" i="7" s="1"/>
  <c r="C335" i="7" s="1"/>
  <c r="C336" i="7" s="1"/>
  <c r="C337" i="7" s="1"/>
  <c r="C338" i="7" s="1"/>
  <c r="C339" i="7" s="1"/>
  <c r="C340" i="7" s="1"/>
  <c r="C341" i="7" s="1"/>
  <c r="C342" i="7" s="1"/>
  <c r="C343" i="7" s="1"/>
  <c r="C344" i="7" s="1"/>
  <c r="F360" i="7"/>
  <c r="F363" i="7" s="1"/>
  <c r="C346" i="7" s="1"/>
  <c r="C347" i="7" s="1"/>
  <c r="C348" i="7" s="1"/>
  <c r="C349" i="7" s="1"/>
  <c r="C350" i="7" s="1"/>
  <c r="C351" i="7" s="1"/>
  <c r="C352" i="7" s="1"/>
  <c r="C353" i="7" s="1"/>
  <c r="C354" i="7" s="1"/>
  <c r="C355" i="7" s="1"/>
  <c r="C356" i="7" s="1"/>
  <c r="C357" i="7" s="1"/>
  <c r="C358" i="7" s="1"/>
  <c r="C359" i="7" s="1"/>
  <c r="C360" i="7" s="1"/>
  <c r="C361" i="7" s="1"/>
  <c r="C362" i="7" s="1"/>
  <c r="C363" i="7" s="1"/>
  <c r="F303" i="7"/>
  <c r="F306" i="7" s="1"/>
  <c r="C289" i="7" s="1"/>
  <c r="C290" i="7" s="1"/>
  <c r="C291" i="7" s="1"/>
  <c r="C292" i="7" s="1"/>
  <c r="C293" i="7" s="1"/>
  <c r="C294" i="7" s="1"/>
  <c r="C295" i="7" s="1"/>
  <c r="C296" i="7" s="1"/>
  <c r="C297" i="7" s="1"/>
  <c r="C298" i="7" s="1"/>
  <c r="C299" i="7" s="1"/>
  <c r="C300" i="7" s="1"/>
  <c r="C301" i="7" s="1"/>
  <c r="C302" i="7" s="1"/>
  <c r="C303" i="7" s="1"/>
  <c r="C304" i="7" s="1"/>
  <c r="C305" i="7" s="1"/>
  <c r="C306" i="7" s="1"/>
  <c r="F1204" i="7"/>
  <c r="F1207" i="7" s="1"/>
  <c r="C1190" i="7" s="1"/>
  <c r="C1191" i="7" s="1"/>
  <c r="C1192" i="7" s="1"/>
  <c r="C1193" i="7" s="1"/>
  <c r="C1194" i="7" s="1"/>
  <c r="C1195" i="7" s="1"/>
  <c r="C1196" i="7" s="1"/>
  <c r="C1197" i="7" s="1"/>
  <c r="C1198" i="7" s="1"/>
  <c r="C1199" i="7" s="1"/>
  <c r="C1200" i="7" s="1"/>
  <c r="C1201" i="7" s="1"/>
  <c r="C1202" i="7" s="1"/>
  <c r="C1203" i="7" s="1"/>
  <c r="C1204" i="7" s="1"/>
  <c r="C1205" i="7" s="1"/>
  <c r="C1206" i="7" s="1"/>
  <c r="C1207" i="7" s="1"/>
  <c r="F56" i="7"/>
  <c r="F59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4" i="7" s="1"/>
  <c r="C55" i="7" s="1"/>
  <c r="C56" i="7" s="1"/>
  <c r="C57" i="7" s="1"/>
  <c r="C58" i="7" s="1"/>
  <c r="C59" i="7" s="1"/>
  <c r="F496" i="7"/>
  <c r="F499" i="7" s="1"/>
  <c r="C482" i="7" s="1"/>
  <c r="C483" i="7" s="1"/>
  <c r="C484" i="7" s="1"/>
  <c r="C485" i="7" s="1"/>
  <c r="C486" i="7" s="1"/>
  <c r="C487" i="7" s="1"/>
  <c r="C488" i="7" s="1"/>
  <c r="C489" i="7" s="1"/>
  <c r="C490" i="7" s="1"/>
  <c r="C491" i="7" s="1"/>
  <c r="C492" i="7" s="1"/>
  <c r="C493" i="7" s="1"/>
  <c r="C494" i="7" s="1"/>
  <c r="C495" i="7" s="1"/>
  <c r="C496" i="7" s="1"/>
  <c r="C497" i="7" s="1"/>
  <c r="C498" i="7" s="1"/>
  <c r="C499" i="7" s="1"/>
  <c r="F1165" i="7"/>
  <c r="F1168" i="7" s="1"/>
  <c r="C1151" i="7" s="1"/>
  <c r="C1152" i="7" s="1"/>
  <c r="C1153" i="7" s="1"/>
  <c r="C1154" i="7" s="1"/>
  <c r="C1155" i="7" s="1"/>
  <c r="C1156" i="7" s="1"/>
  <c r="C1157" i="7" s="1"/>
  <c r="C1158" i="7" s="1"/>
  <c r="C1159" i="7" s="1"/>
  <c r="C1160" i="7" s="1"/>
  <c r="C1161" i="7" s="1"/>
  <c r="C1162" i="7" s="1"/>
  <c r="C1163" i="7" s="1"/>
  <c r="C1164" i="7" s="1"/>
  <c r="C1165" i="7" s="1"/>
  <c r="C1166" i="7" s="1"/>
  <c r="C1167" i="7" s="1"/>
  <c r="C1168" i="7" s="1"/>
  <c r="H17" i="7"/>
  <c r="F1046" i="7"/>
  <c r="F1049" i="7" s="1"/>
  <c r="C1032" i="7" s="1"/>
  <c r="C1033" i="7" s="1"/>
  <c r="C1034" i="7" s="1"/>
  <c r="C1035" i="7" s="1"/>
  <c r="C1036" i="7" s="1"/>
  <c r="C1037" i="7" s="1"/>
  <c r="C1038" i="7" s="1"/>
  <c r="C1039" i="7" s="1"/>
  <c r="C1040" i="7" s="1"/>
  <c r="C1041" i="7" s="1"/>
  <c r="C1042" i="7" s="1"/>
  <c r="C1043" i="7" s="1"/>
  <c r="C1044" i="7" s="1"/>
  <c r="C1045" i="7" s="1"/>
  <c r="C1046" i="7" s="1"/>
  <c r="C1047" i="7" s="1"/>
  <c r="C1048" i="7" s="1"/>
  <c r="C1049" i="7" s="1"/>
  <c r="F1223" i="7"/>
  <c r="F1226" i="7" s="1"/>
  <c r="C1209" i="7" s="1"/>
  <c r="C1210" i="7" s="1"/>
  <c r="C1211" i="7" s="1"/>
  <c r="C1212" i="7" s="1"/>
  <c r="C1213" i="7" s="1"/>
  <c r="C1214" i="7" s="1"/>
  <c r="C1215" i="7" s="1"/>
  <c r="C1216" i="7" s="1"/>
  <c r="C1217" i="7" s="1"/>
  <c r="C1218" i="7" s="1"/>
  <c r="C1219" i="7" s="1"/>
  <c r="C1220" i="7" s="1"/>
  <c r="C1221" i="7" s="1"/>
  <c r="C1222" i="7" s="1"/>
  <c r="C1223" i="7" s="1"/>
  <c r="C1224" i="7" s="1"/>
  <c r="C1225" i="7" s="1"/>
  <c r="C1226" i="7" s="1"/>
  <c r="F693" i="7"/>
  <c r="F696" i="7" s="1"/>
  <c r="C679" i="7" s="1"/>
  <c r="C680" i="7" s="1"/>
  <c r="C681" i="7" s="1"/>
  <c r="C682" i="7" s="1"/>
  <c r="C683" i="7" s="1"/>
  <c r="C684" i="7" s="1"/>
  <c r="C685" i="7" s="1"/>
  <c r="C686" i="7" s="1"/>
  <c r="C687" i="7" s="1"/>
  <c r="C688" i="7" s="1"/>
  <c r="C689" i="7" s="1"/>
  <c r="C690" i="7" s="1"/>
  <c r="C691" i="7" s="1"/>
  <c r="C692" i="7" s="1"/>
  <c r="C693" i="7" s="1"/>
  <c r="C694" i="7" s="1"/>
  <c r="C695" i="7" s="1"/>
  <c r="C696" i="7" s="1"/>
  <c r="F456" i="7"/>
  <c r="F459" i="7" s="1"/>
  <c r="C442" i="7" s="1"/>
  <c r="C443" i="7" s="1"/>
  <c r="C444" i="7" s="1"/>
  <c r="C445" i="7" s="1"/>
  <c r="C446" i="7" s="1"/>
  <c r="C447" i="7" s="1"/>
  <c r="C448" i="7" s="1"/>
  <c r="C449" i="7" s="1"/>
  <c r="C450" i="7" s="1"/>
  <c r="C451" i="7" s="1"/>
  <c r="C452" i="7" s="1"/>
  <c r="C453" i="7" s="1"/>
  <c r="C454" i="7" s="1"/>
  <c r="C455" i="7" s="1"/>
  <c r="C456" i="7" s="1"/>
  <c r="C457" i="7" s="1"/>
  <c r="C458" i="7" s="1"/>
  <c r="C459" i="7" s="1"/>
  <c r="F1145" i="7"/>
  <c r="F1148" i="7" s="1"/>
  <c r="C1131" i="7" s="1"/>
  <c r="C1132" i="7" s="1"/>
  <c r="C1133" i="7" s="1"/>
  <c r="C1134" i="7" s="1"/>
  <c r="C1135" i="7" s="1"/>
  <c r="C1136" i="7" s="1"/>
  <c r="C1137" i="7" s="1"/>
  <c r="C1138" i="7" s="1"/>
  <c r="C1139" i="7" s="1"/>
  <c r="C1140" i="7" s="1"/>
  <c r="C1141" i="7" s="1"/>
  <c r="C1142" i="7" s="1"/>
  <c r="C1143" i="7" s="1"/>
  <c r="C1144" i="7" s="1"/>
  <c r="C1145" i="7" s="1"/>
  <c r="C1146" i="7" s="1"/>
  <c r="C1147" i="7" s="1"/>
  <c r="C1148" i="7" s="1"/>
  <c r="F595" i="7"/>
  <c r="F598" i="7" s="1"/>
  <c r="C581" i="7" s="1"/>
  <c r="C582" i="7" s="1"/>
  <c r="C583" i="7" s="1"/>
  <c r="C584" i="7" s="1"/>
  <c r="C585" i="7" s="1"/>
  <c r="C586" i="7" s="1"/>
  <c r="C587" i="7" s="1"/>
  <c r="C588" i="7" s="1"/>
  <c r="C589" i="7" s="1"/>
  <c r="C590" i="7" s="1"/>
  <c r="C591" i="7" s="1"/>
  <c r="C592" i="7" s="1"/>
  <c r="C593" i="7" s="1"/>
  <c r="C594" i="7" s="1"/>
  <c r="C595" i="7" s="1"/>
  <c r="C596" i="7" s="1"/>
  <c r="C597" i="7" s="1"/>
  <c r="C598" i="7" s="1"/>
  <c r="F94" i="7"/>
  <c r="F97" i="7" s="1"/>
  <c r="C80" i="7" s="1"/>
  <c r="C81" i="7" s="1"/>
  <c r="C82" i="7" s="1"/>
  <c r="C83" i="7" s="1"/>
  <c r="C84" i="7" s="1"/>
  <c r="C85" i="7" s="1"/>
  <c r="C86" i="7" s="1"/>
  <c r="C87" i="7" s="1"/>
  <c r="C88" i="7" s="1"/>
  <c r="C89" i="7" s="1"/>
  <c r="C90" i="7" s="1"/>
  <c r="C91" i="7" s="1"/>
  <c r="C92" i="7" s="1"/>
  <c r="C93" i="7" s="1"/>
  <c r="C94" i="7" s="1"/>
  <c r="C95" i="7" s="1"/>
  <c r="C96" i="7" s="1"/>
  <c r="C97" i="7" s="1"/>
  <c r="F928" i="7"/>
  <c r="F931" i="7" s="1"/>
  <c r="C914" i="7" s="1"/>
  <c r="C915" i="7" s="1"/>
  <c r="C916" i="7" s="1"/>
  <c r="C917" i="7" s="1"/>
  <c r="C918" i="7" s="1"/>
  <c r="C919" i="7" s="1"/>
  <c r="C920" i="7" s="1"/>
  <c r="C921" i="7" s="1"/>
  <c r="C922" i="7" s="1"/>
  <c r="C923" i="7" s="1"/>
  <c r="C924" i="7" s="1"/>
  <c r="C925" i="7" s="1"/>
  <c r="C926" i="7" s="1"/>
  <c r="C927" i="7" s="1"/>
  <c r="C928" i="7" s="1"/>
  <c r="C929" i="7" s="1"/>
  <c r="C930" i="7" s="1"/>
  <c r="C931" i="7" s="1"/>
  <c r="F654" i="7"/>
  <c r="F657" i="7" s="1"/>
  <c r="C640" i="7" s="1"/>
  <c r="C641" i="7" s="1"/>
  <c r="C642" i="7" s="1"/>
  <c r="C643" i="7" s="1"/>
  <c r="C644" i="7" s="1"/>
  <c r="C645" i="7" s="1"/>
  <c r="C646" i="7" s="1"/>
  <c r="C647" i="7" s="1"/>
  <c r="C648" i="7" s="1"/>
  <c r="C649" i="7" s="1"/>
  <c r="C650" i="7" s="1"/>
  <c r="C651" i="7" s="1"/>
  <c r="C652" i="7" s="1"/>
  <c r="C653" i="7" s="1"/>
  <c r="C654" i="7" s="1"/>
  <c r="C655" i="7" s="1"/>
  <c r="C656" i="7" s="1"/>
  <c r="C657" i="7" s="1"/>
  <c r="F967" i="7"/>
  <c r="F970" i="7" s="1"/>
  <c r="C953" i="7" s="1"/>
  <c r="C954" i="7" s="1"/>
  <c r="C955" i="7" s="1"/>
  <c r="C956" i="7" s="1"/>
  <c r="C957" i="7" s="1"/>
  <c r="C958" i="7" s="1"/>
  <c r="C959" i="7" s="1"/>
  <c r="C960" i="7" s="1"/>
  <c r="C961" i="7" s="1"/>
  <c r="C962" i="7" s="1"/>
  <c r="C963" i="7" s="1"/>
  <c r="C964" i="7" s="1"/>
  <c r="C965" i="7" s="1"/>
  <c r="C966" i="7" s="1"/>
  <c r="C967" i="7" s="1"/>
  <c r="C968" i="7" s="1"/>
  <c r="C969" i="7" s="1"/>
  <c r="C970" i="7" s="1"/>
  <c r="F151" i="7"/>
  <c r="F154" i="7" s="1"/>
  <c r="C137" i="7" s="1"/>
  <c r="C138" i="7" s="1"/>
  <c r="C139" i="7" s="1"/>
  <c r="C140" i="7" s="1"/>
  <c r="C141" i="7" s="1"/>
  <c r="C142" i="7" s="1"/>
  <c r="C143" i="7" s="1"/>
  <c r="C144" i="7" s="1"/>
  <c r="C145" i="7" s="1"/>
  <c r="C146" i="7" s="1"/>
  <c r="C147" i="7" s="1"/>
  <c r="C148" i="7" s="1"/>
  <c r="C149" i="7" s="1"/>
  <c r="C150" i="7" s="1"/>
  <c r="C151" i="7" s="1"/>
  <c r="C152" i="7" s="1"/>
  <c r="C153" i="7" s="1"/>
  <c r="C154" i="7" s="1"/>
  <c r="F555" i="7"/>
  <c r="F558" i="7" s="1"/>
  <c r="C541" i="7" s="1"/>
  <c r="C542" i="7" s="1"/>
  <c r="C543" i="7" s="1"/>
  <c r="C544" i="7" s="1"/>
  <c r="C545" i="7" s="1"/>
  <c r="C546" i="7" s="1"/>
  <c r="C547" i="7" s="1"/>
  <c r="C548" i="7" s="1"/>
  <c r="C549" i="7" s="1"/>
  <c r="C550" i="7" s="1"/>
  <c r="C551" i="7" s="1"/>
  <c r="C552" i="7" s="1"/>
  <c r="C553" i="7" s="1"/>
  <c r="C554" i="7" s="1"/>
  <c r="C555" i="7" s="1"/>
  <c r="C556" i="7" s="1"/>
  <c r="C557" i="7" s="1"/>
  <c r="C558" i="7" s="1"/>
  <c r="F284" i="7"/>
  <c r="F287" i="7" s="1"/>
  <c r="C270" i="7" s="1"/>
  <c r="C271" i="7" s="1"/>
  <c r="C272" i="7" s="1"/>
  <c r="C273" i="7" s="1"/>
  <c r="C274" i="7" s="1"/>
  <c r="C275" i="7" s="1"/>
  <c r="C276" i="7" s="1"/>
  <c r="C277" i="7" s="1"/>
  <c r="C278" i="7" s="1"/>
  <c r="C279" i="7" s="1"/>
  <c r="C280" i="7" s="1"/>
  <c r="C281" i="7" s="1"/>
  <c r="C282" i="7" s="1"/>
  <c r="C283" i="7" s="1"/>
  <c r="C284" i="7" s="1"/>
  <c r="C285" i="7" s="1"/>
  <c r="C286" i="7" s="1"/>
  <c r="C287" i="7" s="1"/>
  <c r="F208" i="7"/>
  <c r="F211" i="7" s="1"/>
  <c r="C194" i="7" s="1"/>
  <c r="C195" i="7" s="1"/>
  <c r="C196" i="7" s="1"/>
  <c r="C197" i="7" s="1"/>
  <c r="C198" i="7" s="1"/>
  <c r="C199" i="7" s="1"/>
  <c r="C200" i="7" s="1"/>
  <c r="C201" i="7" s="1"/>
  <c r="C202" i="7" s="1"/>
  <c r="C203" i="7" s="1"/>
  <c r="C204" i="7" s="1"/>
  <c r="C205" i="7" s="1"/>
  <c r="C206" i="7" s="1"/>
  <c r="C207" i="7" s="1"/>
  <c r="C208" i="7" s="1"/>
  <c r="C209" i="7" s="1"/>
  <c r="C210" i="7" s="1"/>
  <c r="C211" i="7" s="1"/>
  <c r="F908" i="7"/>
  <c r="F911" i="7" s="1"/>
  <c r="C894" i="7" s="1"/>
  <c r="C895" i="7" s="1"/>
  <c r="C896" i="7" s="1"/>
  <c r="C897" i="7" s="1"/>
  <c r="C898" i="7" s="1"/>
  <c r="C899" i="7" s="1"/>
  <c r="C900" i="7" s="1"/>
  <c r="C901" i="7" s="1"/>
  <c r="C902" i="7" s="1"/>
  <c r="C903" i="7" s="1"/>
  <c r="C904" i="7" s="1"/>
  <c r="C905" i="7" s="1"/>
  <c r="C906" i="7" s="1"/>
  <c r="C907" i="7" s="1"/>
  <c r="C908" i="7" s="1"/>
  <c r="C909" i="7" s="1"/>
  <c r="C910" i="7" s="1"/>
  <c r="C911" i="7" s="1"/>
  <c r="F1007" i="7"/>
  <c r="F1010" i="7" s="1"/>
  <c r="C993" i="7" s="1"/>
  <c r="C994" i="7" s="1"/>
  <c r="C995" i="7" s="1"/>
  <c r="C996" i="7" s="1"/>
  <c r="C997" i="7" s="1"/>
  <c r="C998" i="7" s="1"/>
  <c r="C999" i="7" s="1"/>
  <c r="C1000" i="7" s="1"/>
  <c r="C1001" i="7" s="1"/>
  <c r="C1002" i="7" s="1"/>
  <c r="C1003" i="7" s="1"/>
  <c r="C1004" i="7" s="1"/>
  <c r="C1005" i="7" s="1"/>
  <c r="C1006" i="7" s="1"/>
  <c r="C1007" i="7" s="1"/>
  <c r="C1008" i="7" s="1"/>
  <c r="C1009" i="7" s="1"/>
  <c r="C1010" i="7" s="1"/>
  <c r="F170" i="7"/>
  <c r="F173" i="7" s="1"/>
  <c r="C156" i="7" s="1"/>
  <c r="C157" i="7" s="1"/>
  <c r="C158" i="7" s="1"/>
  <c r="C159" i="7" s="1"/>
  <c r="C160" i="7" s="1"/>
  <c r="C161" i="7" s="1"/>
  <c r="C162" i="7" s="1"/>
  <c r="C163" i="7" s="1"/>
  <c r="C164" i="7" s="1"/>
  <c r="C165" i="7" s="1"/>
  <c r="C166" i="7" s="1"/>
  <c r="C167" i="7" s="1"/>
  <c r="C168" i="7" s="1"/>
  <c r="C169" i="7" s="1"/>
  <c r="C170" i="7" s="1"/>
  <c r="C171" i="7" s="1"/>
  <c r="C172" i="7" s="1"/>
  <c r="C173" i="7" s="1"/>
  <c r="F634" i="7"/>
  <c r="F637" i="7" s="1"/>
  <c r="C620" i="7" s="1"/>
  <c r="C621" i="7" s="1"/>
  <c r="C622" i="7" s="1"/>
  <c r="C623" i="7" s="1"/>
  <c r="C624" i="7" s="1"/>
  <c r="C625" i="7" s="1"/>
  <c r="C626" i="7" s="1"/>
  <c r="C627" i="7" s="1"/>
  <c r="C628" i="7" s="1"/>
  <c r="C629" i="7" s="1"/>
  <c r="C630" i="7" s="1"/>
  <c r="C631" i="7" s="1"/>
  <c r="C632" i="7" s="1"/>
  <c r="C633" i="7" s="1"/>
  <c r="C634" i="7" s="1"/>
  <c r="C635" i="7" s="1"/>
  <c r="C636" i="7" s="1"/>
  <c r="C637" i="7" s="1"/>
  <c r="F1262" i="7"/>
  <c r="F1265" i="7" s="1"/>
  <c r="C1248" i="7" s="1"/>
  <c r="C1249" i="7" s="1"/>
  <c r="C1250" i="7" s="1"/>
  <c r="C1251" i="7" s="1"/>
  <c r="C1252" i="7" s="1"/>
  <c r="C1253" i="7" s="1"/>
  <c r="C1254" i="7" s="1"/>
  <c r="C1255" i="7" s="1"/>
  <c r="C1256" i="7" s="1"/>
  <c r="C1257" i="7" s="1"/>
  <c r="C1258" i="7" s="1"/>
  <c r="C1259" i="7" s="1"/>
  <c r="C1260" i="7" s="1"/>
  <c r="C1261" i="7" s="1"/>
  <c r="C1262" i="7" s="1"/>
  <c r="C1263" i="7" s="1"/>
  <c r="C1264" i="7" s="1"/>
  <c r="C1265" i="7" s="1"/>
  <c r="C1266" i="7" s="1"/>
  <c r="C1269" i="7" s="1"/>
  <c r="C1270" i="7" s="1"/>
  <c r="F987" i="7"/>
  <c r="F990" i="7" s="1"/>
  <c r="C973" i="7" s="1"/>
  <c r="C974" i="7" s="1"/>
  <c r="C975" i="7" s="1"/>
  <c r="C976" i="7" s="1"/>
  <c r="C977" i="7" s="1"/>
  <c r="C978" i="7" s="1"/>
  <c r="C979" i="7" s="1"/>
  <c r="C980" i="7" s="1"/>
  <c r="C981" i="7" s="1"/>
  <c r="C982" i="7" s="1"/>
  <c r="C983" i="7" s="1"/>
  <c r="C984" i="7" s="1"/>
  <c r="C985" i="7" s="1"/>
  <c r="C986" i="7" s="1"/>
  <c r="C987" i="7" s="1"/>
  <c r="C988" i="7" s="1"/>
  <c r="C989" i="7" s="1"/>
  <c r="C990" i="7" s="1"/>
  <c r="F713" i="7"/>
  <c r="F716" i="7" s="1"/>
  <c r="C699" i="7" s="1"/>
  <c r="C700" i="7" s="1"/>
  <c r="C701" i="7" s="1"/>
  <c r="C702" i="7" s="1"/>
  <c r="C703" i="7" s="1"/>
  <c r="C704" i="7" s="1"/>
  <c r="C705" i="7" s="1"/>
  <c r="C706" i="7" s="1"/>
  <c r="C707" i="7" s="1"/>
  <c r="C708" i="7" s="1"/>
  <c r="C709" i="7" s="1"/>
  <c r="C710" i="7" s="1"/>
  <c r="C711" i="7" s="1"/>
  <c r="C712" i="7" s="1"/>
  <c r="C713" i="7" s="1"/>
  <c r="C714" i="7" s="1"/>
  <c r="C715" i="7" s="1"/>
  <c r="C716" i="7" s="1"/>
  <c r="F132" i="7"/>
  <c r="F135" i="7" s="1"/>
  <c r="C118" i="7" s="1"/>
  <c r="C119" i="7" s="1"/>
  <c r="C120" i="7" s="1"/>
  <c r="C121" i="7" s="1"/>
  <c r="C122" i="7" s="1"/>
  <c r="C123" i="7" s="1"/>
  <c r="C124" i="7" s="1"/>
  <c r="C125" i="7" s="1"/>
  <c r="C126" i="7" s="1"/>
  <c r="C127" i="7" s="1"/>
  <c r="C128" i="7" s="1"/>
  <c r="C129" i="7" s="1"/>
  <c r="C130" i="7" s="1"/>
  <c r="C131" i="7" s="1"/>
  <c r="C132" i="7" s="1"/>
  <c r="C133" i="7" s="1"/>
  <c r="C134" i="7" s="1"/>
  <c r="C135" i="7" s="1"/>
  <c r="F227" i="7"/>
  <c r="F230" i="7" s="1"/>
  <c r="C213" i="7" s="1"/>
  <c r="C214" i="7" s="1"/>
  <c r="C215" i="7" s="1"/>
  <c r="C216" i="7" s="1"/>
  <c r="C217" i="7" s="1"/>
  <c r="C218" i="7" s="1"/>
  <c r="C219" i="7" s="1"/>
  <c r="C220" i="7" s="1"/>
  <c r="C221" i="7" s="1"/>
  <c r="C222" i="7" s="1"/>
  <c r="C223" i="7" s="1"/>
  <c r="C224" i="7" s="1"/>
  <c r="C225" i="7" s="1"/>
  <c r="C226" i="7" s="1"/>
  <c r="C227" i="7" s="1"/>
  <c r="C228" i="7" s="1"/>
  <c r="C229" i="7" s="1"/>
  <c r="C230" i="7" s="1"/>
  <c r="F265" i="7"/>
  <c r="F268" i="7" s="1"/>
  <c r="C251" i="7" s="1"/>
  <c r="C252" i="7" s="1"/>
  <c r="C253" i="7" s="1"/>
  <c r="C254" i="7" s="1"/>
  <c r="C255" i="7" s="1"/>
  <c r="C256" i="7" s="1"/>
  <c r="C257" i="7" s="1"/>
  <c r="C258" i="7" s="1"/>
  <c r="C259" i="7" s="1"/>
  <c r="C260" i="7" s="1"/>
  <c r="C261" i="7" s="1"/>
  <c r="C262" i="7" s="1"/>
  <c r="C263" i="7" s="1"/>
  <c r="C264" i="7" s="1"/>
  <c r="C265" i="7" s="1"/>
  <c r="C266" i="7" s="1"/>
  <c r="C267" i="7" s="1"/>
  <c r="C268" i="7" s="1"/>
  <c r="F850" i="7"/>
  <c r="F853" i="7" s="1"/>
  <c r="C836" i="7" s="1"/>
  <c r="C837" i="7" s="1"/>
  <c r="C838" i="7" s="1"/>
  <c r="C839" i="7" s="1"/>
  <c r="C840" i="7" s="1"/>
  <c r="C841" i="7" s="1"/>
  <c r="C842" i="7" s="1"/>
  <c r="C843" i="7" s="1"/>
  <c r="C844" i="7" s="1"/>
  <c r="C845" i="7" s="1"/>
  <c r="C846" i="7" s="1"/>
  <c r="C847" i="7" s="1"/>
  <c r="C848" i="7" s="1"/>
  <c r="C849" i="7" s="1"/>
  <c r="C850" i="7" s="1"/>
  <c r="C851" i="7" s="1"/>
  <c r="C852" i="7" s="1"/>
  <c r="C853" i="7" s="1"/>
  <c r="F1184" i="7"/>
  <c r="F1187" i="7" s="1"/>
  <c r="C1170" i="7" s="1"/>
  <c r="C1171" i="7" s="1"/>
  <c r="C1172" i="7" s="1"/>
  <c r="C1173" i="7" s="1"/>
  <c r="C1174" i="7" s="1"/>
  <c r="C1175" i="7" s="1"/>
  <c r="C1176" i="7" s="1"/>
  <c r="C1177" i="7" s="1"/>
  <c r="C1178" i="7" s="1"/>
  <c r="C1179" i="7" s="1"/>
  <c r="C1180" i="7" s="1"/>
  <c r="C1181" i="7" s="1"/>
  <c r="C1182" i="7" s="1"/>
  <c r="C1183" i="7" s="1"/>
  <c r="C1184" i="7" s="1"/>
  <c r="C1185" i="7" s="1"/>
  <c r="C1186" i="7" s="1"/>
  <c r="C1187" i="7" s="1"/>
  <c r="F1125" i="7"/>
  <c r="F1128" i="7" s="1"/>
  <c r="C1111" i="7" s="1"/>
  <c r="C1112" i="7" s="1"/>
  <c r="C1113" i="7" s="1"/>
  <c r="C1114" i="7" s="1"/>
  <c r="C1115" i="7" s="1"/>
  <c r="C1116" i="7" s="1"/>
  <c r="C1117" i="7" s="1"/>
  <c r="C1118" i="7" s="1"/>
  <c r="C1119" i="7" s="1"/>
  <c r="C1120" i="7" s="1"/>
  <c r="C1121" i="7" s="1"/>
  <c r="C1122" i="7" s="1"/>
  <c r="C1123" i="7" s="1"/>
  <c r="C1124" i="7" s="1"/>
  <c r="C1125" i="7" s="1"/>
  <c r="C1126" i="7" s="1"/>
  <c r="C1127" i="7" s="1"/>
  <c r="C1128" i="7" s="1"/>
  <c r="F322" i="7"/>
  <c r="F325" i="7" s="1"/>
  <c r="C308" i="7" s="1"/>
  <c r="C309" i="7" s="1"/>
  <c r="C310" i="7" s="1"/>
  <c r="C311" i="7" s="1"/>
  <c r="C312" i="7" s="1"/>
  <c r="C313" i="7" s="1"/>
  <c r="C314" i="7" s="1"/>
  <c r="C315" i="7" s="1"/>
  <c r="C316" i="7" s="1"/>
  <c r="C317" i="7" s="1"/>
  <c r="C318" i="7" s="1"/>
  <c r="C319" i="7" s="1"/>
  <c r="C320" i="7" s="1"/>
  <c r="C321" i="7" s="1"/>
  <c r="C322" i="7" s="1"/>
  <c r="C323" i="7" s="1"/>
  <c r="C324" i="7" s="1"/>
  <c r="C325" i="7" s="1"/>
  <c r="F575" i="7"/>
  <c r="F578" i="7" s="1"/>
  <c r="C561" i="7" s="1"/>
  <c r="C562" i="7" s="1"/>
  <c r="C563" i="7" s="1"/>
  <c r="C564" i="7" s="1"/>
  <c r="C565" i="7" s="1"/>
  <c r="C566" i="7" s="1"/>
  <c r="C567" i="7" s="1"/>
  <c r="C568" i="7" s="1"/>
  <c r="C569" i="7" s="1"/>
  <c r="C570" i="7" s="1"/>
  <c r="C571" i="7" s="1"/>
  <c r="C572" i="7" s="1"/>
  <c r="C573" i="7" s="1"/>
  <c r="C574" i="7" s="1"/>
  <c r="C575" i="7" s="1"/>
  <c r="C576" i="7" s="1"/>
  <c r="C577" i="7" s="1"/>
  <c r="C578" i="7" s="1"/>
  <c r="F516" i="7"/>
  <c r="F519" i="7" s="1"/>
  <c r="C502" i="7" s="1"/>
  <c r="C503" i="7" s="1"/>
  <c r="C504" i="7" s="1"/>
  <c r="C505" i="7" s="1"/>
  <c r="C506" i="7" s="1"/>
  <c r="C507" i="7" s="1"/>
  <c r="C508" i="7" s="1"/>
  <c r="C509" i="7" s="1"/>
  <c r="C510" i="7" s="1"/>
  <c r="C511" i="7" s="1"/>
  <c r="C512" i="7" s="1"/>
  <c r="C513" i="7" s="1"/>
  <c r="C514" i="7" s="1"/>
  <c r="C515" i="7" s="1"/>
  <c r="C516" i="7" s="1"/>
  <c r="C517" i="7" s="1"/>
  <c r="C518" i="7" s="1"/>
  <c r="C519" i="7" s="1"/>
  <c r="F113" i="7"/>
  <c r="F116" i="7" s="1"/>
  <c r="C99" i="7" s="1"/>
  <c r="C100" i="7" s="1"/>
  <c r="C101" i="7" s="1"/>
  <c r="C102" i="7" s="1"/>
  <c r="C103" i="7" s="1"/>
  <c r="C104" i="7" s="1"/>
  <c r="C105" i="7" s="1"/>
  <c r="C106" i="7" s="1"/>
  <c r="C107" i="7" s="1"/>
  <c r="C108" i="7" s="1"/>
  <c r="C109" i="7" s="1"/>
  <c r="C110" i="7" s="1"/>
  <c r="C111" i="7" s="1"/>
  <c r="C112" i="7" s="1"/>
  <c r="C113" i="7" s="1"/>
  <c r="C114" i="7" s="1"/>
  <c r="C115" i="7" s="1"/>
  <c r="C116" i="7" s="1"/>
  <c r="F752" i="7"/>
  <c r="F755" i="7" s="1"/>
  <c r="C738" i="7" s="1"/>
  <c r="C739" i="7" s="1"/>
  <c r="C740" i="7" s="1"/>
  <c r="C741" i="7" s="1"/>
  <c r="C742" i="7" s="1"/>
  <c r="C743" i="7" s="1"/>
  <c r="C744" i="7" s="1"/>
  <c r="C745" i="7" s="1"/>
  <c r="C746" i="7" s="1"/>
  <c r="C747" i="7" s="1"/>
  <c r="C748" i="7" s="1"/>
  <c r="C749" i="7" s="1"/>
  <c r="C750" i="7" s="1"/>
  <c r="C751" i="7" s="1"/>
  <c r="C752" i="7" s="1"/>
  <c r="C753" i="7" s="1"/>
  <c r="C754" i="7" s="1"/>
  <c r="C755" i="7" s="1"/>
  <c r="F791" i="7"/>
  <c r="F794" i="7" s="1"/>
  <c r="C777" i="7" s="1"/>
  <c r="C778" i="7" s="1"/>
  <c r="C779" i="7" s="1"/>
  <c r="C780" i="7" s="1"/>
  <c r="C781" i="7" s="1"/>
  <c r="C782" i="7" s="1"/>
  <c r="C783" i="7" s="1"/>
  <c r="C784" i="7" s="1"/>
  <c r="C785" i="7" s="1"/>
  <c r="C786" i="7" s="1"/>
  <c r="C787" i="7" s="1"/>
  <c r="C788" i="7" s="1"/>
  <c r="C789" i="7" s="1"/>
  <c r="C790" i="7" s="1"/>
  <c r="C791" i="7" s="1"/>
  <c r="C792" i="7" s="1"/>
  <c r="C793" i="7" s="1"/>
  <c r="C794" i="7" s="1"/>
  <c r="F189" i="7"/>
  <c r="F192" i="7" s="1"/>
  <c r="C175" i="7" s="1"/>
  <c r="C176" i="7" s="1"/>
  <c r="C177" i="7" s="1"/>
  <c r="C178" i="7" s="1"/>
  <c r="C179" i="7" s="1"/>
  <c r="C180" i="7" s="1"/>
  <c r="C181" i="7" s="1"/>
  <c r="C182" i="7" s="1"/>
  <c r="C183" i="7" s="1"/>
  <c r="C184" i="7" s="1"/>
  <c r="C185" i="7" s="1"/>
  <c r="C186" i="7" s="1"/>
  <c r="C187" i="7" s="1"/>
  <c r="C188" i="7" s="1"/>
  <c r="C189" i="7" s="1"/>
  <c r="C190" i="7" s="1"/>
  <c r="C191" i="7" s="1"/>
  <c r="C192" i="7" s="1"/>
  <c r="F535" i="7"/>
  <c r="F538" i="7" s="1"/>
  <c r="C521" i="7" s="1"/>
  <c r="C522" i="7" s="1"/>
  <c r="C523" i="7" s="1"/>
  <c r="C524" i="7" s="1"/>
  <c r="C525" i="7" s="1"/>
  <c r="C526" i="7" s="1"/>
  <c r="C527" i="7" s="1"/>
  <c r="C528" i="7" s="1"/>
  <c r="C529" i="7" s="1"/>
  <c r="C530" i="7" s="1"/>
  <c r="C531" i="7" s="1"/>
  <c r="C532" i="7" s="1"/>
  <c r="C533" i="7" s="1"/>
  <c r="C534" i="7" s="1"/>
  <c r="C535" i="7" s="1"/>
  <c r="C536" i="7" s="1"/>
  <c r="C537" i="7" s="1"/>
  <c r="C538" i="7" s="1"/>
  <c r="F771" i="7"/>
  <c r="F774" i="7" s="1"/>
  <c r="C757" i="7" s="1"/>
  <c r="C758" i="7" s="1"/>
  <c r="C759" i="7" s="1"/>
  <c r="C760" i="7" s="1"/>
  <c r="C761" i="7" s="1"/>
  <c r="C762" i="7" s="1"/>
  <c r="C763" i="7" s="1"/>
  <c r="C764" i="7" s="1"/>
  <c r="C765" i="7" s="1"/>
  <c r="C766" i="7" s="1"/>
  <c r="C767" i="7" s="1"/>
  <c r="C768" i="7" s="1"/>
  <c r="C769" i="7" s="1"/>
  <c r="C770" i="7" s="1"/>
  <c r="C771" i="7" s="1"/>
  <c r="C772" i="7" s="1"/>
  <c r="C773" i="7" s="1"/>
  <c r="C774" i="7" s="1"/>
  <c r="F614" i="7"/>
  <c r="F617" i="7" s="1"/>
  <c r="C600" i="7" s="1"/>
  <c r="C601" i="7" s="1"/>
  <c r="C602" i="7" s="1"/>
  <c r="C603" i="7" s="1"/>
  <c r="C604" i="7" s="1"/>
  <c r="C605" i="7" s="1"/>
  <c r="C606" i="7" s="1"/>
  <c r="C607" i="7" s="1"/>
  <c r="C608" i="7" s="1"/>
  <c r="C609" i="7" s="1"/>
  <c r="C610" i="7" s="1"/>
  <c r="C611" i="7" s="1"/>
  <c r="C612" i="7" s="1"/>
  <c r="C613" i="7" s="1"/>
  <c r="C614" i="7" s="1"/>
  <c r="C615" i="7" s="1"/>
  <c r="C616" i="7" s="1"/>
  <c r="C617" i="7" s="1"/>
  <c r="F1086" i="7"/>
  <c r="F1089" i="7" s="1"/>
  <c r="C1072" i="7" s="1"/>
  <c r="C1073" i="7" s="1"/>
  <c r="C1074" i="7" s="1"/>
  <c r="C1075" i="7" s="1"/>
  <c r="C1076" i="7" s="1"/>
  <c r="C1077" i="7" s="1"/>
  <c r="C1078" i="7" s="1"/>
  <c r="C1079" i="7" s="1"/>
  <c r="C1080" i="7" s="1"/>
  <c r="C1081" i="7" s="1"/>
  <c r="C1082" i="7" s="1"/>
  <c r="C1083" i="7" s="1"/>
  <c r="C1084" i="7" s="1"/>
  <c r="C1085" i="7" s="1"/>
  <c r="C1086" i="7" s="1"/>
  <c r="C1087" i="7" s="1"/>
  <c r="C1088" i="7" s="1"/>
  <c r="C1089" i="7" s="1"/>
  <c r="F1105" i="7"/>
  <c r="F1108" i="7" s="1"/>
  <c r="C1091" i="7" s="1"/>
  <c r="C1092" i="7" s="1"/>
  <c r="C1093" i="7" s="1"/>
  <c r="C1094" i="7" s="1"/>
  <c r="C1095" i="7" s="1"/>
  <c r="C1096" i="7" s="1"/>
  <c r="C1097" i="7" s="1"/>
  <c r="C1098" i="7" s="1"/>
  <c r="C1099" i="7" s="1"/>
  <c r="C1100" i="7" s="1"/>
  <c r="C1101" i="7" s="1"/>
  <c r="C1102" i="7" s="1"/>
  <c r="C1103" i="7" s="1"/>
  <c r="C1104" i="7" s="1"/>
  <c r="C1105" i="7" s="1"/>
  <c r="C1106" i="7" s="1"/>
  <c r="C1107" i="7" s="1"/>
  <c r="C1108" i="7" s="1"/>
  <c r="F947" i="7"/>
  <c r="F950" i="7" s="1"/>
  <c r="C933" i="7" s="1"/>
  <c r="C934" i="7" s="1"/>
  <c r="C935" i="7" s="1"/>
  <c r="C936" i="7" s="1"/>
  <c r="C937" i="7" s="1"/>
  <c r="C938" i="7" s="1"/>
  <c r="C939" i="7" s="1"/>
  <c r="C940" i="7" s="1"/>
  <c r="C941" i="7" s="1"/>
  <c r="C942" i="7" s="1"/>
  <c r="C943" i="7" s="1"/>
  <c r="C944" i="7" s="1"/>
  <c r="C945" i="7" s="1"/>
  <c r="C946" i="7" s="1"/>
  <c r="C947" i="7" s="1"/>
  <c r="C948" i="7" s="1"/>
  <c r="C949" i="7" s="1"/>
  <c r="C950" i="7" s="1"/>
  <c r="F476" i="7"/>
  <c r="F479" i="7" s="1"/>
  <c r="C462" i="7" s="1"/>
  <c r="C463" i="7" s="1"/>
  <c r="C464" i="7" s="1"/>
  <c r="C465" i="7" s="1"/>
  <c r="C466" i="7" s="1"/>
  <c r="C467" i="7" s="1"/>
  <c r="C468" i="7" s="1"/>
  <c r="C469" i="7" s="1"/>
  <c r="C470" i="7" s="1"/>
  <c r="C471" i="7" s="1"/>
  <c r="C472" i="7" s="1"/>
  <c r="C473" i="7" s="1"/>
  <c r="C474" i="7" s="1"/>
  <c r="C475" i="7" s="1"/>
  <c r="C476" i="7" s="1"/>
  <c r="C477" i="7" s="1"/>
  <c r="C478" i="7" s="1"/>
  <c r="C479" i="7" s="1"/>
  <c r="F417" i="7"/>
  <c r="F420" i="7" s="1"/>
  <c r="C403" i="7" s="1"/>
  <c r="C404" i="7" s="1"/>
  <c r="C405" i="7" s="1"/>
  <c r="C406" i="7" s="1"/>
  <c r="C407" i="7" s="1"/>
  <c r="C408" i="7" s="1"/>
  <c r="C409" i="7" s="1"/>
  <c r="C410" i="7" s="1"/>
  <c r="C411" i="7" s="1"/>
  <c r="C412" i="7" s="1"/>
  <c r="C413" i="7" s="1"/>
  <c r="C414" i="7" s="1"/>
  <c r="C415" i="7" s="1"/>
  <c r="C416" i="7" s="1"/>
  <c r="C417" i="7" s="1"/>
  <c r="C418" i="7" s="1"/>
  <c r="C419" i="7" s="1"/>
  <c r="C420" i="7" s="1"/>
  <c r="F246" i="7"/>
  <c r="F249" i="7" s="1"/>
  <c r="C232" i="7" s="1"/>
  <c r="C233" i="7" s="1"/>
  <c r="C234" i="7" s="1"/>
  <c r="C235" i="7" s="1"/>
  <c r="C236" i="7" s="1"/>
  <c r="C237" i="7" s="1"/>
  <c r="C238" i="7" s="1"/>
  <c r="C239" i="7" s="1"/>
  <c r="C240" i="7" s="1"/>
  <c r="C241" i="7" s="1"/>
  <c r="C242" i="7" s="1"/>
  <c r="C243" i="7" s="1"/>
  <c r="C244" i="7" s="1"/>
  <c r="C245" i="7" s="1"/>
  <c r="C246" i="7" s="1"/>
  <c r="C247" i="7" s="1"/>
  <c r="C248" i="7" s="1"/>
  <c r="C249" i="7" s="1"/>
  <c r="F1243" i="7"/>
  <c r="F1246" i="7" s="1"/>
  <c r="C1229" i="7" s="1"/>
  <c r="C1230" i="7" s="1"/>
  <c r="C1231" i="7" s="1"/>
  <c r="C1232" i="7" s="1"/>
  <c r="C1233" i="7" s="1"/>
  <c r="C1234" i="7" s="1"/>
  <c r="C1235" i="7" s="1"/>
  <c r="C1236" i="7" s="1"/>
  <c r="C1237" i="7" s="1"/>
  <c r="C1238" i="7" s="1"/>
  <c r="C1239" i="7" s="1"/>
  <c r="C1240" i="7" s="1"/>
  <c r="C1241" i="7" s="1"/>
  <c r="C1242" i="7" s="1"/>
  <c r="C1243" i="7" s="1"/>
  <c r="C1244" i="7" s="1"/>
  <c r="C1245" i="7" s="1"/>
  <c r="C1246" i="7" s="1"/>
  <c r="F811" i="7"/>
  <c r="F814" i="7" s="1"/>
  <c r="C797" i="7" s="1"/>
  <c r="C798" i="7" s="1"/>
  <c r="C799" i="7" s="1"/>
  <c r="C800" i="7" s="1"/>
  <c r="C801" i="7" s="1"/>
  <c r="C802" i="7" s="1"/>
  <c r="C803" i="7" s="1"/>
  <c r="C804" i="7" s="1"/>
  <c r="C805" i="7" s="1"/>
  <c r="C806" i="7" s="1"/>
  <c r="C807" i="7" s="1"/>
  <c r="C808" i="7" s="1"/>
  <c r="C809" i="7" s="1"/>
  <c r="C810" i="7" s="1"/>
  <c r="C811" i="7" s="1"/>
  <c r="C812" i="7" s="1"/>
  <c r="C813" i="7" s="1"/>
  <c r="C814" i="7" s="1"/>
  <c r="F888" i="7"/>
  <c r="F37" i="7"/>
  <c r="S8" i="15"/>
  <c r="T8" i="15" s="1"/>
  <c r="X8" i="13"/>
  <c r="T640" i="13"/>
  <c r="T810" i="13"/>
  <c r="T606" i="13"/>
  <c r="T470" i="13"/>
  <c r="T878" i="13"/>
  <c r="T725" i="13"/>
  <c r="T1065" i="13"/>
  <c r="T402" i="13"/>
  <c r="T521" i="13"/>
  <c r="T28" i="13"/>
  <c r="T861" i="13"/>
  <c r="T895" i="13"/>
  <c r="T1031" i="13"/>
  <c r="T997" i="13"/>
  <c r="T912" i="13"/>
  <c r="T759" i="13"/>
  <c r="T487" i="13"/>
  <c r="W8" i="13"/>
  <c r="T623" i="13"/>
  <c r="T1048" i="13"/>
  <c r="T538" i="13"/>
  <c r="T572" i="13"/>
  <c r="T589" i="13"/>
  <c r="T691" i="13"/>
  <c r="T657" i="13"/>
  <c r="T368" i="13"/>
  <c r="T1014" i="13"/>
  <c r="T776" i="13"/>
  <c r="T504" i="13"/>
  <c r="T844" i="13"/>
  <c r="T674" i="13"/>
  <c r="T980" i="13"/>
  <c r="T555" i="13"/>
  <c r="T385" i="13"/>
  <c r="T708" i="13"/>
  <c r="T929" i="13"/>
  <c r="T742" i="13"/>
  <c r="T793" i="13"/>
  <c r="T963" i="13"/>
  <c r="T946" i="13"/>
  <c r="T436" i="13"/>
  <c r="T453" i="13"/>
  <c r="T419" i="13"/>
  <c r="T827" i="13"/>
  <c r="T300" i="13"/>
  <c r="T249" i="13"/>
  <c r="T62" i="13"/>
  <c r="T181" i="13"/>
  <c r="T232" i="13"/>
  <c r="T79" i="13"/>
  <c r="T283" i="13"/>
  <c r="T164" i="13"/>
  <c r="T334" i="13"/>
  <c r="T147" i="13"/>
  <c r="T96" i="13"/>
  <c r="T45" i="13"/>
  <c r="T130" i="13"/>
  <c r="T351" i="13"/>
  <c r="T198" i="13"/>
  <c r="T113" i="13"/>
  <c r="T266" i="13"/>
  <c r="T215" i="13"/>
  <c r="T317" i="13"/>
  <c r="U521" i="13"/>
  <c r="U929" i="13"/>
  <c r="U997" i="13"/>
  <c r="U453" i="13"/>
  <c r="U1014" i="13"/>
  <c r="U623" i="13"/>
  <c r="U691" i="13"/>
  <c r="U470" i="13"/>
  <c r="U45" i="13"/>
  <c r="U181" i="13"/>
  <c r="U79" i="13"/>
  <c r="U725" i="13"/>
  <c r="U589" i="13"/>
  <c r="U827" i="13"/>
  <c r="U674" i="13"/>
  <c r="U980" i="13"/>
  <c r="U1048" i="13"/>
  <c r="U776" i="13"/>
  <c r="U113" i="13"/>
  <c r="U232" i="13"/>
  <c r="U164" i="13"/>
  <c r="U334" i="13"/>
  <c r="U487" i="13"/>
  <c r="U606" i="13"/>
  <c r="U1065" i="13"/>
  <c r="U436" i="13"/>
  <c r="U912" i="13"/>
  <c r="U861" i="13"/>
  <c r="U368" i="13"/>
  <c r="U249" i="13"/>
  <c r="U300" i="13"/>
  <c r="U130" i="13"/>
  <c r="U96" i="13"/>
  <c r="U215" i="13"/>
  <c r="U555" i="13"/>
  <c r="U640" i="13"/>
  <c r="U1031" i="13"/>
  <c r="U572" i="13"/>
  <c r="U963" i="13"/>
  <c r="U538" i="13"/>
  <c r="U402" i="13"/>
  <c r="U283" i="13"/>
  <c r="U878" i="13"/>
  <c r="U657" i="13"/>
  <c r="U759" i="13"/>
  <c r="U504" i="13"/>
  <c r="U419" i="13"/>
  <c r="U742" i="13"/>
  <c r="U385" i="13"/>
  <c r="U317" i="13"/>
  <c r="U266" i="13"/>
  <c r="U351" i="13"/>
  <c r="U810" i="13"/>
  <c r="U708" i="13"/>
  <c r="U946" i="13"/>
  <c r="U844" i="13"/>
  <c r="U895" i="13"/>
  <c r="U793" i="13"/>
  <c r="U28" i="13"/>
  <c r="U198" i="13"/>
  <c r="U62" i="13"/>
  <c r="U147" i="13"/>
  <c r="F170" i="50"/>
  <c r="F173" i="50" s="1"/>
  <c r="C156" i="50" s="1"/>
  <c r="C157" i="50" s="1"/>
  <c r="C158" i="50" s="1"/>
  <c r="C159" i="50" s="1"/>
  <c r="C160" i="50" s="1"/>
  <c r="C161" i="50" s="1"/>
  <c r="C162" i="50" s="1"/>
  <c r="C163" i="50" s="1"/>
  <c r="C164" i="50" s="1"/>
  <c r="C165" i="50" s="1"/>
  <c r="C166" i="50" s="1"/>
  <c r="C167" i="50" s="1"/>
  <c r="C168" i="50" s="1"/>
  <c r="C169" i="50" s="1"/>
  <c r="C170" i="50" s="1"/>
  <c r="C171" i="50" s="1"/>
  <c r="C172" i="50" s="1"/>
  <c r="C173" i="50" s="1"/>
  <c r="F948" i="50"/>
  <c r="F951" i="50" s="1"/>
  <c r="C934" i="50" s="1"/>
  <c r="C935" i="50" s="1"/>
  <c r="C936" i="50" s="1"/>
  <c r="C937" i="50" s="1"/>
  <c r="C938" i="50" s="1"/>
  <c r="C939" i="50" s="1"/>
  <c r="C940" i="50" s="1"/>
  <c r="C941" i="50" s="1"/>
  <c r="C942" i="50" s="1"/>
  <c r="C943" i="50" s="1"/>
  <c r="C944" i="50" s="1"/>
  <c r="C945" i="50" s="1"/>
  <c r="C946" i="50" s="1"/>
  <c r="C947" i="50" s="1"/>
  <c r="C948" i="50" s="1"/>
  <c r="C949" i="50" s="1"/>
  <c r="C950" i="50" s="1"/>
  <c r="C951" i="50" s="1"/>
  <c r="F341" i="50"/>
  <c r="F344" i="50" s="1"/>
  <c r="C327" i="50" s="1"/>
  <c r="C328" i="50" s="1"/>
  <c r="C329" i="50" s="1"/>
  <c r="C330" i="50" s="1"/>
  <c r="C331" i="50" s="1"/>
  <c r="C332" i="50" s="1"/>
  <c r="C333" i="50" s="1"/>
  <c r="C334" i="50" s="1"/>
  <c r="C335" i="50" s="1"/>
  <c r="C336" i="50" s="1"/>
  <c r="C337" i="50" s="1"/>
  <c r="C338" i="50" s="1"/>
  <c r="C339" i="50" s="1"/>
  <c r="C340" i="50" s="1"/>
  <c r="C341" i="50" s="1"/>
  <c r="C342" i="50" s="1"/>
  <c r="C343" i="50" s="1"/>
  <c r="C344" i="50" s="1"/>
  <c r="F189" i="50"/>
  <c r="F192" i="50" s="1"/>
  <c r="C175" i="50" s="1"/>
  <c r="C176" i="50" s="1"/>
  <c r="C177" i="50" s="1"/>
  <c r="C178" i="50" s="1"/>
  <c r="C179" i="50" s="1"/>
  <c r="C180" i="50" s="1"/>
  <c r="C181" i="50" s="1"/>
  <c r="C182" i="50" s="1"/>
  <c r="C183" i="50" s="1"/>
  <c r="C184" i="50" s="1"/>
  <c r="C185" i="50" s="1"/>
  <c r="C186" i="50" s="1"/>
  <c r="C187" i="50" s="1"/>
  <c r="C188" i="50" s="1"/>
  <c r="C189" i="50" s="1"/>
  <c r="C190" i="50" s="1"/>
  <c r="C191" i="50" s="1"/>
  <c r="C192" i="50" s="1"/>
  <c r="F398" i="50"/>
  <c r="F401" i="50" s="1"/>
  <c r="C384" i="50" s="1"/>
  <c r="C385" i="50" s="1"/>
  <c r="C386" i="50" s="1"/>
  <c r="C387" i="50" s="1"/>
  <c r="C388" i="50" s="1"/>
  <c r="C389" i="50" s="1"/>
  <c r="C390" i="50" s="1"/>
  <c r="C391" i="50" s="1"/>
  <c r="C392" i="50" s="1"/>
  <c r="C393" i="50" s="1"/>
  <c r="C394" i="50" s="1"/>
  <c r="C395" i="50" s="1"/>
  <c r="C396" i="50" s="1"/>
  <c r="C397" i="50" s="1"/>
  <c r="C398" i="50" s="1"/>
  <c r="C399" i="50" s="1"/>
  <c r="C400" i="50" s="1"/>
  <c r="C401" i="50" s="1"/>
  <c r="F20" i="50"/>
  <c r="H20" i="50" s="1"/>
  <c r="F535" i="50"/>
  <c r="F538" i="50" s="1"/>
  <c r="C521" i="50" s="1"/>
  <c r="C522" i="50" s="1"/>
  <c r="C523" i="50" s="1"/>
  <c r="C524" i="50" s="1"/>
  <c r="C525" i="50" s="1"/>
  <c r="C526" i="50" s="1"/>
  <c r="C527" i="50" s="1"/>
  <c r="C528" i="50" s="1"/>
  <c r="C529" i="50" s="1"/>
  <c r="C530" i="50" s="1"/>
  <c r="C531" i="50" s="1"/>
  <c r="C532" i="50" s="1"/>
  <c r="C533" i="50" s="1"/>
  <c r="C534" i="50" s="1"/>
  <c r="C535" i="50" s="1"/>
  <c r="C536" i="50" s="1"/>
  <c r="C537" i="50" s="1"/>
  <c r="C538" i="50" s="1"/>
  <c r="F909" i="50"/>
  <c r="F912" i="50" s="1"/>
  <c r="C895" i="50" s="1"/>
  <c r="C896" i="50" s="1"/>
  <c r="C897" i="50" s="1"/>
  <c r="C898" i="50" s="1"/>
  <c r="C899" i="50" s="1"/>
  <c r="C900" i="50" s="1"/>
  <c r="C901" i="50" s="1"/>
  <c r="C902" i="50" s="1"/>
  <c r="C903" i="50" s="1"/>
  <c r="C904" i="50" s="1"/>
  <c r="C905" i="50" s="1"/>
  <c r="C906" i="50" s="1"/>
  <c r="C907" i="50" s="1"/>
  <c r="C908" i="50" s="1"/>
  <c r="C909" i="50" s="1"/>
  <c r="C910" i="50" s="1"/>
  <c r="C911" i="50" s="1"/>
  <c r="C912" i="50" s="1"/>
  <c r="F1106" i="50"/>
  <c r="F1109" i="50" s="1"/>
  <c r="C1092" i="50" s="1"/>
  <c r="C1093" i="50" s="1"/>
  <c r="C1094" i="50" s="1"/>
  <c r="C1095" i="50" s="1"/>
  <c r="C1096" i="50" s="1"/>
  <c r="C1097" i="50" s="1"/>
  <c r="C1098" i="50" s="1"/>
  <c r="C1099" i="50" s="1"/>
  <c r="C1100" i="50" s="1"/>
  <c r="C1101" i="50" s="1"/>
  <c r="C1102" i="50" s="1"/>
  <c r="C1103" i="50" s="1"/>
  <c r="C1104" i="50" s="1"/>
  <c r="C1105" i="50" s="1"/>
  <c r="C1106" i="50" s="1"/>
  <c r="C1107" i="50" s="1"/>
  <c r="C1108" i="50" s="1"/>
  <c r="C1109" i="50" s="1"/>
  <c r="F496" i="50"/>
  <c r="F499" i="50" s="1"/>
  <c r="C482" i="50" s="1"/>
  <c r="C483" i="50" s="1"/>
  <c r="C484" i="50" s="1"/>
  <c r="C485" i="50" s="1"/>
  <c r="C486" i="50" s="1"/>
  <c r="C487" i="50" s="1"/>
  <c r="C488" i="50" s="1"/>
  <c r="C489" i="50" s="1"/>
  <c r="C490" i="50" s="1"/>
  <c r="C491" i="50" s="1"/>
  <c r="C492" i="50" s="1"/>
  <c r="C493" i="50" s="1"/>
  <c r="C494" i="50" s="1"/>
  <c r="C495" i="50" s="1"/>
  <c r="C496" i="50" s="1"/>
  <c r="C497" i="50" s="1"/>
  <c r="C498" i="50" s="1"/>
  <c r="C499" i="50" s="1"/>
  <c r="F1086" i="50"/>
  <c r="F1089" i="50" s="1"/>
  <c r="C1072" i="50" s="1"/>
  <c r="C1073" i="50" s="1"/>
  <c r="C1074" i="50" s="1"/>
  <c r="C1075" i="50" s="1"/>
  <c r="C1076" i="50" s="1"/>
  <c r="C1077" i="50" s="1"/>
  <c r="C1078" i="50" s="1"/>
  <c r="C1079" i="50" s="1"/>
  <c r="C1080" i="50" s="1"/>
  <c r="C1081" i="50" s="1"/>
  <c r="C1082" i="50" s="1"/>
  <c r="C1083" i="50" s="1"/>
  <c r="C1084" i="50" s="1"/>
  <c r="C1085" i="50" s="1"/>
  <c r="C1086" i="50" s="1"/>
  <c r="C1087" i="50" s="1"/>
  <c r="C1088" i="50" s="1"/>
  <c r="C1089" i="50" s="1"/>
  <c r="F1047" i="50"/>
  <c r="F1050" i="50" s="1"/>
  <c r="C1033" i="50" s="1"/>
  <c r="C1034" i="50" s="1"/>
  <c r="C1035" i="50" s="1"/>
  <c r="C1036" i="50" s="1"/>
  <c r="C1037" i="50" s="1"/>
  <c r="C1038" i="50" s="1"/>
  <c r="C1039" i="50" s="1"/>
  <c r="C1040" i="50" s="1"/>
  <c r="C1041" i="50" s="1"/>
  <c r="C1042" i="50" s="1"/>
  <c r="C1043" i="50" s="1"/>
  <c r="C1044" i="50" s="1"/>
  <c r="C1045" i="50" s="1"/>
  <c r="C1046" i="50" s="1"/>
  <c r="C1047" i="50" s="1"/>
  <c r="C1048" i="50" s="1"/>
  <c r="C1049" i="50" s="1"/>
  <c r="C1050" i="50" s="1"/>
  <c r="F1223" i="50"/>
  <c r="F303" i="50"/>
  <c r="F306" i="50" s="1"/>
  <c r="C289" i="50" s="1"/>
  <c r="C290" i="50" s="1"/>
  <c r="C291" i="50" s="1"/>
  <c r="C292" i="50" s="1"/>
  <c r="C293" i="50" s="1"/>
  <c r="C294" i="50" s="1"/>
  <c r="C295" i="50" s="1"/>
  <c r="C296" i="50" s="1"/>
  <c r="C297" i="50" s="1"/>
  <c r="C298" i="50" s="1"/>
  <c r="C299" i="50" s="1"/>
  <c r="C300" i="50" s="1"/>
  <c r="C301" i="50" s="1"/>
  <c r="C302" i="50" s="1"/>
  <c r="C303" i="50" s="1"/>
  <c r="C304" i="50" s="1"/>
  <c r="C305" i="50" s="1"/>
  <c r="C306" i="50" s="1"/>
  <c r="F693" i="50"/>
  <c r="F696" i="50" s="1"/>
  <c r="C679" i="50" s="1"/>
  <c r="C680" i="50" s="1"/>
  <c r="C681" i="50" s="1"/>
  <c r="C682" i="50" s="1"/>
  <c r="C683" i="50" s="1"/>
  <c r="C684" i="50" s="1"/>
  <c r="C685" i="50" s="1"/>
  <c r="C686" i="50" s="1"/>
  <c r="C687" i="50" s="1"/>
  <c r="C688" i="50" s="1"/>
  <c r="C689" i="50" s="1"/>
  <c r="C690" i="50" s="1"/>
  <c r="C691" i="50" s="1"/>
  <c r="C692" i="50" s="1"/>
  <c r="C693" i="50" s="1"/>
  <c r="C694" i="50" s="1"/>
  <c r="C695" i="50" s="1"/>
  <c r="C696" i="50" s="1"/>
  <c r="F322" i="50"/>
  <c r="F325" i="50" s="1"/>
  <c r="C308" i="50" s="1"/>
  <c r="C309" i="50" s="1"/>
  <c r="C310" i="50" s="1"/>
  <c r="C311" i="50" s="1"/>
  <c r="C312" i="50" s="1"/>
  <c r="C313" i="50" s="1"/>
  <c r="C314" i="50" s="1"/>
  <c r="C315" i="50" s="1"/>
  <c r="C316" i="50" s="1"/>
  <c r="C317" i="50" s="1"/>
  <c r="C318" i="50" s="1"/>
  <c r="C319" i="50" s="1"/>
  <c r="C320" i="50" s="1"/>
  <c r="C321" i="50" s="1"/>
  <c r="C322" i="50" s="1"/>
  <c r="C323" i="50" s="1"/>
  <c r="C324" i="50" s="1"/>
  <c r="C325" i="50" s="1"/>
  <c r="F227" i="50"/>
  <c r="F230" i="50" s="1"/>
  <c r="C213" i="50" s="1"/>
  <c r="C214" i="50" s="1"/>
  <c r="C215" i="50" s="1"/>
  <c r="C216" i="50" s="1"/>
  <c r="C217" i="50" s="1"/>
  <c r="C218" i="50" s="1"/>
  <c r="C219" i="50" s="1"/>
  <c r="C220" i="50" s="1"/>
  <c r="C221" i="50" s="1"/>
  <c r="C222" i="50" s="1"/>
  <c r="C223" i="50" s="1"/>
  <c r="C224" i="50" s="1"/>
  <c r="C225" i="50" s="1"/>
  <c r="C226" i="50" s="1"/>
  <c r="C227" i="50" s="1"/>
  <c r="C228" i="50" s="1"/>
  <c r="C229" i="50" s="1"/>
  <c r="C230" i="50" s="1"/>
  <c r="F417" i="50"/>
  <c r="F420" i="50" s="1"/>
  <c r="C403" i="50" s="1"/>
  <c r="C404" i="50" s="1"/>
  <c r="C405" i="50" s="1"/>
  <c r="C406" i="50" s="1"/>
  <c r="C407" i="50" s="1"/>
  <c r="C408" i="50" s="1"/>
  <c r="C409" i="50" s="1"/>
  <c r="C410" i="50" s="1"/>
  <c r="C411" i="50" s="1"/>
  <c r="C412" i="50" s="1"/>
  <c r="C413" i="50" s="1"/>
  <c r="C414" i="50" s="1"/>
  <c r="C415" i="50" s="1"/>
  <c r="C416" i="50" s="1"/>
  <c r="C417" i="50" s="1"/>
  <c r="C418" i="50" s="1"/>
  <c r="C419" i="50" s="1"/>
  <c r="C420" i="50" s="1"/>
  <c r="F1067" i="50"/>
  <c r="F1070" i="50" s="1"/>
  <c r="C1053" i="50" s="1"/>
  <c r="C1054" i="50" s="1"/>
  <c r="C1055" i="50" s="1"/>
  <c r="C1056" i="50" s="1"/>
  <c r="C1057" i="50" s="1"/>
  <c r="C1058" i="50" s="1"/>
  <c r="C1059" i="50" s="1"/>
  <c r="C1060" i="50" s="1"/>
  <c r="C1061" i="50" s="1"/>
  <c r="C1062" i="50" s="1"/>
  <c r="C1063" i="50" s="1"/>
  <c r="C1064" i="50" s="1"/>
  <c r="C1065" i="50" s="1"/>
  <c r="C1066" i="50" s="1"/>
  <c r="C1067" i="50" s="1"/>
  <c r="C1068" i="50" s="1"/>
  <c r="C1069" i="50" s="1"/>
  <c r="C1070" i="50" s="1"/>
  <c r="F94" i="50"/>
  <c r="F97" i="50" s="1"/>
  <c r="C80" i="50" s="1"/>
  <c r="C81" i="50" s="1"/>
  <c r="C82" i="50" s="1"/>
  <c r="C83" i="50" s="1"/>
  <c r="C84" i="50" s="1"/>
  <c r="C85" i="50" s="1"/>
  <c r="C86" i="50" s="1"/>
  <c r="C87" i="50" s="1"/>
  <c r="C88" i="50" s="1"/>
  <c r="C89" i="50" s="1"/>
  <c r="C90" i="50" s="1"/>
  <c r="C91" i="50" s="1"/>
  <c r="C92" i="50" s="1"/>
  <c r="C93" i="50" s="1"/>
  <c r="C94" i="50" s="1"/>
  <c r="C95" i="50" s="1"/>
  <c r="C96" i="50" s="1"/>
  <c r="C97" i="50" s="1"/>
  <c r="F575" i="50"/>
  <c r="F578" i="50" s="1"/>
  <c r="C561" i="50" s="1"/>
  <c r="C562" i="50" s="1"/>
  <c r="C563" i="50" s="1"/>
  <c r="C564" i="50" s="1"/>
  <c r="C565" i="50" s="1"/>
  <c r="C566" i="50" s="1"/>
  <c r="C567" i="50" s="1"/>
  <c r="C568" i="50" s="1"/>
  <c r="C569" i="50" s="1"/>
  <c r="C570" i="50" s="1"/>
  <c r="C571" i="50" s="1"/>
  <c r="C572" i="50" s="1"/>
  <c r="C573" i="50" s="1"/>
  <c r="C574" i="50" s="1"/>
  <c r="C575" i="50" s="1"/>
  <c r="C576" i="50" s="1"/>
  <c r="C577" i="50" s="1"/>
  <c r="C578" i="50" s="1"/>
  <c r="F752" i="50"/>
  <c r="F755" i="50" s="1"/>
  <c r="C738" i="50" s="1"/>
  <c r="C739" i="50" s="1"/>
  <c r="C740" i="50" s="1"/>
  <c r="C741" i="50" s="1"/>
  <c r="C742" i="50" s="1"/>
  <c r="C743" i="50" s="1"/>
  <c r="C744" i="50" s="1"/>
  <c r="C745" i="50" s="1"/>
  <c r="C746" i="50" s="1"/>
  <c r="C747" i="50" s="1"/>
  <c r="C748" i="50" s="1"/>
  <c r="C749" i="50" s="1"/>
  <c r="C750" i="50" s="1"/>
  <c r="C751" i="50" s="1"/>
  <c r="C752" i="50" s="1"/>
  <c r="C753" i="50" s="1"/>
  <c r="C754" i="50" s="1"/>
  <c r="C755" i="50" s="1"/>
  <c r="F456" i="50"/>
  <c r="F459" i="50" s="1"/>
  <c r="C442" i="50" s="1"/>
  <c r="C443" i="50" s="1"/>
  <c r="C444" i="50" s="1"/>
  <c r="C445" i="50" s="1"/>
  <c r="C446" i="50" s="1"/>
  <c r="C447" i="50" s="1"/>
  <c r="C448" i="50" s="1"/>
  <c r="C449" i="50" s="1"/>
  <c r="C450" i="50" s="1"/>
  <c r="C451" i="50" s="1"/>
  <c r="C452" i="50" s="1"/>
  <c r="C453" i="50" s="1"/>
  <c r="C454" i="50" s="1"/>
  <c r="C455" i="50" s="1"/>
  <c r="C456" i="50" s="1"/>
  <c r="C457" i="50" s="1"/>
  <c r="C458" i="50" s="1"/>
  <c r="C459" i="50" s="1"/>
  <c r="F555" i="50"/>
  <c r="F558" i="50" s="1"/>
  <c r="C541" i="50" s="1"/>
  <c r="C542" i="50" s="1"/>
  <c r="C543" i="50" s="1"/>
  <c r="C544" i="50" s="1"/>
  <c r="C545" i="50" s="1"/>
  <c r="C546" i="50" s="1"/>
  <c r="C547" i="50" s="1"/>
  <c r="C548" i="50" s="1"/>
  <c r="C549" i="50" s="1"/>
  <c r="C550" i="50" s="1"/>
  <c r="C551" i="50" s="1"/>
  <c r="C552" i="50" s="1"/>
  <c r="C553" i="50" s="1"/>
  <c r="C554" i="50" s="1"/>
  <c r="C555" i="50" s="1"/>
  <c r="C556" i="50" s="1"/>
  <c r="C557" i="50" s="1"/>
  <c r="C558" i="50" s="1"/>
  <c r="F1185" i="50"/>
  <c r="F1188" i="50" s="1"/>
  <c r="C1171" i="50" s="1"/>
  <c r="C1172" i="50" s="1"/>
  <c r="C1173" i="50" s="1"/>
  <c r="C1174" i="50" s="1"/>
  <c r="C1175" i="50" s="1"/>
  <c r="C1176" i="50" s="1"/>
  <c r="C1177" i="50" s="1"/>
  <c r="C1178" i="50" s="1"/>
  <c r="C1179" i="50" s="1"/>
  <c r="C1180" i="50" s="1"/>
  <c r="C1181" i="50" s="1"/>
  <c r="C1182" i="50" s="1"/>
  <c r="C1183" i="50" s="1"/>
  <c r="C1184" i="50" s="1"/>
  <c r="C1185" i="50" s="1"/>
  <c r="C1186" i="50" s="1"/>
  <c r="C1187" i="50" s="1"/>
  <c r="C1188" i="50" s="1"/>
  <c r="F56" i="50"/>
  <c r="F59" i="50" s="1"/>
  <c r="C42" i="50" s="1"/>
  <c r="C43" i="50" s="1"/>
  <c r="C44" i="50" s="1"/>
  <c r="C45" i="50" s="1"/>
  <c r="C46" i="50" s="1"/>
  <c r="C47" i="50" s="1"/>
  <c r="C48" i="50" s="1"/>
  <c r="C49" i="50" s="1"/>
  <c r="C50" i="50" s="1"/>
  <c r="C51" i="50" s="1"/>
  <c r="C52" i="50" s="1"/>
  <c r="C53" i="50" s="1"/>
  <c r="C54" i="50" s="1"/>
  <c r="C55" i="50" s="1"/>
  <c r="C56" i="50" s="1"/>
  <c r="C57" i="50" s="1"/>
  <c r="C58" i="50" s="1"/>
  <c r="C59" i="50" s="1"/>
  <c r="F379" i="50"/>
  <c r="F382" i="50" s="1"/>
  <c r="C365" i="50" s="1"/>
  <c r="C366" i="50" s="1"/>
  <c r="C367" i="50" s="1"/>
  <c r="C368" i="50" s="1"/>
  <c r="C369" i="50" s="1"/>
  <c r="C370" i="50" s="1"/>
  <c r="C371" i="50" s="1"/>
  <c r="C372" i="50" s="1"/>
  <c r="C373" i="50" s="1"/>
  <c r="C374" i="50" s="1"/>
  <c r="C375" i="50" s="1"/>
  <c r="C376" i="50" s="1"/>
  <c r="C377" i="50" s="1"/>
  <c r="C378" i="50" s="1"/>
  <c r="C379" i="50" s="1"/>
  <c r="C380" i="50" s="1"/>
  <c r="C381" i="50" s="1"/>
  <c r="C382" i="50" s="1"/>
  <c r="F614" i="50"/>
  <c r="F617" i="50" s="1"/>
  <c r="C600" i="50" s="1"/>
  <c r="C601" i="50" s="1"/>
  <c r="C602" i="50" s="1"/>
  <c r="C603" i="50" s="1"/>
  <c r="C604" i="50" s="1"/>
  <c r="C605" i="50" s="1"/>
  <c r="C606" i="50" s="1"/>
  <c r="C607" i="50" s="1"/>
  <c r="C608" i="50" s="1"/>
  <c r="C609" i="50" s="1"/>
  <c r="C610" i="50" s="1"/>
  <c r="C611" i="50" s="1"/>
  <c r="C612" i="50" s="1"/>
  <c r="C613" i="50" s="1"/>
  <c r="C614" i="50" s="1"/>
  <c r="C615" i="50" s="1"/>
  <c r="C616" i="50" s="1"/>
  <c r="C617" i="50" s="1"/>
  <c r="F246" i="50"/>
  <c r="F249" i="50" s="1"/>
  <c r="C232" i="50" s="1"/>
  <c r="C233" i="50" s="1"/>
  <c r="C234" i="50" s="1"/>
  <c r="C235" i="50" s="1"/>
  <c r="C236" i="50" s="1"/>
  <c r="C237" i="50" s="1"/>
  <c r="C238" i="50" s="1"/>
  <c r="C239" i="50" s="1"/>
  <c r="C240" i="50" s="1"/>
  <c r="C241" i="50" s="1"/>
  <c r="C242" i="50" s="1"/>
  <c r="C243" i="50" s="1"/>
  <c r="C244" i="50" s="1"/>
  <c r="C245" i="50" s="1"/>
  <c r="C246" i="50" s="1"/>
  <c r="C247" i="50" s="1"/>
  <c r="C248" i="50" s="1"/>
  <c r="C249" i="50" s="1"/>
  <c r="F113" i="50"/>
  <c r="F116" i="50" s="1"/>
  <c r="C99" i="50" s="1"/>
  <c r="C100" i="50" s="1"/>
  <c r="C101" i="50" s="1"/>
  <c r="C102" i="50" s="1"/>
  <c r="C103" i="50" s="1"/>
  <c r="C104" i="50" s="1"/>
  <c r="C105" i="50" s="1"/>
  <c r="C106" i="50" s="1"/>
  <c r="C107" i="50" s="1"/>
  <c r="C108" i="50" s="1"/>
  <c r="C109" i="50" s="1"/>
  <c r="C110" i="50" s="1"/>
  <c r="C111" i="50" s="1"/>
  <c r="C112" i="50" s="1"/>
  <c r="C113" i="50" s="1"/>
  <c r="C114" i="50" s="1"/>
  <c r="C115" i="50" s="1"/>
  <c r="C116" i="50" s="1"/>
  <c r="F988" i="50"/>
  <c r="F991" i="50" s="1"/>
  <c r="C974" i="50" s="1"/>
  <c r="C975" i="50" s="1"/>
  <c r="C976" i="50" s="1"/>
  <c r="C977" i="50" s="1"/>
  <c r="C978" i="50" s="1"/>
  <c r="C979" i="50" s="1"/>
  <c r="C980" i="50" s="1"/>
  <c r="C981" i="50" s="1"/>
  <c r="C982" i="50" s="1"/>
  <c r="C983" i="50" s="1"/>
  <c r="C984" i="50" s="1"/>
  <c r="C985" i="50" s="1"/>
  <c r="C986" i="50" s="1"/>
  <c r="C987" i="50" s="1"/>
  <c r="C988" i="50" s="1"/>
  <c r="C989" i="50" s="1"/>
  <c r="C990" i="50" s="1"/>
  <c r="C991" i="50" s="1"/>
  <c r="F476" i="50"/>
  <c r="F479" i="50" s="1"/>
  <c r="C462" i="50" s="1"/>
  <c r="C463" i="50" s="1"/>
  <c r="C464" i="50" s="1"/>
  <c r="C465" i="50" s="1"/>
  <c r="C466" i="50" s="1"/>
  <c r="C467" i="50" s="1"/>
  <c r="C468" i="50" s="1"/>
  <c r="C469" i="50" s="1"/>
  <c r="C470" i="50" s="1"/>
  <c r="C471" i="50" s="1"/>
  <c r="C472" i="50" s="1"/>
  <c r="C473" i="50" s="1"/>
  <c r="C474" i="50" s="1"/>
  <c r="C475" i="50" s="1"/>
  <c r="C476" i="50" s="1"/>
  <c r="C477" i="50" s="1"/>
  <c r="C478" i="50" s="1"/>
  <c r="C479" i="50" s="1"/>
  <c r="F37" i="50"/>
  <c r="F713" i="50"/>
  <c r="F716" i="50" s="1"/>
  <c r="C699" i="50" s="1"/>
  <c r="C700" i="50" s="1"/>
  <c r="C701" i="50" s="1"/>
  <c r="C702" i="50" s="1"/>
  <c r="C703" i="50" s="1"/>
  <c r="C704" i="50" s="1"/>
  <c r="C705" i="50" s="1"/>
  <c r="C706" i="50" s="1"/>
  <c r="C707" i="50" s="1"/>
  <c r="C708" i="50" s="1"/>
  <c r="C709" i="50" s="1"/>
  <c r="C710" i="50" s="1"/>
  <c r="C711" i="50" s="1"/>
  <c r="C712" i="50" s="1"/>
  <c r="C713" i="50" s="1"/>
  <c r="C714" i="50" s="1"/>
  <c r="C715" i="50" s="1"/>
  <c r="C716" i="50" s="1"/>
  <c r="F1165" i="50"/>
  <c r="F1168" i="50" s="1"/>
  <c r="C1151" i="50" s="1"/>
  <c r="C1152" i="50" s="1"/>
  <c r="C1153" i="50" s="1"/>
  <c r="C1154" i="50" s="1"/>
  <c r="C1155" i="50" s="1"/>
  <c r="C1156" i="50" s="1"/>
  <c r="C1157" i="50" s="1"/>
  <c r="C1158" i="50" s="1"/>
  <c r="C1159" i="50" s="1"/>
  <c r="C1160" i="50" s="1"/>
  <c r="C1161" i="50" s="1"/>
  <c r="C1162" i="50" s="1"/>
  <c r="C1163" i="50" s="1"/>
  <c r="C1164" i="50" s="1"/>
  <c r="C1165" i="50" s="1"/>
  <c r="C1166" i="50" s="1"/>
  <c r="C1167" i="50" s="1"/>
  <c r="C1168" i="50" s="1"/>
  <c r="F831" i="50"/>
  <c r="F834" i="50" s="1"/>
  <c r="C817" i="50" s="1"/>
  <c r="C818" i="50" s="1"/>
  <c r="C819" i="50" s="1"/>
  <c r="C820" i="50" s="1"/>
  <c r="C821" i="50" s="1"/>
  <c r="C822" i="50" s="1"/>
  <c r="C823" i="50" s="1"/>
  <c r="C824" i="50" s="1"/>
  <c r="C825" i="50" s="1"/>
  <c r="C826" i="50" s="1"/>
  <c r="C827" i="50" s="1"/>
  <c r="C828" i="50" s="1"/>
  <c r="C829" i="50" s="1"/>
  <c r="C830" i="50" s="1"/>
  <c r="C831" i="50" s="1"/>
  <c r="C832" i="50" s="1"/>
  <c r="C833" i="50" s="1"/>
  <c r="C834" i="50" s="1"/>
  <c r="F889" i="50"/>
  <c r="F892" i="50" s="1"/>
  <c r="C875" i="50" s="1"/>
  <c r="C876" i="50" s="1"/>
  <c r="C877" i="50" s="1"/>
  <c r="C878" i="50" s="1"/>
  <c r="C879" i="50" s="1"/>
  <c r="C880" i="50" s="1"/>
  <c r="C881" i="50" s="1"/>
  <c r="C882" i="50" s="1"/>
  <c r="C883" i="50" s="1"/>
  <c r="C884" i="50" s="1"/>
  <c r="C885" i="50" s="1"/>
  <c r="C886" i="50" s="1"/>
  <c r="C887" i="50" s="1"/>
  <c r="C888" i="50" s="1"/>
  <c r="C889" i="50" s="1"/>
  <c r="C890" i="50" s="1"/>
  <c r="C891" i="50" s="1"/>
  <c r="C892" i="50" s="1"/>
  <c r="F869" i="50"/>
  <c r="F872" i="50" s="1"/>
  <c r="C855" i="50" s="1"/>
  <c r="C856" i="50" s="1"/>
  <c r="C857" i="50" s="1"/>
  <c r="C858" i="50" s="1"/>
  <c r="C859" i="50" s="1"/>
  <c r="C860" i="50" s="1"/>
  <c r="C861" i="50" s="1"/>
  <c r="C862" i="50" s="1"/>
  <c r="C863" i="50" s="1"/>
  <c r="C864" i="50" s="1"/>
  <c r="C865" i="50" s="1"/>
  <c r="C866" i="50" s="1"/>
  <c r="C867" i="50" s="1"/>
  <c r="C868" i="50" s="1"/>
  <c r="C869" i="50" s="1"/>
  <c r="C870" i="50" s="1"/>
  <c r="C871" i="50" s="1"/>
  <c r="C872" i="50" s="1"/>
  <c r="F516" i="50"/>
  <c r="F519" i="50" s="1"/>
  <c r="C502" i="50" s="1"/>
  <c r="C503" i="50" s="1"/>
  <c r="C504" i="50" s="1"/>
  <c r="C505" i="50" s="1"/>
  <c r="C506" i="50" s="1"/>
  <c r="C507" i="50" s="1"/>
  <c r="C508" i="50" s="1"/>
  <c r="C509" i="50" s="1"/>
  <c r="C510" i="50" s="1"/>
  <c r="C511" i="50" s="1"/>
  <c r="C512" i="50" s="1"/>
  <c r="C513" i="50" s="1"/>
  <c r="C514" i="50" s="1"/>
  <c r="C515" i="50" s="1"/>
  <c r="C516" i="50" s="1"/>
  <c r="C517" i="50" s="1"/>
  <c r="C518" i="50" s="1"/>
  <c r="C519" i="50" s="1"/>
  <c r="F132" i="50"/>
  <c r="F135" i="50" s="1"/>
  <c r="C118" i="50" s="1"/>
  <c r="C119" i="50" s="1"/>
  <c r="C120" i="50" s="1"/>
  <c r="C121" i="50" s="1"/>
  <c r="C122" i="50" s="1"/>
  <c r="C123" i="50" s="1"/>
  <c r="C124" i="50" s="1"/>
  <c r="C125" i="50" s="1"/>
  <c r="C126" i="50" s="1"/>
  <c r="C127" i="50" s="1"/>
  <c r="C128" i="50" s="1"/>
  <c r="C129" i="50" s="1"/>
  <c r="C130" i="50" s="1"/>
  <c r="C131" i="50" s="1"/>
  <c r="C132" i="50" s="1"/>
  <c r="C133" i="50" s="1"/>
  <c r="C134" i="50" s="1"/>
  <c r="C135" i="50" s="1"/>
  <c r="F791" i="50"/>
  <c r="F794" i="50" s="1"/>
  <c r="C777" i="50" s="1"/>
  <c r="C778" i="50" s="1"/>
  <c r="C779" i="50" s="1"/>
  <c r="C780" i="50" s="1"/>
  <c r="C781" i="50" s="1"/>
  <c r="C782" i="50" s="1"/>
  <c r="C783" i="50" s="1"/>
  <c r="C784" i="50" s="1"/>
  <c r="C785" i="50" s="1"/>
  <c r="C786" i="50" s="1"/>
  <c r="C787" i="50" s="1"/>
  <c r="C788" i="50" s="1"/>
  <c r="C789" i="50" s="1"/>
  <c r="C790" i="50" s="1"/>
  <c r="C791" i="50" s="1"/>
  <c r="C792" i="50" s="1"/>
  <c r="C793" i="50" s="1"/>
  <c r="C794" i="50" s="1"/>
  <c r="F968" i="50"/>
  <c r="F971" i="50" s="1"/>
  <c r="C954" i="50" s="1"/>
  <c r="C955" i="50" s="1"/>
  <c r="C956" i="50" s="1"/>
  <c r="C957" i="50" s="1"/>
  <c r="C958" i="50" s="1"/>
  <c r="C959" i="50" s="1"/>
  <c r="C960" i="50" s="1"/>
  <c r="C961" i="50" s="1"/>
  <c r="C962" i="50" s="1"/>
  <c r="C963" i="50" s="1"/>
  <c r="C964" i="50" s="1"/>
  <c r="C965" i="50" s="1"/>
  <c r="C966" i="50" s="1"/>
  <c r="C967" i="50" s="1"/>
  <c r="C968" i="50" s="1"/>
  <c r="C969" i="50" s="1"/>
  <c r="C970" i="50" s="1"/>
  <c r="C971" i="50" s="1"/>
  <c r="F654" i="50"/>
  <c r="F657" i="50" s="1"/>
  <c r="C640" i="50" s="1"/>
  <c r="C641" i="50" s="1"/>
  <c r="C642" i="50" s="1"/>
  <c r="C643" i="50" s="1"/>
  <c r="C644" i="50" s="1"/>
  <c r="C645" i="50" s="1"/>
  <c r="C646" i="50" s="1"/>
  <c r="C647" i="50" s="1"/>
  <c r="C648" i="50" s="1"/>
  <c r="C649" i="50" s="1"/>
  <c r="C650" i="50" s="1"/>
  <c r="C651" i="50" s="1"/>
  <c r="C652" i="50" s="1"/>
  <c r="C653" i="50" s="1"/>
  <c r="C654" i="50" s="1"/>
  <c r="C655" i="50" s="1"/>
  <c r="C656" i="50" s="1"/>
  <c r="C657" i="50" s="1"/>
  <c r="F265" i="50"/>
  <c r="F268" i="50" s="1"/>
  <c r="C251" i="50" s="1"/>
  <c r="C252" i="50" s="1"/>
  <c r="C253" i="50" s="1"/>
  <c r="C254" i="50" s="1"/>
  <c r="C255" i="50" s="1"/>
  <c r="C256" i="50" s="1"/>
  <c r="C257" i="50" s="1"/>
  <c r="C258" i="50" s="1"/>
  <c r="C259" i="50" s="1"/>
  <c r="C260" i="50" s="1"/>
  <c r="C261" i="50" s="1"/>
  <c r="C262" i="50" s="1"/>
  <c r="C263" i="50" s="1"/>
  <c r="C264" i="50" s="1"/>
  <c r="C265" i="50" s="1"/>
  <c r="C266" i="50" s="1"/>
  <c r="C267" i="50" s="1"/>
  <c r="C268" i="50" s="1"/>
  <c r="F732" i="50"/>
  <c r="F735" i="50" s="1"/>
  <c r="C718" i="50" s="1"/>
  <c r="C719" i="50" s="1"/>
  <c r="C720" i="50" s="1"/>
  <c r="C721" i="50" s="1"/>
  <c r="C722" i="50" s="1"/>
  <c r="C723" i="50" s="1"/>
  <c r="C724" i="50" s="1"/>
  <c r="C725" i="50" s="1"/>
  <c r="C726" i="50" s="1"/>
  <c r="C727" i="50" s="1"/>
  <c r="C728" i="50" s="1"/>
  <c r="C729" i="50" s="1"/>
  <c r="C730" i="50" s="1"/>
  <c r="C731" i="50" s="1"/>
  <c r="C732" i="50" s="1"/>
  <c r="C733" i="50" s="1"/>
  <c r="C734" i="50" s="1"/>
  <c r="C735" i="50" s="1"/>
  <c r="F674" i="50"/>
  <c r="F677" i="50" s="1"/>
  <c r="C660" i="50" s="1"/>
  <c r="C661" i="50" s="1"/>
  <c r="C662" i="50" s="1"/>
  <c r="C663" i="50" s="1"/>
  <c r="C664" i="50" s="1"/>
  <c r="C665" i="50" s="1"/>
  <c r="C666" i="50" s="1"/>
  <c r="C667" i="50" s="1"/>
  <c r="C668" i="50" s="1"/>
  <c r="C669" i="50" s="1"/>
  <c r="C670" i="50" s="1"/>
  <c r="C671" i="50" s="1"/>
  <c r="C672" i="50" s="1"/>
  <c r="C673" i="50" s="1"/>
  <c r="C674" i="50" s="1"/>
  <c r="C675" i="50" s="1"/>
  <c r="C676" i="50" s="1"/>
  <c r="C677" i="50" s="1"/>
  <c r="F1146" i="50"/>
  <c r="F1149" i="50" s="1"/>
  <c r="C1132" i="50" s="1"/>
  <c r="C1133" i="50" s="1"/>
  <c r="C1134" i="50" s="1"/>
  <c r="C1135" i="50" s="1"/>
  <c r="C1136" i="50" s="1"/>
  <c r="C1137" i="50" s="1"/>
  <c r="C1138" i="50" s="1"/>
  <c r="C1139" i="50" s="1"/>
  <c r="C1140" i="50" s="1"/>
  <c r="C1141" i="50" s="1"/>
  <c r="C1142" i="50" s="1"/>
  <c r="C1143" i="50" s="1"/>
  <c r="C1144" i="50" s="1"/>
  <c r="C1145" i="50" s="1"/>
  <c r="C1146" i="50" s="1"/>
  <c r="C1147" i="50" s="1"/>
  <c r="C1148" i="50" s="1"/>
  <c r="C1149" i="50" s="1"/>
  <c r="F634" i="50"/>
  <c r="F637" i="50" s="1"/>
  <c r="C620" i="50" s="1"/>
  <c r="C621" i="50" s="1"/>
  <c r="C622" i="50" s="1"/>
  <c r="C623" i="50" s="1"/>
  <c r="C624" i="50" s="1"/>
  <c r="C625" i="50" s="1"/>
  <c r="C626" i="50" s="1"/>
  <c r="C627" i="50" s="1"/>
  <c r="C628" i="50" s="1"/>
  <c r="C629" i="50" s="1"/>
  <c r="C630" i="50" s="1"/>
  <c r="C631" i="50" s="1"/>
  <c r="C632" i="50" s="1"/>
  <c r="C633" i="50" s="1"/>
  <c r="C634" i="50" s="1"/>
  <c r="C635" i="50" s="1"/>
  <c r="C636" i="50" s="1"/>
  <c r="C637" i="50" s="1"/>
  <c r="F208" i="50"/>
  <c r="F211" i="50" s="1"/>
  <c r="C194" i="50" s="1"/>
  <c r="C195" i="50" s="1"/>
  <c r="C196" i="50" s="1"/>
  <c r="C197" i="50" s="1"/>
  <c r="C198" i="50" s="1"/>
  <c r="C199" i="50" s="1"/>
  <c r="C200" i="50" s="1"/>
  <c r="C201" i="50" s="1"/>
  <c r="C202" i="50" s="1"/>
  <c r="C203" i="50" s="1"/>
  <c r="C204" i="50" s="1"/>
  <c r="C205" i="50" s="1"/>
  <c r="C206" i="50" s="1"/>
  <c r="C207" i="50" s="1"/>
  <c r="C208" i="50" s="1"/>
  <c r="C209" i="50" s="1"/>
  <c r="C210" i="50" s="1"/>
  <c r="C211" i="50" s="1"/>
  <c r="F1027" i="50"/>
  <c r="F1030" i="50" s="1"/>
  <c r="C1013" i="50" s="1"/>
  <c r="C1014" i="50" s="1"/>
  <c r="C1015" i="50" s="1"/>
  <c r="C1016" i="50" s="1"/>
  <c r="C1017" i="50" s="1"/>
  <c r="C1018" i="50" s="1"/>
  <c r="C1019" i="50" s="1"/>
  <c r="C1020" i="50" s="1"/>
  <c r="C1021" i="50" s="1"/>
  <c r="C1022" i="50" s="1"/>
  <c r="C1023" i="50" s="1"/>
  <c r="C1024" i="50" s="1"/>
  <c r="C1025" i="50" s="1"/>
  <c r="C1026" i="50" s="1"/>
  <c r="C1027" i="50" s="1"/>
  <c r="C1028" i="50" s="1"/>
  <c r="C1029" i="50" s="1"/>
  <c r="C1030" i="50" s="1"/>
  <c r="F928" i="50"/>
  <c r="F931" i="50" s="1"/>
  <c r="C914" i="50" s="1"/>
  <c r="C915" i="50" s="1"/>
  <c r="C916" i="50" s="1"/>
  <c r="C917" i="50" s="1"/>
  <c r="C918" i="50" s="1"/>
  <c r="C919" i="50" s="1"/>
  <c r="C920" i="50" s="1"/>
  <c r="C921" i="50" s="1"/>
  <c r="C922" i="50" s="1"/>
  <c r="C923" i="50" s="1"/>
  <c r="C924" i="50" s="1"/>
  <c r="C925" i="50" s="1"/>
  <c r="C926" i="50" s="1"/>
  <c r="C927" i="50" s="1"/>
  <c r="C928" i="50" s="1"/>
  <c r="C929" i="50" s="1"/>
  <c r="C930" i="50" s="1"/>
  <c r="C931" i="50" s="1"/>
  <c r="F595" i="50"/>
  <c r="F598" i="50" s="1"/>
  <c r="C581" i="50" s="1"/>
  <c r="C582" i="50" s="1"/>
  <c r="C583" i="50" s="1"/>
  <c r="C584" i="50" s="1"/>
  <c r="C585" i="50" s="1"/>
  <c r="C586" i="50" s="1"/>
  <c r="C587" i="50" s="1"/>
  <c r="C588" i="50" s="1"/>
  <c r="C589" i="50" s="1"/>
  <c r="C590" i="50" s="1"/>
  <c r="C591" i="50" s="1"/>
  <c r="C592" i="50" s="1"/>
  <c r="C593" i="50" s="1"/>
  <c r="C594" i="50" s="1"/>
  <c r="C595" i="50" s="1"/>
  <c r="C596" i="50" s="1"/>
  <c r="C597" i="50" s="1"/>
  <c r="C598" i="50" s="1"/>
  <c r="F360" i="50"/>
  <c r="F363" i="50" s="1"/>
  <c r="C346" i="50" s="1"/>
  <c r="C347" i="50" s="1"/>
  <c r="C348" i="50" s="1"/>
  <c r="C349" i="50" s="1"/>
  <c r="C350" i="50" s="1"/>
  <c r="C351" i="50" s="1"/>
  <c r="C352" i="50" s="1"/>
  <c r="C353" i="50" s="1"/>
  <c r="C354" i="50" s="1"/>
  <c r="C355" i="50" s="1"/>
  <c r="C356" i="50" s="1"/>
  <c r="C357" i="50" s="1"/>
  <c r="C358" i="50" s="1"/>
  <c r="C359" i="50" s="1"/>
  <c r="C360" i="50" s="1"/>
  <c r="C361" i="50" s="1"/>
  <c r="C362" i="50" s="1"/>
  <c r="C363" i="50" s="1"/>
  <c r="F1204" i="50"/>
  <c r="F1207" i="50" s="1"/>
  <c r="C1190" i="50" s="1"/>
  <c r="C1191" i="50" s="1"/>
  <c r="C1192" i="50" s="1"/>
  <c r="C1193" i="50" s="1"/>
  <c r="C1194" i="50" s="1"/>
  <c r="C1195" i="50" s="1"/>
  <c r="C1196" i="50" s="1"/>
  <c r="C1197" i="50" s="1"/>
  <c r="C1198" i="50" s="1"/>
  <c r="C1199" i="50" s="1"/>
  <c r="C1200" i="50" s="1"/>
  <c r="C1201" i="50" s="1"/>
  <c r="C1202" i="50" s="1"/>
  <c r="C1203" i="50" s="1"/>
  <c r="C1204" i="50" s="1"/>
  <c r="C1205" i="50" s="1"/>
  <c r="C1206" i="50" s="1"/>
  <c r="C1207" i="50" s="1"/>
  <c r="F1007" i="50"/>
  <c r="F1010" i="50" s="1"/>
  <c r="C993" i="50" s="1"/>
  <c r="C994" i="50" s="1"/>
  <c r="C995" i="50" s="1"/>
  <c r="C996" i="50" s="1"/>
  <c r="C997" i="50" s="1"/>
  <c r="C998" i="50" s="1"/>
  <c r="C999" i="50" s="1"/>
  <c r="C1000" i="50" s="1"/>
  <c r="C1001" i="50" s="1"/>
  <c r="C1002" i="50" s="1"/>
  <c r="C1003" i="50" s="1"/>
  <c r="C1004" i="50" s="1"/>
  <c r="C1005" i="50" s="1"/>
  <c r="C1006" i="50" s="1"/>
  <c r="C1007" i="50" s="1"/>
  <c r="C1008" i="50" s="1"/>
  <c r="C1009" i="50" s="1"/>
  <c r="C1010" i="50" s="1"/>
  <c r="F284" i="50"/>
  <c r="F287" i="50" s="1"/>
  <c r="C270" i="50" s="1"/>
  <c r="C271" i="50" s="1"/>
  <c r="C272" i="50" s="1"/>
  <c r="C273" i="50" s="1"/>
  <c r="C274" i="50" s="1"/>
  <c r="C275" i="50" s="1"/>
  <c r="C276" i="50" s="1"/>
  <c r="C277" i="50" s="1"/>
  <c r="C278" i="50" s="1"/>
  <c r="C279" i="50" s="1"/>
  <c r="C280" i="50" s="1"/>
  <c r="C281" i="50" s="1"/>
  <c r="C282" i="50" s="1"/>
  <c r="C283" i="50" s="1"/>
  <c r="C284" i="50" s="1"/>
  <c r="C285" i="50" s="1"/>
  <c r="C286" i="50" s="1"/>
  <c r="C287" i="50" s="1"/>
  <c r="F771" i="50"/>
  <c r="F774" i="50" s="1"/>
  <c r="C757" i="50" s="1"/>
  <c r="C758" i="50" s="1"/>
  <c r="C759" i="50" s="1"/>
  <c r="C760" i="50" s="1"/>
  <c r="C761" i="50" s="1"/>
  <c r="C762" i="50" s="1"/>
  <c r="C763" i="50" s="1"/>
  <c r="C764" i="50" s="1"/>
  <c r="C765" i="50" s="1"/>
  <c r="C766" i="50" s="1"/>
  <c r="C767" i="50" s="1"/>
  <c r="C768" i="50" s="1"/>
  <c r="C769" i="50" s="1"/>
  <c r="C770" i="50" s="1"/>
  <c r="C771" i="50" s="1"/>
  <c r="C772" i="50" s="1"/>
  <c r="C773" i="50" s="1"/>
  <c r="C774" i="50" s="1"/>
  <c r="F1126" i="50"/>
  <c r="F1129" i="50" s="1"/>
  <c r="C1112" i="50" s="1"/>
  <c r="C1113" i="50" s="1"/>
  <c r="C1114" i="50" s="1"/>
  <c r="C1115" i="50" s="1"/>
  <c r="C1116" i="50" s="1"/>
  <c r="C1117" i="50" s="1"/>
  <c r="C1118" i="50" s="1"/>
  <c r="C1119" i="50" s="1"/>
  <c r="C1120" i="50" s="1"/>
  <c r="C1121" i="50" s="1"/>
  <c r="C1122" i="50" s="1"/>
  <c r="C1123" i="50" s="1"/>
  <c r="C1124" i="50" s="1"/>
  <c r="C1125" i="50" s="1"/>
  <c r="C1126" i="50" s="1"/>
  <c r="C1127" i="50" s="1"/>
  <c r="C1128" i="50" s="1"/>
  <c r="C1129" i="50" s="1"/>
  <c r="F850" i="50"/>
  <c r="F853" i="50" s="1"/>
  <c r="C836" i="50" s="1"/>
  <c r="C837" i="50" s="1"/>
  <c r="C838" i="50" s="1"/>
  <c r="C839" i="50" s="1"/>
  <c r="C840" i="50" s="1"/>
  <c r="C841" i="50" s="1"/>
  <c r="C842" i="50" s="1"/>
  <c r="C843" i="50" s="1"/>
  <c r="C844" i="50" s="1"/>
  <c r="C845" i="50" s="1"/>
  <c r="C846" i="50" s="1"/>
  <c r="C847" i="50" s="1"/>
  <c r="C848" i="50" s="1"/>
  <c r="C849" i="50" s="1"/>
  <c r="C850" i="50" s="1"/>
  <c r="C851" i="50" s="1"/>
  <c r="C852" i="50" s="1"/>
  <c r="C853" i="50" s="1"/>
  <c r="F811" i="50"/>
  <c r="F814" i="50" s="1"/>
  <c r="C797" i="50" s="1"/>
  <c r="C798" i="50" s="1"/>
  <c r="C799" i="50" s="1"/>
  <c r="C800" i="50" s="1"/>
  <c r="C801" i="50" s="1"/>
  <c r="C802" i="50" s="1"/>
  <c r="C803" i="50" s="1"/>
  <c r="C804" i="50" s="1"/>
  <c r="C805" i="50" s="1"/>
  <c r="C806" i="50" s="1"/>
  <c r="C807" i="50" s="1"/>
  <c r="C808" i="50" s="1"/>
  <c r="C809" i="50" s="1"/>
  <c r="C810" i="50" s="1"/>
  <c r="C811" i="50" s="1"/>
  <c r="C812" i="50" s="1"/>
  <c r="C813" i="50" s="1"/>
  <c r="C814" i="50" s="1"/>
  <c r="F151" i="50"/>
  <c r="F154" i="50" s="1"/>
  <c r="C137" i="50" s="1"/>
  <c r="C138" i="50" s="1"/>
  <c r="C139" i="50" s="1"/>
  <c r="C140" i="50" s="1"/>
  <c r="C141" i="50" s="1"/>
  <c r="C142" i="50" s="1"/>
  <c r="C143" i="50" s="1"/>
  <c r="C144" i="50" s="1"/>
  <c r="C145" i="50" s="1"/>
  <c r="C146" i="50" s="1"/>
  <c r="C147" i="50" s="1"/>
  <c r="C148" i="50" s="1"/>
  <c r="C149" i="50" s="1"/>
  <c r="C150" i="50" s="1"/>
  <c r="C151" i="50" s="1"/>
  <c r="C152" i="50" s="1"/>
  <c r="C153" i="50" s="1"/>
  <c r="C154" i="50" s="1"/>
  <c r="F75" i="50"/>
  <c r="F78" i="50" s="1"/>
  <c r="C61" i="50" s="1"/>
  <c r="C62" i="50" s="1"/>
  <c r="C63" i="50" s="1"/>
  <c r="C64" i="50" s="1"/>
  <c r="C65" i="50" s="1"/>
  <c r="C66" i="50" s="1"/>
  <c r="C67" i="50" s="1"/>
  <c r="C68" i="50" s="1"/>
  <c r="C69" i="50" s="1"/>
  <c r="C70" i="50" s="1"/>
  <c r="C71" i="50" s="1"/>
  <c r="C72" i="50" s="1"/>
  <c r="C73" i="50" s="1"/>
  <c r="C74" i="50" s="1"/>
  <c r="C75" i="50" s="1"/>
  <c r="C76" i="50" s="1"/>
  <c r="C77" i="50" s="1"/>
  <c r="C78" i="50" s="1"/>
  <c r="F437" i="50"/>
  <c r="F440" i="50" s="1"/>
  <c r="C423" i="50" s="1"/>
  <c r="C424" i="50" s="1"/>
  <c r="C425" i="50" s="1"/>
  <c r="C426" i="50" s="1"/>
  <c r="C427" i="50" s="1"/>
  <c r="C428" i="50" s="1"/>
  <c r="C429" i="50" s="1"/>
  <c r="C430" i="50" s="1"/>
  <c r="C431" i="50" s="1"/>
  <c r="C432" i="50" s="1"/>
  <c r="C433" i="50" s="1"/>
  <c r="C434" i="50" s="1"/>
  <c r="C435" i="50" s="1"/>
  <c r="C436" i="50" s="1"/>
  <c r="C437" i="50" s="1"/>
  <c r="C438" i="50" s="1"/>
  <c r="C439" i="50" s="1"/>
  <c r="C440" i="50" s="1"/>
  <c r="T14" i="14"/>
  <c r="B7" i="37"/>
  <c r="C7" i="37"/>
  <c r="B11" i="37"/>
  <c r="C11" i="37"/>
  <c r="T17" i="13"/>
  <c r="R47" i="20"/>
  <c r="AK10" i="20" s="1"/>
  <c r="U14" i="14" s="1"/>
  <c r="Q47" i="20"/>
  <c r="AK17" i="20" s="1"/>
  <c r="U17" i="13" s="1"/>
  <c r="K23" i="6"/>
  <c r="I23" i="6" s="1"/>
  <c r="F23" i="6" s="1"/>
  <c r="K5" i="5"/>
  <c r="B40" i="4"/>
  <c r="B4" i="37" s="1"/>
  <c r="B15" i="37" s="1"/>
  <c r="B18" i="37" s="1"/>
  <c r="K5" i="6"/>
  <c r="R46" i="20"/>
  <c r="AK6" i="20" s="1"/>
  <c r="S42" i="20"/>
  <c r="H8" i="12" s="1"/>
  <c r="Q46" i="20"/>
  <c r="AK13" i="20" s="1"/>
  <c r="U6" i="13" s="1"/>
  <c r="S39" i="20"/>
  <c r="N8" i="11" s="1"/>
  <c r="R52" i="20"/>
  <c r="AJ6" i="20" s="1"/>
  <c r="Q52" i="20"/>
  <c r="AJ13" i="20" s="1"/>
  <c r="G785" i="5"/>
  <c r="J520" i="5"/>
  <c r="G1006" i="5"/>
  <c r="J814" i="5"/>
  <c r="G224" i="5"/>
  <c r="G69" i="5"/>
  <c r="J64" i="5"/>
  <c r="J706" i="5"/>
  <c r="J899" i="5"/>
  <c r="G647" i="5"/>
  <c r="J419" i="5"/>
  <c r="J1031" i="5"/>
  <c r="G34" i="5"/>
  <c r="J423" i="5"/>
  <c r="G513" i="5"/>
  <c r="J626" i="5"/>
  <c r="J791" i="5"/>
  <c r="J523" i="5"/>
  <c r="G936" i="5"/>
  <c r="J540" i="5"/>
  <c r="G71" i="5"/>
  <c r="J522" i="5"/>
  <c r="J741" i="5"/>
  <c r="G698" i="5"/>
  <c r="G394" i="5"/>
  <c r="J723" i="5"/>
  <c r="G154" i="5"/>
  <c r="G919" i="5"/>
  <c r="G972" i="5"/>
  <c r="G802" i="5"/>
  <c r="J519" i="5"/>
  <c r="G52" i="5"/>
  <c r="G987" i="5"/>
  <c r="J198" i="5"/>
  <c r="J421" i="5"/>
  <c r="G751" i="5"/>
  <c r="J711" i="5"/>
  <c r="G341" i="5"/>
  <c r="G547" i="5"/>
  <c r="G494" i="5"/>
  <c r="G885" i="5"/>
  <c r="J537" i="5"/>
  <c r="J895" i="5"/>
  <c r="J521" i="5"/>
  <c r="J1036" i="5"/>
  <c r="G324" i="5"/>
  <c r="G768" i="5"/>
  <c r="J815" i="5"/>
  <c r="J542" i="5"/>
  <c r="G496" i="5"/>
  <c r="J26" i="5"/>
  <c r="J707" i="5"/>
  <c r="G409" i="5"/>
  <c r="J727" i="5"/>
  <c r="G343" i="5"/>
  <c r="G579" i="5"/>
  <c r="G103" i="5"/>
  <c r="J623" i="5"/>
  <c r="G868" i="5"/>
  <c r="G596" i="5"/>
  <c r="G1021" i="5"/>
  <c r="G139" i="5"/>
  <c r="G630" i="5"/>
  <c r="J196" i="5"/>
  <c r="G783" i="5"/>
  <c r="J503" i="5"/>
  <c r="G462" i="5"/>
  <c r="G292" i="5"/>
  <c r="G122" i="5"/>
  <c r="G717" i="5"/>
  <c r="J713" i="5"/>
  <c r="J502" i="5"/>
  <c r="J813" i="5"/>
  <c r="J200" i="5"/>
  <c r="G955" i="5"/>
  <c r="G428" i="5"/>
  <c r="J509" i="5"/>
  <c r="J894" i="5"/>
  <c r="J744" i="5"/>
  <c r="G1023" i="5"/>
  <c r="J538" i="5"/>
  <c r="G1055" i="5"/>
  <c r="G120" i="5"/>
  <c r="J62" i="5"/>
  <c r="G817" i="5"/>
  <c r="J1029" i="5"/>
  <c r="J536" i="5"/>
  <c r="J1030" i="5"/>
  <c r="G1057" i="5"/>
  <c r="G649" i="5"/>
  <c r="G326" i="5"/>
  <c r="J541" i="5"/>
  <c r="J746" i="5"/>
  <c r="J505" i="5"/>
  <c r="J797" i="5"/>
  <c r="J811" i="5"/>
  <c r="G443" i="5"/>
  <c r="J808" i="5"/>
  <c r="G632" i="5"/>
  <c r="J66" i="5"/>
  <c r="J424" i="5"/>
  <c r="G207" i="5"/>
  <c r="G290" i="5"/>
  <c r="J740" i="5"/>
  <c r="G309" i="5"/>
  <c r="J709" i="5"/>
  <c r="J65" i="5"/>
  <c r="J625" i="5"/>
  <c r="J507" i="5"/>
  <c r="J893" i="5"/>
  <c r="J745" i="5"/>
  <c r="J743" i="5"/>
  <c r="G902" i="5"/>
  <c r="J724" i="5"/>
  <c r="J726" i="5"/>
  <c r="G834" i="5"/>
  <c r="J730" i="5"/>
  <c r="G870" i="5"/>
  <c r="J60" i="5"/>
  <c r="G700" i="5"/>
  <c r="J793" i="5"/>
  <c r="J199" i="5"/>
  <c r="G562" i="5"/>
  <c r="J418" i="5"/>
  <c r="G445" i="5"/>
  <c r="G1040" i="5"/>
  <c r="J31" i="5"/>
  <c r="G953" i="5"/>
  <c r="J900" i="5"/>
  <c r="G358" i="5"/>
  <c r="G256" i="5"/>
  <c r="J417" i="5"/>
  <c r="J1034" i="5"/>
  <c r="G715" i="5"/>
  <c r="G460" i="5"/>
  <c r="G564" i="5"/>
  <c r="J197" i="5"/>
  <c r="G375" i="5"/>
  <c r="G613" i="5"/>
  <c r="G734" i="5"/>
  <c r="G137" i="5"/>
  <c r="G173" i="5"/>
  <c r="G545" i="5"/>
  <c r="G581" i="5"/>
  <c r="G853" i="5"/>
  <c r="J898" i="5"/>
  <c r="G171" i="5"/>
  <c r="J710" i="5"/>
  <c r="G598" i="5"/>
  <c r="J524" i="5"/>
  <c r="J798" i="5"/>
  <c r="J795" i="5"/>
  <c r="J508" i="5"/>
  <c r="J742" i="5"/>
  <c r="G800" i="5"/>
  <c r="J728" i="5"/>
  <c r="G479" i="5"/>
  <c r="G241" i="5"/>
  <c r="J28" i="5"/>
  <c r="J1035" i="5"/>
  <c r="J708" i="5"/>
  <c r="J896" i="5"/>
  <c r="G392" i="5"/>
  <c r="G360" i="5"/>
  <c r="G921" i="5"/>
  <c r="G307" i="5"/>
  <c r="J67" i="5"/>
  <c r="J506" i="5"/>
  <c r="J201" i="5"/>
  <c r="J794" i="5"/>
  <c r="G681" i="5"/>
  <c r="J543" i="5"/>
  <c r="G156" i="5"/>
  <c r="G426" i="5"/>
  <c r="G989" i="5"/>
  <c r="G1038" i="5"/>
  <c r="G749" i="5"/>
  <c r="G222" i="5"/>
  <c r="J747" i="5"/>
  <c r="G1004" i="5"/>
  <c r="G530" i="5"/>
  <c r="G54" i="5"/>
  <c r="J1032" i="5"/>
  <c r="J32" i="5"/>
  <c r="G732" i="5"/>
  <c r="G683" i="5"/>
  <c r="G528" i="5"/>
  <c r="J729" i="5"/>
  <c r="G188" i="5"/>
  <c r="G411" i="5"/>
  <c r="J61" i="5"/>
  <c r="J525" i="5"/>
  <c r="J25" i="5"/>
  <c r="J1033" i="5"/>
  <c r="G938" i="5"/>
  <c r="G615" i="5"/>
  <c r="G970" i="5"/>
  <c r="J796" i="5"/>
  <c r="J27" i="5"/>
  <c r="J30" i="5"/>
  <c r="G1074" i="5"/>
  <c r="J624" i="5"/>
  <c r="J809" i="5"/>
  <c r="J203" i="5"/>
  <c r="J504" i="5"/>
  <c r="G86" i="5"/>
  <c r="G239" i="5"/>
  <c r="G836" i="5"/>
  <c r="G511" i="5"/>
  <c r="J627" i="5"/>
  <c r="G887" i="5"/>
  <c r="G88" i="5"/>
  <c r="J725" i="5"/>
  <c r="J712" i="5"/>
  <c r="G258" i="5"/>
  <c r="J621" i="5"/>
  <c r="J29" i="5"/>
  <c r="G377" i="5"/>
  <c r="G273" i="5"/>
  <c r="G190" i="5"/>
  <c r="J622" i="5"/>
  <c r="J539" i="5"/>
  <c r="G1072" i="5"/>
  <c r="G766" i="5"/>
  <c r="J810" i="5"/>
  <c r="G205" i="5"/>
  <c r="J420" i="5"/>
  <c r="G664" i="5"/>
  <c r="G477" i="5"/>
  <c r="J812" i="5"/>
  <c r="G819" i="5"/>
  <c r="J628" i="5"/>
  <c r="J526" i="5"/>
  <c r="J792" i="5"/>
  <c r="G851" i="5"/>
  <c r="J202" i="5"/>
  <c r="G904" i="5"/>
  <c r="J897" i="5"/>
  <c r="J63" i="5"/>
  <c r="G275" i="5"/>
  <c r="G105" i="5"/>
  <c r="J422" i="5"/>
  <c r="G666" i="5"/>
  <c r="H20" i="7" l="1"/>
  <c r="C12" i="37" s="1"/>
  <c r="C13" i="37" s="1"/>
  <c r="H18" i="5"/>
  <c r="H19" i="5" s="1"/>
  <c r="U3" i="47"/>
  <c r="H15" i="6"/>
  <c r="T3" i="47"/>
  <c r="F166" i="3"/>
  <c r="D20" i="37"/>
  <c r="V8" i="13"/>
  <c r="G1226" i="50"/>
  <c r="G1231" i="50" s="1"/>
  <c r="G1232" i="50" s="1"/>
  <c r="U171" i="14"/>
  <c r="U241" i="14"/>
  <c r="U213" i="14"/>
  <c r="U199" i="14"/>
  <c r="U871" i="14"/>
  <c r="U591" i="14"/>
  <c r="U633" i="14"/>
  <c r="U451" i="14"/>
  <c r="U675" i="14"/>
  <c r="U703" i="14"/>
  <c r="U563" i="14"/>
  <c r="U101" i="14"/>
  <c r="U269" i="14"/>
  <c r="U45" i="14"/>
  <c r="U843" i="14"/>
  <c r="U661" i="14"/>
  <c r="U479" i="14"/>
  <c r="U381" i="14"/>
  <c r="U689" i="14"/>
  <c r="U493" i="14"/>
  <c r="U801" i="14"/>
  <c r="U129" i="14"/>
  <c r="U255" i="14"/>
  <c r="U283" i="14"/>
  <c r="U297" i="14"/>
  <c r="U885" i="14"/>
  <c r="U717" i="14"/>
  <c r="U465" i="14"/>
  <c r="U437" i="14"/>
  <c r="U815" i="14"/>
  <c r="U577" i="14"/>
  <c r="U773" i="14"/>
  <c r="U731" i="14"/>
  <c r="U227" i="14"/>
  <c r="U115" i="14"/>
  <c r="U73" i="14"/>
  <c r="U647" i="14"/>
  <c r="U829" i="14"/>
  <c r="U507" i="14"/>
  <c r="U619" i="14"/>
  <c r="U185" i="14"/>
  <c r="U157" i="14"/>
  <c r="U143" i="14"/>
  <c r="U311" i="14"/>
  <c r="U395" i="14"/>
  <c r="U325" i="14"/>
  <c r="U549" i="14"/>
  <c r="U367" i="14"/>
  <c r="U787" i="14"/>
  <c r="U521" i="14"/>
  <c r="U59" i="14"/>
  <c r="U339" i="14"/>
  <c r="U87" i="14"/>
  <c r="U31" i="14"/>
  <c r="U857" i="14"/>
  <c r="U745" i="14"/>
  <c r="U409" i="14"/>
  <c r="U605" i="14"/>
  <c r="U353" i="14"/>
  <c r="U423" i="14"/>
  <c r="U759" i="14"/>
  <c r="U535" i="14"/>
  <c r="T377" i="13"/>
  <c r="T1040" i="13"/>
  <c r="T445" i="13"/>
  <c r="T411" i="13"/>
  <c r="T1006" i="13"/>
  <c r="T649" i="13"/>
  <c r="T870" i="13"/>
  <c r="T530" i="13"/>
  <c r="T921" i="13"/>
  <c r="T836" i="13"/>
  <c r="T989" i="13"/>
  <c r="T1023" i="13"/>
  <c r="T1074" i="13"/>
  <c r="T734" i="13"/>
  <c r="T751" i="13"/>
  <c r="T462" i="13"/>
  <c r="T955" i="13"/>
  <c r="T1057" i="13"/>
  <c r="T802" i="13"/>
  <c r="T581" i="13"/>
  <c r="T632" i="13"/>
  <c r="T496" i="13"/>
  <c r="T904" i="13"/>
  <c r="T785" i="13"/>
  <c r="T819" i="13"/>
  <c r="T717" i="13"/>
  <c r="T700" i="13"/>
  <c r="T547" i="13"/>
  <c r="T479" i="13"/>
  <c r="T938" i="13"/>
  <c r="T598" i="13"/>
  <c r="T615" i="13"/>
  <c r="T887" i="13"/>
  <c r="T666" i="13"/>
  <c r="T513" i="13"/>
  <c r="T394" i="13"/>
  <c r="T683" i="13"/>
  <c r="T972" i="13"/>
  <c r="T853" i="13"/>
  <c r="T37" i="13"/>
  <c r="T564" i="13"/>
  <c r="T428" i="13"/>
  <c r="T768" i="13"/>
  <c r="X17" i="13"/>
  <c r="S17" i="15"/>
  <c r="T17" i="15" s="1"/>
  <c r="W17" i="13"/>
  <c r="T343" i="13"/>
  <c r="Q344" i="13" s="1"/>
  <c r="T224" i="13"/>
  <c r="Q225" i="13" s="1"/>
  <c r="T156" i="13"/>
  <c r="Q157" i="13" s="1"/>
  <c r="T71" i="13"/>
  <c r="Q72" i="13" s="1"/>
  <c r="T190" i="13"/>
  <c r="Q191" i="13" s="1"/>
  <c r="T326" i="13"/>
  <c r="Q327" i="13" s="1"/>
  <c r="T122" i="13"/>
  <c r="Q123" i="13" s="1"/>
  <c r="T309" i="13"/>
  <c r="Q310" i="13" s="1"/>
  <c r="T241" i="13"/>
  <c r="Q242" i="13" s="1"/>
  <c r="T139" i="13"/>
  <c r="Q140" i="13" s="1"/>
  <c r="T258" i="13"/>
  <c r="Q259" i="13" s="1"/>
  <c r="T292" i="13"/>
  <c r="Q293" i="13" s="1"/>
  <c r="T360" i="13"/>
  <c r="Q361" i="13" s="1"/>
  <c r="T88" i="13"/>
  <c r="Q89" i="13" s="1"/>
  <c r="T54" i="13"/>
  <c r="Q55" i="13" s="1"/>
  <c r="T173" i="13"/>
  <c r="Q174" i="13" s="1"/>
  <c r="T105" i="13"/>
  <c r="Q106" i="13" s="1"/>
  <c r="T207" i="13"/>
  <c r="Q208" i="13" s="1"/>
  <c r="T275" i="13"/>
  <c r="Q276" i="13" s="1"/>
  <c r="T339" i="14"/>
  <c r="T311" i="14"/>
  <c r="T605" i="14"/>
  <c r="T577" i="14"/>
  <c r="T563" i="14"/>
  <c r="T745" i="14"/>
  <c r="T689" i="14"/>
  <c r="T535" i="14"/>
  <c r="T521" i="14"/>
  <c r="T507" i="14"/>
  <c r="T857" i="14"/>
  <c r="T451" i="14"/>
  <c r="T423" i="14"/>
  <c r="T381" i="14"/>
  <c r="T367" i="14"/>
  <c r="T815" i="14"/>
  <c r="T465" i="14"/>
  <c r="T619" i="14"/>
  <c r="T787" i="14"/>
  <c r="T871" i="14"/>
  <c r="T801" i="14"/>
  <c r="T731" i="14"/>
  <c r="T353" i="14"/>
  <c r="T591" i="14"/>
  <c r="T493" i="14"/>
  <c r="T759" i="14"/>
  <c r="T409" i="14"/>
  <c r="T843" i="14"/>
  <c r="T885" i="14"/>
  <c r="T675" i="14"/>
  <c r="T549" i="14"/>
  <c r="T437" i="14"/>
  <c r="T395" i="14"/>
  <c r="T479" i="14"/>
  <c r="T703" i="14"/>
  <c r="T647" i="14"/>
  <c r="T829" i="14"/>
  <c r="T633" i="14"/>
  <c r="T717" i="14"/>
  <c r="T325" i="14"/>
  <c r="T661" i="14"/>
  <c r="T773" i="14"/>
  <c r="S14" i="16"/>
  <c r="T14" i="16" s="1"/>
  <c r="W14" i="14"/>
  <c r="T283" i="14"/>
  <c r="T213" i="14"/>
  <c r="T73" i="14"/>
  <c r="Q74" i="14" s="1"/>
  <c r="T297" i="14"/>
  <c r="T87" i="14"/>
  <c r="Q88" i="14" s="1"/>
  <c r="T171" i="14"/>
  <c r="T31" i="14"/>
  <c r="T269" i="14"/>
  <c r="T143" i="14"/>
  <c r="T227" i="14"/>
  <c r="T115" i="14"/>
  <c r="T45" i="14"/>
  <c r="Q46" i="14" s="1"/>
  <c r="T129" i="14"/>
  <c r="T255" i="14"/>
  <c r="T185" i="14"/>
  <c r="T199" i="14"/>
  <c r="T157" i="14"/>
  <c r="T101" i="14"/>
  <c r="T241" i="14"/>
  <c r="T59" i="14"/>
  <c r="Q60" i="14" s="1"/>
  <c r="S47" i="20"/>
  <c r="AL17" i="20"/>
  <c r="AL10" i="20"/>
  <c r="F1226" i="50"/>
  <c r="C1209" i="50" s="1"/>
  <c r="C1210" i="50" s="1"/>
  <c r="C1211" i="50" s="1"/>
  <c r="C1212" i="50" s="1"/>
  <c r="C1213" i="50" s="1"/>
  <c r="C1214" i="50" s="1"/>
  <c r="C1215" i="50" s="1"/>
  <c r="C1216" i="50" s="1"/>
  <c r="C1217" i="50" s="1"/>
  <c r="C1218" i="50" s="1"/>
  <c r="C1219" i="50" s="1"/>
  <c r="C1220" i="50" s="1"/>
  <c r="C1221" i="50" s="1"/>
  <c r="C1222" i="50" s="1"/>
  <c r="C1223" i="50" s="1"/>
  <c r="C1224" i="50" s="1"/>
  <c r="C1225" i="50" s="1"/>
  <c r="C1226" i="50" s="1"/>
  <c r="F40" i="50"/>
  <c r="C23" i="50" s="1"/>
  <c r="C24" i="50" s="1"/>
  <c r="C25" i="50" s="1"/>
  <c r="C26" i="50" s="1"/>
  <c r="C27" i="50" s="1"/>
  <c r="C28" i="50" s="1"/>
  <c r="C29" i="50" s="1"/>
  <c r="C30" i="50" s="1"/>
  <c r="C31" i="50" s="1"/>
  <c r="C32" i="50" s="1"/>
  <c r="C33" i="50" s="1"/>
  <c r="C34" i="50" s="1"/>
  <c r="C35" i="50" s="1"/>
  <c r="C36" i="50" s="1"/>
  <c r="C37" i="50" s="1"/>
  <c r="C38" i="50" s="1"/>
  <c r="C39" i="50" s="1"/>
  <c r="C40" i="50" s="1"/>
  <c r="S46" i="20"/>
  <c r="S52" i="20"/>
  <c r="U530" i="13"/>
  <c r="U1023" i="13"/>
  <c r="U683" i="13"/>
  <c r="U1057" i="13"/>
  <c r="U598" i="13"/>
  <c r="U632" i="13"/>
  <c r="U904" i="13"/>
  <c r="U462" i="13"/>
  <c r="U292" i="13"/>
  <c r="U360" i="13"/>
  <c r="U190" i="13"/>
  <c r="U241" i="13"/>
  <c r="U326" i="13"/>
  <c r="U122" i="13"/>
  <c r="U734" i="13"/>
  <c r="U564" i="13"/>
  <c r="U938" i="13"/>
  <c r="U989" i="13"/>
  <c r="U836" i="13"/>
  <c r="U479" i="13"/>
  <c r="U955" i="13"/>
  <c r="U343" i="13"/>
  <c r="U105" i="13"/>
  <c r="U309" i="13"/>
  <c r="U615" i="13"/>
  <c r="U717" i="13"/>
  <c r="U666" i="13"/>
  <c r="U1074" i="13"/>
  <c r="U649" i="13"/>
  <c r="U802" i="13"/>
  <c r="U751" i="13"/>
  <c r="U139" i="13"/>
  <c r="U275" i="13"/>
  <c r="U71" i="13"/>
  <c r="U224" i="13"/>
  <c r="U496" i="13"/>
  <c r="U513" i="13"/>
  <c r="U972" i="13"/>
  <c r="U428" i="13"/>
  <c r="U700" i="13"/>
  <c r="U921" i="13"/>
  <c r="U37" i="13"/>
  <c r="U887" i="13"/>
  <c r="U445" i="13"/>
  <c r="U768" i="13"/>
  <c r="U870" i="13"/>
  <c r="U377" i="13"/>
  <c r="U394" i="13"/>
  <c r="U547" i="13"/>
  <c r="U1006" i="13"/>
  <c r="U819" i="13"/>
  <c r="U853" i="13"/>
  <c r="U581" i="13"/>
  <c r="U785" i="13"/>
  <c r="U1040" i="13"/>
  <c r="U411" i="13"/>
  <c r="U207" i="13"/>
  <c r="U88" i="13"/>
  <c r="U173" i="13"/>
  <c r="U258" i="13"/>
  <c r="U156" i="13"/>
  <c r="U54" i="13"/>
  <c r="D8" i="37"/>
  <c r="D9" i="37" s="1"/>
  <c r="D12" i="37"/>
  <c r="D13" i="37" s="1"/>
  <c r="F399" i="7"/>
  <c r="F401" i="7" s="1"/>
  <c r="C384" i="7" s="1"/>
  <c r="C385" i="7" s="1"/>
  <c r="C386" i="7" s="1"/>
  <c r="C387" i="7" s="1"/>
  <c r="C388" i="7" s="1"/>
  <c r="C389" i="7" s="1"/>
  <c r="C390" i="7" s="1"/>
  <c r="C391" i="7" s="1"/>
  <c r="C392" i="7" s="1"/>
  <c r="C393" i="7" s="1"/>
  <c r="C394" i="7" s="1"/>
  <c r="C395" i="7" s="1"/>
  <c r="C396" i="7" s="1"/>
  <c r="C397" i="7" s="1"/>
  <c r="C398" i="7" s="1"/>
  <c r="C399" i="7" s="1"/>
  <c r="C400" i="7" s="1"/>
  <c r="C401" i="7" s="1"/>
  <c r="F889" i="7"/>
  <c r="F891" i="7" s="1"/>
  <c r="C874" i="7" s="1"/>
  <c r="C875" i="7" s="1"/>
  <c r="C876" i="7" s="1"/>
  <c r="C877" i="7" s="1"/>
  <c r="C878" i="7" s="1"/>
  <c r="C879" i="7" s="1"/>
  <c r="C880" i="7" s="1"/>
  <c r="C881" i="7" s="1"/>
  <c r="C882" i="7" s="1"/>
  <c r="C883" i="7" s="1"/>
  <c r="C884" i="7" s="1"/>
  <c r="C885" i="7" s="1"/>
  <c r="C886" i="7" s="1"/>
  <c r="C887" i="7" s="1"/>
  <c r="C888" i="7" s="1"/>
  <c r="C889" i="7" s="1"/>
  <c r="C890" i="7" s="1"/>
  <c r="C891" i="7" s="1"/>
  <c r="F40" i="7"/>
  <c r="U502" i="13"/>
  <c r="U26" i="13"/>
  <c r="U842" i="13"/>
  <c r="U196" i="13"/>
  <c r="U366" i="13"/>
  <c r="U672" i="13"/>
  <c r="U349" i="13"/>
  <c r="U361" i="13" s="1"/>
  <c r="U1029" i="13"/>
  <c r="U740" i="13"/>
  <c r="U162" i="13"/>
  <c r="U944" i="13"/>
  <c r="U893" i="13"/>
  <c r="U332" i="13"/>
  <c r="U264" i="13"/>
  <c r="U276" i="13" s="1"/>
  <c r="U111" i="13"/>
  <c r="U123" i="13" s="1"/>
  <c r="U536" i="13"/>
  <c r="U774" i="13"/>
  <c r="U1012" i="13"/>
  <c r="U247" i="13"/>
  <c r="U179" i="13"/>
  <c r="U191" i="13" s="1"/>
  <c r="U859" i="13"/>
  <c r="U1046" i="13"/>
  <c r="U213" i="13"/>
  <c r="U570" i="13"/>
  <c r="U791" i="13"/>
  <c r="U383" i="13"/>
  <c r="U434" i="13"/>
  <c r="U621" i="13"/>
  <c r="U723" i="13"/>
  <c r="U808" i="13"/>
  <c r="U230" i="13"/>
  <c r="U689" i="13"/>
  <c r="U910" i="13"/>
  <c r="U961" i="13"/>
  <c r="U298" i="13"/>
  <c r="U604" i="13"/>
  <c r="U825" i="13"/>
  <c r="U468" i="13"/>
  <c r="U60" i="13"/>
  <c r="U757" i="13"/>
  <c r="U18" i="13"/>
  <c r="U587" i="13"/>
  <c r="U599" i="13" s="1"/>
  <c r="U978" i="13"/>
  <c r="U990" i="13" s="1"/>
  <c r="U706" i="13"/>
  <c r="U1063" i="13"/>
  <c r="U1075" i="13" s="1"/>
  <c r="U876" i="13"/>
  <c r="U655" i="13"/>
  <c r="U927" i="13"/>
  <c r="U519" i="13"/>
  <c r="U94" i="13"/>
  <c r="U995" i="13"/>
  <c r="U1007" i="13" s="1"/>
  <c r="U315" i="13"/>
  <c r="U485" i="13"/>
  <c r="U497" i="13" s="1"/>
  <c r="U400" i="13"/>
  <c r="U128" i="13"/>
  <c r="U638" i="13"/>
  <c r="U43" i="13"/>
  <c r="U417" i="13"/>
  <c r="U553" i="13"/>
  <c r="U145" i="13"/>
  <c r="U451" i="13"/>
  <c r="U463" i="13" s="1"/>
  <c r="U281" i="13"/>
  <c r="U293" i="13" s="1"/>
  <c r="U77" i="13"/>
  <c r="U89" i="13" s="1"/>
  <c r="H513" i="12"/>
  <c r="H57" i="12"/>
  <c r="H217" i="12"/>
  <c r="H137" i="12"/>
  <c r="H177" i="12"/>
  <c r="H297" i="12"/>
  <c r="H9" i="12"/>
  <c r="H257" i="12"/>
  <c r="H449" i="12"/>
  <c r="H41" i="12"/>
  <c r="H265" i="12"/>
  <c r="H441" i="12"/>
  <c r="H353" i="12"/>
  <c r="H281" i="12"/>
  <c r="H241" i="12"/>
  <c r="H49" i="12"/>
  <c r="H489" i="12"/>
  <c r="H401" i="12"/>
  <c r="H457" i="12"/>
  <c r="H473" i="12"/>
  <c r="H225" i="12"/>
  <c r="H161" i="12"/>
  <c r="H209" i="12"/>
  <c r="H97" i="12"/>
  <c r="H201" i="12"/>
  <c r="H361" i="12"/>
  <c r="H33" i="12"/>
  <c r="H249" i="12"/>
  <c r="H425" i="12"/>
  <c r="H121" i="12"/>
  <c r="H337" i="12"/>
  <c r="H505" i="12"/>
  <c r="H81" i="12"/>
  <c r="H105" i="12"/>
  <c r="H481" i="12"/>
  <c r="H321" i="12"/>
  <c r="H89" i="12"/>
  <c r="H25" i="12"/>
  <c r="H313" i="12"/>
  <c r="H73" i="12"/>
  <c r="H369" i="12"/>
  <c r="H377" i="12"/>
  <c r="H497" i="12"/>
  <c r="H465" i="12"/>
  <c r="H289" i="12"/>
  <c r="H417" i="12"/>
  <c r="H153" i="12"/>
  <c r="H233" i="12"/>
  <c r="H433" i="12"/>
  <c r="H129" i="12"/>
  <c r="H385" i="12"/>
  <c r="H113" i="12"/>
  <c r="H193" i="12"/>
  <c r="H329" i="12"/>
  <c r="H185" i="12"/>
  <c r="H345" i="12"/>
  <c r="H305" i="12"/>
  <c r="H169" i="12"/>
  <c r="H393" i="12"/>
  <c r="H145" i="12"/>
  <c r="H409" i="12"/>
  <c r="N8" i="12"/>
  <c r="N9" i="12" s="1"/>
  <c r="H65" i="12"/>
  <c r="H273" i="12"/>
  <c r="AL13" i="20"/>
  <c r="AG24" i="20"/>
  <c r="T6" i="13"/>
  <c r="AH24" i="20"/>
  <c r="U6" i="14"/>
  <c r="AL6" i="20"/>
  <c r="T6" i="14"/>
  <c r="I5" i="6"/>
  <c r="F5" i="6" s="1"/>
  <c r="N608" i="11"/>
  <c r="N618" i="11"/>
  <c r="N175" i="11"/>
  <c r="N306" i="11"/>
  <c r="N577" i="11"/>
  <c r="N547" i="11"/>
  <c r="N11" i="11"/>
  <c r="N497" i="11"/>
  <c r="N95" i="11"/>
  <c r="N467" i="11"/>
  <c r="N326" i="11"/>
  <c r="N597" i="11"/>
  <c r="N65" i="11"/>
  <c r="N587" i="11"/>
  <c r="N316" i="11"/>
  <c r="N628" i="11"/>
  <c r="N437" i="11"/>
  <c r="N416" i="11"/>
  <c r="N265" i="11"/>
  <c r="N447" i="11"/>
  <c r="N75" i="11"/>
  <c r="N45" i="11"/>
  <c r="N115" i="11"/>
  <c r="N105" i="11"/>
  <c r="N195" i="11"/>
  <c r="N336" i="11"/>
  <c r="N487" i="11"/>
  <c r="N426" i="11"/>
  <c r="N235" i="11"/>
  <c r="N567" i="11"/>
  <c r="N245" i="11"/>
  <c r="N537" i="11"/>
  <c r="N366" i="11"/>
  <c r="W8" i="11"/>
  <c r="W11" i="11" s="1"/>
  <c r="N215" i="11"/>
  <c r="N55" i="11"/>
  <c r="N638" i="11"/>
  <c r="N296" i="11"/>
  <c r="N406" i="11"/>
  <c r="N85" i="11"/>
  <c r="N35" i="11"/>
  <c r="N386" i="11"/>
  <c r="N557" i="11"/>
  <c r="N517" i="11"/>
  <c r="N185" i="11"/>
  <c r="N125" i="11"/>
  <c r="N396" i="11"/>
  <c r="N255" i="11"/>
  <c r="N205" i="11"/>
  <c r="N346" i="11"/>
  <c r="N165" i="11"/>
  <c r="N356" i="11"/>
  <c r="N225" i="11"/>
  <c r="N457" i="11"/>
  <c r="N25" i="11"/>
  <c r="N376" i="11"/>
  <c r="N135" i="11"/>
  <c r="N145" i="11"/>
  <c r="N276" i="11"/>
  <c r="N507" i="11"/>
  <c r="N155" i="11"/>
  <c r="N477" i="11"/>
  <c r="N527" i="11"/>
  <c r="N286" i="11"/>
  <c r="K2" i="5"/>
  <c r="E8" i="36" l="1"/>
  <c r="E9" i="36" s="1"/>
  <c r="B12" i="37"/>
  <c r="B13" i="37" s="1"/>
  <c r="C8" i="37"/>
  <c r="C9" i="37" s="1"/>
  <c r="B8" i="37"/>
  <c r="B9" i="37" s="1"/>
  <c r="E8" i="56"/>
  <c r="E9" i="56" s="1"/>
  <c r="V61" i="47"/>
  <c r="V15" i="47"/>
  <c r="V65" i="47"/>
  <c r="V68" i="47"/>
  <c r="V64" i="47"/>
  <c r="V71" i="47"/>
  <c r="V34" i="47"/>
  <c r="V17" i="47"/>
  <c r="V72" i="47"/>
  <c r="V62" i="47"/>
  <c r="V8" i="47"/>
  <c r="V46" i="47"/>
  <c r="V21" i="47"/>
  <c r="V11" i="47"/>
  <c r="V63" i="47"/>
  <c r="V10" i="47"/>
  <c r="V70" i="47"/>
  <c r="V45" i="47"/>
  <c r="V57" i="47"/>
  <c r="V22" i="47"/>
  <c r="V51" i="47"/>
  <c r="V9" i="47"/>
  <c r="V40" i="47"/>
  <c r="V30" i="47"/>
  <c r="V14" i="47"/>
  <c r="V29" i="47"/>
  <c r="V5" i="47"/>
  <c r="V18" i="47"/>
  <c r="V39" i="47"/>
  <c r="V32" i="47"/>
  <c r="V16" i="47"/>
  <c r="V58" i="47"/>
  <c r="V50" i="47"/>
  <c r="V13" i="47"/>
  <c r="V25" i="47"/>
  <c r="V31" i="47"/>
  <c r="V7" i="47"/>
  <c r="V28" i="47"/>
  <c r="V37" i="47"/>
  <c r="V66" i="47"/>
  <c r="V59" i="47"/>
  <c r="V56" i="47"/>
  <c r="V69" i="47"/>
  <c r="V54" i="47"/>
  <c r="V60" i="47"/>
  <c r="V53" i="47"/>
  <c r="V27" i="47"/>
  <c r="V49" i="47"/>
  <c r="V6" i="47"/>
  <c r="V19" i="47"/>
  <c r="V41" i="47"/>
  <c r="V23" i="47"/>
  <c r="V67" i="47"/>
  <c r="V26" i="47"/>
  <c r="V52" i="47"/>
  <c r="V47" i="47"/>
  <c r="V33" i="47"/>
  <c r="V36" i="47"/>
  <c r="V42" i="47"/>
  <c r="V12" i="47"/>
  <c r="V20" i="47"/>
  <c r="V38" i="47"/>
  <c r="V24" i="47"/>
  <c r="V44" i="47"/>
  <c r="V43" i="47"/>
  <c r="V55" i="47"/>
  <c r="V48" i="47"/>
  <c r="V35" i="47"/>
  <c r="W66" i="47"/>
  <c r="W37" i="47"/>
  <c r="W58" i="47"/>
  <c r="W61" i="47"/>
  <c r="W46" i="47"/>
  <c r="W68" i="47"/>
  <c r="W9" i="47"/>
  <c r="W53" i="47"/>
  <c r="W17" i="47"/>
  <c r="W49" i="47"/>
  <c r="W40" i="47"/>
  <c r="W41" i="47"/>
  <c r="W62" i="47"/>
  <c r="W8" i="47"/>
  <c r="W71" i="47"/>
  <c r="W23" i="47"/>
  <c r="W19" i="47"/>
  <c r="W44" i="47"/>
  <c r="W16" i="47"/>
  <c r="W60" i="47"/>
  <c r="W30" i="47"/>
  <c r="W6" i="47"/>
  <c r="W47" i="47"/>
  <c r="W35" i="47"/>
  <c r="W20" i="47"/>
  <c r="W26" i="47"/>
  <c r="W33" i="47"/>
  <c r="W21" i="47"/>
  <c r="W51" i="47"/>
  <c r="W67" i="47"/>
  <c r="W5" i="47"/>
  <c r="W64" i="47"/>
  <c r="W29" i="47"/>
  <c r="W55" i="47"/>
  <c r="W54" i="47"/>
  <c r="W14" i="47"/>
  <c r="W56" i="47"/>
  <c r="W22" i="47"/>
  <c r="W36" i="47"/>
  <c r="W12" i="47"/>
  <c r="W25" i="47"/>
  <c r="W18" i="47"/>
  <c r="W69" i="47"/>
  <c r="W59" i="47"/>
  <c r="W28" i="47"/>
  <c r="W72" i="47"/>
  <c r="W39" i="47"/>
  <c r="W50" i="47"/>
  <c r="W32" i="47"/>
  <c r="W34" i="47"/>
  <c r="W43" i="47"/>
  <c r="W63" i="47"/>
  <c r="W24" i="47"/>
  <c r="W52" i="47"/>
  <c r="W31" i="47"/>
  <c r="W48" i="47"/>
  <c r="W11" i="47"/>
  <c r="W7" i="47"/>
  <c r="W13" i="47"/>
  <c r="W57" i="47"/>
  <c r="W65" i="47"/>
  <c r="W15" i="47"/>
  <c r="W27" i="47"/>
  <c r="W45" i="47"/>
  <c r="W38" i="47"/>
  <c r="W42" i="47"/>
  <c r="W70" i="47"/>
  <c r="W10" i="47"/>
  <c r="E8" i="57"/>
  <c r="E9" i="57" s="1"/>
  <c r="H1080" i="5"/>
  <c r="U905" i="13"/>
  <c r="U871" i="13"/>
  <c r="U157" i="13"/>
  <c r="U650" i="13"/>
  <c r="U327" i="13"/>
  <c r="U939" i="13"/>
  <c r="U769" i="13"/>
  <c r="U616" i="13"/>
  <c r="U582" i="13"/>
  <c r="U55" i="13"/>
  <c r="U786" i="13"/>
  <c r="U344" i="13"/>
  <c r="U701" i="13"/>
  <c r="U565" i="13"/>
  <c r="U242" i="13"/>
  <c r="U259" i="13"/>
  <c r="U854" i="13"/>
  <c r="U140" i="13"/>
  <c r="U310" i="13"/>
  <c r="U446" i="13"/>
  <c r="U412" i="13"/>
  <c r="U480" i="13"/>
  <c r="U973" i="13"/>
  <c r="U395" i="13"/>
  <c r="U1058" i="13"/>
  <c r="U1024" i="13"/>
  <c r="U667" i="13"/>
  <c r="U225" i="13"/>
  <c r="U956" i="13"/>
  <c r="U106" i="13"/>
  <c r="U888" i="13"/>
  <c r="U174" i="13"/>
  <c r="U684" i="13"/>
  <c r="U837" i="13"/>
  <c r="U922" i="13"/>
  <c r="U378" i="13"/>
  <c r="U633" i="13"/>
  <c r="U429" i="13"/>
  <c r="U208" i="13"/>
  <c r="U531" i="13"/>
  <c r="U514" i="13"/>
  <c r="U735" i="13"/>
  <c r="U752" i="13"/>
  <c r="U38" i="13"/>
  <c r="U803" i="13"/>
  <c r="U820" i="13"/>
  <c r="U548" i="13"/>
  <c r="U1041" i="13"/>
  <c r="Q1079" i="13"/>
  <c r="Q1080" i="13" s="1"/>
  <c r="U718" i="13"/>
  <c r="AI23" i="20"/>
  <c r="V17" i="13"/>
  <c r="V14" i="14"/>
  <c r="C23" i="7"/>
  <c r="C24" i="7" s="1"/>
  <c r="C25" i="7" s="1"/>
  <c r="C26" i="7" s="1"/>
  <c r="C27" i="7" s="1"/>
  <c r="C28" i="7" s="1"/>
  <c r="C29" i="7" s="1"/>
  <c r="C30" i="7" s="1"/>
  <c r="C31" i="7" s="1"/>
  <c r="C32" i="7" s="1"/>
  <c r="C33" i="7" s="1"/>
  <c r="C34" i="7" s="1"/>
  <c r="C35" i="7" s="1"/>
  <c r="C36" i="7" s="1"/>
  <c r="C37" i="7" s="1"/>
  <c r="C38" i="7" s="1"/>
  <c r="C39" i="7" s="1"/>
  <c r="C40" i="7" s="1"/>
  <c r="F1051" i="7"/>
  <c r="F1269" i="7" s="1"/>
  <c r="F1270" i="7" s="1"/>
  <c r="F1032" i="50"/>
  <c r="F1231" i="50" s="1"/>
  <c r="F1232" i="50" s="1"/>
  <c r="F1233" i="50" s="1"/>
  <c r="N510" i="11"/>
  <c r="W507" i="11"/>
  <c r="W510" i="11" s="1"/>
  <c r="N58" i="11"/>
  <c r="W55" i="11"/>
  <c r="W58" i="11" s="1"/>
  <c r="N600" i="11"/>
  <c r="W597" i="11"/>
  <c r="W600" i="11" s="1"/>
  <c r="N505" i="12"/>
  <c r="N506" i="12" s="1"/>
  <c r="H506" i="12"/>
  <c r="N361" i="12"/>
  <c r="N362" i="12" s="1"/>
  <c r="H362" i="12"/>
  <c r="H474" i="12"/>
  <c r="N473" i="12"/>
  <c r="N474" i="12" s="1"/>
  <c r="N281" i="12"/>
  <c r="N282" i="12" s="1"/>
  <c r="H282" i="12"/>
  <c r="H258" i="12"/>
  <c r="N257" i="12"/>
  <c r="N258" i="12" s="1"/>
  <c r="N57" i="12"/>
  <c r="N58" i="12" s="1"/>
  <c r="H58" i="12"/>
  <c r="W457" i="11"/>
  <c r="W460" i="11" s="1"/>
  <c r="N460" i="11"/>
  <c r="W386" i="11"/>
  <c r="W389" i="11" s="1"/>
  <c r="N389" i="11"/>
  <c r="N570" i="11"/>
  <c r="W567" i="11"/>
  <c r="W570" i="11" s="1"/>
  <c r="N108" i="11"/>
  <c r="W105" i="11"/>
  <c r="W108" i="11" s="1"/>
  <c r="N550" i="11"/>
  <c r="W547" i="11"/>
  <c r="W550" i="11" s="1"/>
  <c r="T706" i="13"/>
  <c r="T718" i="13" s="1"/>
  <c r="T536" i="13"/>
  <c r="T548" i="13" s="1"/>
  <c r="T961" i="13"/>
  <c r="T973" i="13" s="1"/>
  <c r="T825" i="13"/>
  <c r="T837" i="13" s="1"/>
  <c r="T366" i="13"/>
  <c r="T378" i="13" s="1"/>
  <c r="T791" i="13"/>
  <c r="T803" i="13" s="1"/>
  <c r="T740" i="13"/>
  <c r="T752" i="13" s="1"/>
  <c r="T485" i="13"/>
  <c r="T497" i="13" s="1"/>
  <c r="T655" i="13"/>
  <c r="T667" i="13" s="1"/>
  <c r="T842" i="13"/>
  <c r="T854" i="13" s="1"/>
  <c r="T757" i="13"/>
  <c r="T769" i="13" s="1"/>
  <c r="T434" i="13"/>
  <c r="T446" i="13" s="1"/>
  <c r="T400" i="13"/>
  <c r="T412" i="13" s="1"/>
  <c r="T689" i="13"/>
  <c r="T701" i="13" s="1"/>
  <c r="T26" i="13"/>
  <c r="T38" i="13" s="1"/>
  <c r="T553" i="13"/>
  <c r="T565" i="13" s="1"/>
  <c r="T638" i="13"/>
  <c r="T650" i="13" s="1"/>
  <c r="T519" i="13"/>
  <c r="T531" i="13" s="1"/>
  <c r="T723" i="13"/>
  <c r="T735" i="13" s="1"/>
  <c r="T587" i="13"/>
  <c r="T599" i="13" s="1"/>
  <c r="T1012" i="13"/>
  <c r="T1024" i="13" s="1"/>
  <c r="T995" i="13"/>
  <c r="T1007" i="13" s="1"/>
  <c r="T621" i="13"/>
  <c r="T633" i="13" s="1"/>
  <c r="T383" i="13"/>
  <c r="T395" i="13" s="1"/>
  <c r="T417" i="13"/>
  <c r="T429" i="13" s="1"/>
  <c r="T468" i="13"/>
  <c r="T480" i="13" s="1"/>
  <c r="T808" i="13"/>
  <c r="T820" i="13" s="1"/>
  <c r="T672" i="13"/>
  <c r="T684" i="13" s="1"/>
  <c r="T774" i="13"/>
  <c r="T786" i="13" s="1"/>
  <c r="T859" i="13"/>
  <c r="T871" i="13" s="1"/>
  <c r="T978" i="13"/>
  <c r="T990" i="13" s="1"/>
  <c r="T927" i="13"/>
  <c r="T939" i="13" s="1"/>
  <c r="T570" i="13"/>
  <c r="T582" i="13" s="1"/>
  <c r="T876" i="13"/>
  <c r="T888" i="13" s="1"/>
  <c r="T1046" i="13"/>
  <c r="T1058" i="13" s="1"/>
  <c r="T502" i="13"/>
  <c r="T514" i="13" s="1"/>
  <c r="T1029" i="13"/>
  <c r="T1041" i="13" s="1"/>
  <c r="T604" i="13"/>
  <c r="T616" i="13" s="1"/>
  <c r="T893" i="13"/>
  <c r="T905" i="13" s="1"/>
  <c r="T1063" i="13"/>
  <c r="T1075" i="13" s="1"/>
  <c r="T944" i="13"/>
  <c r="T956" i="13" s="1"/>
  <c r="T451" i="13"/>
  <c r="T463" i="13" s="1"/>
  <c r="T910" i="13"/>
  <c r="T922" i="13" s="1"/>
  <c r="S6" i="15"/>
  <c r="T6" i="15" s="1"/>
  <c r="X6" i="13"/>
  <c r="W6" i="13"/>
  <c r="V6" i="13" s="1"/>
  <c r="T162" i="13"/>
  <c r="T174" i="13" s="1"/>
  <c r="T213" i="13"/>
  <c r="T225" i="13" s="1"/>
  <c r="T332" i="13"/>
  <c r="T344" i="13" s="1"/>
  <c r="T60" i="13"/>
  <c r="T72" i="13" s="1"/>
  <c r="T179" i="13"/>
  <c r="T191" i="13" s="1"/>
  <c r="T230" i="13"/>
  <c r="T242" i="13" s="1"/>
  <c r="T145" i="13"/>
  <c r="T157" i="13" s="1"/>
  <c r="T196" i="13"/>
  <c r="T208" i="13" s="1"/>
  <c r="T349" i="13"/>
  <c r="T361" i="13" s="1"/>
  <c r="T77" i="13"/>
  <c r="T89" i="13" s="1"/>
  <c r="T128" i="13"/>
  <c r="T140" i="13" s="1"/>
  <c r="T247" i="13"/>
  <c r="T259" i="13" s="1"/>
  <c r="T315" i="13"/>
  <c r="T327" i="13" s="1"/>
  <c r="T43" i="13"/>
  <c r="T55" i="13" s="1"/>
  <c r="T264" i="13"/>
  <c r="T276" i="13" s="1"/>
  <c r="T281" i="13"/>
  <c r="T293" i="13" s="1"/>
  <c r="T111" i="13"/>
  <c r="T123" i="13" s="1"/>
  <c r="T298" i="13"/>
  <c r="T310" i="13" s="1"/>
  <c r="T94" i="13"/>
  <c r="T106" i="13" s="1"/>
  <c r="T18" i="13"/>
  <c r="N65" i="12"/>
  <c r="N66" i="12" s="1"/>
  <c r="H66" i="12"/>
  <c r="H386" i="12"/>
  <c r="N385" i="12"/>
  <c r="N386" i="12" s="1"/>
  <c r="N289" i="12"/>
  <c r="N290" i="12" s="1"/>
  <c r="H290" i="12"/>
  <c r="H314" i="12"/>
  <c r="N313" i="12"/>
  <c r="N314" i="12" s="1"/>
  <c r="N81" i="12"/>
  <c r="N82" i="12" s="1"/>
  <c r="H82" i="12"/>
  <c r="H226" i="12"/>
  <c r="N225" i="12"/>
  <c r="N226" i="12" s="1"/>
  <c r="H242" i="12"/>
  <c r="N241" i="12"/>
  <c r="N242" i="12" s="1"/>
  <c r="H450" i="12"/>
  <c r="N449" i="12"/>
  <c r="N450" i="12" s="1"/>
  <c r="N217" i="12"/>
  <c r="N218" i="12" s="1"/>
  <c r="H218" i="12"/>
  <c r="W276" i="11"/>
  <c r="W279" i="11" s="1"/>
  <c r="N279" i="11"/>
  <c r="W225" i="11"/>
  <c r="W228" i="11" s="1"/>
  <c r="N228" i="11"/>
  <c r="N399" i="11"/>
  <c r="W396" i="11"/>
  <c r="W399" i="11" s="1"/>
  <c r="N38" i="11"/>
  <c r="W35" i="11"/>
  <c r="W38" i="11" s="1"/>
  <c r="N218" i="11"/>
  <c r="W215" i="11"/>
  <c r="W218" i="11" s="1"/>
  <c r="N238" i="11"/>
  <c r="W235" i="11"/>
  <c r="W238" i="11" s="1"/>
  <c r="N118" i="11"/>
  <c r="W115" i="11"/>
  <c r="W118" i="11" s="1"/>
  <c r="W437" i="11"/>
  <c r="W440" i="11" s="1"/>
  <c r="N440" i="11"/>
  <c r="N329" i="11"/>
  <c r="W326" i="11"/>
  <c r="W329" i="11" s="1"/>
  <c r="W577" i="11"/>
  <c r="W580" i="11" s="1"/>
  <c r="N580" i="11"/>
  <c r="T863" i="14"/>
  <c r="T872" i="14" s="1"/>
  <c r="T513" i="14"/>
  <c r="T522" i="14" s="1"/>
  <c r="T555" i="14"/>
  <c r="T564" i="14" s="1"/>
  <c r="T639" i="14"/>
  <c r="T648" i="14" s="1"/>
  <c r="T625" i="14"/>
  <c r="T634" i="14" s="1"/>
  <c r="T527" i="14"/>
  <c r="T536" i="14" s="1"/>
  <c r="T667" i="14"/>
  <c r="T676" i="14" s="1"/>
  <c r="T37" i="14"/>
  <c r="T46" i="14" s="1"/>
  <c r="T485" i="14"/>
  <c r="T494" i="14" s="1"/>
  <c r="T359" i="14"/>
  <c r="T368" i="14" s="1"/>
  <c r="T471" i="14"/>
  <c r="T480" i="14" s="1"/>
  <c r="T611" i="14"/>
  <c r="T620" i="14" s="1"/>
  <c r="T23" i="14"/>
  <c r="T32" i="14" s="1"/>
  <c r="T877" i="14"/>
  <c r="T886" i="14" s="1"/>
  <c r="T793" i="14"/>
  <c r="T802" i="14" s="1"/>
  <c r="T499" i="14"/>
  <c r="T508" i="14" s="1"/>
  <c r="T821" i="14"/>
  <c r="T830" i="14" s="1"/>
  <c r="T835" i="14"/>
  <c r="T844" i="14" s="1"/>
  <c r="T751" i="14"/>
  <c r="T760" i="14" s="1"/>
  <c r="T317" i="14"/>
  <c r="T326" i="14" s="1"/>
  <c r="T723" i="14"/>
  <c r="T732" i="14" s="1"/>
  <c r="T569" i="14"/>
  <c r="T578" i="14" s="1"/>
  <c r="T429" i="14"/>
  <c r="T438" i="14" s="1"/>
  <c r="T387" i="14"/>
  <c r="T396" i="14" s="1"/>
  <c r="T457" i="14"/>
  <c r="T466" i="14" s="1"/>
  <c r="T737" i="14"/>
  <c r="T746" i="14" s="1"/>
  <c r="T779" i="14"/>
  <c r="T788" i="14" s="1"/>
  <c r="T583" i="14"/>
  <c r="T592" i="14" s="1"/>
  <c r="T695" i="14"/>
  <c r="T704" i="14" s="1"/>
  <c r="T765" i="14"/>
  <c r="T774" i="14" s="1"/>
  <c r="T65" i="14"/>
  <c r="T74" i="14" s="1"/>
  <c r="T849" i="14"/>
  <c r="T858" i="14" s="1"/>
  <c r="T79" i="14"/>
  <c r="T88" i="14" s="1"/>
  <c r="T331" i="14"/>
  <c r="T340" i="14" s="1"/>
  <c r="T401" i="14"/>
  <c r="T410" i="14" s="1"/>
  <c r="T373" i="14"/>
  <c r="T382" i="14" s="1"/>
  <c r="T443" i="14"/>
  <c r="T452" i="14" s="1"/>
  <c r="T709" i="14"/>
  <c r="T718" i="14" s="1"/>
  <c r="T303" i="14"/>
  <c r="T312" i="14" s="1"/>
  <c r="T597" i="14"/>
  <c r="T606" i="14" s="1"/>
  <c r="T541" i="14"/>
  <c r="T550" i="14" s="1"/>
  <c r="T681" i="14"/>
  <c r="T690" i="14" s="1"/>
  <c r="T653" i="14"/>
  <c r="T662" i="14" s="1"/>
  <c r="T415" i="14"/>
  <c r="T424" i="14" s="1"/>
  <c r="T345" i="14"/>
  <c r="T354" i="14" s="1"/>
  <c r="T51" i="14"/>
  <c r="T807" i="14"/>
  <c r="T816" i="14" s="1"/>
  <c r="S6" i="16"/>
  <c r="T6" i="16" s="1"/>
  <c r="X6" i="14"/>
  <c r="W6" i="14"/>
  <c r="V6" i="14" s="1"/>
  <c r="T233" i="14"/>
  <c r="T242" i="14" s="1"/>
  <c r="T219" i="14"/>
  <c r="T228" i="14" s="1"/>
  <c r="T107" i="14"/>
  <c r="T116" i="14" s="1"/>
  <c r="T289" i="14"/>
  <c r="T298" i="14" s="1"/>
  <c r="T247" i="14"/>
  <c r="T256" i="14" s="1"/>
  <c r="T261" i="14"/>
  <c r="T270" i="14" s="1"/>
  <c r="T163" i="14"/>
  <c r="T172" i="14" s="1"/>
  <c r="T15" i="14"/>
  <c r="T191" i="14"/>
  <c r="T200" i="14" s="1"/>
  <c r="T149" i="14"/>
  <c r="T93" i="14"/>
  <c r="T102" i="14" s="1"/>
  <c r="T177" i="14"/>
  <c r="T135" i="14"/>
  <c r="T144" i="14" s="1"/>
  <c r="T121" i="14"/>
  <c r="T130" i="14" s="1"/>
  <c r="T205" i="14"/>
  <c r="T214" i="14" s="1"/>
  <c r="T275" i="14"/>
  <c r="T284" i="14" s="1"/>
  <c r="H346" i="12"/>
  <c r="N345" i="12"/>
  <c r="N346" i="12" s="1"/>
  <c r="N129" i="12"/>
  <c r="N130" i="12" s="1"/>
  <c r="H130" i="12"/>
  <c r="H466" i="12"/>
  <c r="N465" i="12"/>
  <c r="N466" i="12" s="1"/>
  <c r="H26" i="12"/>
  <c r="N25" i="12"/>
  <c r="N26" i="12" s="1"/>
  <c r="N289" i="11"/>
  <c r="W286" i="11"/>
  <c r="W289" i="11" s="1"/>
  <c r="W145" i="11"/>
  <c r="W148" i="11" s="1"/>
  <c r="N148" i="11"/>
  <c r="W356" i="11"/>
  <c r="W359" i="11" s="1"/>
  <c r="N359" i="11"/>
  <c r="W125" i="11"/>
  <c r="W128" i="11" s="1"/>
  <c r="N128" i="11"/>
  <c r="N88" i="11"/>
  <c r="W85" i="11"/>
  <c r="W88" i="11" s="1"/>
  <c r="N429" i="11"/>
  <c r="W426" i="11"/>
  <c r="W429" i="11" s="1"/>
  <c r="W45" i="11"/>
  <c r="W48" i="11" s="1"/>
  <c r="N48" i="11"/>
  <c r="N631" i="11"/>
  <c r="W628" i="11"/>
  <c r="W631" i="11" s="1"/>
  <c r="N470" i="11"/>
  <c r="W467" i="11"/>
  <c r="W470" i="11" s="1"/>
  <c r="N309" i="11"/>
  <c r="W306" i="11"/>
  <c r="W309" i="11" s="1"/>
  <c r="H410" i="12"/>
  <c r="N409" i="12"/>
  <c r="N410" i="12" s="1"/>
  <c r="H186" i="12"/>
  <c r="N185" i="12"/>
  <c r="N186" i="12" s="1"/>
  <c r="N433" i="12"/>
  <c r="N434" i="12" s="1"/>
  <c r="H434" i="12"/>
  <c r="H498" i="12"/>
  <c r="N497" i="12"/>
  <c r="N498" i="12" s="1"/>
  <c r="N89" i="12"/>
  <c r="N90" i="12" s="1"/>
  <c r="H90" i="12"/>
  <c r="N337" i="12"/>
  <c r="N338" i="12" s="1"/>
  <c r="H338" i="12"/>
  <c r="N201" i="12"/>
  <c r="N202" i="12" s="1"/>
  <c r="H202" i="12"/>
  <c r="H458" i="12"/>
  <c r="N457" i="12"/>
  <c r="N458" i="12" s="1"/>
  <c r="N353" i="12"/>
  <c r="N354" i="12" s="1"/>
  <c r="H354" i="12"/>
  <c r="N513" i="12"/>
  <c r="N514" i="12" s="1"/>
  <c r="H514" i="12"/>
  <c r="H146" i="12"/>
  <c r="N145" i="12"/>
  <c r="N146" i="12" s="1"/>
  <c r="N377" i="12"/>
  <c r="N378" i="12" s="1"/>
  <c r="H378" i="12"/>
  <c r="N297" i="12"/>
  <c r="N298" i="12" s="1"/>
  <c r="H298" i="12"/>
  <c r="N530" i="11"/>
  <c r="W527" i="11"/>
  <c r="W530" i="11" s="1"/>
  <c r="W185" i="11"/>
  <c r="W188" i="11" s="1"/>
  <c r="N188" i="11"/>
  <c r="N178" i="11"/>
  <c r="W175" i="11"/>
  <c r="W178" i="11" s="1"/>
  <c r="H266" i="12"/>
  <c r="N265" i="12"/>
  <c r="N266" i="12" s="1"/>
  <c r="H178" i="12"/>
  <c r="N177" i="12"/>
  <c r="N178" i="12" s="1"/>
  <c r="N138" i="11"/>
  <c r="W135" i="11"/>
  <c r="W138" i="11" s="1"/>
  <c r="W165" i="11"/>
  <c r="W168" i="11" s="1"/>
  <c r="N168" i="11"/>
  <c r="N409" i="11"/>
  <c r="W406" i="11"/>
  <c r="W409" i="11" s="1"/>
  <c r="W366" i="11"/>
  <c r="W369" i="11" s="1"/>
  <c r="N369" i="11"/>
  <c r="N490" i="11"/>
  <c r="W487" i="11"/>
  <c r="W490" i="11" s="1"/>
  <c r="N78" i="11"/>
  <c r="W75" i="11"/>
  <c r="W78" i="11" s="1"/>
  <c r="N319" i="11"/>
  <c r="W316" i="11"/>
  <c r="W319" i="11" s="1"/>
  <c r="W95" i="11"/>
  <c r="W98" i="11" s="1"/>
  <c r="N98" i="11"/>
  <c r="N329" i="12"/>
  <c r="N330" i="12" s="1"/>
  <c r="H330" i="12"/>
  <c r="H234" i="12"/>
  <c r="N233" i="12"/>
  <c r="N234" i="12" s="1"/>
  <c r="H322" i="12"/>
  <c r="N321" i="12"/>
  <c r="N322" i="12" s="1"/>
  <c r="H122" i="12"/>
  <c r="N121" i="12"/>
  <c r="N122" i="12" s="1"/>
  <c r="N97" i="12"/>
  <c r="N98" i="12" s="1"/>
  <c r="H98" i="12"/>
  <c r="H402" i="12"/>
  <c r="N401" i="12"/>
  <c r="N402" i="12" s="1"/>
  <c r="H442" i="12"/>
  <c r="N441" i="12"/>
  <c r="N442" i="12" s="1"/>
  <c r="W66" i="13"/>
  <c r="W67" i="13" s="1"/>
  <c r="X64" i="13"/>
  <c r="W62" i="13"/>
  <c r="Y61" i="13"/>
  <c r="Y62" i="13" s="1"/>
  <c r="U72" i="13"/>
  <c r="N480" i="11"/>
  <c r="W477" i="11"/>
  <c r="W480" i="11" s="1"/>
  <c r="N379" i="11"/>
  <c r="W376" i="11"/>
  <c r="W379" i="11" s="1"/>
  <c r="N349" i="11"/>
  <c r="W346" i="11"/>
  <c r="W349" i="11" s="1"/>
  <c r="N520" i="11"/>
  <c r="W517" i="11"/>
  <c r="W520" i="11" s="1"/>
  <c r="N299" i="11"/>
  <c r="W296" i="11"/>
  <c r="W299" i="11" s="1"/>
  <c r="N540" i="11"/>
  <c r="W537" i="11"/>
  <c r="W540" i="11" s="1"/>
  <c r="N339" i="11"/>
  <c r="W336" i="11"/>
  <c r="W339" i="11" s="1"/>
  <c r="N450" i="11"/>
  <c r="W447" i="11"/>
  <c r="W450" i="11" s="1"/>
  <c r="N590" i="11"/>
  <c r="W587" i="11"/>
  <c r="W590" i="11" s="1"/>
  <c r="N500" i="11"/>
  <c r="W497" i="11"/>
  <c r="W500" i="11" s="1"/>
  <c r="W618" i="11"/>
  <c r="W621" i="11" s="1"/>
  <c r="N621" i="11"/>
  <c r="U219" i="14"/>
  <c r="U228" i="14" s="1"/>
  <c r="U177" i="14"/>
  <c r="U186" i="14" s="1"/>
  <c r="U835" i="14"/>
  <c r="U844" i="14" s="1"/>
  <c r="U653" i="14"/>
  <c r="U662" i="14" s="1"/>
  <c r="U513" i="14"/>
  <c r="U522" i="14" s="1"/>
  <c r="U695" i="14"/>
  <c r="U704" i="14" s="1"/>
  <c r="U821" i="14"/>
  <c r="U830" i="14" s="1"/>
  <c r="U457" i="14"/>
  <c r="U466" i="14" s="1"/>
  <c r="U583" i="14"/>
  <c r="U592" i="14" s="1"/>
  <c r="U23" i="14"/>
  <c r="U32" i="14" s="1"/>
  <c r="U625" i="14"/>
  <c r="U634" i="14" s="1"/>
  <c r="U331" i="14"/>
  <c r="U340" i="14" s="1"/>
  <c r="U163" i="14"/>
  <c r="U172" i="14" s="1"/>
  <c r="U737" i="14"/>
  <c r="U746" i="14" s="1"/>
  <c r="U471" i="14"/>
  <c r="U480" i="14" s="1"/>
  <c r="U807" i="14"/>
  <c r="U816" i="14" s="1"/>
  <c r="U149" i="14"/>
  <c r="U158" i="14" s="1"/>
  <c r="U289" i="14"/>
  <c r="U298" i="14" s="1"/>
  <c r="U191" i="14"/>
  <c r="U200" i="14" s="1"/>
  <c r="U93" i="14"/>
  <c r="U102" i="14" s="1"/>
  <c r="U877" i="14"/>
  <c r="U886" i="14" s="1"/>
  <c r="U765" i="14"/>
  <c r="U774" i="14" s="1"/>
  <c r="U541" i="14"/>
  <c r="U550" i="14" s="1"/>
  <c r="U751" i="14"/>
  <c r="U760" i="14" s="1"/>
  <c r="U597" i="14"/>
  <c r="U606" i="14" s="1"/>
  <c r="U429" i="14"/>
  <c r="U438" i="14" s="1"/>
  <c r="U233" i="14"/>
  <c r="U242" i="14" s="1"/>
  <c r="U205" i="14"/>
  <c r="U214" i="14" s="1"/>
  <c r="U863" i="14"/>
  <c r="U872" i="14" s="1"/>
  <c r="U401" i="14"/>
  <c r="U410" i="14" s="1"/>
  <c r="U527" i="14"/>
  <c r="U536" i="14" s="1"/>
  <c r="U345" i="14"/>
  <c r="U354" i="14" s="1"/>
  <c r="U639" i="14"/>
  <c r="U648" i="14" s="1"/>
  <c r="U303" i="14"/>
  <c r="U312" i="14" s="1"/>
  <c r="U779" i="14"/>
  <c r="U788" i="14" s="1"/>
  <c r="U569" i="14"/>
  <c r="U578" i="14" s="1"/>
  <c r="U51" i="14"/>
  <c r="U135" i="14"/>
  <c r="U144" i="14" s="1"/>
  <c r="U275" i="14"/>
  <c r="U284" i="14" s="1"/>
  <c r="U261" i="14"/>
  <c r="U270" i="14" s="1"/>
  <c r="U107" i="14"/>
  <c r="U116" i="14" s="1"/>
  <c r="U247" i="14"/>
  <c r="U256" i="14" s="1"/>
  <c r="U555" i="14"/>
  <c r="U564" i="14" s="1"/>
  <c r="U681" i="14"/>
  <c r="U690" i="14" s="1"/>
  <c r="U485" i="14"/>
  <c r="U494" i="14" s="1"/>
  <c r="U359" i="14"/>
  <c r="U368" i="14" s="1"/>
  <c r="U317" i="14"/>
  <c r="U326" i="14" s="1"/>
  <c r="U387" i="14"/>
  <c r="U396" i="14" s="1"/>
  <c r="U65" i="14"/>
  <c r="U74" i="14" s="1"/>
  <c r="U121" i="14"/>
  <c r="U130" i="14" s="1"/>
  <c r="U79" i="14"/>
  <c r="U88" i="14" s="1"/>
  <c r="U793" i="14"/>
  <c r="U802" i="14" s="1"/>
  <c r="U709" i="14"/>
  <c r="U718" i="14" s="1"/>
  <c r="U499" i="14"/>
  <c r="U508" i="14" s="1"/>
  <c r="U15" i="14"/>
  <c r="U723" i="14"/>
  <c r="U732" i="14" s="1"/>
  <c r="U443" i="14"/>
  <c r="U452" i="14" s="1"/>
  <c r="U611" i="14"/>
  <c r="U620" i="14" s="1"/>
  <c r="U415" i="14"/>
  <c r="U424" i="14" s="1"/>
  <c r="U667" i="14"/>
  <c r="U676" i="14" s="1"/>
  <c r="U849" i="14"/>
  <c r="U858" i="14" s="1"/>
  <c r="U373" i="14"/>
  <c r="U382" i="14" s="1"/>
  <c r="U37" i="14"/>
  <c r="U46" i="14" s="1"/>
  <c r="N393" i="12"/>
  <c r="N394" i="12" s="1"/>
  <c r="H394" i="12"/>
  <c r="H194" i="12"/>
  <c r="N193" i="12"/>
  <c r="N194" i="12" s="1"/>
  <c r="H154" i="12"/>
  <c r="N153" i="12"/>
  <c r="N154" i="12" s="1"/>
  <c r="H370" i="12"/>
  <c r="N369" i="12"/>
  <c r="N370" i="12" s="1"/>
  <c r="N481" i="12"/>
  <c r="N482" i="12" s="1"/>
  <c r="H482" i="12"/>
  <c r="H426" i="12"/>
  <c r="N425" i="12"/>
  <c r="N426" i="12" s="1"/>
  <c r="H210" i="12"/>
  <c r="N209" i="12"/>
  <c r="N210" i="12" s="1"/>
  <c r="H490" i="12"/>
  <c r="N489" i="12"/>
  <c r="N490" i="12" s="1"/>
  <c r="W155" i="11"/>
  <c r="W158" i="11" s="1"/>
  <c r="N158" i="11"/>
  <c r="N28" i="11"/>
  <c r="W25" i="11"/>
  <c r="W28" i="11" s="1"/>
  <c r="W205" i="11"/>
  <c r="W208" i="11" s="1"/>
  <c r="N208" i="11"/>
  <c r="N560" i="11"/>
  <c r="W557" i="11"/>
  <c r="W560" i="11" s="1"/>
  <c r="N641" i="11"/>
  <c r="W638" i="11"/>
  <c r="W641" i="11" s="1"/>
  <c r="W245" i="11"/>
  <c r="W248" i="11" s="1"/>
  <c r="N248" i="11"/>
  <c r="N198" i="11"/>
  <c r="W195" i="11"/>
  <c r="W198" i="11" s="1"/>
  <c r="W265" i="11"/>
  <c r="W268" i="11" s="1"/>
  <c r="N268" i="11"/>
  <c r="W65" i="11"/>
  <c r="W68" i="11" s="1"/>
  <c r="N68" i="11"/>
  <c r="W608" i="11"/>
  <c r="W611" i="11" s="1"/>
  <c r="N611" i="11"/>
  <c r="H274" i="12"/>
  <c r="N273" i="12"/>
  <c r="N274" i="12" s="1"/>
  <c r="N169" i="12"/>
  <c r="N170" i="12" s="1"/>
  <c r="H170" i="12"/>
  <c r="H114" i="12"/>
  <c r="N113" i="12"/>
  <c r="N114" i="12" s="1"/>
  <c r="H418" i="12"/>
  <c r="N417" i="12"/>
  <c r="N418" i="12" s="1"/>
  <c r="N73" i="12"/>
  <c r="N74" i="12" s="1"/>
  <c r="H74" i="12"/>
  <c r="H106" i="12"/>
  <c r="N105" i="12"/>
  <c r="N106" i="12" s="1"/>
  <c r="N249" i="12"/>
  <c r="N250" i="12" s="1"/>
  <c r="H250" i="12"/>
  <c r="N161" i="12"/>
  <c r="N162" i="12" s="1"/>
  <c r="H162" i="12"/>
  <c r="H50" i="12"/>
  <c r="N49" i="12"/>
  <c r="N50" i="12" s="1"/>
  <c r="N41" i="12"/>
  <c r="N42" i="12" s="1"/>
  <c r="H42" i="12"/>
  <c r="H138" i="12"/>
  <c r="N137" i="12"/>
  <c r="N138" i="12" s="1"/>
  <c r="W255" i="11"/>
  <c r="W258" i="11" s="1"/>
  <c r="N258" i="11"/>
  <c r="N419" i="11"/>
  <c r="W416" i="11"/>
  <c r="W419" i="11" s="1"/>
  <c r="H306" i="12"/>
  <c r="N305" i="12"/>
  <c r="N306" i="12" s="1"/>
  <c r="H34" i="12"/>
  <c r="N33" i="12"/>
  <c r="N34" i="12" s="1"/>
  <c r="U1079" i="13" l="1"/>
  <c r="U1080" i="13" s="1"/>
  <c r="Q186" i="14"/>
  <c r="T186" i="14"/>
  <c r="Q158" i="14"/>
  <c r="T158" i="14"/>
  <c r="B20" i="37"/>
  <c r="B21" i="37" s="1"/>
  <c r="T60" i="14"/>
  <c r="W645" i="11"/>
  <c r="W646" i="11" s="1"/>
  <c r="X65" i="13"/>
  <c r="X66" i="13"/>
  <c r="N645" i="11"/>
  <c r="N646" i="11" s="1"/>
  <c r="N520" i="12"/>
  <c r="N521" i="12" s="1"/>
  <c r="T1079" i="13"/>
  <c r="T1080" i="13" s="1"/>
  <c r="U60" i="14"/>
  <c r="U890" i="14" s="1"/>
  <c r="U891" i="14" s="1"/>
  <c r="H520" i="12"/>
  <c r="H521" i="12" s="1"/>
  <c r="T890" i="14" l="1"/>
  <c r="T891" i="14" s="1"/>
  <c r="Q890" i="14"/>
  <c r="Q891" i="14" s="1"/>
  <c r="J425" i="5" l="1"/>
  <c r="J527" i="5"/>
  <c r="J544" i="5"/>
  <c r="J1037" i="5"/>
  <c r="J799" i="5"/>
  <c r="J33" i="5"/>
  <c r="J204" i="5"/>
  <c r="J816" i="5"/>
  <c r="J748" i="5"/>
  <c r="J510" i="5"/>
  <c r="J714" i="5"/>
  <c r="J68" i="5"/>
  <c r="J901" i="5"/>
  <c r="J731" i="5"/>
  <c r="J629" i="5"/>
  <c r="G17" i="5" l="1"/>
  <c r="F17" i="5" s="1"/>
  <c r="G15" i="5"/>
  <c r="F15" i="5" s="1"/>
  <c r="J633" i="5"/>
  <c r="J718" i="5"/>
  <c r="J37" i="5"/>
  <c r="J735" i="5"/>
  <c r="J905" i="5"/>
  <c r="J531" i="5"/>
  <c r="J548" i="5"/>
  <c r="J429" i="5"/>
  <c r="J208" i="5"/>
  <c r="J803" i="5"/>
  <c r="J514" i="5"/>
  <c r="J820" i="5"/>
  <c r="J72" i="5"/>
  <c r="J752" i="5"/>
  <c r="J1041" i="5"/>
  <c r="G535" i="6"/>
  <c r="K508" i="6"/>
  <c r="J830" i="5"/>
  <c r="G435" i="5"/>
  <c r="G315" i="6"/>
  <c r="G439" i="5"/>
  <c r="J745" i="6"/>
  <c r="K729" i="5"/>
  <c r="K40" i="6"/>
  <c r="K780" i="6"/>
  <c r="G747" i="5"/>
  <c r="J274" i="6"/>
  <c r="K363" i="6"/>
  <c r="K819" i="5"/>
  <c r="G813" i="5"/>
  <c r="K333" i="5"/>
  <c r="K116" i="6"/>
  <c r="G951" i="5"/>
  <c r="J1069" i="5"/>
  <c r="G352" i="5"/>
  <c r="G659" i="5"/>
  <c r="G797" i="5"/>
  <c r="G65" i="6"/>
  <c r="J688" i="6"/>
  <c r="J997" i="5"/>
  <c r="J50" i="5"/>
  <c r="G522" i="5"/>
  <c r="J793" i="6"/>
  <c r="J470" i="6"/>
  <c r="K693" i="6"/>
  <c r="G325" i="6"/>
  <c r="G71" i="6"/>
  <c r="G534" i="6"/>
  <c r="K155" i="5"/>
  <c r="K592" i="5"/>
  <c r="J755" i="6"/>
  <c r="J404" i="5"/>
  <c r="J821" i="6"/>
  <c r="J469" i="6"/>
  <c r="K264" i="6"/>
  <c r="K487" i="5"/>
  <c r="K1057" i="5"/>
  <c r="G718" i="6"/>
  <c r="J537" i="6"/>
  <c r="J876" i="5"/>
  <c r="J319" i="5"/>
  <c r="G559" i="6"/>
  <c r="G30" i="5"/>
  <c r="G63" i="5"/>
  <c r="G570" i="5"/>
  <c r="K383" i="5"/>
  <c r="G964" i="5"/>
  <c r="G197" i="5"/>
  <c r="G351" i="6"/>
  <c r="G394" i="6"/>
  <c r="J407" i="5"/>
  <c r="G168" i="5"/>
  <c r="G470" i="5"/>
  <c r="K266" i="5"/>
  <c r="K351" i="6"/>
  <c r="K560" i="5"/>
  <c r="G928" i="5"/>
  <c r="K792" i="5"/>
  <c r="G500" i="6"/>
  <c r="J807" i="6"/>
  <c r="K1049" i="5"/>
  <c r="J845" i="5"/>
  <c r="K197" i="6"/>
  <c r="J285" i="5"/>
  <c r="J162" i="5"/>
  <c r="G879" i="5"/>
  <c r="K79" i="6"/>
  <c r="J27" i="6"/>
  <c r="G574" i="6"/>
  <c r="G484" i="6"/>
  <c r="J469" i="5"/>
  <c r="K831" i="5"/>
  <c r="K478" i="5"/>
  <c r="G607" i="5"/>
  <c r="J121" i="6"/>
  <c r="G305" i="5"/>
  <c r="G588" i="6"/>
  <c r="G819" i="6"/>
  <c r="J47" i="5"/>
  <c r="K54" i="5"/>
  <c r="K965" i="5"/>
  <c r="K300" i="5"/>
  <c r="K469" i="5"/>
  <c r="G337" i="5"/>
  <c r="K536" i="6"/>
  <c r="G640" i="6"/>
  <c r="K272" i="6"/>
  <c r="J209" i="6"/>
  <c r="G694" i="5"/>
  <c r="G458" i="5"/>
  <c r="G77" i="6"/>
  <c r="G418" i="6"/>
  <c r="G180" i="5"/>
  <c r="G289" i="6"/>
  <c r="K679" i="6"/>
  <c r="J271" i="5"/>
  <c r="G172" i="6"/>
  <c r="J1068" i="5"/>
  <c r="K725" i="5"/>
  <c r="G560" i="5"/>
  <c r="J225" i="6"/>
  <c r="J776" i="5"/>
  <c r="J757" i="5"/>
  <c r="J598" i="6"/>
  <c r="K880" i="5"/>
  <c r="J95" i="6"/>
  <c r="G119" i="6"/>
  <c r="K239" i="5"/>
  <c r="J185" i="5"/>
  <c r="G576" i="5"/>
  <c r="K729" i="6"/>
  <c r="G621" i="5"/>
  <c r="K285" i="6"/>
  <c r="K105" i="6"/>
  <c r="G107" i="6"/>
  <c r="K388" i="5"/>
  <c r="K82" i="6"/>
  <c r="J384" i="5"/>
  <c r="G188" i="6"/>
  <c r="J160" i="6"/>
  <c r="G710" i="5"/>
  <c r="J133" i="5"/>
  <c r="G1065" i="5"/>
  <c r="J615" i="6"/>
  <c r="J667" i="6"/>
  <c r="K94" i="5"/>
  <c r="J445" i="6"/>
  <c r="K173" i="5"/>
  <c r="G231" i="5"/>
  <c r="G185" i="6"/>
  <c r="K860" i="5"/>
  <c r="G610" i="6"/>
  <c r="K218" i="5"/>
  <c r="G422" i="5"/>
  <c r="K801" i="5"/>
  <c r="J44" i="5"/>
  <c r="K793" i="5"/>
  <c r="K39" i="6"/>
  <c r="K524" i="6"/>
  <c r="G370" i="6"/>
  <c r="K302" i="6"/>
  <c r="K253" i="5"/>
  <c r="G486" i="5"/>
  <c r="G723" i="5"/>
  <c r="J459" i="6"/>
  <c r="G809" i="6"/>
  <c r="J416" i="6"/>
  <c r="K250" i="6"/>
  <c r="K27" i="5"/>
  <c r="G709" i="5"/>
  <c r="G472" i="5"/>
  <c r="J643" i="5"/>
  <c r="J301" i="5"/>
  <c r="G134" i="6"/>
  <c r="J636" i="6"/>
  <c r="K962" i="5"/>
  <c r="G442" i="6"/>
  <c r="K1065" i="5"/>
  <c r="G67" i="6"/>
  <c r="G602" i="6"/>
  <c r="J719" i="6"/>
  <c r="J167" i="5"/>
  <c r="K682" i="5"/>
  <c r="G1046" i="5"/>
  <c r="K579" i="5"/>
  <c r="K26" i="5"/>
  <c r="G981" i="5"/>
  <c r="K584" i="6"/>
  <c r="J181" i="5"/>
  <c r="J696" i="5"/>
  <c r="K407" i="6"/>
  <c r="J879" i="5"/>
  <c r="K300" i="6"/>
  <c r="K677" i="6"/>
  <c r="G95" i="6"/>
  <c r="K519" i="6"/>
  <c r="K887" i="5"/>
  <c r="K1019" i="5"/>
  <c r="J695" i="5"/>
  <c r="G799" i="6"/>
  <c r="J1016" i="5"/>
  <c r="J112" i="5"/>
  <c r="K271" i="5"/>
  <c r="K419" i="5"/>
  <c r="K445" i="5"/>
  <c r="G123" i="6"/>
  <c r="K597" i="6"/>
  <c r="J511" i="6"/>
  <c r="G403" i="6"/>
  <c r="J1065" i="5"/>
  <c r="G64" i="6"/>
  <c r="G692" i="5"/>
  <c r="J39" i="6"/>
  <c r="G1066" i="5"/>
  <c r="G796" i="6"/>
  <c r="K400" i="5"/>
  <c r="G485" i="5"/>
  <c r="K667" i="6"/>
  <c r="K95" i="5"/>
  <c r="J675" i="6"/>
  <c r="G61" i="5"/>
  <c r="G573" i="6"/>
  <c r="G418" i="5"/>
  <c r="G1067" i="5"/>
  <c r="G1000" i="5"/>
  <c r="K596" i="5"/>
  <c r="G706" i="5"/>
  <c r="K693" i="5"/>
  <c r="K137" i="5"/>
  <c r="J129" i="5"/>
  <c r="J273" i="6"/>
  <c r="K337" i="5"/>
  <c r="J272" i="6"/>
  <c r="G441" i="5"/>
  <c r="K727" i="5"/>
  <c r="J54" i="6"/>
  <c r="K71" i="5"/>
  <c r="G46" i="5"/>
  <c r="G265" i="5"/>
  <c r="J912" i="5"/>
  <c r="K912" i="5"/>
  <c r="G538" i="5"/>
  <c r="L5" i="5"/>
  <c r="G197" i="6"/>
  <c r="J402" i="5"/>
  <c r="K997" i="5"/>
  <c r="J316" i="5"/>
  <c r="J251" i="5"/>
  <c r="J130" i="6"/>
  <c r="K507" i="5"/>
  <c r="K235" i="5"/>
  <c r="K93" i="6"/>
  <c r="J219" i="5"/>
  <c r="J238" i="6"/>
  <c r="J859" i="5"/>
  <c r="J704" i="6"/>
  <c r="G624" i="5"/>
  <c r="K706" i="6"/>
  <c r="J235" i="5"/>
  <c r="G438" i="5"/>
  <c r="J520" i="6"/>
  <c r="G755" i="6"/>
  <c r="K895" i="5"/>
  <c r="G656" i="5"/>
  <c r="G562" i="6"/>
  <c r="G377" i="6"/>
  <c r="K371" i="5"/>
  <c r="G639" i="6"/>
  <c r="K640" i="5"/>
  <c r="G475" i="5"/>
  <c r="G448" i="6"/>
  <c r="G560" i="6"/>
  <c r="J419" i="6"/>
  <c r="K691" i="5"/>
  <c r="J452" i="5"/>
  <c r="J468" i="6"/>
  <c r="J522" i="6"/>
  <c r="G237" i="6"/>
  <c r="J1012" i="5"/>
  <c r="G774" i="5"/>
  <c r="K341" i="6"/>
  <c r="K688" i="6"/>
  <c r="G927" i="5"/>
  <c r="J220" i="5"/>
  <c r="K558" i="6"/>
  <c r="G745" i="6"/>
  <c r="K707" i="5"/>
  <c r="G217" i="5"/>
  <c r="K223" i="5"/>
  <c r="G388" i="5"/>
  <c r="J1052" i="5"/>
  <c r="J446" i="6"/>
  <c r="K1038" i="5"/>
  <c r="J587" i="6"/>
  <c r="J235" i="6"/>
  <c r="K334" i="5"/>
  <c r="K181" i="6"/>
  <c r="K610" i="6"/>
  <c r="J689" i="5"/>
  <c r="J570" i="5"/>
  <c r="J143" i="6"/>
  <c r="G585" i="6"/>
  <c r="G357" i="6"/>
  <c r="J574" i="6"/>
  <c r="J487" i="5"/>
  <c r="K961" i="5"/>
  <c r="G300" i="6"/>
  <c r="J183" i="5"/>
  <c r="K455" i="6"/>
  <c r="G312" i="6"/>
  <c r="G387" i="5"/>
  <c r="K758" i="5"/>
  <c r="K387" i="5"/>
  <c r="K534" i="6"/>
  <c r="K495" i="6"/>
  <c r="G1030" i="5"/>
  <c r="J170" i="6"/>
  <c r="G843" i="5"/>
  <c r="G444" i="6"/>
  <c r="K308" i="5"/>
  <c r="G825" i="5"/>
  <c r="J356" i="5"/>
  <c r="K65" i="5"/>
  <c r="G553" i="5"/>
  <c r="G49" i="5"/>
  <c r="J534" i="6"/>
  <c r="J967" i="5"/>
  <c r="J95" i="5"/>
  <c r="G96" i="5"/>
  <c r="G150" i="5"/>
  <c r="G598" i="6"/>
  <c r="J337" i="6"/>
  <c r="J232" i="5"/>
  <c r="K275" i="5"/>
  <c r="G931" i="5"/>
  <c r="K861" i="5"/>
  <c r="J498" i="6"/>
  <c r="G474" i="5"/>
  <c r="J133" i="6"/>
  <c r="G757" i="6"/>
  <c r="K600" i="6"/>
  <c r="K525" i="5"/>
  <c r="K580" i="5"/>
  <c r="G667" i="6"/>
  <c r="J911" i="5"/>
  <c r="K728" i="6"/>
  <c r="K1022" i="5"/>
  <c r="J320" i="5"/>
  <c r="G469" i="5"/>
  <c r="K38" i="6"/>
  <c r="G407" i="5"/>
  <c r="K689" i="5"/>
  <c r="K195" i="6"/>
  <c r="K440" i="5"/>
  <c r="G383" i="5"/>
  <c r="G436" i="5"/>
  <c r="K403" i="5"/>
  <c r="K808" i="5"/>
  <c r="J860" i="5"/>
  <c r="J1064" i="5"/>
  <c r="G863" i="5"/>
  <c r="J961" i="5"/>
  <c r="J910" i="5"/>
  <c r="J808" i="6"/>
  <c r="K780" i="5"/>
  <c r="G508" i="5"/>
  <c r="G728" i="6"/>
  <c r="G281" i="5"/>
  <c r="G376" i="6"/>
  <c r="J324" i="6"/>
  <c r="J454" i="6"/>
  <c r="J186" i="5"/>
  <c r="G213" i="5"/>
  <c r="G182" i="5"/>
  <c r="G599" i="6"/>
  <c r="G827" i="5"/>
  <c r="G170" i="6"/>
  <c r="G196" i="5"/>
  <c r="G860" i="5"/>
  <c r="J380" i="6"/>
  <c r="K862" i="5"/>
  <c r="J948" i="5"/>
  <c r="J116" i="5"/>
  <c r="G913" i="5"/>
  <c r="J130" i="5"/>
  <c r="K325" i="6"/>
  <c r="J605" i="5"/>
  <c r="J379" i="6"/>
  <c r="K338" i="5"/>
  <c r="G608" i="5"/>
  <c r="G51" i="6"/>
  <c r="G758" i="5"/>
  <c r="J264" i="6"/>
  <c r="K576" i="6"/>
  <c r="J43" i="6"/>
  <c r="K428" i="5"/>
  <c r="K320" i="5"/>
  <c r="J756" i="6"/>
  <c r="K649" i="5"/>
  <c r="G574" i="5"/>
  <c r="G487" i="5"/>
  <c r="K1064" i="5"/>
  <c r="K61" i="5"/>
  <c r="G342" i="6"/>
  <c r="J983" i="5"/>
  <c r="G267" i="5"/>
  <c r="J371" i="5"/>
  <c r="J607" i="5"/>
  <c r="G220" i="5"/>
  <c r="J915" i="5"/>
  <c r="J80" i="5"/>
  <c r="G269" i="5"/>
  <c r="K456" i="6"/>
  <c r="K328" i="6"/>
  <c r="J934" i="5"/>
  <c r="J352" i="5"/>
  <c r="J77" i="5"/>
  <c r="K615" i="6"/>
  <c r="K792" i="6"/>
  <c r="J94" i="6"/>
  <c r="G55" i="6"/>
  <c r="G623" i="5"/>
  <c r="J131" i="5"/>
  <c r="J64" i="6"/>
  <c r="G900" i="5"/>
  <c r="K172" i="6"/>
  <c r="J368" i="6"/>
  <c r="G880" i="5"/>
  <c r="J641" i="6"/>
  <c r="K104" i="5"/>
  <c r="J575" i="6"/>
  <c r="K64" i="5"/>
  <c r="J587" i="5"/>
  <c r="K112" i="5"/>
  <c r="K805" i="6"/>
  <c r="G249" i="6"/>
  <c r="J390" i="5"/>
  <c r="J182" i="6"/>
  <c r="G434" i="5"/>
  <c r="K232" i="5"/>
  <c r="G53" i="6"/>
  <c r="K276" i="6"/>
  <c r="G676" i="6"/>
  <c r="G459" i="6"/>
  <c r="G445" i="6"/>
  <c r="G334" i="5"/>
  <c r="J932" i="5"/>
  <c r="J442" i="6"/>
  <c r="G116" i="5"/>
  <c r="K767" i="5"/>
  <c r="J848" i="5"/>
  <c r="K563" i="6"/>
  <c r="G396" i="6"/>
  <c r="G143" i="6"/>
  <c r="J302" i="6"/>
  <c r="J844" i="5"/>
  <c r="G331" i="6"/>
  <c r="K676" i="6"/>
  <c r="K304" i="5"/>
  <c r="K641" i="6"/>
  <c r="G524" i="5"/>
  <c r="G656" i="6"/>
  <c r="K281" i="5"/>
  <c r="K1012" i="5"/>
  <c r="K828" i="5"/>
  <c r="K700" i="5"/>
  <c r="G798" i="5"/>
  <c r="G247" i="5"/>
  <c r="G252" i="5"/>
  <c r="G513" i="6"/>
  <c r="K275" i="6"/>
  <c r="J473" i="5"/>
  <c r="G130" i="5"/>
  <c r="K183" i="6"/>
  <c r="G407" i="6"/>
  <c r="G495" i="6"/>
  <c r="G324" i="6"/>
  <c r="G222" i="6"/>
  <c r="J370" i="5"/>
  <c r="K376" i="6"/>
  <c r="K706" i="5"/>
  <c r="K879" i="5"/>
  <c r="K324" i="6"/>
  <c r="J389" i="6"/>
  <c r="K1001" i="5"/>
  <c r="K173" i="6"/>
  <c r="J624" i="6"/>
  <c r="J861" i="5"/>
  <c r="K248" i="5"/>
  <c r="G693" i="5"/>
  <c r="J547" i="6"/>
  <c r="G929" i="5"/>
  <c r="G507" i="5"/>
  <c r="K496" i="6"/>
  <c r="J996" i="5"/>
  <c r="G128" i="5"/>
  <c r="J792" i="6"/>
  <c r="K954" i="5"/>
  <c r="G299" i="6"/>
  <c r="J117" i="5"/>
  <c r="G104" i="6"/>
  <c r="J100" i="5"/>
  <c r="J341" i="6"/>
  <c r="K563" i="5"/>
  <c r="J769" i="6"/>
  <c r="K933" i="5"/>
  <c r="J657" i="5"/>
  <c r="K689" i="6"/>
  <c r="K236" i="6"/>
  <c r="G728" i="5"/>
  <c r="G339" i="6"/>
  <c r="J217" i="5"/>
  <c r="J638" i="5"/>
  <c r="G663" i="6"/>
  <c r="G421" i="5"/>
  <c r="G1035" i="5"/>
  <c r="G547" i="6"/>
  <c r="J589" i="5"/>
  <c r="K914" i="5"/>
  <c r="G536" i="6"/>
  <c r="G521" i="5"/>
  <c r="J806" i="6"/>
  <c r="K951" i="5"/>
  <c r="J930" i="5"/>
  <c r="K694" i="5"/>
  <c r="K602" i="6"/>
  <c r="G675" i="6"/>
  <c r="K947" i="5"/>
  <c r="J79" i="6"/>
  <c r="K411" i="5"/>
  <c r="G84" i="6"/>
  <c r="K455" i="5"/>
  <c r="G355" i="5"/>
  <c r="J753" i="6"/>
  <c r="K675" i="6"/>
  <c r="J78" i="5"/>
  <c r="K800" i="5"/>
  <c r="G848" i="5"/>
  <c r="K157" i="6"/>
  <c r="G847" i="5"/>
  <c r="J77" i="6"/>
  <c r="K511" i="5"/>
  <c r="J367" i="6"/>
  <c r="G966" i="5"/>
  <c r="J453" i="5"/>
  <c r="G25" i="5"/>
  <c r="J609" i="5"/>
  <c r="K504" i="5"/>
  <c r="J372" i="5"/>
  <c r="G199" i="6"/>
  <c r="G573" i="5"/>
  <c r="G626" i="5"/>
  <c r="K350" i="5"/>
  <c r="K303" i="5"/>
  <c r="J809" i="6"/>
  <c r="J454" i="5"/>
  <c r="J433" i="6"/>
  <c r="K979" i="5"/>
  <c r="K704" i="6"/>
  <c r="G81" i="5"/>
  <c r="G173" i="6"/>
  <c r="K234" i="5"/>
  <c r="J81" i="5"/>
  <c r="G794" i="6"/>
  <c r="J702" i="6"/>
  <c r="G653" i="6"/>
  <c r="K492" i="5"/>
  <c r="K647" i="5"/>
  <c r="K681" i="5"/>
  <c r="G389" i="5"/>
  <c r="K811" i="5"/>
  <c r="G236" i="6"/>
  <c r="J916" i="5"/>
  <c r="K662" i="5"/>
  <c r="G494" i="6"/>
  <c r="K881" i="5"/>
  <c r="K904" i="5"/>
  <c r="G275" i="6"/>
  <c r="K897" i="5"/>
  <c r="K257" i="5"/>
  <c r="G341" i="6"/>
  <c r="K590" i="5"/>
  <c r="K60" i="5"/>
  <c r="K439" i="5"/>
  <c r="K312" i="6"/>
  <c r="G432" i="6"/>
  <c r="K557" i="5"/>
  <c r="J760" i="5"/>
  <c r="K1002" i="5"/>
  <c r="K597" i="5"/>
  <c r="G611" i="6"/>
  <c r="G339" i="5"/>
  <c r="G240" i="6"/>
  <c r="J560" i="6"/>
  <c r="G335" i="5"/>
  <c r="K674" i="5"/>
  <c r="G522" i="6"/>
  <c r="K562" i="5"/>
  <c r="J592" i="5"/>
  <c r="J829" i="5"/>
  <c r="G183" i="5"/>
  <c r="J796" i="6"/>
  <c r="K200" i="5"/>
  <c r="G829" i="5"/>
  <c r="J302" i="5"/>
  <c r="J134" i="5"/>
  <c r="J917" i="5"/>
  <c r="K467" i="6"/>
  <c r="J981" i="5"/>
  <c r="G31" i="6"/>
  <c r="J880" i="5"/>
  <c r="G356" i="5"/>
  <c r="K220" i="6"/>
  <c r="G691" i="5"/>
  <c r="J149" i="5"/>
  <c r="G557" i="5"/>
  <c r="G386" i="5"/>
  <c r="J797" i="6"/>
  <c r="G105" i="6"/>
  <c r="K988" i="5"/>
  <c r="K444" i="6"/>
  <c r="K589" i="5"/>
  <c r="G285" i="5"/>
  <c r="G561" i="6"/>
  <c r="K182" i="6"/>
  <c r="K701" i="6"/>
  <c r="J761" i="5"/>
  <c r="J554" i="5"/>
  <c r="J506" i="6"/>
  <c r="J259" i="6"/>
  <c r="K418" i="6"/>
  <c r="K100" i="5"/>
  <c r="J301" i="6"/>
  <c r="K917" i="5"/>
  <c r="K519" i="5"/>
  <c r="J249" i="5"/>
  <c r="K651" i="6"/>
  <c r="G665" i="6"/>
  <c r="J1001" i="5"/>
  <c r="K420" i="5"/>
  <c r="G968" i="5"/>
  <c r="G470" i="6"/>
  <c r="G554" i="5"/>
  <c r="K491" i="5"/>
  <c r="G961" i="5"/>
  <c r="G103" i="6"/>
  <c r="K479" i="5"/>
  <c r="J572" i="6"/>
  <c r="G894" i="5"/>
  <c r="K950" i="5"/>
  <c r="K224" i="5"/>
  <c r="G1049" i="5"/>
  <c r="J680" i="6"/>
  <c r="K225" i="6"/>
  <c r="K381" i="6"/>
  <c r="J418" i="6"/>
  <c r="G472" i="6"/>
  <c r="G474" i="6"/>
  <c r="K67" i="5"/>
  <c r="G716" i="6"/>
  <c r="G899" i="5"/>
  <c r="K665" i="6"/>
  <c r="G45" i="6"/>
  <c r="J96" i="5"/>
  <c r="K342" i="6"/>
  <c r="K760" i="5"/>
  <c r="J68" i="6"/>
  <c r="K637" i="6"/>
  <c r="J731" i="6"/>
  <c r="K247" i="5"/>
  <c r="K542" i="5"/>
  <c r="J945" i="5"/>
  <c r="K746" i="5"/>
  <c r="K902" i="5"/>
  <c r="G655" i="5"/>
  <c r="K495" i="5"/>
  <c r="J215" i="5"/>
  <c r="G184" i="6"/>
  <c r="G58" i="6"/>
  <c r="K508" i="5"/>
  <c r="G982" i="5"/>
  <c r="G644" i="5"/>
  <c r="G944" i="5"/>
  <c r="G31" i="5"/>
  <c r="K708" i="5"/>
  <c r="K734" i="5"/>
  <c r="K223" i="6"/>
  <c r="G550" i="6"/>
  <c r="J115" i="5"/>
  <c r="J766" i="6"/>
  <c r="J146" i="6"/>
  <c r="J42" i="6"/>
  <c r="G186" i="5"/>
  <c r="J128" i="5"/>
  <c r="G212" i="6"/>
  <c r="K581" i="5"/>
  <c r="J198" i="6"/>
  <c r="J248" i="6"/>
  <c r="G760" i="6"/>
  <c r="K384" i="5"/>
  <c r="G98" i="5"/>
  <c r="K610" i="5"/>
  <c r="K129" i="5"/>
  <c r="K848" i="5"/>
  <c r="K215" i="5"/>
  <c r="K453" i="5"/>
  <c r="J586" i="6"/>
  <c r="G666" i="6"/>
  <c r="K640" i="6"/>
  <c r="K299" i="5"/>
  <c r="J118" i="6"/>
  <c r="G946" i="5"/>
  <c r="G282" i="5"/>
  <c r="G54" i="6"/>
  <c r="K252" i="5"/>
  <c r="G861" i="5"/>
  <c r="K546" i="6"/>
  <c r="J843" i="5"/>
  <c r="G349" i="5"/>
  <c r="J795" i="6"/>
  <c r="L2" i="5"/>
  <c r="K820" i="6"/>
  <c r="K65" i="6"/>
  <c r="G744" i="5"/>
  <c r="K78" i="5"/>
  <c r="G146" i="5"/>
  <c r="J25" i="6"/>
  <c r="G753" i="6"/>
  <c r="K139" i="5"/>
  <c r="K472" i="6"/>
  <c r="J355" i="5"/>
  <c r="K69" i="6"/>
  <c r="G428" i="6"/>
  <c r="K339" i="5"/>
  <c r="J436" i="5"/>
  <c r="K666" i="5"/>
  <c r="K182" i="5"/>
  <c r="K753" i="6"/>
  <c r="G502" i="5"/>
  <c r="G121" i="6"/>
  <c r="G106" i="6"/>
  <c r="J234" i="6"/>
  <c r="K1015" i="5"/>
  <c r="G821" i="6"/>
  <c r="J475" i="5"/>
  <c r="K1018" i="5"/>
  <c r="J456" i="6"/>
  <c r="K379" i="6"/>
  <c r="J429" i="6"/>
  <c r="G696" i="5"/>
  <c r="J613" i="6"/>
  <c r="J131" i="6"/>
  <c r="J148" i="5"/>
  <c r="G132" i="6"/>
  <c r="K763" i="5"/>
  <c r="J266" i="5"/>
  <c r="K945" i="5"/>
  <c r="J770" i="6"/>
  <c r="J111" i="5"/>
  <c r="G400" i="5"/>
  <c r="K393" i="6"/>
  <c r="K639" i="5"/>
  <c r="K652" i="6"/>
  <c r="G366" i="5"/>
  <c r="K717" i="5"/>
  <c r="G305" i="6"/>
  <c r="G378" i="6"/>
  <c r="K575" i="6"/>
  <c r="G703" i="6"/>
  <c r="J172" i="6"/>
  <c r="K716" i="6"/>
  <c r="K572" i="6"/>
  <c r="K1006" i="5"/>
  <c r="J1070" i="5"/>
  <c r="J106" i="6"/>
  <c r="J946" i="5"/>
  <c r="G84" i="5"/>
  <c r="G641" i="6"/>
  <c r="J495" i="6"/>
  <c r="K286" i="5"/>
  <c r="G1031" i="5"/>
  <c r="J49" i="5"/>
  <c r="K119" i="6"/>
  <c r="K391" i="6"/>
  <c r="G208" i="6"/>
  <c r="G808" i="5"/>
  <c r="K766" i="5"/>
  <c r="J415" i="6"/>
  <c r="J369" i="5"/>
  <c r="K427" i="5"/>
  <c r="G509" i="5"/>
  <c r="J743" i="6"/>
  <c r="G864" i="5"/>
  <c r="G541" i="5"/>
  <c r="K678" i="6"/>
  <c r="G354" i="6"/>
  <c r="K1056" i="5"/>
  <c r="G169" i="6"/>
  <c r="J340" i="6"/>
  <c r="J52" i="6"/>
  <c r="K662" i="6"/>
  <c r="G266" i="6"/>
  <c r="J113" i="5"/>
  <c r="J231" i="5"/>
  <c r="G769" i="6"/>
  <c r="J560" i="5"/>
  <c r="G248" i="5"/>
  <c r="J985" i="5"/>
  <c r="J56" i="6"/>
  <c r="K166" i="5"/>
  <c r="K506" i="5"/>
  <c r="K146" i="6"/>
  <c r="J774" i="5"/>
  <c r="K335" i="5"/>
  <c r="J169" i="6"/>
  <c r="G354" i="5"/>
  <c r="J300" i="6"/>
  <c r="K277" i="6"/>
  <c r="J230" i="5"/>
  <c r="K48" i="5"/>
  <c r="K103" i="5"/>
  <c r="J400" i="5"/>
  <c r="J366" i="6"/>
  <c r="G111" i="5"/>
  <c r="K742" i="5"/>
  <c r="K90" i="6"/>
  <c r="G133" i="6"/>
  <c r="G367" i="6"/>
  <c r="J184" i="6"/>
  <c r="K796" i="5"/>
  <c r="G1019" i="5"/>
  <c r="G642" i="5"/>
  <c r="J489" i="5"/>
  <c r="G233" i="6"/>
  <c r="K64" i="6"/>
  <c r="K117" i="5"/>
  <c r="G147" i="6"/>
  <c r="K485" i="6"/>
  <c r="G266" i="5"/>
  <c r="G385" i="5"/>
  <c r="K154" i="5"/>
  <c r="J236" i="6"/>
  <c r="G332" i="5"/>
  <c r="K186" i="5"/>
  <c r="G549" i="6"/>
  <c r="G32" i="5"/>
  <c r="K696" i="5"/>
  <c r="J363" i="6"/>
  <c r="J486" i="5"/>
  <c r="J435" i="5"/>
  <c r="K114" i="5"/>
  <c r="G542" i="5"/>
  <c r="J805" i="6"/>
  <c r="K121" i="6"/>
  <c r="G706" i="6"/>
  <c r="G539" i="5"/>
  <c r="J155" i="6"/>
  <c r="J317" i="5"/>
  <c r="K699" i="5"/>
  <c r="G532" i="6"/>
  <c r="J407" i="6"/>
  <c r="G28" i="6"/>
  <c r="J573" i="6"/>
  <c r="G805" i="6"/>
  <c r="J213" i="5"/>
  <c r="G758" i="6"/>
  <c r="K818" i="6"/>
  <c r="G1068" i="5"/>
  <c r="J483" i="6"/>
  <c r="G52" i="6"/>
  <c r="G47" i="5"/>
  <c r="J236" i="5"/>
  <c r="K913" i="5"/>
  <c r="J207" i="6"/>
  <c r="J628" i="6"/>
  <c r="G380" i="6"/>
  <c r="G945" i="5"/>
  <c r="J351" i="6"/>
  <c r="G160" i="6"/>
  <c r="G741" i="5"/>
  <c r="K767" i="6"/>
  <c r="J863" i="5"/>
  <c r="J252" i="5"/>
  <c r="K319" i="5"/>
  <c r="K147" i="5"/>
  <c r="J438" i="5"/>
  <c r="J385" i="5"/>
  <c r="K903" i="5"/>
  <c r="K129" i="6"/>
  <c r="G406" i="6"/>
  <c r="J48" i="5"/>
  <c r="G690" i="6"/>
  <c r="K420" i="6"/>
  <c r="J221" i="6"/>
  <c r="K821" i="6"/>
  <c r="K375" i="5"/>
  <c r="G29" i="6"/>
  <c r="J316" i="6"/>
  <c r="G588" i="5"/>
  <c r="K373" i="5"/>
  <c r="J150" i="5"/>
  <c r="K548" i="6"/>
  <c r="K134" i="6"/>
  <c r="K1048" i="5"/>
  <c r="K493" i="6"/>
  <c r="G1053" i="5"/>
  <c r="G797" i="6"/>
  <c r="G373" i="5"/>
  <c r="K409" i="5"/>
  <c r="K290" i="5"/>
  <c r="K1046" i="5"/>
  <c r="G95" i="5"/>
  <c r="G692" i="6"/>
  <c r="G1016" i="5"/>
  <c r="J882" i="5"/>
  <c r="J117" i="6"/>
  <c r="J691" i="5"/>
  <c r="K34" i="5"/>
  <c r="K356" i="5"/>
  <c r="G967" i="5"/>
  <c r="G227" i="6"/>
  <c r="G590" i="5"/>
  <c r="J654" i="6"/>
  <c r="G287" i="5"/>
  <c r="J600" i="6"/>
  <c r="G26" i="6"/>
  <c r="K541" i="5"/>
  <c r="K249" i="6"/>
  <c r="G303" i="5"/>
  <c r="G727" i="5"/>
  <c r="G756" i="6"/>
  <c r="J1066" i="5"/>
  <c r="K611" i="5"/>
  <c r="G740" i="6"/>
  <c r="K784" i="5"/>
  <c r="K972" i="5"/>
  <c r="J496" i="6"/>
  <c r="K316" i="6"/>
  <c r="J717" i="6"/>
  <c r="J82" i="6"/>
  <c r="K529" i="5"/>
  <c r="J951" i="5"/>
  <c r="K676" i="5"/>
  <c r="G677" i="6"/>
  <c r="G284" i="5"/>
  <c r="K30" i="5"/>
  <c r="G781" i="6"/>
  <c r="G367" i="5"/>
  <c r="K367" i="6"/>
  <c r="G1034" i="5"/>
  <c r="J166" i="5"/>
  <c r="G337" i="6"/>
  <c r="G645" i="5"/>
  <c r="J417" i="6"/>
  <c r="G272" i="6"/>
  <c r="K29" i="5"/>
  <c r="G689" i="5"/>
  <c r="K677" i="5"/>
  <c r="G605" i="5"/>
  <c r="K1000" i="5"/>
  <c r="G82" i="5"/>
  <c r="J260" i="6"/>
  <c r="K953" i="5"/>
  <c r="K418" i="5"/>
  <c r="K731" i="6"/>
  <c r="J367" i="5"/>
  <c r="G589" i="6"/>
  <c r="G811" i="5"/>
  <c r="K51" i="6"/>
  <c r="K511" i="6"/>
  <c r="G932" i="5"/>
  <c r="K329" i="6"/>
  <c r="G233" i="5"/>
  <c r="J99" i="5"/>
  <c r="K457" i="6"/>
  <c r="J602" i="6"/>
  <c r="G744" i="6"/>
  <c r="G526" i="5"/>
  <c r="G248" i="6"/>
  <c r="K963" i="5"/>
  <c r="J329" i="6"/>
  <c r="J179" i="5"/>
  <c r="J849" i="5"/>
  <c r="J381" i="6"/>
  <c r="J288" i="5"/>
  <c r="G917" i="5"/>
  <c r="J90" i="6"/>
  <c r="G962" i="5"/>
  <c r="K341" i="5"/>
  <c r="K442" i="6"/>
  <c r="J386" i="5"/>
  <c r="G292" i="6"/>
  <c r="J1046" i="5"/>
  <c r="J639" i="5"/>
  <c r="K631" i="5"/>
  <c r="K24" i="6"/>
  <c r="G849" i="5"/>
  <c r="J823" i="6"/>
  <c r="J728" i="6"/>
  <c r="K380" i="6"/>
  <c r="K95" i="6"/>
  <c r="J781" i="5"/>
  <c r="G237" i="5"/>
  <c r="K547" i="5"/>
  <c r="K698" i="5"/>
  <c r="J758" i="6"/>
  <c r="J694" i="5"/>
  <c r="K336" i="5"/>
  <c r="J116" i="6"/>
  <c r="K794" i="6"/>
  <c r="J982" i="5"/>
  <c r="K475" i="5"/>
  <c r="K571" i="5"/>
  <c r="G167" i="5"/>
  <c r="K207" i="5"/>
  <c r="J653" i="6"/>
  <c r="K230" i="5"/>
  <c r="G795" i="6"/>
  <c r="J281" i="5"/>
  <c r="G286" i="6"/>
  <c r="J51" i="6"/>
  <c r="J488" i="5"/>
  <c r="K288" i="6"/>
  <c r="K852" i="5"/>
  <c r="J810" i="6"/>
  <c r="J662" i="6"/>
  <c r="K321" i="5"/>
  <c r="G155" i="6"/>
  <c r="K27" i="6"/>
  <c r="G338" i="6"/>
  <c r="K624" i="6"/>
  <c r="K727" i="6"/>
  <c r="K419" i="6"/>
  <c r="J548" i="6"/>
  <c r="K288" i="5"/>
  <c r="G715" i="6"/>
  <c r="K522" i="5"/>
  <c r="G708" i="5"/>
  <c r="G214" i="6"/>
  <c r="J135" i="5"/>
  <c r="K741" i="6"/>
  <c r="G601" i="6"/>
  <c r="K715" i="5"/>
  <c r="J492" i="5"/>
  <c r="G301" i="5"/>
  <c r="K537" i="5"/>
  <c r="J387" i="5"/>
  <c r="G302" i="5"/>
  <c r="K598" i="5"/>
  <c r="K471" i="6"/>
  <c r="K144" i="6"/>
  <c r="G571" i="5"/>
  <c r="J1047" i="5"/>
  <c r="J218" i="5"/>
  <c r="J754" i="6"/>
  <c r="J665" i="6"/>
  <c r="G318" i="6"/>
  <c r="J730" i="6"/>
  <c r="G250" i="5"/>
  <c r="G82" i="6"/>
  <c r="J497" i="6"/>
  <c r="J645" i="5"/>
  <c r="K549" i="6"/>
  <c r="G764" i="5"/>
  <c r="K643" i="5"/>
  <c r="J444" i="6"/>
  <c r="J822" i="6"/>
  <c r="J759" i="5"/>
  <c r="G915" i="5"/>
  <c r="G730" i="5"/>
  <c r="J1048" i="5"/>
  <c r="J338" i="5"/>
  <c r="J353" i="5"/>
  <c r="G429" i="6"/>
  <c r="J561" i="6"/>
  <c r="G792" i="5"/>
  <c r="J46" i="5"/>
  <c r="J781" i="6"/>
  <c r="K165" i="5"/>
  <c r="K1005" i="5"/>
  <c r="K573" i="6"/>
  <c r="K77" i="6"/>
  <c r="K405" i="5"/>
  <c r="G79" i="5"/>
  <c r="G630" i="6"/>
  <c r="G301" i="6"/>
  <c r="K776" i="5"/>
  <c r="G493" i="6"/>
  <c r="K350" i="6"/>
  <c r="K26" i="6"/>
  <c r="J196" i="6"/>
  <c r="G468" i="6"/>
  <c r="J101" i="5"/>
  <c r="J366" i="5"/>
  <c r="J299" i="6"/>
  <c r="J118" i="5"/>
  <c r="J458" i="6"/>
  <c r="G545" i="6"/>
  <c r="K559" i="5"/>
  <c r="K184" i="6"/>
  <c r="G163" i="5"/>
  <c r="J199" i="6"/>
  <c r="K287" i="5"/>
  <c r="G812" i="6"/>
  <c r="K111" i="5"/>
  <c r="K886" i="5"/>
  <c r="K982" i="5"/>
  <c r="K128" i="5"/>
  <c r="G626" i="6"/>
  <c r="G842" i="5"/>
  <c r="J549" i="6"/>
  <c r="K390" i="6"/>
  <c r="G662" i="6"/>
  <c r="G24" i="6"/>
  <c r="K628" i="5"/>
  <c r="G43" i="6"/>
  <c r="J656" i="5"/>
  <c r="K441" i="6"/>
  <c r="G424" i="5"/>
  <c r="J611" i="5"/>
  <c r="J979" i="5"/>
  <c r="G949" i="5"/>
  <c r="K1047" i="5"/>
  <c r="G883" i="5"/>
  <c r="G151" i="5"/>
  <c r="K354" i="6"/>
  <c r="G1052" i="5"/>
  <c r="G69" i="6"/>
  <c r="K598" i="6"/>
  <c r="G776" i="5"/>
  <c r="G159" i="6"/>
  <c r="J626" i="6"/>
  <c r="G39" i="6"/>
  <c r="G678" i="6"/>
  <c r="K240" i="5"/>
  <c r="G393" i="6"/>
  <c r="K1053" i="5"/>
  <c r="J877" i="5"/>
  <c r="J248" i="5"/>
  <c r="J1014" i="5"/>
  <c r="K29" i="6"/>
  <c r="G420" i="5"/>
  <c r="G168" i="6"/>
  <c r="K25" i="6"/>
  <c r="J847" i="5"/>
  <c r="K386" i="5"/>
  <c r="K481" i="6"/>
  <c r="K1014" i="5"/>
  <c r="G344" i="6"/>
  <c r="J998" i="5"/>
  <c r="K636" i="6"/>
  <c r="J69" i="6"/>
  <c r="J577" i="5"/>
  <c r="G318" i="5"/>
  <c r="K928" i="5"/>
  <c r="K97" i="5"/>
  <c r="G158" i="6"/>
  <c r="J275" i="6"/>
  <c r="J866" i="5"/>
  <c r="G440" i="5"/>
  <c r="J287" i="5"/>
  <c r="G846" i="5"/>
  <c r="G711" i="5"/>
  <c r="G664" i="6"/>
  <c r="K783" i="6"/>
  <c r="G136" i="6"/>
  <c r="K768" i="6"/>
  <c r="J771" i="6"/>
  <c r="K352" i="6"/>
  <c r="J290" i="6"/>
  <c r="G78" i="5"/>
  <c r="K118" i="5"/>
  <c r="J612" i="6"/>
  <c r="J883" i="5"/>
  <c r="K206" i="5"/>
  <c r="J610" i="6"/>
  <c r="G933" i="5"/>
  <c r="J914" i="5"/>
  <c r="J29" i="6"/>
  <c r="G365" i="6"/>
  <c r="J289" i="6"/>
  <c r="J401" i="5"/>
  <c r="G604" i="5"/>
  <c r="J214" i="5"/>
  <c r="G321" i="5"/>
  <c r="J351" i="5"/>
  <c r="G793" i="6"/>
  <c r="J672" i="5"/>
  <c r="G435" i="6"/>
  <c r="G431" i="6"/>
  <c r="G300" i="5"/>
  <c r="K719" i="6"/>
  <c r="K724" i="5"/>
  <c r="J267" i="5"/>
  <c r="J134" i="6"/>
  <c r="K1029" i="5"/>
  <c r="J692" i="5"/>
  <c r="J98" i="5"/>
  <c r="K454" i="6"/>
  <c r="G145" i="5"/>
  <c r="G725" i="5"/>
  <c r="J171" i="6"/>
  <c r="G672" i="5"/>
  <c r="J373" i="5"/>
  <c r="G704" i="6"/>
  <c r="K163" i="5"/>
  <c r="G624" i="6"/>
  <c r="K358" i="5"/>
  <c r="G469" i="6"/>
  <c r="K644" i="5"/>
  <c r="K781" i="6"/>
  <c r="G156" i="6"/>
  <c r="G129" i="6"/>
  <c r="G489" i="5"/>
  <c r="G844" i="5"/>
  <c r="G504" i="5"/>
  <c r="K948" i="5"/>
  <c r="G845" i="5"/>
  <c r="J185" i="6"/>
  <c r="K844" i="5"/>
  <c r="K599" i="6"/>
  <c r="G814" i="5"/>
  <c r="K946" i="5"/>
  <c r="K795" i="6"/>
  <c r="J152" i="5"/>
  <c r="K462" i="5"/>
  <c r="K745" i="5"/>
  <c r="K404" i="5"/>
  <c r="K981" i="5"/>
  <c r="G201" i="6"/>
  <c r="K167" i="5"/>
  <c r="G628" i="6"/>
  <c r="G340" i="6"/>
  <c r="J757" i="6"/>
  <c r="K78" i="6"/>
  <c r="K771" i="6"/>
  <c r="J467" i="6"/>
  <c r="J673" i="5"/>
  <c r="J312" i="6"/>
  <c r="G247" i="6"/>
  <c r="G724" i="5"/>
  <c r="K311" i="6"/>
  <c r="K615" i="5"/>
  <c r="K585" i="6"/>
  <c r="G963" i="5"/>
  <c r="J482" i="6"/>
  <c r="G403" i="5"/>
  <c r="G591" i="5"/>
  <c r="G315" i="5"/>
  <c r="K197" i="5"/>
  <c r="K703" i="6"/>
  <c r="J247" i="5"/>
  <c r="K535" i="6"/>
  <c r="G898" i="5"/>
  <c r="G713" i="5"/>
  <c r="K814" i="5"/>
  <c r="K210" i="6"/>
  <c r="J325" i="6"/>
  <c r="K1039" i="5"/>
  <c r="K802" i="5"/>
  <c r="G287" i="6"/>
  <c r="J322" i="5"/>
  <c r="K649" i="6"/>
  <c r="G1032" i="5"/>
  <c r="K274" i="6"/>
  <c r="J264" i="5"/>
  <c r="K368" i="5"/>
  <c r="G779" i="5"/>
  <c r="G115" i="5"/>
  <c r="G1063" i="5"/>
  <c r="K764" i="5"/>
  <c r="G455" i="5"/>
  <c r="J690" i="5"/>
  <c r="G613" i="6"/>
  <c r="J270" i="5"/>
  <c r="K490" i="5"/>
  <c r="G878" i="5"/>
  <c r="K181" i="5"/>
  <c r="K267" i="5"/>
  <c r="J573" i="5"/>
  <c r="K810" i="6"/>
  <c r="K316" i="5"/>
  <c r="K46" i="5"/>
  <c r="G791" i="5"/>
  <c r="G825" i="6"/>
  <c r="K732" i="5"/>
  <c r="J314" i="6"/>
  <c r="J390" i="6"/>
  <c r="G606" i="5"/>
  <c r="K428" i="6"/>
  <c r="G636" i="6"/>
  <c r="K876" i="5"/>
  <c r="K406" i="5"/>
  <c r="K980" i="5"/>
  <c r="J79" i="5"/>
  <c r="G253" i="5"/>
  <c r="J949" i="5"/>
  <c r="J818" i="6"/>
  <c r="G638" i="6"/>
  <c r="G456" i="6"/>
  <c r="G483" i="6"/>
  <c r="K446" i="6"/>
  <c r="G576" i="6"/>
  <c r="J368" i="5"/>
  <c r="J437" i="5"/>
  <c r="G1018" i="5"/>
  <c r="G402" i="5"/>
  <c r="G1064" i="5"/>
  <c r="G572" i="6"/>
  <c r="K284" i="5"/>
  <c r="J93" i="6"/>
  <c r="K394" i="5"/>
  <c r="G610" i="5"/>
  <c r="G578" i="6"/>
  <c r="K207" i="6"/>
  <c r="G496" i="6"/>
  <c r="G623" i="6"/>
  <c r="G893" i="5"/>
  <c r="J326" i="6"/>
  <c r="K944" i="5"/>
  <c r="J590" i="5"/>
  <c r="K601" i="6"/>
  <c r="G877" i="5"/>
  <c r="G556" i="5"/>
  <c r="G457" i="5"/>
  <c r="G523" i="5"/>
  <c r="K426" i="5"/>
  <c r="G48" i="5"/>
  <c r="K468" i="5"/>
  <c r="K623" i="6"/>
  <c r="J211" i="6"/>
  <c r="K392" i="6"/>
  <c r="G254" i="5"/>
  <c r="J679" i="5"/>
  <c r="K882" i="5"/>
  <c r="K842" i="5"/>
  <c r="G815" i="5"/>
  <c r="K77" i="5"/>
  <c r="G50" i="5"/>
  <c r="G68" i="6"/>
  <c r="K292" i="5"/>
  <c r="G286" i="5"/>
  <c r="J82" i="5"/>
  <c r="G250" i="6"/>
  <c r="J827" i="5"/>
  <c r="J26" i="6"/>
  <c r="K672" i="5"/>
  <c r="J458" i="5"/>
  <c r="K593" i="5"/>
  <c r="J832" i="5"/>
  <c r="G116" i="6"/>
  <c r="K1021" i="5"/>
  <c r="K429" i="6"/>
  <c r="K625" i="5"/>
  <c r="G552" i="6"/>
  <c r="K521" i="6"/>
  <c r="G211" i="6"/>
  <c r="J222" i="6"/>
  <c r="G117" i="5"/>
  <c r="J349" i="5"/>
  <c r="J610" i="5"/>
  <c r="G215" i="5"/>
  <c r="G320" i="5"/>
  <c r="K360" i="5"/>
  <c r="J964" i="5"/>
  <c r="K559" i="6"/>
  <c r="G302" i="6"/>
  <c r="J352" i="6"/>
  <c r="G251" i="5"/>
  <c r="K863" i="5"/>
  <c r="G999" i="5"/>
  <c r="K1004" i="5"/>
  <c r="J933" i="5"/>
  <c r="G818" i="6"/>
  <c r="G587" i="6"/>
  <c r="G328" i="6"/>
  <c r="G117" i="6"/>
  <c r="K1069" i="5"/>
  <c r="J510" i="6"/>
  <c r="J978" i="5"/>
  <c r="K343" i="5"/>
  <c r="J779" i="5"/>
  <c r="J494" i="6"/>
  <c r="K934" i="5"/>
  <c r="G679" i="6"/>
  <c r="G1014" i="5"/>
  <c r="K251" i="5"/>
  <c r="K219" i="5"/>
  <c r="G101" i="5"/>
  <c r="G643" i="6"/>
  <c r="G268" i="5"/>
  <c r="G453" i="5"/>
  <c r="G110" i="6"/>
  <c r="J339" i="5"/>
  <c r="G731" i="6"/>
  <c r="G627" i="5"/>
  <c r="G822" i="6"/>
  <c r="G649" i="6"/>
  <c r="K588" i="5"/>
  <c r="K543" i="5"/>
  <c r="K53" i="6"/>
  <c r="G216" i="5"/>
  <c r="K62" i="5"/>
  <c r="G757" i="5"/>
  <c r="G587" i="5"/>
  <c r="K315" i="6"/>
  <c r="J145" i="6"/>
  <c r="K829" i="5"/>
  <c r="G658" i="5"/>
  <c r="J428" i="6"/>
  <c r="G130" i="6"/>
  <c r="K43" i="5"/>
  <c r="K42" i="6"/>
  <c r="K302" i="5"/>
  <c r="G220" i="6"/>
  <c r="K183" i="5"/>
  <c r="K931" i="5"/>
  <c r="G132" i="5"/>
  <c r="G461" i="6"/>
  <c r="J1063" i="5"/>
  <c r="K148" i="5"/>
  <c r="J315" i="5"/>
  <c r="K550" i="6"/>
  <c r="G166" i="5"/>
  <c r="K208" i="6"/>
  <c r="G533" i="6"/>
  <c r="J639" i="6"/>
  <c r="J984" i="5"/>
  <c r="J597" i="6"/>
  <c r="K185" i="5"/>
  <c r="G467" i="6"/>
  <c r="K117" i="6"/>
  <c r="K313" i="6"/>
  <c r="K625" i="6"/>
  <c r="G614" i="6"/>
  <c r="K171" i="5"/>
  <c r="K332" i="5"/>
  <c r="J775" i="5"/>
  <c r="J1049" i="5"/>
  <c r="G577" i="5"/>
  <c r="K256" i="5"/>
  <c r="J783" i="6"/>
  <c r="G807" i="6"/>
  <c r="J931" i="5"/>
  <c r="K783" i="5"/>
  <c r="K1050" i="5"/>
  <c r="G316" i="5"/>
  <c r="G820" i="6"/>
  <c r="G882" i="5"/>
  <c r="G782" i="6"/>
  <c r="G826" i="5"/>
  <c r="K692" i="5"/>
  <c r="K744" i="5"/>
  <c r="K185" i="6"/>
  <c r="K586" i="6"/>
  <c r="G1070" i="5"/>
  <c r="G446" i="6"/>
  <c r="G274" i="6"/>
  <c r="K131" i="6"/>
  <c r="K639" i="6"/>
  <c r="G94" i="5"/>
  <c r="G695" i="6"/>
  <c r="K894" i="5"/>
  <c r="K262" i="6"/>
  <c r="K81" i="5"/>
  <c r="J611" i="6"/>
  <c r="G965" i="5"/>
  <c r="J335" i="5"/>
  <c r="K680" i="6"/>
  <c r="K151" i="5"/>
  <c r="K170" i="6"/>
  <c r="K520" i="5"/>
  <c r="G746" i="5"/>
  <c r="K340" i="6"/>
  <c r="J338" i="6"/>
  <c r="K438" i="5"/>
  <c r="K233" i="6"/>
  <c r="J327" i="6"/>
  <c r="J262" i="6"/>
  <c r="K537" i="6"/>
  <c r="K198" i="6"/>
  <c r="K611" i="6"/>
  <c r="K730" i="5"/>
  <c r="J471" i="5"/>
  <c r="K355" i="6"/>
  <c r="J780" i="6"/>
  <c r="G916" i="5"/>
  <c r="J782" i="6"/>
  <c r="J676" i="5"/>
  <c r="J944" i="5"/>
  <c r="J53" i="6"/>
  <c r="K88" i="5"/>
  <c r="G419" i="6"/>
  <c r="G152" i="5"/>
  <c r="K893" i="5"/>
  <c r="K430" i="6"/>
  <c r="K540" i="5"/>
  <c r="J247" i="6"/>
  <c r="G195" i="6"/>
  <c r="J377" i="6"/>
  <c r="G430" i="6"/>
  <c r="K642" i="5"/>
  <c r="J332" i="5"/>
  <c r="K401" i="5"/>
  <c r="K638" i="6"/>
  <c r="K159" i="6"/>
  <c r="G775" i="5"/>
  <c r="G417" i="6"/>
  <c r="K372" i="5"/>
  <c r="J676" i="6"/>
  <c r="G996" i="5"/>
  <c r="J443" i="6"/>
  <c r="G780" i="6"/>
  <c r="J282" i="5"/>
  <c r="G729" i="5"/>
  <c r="K536" i="5"/>
  <c r="J594" i="5"/>
  <c r="K431" i="6"/>
  <c r="K607" i="5"/>
  <c r="G288" i="5"/>
  <c r="K164" i="5"/>
  <c r="G198" i="6"/>
  <c r="K366" i="5"/>
  <c r="J693" i="5"/>
  <c r="K443" i="6"/>
  <c r="K512" i="5"/>
  <c r="J677" i="6"/>
  <c r="K461" i="5"/>
  <c r="G316" i="6"/>
  <c r="G336" i="5"/>
  <c r="J715" i="6"/>
  <c r="J432" i="6"/>
  <c r="G680" i="6"/>
  <c r="K556" i="5"/>
  <c r="J865" i="5"/>
  <c r="K366" i="6"/>
  <c r="G313" i="6"/>
  <c r="K189" i="5"/>
  <c r="J480" i="6"/>
  <c r="G1029" i="5"/>
  <c r="K483" i="6"/>
  <c r="G691" i="6"/>
  <c r="J691" i="6"/>
  <c r="G369" i="5"/>
  <c r="G740" i="5"/>
  <c r="G625" i="5"/>
  <c r="K656" i="5"/>
  <c r="J545" i="6"/>
  <c r="G392" i="6"/>
  <c r="G524" i="6"/>
  <c r="K234" i="6"/>
  <c r="G232" i="5"/>
  <c r="G559" i="5"/>
  <c r="J336" i="5"/>
  <c r="K868" i="5"/>
  <c r="G766" i="6"/>
  <c r="G540" i="5"/>
  <c r="G895" i="5"/>
  <c r="G38" i="6"/>
  <c r="G261" i="6"/>
  <c r="G734" i="6"/>
  <c r="K949" i="5"/>
  <c r="K665" i="5"/>
  <c r="J194" i="6"/>
  <c r="K726" i="5"/>
  <c r="J679" i="6"/>
  <c r="G263" i="6"/>
  <c r="G253" i="6"/>
  <c r="G350" i="6"/>
  <c r="G372" i="5"/>
  <c r="K142" i="6"/>
  <c r="J1015" i="5"/>
  <c r="G182" i="6"/>
  <c r="G416" i="6"/>
  <c r="G209" i="6"/>
  <c r="G862" i="5"/>
  <c r="J965" i="5"/>
  <c r="J339" i="6"/>
  <c r="G118" i="6"/>
  <c r="K286" i="6"/>
  <c r="G401" i="5"/>
  <c r="G145" i="6"/>
  <c r="K870" i="5"/>
  <c r="J644" i="5"/>
  <c r="J729" i="6"/>
  <c r="G406" i="5"/>
  <c r="J250" i="6"/>
  <c r="K716" i="5"/>
  <c r="K459" i="6"/>
  <c r="G910" i="5"/>
  <c r="K270" i="5"/>
  <c r="J389" i="5"/>
  <c r="J559" i="5"/>
  <c r="K28" i="6"/>
  <c r="G27" i="6"/>
  <c r="K194" i="6"/>
  <c r="G1012" i="5"/>
  <c r="G185" i="5"/>
  <c r="J842" i="5"/>
  <c r="K171" i="6"/>
  <c r="J378" i="6"/>
  <c r="J490" i="5"/>
  <c r="J298" i="6"/>
  <c r="G743" i="6"/>
  <c r="K571" i="6"/>
  <c r="K555" i="5"/>
  <c r="K471" i="5"/>
  <c r="K900" i="5"/>
  <c r="K785" i="5"/>
  <c r="K613" i="6"/>
  <c r="K184" i="5"/>
  <c r="J491" i="5"/>
  <c r="K36" i="5"/>
  <c r="J980" i="5"/>
  <c r="G303" i="6"/>
  <c r="K784" i="6"/>
  <c r="G235" i="5"/>
  <c r="J24" i="6"/>
  <c r="G162" i="6"/>
  <c r="K766" i="6"/>
  <c r="J1017" i="5"/>
  <c r="G911" i="5"/>
  <c r="K1040" i="5"/>
  <c r="K658" i="5"/>
  <c r="J1050" i="5"/>
  <c r="G165" i="5"/>
  <c r="J546" i="6"/>
  <c r="G726" i="5"/>
  <c r="J1019" i="5"/>
  <c r="G794" i="5"/>
  <c r="K392" i="5"/>
  <c r="J625" i="6"/>
  <c r="K314" i="6"/>
  <c r="K87" i="5"/>
  <c r="K692" i="6"/>
  <c r="K494" i="6"/>
  <c r="G42" i="6"/>
  <c r="K52" i="5"/>
  <c r="K757" i="6"/>
  <c r="K324" i="5"/>
  <c r="G390" i="6"/>
  <c r="K967" i="5"/>
  <c r="J173" i="6"/>
  <c r="G415" i="6"/>
  <c r="G575" i="6"/>
  <c r="K911" i="5"/>
  <c r="J286" i="6"/>
  <c r="G169" i="5"/>
  <c r="J614" i="6"/>
  <c r="G179" i="5"/>
  <c r="J588" i="6"/>
  <c r="J571" i="5"/>
  <c r="J779" i="6"/>
  <c r="J470" i="5"/>
  <c r="G866" i="5"/>
  <c r="K494" i="5"/>
  <c r="G676" i="5"/>
  <c r="K574" i="5"/>
  <c r="K424" i="5"/>
  <c r="K587" i="5"/>
  <c r="J968" i="5"/>
  <c r="K835" i="5"/>
  <c r="K768" i="5"/>
  <c r="K632" i="5"/>
  <c r="K553" i="5"/>
  <c r="J927" i="5"/>
  <c r="K507" i="6"/>
  <c r="J441" i="5"/>
  <c r="G363" i="6"/>
  <c r="G548" i="6"/>
  <c r="J593" i="5"/>
  <c r="J1002" i="5"/>
  <c r="K145" i="5"/>
  <c r="J94" i="5"/>
  <c r="G80" i="6"/>
  <c r="K291" i="5"/>
  <c r="J455" i="5"/>
  <c r="J404" i="6"/>
  <c r="K203" i="5"/>
  <c r="G575" i="5"/>
  <c r="G129" i="5"/>
  <c r="J83" i="5"/>
  <c r="K779" i="6"/>
  <c r="K572" i="5"/>
  <c r="G230" i="5"/>
  <c r="K259" i="6"/>
  <c r="J536" i="6"/>
  <c r="K261" i="6"/>
  <c r="J641" i="5"/>
  <c r="K1035" i="5"/>
  <c r="G770" i="6"/>
  <c r="J440" i="5"/>
  <c r="G93" i="6"/>
  <c r="J318" i="5"/>
  <c r="G639" i="5"/>
  <c r="J283" i="5"/>
  <c r="K1068" i="5"/>
  <c r="G745" i="5"/>
  <c r="K121" i="5"/>
  <c r="G1047" i="5"/>
  <c r="J1018" i="5"/>
  <c r="K509" i="6"/>
  <c r="K1032" i="5"/>
  <c r="G196" i="6"/>
  <c r="J434" i="5"/>
  <c r="K394" i="6"/>
  <c r="J168" i="6"/>
  <c r="K877" i="5"/>
  <c r="K437" i="5"/>
  <c r="J158" i="6"/>
  <c r="G225" i="6"/>
  <c r="K521" i="5"/>
  <c r="G420" i="6"/>
  <c r="G353" i="6"/>
  <c r="G201" i="5"/>
  <c r="K484" i="6"/>
  <c r="J251" i="6"/>
  <c r="K489" i="5"/>
  <c r="J383" i="5"/>
  <c r="J584" i="6"/>
  <c r="K733" i="5"/>
  <c r="G678" i="5"/>
  <c r="J457" i="5"/>
  <c r="K337" i="6"/>
  <c r="K108" i="6"/>
  <c r="J321" i="5"/>
  <c r="G997" i="5"/>
  <c r="G402" i="6"/>
  <c r="K285" i="5"/>
  <c r="K98" i="5"/>
  <c r="K641" i="5"/>
  <c r="J233" i="5"/>
  <c r="G26" i="5"/>
  <c r="J820" i="6"/>
  <c r="J666" i="6"/>
  <c r="K367" i="5"/>
  <c r="K349" i="5"/>
  <c r="G763" i="5"/>
  <c r="K305" i="5"/>
  <c r="G712" i="5"/>
  <c r="G236" i="5"/>
  <c r="K1016" i="5"/>
  <c r="K594" i="5"/>
  <c r="J107" i="6"/>
  <c r="J640" i="5"/>
  <c r="J777" i="5"/>
  <c r="K812" i="5"/>
  <c r="G333" i="5"/>
  <c r="J762" i="5"/>
  <c r="K421" i="5"/>
  <c r="G572" i="5"/>
  <c r="J718" i="6"/>
  <c r="J659" i="5"/>
  <c r="G508" i="6"/>
  <c r="G443" i="6"/>
  <c r="J303" i="5"/>
  <c r="G708" i="6"/>
  <c r="J929" i="5"/>
  <c r="J43" i="5"/>
  <c r="J268" i="5"/>
  <c r="K984" i="5"/>
  <c r="J298" i="5"/>
  <c r="G660" i="5"/>
  <c r="J1067" i="5"/>
  <c r="K587" i="6"/>
  <c r="K454" i="5"/>
  <c r="J507" i="6"/>
  <c r="K390" i="5"/>
  <c r="K477" i="5"/>
  <c r="G830" i="5"/>
  <c r="G78" i="6"/>
  <c r="K809" i="6"/>
  <c r="G441" i="6"/>
  <c r="K807" i="6"/>
  <c r="G131" i="5"/>
  <c r="J164" i="5"/>
  <c r="G183" i="6"/>
  <c r="K628" i="6"/>
  <c r="J966" i="5"/>
  <c r="K797" i="6"/>
  <c r="J328" i="6"/>
  <c r="J431" i="6"/>
  <c r="G62" i="5"/>
  <c r="K451" i="5"/>
  <c r="K216" i="5"/>
  <c r="K352" i="5"/>
  <c r="J608" i="5"/>
  <c r="G652" i="6"/>
  <c r="K25" i="5"/>
  <c r="J159" i="6"/>
  <c r="J393" i="6"/>
  <c r="G149" i="5"/>
  <c r="K135" i="5"/>
  <c r="G319" i="5"/>
  <c r="J451" i="5"/>
  <c r="K769" i="6"/>
  <c r="G742" i="5"/>
  <c r="G327" i="6"/>
  <c r="K222" i="6"/>
  <c r="J233" i="6"/>
  <c r="K368" i="6"/>
  <c r="K67" i="6"/>
  <c r="K608" i="5"/>
  <c r="K52" i="6"/>
  <c r="J828" i="5"/>
  <c r="G364" i="6"/>
  <c r="G702" i="6"/>
  <c r="K613" i="5"/>
  <c r="G44" i="5"/>
  <c r="J119" i="6"/>
  <c r="K781" i="5"/>
  <c r="K955" i="5"/>
  <c r="K250" i="5"/>
  <c r="G519" i="5"/>
  <c r="G417" i="5"/>
  <c r="J878" i="5"/>
  <c r="G507" i="6"/>
  <c r="K237" i="5"/>
  <c r="G727" i="6"/>
  <c r="J913" i="5"/>
  <c r="G1013" i="5"/>
  <c r="K254" i="5"/>
  <c r="J81" i="6"/>
  <c r="J562" i="6"/>
  <c r="J524" i="6"/>
  <c r="K54" i="6"/>
  <c r="K749" i="5"/>
  <c r="G480" i="6"/>
  <c r="K522" i="6"/>
  <c r="G370" i="5"/>
  <c r="G808" i="6"/>
  <c r="K502" i="5"/>
  <c r="G689" i="6"/>
  <c r="J591" i="5"/>
  <c r="K762" i="5"/>
  <c r="G81" i="6"/>
  <c r="J627" i="6"/>
  <c r="K69" i="5"/>
  <c r="G482" i="6"/>
  <c r="J1051" i="5"/>
  <c r="G571" i="6"/>
  <c r="K589" i="6"/>
  <c r="J864" i="5"/>
  <c r="K657" i="5"/>
  <c r="G823" i="6"/>
  <c r="K303" i="6"/>
  <c r="J144" i="6"/>
  <c r="K661" i="5"/>
  <c r="K364" i="6"/>
  <c r="G979" i="5"/>
  <c r="J364" i="6"/>
  <c r="G795" i="5"/>
  <c r="K791" i="5"/>
  <c r="K66" i="6"/>
  <c r="G661" i="5"/>
  <c r="K664" i="5"/>
  <c r="K612" i="6"/>
  <c r="G83" i="5"/>
  <c r="G283" i="5"/>
  <c r="G238" i="6"/>
  <c r="G523" i="6"/>
  <c r="G194" i="6"/>
  <c r="K322" i="5"/>
  <c r="G778" i="5"/>
  <c r="J601" i="6"/>
  <c r="K654" i="6"/>
  <c r="K1072" i="5"/>
  <c r="K63" i="5"/>
  <c r="G983" i="5"/>
  <c r="K221" i="6"/>
  <c r="J406" i="5"/>
  <c r="G162" i="5"/>
  <c r="K199" i="5"/>
  <c r="K985" i="5"/>
  <c r="K797" i="5"/>
  <c r="K485" i="5"/>
  <c r="J402" i="6"/>
  <c r="K80" i="6"/>
  <c r="G641" i="5"/>
  <c r="J254" i="5"/>
  <c r="K1067" i="5"/>
  <c r="G506" i="6"/>
  <c r="G628" i="5"/>
  <c r="K853" i="5"/>
  <c r="G264" i="5"/>
  <c r="K290" i="6"/>
  <c r="J406" i="6"/>
  <c r="G352" i="6"/>
  <c r="J353" i="6"/>
  <c r="K573" i="5"/>
  <c r="K561" i="6"/>
  <c r="J649" i="6"/>
  <c r="K713" i="5"/>
  <c r="K217" i="5"/>
  <c r="J640" i="6"/>
  <c r="J947" i="5"/>
  <c r="J129" i="6"/>
  <c r="K264" i="5"/>
  <c r="K869" i="5"/>
  <c r="J690" i="6"/>
  <c r="K622" i="5"/>
  <c r="G144" i="6"/>
  <c r="G468" i="5"/>
  <c r="K826" i="5"/>
  <c r="J660" i="5"/>
  <c r="G456" i="5"/>
  <c r="K410" i="5"/>
  <c r="G714" i="6"/>
  <c r="K718" i="6"/>
  <c r="G654" i="6"/>
  <c r="K878" i="5"/>
  <c r="J642" i="5"/>
  <c r="K520" i="6"/>
  <c r="K623" i="5"/>
  <c r="K630" i="5"/>
  <c r="G455" i="6"/>
  <c r="K626" i="6"/>
  <c r="G423" i="5"/>
  <c r="G404" i="6"/>
  <c r="G355" i="6"/>
  <c r="K353" i="5"/>
  <c r="K198" i="5"/>
  <c r="K155" i="6"/>
  <c r="G773" i="6"/>
  <c r="K932" i="5"/>
  <c r="K407" i="5"/>
  <c r="G175" i="6"/>
  <c r="K818" i="5"/>
  <c r="K937" i="5"/>
  <c r="K273" i="6"/>
  <c r="K604" i="5"/>
  <c r="K488" i="5"/>
  <c r="K458" i="5"/>
  <c r="K715" i="6"/>
  <c r="G806" i="6"/>
  <c r="K172" i="5"/>
  <c r="J521" i="6"/>
  <c r="J354" i="6"/>
  <c r="J315" i="6"/>
  <c r="K99" i="5"/>
  <c r="J151" i="5"/>
  <c r="K710" i="5"/>
  <c r="K545" i="6"/>
  <c r="G66" i="5"/>
  <c r="K742" i="6"/>
  <c r="G490" i="5"/>
  <c r="G978" i="5"/>
  <c r="K1070" i="5"/>
  <c r="G259" i="6"/>
  <c r="J92" i="6"/>
  <c r="J661" i="5"/>
  <c r="K41" i="6"/>
  <c r="K1074" i="5"/>
  <c r="K898" i="5"/>
  <c r="K353" i="6"/>
  <c r="K503" i="5"/>
  <c r="K179" i="5"/>
  <c r="K964" i="5"/>
  <c r="G452" i="5"/>
  <c r="G218" i="5"/>
  <c r="J195" i="6"/>
  <c r="G771" i="6"/>
  <c r="K779" i="5"/>
  <c r="G353" i="5"/>
  <c r="G379" i="6"/>
  <c r="J472" i="5"/>
  <c r="G94" i="6"/>
  <c r="K834" i="5"/>
  <c r="K750" i="5"/>
  <c r="G262" i="6"/>
  <c r="K106" i="6"/>
  <c r="J246" i="6"/>
  <c r="K130" i="6"/>
  <c r="K978" i="5"/>
  <c r="K859" i="5"/>
  <c r="G643" i="5"/>
  <c r="K246" i="6"/>
  <c r="J862" i="5"/>
  <c r="K745" i="6"/>
  <c r="K472" i="5"/>
  <c r="K456" i="5"/>
  <c r="K220" i="5"/>
  <c r="G695" i="5"/>
  <c r="J114" i="5"/>
  <c r="G707" i="5"/>
  <c r="J455" i="6"/>
  <c r="G79" i="6"/>
  <c r="K782" i="6"/>
  <c r="K709" i="5"/>
  <c r="G558" i="6"/>
  <c r="K339" i="6"/>
  <c r="G338" i="5"/>
  <c r="K282" i="5"/>
  <c r="J405" i="6"/>
  <c r="K354" i="5"/>
  <c r="K416" i="6"/>
  <c r="J831" i="5"/>
  <c r="J97" i="5"/>
  <c r="K81" i="6"/>
  <c r="J678" i="6"/>
  <c r="G729" i="6"/>
  <c r="K570" i="5"/>
  <c r="J234" i="5"/>
  <c r="G454" i="5"/>
  <c r="K885" i="5"/>
  <c r="K513" i="5"/>
  <c r="G762" i="5"/>
  <c r="J471" i="6"/>
  <c r="J304" i="5"/>
  <c r="G1048" i="5"/>
  <c r="K307" i="5"/>
  <c r="K921" i="5"/>
  <c r="K798" i="5"/>
  <c r="J485" i="6"/>
  <c r="J253" i="5"/>
  <c r="J313" i="6"/>
  <c r="G1050" i="5"/>
  <c r="G1051" i="5"/>
  <c r="K927" i="5"/>
  <c r="G249" i="5"/>
  <c r="G509" i="6"/>
  <c r="K825" i="5"/>
  <c r="G625" i="6"/>
  <c r="K83" i="5"/>
  <c r="G492" i="5"/>
  <c r="G520" i="6"/>
  <c r="K793" i="6"/>
  <c r="K621" i="5"/>
  <c r="J237" i="6"/>
  <c r="J197" i="6"/>
  <c r="K819" i="6"/>
  <c r="K289" i="6"/>
  <c r="G60" i="5"/>
  <c r="K678" i="5"/>
  <c r="G221" i="6"/>
  <c r="K84" i="5"/>
  <c r="J181" i="6"/>
  <c r="G142" i="6"/>
  <c r="K938" i="5"/>
  <c r="K53" i="5"/>
  <c r="K338" i="6"/>
  <c r="K717" i="6"/>
  <c r="G202" i="5"/>
  <c r="J157" i="6"/>
  <c r="G80" i="5"/>
  <c r="K107" i="6"/>
  <c r="J727" i="6"/>
  <c r="J472" i="6"/>
  <c r="G521" i="6"/>
  <c r="K241" i="5"/>
  <c r="G592" i="5"/>
  <c r="G859" i="5"/>
  <c r="G912" i="5"/>
  <c r="G555" i="5"/>
  <c r="G832" i="5"/>
  <c r="K423" i="5"/>
  <c r="J420" i="6"/>
  <c r="G214" i="5"/>
  <c r="J663" i="6"/>
  <c r="K627" i="5"/>
  <c r="G113" i="5"/>
  <c r="K614" i="5"/>
  <c r="G546" i="6"/>
  <c r="K201" i="5"/>
  <c r="J675" i="5"/>
  <c r="K638" i="5"/>
  <c r="J557" i="5"/>
  <c r="G390" i="5"/>
  <c r="G298" i="5"/>
  <c r="K47" i="5"/>
  <c r="J576" i="6"/>
  <c r="J571" i="6"/>
  <c r="J145" i="5"/>
  <c r="J658" i="5"/>
  <c r="K711" i="5"/>
  <c r="J637" i="6"/>
  <c r="K315" i="5"/>
  <c r="K258" i="5"/>
  <c r="G404" i="5"/>
  <c r="K235" i="6"/>
  <c r="K457" i="5"/>
  <c r="G164" i="5"/>
  <c r="K180" i="5"/>
  <c r="K150" i="5"/>
  <c r="J220" i="6"/>
  <c r="J780" i="5"/>
  <c r="G779" i="6"/>
  <c r="J165" i="5"/>
  <c r="G458" i="6"/>
  <c r="G640" i="5"/>
  <c r="G288" i="6"/>
  <c r="K530" i="5"/>
  <c r="G77" i="5"/>
  <c r="G637" i="6"/>
  <c r="G120" i="6"/>
  <c r="G934" i="5"/>
  <c r="K318" i="5"/>
  <c r="K523" i="6"/>
  <c r="K822" i="6"/>
  <c r="K851" i="5"/>
  <c r="G368" i="5"/>
  <c r="J963" i="5"/>
  <c r="K998" i="5"/>
  <c r="K588" i="6"/>
  <c r="K846" i="5"/>
  <c r="K524" i="5"/>
  <c r="K326" i="5"/>
  <c r="K134" i="5"/>
  <c r="K545" i="5"/>
  <c r="J38" i="6"/>
  <c r="G100" i="5"/>
  <c r="K247" i="6"/>
  <c r="J474" i="5"/>
  <c r="J80" i="6"/>
  <c r="K1023" i="5"/>
  <c r="K359" i="5"/>
  <c r="K691" i="6"/>
  <c r="K403" i="6"/>
  <c r="J147" i="5"/>
  <c r="K133" i="6"/>
  <c r="J186" i="6"/>
  <c r="K809" i="5"/>
  <c r="G65" i="5"/>
  <c r="K133" i="5"/>
  <c r="J484" i="6"/>
  <c r="G25" i="6"/>
  <c r="G207" i="6"/>
  <c r="K966" i="5"/>
  <c r="G679" i="5"/>
  <c r="K815" i="5"/>
  <c r="G99" i="5"/>
  <c r="K169" i="5"/>
  <c r="J284" i="5"/>
  <c r="K558" i="5"/>
  <c r="J716" i="6"/>
  <c r="G612" i="6"/>
  <c r="G290" i="6"/>
  <c r="G896" i="5"/>
  <c r="K237" i="6"/>
  <c r="G299" i="5"/>
  <c r="K435" i="5"/>
  <c r="G497" i="6"/>
  <c r="J376" i="6"/>
  <c r="G184" i="5"/>
  <c r="J740" i="6"/>
  <c r="J664" i="6"/>
  <c r="G148" i="5"/>
  <c r="G651" i="6"/>
  <c r="G662" i="5"/>
  <c r="K591" i="5"/>
  <c r="G40" i="6"/>
  <c r="G433" i="6"/>
  <c r="K936" i="5"/>
  <c r="K817" i="5"/>
  <c r="G759" i="5"/>
  <c r="G264" i="6"/>
  <c r="J535" i="6"/>
  <c r="G584" i="6"/>
  <c r="K1036" i="5"/>
  <c r="G721" i="6"/>
  <c r="J559" i="6"/>
  <c r="K473" i="5"/>
  <c r="K222" i="5"/>
  <c r="K930" i="5"/>
  <c r="K795" i="5"/>
  <c r="K968" i="5"/>
  <c r="K775" i="5"/>
  <c r="J103" i="6"/>
  <c r="J742" i="6"/>
  <c r="J67" i="6"/>
  <c r="J286" i="5"/>
  <c r="G831" i="5"/>
  <c r="G371" i="5"/>
  <c r="G705" i="6"/>
  <c r="G593" i="5"/>
  <c r="K774" i="5"/>
  <c r="K830" i="5"/>
  <c r="K808" i="6"/>
  <c r="J599" i="6"/>
  <c r="K160" i="6"/>
  <c r="G768" i="6"/>
  <c r="K498" i="6"/>
  <c r="K883" i="5"/>
  <c r="K920" i="5"/>
  <c r="J767" i="6"/>
  <c r="J623" i="6"/>
  <c r="G537" i="5"/>
  <c r="K690" i="5"/>
  <c r="K417" i="5"/>
  <c r="G754" i="6"/>
  <c r="G627" i="6"/>
  <c r="K836" i="5"/>
  <c r="G539" i="6"/>
  <c r="K378" i="6"/>
  <c r="J1053" i="5"/>
  <c r="J604" i="5"/>
  <c r="K199" i="6"/>
  <c r="J388" i="5"/>
  <c r="K712" i="5"/>
  <c r="K754" i="6"/>
  <c r="G350" i="5"/>
  <c r="J208" i="6"/>
  <c r="G326" i="6"/>
  <c r="G498" i="6"/>
  <c r="K32" i="5"/>
  <c r="K1031" i="5"/>
  <c r="K497" i="6"/>
  <c r="K298" i="6"/>
  <c r="J563" i="6"/>
  <c r="K68" i="6"/>
  <c r="G285" i="6"/>
  <c r="G597" i="6"/>
  <c r="K263" i="6"/>
  <c r="K268" i="5"/>
  <c r="K528" i="5"/>
  <c r="J212" i="6"/>
  <c r="G876" i="5"/>
  <c r="G381" i="6"/>
  <c r="K576" i="5"/>
  <c r="G998" i="5"/>
  <c r="J693" i="6"/>
  <c r="K756" i="6"/>
  <c r="J78" i="6"/>
  <c r="K899" i="5"/>
  <c r="K605" i="5"/>
  <c r="J223" i="6"/>
  <c r="K723" i="5"/>
  <c r="K79" i="5"/>
  <c r="J285" i="6"/>
  <c r="J146" i="5"/>
  <c r="J706" i="6"/>
  <c r="K55" i="6"/>
  <c r="J575" i="5"/>
  <c r="K260" i="6"/>
  <c r="K317" i="5"/>
  <c r="K156" i="5"/>
  <c r="J732" i="6"/>
  <c r="G64" i="5"/>
  <c r="K402" i="6"/>
  <c r="J768" i="6"/>
  <c r="G675" i="5"/>
  <c r="K28" i="5"/>
  <c r="G730" i="6"/>
  <c r="K190" i="5"/>
  <c r="K105" i="5"/>
  <c r="G1036" i="5"/>
  <c r="G594" i="5"/>
  <c r="J758" i="5"/>
  <c r="G304" i="5"/>
  <c r="G108" i="6"/>
  <c r="G271" i="5"/>
  <c r="G810" i="6"/>
  <c r="G677" i="5"/>
  <c r="K113" i="5"/>
  <c r="J558" i="5"/>
  <c r="J269" i="5"/>
  <c r="G586" i="6"/>
  <c r="J606" i="5"/>
  <c r="J147" i="6"/>
  <c r="K404" i="6"/>
  <c r="K627" i="6"/>
  <c r="G526" i="6"/>
  <c r="K269" i="5"/>
  <c r="J533" i="6"/>
  <c r="J962" i="5"/>
  <c r="K122" i="5"/>
  <c r="G781" i="5"/>
  <c r="G235" i="6"/>
  <c r="K86" i="5"/>
  <c r="K648" i="5"/>
  <c r="G147" i="5"/>
  <c r="J703" i="6"/>
  <c r="J826" i="5"/>
  <c r="K389" i="5"/>
  <c r="G351" i="5"/>
  <c r="K376" i="5"/>
  <c r="J794" i="6"/>
  <c r="J456" i="5"/>
  <c r="K705" i="6"/>
  <c r="K469" i="6"/>
  <c r="G273" i="6"/>
  <c r="K470" i="5"/>
  <c r="J555" i="5"/>
  <c r="G219" i="5"/>
  <c r="J216" i="5"/>
  <c r="G682" i="6"/>
  <c r="K238" i="6"/>
  <c r="K1017" i="5"/>
  <c r="K130" i="5"/>
  <c r="J40" i="6"/>
  <c r="K847" i="5"/>
  <c r="K138" i="5"/>
  <c r="K714" i="6"/>
  <c r="K351" i="5"/>
  <c r="K482" i="6"/>
  <c r="G481" i="6"/>
  <c r="G131" i="6"/>
  <c r="K265" i="5"/>
  <c r="J763" i="5"/>
  <c r="J182" i="5"/>
  <c r="J457" i="6"/>
  <c r="J342" i="6"/>
  <c r="J184" i="5"/>
  <c r="J392" i="6"/>
  <c r="G181" i="6"/>
  <c r="J692" i="6"/>
  <c r="G519" i="6"/>
  <c r="K236" i="5"/>
  <c r="G747" i="6"/>
  <c r="J334" i="5"/>
  <c r="J305" i="5"/>
  <c r="G279" i="6"/>
  <c r="G995" i="5"/>
  <c r="K996" i="5"/>
  <c r="G780" i="5"/>
  <c r="G43" i="5"/>
  <c r="G604" i="6"/>
  <c r="K94" i="6"/>
  <c r="K562" i="6"/>
  <c r="J572" i="5"/>
  <c r="G881" i="5"/>
  <c r="G405" i="6"/>
  <c r="J714" i="6"/>
  <c r="J299" i="5"/>
  <c r="K777" i="5"/>
  <c r="G914" i="5"/>
  <c r="K675" i="5"/>
  <c r="K575" i="5"/>
  <c r="K832" i="5"/>
  <c r="K910" i="5"/>
  <c r="J701" i="6"/>
  <c r="G812" i="5"/>
  <c r="J819" i="6"/>
  <c r="G792" i="6"/>
  <c r="J928" i="5"/>
  <c r="K405" i="6"/>
  <c r="K624" i="5"/>
  <c r="K679" i="5"/>
  <c r="K224" i="6"/>
  <c r="K794" i="5"/>
  <c r="K49" i="5"/>
  <c r="G471" i="6"/>
  <c r="K233" i="5"/>
  <c r="G223" i="6"/>
  <c r="G520" i="5"/>
  <c r="J132" i="6"/>
  <c r="J288" i="6"/>
  <c r="G200" i="5"/>
  <c r="K744" i="6"/>
  <c r="G600" i="6"/>
  <c r="K50" i="5"/>
  <c r="K813" i="5"/>
  <c r="K758" i="6"/>
  <c r="K919" i="5"/>
  <c r="G688" i="6"/>
  <c r="K452" i="5"/>
  <c r="G511" i="6"/>
  <c r="J350" i="6"/>
  <c r="G742" i="6"/>
  <c r="J881" i="5"/>
  <c r="K506" i="6"/>
  <c r="G419" i="5"/>
  <c r="K761" i="5"/>
  <c r="K115" i="5"/>
  <c r="G947" i="5"/>
  <c r="G198" i="5"/>
  <c r="K460" i="5"/>
  <c r="G251" i="6"/>
  <c r="K1063" i="5"/>
  <c r="J764" i="5"/>
  <c r="K845" i="5"/>
  <c r="G741" i="6"/>
  <c r="J485" i="5"/>
  <c r="K146" i="5"/>
  <c r="J132" i="5"/>
  <c r="K212" i="6"/>
  <c r="G865" i="5"/>
  <c r="G622" i="5"/>
  <c r="G485" i="6"/>
  <c r="J744" i="6"/>
  <c r="K287" i="6"/>
  <c r="G199" i="5"/>
  <c r="G673" i="5"/>
  <c r="G615" i="6"/>
  <c r="G760" i="5"/>
  <c r="G329" i="6"/>
  <c r="J265" i="5"/>
  <c r="K564" i="5"/>
  <c r="K1066" i="5"/>
  <c r="K547" i="6"/>
  <c r="G311" i="6"/>
  <c r="G322" i="5"/>
  <c r="G717" i="6"/>
  <c r="K96" i="5"/>
  <c r="J508" i="6"/>
  <c r="K196" i="6"/>
  <c r="J556" i="5"/>
  <c r="G454" i="6"/>
  <c r="J66" i="6"/>
  <c r="G657" i="5"/>
  <c r="J405" i="5"/>
  <c r="K169" i="6"/>
  <c r="J41" i="6"/>
  <c r="K389" i="6"/>
  <c r="G897" i="5"/>
  <c r="K538" i="5"/>
  <c r="J394" i="6"/>
  <c r="G506" i="5"/>
  <c r="G146" i="6"/>
  <c r="J509" i="6"/>
  <c r="G638" i="5"/>
  <c r="K205" i="5"/>
  <c r="K663" i="6"/>
  <c r="K546" i="5"/>
  <c r="G298" i="6"/>
  <c r="G777" i="5"/>
  <c r="K211" i="6"/>
  <c r="K415" i="6"/>
  <c r="G157" i="6"/>
  <c r="G277" i="6"/>
  <c r="K810" i="5"/>
  <c r="G796" i="5"/>
  <c r="J532" i="6"/>
  <c r="G422" i="6"/>
  <c r="J589" i="6"/>
  <c r="G260" i="6"/>
  <c r="G181" i="5"/>
  <c r="J778" i="5"/>
  <c r="G246" i="6"/>
  <c r="G203" i="5"/>
  <c r="J574" i="5"/>
  <c r="K614" i="6"/>
  <c r="K196" i="5"/>
  <c r="J237" i="5"/>
  <c r="G1033" i="5"/>
  <c r="G234" i="5"/>
  <c r="G210" i="6"/>
  <c r="G471" i="5"/>
  <c r="K377" i="5"/>
  <c r="G457" i="6"/>
  <c r="K248" i="6"/>
  <c r="K309" i="5"/>
  <c r="G29" i="5"/>
  <c r="K131" i="5"/>
  <c r="J391" i="6"/>
  <c r="K728" i="5"/>
  <c r="J689" i="6"/>
  <c r="G487" i="6"/>
  <c r="G503" i="5"/>
  <c r="K757" i="5"/>
  <c r="K156" i="6"/>
  <c r="K664" i="6"/>
  <c r="G27" i="5"/>
  <c r="K673" i="5"/>
  <c r="K983" i="5"/>
  <c r="J1000" i="5"/>
  <c r="K609" i="5"/>
  <c r="K740" i="5"/>
  <c r="J523" i="6"/>
  <c r="K1013" i="5"/>
  <c r="G669" i="6"/>
  <c r="J678" i="5"/>
  <c r="K377" i="6"/>
  <c r="J84" i="5"/>
  <c r="K251" i="6"/>
  <c r="K468" i="6"/>
  <c r="G536" i="5"/>
  <c r="K299" i="6"/>
  <c r="K650" i="6"/>
  <c r="K702" i="6"/>
  <c r="G783" i="6"/>
  <c r="G525" i="5"/>
  <c r="K523" i="5"/>
  <c r="K987" i="5"/>
  <c r="K1052" i="5"/>
  <c r="J276" i="6"/>
  <c r="K298" i="5"/>
  <c r="G384" i="5"/>
  <c r="K433" i="6"/>
  <c r="J674" i="5"/>
  <c r="K214" i="5"/>
  <c r="K655" i="5"/>
  <c r="K560" i="6"/>
  <c r="K120" i="5"/>
  <c r="G133" i="5"/>
  <c r="K103" i="6"/>
  <c r="K755" i="6"/>
  <c r="K509" i="5"/>
  <c r="G451" i="5"/>
  <c r="K406" i="6"/>
  <c r="J108" i="6"/>
  <c r="K101" i="5"/>
  <c r="J65" i="6"/>
  <c r="J784" i="6"/>
  <c r="K770" i="6"/>
  <c r="K417" i="6"/>
  <c r="J825" i="5"/>
  <c r="G1015" i="5"/>
  <c r="J168" i="5"/>
  <c r="J261" i="6"/>
  <c r="J950" i="5"/>
  <c r="G97" i="5"/>
  <c r="K989" i="5"/>
  <c r="G409" i="6"/>
  <c r="K436" i="5"/>
  <c r="K486" i="5"/>
  <c r="K864" i="5"/>
  <c r="J741" i="6"/>
  <c r="J588" i="5"/>
  <c r="G114" i="5"/>
  <c r="K554" i="5"/>
  <c r="G719" i="6"/>
  <c r="J28" i="6"/>
  <c r="K929" i="5"/>
  <c r="K132" i="6"/>
  <c r="G171" i="6"/>
  <c r="K213" i="5"/>
  <c r="J493" i="6"/>
  <c r="G97" i="6"/>
  <c r="G984" i="5"/>
  <c r="K445" i="6"/>
  <c r="K827" i="5"/>
  <c r="J354" i="5"/>
  <c r="K751" i="5"/>
  <c r="J441" i="6"/>
  <c r="K849" i="5"/>
  <c r="J333" i="5"/>
  <c r="K666" i="6"/>
  <c r="J468" i="5"/>
  <c r="G488" i="5"/>
  <c r="J651" i="6"/>
  <c r="K995" i="5"/>
  <c r="G1002" i="5"/>
  <c r="J350" i="5"/>
  <c r="G368" i="6"/>
  <c r="K325" i="5"/>
  <c r="K659" i="5"/>
  <c r="G617" i="6"/>
  <c r="G66" i="6"/>
  <c r="K56" i="6"/>
  <c r="G743" i="5"/>
  <c r="K301" i="6"/>
  <c r="K574" i="6"/>
  <c r="K606" i="5"/>
  <c r="J585" i="6"/>
  <c r="K743" i="5"/>
  <c r="J677" i="5"/>
  <c r="K92" i="6"/>
  <c r="K510" i="6"/>
  <c r="J576" i="5"/>
  <c r="J439" i="5"/>
  <c r="J250" i="5"/>
  <c r="G118" i="5"/>
  <c r="K43" i="6"/>
  <c r="K80" i="5"/>
  <c r="G828" i="5"/>
  <c r="G149" i="6"/>
  <c r="K104" i="6"/>
  <c r="G985" i="5"/>
  <c r="K915" i="5"/>
  <c r="K778" i="5"/>
  <c r="K147" i="6"/>
  <c r="G405" i="5"/>
  <c r="G134" i="5"/>
  <c r="K823" i="6"/>
  <c r="K66" i="5"/>
  <c r="J638" i="6"/>
  <c r="J846" i="5"/>
  <c r="K741" i="5"/>
  <c r="K422" i="5"/>
  <c r="G270" i="5"/>
  <c r="K434" i="5"/>
  <c r="J519" i="6"/>
  <c r="J652" i="6"/>
  <c r="K732" i="6"/>
  <c r="G980" i="5"/>
  <c r="G537" i="6"/>
  <c r="G389" i="6"/>
  <c r="K355" i="5"/>
  <c r="K759" i="5"/>
  <c r="J180" i="5"/>
  <c r="K683" i="5"/>
  <c r="G90" i="6"/>
  <c r="K743" i="6"/>
  <c r="K970" i="5"/>
  <c r="K730" i="6"/>
  <c r="K971" i="5"/>
  <c r="K70" i="5"/>
  <c r="J311" i="6"/>
  <c r="K118" i="6"/>
  <c r="J120" i="6"/>
  <c r="J183" i="6"/>
  <c r="K209" i="6"/>
  <c r="K496" i="5"/>
  <c r="G437" i="5"/>
  <c r="J403" i="6"/>
  <c r="K916" i="5"/>
  <c r="J355" i="6"/>
  <c r="K532" i="6"/>
  <c r="G609" i="5"/>
  <c r="J169" i="5"/>
  <c r="J163" i="5"/>
  <c r="K143" i="6"/>
  <c r="J430" i="6"/>
  <c r="K202" i="5"/>
  <c r="K385" i="5"/>
  <c r="J277" i="6"/>
  <c r="G784" i="6"/>
  <c r="K660" i="5"/>
  <c r="K843" i="5"/>
  <c r="J650" i="6"/>
  <c r="G505" i="5"/>
  <c r="G543" i="5"/>
  <c r="K747" i="5"/>
  <c r="K393" i="5"/>
  <c r="K1055" i="5"/>
  <c r="J105" i="6"/>
  <c r="J104" i="6"/>
  <c r="G92" i="6"/>
  <c r="K158" i="6"/>
  <c r="G589" i="5"/>
  <c r="K470" i="6"/>
  <c r="K369" i="5"/>
  <c r="K44" i="5"/>
  <c r="G558" i="5"/>
  <c r="K645" i="5"/>
  <c r="K865" i="5"/>
  <c r="G491" i="5"/>
  <c r="J45" i="5"/>
  <c r="K866" i="5"/>
  <c r="K458" i="6"/>
  <c r="G317" i="5"/>
  <c r="K539" i="5"/>
  <c r="K120" i="6"/>
  <c r="K249" i="5"/>
  <c r="G510" i="6"/>
  <c r="K577" i="5"/>
  <c r="K370" i="5"/>
  <c r="K1034" i="5"/>
  <c r="G186" i="6"/>
  <c r="K283" i="5"/>
  <c r="J550" i="6"/>
  <c r="K1051" i="5"/>
  <c r="K168" i="6"/>
  <c r="J249" i="6"/>
  <c r="G810" i="5"/>
  <c r="G786" i="6"/>
  <c r="K533" i="6"/>
  <c r="K186" i="6"/>
  <c r="K145" i="6"/>
  <c r="K152" i="5"/>
  <c r="K653" i="6"/>
  <c r="K999" i="5"/>
  <c r="G591" i="6"/>
  <c r="K35" i="5"/>
  <c r="K273" i="5"/>
  <c r="G276" i="6"/>
  <c r="G224" i="6"/>
  <c r="G793" i="5"/>
  <c r="G611" i="5"/>
  <c r="K443" i="5"/>
  <c r="K301" i="5"/>
  <c r="J224" i="6"/>
  <c r="G948" i="5"/>
  <c r="K326" i="6"/>
  <c r="G732" i="6"/>
  <c r="K695" i="5"/>
  <c r="K432" i="6"/>
  <c r="K526" i="5"/>
  <c r="J403" i="5"/>
  <c r="J210" i="6"/>
  <c r="G391" i="6"/>
  <c r="K626" i="5"/>
  <c r="G473" i="5"/>
  <c r="J481" i="6"/>
  <c r="J300" i="5"/>
  <c r="J156" i="6"/>
  <c r="J553" i="5"/>
  <c r="G56" i="6"/>
  <c r="J303" i="6"/>
  <c r="G45" i="5"/>
  <c r="J558" i="6"/>
  <c r="K480" i="6"/>
  <c r="G690" i="5"/>
  <c r="G67" i="5"/>
  <c r="K45" i="5"/>
  <c r="K149" i="5"/>
  <c r="K231" i="5"/>
  <c r="J263" i="6"/>
  <c r="K327" i="6"/>
  <c r="K342" i="5"/>
  <c r="J995" i="5"/>
  <c r="K1033" i="5"/>
  <c r="G1069" i="5"/>
  <c r="J55" i="6"/>
  <c r="G563" i="6"/>
  <c r="K1030" i="5"/>
  <c r="J999" i="5"/>
  <c r="G112" i="5"/>
  <c r="K402" i="5"/>
  <c r="K444" i="5"/>
  <c r="K162" i="5"/>
  <c r="K132" i="5"/>
  <c r="K441" i="5"/>
  <c r="G135" i="5"/>
  <c r="G767" i="6"/>
  <c r="K116" i="5"/>
  <c r="K168" i="5"/>
  <c r="G28" i="5"/>
  <c r="G761" i="5"/>
  <c r="G809" i="5"/>
  <c r="J337" i="5"/>
  <c r="G1017" i="5"/>
  <c r="G674" i="5"/>
  <c r="J287" i="6"/>
  <c r="G565" i="6"/>
  <c r="K274" i="5"/>
  <c r="J655" i="5"/>
  <c r="G234" i="6"/>
  <c r="J365" i="6"/>
  <c r="J662" i="5"/>
  <c r="G366" i="6"/>
  <c r="J142" i="6"/>
  <c r="K690" i="6"/>
  <c r="G693" i="6"/>
  <c r="K91" i="6"/>
  <c r="G650" i="6"/>
  <c r="J1013" i="5"/>
  <c r="G383" i="6"/>
  <c r="G41" i="6"/>
  <c r="G930" i="5"/>
  <c r="G701" i="6"/>
  <c r="K796" i="6"/>
  <c r="K82" i="5"/>
  <c r="G91" i="6"/>
  <c r="K806" i="6"/>
  <c r="K1073" i="5"/>
  <c r="G314" i="6"/>
  <c r="J705" i="6"/>
  <c r="G950" i="5"/>
  <c r="K896" i="5"/>
  <c r="K740" i="6"/>
  <c r="K31" i="5"/>
  <c r="K474" i="5"/>
  <c r="J91" i="6"/>
  <c r="G1001" i="5"/>
  <c r="K505" i="5"/>
  <c r="K365" i="6"/>
  <c r="K188" i="5"/>
  <c r="I91" i="6" l="1"/>
  <c r="F91" i="6" s="1"/>
  <c r="K12" i="5"/>
  <c r="K748" i="6"/>
  <c r="K746" i="6"/>
  <c r="I705" i="6"/>
  <c r="F705" i="6" s="1"/>
  <c r="G707" i="6"/>
  <c r="G709" i="6"/>
  <c r="F383" i="6"/>
  <c r="I142" i="6"/>
  <c r="F142" i="6" s="1"/>
  <c r="J150" i="6"/>
  <c r="J148" i="6"/>
  <c r="I365" i="6"/>
  <c r="F365" i="6" s="1"/>
  <c r="J663" i="5"/>
  <c r="F565" i="6"/>
  <c r="I287" i="6"/>
  <c r="F287" i="6" s="1"/>
  <c r="G9" i="5"/>
  <c r="K170" i="5"/>
  <c r="K174" i="5" s="1"/>
  <c r="I55" i="6"/>
  <c r="F55" i="6" s="1"/>
  <c r="J1003" i="5"/>
  <c r="I263" i="6"/>
  <c r="F263" i="6" s="1"/>
  <c r="K488" i="6"/>
  <c r="K486" i="6"/>
  <c r="I558" i="6"/>
  <c r="F558" i="6" s="1"/>
  <c r="J566" i="6"/>
  <c r="J564" i="6"/>
  <c r="I303" i="6"/>
  <c r="F303" i="6" s="1"/>
  <c r="J561" i="5"/>
  <c r="I156" i="6"/>
  <c r="F156" i="6" s="1"/>
  <c r="I481" i="6"/>
  <c r="F481" i="6" s="1"/>
  <c r="I210" i="6"/>
  <c r="F210" i="6" s="1"/>
  <c r="I224" i="6"/>
  <c r="F224" i="6" s="1"/>
  <c r="K16" i="5"/>
  <c r="I16" i="5" s="1"/>
  <c r="F16" i="5" s="1"/>
  <c r="F591" i="6"/>
  <c r="F786" i="6"/>
  <c r="I249" i="6"/>
  <c r="F249" i="6" s="1"/>
  <c r="K176" i="6"/>
  <c r="K174" i="6"/>
  <c r="I550" i="6"/>
  <c r="F550" i="6" s="1"/>
  <c r="J8" i="5"/>
  <c r="I104" i="6"/>
  <c r="F104" i="6" s="1"/>
  <c r="I105" i="6"/>
  <c r="F105" i="6" s="1"/>
  <c r="I650" i="6"/>
  <c r="F650" i="6" s="1"/>
  <c r="I277" i="6"/>
  <c r="F277" i="6" s="1"/>
  <c r="I430" i="6"/>
  <c r="F430" i="6" s="1"/>
  <c r="K540" i="6"/>
  <c r="K538" i="6"/>
  <c r="I355" i="6"/>
  <c r="F355" i="6" s="1"/>
  <c r="I403" i="6"/>
  <c r="F403" i="6" s="1"/>
  <c r="I183" i="6"/>
  <c r="F183" i="6" s="1"/>
  <c r="I120" i="6"/>
  <c r="F120" i="6" s="1"/>
  <c r="J317" i="6"/>
  <c r="J319" i="6"/>
  <c r="I311" i="6"/>
  <c r="F311" i="6" s="1"/>
  <c r="G98" i="6"/>
  <c r="G96" i="6"/>
  <c r="G397" i="6"/>
  <c r="G395" i="6"/>
  <c r="I652" i="6"/>
  <c r="F652" i="6" s="1"/>
  <c r="I519" i="6"/>
  <c r="F519" i="6" s="1"/>
  <c r="J525" i="6"/>
  <c r="J527" i="6"/>
  <c r="K442" i="5"/>
  <c r="K446" i="5" s="1"/>
  <c r="I638" i="6"/>
  <c r="F638" i="6" s="1"/>
  <c r="F149" i="6"/>
  <c r="I585" i="6"/>
  <c r="F585" i="6" s="1"/>
  <c r="F617" i="6"/>
  <c r="K1003" i="5"/>
  <c r="K1007" i="5" s="1"/>
  <c r="I651" i="6"/>
  <c r="F651" i="6" s="1"/>
  <c r="J476" i="5"/>
  <c r="J447" i="6"/>
  <c r="I441" i="6"/>
  <c r="F441" i="6" s="1"/>
  <c r="J449" i="6"/>
  <c r="F97" i="6"/>
  <c r="I493" i="6"/>
  <c r="F493" i="6" s="1"/>
  <c r="J499" i="6"/>
  <c r="J501" i="6"/>
  <c r="K221" i="5"/>
  <c r="K225" i="5" s="1"/>
  <c r="J10" i="6"/>
  <c r="I28" i="6"/>
  <c r="F28" i="6" s="1"/>
  <c r="I741" i="6"/>
  <c r="F741" i="6" s="1"/>
  <c r="F409" i="6"/>
  <c r="I261" i="6"/>
  <c r="F261" i="6" s="1"/>
  <c r="J833" i="5"/>
  <c r="I784" i="6"/>
  <c r="F784" i="6" s="1"/>
  <c r="I65" i="6"/>
  <c r="F65" i="6" s="1"/>
  <c r="I108" i="6"/>
  <c r="F108" i="6" s="1"/>
  <c r="G459" i="5"/>
  <c r="K111" i="6"/>
  <c r="K109" i="6"/>
  <c r="K663" i="5"/>
  <c r="K667" i="5" s="1"/>
  <c r="K306" i="5"/>
  <c r="K310" i="5" s="1"/>
  <c r="I276" i="6"/>
  <c r="F276" i="6" s="1"/>
  <c r="G544" i="5"/>
  <c r="F669" i="6"/>
  <c r="I523" i="6"/>
  <c r="F523" i="6" s="1"/>
  <c r="K748" i="5"/>
  <c r="G8" i="5"/>
  <c r="K765" i="5"/>
  <c r="K769" i="5" s="1"/>
  <c r="F487" i="6"/>
  <c r="I689" i="6"/>
  <c r="F689" i="6" s="1"/>
  <c r="I391" i="6"/>
  <c r="F391" i="6" s="1"/>
  <c r="G10" i="5"/>
  <c r="K204" i="5"/>
  <c r="G252" i="6"/>
  <c r="G254" i="6"/>
  <c r="I589" i="6"/>
  <c r="F589" i="6" s="1"/>
  <c r="F422" i="6"/>
  <c r="I532" i="6"/>
  <c r="F532" i="6" s="1"/>
  <c r="J538" i="6"/>
  <c r="J540" i="6"/>
  <c r="I540" i="6" s="1"/>
  <c r="K423" i="6"/>
  <c r="K421" i="6"/>
  <c r="G304" i="6"/>
  <c r="G306" i="6"/>
  <c r="G646" i="5"/>
  <c r="I509" i="6"/>
  <c r="F509" i="6" s="1"/>
  <c r="I394" i="6"/>
  <c r="F394" i="6" s="1"/>
  <c r="K395" i="6"/>
  <c r="K397" i="6"/>
  <c r="I41" i="6"/>
  <c r="F41" i="6" s="1"/>
  <c r="I66" i="6"/>
  <c r="F66" i="6" s="1"/>
  <c r="G460" i="6"/>
  <c r="G462" i="6"/>
  <c r="I508" i="6"/>
  <c r="F508" i="6" s="1"/>
  <c r="G319" i="6"/>
  <c r="G317" i="6"/>
  <c r="I744" i="6"/>
  <c r="F744" i="6" s="1"/>
  <c r="J493" i="5"/>
  <c r="K1071" i="5"/>
  <c r="K1075" i="5" s="1"/>
  <c r="K512" i="6"/>
  <c r="K514" i="6"/>
  <c r="J356" i="6"/>
  <c r="I350" i="6"/>
  <c r="F350" i="6" s="1"/>
  <c r="J358" i="6"/>
  <c r="G694" i="6"/>
  <c r="G696" i="6"/>
  <c r="I288" i="6"/>
  <c r="F288" i="6" s="1"/>
  <c r="I132" i="6"/>
  <c r="F132" i="6" s="1"/>
  <c r="G800" i="6"/>
  <c r="G798" i="6"/>
  <c r="I819" i="6"/>
  <c r="F819" i="6" s="1"/>
  <c r="J709" i="6"/>
  <c r="I701" i="6"/>
  <c r="F701" i="6" s="1"/>
  <c r="J707" i="6"/>
  <c r="K918" i="5"/>
  <c r="K922" i="5" s="1"/>
  <c r="J722" i="6"/>
  <c r="I714" i="6"/>
  <c r="F714" i="6" s="1"/>
  <c r="J720" i="6"/>
  <c r="F604" i="6"/>
  <c r="G51" i="5"/>
  <c r="G1003" i="5"/>
  <c r="F279" i="6"/>
  <c r="F747" i="6"/>
  <c r="G525" i="6"/>
  <c r="G527" i="6"/>
  <c r="I692" i="6"/>
  <c r="F692" i="6" s="1"/>
  <c r="G189" i="6"/>
  <c r="G187" i="6"/>
  <c r="I392" i="6"/>
  <c r="F392" i="6" s="1"/>
  <c r="I342" i="6"/>
  <c r="F342" i="6" s="1"/>
  <c r="I457" i="6"/>
  <c r="F457" i="6" s="1"/>
  <c r="K720" i="6"/>
  <c r="K722" i="6"/>
  <c r="I40" i="6"/>
  <c r="F40" i="6" s="1"/>
  <c r="F682" i="6"/>
  <c r="I794" i="6"/>
  <c r="F794" i="6" s="1"/>
  <c r="I703" i="6"/>
  <c r="F703" i="6" s="1"/>
  <c r="I533" i="6"/>
  <c r="F533" i="6" s="1"/>
  <c r="F526" i="6"/>
  <c r="I147" i="6"/>
  <c r="F147" i="6" s="1"/>
  <c r="K9" i="5"/>
  <c r="I768" i="6"/>
  <c r="F768" i="6" s="1"/>
  <c r="K408" i="6"/>
  <c r="K410" i="6"/>
  <c r="I732" i="6"/>
  <c r="F732" i="6" s="1"/>
  <c r="I706" i="6"/>
  <c r="F706" i="6" s="1"/>
  <c r="J293" i="6"/>
  <c r="I285" i="6"/>
  <c r="F285" i="6" s="1"/>
  <c r="J291" i="6"/>
  <c r="K731" i="5"/>
  <c r="I223" i="6"/>
  <c r="F223" i="6" s="1"/>
  <c r="I78" i="6"/>
  <c r="F78" i="6" s="1"/>
  <c r="I693" i="6"/>
  <c r="F693" i="6" s="1"/>
  <c r="G884" i="5"/>
  <c r="I212" i="6"/>
  <c r="F212" i="6" s="1"/>
  <c r="G605" i="6"/>
  <c r="G603" i="6"/>
  <c r="G291" i="6"/>
  <c r="G293" i="6"/>
  <c r="I563" i="6"/>
  <c r="F563" i="6" s="1"/>
  <c r="K304" i="6"/>
  <c r="K306" i="6"/>
  <c r="K13" i="5"/>
  <c r="I208" i="6"/>
  <c r="F208" i="6" s="1"/>
  <c r="J612" i="5"/>
  <c r="F539" i="6"/>
  <c r="K425" i="5"/>
  <c r="J631" i="6"/>
  <c r="J629" i="6"/>
  <c r="I623" i="6"/>
  <c r="F623" i="6" s="1"/>
  <c r="I767" i="6"/>
  <c r="F767" i="6" s="1"/>
  <c r="I599" i="6"/>
  <c r="F599" i="6" s="1"/>
  <c r="K782" i="5"/>
  <c r="K786" i="5" s="1"/>
  <c r="I67" i="6"/>
  <c r="F67" i="6" s="1"/>
  <c r="I742" i="6"/>
  <c r="F742" i="6" s="1"/>
  <c r="J109" i="6"/>
  <c r="I103" i="6"/>
  <c r="F103" i="6" s="1"/>
  <c r="J111" i="6"/>
  <c r="I559" i="6"/>
  <c r="F559" i="6" s="1"/>
  <c r="F721" i="6"/>
  <c r="G590" i="6"/>
  <c r="G592" i="6"/>
  <c r="I535" i="6"/>
  <c r="F535" i="6" s="1"/>
  <c r="I664" i="6"/>
  <c r="F664" i="6" s="1"/>
  <c r="I740" i="6"/>
  <c r="F740" i="6" s="1"/>
  <c r="J748" i="6"/>
  <c r="I748" i="6" s="1"/>
  <c r="J746" i="6"/>
  <c r="I376" i="6"/>
  <c r="F376" i="6" s="1"/>
  <c r="J384" i="6"/>
  <c r="J382" i="6"/>
  <c r="I716" i="6"/>
  <c r="F716" i="6" s="1"/>
  <c r="G215" i="6"/>
  <c r="G213" i="6"/>
  <c r="G7" i="6"/>
  <c r="I484" i="6"/>
  <c r="F484" i="6" s="1"/>
  <c r="I186" i="6"/>
  <c r="F186" i="6" s="1"/>
  <c r="I80" i="6"/>
  <c r="F80" i="6" s="1"/>
  <c r="J46" i="6"/>
  <c r="I38" i="6"/>
  <c r="F38" i="6" s="1"/>
  <c r="J44" i="6"/>
  <c r="G85" i="5"/>
  <c r="G89" i="5" s="1"/>
  <c r="G787" i="6"/>
  <c r="G785" i="6"/>
  <c r="J228" i="6"/>
  <c r="I220" i="6"/>
  <c r="F220" i="6" s="1"/>
  <c r="J226" i="6"/>
  <c r="K323" i="5"/>
  <c r="K327" i="5" s="1"/>
  <c r="I637" i="6"/>
  <c r="F637" i="6" s="1"/>
  <c r="J153" i="5"/>
  <c r="J579" i="6"/>
  <c r="J577" i="6"/>
  <c r="I571" i="6"/>
  <c r="F571" i="6" s="1"/>
  <c r="I576" i="6"/>
  <c r="F576" i="6" s="1"/>
  <c r="G306" i="5"/>
  <c r="K646" i="5"/>
  <c r="K650" i="5" s="1"/>
  <c r="I663" i="6"/>
  <c r="F663" i="6" s="1"/>
  <c r="I420" i="6"/>
  <c r="F420" i="6" s="1"/>
  <c r="G867" i="5"/>
  <c r="I472" i="6"/>
  <c r="F472" i="6" s="1"/>
  <c r="J733" i="6"/>
  <c r="I727" i="6"/>
  <c r="F727" i="6" s="1"/>
  <c r="J735" i="6"/>
  <c r="I157" i="6"/>
  <c r="F157" i="6" s="1"/>
  <c r="G150" i="6"/>
  <c r="G148" i="6"/>
  <c r="I181" i="6"/>
  <c r="F181" i="6" s="1"/>
  <c r="J187" i="6"/>
  <c r="J189" i="6"/>
  <c r="G68" i="5"/>
  <c r="I197" i="6"/>
  <c r="F197" i="6" s="1"/>
  <c r="I237" i="6"/>
  <c r="F237" i="6" s="1"/>
  <c r="K629" i="5"/>
  <c r="K833" i="5"/>
  <c r="K837" i="5" s="1"/>
  <c r="K935" i="5"/>
  <c r="K939" i="5" s="1"/>
  <c r="I313" i="6"/>
  <c r="F313" i="6" s="1"/>
  <c r="I485" i="6"/>
  <c r="F485" i="6" s="1"/>
  <c r="I471" i="6"/>
  <c r="F471" i="6" s="1"/>
  <c r="K578" i="5"/>
  <c r="K582" i="5" s="1"/>
  <c r="I678" i="6"/>
  <c r="F678" i="6" s="1"/>
  <c r="I405" i="6"/>
  <c r="F405" i="6" s="1"/>
  <c r="G566" i="6"/>
  <c r="G564" i="6"/>
  <c r="I455" i="6"/>
  <c r="F455" i="6" s="1"/>
  <c r="K252" i="6"/>
  <c r="K254" i="6"/>
  <c r="K867" i="5"/>
  <c r="K871" i="5" s="1"/>
  <c r="K986" i="5"/>
  <c r="K990" i="5" s="1"/>
  <c r="J252" i="6"/>
  <c r="J254" i="6"/>
  <c r="I246" i="6"/>
  <c r="F246" i="6" s="1"/>
  <c r="I195" i="6"/>
  <c r="F195" i="6" s="1"/>
  <c r="K187" i="5"/>
  <c r="K191" i="5" s="1"/>
  <c r="I92" i="6"/>
  <c r="F92" i="6" s="1"/>
  <c r="G265" i="6"/>
  <c r="G267" i="6"/>
  <c r="G986" i="5"/>
  <c r="K551" i="6"/>
  <c r="K553" i="6"/>
  <c r="I315" i="6"/>
  <c r="F315" i="6" s="1"/>
  <c r="I354" i="6"/>
  <c r="F354" i="6" s="1"/>
  <c r="I521" i="6"/>
  <c r="F521" i="6" s="1"/>
  <c r="K612" i="5"/>
  <c r="K616" i="5" s="1"/>
  <c r="F175" i="6"/>
  <c r="F773" i="6"/>
  <c r="K161" i="6"/>
  <c r="K163" i="6"/>
  <c r="G720" i="6"/>
  <c r="G722" i="6"/>
  <c r="G476" i="5"/>
  <c r="G480" i="5" s="1"/>
  <c r="I690" i="6"/>
  <c r="F690" i="6" s="1"/>
  <c r="K272" i="5"/>
  <c r="K276" i="5" s="1"/>
  <c r="J135" i="6"/>
  <c r="J137" i="6"/>
  <c r="I129" i="6"/>
  <c r="F129" i="6" s="1"/>
  <c r="I640" i="6"/>
  <c r="F640" i="6" s="1"/>
  <c r="J655" i="6"/>
  <c r="I649" i="6"/>
  <c r="F649" i="6" s="1"/>
  <c r="J657" i="6"/>
  <c r="I353" i="6"/>
  <c r="F353" i="6" s="1"/>
  <c r="I406" i="6"/>
  <c r="F406" i="6" s="1"/>
  <c r="G272" i="5"/>
  <c r="G512" i="6"/>
  <c r="G514" i="6"/>
  <c r="I402" i="6"/>
  <c r="F402" i="6" s="1"/>
  <c r="J410" i="6"/>
  <c r="J408" i="6"/>
  <c r="K493" i="5"/>
  <c r="K497" i="5" s="1"/>
  <c r="G170" i="5"/>
  <c r="I601" i="6"/>
  <c r="F601" i="6" s="1"/>
  <c r="G202" i="6"/>
  <c r="G200" i="6"/>
  <c r="K799" i="5"/>
  <c r="I364" i="6"/>
  <c r="F364" i="6" s="1"/>
  <c r="I144" i="6"/>
  <c r="F144" i="6" s="1"/>
  <c r="G579" i="6"/>
  <c r="G577" i="6"/>
  <c r="I627" i="6"/>
  <c r="F627" i="6" s="1"/>
  <c r="K510" i="5"/>
  <c r="G486" i="6"/>
  <c r="G488" i="6"/>
  <c r="I524" i="6"/>
  <c r="F524" i="6" s="1"/>
  <c r="I562" i="6"/>
  <c r="F562" i="6" s="1"/>
  <c r="I81" i="6"/>
  <c r="F81" i="6" s="1"/>
  <c r="G733" i="6"/>
  <c r="G735" i="6"/>
  <c r="G425" i="5"/>
  <c r="G527" i="5"/>
  <c r="I119" i="6"/>
  <c r="F119" i="6" s="1"/>
  <c r="J239" i="6"/>
  <c r="J241" i="6"/>
  <c r="I233" i="6"/>
  <c r="F233" i="6" s="1"/>
  <c r="J459" i="5"/>
  <c r="I393" i="6"/>
  <c r="F393" i="6" s="1"/>
  <c r="I159" i="6"/>
  <c r="F159" i="6" s="1"/>
  <c r="K6" i="5"/>
  <c r="K33" i="5"/>
  <c r="K459" i="5"/>
  <c r="K463" i="5" s="1"/>
  <c r="I431" i="6"/>
  <c r="F431" i="6" s="1"/>
  <c r="I328" i="6"/>
  <c r="F328" i="6" s="1"/>
  <c r="G447" i="6"/>
  <c r="G449" i="6"/>
  <c r="I507" i="6"/>
  <c r="F507" i="6" s="1"/>
  <c r="J306" i="5"/>
  <c r="J6" i="5"/>
  <c r="J51" i="5"/>
  <c r="F708" i="6"/>
  <c r="I718" i="6"/>
  <c r="F718" i="6" s="1"/>
  <c r="I107" i="6"/>
  <c r="F107" i="6" s="1"/>
  <c r="K357" i="5"/>
  <c r="K361" i="5" s="1"/>
  <c r="I666" i="6"/>
  <c r="F666" i="6" s="1"/>
  <c r="I820" i="6"/>
  <c r="F820" i="6" s="1"/>
  <c r="G7" i="5"/>
  <c r="G410" i="6"/>
  <c r="G408" i="6"/>
  <c r="K345" i="6"/>
  <c r="K343" i="6"/>
  <c r="J592" i="6"/>
  <c r="I584" i="6"/>
  <c r="F584" i="6" s="1"/>
  <c r="J590" i="6"/>
  <c r="J391" i="5"/>
  <c r="I251" i="6"/>
  <c r="F251" i="6" s="1"/>
  <c r="I158" i="6"/>
  <c r="F158" i="6" s="1"/>
  <c r="J174" i="6"/>
  <c r="I174" i="6" s="1"/>
  <c r="I168" i="6"/>
  <c r="F168" i="6" s="1"/>
  <c r="J176" i="6"/>
  <c r="J442" i="5"/>
  <c r="I536" i="6"/>
  <c r="F536" i="6" s="1"/>
  <c r="K265" i="6"/>
  <c r="K267" i="6"/>
  <c r="G238" i="5"/>
  <c r="G242" i="5" s="1"/>
  <c r="K787" i="6"/>
  <c r="K785" i="6"/>
  <c r="I404" i="6"/>
  <c r="F404" i="6" s="1"/>
  <c r="J102" i="5"/>
  <c r="K153" i="5"/>
  <c r="K157" i="5" s="1"/>
  <c r="G369" i="6"/>
  <c r="G371" i="6"/>
  <c r="J935" i="5"/>
  <c r="K561" i="5"/>
  <c r="K565" i="5" s="1"/>
  <c r="K595" i="5"/>
  <c r="K599" i="5" s="1"/>
  <c r="J785" i="6"/>
  <c r="I779" i="6"/>
  <c r="F779" i="6" s="1"/>
  <c r="J787" i="6"/>
  <c r="I787" i="6" s="1"/>
  <c r="I588" i="6"/>
  <c r="F588" i="6" s="1"/>
  <c r="G187" i="5"/>
  <c r="I614" i="6"/>
  <c r="F614" i="6" s="1"/>
  <c r="I286" i="6"/>
  <c r="F286" i="6" s="1"/>
  <c r="G421" i="6"/>
  <c r="G423" i="6"/>
  <c r="I173" i="6"/>
  <c r="F173" i="6" s="1"/>
  <c r="I625" i="6"/>
  <c r="F625" i="6" s="1"/>
  <c r="I546" i="6"/>
  <c r="F546" i="6" s="1"/>
  <c r="K774" i="6"/>
  <c r="K772" i="6"/>
  <c r="F162" i="6"/>
  <c r="J32" i="6"/>
  <c r="I24" i="6"/>
  <c r="F24" i="6" s="1"/>
  <c r="J6" i="6"/>
  <c r="J30" i="6"/>
  <c r="K579" i="6"/>
  <c r="K577" i="6"/>
  <c r="I298" i="6"/>
  <c r="F298" i="6" s="1"/>
  <c r="J304" i="6"/>
  <c r="I304" i="6" s="1"/>
  <c r="J306" i="6"/>
  <c r="I306" i="6" s="1"/>
  <c r="I378" i="6"/>
  <c r="F378" i="6" s="1"/>
  <c r="J850" i="5"/>
  <c r="G1020" i="5"/>
  <c r="K200" i="6"/>
  <c r="K202" i="6"/>
  <c r="G9" i="6"/>
  <c r="K10" i="6"/>
  <c r="G918" i="5"/>
  <c r="I250" i="6"/>
  <c r="F250" i="6" s="1"/>
  <c r="I729" i="6"/>
  <c r="F729" i="6" s="1"/>
  <c r="I339" i="6"/>
  <c r="F339" i="6" s="1"/>
  <c r="K150" i="6"/>
  <c r="K148" i="6"/>
  <c r="G356" i="6"/>
  <c r="G358" i="6"/>
  <c r="F253" i="6"/>
  <c r="I679" i="6"/>
  <c r="F679" i="6" s="1"/>
  <c r="J202" i="6"/>
  <c r="J200" i="6"/>
  <c r="I194" i="6"/>
  <c r="F194" i="6" s="1"/>
  <c r="F734" i="6"/>
  <c r="G46" i="6"/>
  <c r="G44" i="6"/>
  <c r="G772" i="6"/>
  <c r="G774" i="6"/>
  <c r="J553" i="6"/>
  <c r="J551" i="6"/>
  <c r="I545" i="6"/>
  <c r="F545" i="6" s="1"/>
  <c r="G748" i="5"/>
  <c r="I691" i="6"/>
  <c r="F691" i="6" s="1"/>
  <c r="G1037" i="5"/>
  <c r="G1041" i="5" s="1"/>
  <c r="J488" i="6"/>
  <c r="I488" i="6" s="1"/>
  <c r="I480" i="6"/>
  <c r="F480" i="6" s="1"/>
  <c r="J486" i="6"/>
  <c r="I486" i="6" s="1"/>
  <c r="I432" i="6"/>
  <c r="F432" i="6" s="1"/>
  <c r="I715" i="6"/>
  <c r="F715" i="6" s="1"/>
  <c r="I677" i="6"/>
  <c r="F677" i="6" s="1"/>
  <c r="K374" i="5"/>
  <c r="K378" i="5" s="1"/>
  <c r="K544" i="5"/>
  <c r="I443" i="6"/>
  <c r="F443" i="6" s="1"/>
  <c r="I676" i="6"/>
  <c r="F676" i="6" s="1"/>
  <c r="J340" i="5"/>
  <c r="I377" i="6"/>
  <c r="F377" i="6" s="1"/>
  <c r="I247" i="6"/>
  <c r="F247" i="6" s="1"/>
  <c r="K901" i="5"/>
  <c r="I53" i="6"/>
  <c r="F53" i="6" s="1"/>
  <c r="J952" i="5"/>
  <c r="I782" i="6"/>
  <c r="F782" i="6" s="1"/>
  <c r="I780" i="6"/>
  <c r="F780" i="6" s="1"/>
  <c r="I262" i="6"/>
  <c r="F262" i="6" s="1"/>
  <c r="I327" i="6"/>
  <c r="F327" i="6" s="1"/>
  <c r="K241" i="6"/>
  <c r="K239" i="6"/>
  <c r="I338" i="6"/>
  <c r="F338" i="6" s="1"/>
  <c r="I611" i="6"/>
  <c r="F611" i="6" s="1"/>
  <c r="F695" i="6"/>
  <c r="G102" i="5"/>
  <c r="I783" i="6"/>
  <c r="F783" i="6" s="1"/>
  <c r="K340" i="5"/>
  <c r="K344" i="5" s="1"/>
  <c r="G475" i="6"/>
  <c r="G473" i="6"/>
  <c r="J605" i="6"/>
  <c r="J603" i="6"/>
  <c r="I597" i="6"/>
  <c r="F597" i="6" s="1"/>
  <c r="I639" i="6"/>
  <c r="F639" i="6" s="1"/>
  <c r="J323" i="5"/>
  <c r="J1071" i="5"/>
  <c r="F461" i="6"/>
  <c r="G226" i="6"/>
  <c r="G228" i="6"/>
  <c r="K51" i="5"/>
  <c r="K55" i="5" s="1"/>
  <c r="I428" i="6"/>
  <c r="F428" i="6" s="1"/>
  <c r="J436" i="6"/>
  <c r="J434" i="6"/>
  <c r="I145" i="6"/>
  <c r="F145" i="6" s="1"/>
  <c r="G595" i="5"/>
  <c r="G765" i="5"/>
  <c r="G769" i="5" s="1"/>
  <c r="G657" i="6"/>
  <c r="G655" i="6"/>
  <c r="F110" i="6"/>
  <c r="F643" i="6"/>
  <c r="I494" i="6"/>
  <c r="F494" i="6" s="1"/>
  <c r="J986" i="5"/>
  <c r="I510" i="6"/>
  <c r="F510" i="6" s="1"/>
  <c r="G824" i="6"/>
  <c r="G826" i="6"/>
  <c r="I352" i="6"/>
  <c r="F352" i="6" s="1"/>
  <c r="J357" i="5"/>
  <c r="I222" i="6"/>
  <c r="F222" i="6" s="1"/>
  <c r="F552" i="6"/>
  <c r="G122" i="6"/>
  <c r="G124" i="6"/>
  <c r="K680" i="5"/>
  <c r="K684" i="5" s="1"/>
  <c r="J8" i="6"/>
  <c r="I26" i="6"/>
  <c r="F26" i="6" s="1"/>
  <c r="K85" i="5"/>
  <c r="K89" i="5" s="1"/>
  <c r="K850" i="5"/>
  <c r="K854" i="5" s="1"/>
  <c r="I211" i="6"/>
  <c r="F211" i="6" s="1"/>
  <c r="K629" i="6"/>
  <c r="K631" i="6"/>
  <c r="K476" i="5"/>
  <c r="K480" i="5" s="1"/>
  <c r="K952" i="5"/>
  <c r="K956" i="5" s="1"/>
  <c r="I326" i="6"/>
  <c r="F326" i="6" s="1"/>
  <c r="G901" i="5"/>
  <c r="G629" i="6"/>
  <c r="G631" i="6"/>
  <c r="K215" i="6"/>
  <c r="K213" i="6"/>
  <c r="F578" i="6"/>
  <c r="I93" i="6"/>
  <c r="F93" i="6" s="1"/>
  <c r="I818" i="6"/>
  <c r="F818" i="6" s="1"/>
  <c r="J824" i="6"/>
  <c r="J826" i="6"/>
  <c r="K884" i="5"/>
  <c r="K888" i="5" s="1"/>
  <c r="G644" i="6"/>
  <c r="G642" i="6"/>
  <c r="K436" i="6"/>
  <c r="K434" i="6"/>
  <c r="I390" i="6"/>
  <c r="F390" i="6" s="1"/>
  <c r="I314" i="6"/>
  <c r="F314" i="6" s="1"/>
  <c r="F825" i="6"/>
  <c r="G799" i="5"/>
  <c r="G1071" i="5"/>
  <c r="J272" i="5"/>
  <c r="K657" i="6"/>
  <c r="K655" i="6"/>
  <c r="I325" i="6"/>
  <c r="F325" i="6" s="1"/>
  <c r="J255" i="5"/>
  <c r="G323" i="5"/>
  <c r="G327" i="5" s="1"/>
  <c r="I482" i="6"/>
  <c r="F482" i="6" s="1"/>
  <c r="K317" i="6"/>
  <c r="K319" i="6"/>
  <c r="I312" i="6"/>
  <c r="F312" i="6" s="1"/>
  <c r="J475" i="6"/>
  <c r="I467" i="6"/>
  <c r="F467" i="6" s="1"/>
  <c r="J473" i="6"/>
  <c r="I757" i="6"/>
  <c r="F757" i="6" s="1"/>
  <c r="F201" i="6"/>
  <c r="I185" i="6"/>
  <c r="F185" i="6" s="1"/>
  <c r="G137" i="6"/>
  <c r="G135" i="6"/>
  <c r="G680" i="5"/>
  <c r="I171" i="6"/>
  <c r="F171" i="6" s="1"/>
  <c r="G153" i="5"/>
  <c r="G157" i="5" s="1"/>
  <c r="K462" i="6"/>
  <c r="K460" i="6"/>
  <c r="K1037" i="5"/>
  <c r="I134" i="6"/>
  <c r="F134" i="6" s="1"/>
  <c r="F435" i="6"/>
  <c r="J680" i="5"/>
  <c r="G612" i="5"/>
  <c r="I289" i="6"/>
  <c r="F289" i="6" s="1"/>
  <c r="J11" i="6"/>
  <c r="I29" i="6"/>
  <c r="F29" i="6" s="1"/>
  <c r="J618" i="6"/>
  <c r="I610" i="6"/>
  <c r="F610" i="6" s="1"/>
  <c r="J616" i="6"/>
  <c r="I612" i="6"/>
  <c r="F612" i="6" s="1"/>
  <c r="I290" i="6"/>
  <c r="F290" i="6" s="1"/>
  <c r="I771" i="6"/>
  <c r="F771" i="6" s="1"/>
  <c r="F136" i="6"/>
  <c r="I275" i="6"/>
  <c r="F275" i="6" s="1"/>
  <c r="I69" i="6"/>
  <c r="F69" i="6" s="1"/>
  <c r="K644" i="6"/>
  <c r="K642" i="6"/>
  <c r="F344" i="6"/>
  <c r="K7" i="6"/>
  <c r="G174" i="6"/>
  <c r="G176" i="6"/>
  <c r="K11" i="6"/>
  <c r="I626" i="6"/>
  <c r="F626" i="6" s="1"/>
  <c r="K449" i="6"/>
  <c r="K447" i="6"/>
  <c r="G6" i="6"/>
  <c r="G32" i="6"/>
  <c r="G30" i="6"/>
  <c r="G670" i="6"/>
  <c r="G668" i="6"/>
  <c r="I549" i="6"/>
  <c r="F549" i="6" s="1"/>
  <c r="G850" i="5"/>
  <c r="G854" i="5" s="1"/>
  <c r="K136" i="5"/>
  <c r="K140" i="5" s="1"/>
  <c r="K119" i="5"/>
  <c r="K123" i="5" s="1"/>
  <c r="F812" i="6"/>
  <c r="I199" i="6"/>
  <c r="F199" i="6" s="1"/>
  <c r="G551" i="6"/>
  <c r="G553" i="6"/>
  <c r="I458" i="6"/>
  <c r="F458" i="6" s="1"/>
  <c r="I299" i="6"/>
  <c r="F299" i="6" s="1"/>
  <c r="J374" i="5"/>
  <c r="I196" i="6"/>
  <c r="F196" i="6" s="1"/>
  <c r="K8" i="6"/>
  <c r="K358" i="6"/>
  <c r="K356" i="6"/>
  <c r="G501" i="6"/>
  <c r="G499" i="6"/>
  <c r="F630" i="6"/>
  <c r="K83" i="6"/>
  <c r="K85" i="6"/>
  <c r="I781" i="6"/>
  <c r="F781" i="6" s="1"/>
  <c r="J9" i="5"/>
  <c r="I561" i="6"/>
  <c r="F561" i="6" s="1"/>
  <c r="I822" i="6"/>
  <c r="F822" i="6" s="1"/>
  <c r="I444" i="6"/>
  <c r="F444" i="6" s="1"/>
  <c r="I497" i="6"/>
  <c r="F497" i="6" s="1"/>
  <c r="I730" i="6"/>
  <c r="F730" i="6" s="1"/>
  <c r="F318" i="6"/>
  <c r="I665" i="6"/>
  <c r="F665" i="6" s="1"/>
  <c r="I754" i="6"/>
  <c r="F754" i="6" s="1"/>
  <c r="F214" i="6"/>
  <c r="I548" i="6"/>
  <c r="F548" i="6" s="1"/>
  <c r="K735" i="6"/>
  <c r="K733" i="6"/>
  <c r="K9" i="6"/>
  <c r="G161" i="6"/>
  <c r="G163" i="6"/>
  <c r="I662" i="6"/>
  <c r="F662" i="6" s="1"/>
  <c r="J670" i="6"/>
  <c r="J668" i="6"/>
  <c r="I810" i="6"/>
  <c r="F810" i="6" s="1"/>
  <c r="J57" i="6"/>
  <c r="J59" i="6"/>
  <c r="I51" i="6"/>
  <c r="F51" i="6" s="1"/>
  <c r="J289" i="5"/>
  <c r="K238" i="5"/>
  <c r="K242" i="5" s="1"/>
  <c r="I653" i="6"/>
  <c r="F653" i="6" s="1"/>
  <c r="I116" i="6"/>
  <c r="F116" i="6" s="1"/>
  <c r="J124" i="6"/>
  <c r="J122" i="6"/>
  <c r="I758" i="6"/>
  <c r="F758" i="6" s="1"/>
  <c r="I728" i="6"/>
  <c r="F728" i="6" s="1"/>
  <c r="I823" i="6"/>
  <c r="F823" i="6" s="1"/>
  <c r="K32" i="6"/>
  <c r="K30" i="6"/>
  <c r="K6" i="6"/>
  <c r="J1054" i="5"/>
  <c r="F292" i="6"/>
  <c r="J96" i="6"/>
  <c r="I90" i="6"/>
  <c r="F90" i="6" s="1"/>
  <c r="J98" i="6"/>
  <c r="I381" i="6"/>
  <c r="F381" i="6" s="1"/>
  <c r="J187" i="5"/>
  <c r="I329" i="6"/>
  <c r="F329" i="6" s="1"/>
  <c r="I602" i="6"/>
  <c r="F602" i="6" s="1"/>
  <c r="K59" i="6"/>
  <c r="K57" i="6"/>
  <c r="I260" i="6"/>
  <c r="F260" i="6" s="1"/>
  <c r="G697" i="5"/>
  <c r="G701" i="5" s="1"/>
  <c r="K10" i="5"/>
  <c r="G278" i="6"/>
  <c r="G280" i="6"/>
  <c r="I417" i="6"/>
  <c r="F417" i="6" s="1"/>
  <c r="G345" i="6"/>
  <c r="G343" i="6"/>
  <c r="K11" i="5"/>
  <c r="I82" i="6"/>
  <c r="F82" i="6" s="1"/>
  <c r="I717" i="6"/>
  <c r="F717" i="6" s="1"/>
  <c r="I496" i="6"/>
  <c r="F496" i="6" s="1"/>
  <c r="G746" i="6"/>
  <c r="G748" i="6"/>
  <c r="G8" i="6"/>
  <c r="I600" i="6"/>
  <c r="F600" i="6" s="1"/>
  <c r="I654" i="6"/>
  <c r="F654" i="6" s="1"/>
  <c r="F227" i="6"/>
  <c r="I117" i="6"/>
  <c r="F117" i="6" s="1"/>
  <c r="K1054" i="5"/>
  <c r="K1058" i="5" s="1"/>
  <c r="K501" i="6"/>
  <c r="K499" i="6"/>
  <c r="I316" i="6"/>
  <c r="F316" i="6" s="1"/>
  <c r="G11" i="6"/>
  <c r="I221" i="6"/>
  <c r="F221" i="6" s="1"/>
  <c r="J11" i="5"/>
  <c r="K137" i="6"/>
  <c r="K135" i="6"/>
  <c r="I351" i="6"/>
  <c r="F351" i="6" s="1"/>
  <c r="I628" i="6"/>
  <c r="F628" i="6" s="1"/>
  <c r="J213" i="6"/>
  <c r="I213" i="6" s="1"/>
  <c r="I207" i="6"/>
  <c r="F207" i="6" s="1"/>
  <c r="J215" i="6"/>
  <c r="I215" i="6" s="1"/>
  <c r="I483" i="6"/>
  <c r="F483" i="6" s="1"/>
  <c r="K826" i="6"/>
  <c r="K824" i="6"/>
  <c r="J221" i="5"/>
  <c r="G811" i="6"/>
  <c r="G813" i="6"/>
  <c r="I573" i="6"/>
  <c r="F573" i="6" s="1"/>
  <c r="G10" i="6"/>
  <c r="I407" i="6"/>
  <c r="F407" i="6" s="1"/>
  <c r="G538" i="6"/>
  <c r="G540" i="6"/>
  <c r="J163" i="6"/>
  <c r="I163" i="6" s="1"/>
  <c r="I155" i="6"/>
  <c r="F155" i="6" s="1"/>
  <c r="J161" i="6"/>
  <c r="J811" i="6"/>
  <c r="I805" i="6"/>
  <c r="F805" i="6" s="1"/>
  <c r="J813" i="6"/>
  <c r="J369" i="6"/>
  <c r="I363" i="6"/>
  <c r="F363" i="6" s="1"/>
  <c r="J371" i="6"/>
  <c r="G13" i="5"/>
  <c r="G340" i="5"/>
  <c r="I236" i="6"/>
  <c r="F236" i="6" s="1"/>
  <c r="K70" i="6"/>
  <c r="K72" i="6"/>
  <c r="G241" i="6"/>
  <c r="G239" i="6"/>
  <c r="I184" i="6"/>
  <c r="F184" i="6" s="1"/>
  <c r="K98" i="6"/>
  <c r="K96" i="6"/>
  <c r="G119" i="5"/>
  <c r="G123" i="5" s="1"/>
  <c r="I366" i="6"/>
  <c r="F366" i="6" s="1"/>
  <c r="J408" i="5"/>
  <c r="J238" i="5"/>
  <c r="I300" i="6"/>
  <c r="F300" i="6" s="1"/>
  <c r="I169" i="6"/>
  <c r="F169" i="6" s="1"/>
  <c r="J782" i="5"/>
  <c r="I56" i="6"/>
  <c r="F56" i="6" s="1"/>
  <c r="F266" i="6"/>
  <c r="K670" i="6"/>
  <c r="K668" i="6"/>
  <c r="I52" i="6"/>
  <c r="F52" i="6" s="1"/>
  <c r="I340" i="6"/>
  <c r="F340" i="6" s="1"/>
  <c r="I743" i="6"/>
  <c r="F743" i="6" s="1"/>
  <c r="I415" i="6"/>
  <c r="F415" i="6" s="1"/>
  <c r="J423" i="6"/>
  <c r="I423" i="6" s="1"/>
  <c r="J421" i="6"/>
  <c r="G816" i="5"/>
  <c r="G820" i="5" s="1"/>
  <c r="J12" i="5"/>
  <c r="I495" i="6"/>
  <c r="F495" i="6" s="1"/>
  <c r="I106" i="6"/>
  <c r="F106" i="6" s="1"/>
  <c r="I172" i="6"/>
  <c r="F172" i="6" s="1"/>
  <c r="F305" i="6"/>
  <c r="G374" i="5"/>
  <c r="G408" i="5"/>
  <c r="J119" i="5"/>
  <c r="I770" i="6"/>
  <c r="F770" i="6" s="1"/>
  <c r="I131" i="6"/>
  <c r="F131" i="6" s="1"/>
  <c r="I613" i="6"/>
  <c r="F613" i="6" s="1"/>
  <c r="I429" i="6"/>
  <c r="F429" i="6" s="1"/>
  <c r="I456" i="6"/>
  <c r="F456" i="6" s="1"/>
  <c r="I234" i="6"/>
  <c r="F234" i="6" s="1"/>
  <c r="G510" i="5"/>
  <c r="G514" i="5" s="1"/>
  <c r="K759" i="6"/>
  <c r="K761" i="6"/>
  <c r="G436" i="6"/>
  <c r="G434" i="6"/>
  <c r="G761" i="6"/>
  <c r="G759" i="6"/>
  <c r="J7" i="6"/>
  <c r="I7" i="6" s="1"/>
  <c r="B42" i="37" s="1"/>
  <c r="D42" i="37" s="1"/>
  <c r="F42" i="37" s="1"/>
  <c r="I25" i="6"/>
  <c r="F25" i="6" s="1"/>
  <c r="I795" i="6"/>
  <c r="F795" i="6" s="1"/>
  <c r="G357" i="5"/>
  <c r="G361" i="5" s="1"/>
  <c r="I118" i="6"/>
  <c r="F118" i="6" s="1"/>
  <c r="I586" i="6"/>
  <c r="F586" i="6" s="1"/>
  <c r="F760" i="6"/>
  <c r="I248" i="6"/>
  <c r="F248" i="6" s="1"/>
  <c r="I198" i="6"/>
  <c r="F198" i="6" s="1"/>
  <c r="J136" i="5"/>
  <c r="I42" i="6"/>
  <c r="F42" i="6" s="1"/>
  <c r="I146" i="6"/>
  <c r="F146" i="6" s="1"/>
  <c r="J772" i="6"/>
  <c r="J774" i="6"/>
  <c r="I774" i="6" s="1"/>
  <c r="I766" i="6"/>
  <c r="F766" i="6" s="1"/>
  <c r="G12" i="5"/>
  <c r="G952" i="5"/>
  <c r="F58" i="6"/>
  <c r="G663" i="5"/>
  <c r="K255" i="5"/>
  <c r="K259" i="5" s="1"/>
  <c r="I731" i="6"/>
  <c r="F731" i="6" s="1"/>
  <c r="I68" i="6"/>
  <c r="F68" i="6" s="1"/>
  <c r="F45" i="6"/>
  <c r="F474" i="6"/>
  <c r="I418" i="6"/>
  <c r="F418" i="6" s="1"/>
  <c r="I680" i="6"/>
  <c r="F680" i="6" s="1"/>
  <c r="I572" i="6"/>
  <c r="F572" i="6" s="1"/>
  <c r="G109" i="6"/>
  <c r="G111" i="6"/>
  <c r="G969" i="5"/>
  <c r="G973" i="5" s="1"/>
  <c r="K527" i="5"/>
  <c r="I301" i="6"/>
  <c r="F301" i="6" s="1"/>
  <c r="J265" i="6"/>
  <c r="J267" i="6"/>
  <c r="I259" i="6"/>
  <c r="F259" i="6" s="1"/>
  <c r="J514" i="6"/>
  <c r="I514" i="6" s="1"/>
  <c r="J512" i="6"/>
  <c r="I506" i="6"/>
  <c r="F506" i="6" s="1"/>
  <c r="K707" i="6"/>
  <c r="K709" i="6"/>
  <c r="I797" i="6"/>
  <c r="F797" i="6" s="1"/>
  <c r="K226" i="6"/>
  <c r="K228" i="6"/>
  <c r="F31" i="6"/>
  <c r="G13" i="6"/>
  <c r="F13" i="6" s="1"/>
  <c r="K473" i="6"/>
  <c r="K475" i="6"/>
  <c r="I796" i="6"/>
  <c r="F796" i="6" s="1"/>
  <c r="I560" i="6"/>
  <c r="F560" i="6" s="1"/>
  <c r="F240" i="6"/>
  <c r="K68" i="5"/>
  <c r="I702" i="6"/>
  <c r="F702" i="6" s="1"/>
  <c r="I433" i="6"/>
  <c r="F433" i="6" s="1"/>
  <c r="I809" i="6"/>
  <c r="F809" i="6" s="1"/>
  <c r="G33" i="5"/>
  <c r="G6" i="5"/>
  <c r="I367" i="6"/>
  <c r="F367" i="6" s="1"/>
  <c r="J85" i="6"/>
  <c r="I77" i="6"/>
  <c r="F77" i="6" s="1"/>
  <c r="J83" i="6"/>
  <c r="K681" i="6"/>
  <c r="K683" i="6"/>
  <c r="J761" i="6"/>
  <c r="J759" i="6"/>
  <c r="I753" i="6"/>
  <c r="F753" i="6" s="1"/>
  <c r="F84" i="6"/>
  <c r="I79" i="6"/>
  <c r="F79" i="6" s="1"/>
  <c r="G683" i="6"/>
  <c r="G681" i="6"/>
  <c r="I806" i="6"/>
  <c r="F806" i="6" s="1"/>
  <c r="J646" i="5"/>
  <c r="I769" i="6"/>
  <c r="F769" i="6" s="1"/>
  <c r="I341" i="6"/>
  <c r="F341" i="6" s="1"/>
  <c r="J798" i="6"/>
  <c r="I792" i="6"/>
  <c r="F792" i="6" s="1"/>
  <c r="J800" i="6"/>
  <c r="G136" i="5"/>
  <c r="I547" i="6"/>
  <c r="F547" i="6" s="1"/>
  <c r="I624" i="6"/>
  <c r="F624" i="6" s="1"/>
  <c r="I389" i="6"/>
  <c r="F389" i="6" s="1"/>
  <c r="J395" i="6"/>
  <c r="I395" i="6" s="1"/>
  <c r="J397" i="6"/>
  <c r="K330" i="6"/>
  <c r="K332" i="6"/>
  <c r="K714" i="5"/>
  <c r="K382" i="6"/>
  <c r="K384" i="6"/>
  <c r="I384" i="6" s="1"/>
  <c r="G332" i="6"/>
  <c r="G330" i="6"/>
  <c r="F513" i="6"/>
  <c r="G255" i="5"/>
  <c r="K1020" i="5"/>
  <c r="K1024" i="5" s="1"/>
  <c r="K289" i="5"/>
  <c r="K293" i="5" s="1"/>
  <c r="F656" i="6"/>
  <c r="F331" i="6"/>
  <c r="I302" i="6"/>
  <c r="F302" i="6" s="1"/>
  <c r="F396" i="6"/>
  <c r="I442" i="6"/>
  <c r="F442" i="6" s="1"/>
  <c r="G442" i="5"/>
  <c r="G446" i="5" s="1"/>
  <c r="I182" i="6"/>
  <c r="F182" i="6" s="1"/>
  <c r="K813" i="6"/>
  <c r="K811" i="6"/>
  <c r="J595" i="5"/>
  <c r="I575" i="6"/>
  <c r="F575" i="6" s="1"/>
  <c r="I641" i="6"/>
  <c r="F641" i="6" s="1"/>
  <c r="I368" i="6"/>
  <c r="F368" i="6" s="1"/>
  <c r="J72" i="6"/>
  <c r="I64" i="6"/>
  <c r="F64" i="6" s="1"/>
  <c r="J70" i="6"/>
  <c r="I94" i="6"/>
  <c r="F94" i="6" s="1"/>
  <c r="K800" i="6"/>
  <c r="K798" i="6"/>
  <c r="J85" i="5"/>
  <c r="I756" i="6"/>
  <c r="F756" i="6" s="1"/>
  <c r="I43" i="6"/>
  <c r="F43" i="6" s="1"/>
  <c r="I264" i="6"/>
  <c r="F264" i="6" s="1"/>
  <c r="G57" i="6"/>
  <c r="G59" i="6"/>
  <c r="I379" i="6"/>
  <c r="F379" i="6" s="1"/>
  <c r="I380" i="6"/>
  <c r="F380" i="6" s="1"/>
  <c r="G204" i="5"/>
  <c r="G221" i="5"/>
  <c r="J462" i="6"/>
  <c r="I462" i="6" s="1"/>
  <c r="J460" i="6"/>
  <c r="I454" i="6"/>
  <c r="F454" i="6" s="1"/>
  <c r="I324" i="6"/>
  <c r="F324" i="6" s="1"/>
  <c r="J332" i="6"/>
  <c r="I332" i="6" s="1"/>
  <c r="J330" i="6"/>
  <c r="G384" i="6"/>
  <c r="G382" i="6"/>
  <c r="G289" i="5"/>
  <c r="I808" i="6"/>
  <c r="F808" i="6" s="1"/>
  <c r="J918" i="5"/>
  <c r="J969" i="5"/>
  <c r="K816" i="5"/>
  <c r="G391" i="5"/>
  <c r="K697" i="5"/>
  <c r="K701" i="5" s="1"/>
  <c r="K46" i="6"/>
  <c r="K44" i="6"/>
  <c r="I133" i="6"/>
  <c r="F133" i="6" s="1"/>
  <c r="I498" i="6"/>
  <c r="F498" i="6" s="1"/>
  <c r="J345" i="6"/>
  <c r="J343" i="6"/>
  <c r="I337" i="6"/>
  <c r="F337" i="6" s="1"/>
  <c r="I534" i="6"/>
  <c r="F534" i="6" s="1"/>
  <c r="G561" i="5"/>
  <c r="G565" i="5" s="1"/>
  <c r="G833" i="5"/>
  <c r="I170" i="6"/>
  <c r="F170" i="6" s="1"/>
  <c r="K969" i="5"/>
  <c r="K973" i="5" s="1"/>
  <c r="I574" i="6"/>
  <c r="F574" i="6" s="1"/>
  <c r="F357" i="6"/>
  <c r="I143" i="6"/>
  <c r="F143" i="6" s="1"/>
  <c r="J578" i="5"/>
  <c r="J697" i="5"/>
  <c r="K618" i="6"/>
  <c r="K616" i="6"/>
  <c r="K189" i="6"/>
  <c r="K187" i="6"/>
  <c r="I187" i="6" s="1"/>
  <c r="I235" i="6"/>
  <c r="F235" i="6" s="1"/>
  <c r="I587" i="6"/>
  <c r="F587" i="6" s="1"/>
  <c r="I446" i="6"/>
  <c r="F446" i="6" s="1"/>
  <c r="K564" i="6"/>
  <c r="I564" i="6" s="1"/>
  <c r="K566" i="6"/>
  <c r="G935" i="5"/>
  <c r="G939" i="5" s="1"/>
  <c r="K694" i="6"/>
  <c r="K696" i="6"/>
  <c r="G782" i="5"/>
  <c r="G786" i="5" s="1"/>
  <c r="J1020" i="5"/>
  <c r="I522" i="6"/>
  <c r="F522" i="6" s="1"/>
  <c r="I468" i="6"/>
  <c r="F468" i="6" s="1"/>
  <c r="I419" i="6"/>
  <c r="F419" i="6" s="1"/>
  <c r="F448" i="6"/>
  <c r="I520" i="6"/>
  <c r="F520" i="6" s="1"/>
  <c r="I704" i="6"/>
  <c r="F704" i="6" s="1"/>
  <c r="J867" i="5"/>
  <c r="I238" i="6"/>
  <c r="F238" i="6" s="1"/>
  <c r="I130" i="6"/>
  <c r="F130" i="6" s="1"/>
  <c r="I5" i="5"/>
  <c r="F5" i="5" s="1"/>
  <c r="B3" i="37" s="1"/>
  <c r="B5" i="37" s="1"/>
  <c r="I54" i="6"/>
  <c r="F54" i="6" s="1"/>
  <c r="J278" i="6"/>
  <c r="I272" i="6"/>
  <c r="F272" i="6" s="1"/>
  <c r="J280" i="6"/>
  <c r="I273" i="6"/>
  <c r="F273" i="6" s="1"/>
  <c r="G714" i="5"/>
  <c r="J681" i="6"/>
  <c r="I675" i="6"/>
  <c r="F675" i="6" s="1"/>
  <c r="J683" i="6"/>
  <c r="G493" i="5"/>
  <c r="K408" i="5"/>
  <c r="K412" i="5" s="1"/>
  <c r="I39" i="6"/>
  <c r="F39" i="6" s="1"/>
  <c r="G70" i="6"/>
  <c r="G72" i="6"/>
  <c r="I511" i="6"/>
  <c r="F511" i="6" s="1"/>
  <c r="K603" i="6"/>
  <c r="K605" i="6"/>
  <c r="F123" i="6"/>
  <c r="F799" i="6"/>
  <c r="K525" i="6"/>
  <c r="K527" i="6"/>
  <c r="K592" i="6"/>
  <c r="K590" i="6"/>
  <c r="K7" i="5"/>
  <c r="G1054" i="5"/>
  <c r="I719" i="6"/>
  <c r="F719" i="6" s="1"/>
  <c r="J644" i="6"/>
  <c r="J642" i="6"/>
  <c r="I636" i="6"/>
  <c r="F636" i="6" s="1"/>
  <c r="K8" i="5"/>
  <c r="I416" i="6"/>
  <c r="F416" i="6" s="1"/>
  <c r="I459" i="6"/>
  <c r="F459" i="6" s="1"/>
  <c r="G731" i="5"/>
  <c r="F370" i="6"/>
  <c r="J7" i="5"/>
  <c r="G616" i="6"/>
  <c r="G618" i="6"/>
  <c r="I445" i="6"/>
  <c r="F445" i="6" s="1"/>
  <c r="K102" i="5"/>
  <c r="K106" i="5" s="1"/>
  <c r="I667" i="6"/>
  <c r="F667" i="6" s="1"/>
  <c r="I615" i="6"/>
  <c r="F615" i="6" s="1"/>
  <c r="I160" i="6"/>
  <c r="F160" i="6" s="1"/>
  <c r="F188" i="6"/>
  <c r="K293" i="6"/>
  <c r="K291" i="6"/>
  <c r="G629" i="5"/>
  <c r="G633" i="5" s="1"/>
  <c r="I95" i="6"/>
  <c r="F95" i="6" s="1"/>
  <c r="I598" i="6"/>
  <c r="F598" i="6" s="1"/>
  <c r="J765" i="5"/>
  <c r="I225" i="6"/>
  <c r="F225" i="6" s="1"/>
  <c r="G83" i="6"/>
  <c r="G85" i="6"/>
  <c r="I209" i="6"/>
  <c r="F209" i="6" s="1"/>
  <c r="K278" i="6"/>
  <c r="K280" i="6"/>
  <c r="J10" i="5"/>
  <c r="I121" i="6"/>
  <c r="F121" i="6" s="1"/>
  <c r="I27" i="6"/>
  <c r="F27" i="6" s="1"/>
  <c r="J9" i="6"/>
  <c r="J170" i="5"/>
  <c r="I807" i="6"/>
  <c r="F807" i="6" s="1"/>
  <c r="F500" i="6"/>
  <c r="K391" i="5"/>
  <c r="K395" i="5" s="1"/>
  <c r="G578" i="5"/>
  <c r="G11" i="5"/>
  <c r="J884" i="5"/>
  <c r="I537" i="6"/>
  <c r="F537" i="6" s="1"/>
  <c r="I469" i="6"/>
  <c r="F469" i="6" s="1"/>
  <c r="I821" i="6"/>
  <c r="F821" i="6" s="1"/>
  <c r="I755" i="6"/>
  <c r="F755" i="6" s="1"/>
  <c r="F71" i="6"/>
  <c r="I470" i="6"/>
  <c r="F470" i="6" s="1"/>
  <c r="I793" i="6"/>
  <c r="F793" i="6" s="1"/>
  <c r="J13" i="5"/>
  <c r="I688" i="6"/>
  <c r="F688" i="6" s="1"/>
  <c r="J694" i="6"/>
  <c r="J696" i="6"/>
  <c r="K124" i="6"/>
  <c r="K122" i="6"/>
  <c r="K371" i="6"/>
  <c r="K369" i="6"/>
  <c r="I274" i="6"/>
  <c r="F274" i="6" s="1"/>
  <c r="I745" i="6"/>
  <c r="F745" i="6" s="1"/>
  <c r="L526" i="5"/>
  <c r="L879" i="5"/>
  <c r="L411" i="5"/>
  <c r="L318" i="5"/>
  <c r="L145" i="5"/>
  <c r="L134" i="5"/>
  <c r="L267" i="5"/>
  <c r="L896" i="5"/>
  <c r="L114" i="5"/>
  <c r="L28" i="5"/>
  <c r="L316" i="5"/>
  <c r="L1001" i="5"/>
  <c r="L644" i="5"/>
  <c r="L780" i="5"/>
  <c r="L299" i="5"/>
  <c r="L747" i="5"/>
  <c r="L334" i="5"/>
  <c r="L730" i="5"/>
  <c r="L367" i="5"/>
  <c r="L876" i="5"/>
  <c r="L216" i="5"/>
  <c r="L130" i="5"/>
  <c r="L370" i="5"/>
  <c r="L122" i="5"/>
  <c r="L184" i="5"/>
  <c r="L512" i="5"/>
  <c r="L630" i="5"/>
  <c r="L523" i="5"/>
  <c r="L664" i="5"/>
  <c r="L965" i="5"/>
  <c r="L734" i="5"/>
  <c r="L715" i="5"/>
  <c r="L426" i="5"/>
  <c r="L34" i="5"/>
  <c r="L591" i="5"/>
  <c r="L120" i="5"/>
  <c r="L563" i="5"/>
  <c r="L710" i="5"/>
  <c r="L1012" i="5"/>
  <c r="L54" i="5"/>
  <c r="L693" i="5"/>
  <c r="L545" i="5"/>
  <c r="L877" i="5"/>
  <c r="L305" i="5"/>
  <c r="L451" i="5"/>
  <c r="L186" i="5"/>
  <c r="L696" i="5"/>
  <c r="L641" i="5"/>
  <c r="L723" i="5"/>
  <c r="L1052" i="5"/>
  <c r="L978" i="5"/>
  <c r="L933" i="5"/>
  <c r="L27" i="5"/>
  <c r="L672" i="5"/>
  <c r="L525" i="5"/>
  <c r="L129" i="5"/>
  <c r="L831" i="5"/>
  <c r="L1049" i="5"/>
  <c r="L1031" i="5"/>
  <c r="L695" i="5"/>
  <c r="L895" i="5"/>
  <c r="L469" i="5"/>
  <c r="L1013" i="5"/>
  <c r="L605" i="5"/>
  <c r="L792" i="5"/>
  <c r="L486" i="5"/>
  <c r="L797" i="5"/>
  <c r="L743" i="5"/>
  <c r="L349" i="5"/>
  <c r="L623" i="5"/>
  <c r="L554" i="5"/>
  <c r="L386" i="5"/>
  <c r="L333" i="5"/>
  <c r="L237" i="5"/>
  <c r="L236" i="5"/>
  <c r="L690" i="5"/>
  <c r="L815" i="5"/>
  <c r="L505" i="5"/>
  <c r="L560" i="5"/>
  <c r="L407" i="5"/>
  <c r="L1014" i="5"/>
  <c r="L66" i="5"/>
  <c r="L135" i="5"/>
  <c r="L198" i="5"/>
  <c r="L100" i="5"/>
  <c r="L961" i="5"/>
  <c r="L587" i="5"/>
  <c r="L423" i="5"/>
  <c r="L692" i="5"/>
  <c r="L998" i="5"/>
  <c r="L508" i="5"/>
  <c r="L458" i="5"/>
  <c r="L233" i="5"/>
  <c r="L775" i="5"/>
  <c r="L78" i="5"/>
  <c r="L335" i="5"/>
  <c r="L979" i="5"/>
  <c r="L168" i="5"/>
  <c r="L111" i="5"/>
  <c r="L1047" i="5"/>
  <c r="L553" i="5"/>
  <c r="L967" i="5"/>
  <c r="L910" i="5"/>
  <c r="L321" i="5"/>
  <c r="L166" i="5"/>
  <c r="L292" i="5"/>
  <c r="L932" i="5"/>
  <c r="L377" i="5"/>
  <c r="L613" i="5"/>
  <c r="L647" i="5"/>
  <c r="L835" i="5"/>
  <c r="L1016" i="5"/>
  <c r="L71" i="5"/>
  <c r="L733" i="5"/>
  <c r="L303" i="5"/>
  <c r="L1017" i="5"/>
  <c r="L172" i="5"/>
  <c r="L375" i="5"/>
  <c r="L954" i="5"/>
  <c r="L768" i="5"/>
  <c r="L785" i="5"/>
  <c r="L609" i="5"/>
  <c r="L506" i="5"/>
  <c r="L116" i="5"/>
  <c r="L528" i="5"/>
  <c r="L291" i="5"/>
  <c r="L989" i="5"/>
  <c r="L665" i="5"/>
  <c r="L615" i="5"/>
  <c r="L524" i="5"/>
  <c r="L660" i="5"/>
  <c r="L728" i="5"/>
  <c r="L104" i="5"/>
  <c r="L818" i="5"/>
  <c r="L274" i="5"/>
  <c r="L82" i="5"/>
  <c r="L801" i="5"/>
  <c r="L154" i="5"/>
  <c r="L69" i="5"/>
  <c r="L795" i="5"/>
  <c r="L438" i="5"/>
  <c r="L914" i="5"/>
  <c r="L903" i="5"/>
  <c r="L919" i="5"/>
  <c r="L268" i="5"/>
  <c r="L694" i="5"/>
  <c r="L269" i="5"/>
  <c r="L902" i="5"/>
  <c r="L700" i="5"/>
  <c r="L308" i="5"/>
  <c r="L643" i="5"/>
  <c r="L326" i="5"/>
  <c r="L681" i="5"/>
  <c r="L234" i="5"/>
  <c r="L98" i="5"/>
  <c r="L404" i="5"/>
  <c r="L1032" i="5"/>
  <c r="L674" i="5"/>
  <c r="L301" i="5"/>
  <c r="L61" i="5"/>
  <c r="L985" i="5"/>
  <c r="L60" i="5"/>
  <c r="L117" i="5"/>
  <c r="L611" i="5"/>
  <c r="L352" i="5"/>
  <c r="L519" i="5"/>
  <c r="L339" i="5"/>
  <c r="L542" i="5"/>
  <c r="L1015" i="5"/>
  <c r="L520" i="5"/>
  <c r="L968" i="5"/>
  <c r="L270" i="5"/>
  <c r="L794" i="5"/>
  <c r="L604" i="5"/>
  <c r="L570" i="5"/>
  <c r="L521" i="5"/>
  <c r="L199" i="5"/>
  <c r="L351" i="5"/>
  <c r="L322" i="5"/>
  <c r="L165" i="5"/>
  <c r="L284" i="5"/>
  <c r="L741" i="5"/>
  <c r="L845" i="5"/>
  <c r="L390" i="5"/>
  <c r="L777" i="5"/>
  <c r="L996" i="5"/>
  <c r="L764" i="5"/>
  <c r="L220" i="5"/>
  <c r="L315" i="5"/>
  <c r="L62" i="5"/>
  <c r="L934" i="5"/>
  <c r="L45" i="5"/>
  <c r="L930" i="5"/>
  <c r="L729" i="5"/>
  <c r="L373" i="5"/>
  <c r="L83" i="5"/>
  <c r="L859" i="5"/>
  <c r="L406" i="5"/>
  <c r="L997" i="5"/>
  <c r="L645" i="5"/>
  <c r="L963" i="5"/>
  <c r="L435" i="5"/>
  <c r="L440" i="5"/>
  <c r="L593" i="5"/>
  <c r="L827" i="5"/>
  <c r="L944" i="5"/>
  <c r="L94" i="5"/>
  <c r="L774" i="5"/>
  <c r="L622" i="5"/>
  <c r="L164" i="5"/>
  <c r="L502" i="5"/>
  <c r="L366" i="5"/>
  <c r="L883" i="5"/>
  <c r="L860" i="5"/>
  <c r="L31" i="5"/>
  <c r="L389" i="5"/>
  <c r="L26" i="5"/>
  <c r="L556" i="5"/>
  <c r="L631" i="5"/>
  <c r="L1072" i="5"/>
  <c r="L257" i="5"/>
  <c r="L683" i="5"/>
  <c r="L359" i="5"/>
  <c r="L354" i="5"/>
  <c r="L205" i="5"/>
  <c r="L223" i="5"/>
  <c r="L851" i="5"/>
  <c r="L217" i="5"/>
  <c r="L309" i="5"/>
  <c r="L870" i="5"/>
  <c r="L677" i="5"/>
  <c r="L103" i="5"/>
  <c r="L830" i="5"/>
  <c r="L915" i="5"/>
  <c r="L240" i="5"/>
  <c r="L149" i="5"/>
  <c r="L580" i="5"/>
  <c r="L983" i="5"/>
  <c r="L275" i="5"/>
  <c r="L443" i="5"/>
  <c r="L953" i="5"/>
  <c r="L81" i="5"/>
  <c r="L732" i="5"/>
  <c r="L761" i="5"/>
  <c r="L988" i="5"/>
  <c r="L579" i="5"/>
  <c r="L541" i="5"/>
  <c r="L863" i="5"/>
  <c r="L1040" i="5"/>
  <c r="L513" i="5"/>
  <c r="L766" i="5"/>
  <c r="L727" i="5"/>
  <c r="L99" i="5"/>
  <c r="L171" i="5"/>
  <c r="L319" i="5"/>
  <c r="L394" i="5"/>
  <c r="L1000" i="5"/>
  <c r="L472" i="5"/>
  <c r="L562" i="5"/>
  <c r="L592" i="5"/>
  <c r="L190" i="5"/>
  <c r="L427" i="5"/>
  <c r="L598" i="5"/>
  <c r="L376" i="5"/>
  <c r="L439" i="5"/>
  <c r="L490" i="5"/>
  <c r="L931" i="5"/>
  <c r="L444" i="5"/>
  <c r="L676" i="5"/>
  <c r="L1064" i="5"/>
  <c r="L300" i="5"/>
  <c r="L1048" i="5"/>
  <c r="L844" i="5"/>
  <c r="L610" i="5"/>
  <c r="L128" i="5"/>
  <c r="L555" i="5"/>
  <c r="L536" i="5"/>
  <c r="L503" i="5"/>
  <c r="L678" i="5"/>
  <c r="L1069" i="5"/>
  <c r="L43" i="5"/>
  <c r="L916" i="5"/>
  <c r="L231" i="5"/>
  <c r="L219" i="5"/>
  <c r="L1046" i="5"/>
  <c r="L713" i="5"/>
  <c r="L182" i="5"/>
  <c r="L368" i="5"/>
  <c r="L661" i="5"/>
  <c r="L49" i="5"/>
  <c r="L1030" i="5"/>
  <c r="L418" i="5"/>
  <c r="L757" i="5"/>
  <c r="L1029" i="5"/>
  <c r="L475" i="5"/>
  <c r="L725" i="5"/>
  <c r="L181" i="5"/>
  <c r="L649" i="5"/>
  <c r="L167" i="5"/>
  <c r="L460" i="5"/>
  <c r="L596" i="5"/>
  <c r="L784" i="5"/>
  <c r="L200" i="5"/>
  <c r="L30" i="5"/>
  <c r="L461" i="5"/>
  <c r="L762" i="5"/>
  <c r="L625" i="5"/>
  <c r="L751" i="5"/>
  <c r="L1074" i="5"/>
  <c r="L201" i="5"/>
  <c r="L970" i="5"/>
  <c r="L241" i="5"/>
  <c r="L796" i="5"/>
  <c r="L852" i="5"/>
  <c r="L648" i="5"/>
  <c r="L405" i="5"/>
  <c r="L937" i="5"/>
  <c r="L557" i="5"/>
  <c r="L35" i="5"/>
  <c r="L767" i="5"/>
  <c r="L921" i="5"/>
  <c r="L949" i="5"/>
  <c r="L247" i="5"/>
  <c r="L282" i="5"/>
  <c r="L832" i="5"/>
  <c r="L866" i="5"/>
  <c r="L304" i="5"/>
  <c r="L691" i="5"/>
  <c r="L810" i="5"/>
  <c r="L1053" i="5"/>
  <c r="L980" i="5"/>
  <c r="L793" i="5"/>
  <c r="L882" i="5"/>
  <c r="L249" i="5"/>
  <c r="L485" i="5"/>
  <c r="L742" i="5"/>
  <c r="L213" i="5"/>
  <c r="L912" i="5"/>
  <c r="L899" i="5"/>
  <c r="L401" i="5"/>
  <c r="L288" i="5"/>
  <c r="L258" i="5"/>
  <c r="L507" i="5"/>
  <c r="L496" i="5"/>
  <c r="L999" i="5"/>
  <c r="L802" i="5"/>
  <c r="L1073" i="5"/>
  <c r="L836" i="5"/>
  <c r="L1034" i="5"/>
  <c r="L358" i="5"/>
  <c r="L489" i="5"/>
  <c r="L920" i="5"/>
  <c r="L324" i="5"/>
  <c r="L392" i="5"/>
  <c r="L121" i="5"/>
  <c r="L285" i="5"/>
  <c r="L183" i="5"/>
  <c r="L87" i="5"/>
  <c r="L791" i="5"/>
  <c r="L708" i="5"/>
  <c r="L893" i="5"/>
  <c r="L419" i="5"/>
  <c r="L828" i="5"/>
  <c r="L80" i="5"/>
  <c r="L559" i="5"/>
  <c r="L809" i="5"/>
  <c r="L724" i="5"/>
  <c r="L79" i="5"/>
  <c r="L32" i="5"/>
  <c r="L706" i="5"/>
  <c r="L400" i="5"/>
  <c r="L621" i="5"/>
  <c r="L1002" i="5"/>
  <c r="L537" i="5"/>
  <c r="L287" i="5"/>
  <c r="L1035" i="5"/>
  <c r="L101" i="5"/>
  <c r="L283" i="5"/>
  <c r="L452" i="5"/>
  <c r="L214" i="5"/>
  <c r="L424" i="5"/>
  <c r="L180" i="5"/>
  <c r="L849" i="5"/>
  <c r="L332" i="5"/>
  <c r="L372" i="5"/>
  <c r="L369" i="5"/>
  <c r="L163" i="5"/>
  <c r="L657" i="5"/>
  <c r="L317" i="5"/>
  <c r="L776" i="5"/>
  <c r="L338" i="5"/>
  <c r="L203" i="5"/>
  <c r="L185" i="5"/>
  <c r="L152" i="5"/>
  <c r="L624" i="5"/>
  <c r="L471" i="5"/>
  <c r="L202" i="5"/>
  <c r="L96" i="5"/>
  <c r="L253" i="5"/>
  <c r="L402" i="5"/>
  <c r="L606" i="5"/>
  <c r="L726" i="5"/>
  <c r="L281" i="5"/>
  <c r="L843" i="5"/>
  <c r="L350" i="5"/>
  <c r="L946" i="5"/>
  <c r="L740" i="5"/>
  <c r="L453" i="5"/>
  <c r="L179" i="5"/>
  <c r="L1019" i="5"/>
  <c r="L1070" i="5"/>
  <c r="L50" i="5"/>
  <c r="L230" i="5"/>
  <c r="L995" i="5"/>
  <c r="L707" i="5"/>
  <c r="L861" i="5"/>
  <c r="L539" i="5"/>
  <c r="L594" i="5"/>
  <c r="L84" i="5"/>
  <c r="L590" i="5"/>
  <c r="L679" i="5"/>
  <c r="L571" i="5"/>
  <c r="L173" i="5"/>
  <c r="L847" i="5"/>
  <c r="L307" i="5"/>
  <c r="L1006" i="5"/>
  <c r="L898" i="5"/>
  <c r="L224" i="5"/>
  <c r="L473" i="5"/>
  <c r="L150" i="5"/>
  <c r="L410" i="5"/>
  <c r="L716" i="5"/>
  <c r="L302" i="5"/>
  <c r="L575" i="5"/>
  <c r="L936" i="5"/>
  <c r="L235" i="5"/>
  <c r="L252" i="5"/>
  <c r="L642" i="5"/>
  <c r="L982" i="5"/>
  <c r="L1023" i="5"/>
  <c r="L698" i="5"/>
  <c r="L36" i="5"/>
  <c r="L829" i="5"/>
  <c r="L682" i="5"/>
  <c r="L115" i="5"/>
  <c r="L626" i="5"/>
  <c r="L222" i="5"/>
  <c r="L547" i="5"/>
  <c r="L455" i="5"/>
  <c r="L462" i="5"/>
  <c r="L88" i="5"/>
  <c r="L886" i="5"/>
  <c r="L880" i="5"/>
  <c r="L393" i="5"/>
  <c r="L189" i="5"/>
  <c r="L70" i="5"/>
  <c r="L494" i="5"/>
  <c r="L632" i="5"/>
  <c r="L337" i="5"/>
  <c r="L48" i="5"/>
  <c r="L948" i="5"/>
  <c r="L966" i="5"/>
  <c r="L206" i="5"/>
  <c r="L428" i="5"/>
  <c r="L800" i="5"/>
  <c r="L1039" i="5"/>
  <c r="L1005" i="5"/>
  <c r="L897" i="5"/>
  <c r="L207" i="5"/>
  <c r="L750" i="5"/>
  <c r="L511" i="5"/>
  <c r="L955" i="5"/>
  <c r="L779" i="5"/>
  <c r="L529" i="5"/>
  <c r="L811" i="5"/>
  <c r="L254" i="5"/>
  <c r="L97" i="5"/>
  <c r="L962" i="5"/>
  <c r="L265" i="5"/>
  <c r="L675" i="5"/>
  <c r="L760" i="5"/>
  <c r="L25" i="5"/>
  <c r="L95" i="5"/>
  <c r="L385" i="5"/>
  <c r="L271" i="5"/>
  <c r="L1018" i="5"/>
  <c r="L474" i="5"/>
  <c r="L488" i="5"/>
  <c r="L658" i="5"/>
  <c r="L984" i="5"/>
  <c r="L46" i="5"/>
  <c r="L673" i="5"/>
  <c r="L798" i="5"/>
  <c r="L538" i="5"/>
  <c r="L577" i="5"/>
  <c r="L298" i="5"/>
  <c r="L588" i="5"/>
  <c r="L487" i="5"/>
  <c r="L169" i="5"/>
  <c r="L900" i="5"/>
  <c r="L945" i="5"/>
  <c r="L911" i="5"/>
  <c r="L248" i="5"/>
  <c r="L709" i="5"/>
  <c r="L572" i="5"/>
  <c r="L826" i="5"/>
  <c r="L325" i="5"/>
  <c r="L218" i="5"/>
  <c r="L987" i="5"/>
  <c r="L581" i="5"/>
  <c r="L239" i="5"/>
  <c r="L1051" i="5"/>
  <c r="L336" i="5"/>
  <c r="L1067" i="5"/>
  <c r="L188" i="5"/>
  <c r="L1050" i="5"/>
  <c r="L817" i="5"/>
  <c r="L29" i="5"/>
  <c r="L47" i="5"/>
  <c r="L864" i="5"/>
  <c r="L717" i="5"/>
  <c r="L614" i="5"/>
  <c r="L749" i="5"/>
  <c r="L819" i="5"/>
  <c r="L881" i="5"/>
  <c r="L778" i="5"/>
  <c r="L64" i="5"/>
  <c r="L834" i="5"/>
  <c r="L132" i="5"/>
  <c r="L371" i="5"/>
  <c r="L342" i="5"/>
  <c r="L846" i="5"/>
  <c r="L457" i="5"/>
  <c r="L928" i="5"/>
  <c r="L964" i="5"/>
  <c r="L522" i="5"/>
  <c r="L639" i="5"/>
  <c r="L638" i="5"/>
  <c r="L509" i="5"/>
  <c r="L417" i="5"/>
  <c r="L63" i="5"/>
  <c r="L814" i="5"/>
  <c r="L383" i="5"/>
  <c r="L77" i="5"/>
  <c r="L758" i="5"/>
  <c r="L118" i="5"/>
  <c r="L441" i="5"/>
  <c r="L434" i="5"/>
  <c r="L470" i="5"/>
  <c r="L929" i="5"/>
  <c r="L628" i="5"/>
  <c r="L468" i="5"/>
  <c r="L197" i="5"/>
  <c r="L232" i="5"/>
  <c r="L917" i="5"/>
  <c r="L869" i="5"/>
  <c r="L558" i="5"/>
  <c r="L138" i="5"/>
  <c r="L156" i="5"/>
  <c r="L853" i="5"/>
  <c r="L1033" i="5"/>
  <c r="L887" i="5"/>
  <c r="L1057" i="5"/>
  <c r="L744" i="5"/>
  <c r="L1004" i="5"/>
  <c r="L783" i="5"/>
  <c r="L608" i="5"/>
  <c r="L155" i="5"/>
  <c r="L478" i="5"/>
  <c r="L445" i="5"/>
  <c r="L53" i="5"/>
  <c r="L112" i="5"/>
  <c r="L420" i="5"/>
  <c r="L403" i="5"/>
  <c r="L862" i="5"/>
  <c r="L1036" i="5"/>
  <c r="L454" i="5"/>
  <c r="L607" i="5"/>
  <c r="L113" i="5"/>
  <c r="L848" i="5"/>
  <c r="L67" i="5"/>
  <c r="L781" i="5"/>
  <c r="L927" i="5"/>
  <c r="L409" i="5"/>
  <c r="L659" i="5"/>
  <c r="L813" i="5"/>
  <c r="L343" i="5"/>
  <c r="L105" i="5"/>
  <c r="L320" i="5"/>
  <c r="L564" i="5"/>
  <c r="L286" i="5"/>
  <c r="L885" i="5"/>
  <c r="L1068" i="5"/>
  <c r="L387" i="5"/>
  <c r="L52" i="5"/>
  <c r="L290" i="5"/>
  <c r="L1055" i="5"/>
  <c r="L86" i="5"/>
  <c r="L162" i="5"/>
  <c r="L947" i="5"/>
  <c r="L540" i="5"/>
  <c r="L1021" i="5"/>
  <c r="L950" i="5"/>
  <c r="L894" i="5"/>
  <c r="L264" i="5"/>
  <c r="L131" i="5"/>
  <c r="L689" i="5"/>
  <c r="L662" i="5"/>
  <c r="L627" i="5"/>
  <c r="L491" i="5"/>
  <c r="L146" i="5"/>
  <c r="L139" i="5"/>
  <c r="L388" i="5"/>
  <c r="L868" i="5"/>
  <c r="L353" i="5"/>
  <c r="L546" i="5"/>
  <c r="L479" i="5"/>
  <c r="L597" i="5"/>
  <c r="L971" i="5"/>
  <c r="L666" i="5"/>
  <c r="L699" i="5"/>
  <c r="L745" i="5"/>
  <c r="L573" i="5"/>
  <c r="L356" i="5"/>
  <c r="L576" i="5"/>
  <c r="L530" i="5"/>
  <c r="L273" i="5"/>
  <c r="L384" i="5"/>
  <c r="L951" i="5"/>
  <c r="L355" i="5"/>
  <c r="L492" i="5"/>
  <c r="L808" i="5"/>
  <c r="L1066" i="5"/>
  <c r="L148" i="5"/>
  <c r="L842" i="5"/>
  <c r="L44" i="5"/>
  <c r="L759" i="5"/>
  <c r="L137" i="5"/>
  <c r="L865" i="5"/>
  <c r="L640" i="5"/>
  <c r="L437" i="5"/>
  <c r="L543" i="5"/>
  <c r="L215" i="5"/>
  <c r="L436" i="5"/>
  <c r="L589" i="5"/>
  <c r="L266" i="5"/>
  <c r="L763" i="5"/>
  <c r="L825" i="5"/>
  <c r="L504" i="5"/>
  <c r="L151" i="5"/>
  <c r="L981" i="5"/>
  <c r="L256" i="5"/>
  <c r="L1056" i="5"/>
  <c r="L477" i="5"/>
  <c r="L812" i="5"/>
  <c r="L495" i="5"/>
  <c r="L65" i="5"/>
  <c r="L1022" i="5"/>
  <c r="L341" i="5"/>
  <c r="L712" i="5"/>
  <c r="L913" i="5"/>
  <c r="L655" i="5"/>
  <c r="L250" i="5"/>
  <c r="L147" i="5"/>
  <c r="L746" i="5"/>
  <c r="L656" i="5"/>
  <c r="L878" i="5"/>
  <c r="L1065" i="5"/>
  <c r="L421" i="5"/>
  <c r="L251" i="5"/>
  <c r="L574" i="5"/>
  <c r="L1038" i="5"/>
  <c r="L972" i="5"/>
  <c r="L938" i="5"/>
  <c r="L133" i="5"/>
  <c r="L422" i="5"/>
  <c r="L1063" i="5"/>
  <c r="L196" i="5"/>
  <c r="L904" i="5"/>
  <c r="L360" i="5"/>
  <c r="L456" i="5"/>
  <c r="L711" i="5"/>
  <c r="I512" i="6" l="1"/>
  <c r="I122" i="6"/>
  <c r="I421" i="6"/>
  <c r="I200" i="6"/>
  <c r="I785" i="6"/>
  <c r="I746" i="6"/>
  <c r="I642" i="6"/>
  <c r="I9" i="6"/>
  <c r="B44" i="37" s="1"/>
  <c r="D44" i="37" s="1"/>
  <c r="F44" i="37" s="1"/>
  <c r="I408" i="6"/>
  <c r="I265" i="6"/>
  <c r="I109" i="6"/>
  <c r="I278" i="6"/>
  <c r="I135" i="6"/>
  <c r="I798" i="6"/>
  <c r="I670" i="6"/>
  <c r="I436" i="6"/>
  <c r="I577" i="6"/>
  <c r="I538" i="6"/>
  <c r="I655" i="6"/>
  <c r="I189" i="6"/>
  <c r="I579" i="6"/>
  <c r="I356" i="6"/>
  <c r="I449" i="6"/>
  <c r="I811" i="6"/>
  <c r="I98" i="6"/>
  <c r="I59" i="6"/>
  <c r="I644" i="6"/>
  <c r="I44" i="6"/>
  <c r="I70" i="6"/>
  <c r="I772" i="6"/>
  <c r="I681" i="6"/>
  <c r="I371" i="6"/>
  <c r="I161" i="6"/>
  <c r="I241" i="6"/>
  <c r="I382" i="6"/>
  <c r="I150" i="6"/>
  <c r="I345" i="6"/>
  <c r="I397" i="6"/>
  <c r="I800" i="6"/>
  <c r="I759" i="6"/>
  <c r="I85" i="6"/>
  <c r="I267" i="6"/>
  <c r="I96" i="6"/>
  <c r="I551" i="6"/>
  <c r="I176" i="6"/>
  <c r="I410" i="6"/>
  <c r="I254" i="6"/>
  <c r="I694" i="6"/>
  <c r="I711" i="5"/>
  <c r="F711" i="5" s="1"/>
  <c r="I456" i="5"/>
  <c r="F456" i="5" s="1"/>
  <c r="I360" i="5"/>
  <c r="F360" i="5" s="1"/>
  <c r="I904" i="5"/>
  <c r="F904" i="5" s="1"/>
  <c r="L204" i="5"/>
  <c r="L208" i="5" s="1"/>
  <c r="I196" i="5"/>
  <c r="F196" i="5" s="1"/>
  <c r="L1071" i="5"/>
  <c r="L1075" i="5" s="1"/>
  <c r="I1063" i="5"/>
  <c r="F1063" i="5" s="1"/>
  <c r="I422" i="5"/>
  <c r="F422" i="5" s="1"/>
  <c r="I133" i="5"/>
  <c r="F133" i="5" s="1"/>
  <c r="I938" i="5"/>
  <c r="F938" i="5" s="1"/>
  <c r="I972" i="5"/>
  <c r="F972" i="5" s="1"/>
  <c r="I1038" i="5"/>
  <c r="F1038" i="5" s="1"/>
  <c r="I574" i="5"/>
  <c r="F574" i="5" s="1"/>
  <c r="I251" i="5"/>
  <c r="F251" i="5" s="1"/>
  <c r="I421" i="5"/>
  <c r="F421" i="5" s="1"/>
  <c r="I1065" i="5"/>
  <c r="F1065" i="5" s="1"/>
  <c r="I878" i="5"/>
  <c r="F878" i="5" s="1"/>
  <c r="I656" i="5"/>
  <c r="F656" i="5" s="1"/>
  <c r="I746" i="5"/>
  <c r="F746" i="5" s="1"/>
  <c r="I147" i="5"/>
  <c r="F147" i="5" s="1"/>
  <c r="I250" i="5"/>
  <c r="F250" i="5" s="1"/>
  <c r="L663" i="5"/>
  <c r="L667" i="5" s="1"/>
  <c r="I655" i="5"/>
  <c r="F655" i="5" s="1"/>
  <c r="I913" i="5"/>
  <c r="F913" i="5" s="1"/>
  <c r="I712" i="5"/>
  <c r="F712" i="5" s="1"/>
  <c r="I341" i="5"/>
  <c r="F341" i="5" s="1"/>
  <c r="I1022" i="5"/>
  <c r="F1022" i="5" s="1"/>
  <c r="I65" i="5"/>
  <c r="F65" i="5" s="1"/>
  <c r="I495" i="5"/>
  <c r="F495" i="5" s="1"/>
  <c r="I812" i="5"/>
  <c r="F812" i="5" s="1"/>
  <c r="I477" i="5"/>
  <c r="F477" i="5" s="1"/>
  <c r="I1056" i="5"/>
  <c r="F1056" i="5" s="1"/>
  <c r="I256" i="5"/>
  <c r="F256" i="5" s="1"/>
  <c r="I981" i="5"/>
  <c r="F981" i="5" s="1"/>
  <c r="I151" i="5"/>
  <c r="F151" i="5" s="1"/>
  <c r="I504" i="5"/>
  <c r="F504" i="5" s="1"/>
  <c r="L833" i="5"/>
  <c r="L837" i="5" s="1"/>
  <c r="I825" i="5"/>
  <c r="F825" i="5" s="1"/>
  <c r="I763" i="5"/>
  <c r="F763" i="5" s="1"/>
  <c r="I266" i="5"/>
  <c r="F266" i="5" s="1"/>
  <c r="I589" i="5"/>
  <c r="F589" i="5" s="1"/>
  <c r="I436" i="5"/>
  <c r="F436" i="5" s="1"/>
  <c r="I215" i="5"/>
  <c r="F215" i="5" s="1"/>
  <c r="I543" i="5"/>
  <c r="F543" i="5" s="1"/>
  <c r="I437" i="5"/>
  <c r="F437" i="5" s="1"/>
  <c r="I640" i="5"/>
  <c r="F640" i="5" s="1"/>
  <c r="I865" i="5"/>
  <c r="F865" i="5" s="1"/>
  <c r="I137" i="5"/>
  <c r="F137" i="5" s="1"/>
  <c r="I759" i="5"/>
  <c r="F759" i="5" s="1"/>
  <c r="I44" i="5"/>
  <c r="F44" i="5" s="1"/>
  <c r="L850" i="5"/>
  <c r="L854" i="5" s="1"/>
  <c r="I842" i="5"/>
  <c r="F842" i="5" s="1"/>
  <c r="I148" i="5"/>
  <c r="F148" i="5" s="1"/>
  <c r="I1066" i="5"/>
  <c r="F1066" i="5" s="1"/>
  <c r="L816" i="5"/>
  <c r="L820" i="5" s="1"/>
  <c r="I808" i="5"/>
  <c r="F808" i="5" s="1"/>
  <c r="I492" i="5"/>
  <c r="F492" i="5" s="1"/>
  <c r="I355" i="5"/>
  <c r="F355" i="5" s="1"/>
  <c r="I951" i="5"/>
  <c r="F951" i="5" s="1"/>
  <c r="I384" i="5"/>
  <c r="F384" i="5" s="1"/>
  <c r="I273" i="5"/>
  <c r="F273" i="5" s="1"/>
  <c r="I530" i="5"/>
  <c r="F530" i="5" s="1"/>
  <c r="I576" i="5"/>
  <c r="F576" i="5" s="1"/>
  <c r="I356" i="5"/>
  <c r="F356" i="5" s="1"/>
  <c r="I573" i="5"/>
  <c r="F573" i="5" s="1"/>
  <c r="I745" i="5"/>
  <c r="F745" i="5" s="1"/>
  <c r="I699" i="5"/>
  <c r="F699" i="5" s="1"/>
  <c r="I666" i="5"/>
  <c r="F666" i="5" s="1"/>
  <c r="I971" i="5"/>
  <c r="F971" i="5" s="1"/>
  <c r="I597" i="5"/>
  <c r="F597" i="5" s="1"/>
  <c r="I479" i="5"/>
  <c r="F479" i="5" s="1"/>
  <c r="I546" i="5"/>
  <c r="F546" i="5" s="1"/>
  <c r="I353" i="5"/>
  <c r="F353" i="5" s="1"/>
  <c r="I868" i="5"/>
  <c r="F868" i="5" s="1"/>
  <c r="I388" i="5"/>
  <c r="F388" i="5" s="1"/>
  <c r="I139" i="5"/>
  <c r="F139" i="5" s="1"/>
  <c r="I146" i="5"/>
  <c r="F146" i="5" s="1"/>
  <c r="I491" i="5"/>
  <c r="F491" i="5" s="1"/>
  <c r="I627" i="5"/>
  <c r="F627" i="5" s="1"/>
  <c r="I662" i="5"/>
  <c r="F662" i="5" s="1"/>
  <c r="L697" i="5"/>
  <c r="L701" i="5" s="1"/>
  <c r="I689" i="5"/>
  <c r="F689" i="5" s="1"/>
  <c r="I131" i="5"/>
  <c r="F131" i="5" s="1"/>
  <c r="L272" i="5"/>
  <c r="L276" i="5" s="1"/>
  <c r="I264" i="5"/>
  <c r="F264" i="5" s="1"/>
  <c r="I894" i="5"/>
  <c r="F894" i="5" s="1"/>
  <c r="I950" i="5"/>
  <c r="F950" i="5" s="1"/>
  <c r="I1021" i="5"/>
  <c r="F1021" i="5" s="1"/>
  <c r="I540" i="5"/>
  <c r="F540" i="5" s="1"/>
  <c r="I947" i="5"/>
  <c r="F947" i="5" s="1"/>
  <c r="L170" i="5"/>
  <c r="L174" i="5" s="1"/>
  <c r="I162" i="5"/>
  <c r="F162" i="5" s="1"/>
  <c r="I86" i="5"/>
  <c r="F86" i="5" s="1"/>
  <c r="I1055" i="5"/>
  <c r="F1055" i="5" s="1"/>
  <c r="I290" i="5"/>
  <c r="F290" i="5" s="1"/>
  <c r="I52" i="5"/>
  <c r="F52" i="5" s="1"/>
  <c r="I387" i="5"/>
  <c r="F387" i="5" s="1"/>
  <c r="I1068" i="5"/>
  <c r="F1068" i="5" s="1"/>
  <c r="I885" i="5"/>
  <c r="F885" i="5" s="1"/>
  <c r="I286" i="5"/>
  <c r="F286" i="5" s="1"/>
  <c r="I564" i="5"/>
  <c r="F564" i="5" s="1"/>
  <c r="I320" i="5"/>
  <c r="F320" i="5" s="1"/>
  <c r="I105" i="5"/>
  <c r="F105" i="5" s="1"/>
  <c r="I343" i="5"/>
  <c r="F343" i="5" s="1"/>
  <c r="I813" i="5"/>
  <c r="F813" i="5" s="1"/>
  <c r="I659" i="5"/>
  <c r="F659" i="5" s="1"/>
  <c r="I409" i="5"/>
  <c r="F409" i="5" s="1"/>
  <c r="L935" i="5"/>
  <c r="L939" i="5" s="1"/>
  <c r="I927" i="5"/>
  <c r="F927" i="5" s="1"/>
  <c r="I781" i="5"/>
  <c r="F781" i="5" s="1"/>
  <c r="I67" i="5"/>
  <c r="F67" i="5" s="1"/>
  <c r="I848" i="5"/>
  <c r="F848" i="5" s="1"/>
  <c r="I113" i="5"/>
  <c r="F113" i="5" s="1"/>
  <c r="I607" i="5"/>
  <c r="F607" i="5" s="1"/>
  <c r="I454" i="5"/>
  <c r="F454" i="5" s="1"/>
  <c r="I1036" i="5"/>
  <c r="F1036" i="5" s="1"/>
  <c r="I862" i="5"/>
  <c r="F862" i="5" s="1"/>
  <c r="I403" i="5"/>
  <c r="F403" i="5" s="1"/>
  <c r="I420" i="5"/>
  <c r="F420" i="5" s="1"/>
  <c r="I112" i="5"/>
  <c r="F112" i="5" s="1"/>
  <c r="I53" i="5"/>
  <c r="F53" i="5" s="1"/>
  <c r="I445" i="5"/>
  <c r="F445" i="5" s="1"/>
  <c r="I478" i="5"/>
  <c r="F478" i="5" s="1"/>
  <c r="I155" i="5"/>
  <c r="F155" i="5" s="1"/>
  <c r="I608" i="5"/>
  <c r="F608" i="5" s="1"/>
  <c r="I783" i="5"/>
  <c r="F783" i="5" s="1"/>
  <c r="I1004" i="5"/>
  <c r="F1004" i="5" s="1"/>
  <c r="I744" i="5"/>
  <c r="F744" i="5" s="1"/>
  <c r="I1057" i="5"/>
  <c r="F1057" i="5" s="1"/>
  <c r="I887" i="5"/>
  <c r="F887" i="5" s="1"/>
  <c r="I1033" i="5"/>
  <c r="F1033" i="5" s="1"/>
  <c r="I853" i="5"/>
  <c r="F853" i="5" s="1"/>
  <c r="I156" i="5"/>
  <c r="F156" i="5" s="1"/>
  <c r="I138" i="5"/>
  <c r="F138" i="5" s="1"/>
  <c r="I558" i="5"/>
  <c r="F558" i="5" s="1"/>
  <c r="I869" i="5"/>
  <c r="F869" i="5" s="1"/>
  <c r="I917" i="5"/>
  <c r="F917" i="5" s="1"/>
  <c r="I232" i="5"/>
  <c r="F232" i="5" s="1"/>
  <c r="I197" i="5"/>
  <c r="F197" i="5" s="1"/>
  <c r="L476" i="5"/>
  <c r="L480" i="5" s="1"/>
  <c r="I468" i="5"/>
  <c r="F468" i="5" s="1"/>
  <c r="I628" i="5"/>
  <c r="F628" i="5" s="1"/>
  <c r="I929" i="5"/>
  <c r="F929" i="5" s="1"/>
  <c r="I470" i="5"/>
  <c r="F470" i="5" s="1"/>
  <c r="L442" i="5"/>
  <c r="L446" i="5" s="1"/>
  <c r="I434" i="5"/>
  <c r="F434" i="5" s="1"/>
  <c r="I441" i="5"/>
  <c r="F441" i="5" s="1"/>
  <c r="I118" i="5"/>
  <c r="F118" i="5" s="1"/>
  <c r="I758" i="5"/>
  <c r="F758" i="5" s="1"/>
  <c r="L85" i="5"/>
  <c r="L89" i="5" s="1"/>
  <c r="I77" i="5"/>
  <c r="F77" i="5" s="1"/>
  <c r="L391" i="5"/>
  <c r="L395" i="5" s="1"/>
  <c r="I383" i="5"/>
  <c r="F383" i="5" s="1"/>
  <c r="I814" i="5"/>
  <c r="F814" i="5" s="1"/>
  <c r="I63" i="5"/>
  <c r="F63" i="5" s="1"/>
  <c r="L425" i="5"/>
  <c r="L429" i="5" s="1"/>
  <c r="I417" i="5"/>
  <c r="F417" i="5" s="1"/>
  <c r="I509" i="5"/>
  <c r="F509" i="5" s="1"/>
  <c r="L646" i="5"/>
  <c r="L650" i="5" s="1"/>
  <c r="I638" i="5"/>
  <c r="F638" i="5" s="1"/>
  <c r="I639" i="5"/>
  <c r="F639" i="5" s="1"/>
  <c r="I522" i="5"/>
  <c r="F522" i="5" s="1"/>
  <c r="I964" i="5"/>
  <c r="F964" i="5" s="1"/>
  <c r="I928" i="5"/>
  <c r="F928" i="5" s="1"/>
  <c r="I457" i="5"/>
  <c r="F457" i="5" s="1"/>
  <c r="I846" i="5"/>
  <c r="F846" i="5" s="1"/>
  <c r="I342" i="5"/>
  <c r="F342" i="5" s="1"/>
  <c r="I371" i="5"/>
  <c r="F371" i="5" s="1"/>
  <c r="I132" i="5"/>
  <c r="F132" i="5" s="1"/>
  <c r="I834" i="5"/>
  <c r="F834" i="5" s="1"/>
  <c r="I64" i="5"/>
  <c r="F64" i="5" s="1"/>
  <c r="I778" i="5"/>
  <c r="F778" i="5" s="1"/>
  <c r="I881" i="5"/>
  <c r="F881" i="5" s="1"/>
  <c r="I819" i="5"/>
  <c r="F819" i="5" s="1"/>
  <c r="I749" i="5"/>
  <c r="F749" i="5" s="1"/>
  <c r="I614" i="5"/>
  <c r="F614" i="5" s="1"/>
  <c r="I717" i="5"/>
  <c r="F717" i="5" s="1"/>
  <c r="I864" i="5"/>
  <c r="F864" i="5" s="1"/>
  <c r="I47" i="5"/>
  <c r="F47" i="5" s="1"/>
  <c r="L10" i="5"/>
  <c r="I10" i="5" s="1"/>
  <c r="B35" i="37" s="1"/>
  <c r="D35" i="37" s="1"/>
  <c r="F35" i="37" s="1"/>
  <c r="I29" i="5"/>
  <c r="F29" i="5" s="1"/>
  <c r="I817" i="5"/>
  <c r="F817" i="5" s="1"/>
  <c r="I1050" i="5"/>
  <c r="F1050" i="5" s="1"/>
  <c r="I188" i="5"/>
  <c r="F188" i="5" s="1"/>
  <c r="I1067" i="5"/>
  <c r="F1067" i="5" s="1"/>
  <c r="I336" i="5"/>
  <c r="F336" i="5" s="1"/>
  <c r="I1051" i="5"/>
  <c r="F1051" i="5" s="1"/>
  <c r="I239" i="5"/>
  <c r="F239" i="5" s="1"/>
  <c r="I581" i="5"/>
  <c r="F581" i="5" s="1"/>
  <c r="I987" i="5"/>
  <c r="F987" i="5" s="1"/>
  <c r="I218" i="5"/>
  <c r="F218" i="5" s="1"/>
  <c r="I325" i="5"/>
  <c r="F325" i="5" s="1"/>
  <c r="I826" i="5"/>
  <c r="F826" i="5" s="1"/>
  <c r="I572" i="5"/>
  <c r="F572" i="5" s="1"/>
  <c r="I709" i="5"/>
  <c r="F709" i="5" s="1"/>
  <c r="I248" i="5"/>
  <c r="F248" i="5" s="1"/>
  <c r="I911" i="5"/>
  <c r="F911" i="5" s="1"/>
  <c r="I945" i="5"/>
  <c r="F945" i="5" s="1"/>
  <c r="I900" i="5"/>
  <c r="F900" i="5" s="1"/>
  <c r="I169" i="5"/>
  <c r="F169" i="5" s="1"/>
  <c r="I487" i="5"/>
  <c r="F487" i="5" s="1"/>
  <c r="I588" i="5"/>
  <c r="F588" i="5" s="1"/>
  <c r="L306" i="5"/>
  <c r="L310" i="5" s="1"/>
  <c r="I298" i="5"/>
  <c r="F298" i="5" s="1"/>
  <c r="I577" i="5"/>
  <c r="F577" i="5" s="1"/>
  <c r="I538" i="5"/>
  <c r="F538" i="5" s="1"/>
  <c r="I798" i="5"/>
  <c r="F798" i="5" s="1"/>
  <c r="I673" i="5"/>
  <c r="F673" i="5" s="1"/>
  <c r="I46" i="5"/>
  <c r="F46" i="5" s="1"/>
  <c r="I984" i="5"/>
  <c r="F984" i="5" s="1"/>
  <c r="I658" i="5"/>
  <c r="F658" i="5" s="1"/>
  <c r="I488" i="5"/>
  <c r="F488" i="5" s="1"/>
  <c r="I474" i="5"/>
  <c r="F474" i="5" s="1"/>
  <c r="I1018" i="5"/>
  <c r="F1018" i="5" s="1"/>
  <c r="I271" i="5"/>
  <c r="F271" i="5" s="1"/>
  <c r="I385" i="5"/>
  <c r="F385" i="5" s="1"/>
  <c r="I95" i="5"/>
  <c r="F95" i="5" s="1"/>
  <c r="L6" i="5"/>
  <c r="L33" i="5"/>
  <c r="L37" i="5" s="1"/>
  <c r="I25" i="5"/>
  <c r="F25" i="5" s="1"/>
  <c r="I760" i="5"/>
  <c r="F760" i="5" s="1"/>
  <c r="I675" i="5"/>
  <c r="F675" i="5" s="1"/>
  <c r="I265" i="5"/>
  <c r="F265" i="5" s="1"/>
  <c r="I962" i="5"/>
  <c r="F962" i="5" s="1"/>
  <c r="I97" i="5"/>
  <c r="F97" i="5" s="1"/>
  <c r="I254" i="5"/>
  <c r="F254" i="5" s="1"/>
  <c r="I811" i="5"/>
  <c r="F811" i="5" s="1"/>
  <c r="I529" i="5"/>
  <c r="F529" i="5" s="1"/>
  <c r="I779" i="5"/>
  <c r="F779" i="5" s="1"/>
  <c r="I955" i="5"/>
  <c r="F955" i="5" s="1"/>
  <c r="I511" i="5"/>
  <c r="F511" i="5" s="1"/>
  <c r="I750" i="5"/>
  <c r="F750" i="5" s="1"/>
  <c r="I207" i="5"/>
  <c r="F207" i="5" s="1"/>
  <c r="I897" i="5"/>
  <c r="F897" i="5" s="1"/>
  <c r="I1005" i="5"/>
  <c r="F1005" i="5" s="1"/>
  <c r="I1039" i="5"/>
  <c r="F1039" i="5" s="1"/>
  <c r="I800" i="5"/>
  <c r="F800" i="5" s="1"/>
  <c r="I428" i="5"/>
  <c r="F428" i="5" s="1"/>
  <c r="I206" i="5"/>
  <c r="F206" i="5" s="1"/>
  <c r="I966" i="5"/>
  <c r="F966" i="5" s="1"/>
  <c r="I948" i="5"/>
  <c r="F948" i="5" s="1"/>
  <c r="I48" i="5"/>
  <c r="F48" i="5" s="1"/>
  <c r="I337" i="5"/>
  <c r="F337" i="5" s="1"/>
  <c r="I632" i="5"/>
  <c r="F632" i="5" s="1"/>
  <c r="I494" i="5"/>
  <c r="F494" i="5" s="1"/>
  <c r="I70" i="5"/>
  <c r="F70" i="5" s="1"/>
  <c r="I189" i="5"/>
  <c r="F189" i="5" s="1"/>
  <c r="I393" i="5"/>
  <c r="F393" i="5" s="1"/>
  <c r="I880" i="5"/>
  <c r="F880" i="5" s="1"/>
  <c r="I886" i="5"/>
  <c r="F886" i="5" s="1"/>
  <c r="I88" i="5"/>
  <c r="F88" i="5" s="1"/>
  <c r="I462" i="5"/>
  <c r="F462" i="5" s="1"/>
  <c r="I455" i="5"/>
  <c r="F455" i="5" s="1"/>
  <c r="I547" i="5"/>
  <c r="F547" i="5" s="1"/>
  <c r="I222" i="5"/>
  <c r="F222" i="5" s="1"/>
  <c r="I626" i="5"/>
  <c r="F626" i="5" s="1"/>
  <c r="I115" i="5"/>
  <c r="F115" i="5" s="1"/>
  <c r="I682" i="5"/>
  <c r="F682" i="5" s="1"/>
  <c r="I829" i="5"/>
  <c r="F829" i="5" s="1"/>
  <c r="I36" i="5"/>
  <c r="F36" i="5" s="1"/>
  <c r="I698" i="5"/>
  <c r="F698" i="5" s="1"/>
  <c r="I1023" i="5"/>
  <c r="F1023" i="5" s="1"/>
  <c r="I982" i="5"/>
  <c r="F982" i="5" s="1"/>
  <c r="I642" i="5"/>
  <c r="F642" i="5" s="1"/>
  <c r="I252" i="5"/>
  <c r="F252" i="5" s="1"/>
  <c r="I235" i="5"/>
  <c r="F235" i="5" s="1"/>
  <c r="I936" i="5"/>
  <c r="F936" i="5" s="1"/>
  <c r="I575" i="5"/>
  <c r="F575" i="5" s="1"/>
  <c r="I302" i="5"/>
  <c r="F302" i="5" s="1"/>
  <c r="I716" i="5"/>
  <c r="F716" i="5" s="1"/>
  <c r="I410" i="5"/>
  <c r="F410" i="5" s="1"/>
  <c r="I150" i="5"/>
  <c r="F150" i="5" s="1"/>
  <c r="I473" i="5"/>
  <c r="F473" i="5" s="1"/>
  <c r="I224" i="5"/>
  <c r="F224" i="5" s="1"/>
  <c r="I898" i="5"/>
  <c r="F898" i="5" s="1"/>
  <c r="I1006" i="5"/>
  <c r="F1006" i="5" s="1"/>
  <c r="I307" i="5"/>
  <c r="F307" i="5" s="1"/>
  <c r="I847" i="5"/>
  <c r="F847" i="5" s="1"/>
  <c r="I173" i="5"/>
  <c r="F173" i="5" s="1"/>
  <c r="I571" i="5"/>
  <c r="F571" i="5" s="1"/>
  <c r="I679" i="5"/>
  <c r="F679" i="5" s="1"/>
  <c r="I590" i="5"/>
  <c r="F590" i="5" s="1"/>
  <c r="I84" i="5"/>
  <c r="F84" i="5" s="1"/>
  <c r="I594" i="5"/>
  <c r="F594" i="5" s="1"/>
  <c r="I539" i="5"/>
  <c r="F539" i="5" s="1"/>
  <c r="I861" i="5"/>
  <c r="F861" i="5" s="1"/>
  <c r="I707" i="5"/>
  <c r="F707" i="5" s="1"/>
  <c r="L1003" i="5"/>
  <c r="L1007" i="5" s="1"/>
  <c r="I995" i="5"/>
  <c r="F995" i="5" s="1"/>
  <c r="L238" i="5"/>
  <c r="L242" i="5" s="1"/>
  <c r="I230" i="5"/>
  <c r="F230" i="5" s="1"/>
  <c r="I50" i="5"/>
  <c r="F50" i="5" s="1"/>
  <c r="I1070" i="5"/>
  <c r="F1070" i="5" s="1"/>
  <c r="I1019" i="5"/>
  <c r="F1019" i="5" s="1"/>
  <c r="L187" i="5"/>
  <c r="L191" i="5" s="1"/>
  <c r="I179" i="5"/>
  <c r="F179" i="5" s="1"/>
  <c r="I453" i="5"/>
  <c r="F453" i="5" s="1"/>
  <c r="L748" i="5"/>
  <c r="L752" i="5" s="1"/>
  <c r="I740" i="5"/>
  <c r="F740" i="5" s="1"/>
  <c r="I946" i="5"/>
  <c r="F946" i="5" s="1"/>
  <c r="I350" i="5"/>
  <c r="F350" i="5" s="1"/>
  <c r="I843" i="5"/>
  <c r="F843" i="5" s="1"/>
  <c r="L289" i="5"/>
  <c r="L293" i="5" s="1"/>
  <c r="I281" i="5"/>
  <c r="F281" i="5" s="1"/>
  <c r="I726" i="5"/>
  <c r="F726" i="5" s="1"/>
  <c r="I606" i="5"/>
  <c r="F606" i="5" s="1"/>
  <c r="I402" i="5"/>
  <c r="F402" i="5" s="1"/>
  <c r="I253" i="5"/>
  <c r="F253" i="5" s="1"/>
  <c r="I96" i="5"/>
  <c r="F96" i="5" s="1"/>
  <c r="I202" i="5"/>
  <c r="F202" i="5" s="1"/>
  <c r="I471" i="5"/>
  <c r="F471" i="5" s="1"/>
  <c r="I624" i="5"/>
  <c r="F624" i="5" s="1"/>
  <c r="I152" i="5"/>
  <c r="F152" i="5" s="1"/>
  <c r="I185" i="5"/>
  <c r="F185" i="5" s="1"/>
  <c r="I203" i="5"/>
  <c r="F203" i="5" s="1"/>
  <c r="I338" i="5"/>
  <c r="F338" i="5" s="1"/>
  <c r="I776" i="5"/>
  <c r="F776" i="5" s="1"/>
  <c r="I317" i="5"/>
  <c r="F317" i="5" s="1"/>
  <c r="I657" i="5"/>
  <c r="F657" i="5" s="1"/>
  <c r="I163" i="5"/>
  <c r="F163" i="5" s="1"/>
  <c r="I369" i="5"/>
  <c r="F369" i="5" s="1"/>
  <c r="I372" i="5"/>
  <c r="F372" i="5" s="1"/>
  <c r="L340" i="5"/>
  <c r="L344" i="5" s="1"/>
  <c r="I332" i="5"/>
  <c r="F332" i="5" s="1"/>
  <c r="I849" i="5"/>
  <c r="F849" i="5" s="1"/>
  <c r="I180" i="5"/>
  <c r="F180" i="5" s="1"/>
  <c r="I424" i="5"/>
  <c r="F424" i="5" s="1"/>
  <c r="I214" i="5"/>
  <c r="F214" i="5" s="1"/>
  <c r="I452" i="5"/>
  <c r="F452" i="5" s="1"/>
  <c r="I283" i="5"/>
  <c r="F283" i="5" s="1"/>
  <c r="I101" i="5"/>
  <c r="F101" i="5" s="1"/>
  <c r="I1035" i="5"/>
  <c r="F1035" i="5" s="1"/>
  <c r="I287" i="5"/>
  <c r="F287" i="5" s="1"/>
  <c r="I537" i="5"/>
  <c r="F537" i="5" s="1"/>
  <c r="I1002" i="5"/>
  <c r="F1002" i="5" s="1"/>
  <c r="L629" i="5"/>
  <c r="L633" i="5" s="1"/>
  <c r="I621" i="5"/>
  <c r="F621" i="5" s="1"/>
  <c r="L408" i="5"/>
  <c r="L412" i="5" s="1"/>
  <c r="I400" i="5"/>
  <c r="F400" i="5" s="1"/>
  <c r="L714" i="5"/>
  <c r="L718" i="5" s="1"/>
  <c r="I706" i="5"/>
  <c r="F706" i="5" s="1"/>
  <c r="L13" i="5"/>
  <c r="I13" i="5" s="1"/>
  <c r="B38" i="37" s="1"/>
  <c r="D38" i="37" s="1"/>
  <c r="F38" i="37" s="1"/>
  <c r="I32" i="5"/>
  <c r="F32" i="5" s="1"/>
  <c r="I79" i="5"/>
  <c r="F79" i="5" s="1"/>
  <c r="I724" i="5"/>
  <c r="F724" i="5" s="1"/>
  <c r="I809" i="5"/>
  <c r="F809" i="5" s="1"/>
  <c r="I559" i="5"/>
  <c r="F559" i="5" s="1"/>
  <c r="I80" i="5"/>
  <c r="F80" i="5" s="1"/>
  <c r="I828" i="5"/>
  <c r="F828" i="5" s="1"/>
  <c r="I419" i="5"/>
  <c r="F419" i="5" s="1"/>
  <c r="L901" i="5"/>
  <c r="L905" i="5" s="1"/>
  <c r="I893" i="5"/>
  <c r="F893" i="5" s="1"/>
  <c r="I708" i="5"/>
  <c r="F708" i="5" s="1"/>
  <c r="L799" i="5"/>
  <c r="L803" i="5" s="1"/>
  <c r="I791" i="5"/>
  <c r="F791" i="5" s="1"/>
  <c r="I87" i="5"/>
  <c r="F87" i="5" s="1"/>
  <c r="I183" i="5"/>
  <c r="F183" i="5" s="1"/>
  <c r="I285" i="5"/>
  <c r="F285" i="5" s="1"/>
  <c r="I121" i="5"/>
  <c r="F121" i="5" s="1"/>
  <c r="I392" i="5"/>
  <c r="F392" i="5" s="1"/>
  <c r="I324" i="5"/>
  <c r="F324" i="5" s="1"/>
  <c r="I920" i="5"/>
  <c r="F920" i="5" s="1"/>
  <c r="I489" i="5"/>
  <c r="F489" i="5" s="1"/>
  <c r="I358" i="5"/>
  <c r="F358" i="5" s="1"/>
  <c r="I1034" i="5"/>
  <c r="F1034" i="5" s="1"/>
  <c r="I836" i="5"/>
  <c r="F836" i="5" s="1"/>
  <c r="I1073" i="5"/>
  <c r="F1073" i="5" s="1"/>
  <c r="I802" i="5"/>
  <c r="F802" i="5" s="1"/>
  <c r="I999" i="5"/>
  <c r="F999" i="5" s="1"/>
  <c r="I496" i="5"/>
  <c r="F496" i="5" s="1"/>
  <c r="I507" i="5"/>
  <c r="F507" i="5" s="1"/>
  <c r="I258" i="5"/>
  <c r="F258" i="5" s="1"/>
  <c r="I288" i="5"/>
  <c r="F288" i="5" s="1"/>
  <c r="I401" i="5"/>
  <c r="F401" i="5" s="1"/>
  <c r="I899" i="5"/>
  <c r="F899" i="5" s="1"/>
  <c r="I912" i="5"/>
  <c r="F912" i="5" s="1"/>
  <c r="L221" i="5"/>
  <c r="L225" i="5" s="1"/>
  <c r="I213" i="5"/>
  <c r="F213" i="5" s="1"/>
  <c r="I742" i="5"/>
  <c r="F742" i="5" s="1"/>
  <c r="L493" i="5"/>
  <c r="L497" i="5" s="1"/>
  <c r="I485" i="5"/>
  <c r="F485" i="5" s="1"/>
  <c r="I249" i="5"/>
  <c r="F249" i="5" s="1"/>
  <c r="I882" i="5"/>
  <c r="F882" i="5" s="1"/>
  <c r="I793" i="5"/>
  <c r="F793" i="5" s="1"/>
  <c r="I980" i="5"/>
  <c r="F980" i="5" s="1"/>
  <c r="I1053" i="5"/>
  <c r="F1053" i="5" s="1"/>
  <c r="I810" i="5"/>
  <c r="F810" i="5" s="1"/>
  <c r="I691" i="5"/>
  <c r="F691" i="5" s="1"/>
  <c r="I304" i="5"/>
  <c r="F304" i="5" s="1"/>
  <c r="I866" i="5"/>
  <c r="F866" i="5" s="1"/>
  <c r="I832" i="5"/>
  <c r="F832" i="5" s="1"/>
  <c r="I282" i="5"/>
  <c r="F282" i="5" s="1"/>
  <c r="L255" i="5"/>
  <c r="L259" i="5" s="1"/>
  <c r="I247" i="5"/>
  <c r="F247" i="5" s="1"/>
  <c r="I949" i="5"/>
  <c r="F949" i="5" s="1"/>
  <c r="I921" i="5"/>
  <c r="F921" i="5" s="1"/>
  <c r="I767" i="5"/>
  <c r="F767" i="5" s="1"/>
  <c r="I35" i="5"/>
  <c r="F35" i="5" s="1"/>
  <c r="I557" i="5"/>
  <c r="F557" i="5" s="1"/>
  <c r="I937" i="5"/>
  <c r="F937" i="5" s="1"/>
  <c r="I405" i="5"/>
  <c r="F405" i="5" s="1"/>
  <c r="I648" i="5"/>
  <c r="F648" i="5" s="1"/>
  <c r="I852" i="5"/>
  <c r="F852" i="5" s="1"/>
  <c r="I796" i="5"/>
  <c r="F796" i="5" s="1"/>
  <c r="I241" i="5"/>
  <c r="F241" i="5" s="1"/>
  <c r="I970" i="5"/>
  <c r="F970" i="5" s="1"/>
  <c r="I201" i="5"/>
  <c r="F201" i="5" s="1"/>
  <c r="I1074" i="5"/>
  <c r="F1074" i="5" s="1"/>
  <c r="I751" i="5"/>
  <c r="F751" i="5" s="1"/>
  <c r="I625" i="5"/>
  <c r="F625" i="5" s="1"/>
  <c r="I762" i="5"/>
  <c r="F762" i="5" s="1"/>
  <c r="I461" i="5"/>
  <c r="F461" i="5" s="1"/>
  <c r="L11" i="5"/>
  <c r="I11" i="5" s="1"/>
  <c r="B36" i="37" s="1"/>
  <c r="D36" i="37" s="1"/>
  <c r="F36" i="37" s="1"/>
  <c r="I30" i="5"/>
  <c r="F30" i="5" s="1"/>
  <c r="I200" i="5"/>
  <c r="F200" i="5" s="1"/>
  <c r="I784" i="5"/>
  <c r="F784" i="5" s="1"/>
  <c r="I596" i="5"/>
  <c r="F596" i="5" s="1"/>
  <c r="I460" i="5"/>
  <c r="F460" i="5" s="1"/>
  <c r="I167" i="5"/>
  <c r="F167" i="5" s="1"/>
  <c r="I649" i="5"/>
  <c r="F649" i="5" s="1"/>
  <c r="I181" i="5"/>
  <c r="F181" i="5" s="1"/>
  <c r="I725" i="5"/>
  <c r="F725" i="5" s="1"/>
  <c r="I475" i="5"/>
  <c r="F475" i="5" s="1"/>
  <c r="L1037" i="5"/>
  <c r="L1041" i="5" s="1"/>
  <c r="I1029" i="5"/>
  <c r="F1029" i="5" s="1"/>
  <c r="L765" i="5"/>
  <c r="L769" i="5" s="1"/>
  <c r="I757" i="5"/>
  <c r="F757" i="5" s="1"/>
  <c r="I418" i="5"/>
  <c r="F418" i="5" s="1"/>
  <c r="I1030" i="5"/>
  <c r="F1030" i="5" s="1"/>
  <c r="I49" i="5"/>
  <c r="F49" i="5" s="1"/>
  <c r="I661" i="5"/>
  <c r="F661" i="5" s="1"/>
  <c r="I368" i="5"/>
  <c r="F368" i="5" s="1"/>
  <c r="I182" i="5"/>
  <c r="F182" i="5" s="1"/>
  <c r="I713" i="5"/>
  <c r="F713" i="5" s="1"/>
  <c r="L1054" i="5"/>
  <c r="L1058" i="5" s="1"/>
  <c r="I1046" i="5"/>
  <c r="F1046" i="5" s="1"/>
  <c r="I219" i="5"/>
  <c r="F219" i="5" s="1"/>
  <c r="I231" i="5"/>
  <c r="F231" i="5" s="1"/>
  <c r="I916" i="5"/>
  <c r="F916" i="5" s="1"/>
  <c r="L51" i="5"/>
  <c r="L55" i="5" s="1"/>
  <c r="I43" i="5"/>
  <c r="F43" i="5" s="1"/>
  <c r="I1069" i="5"/>
  <c r="F1069" i="5" s="1"/>
  <c r="I678" i="5"/>
  <c r="F678" i="5" s="1"/>
  <c r="I503" i="5"/>
  <c r="F503" i="5" s="1"/>
  <c r="L544" i="5"/>
  <c r="L548" i="5" s="1"/>
  <c r="I536" i="5"/>
  <c r="F536" i="5" s="1"/>
  <c r="I555" i="5"/>
  <c r="F555" i="5" s="1"/>
  <c r="L136" i="5"/>
  <c r="L140" i="5" s="1"/>
  <c r="I128" i="5"/>
  <c r="F128" i="5" s="1"/>
  <c r="I610" i="5"/>
  <c r="F610" i="5" s="1"/>
  <c r="I844" i="5"/>
  <c r="F844" i="5" s="1"/>
  <c r="I1048" i="5"/>
  <c r="F1048" i="5" s="1"/>
  <c r="I300" i="5"/>
  <c r="F300" i="5" s="1"/>
  <c r="I1064" i="5"/>
  <c r="F1064" i="5" s="1"/>
  <c r="I676" i="5"/>
  <c r="F676" i="5" s="1"/>
  <c r="I444" i="5"/>
  <c r="F444" i="5" s="1"/>
  <c r="I931" i="5"/>
  <c r="F931" i="5" s="1"/>
  <c r="I490" i="5"/>
  <c r="F490" i="5" s="1"/>
  <c r="I439" i="5"/>
  <c r="F439" i="5" s="1"/>
  <c r="I376" i="5"/>
  <c r="F376" i="5" s="1"/>
  <c r="I598" i="5"/>
  <c r="F598" i="5" s="1"/>
  <c r="I427" i="5"/>
  <c r="F427" i="5" s="1"/>
  <c r="I190" i="5"/>
  <c r="F190" i="5" s="1"/>
  <c r="I592" i="5"/>
  <c r="F592" i="5" s="1"/>
  <c r="I562" i="5"/>
  <c r="F562" i="5" s="1"/>
  <c r="I472" i="5"/>
  <c r="F472" i="5" s="1"/>
  <c r="I1000" i="5"/>
  <c r="F1000" i="5" s="1"/>
  <c r="I394" i="5"/>
  <c r="F394" i="5" s="1"/>
  <c r="I319" i="5"/>
  <c r="F319" i="5" s="1"/>
  <c r="I171" i="5"/>
  <c r="F171" i="5" s="1"/>
  <c r="I99" i="5"/>
  <c r="F99" i="5" s="1"/>
  <c r="I727" i="5"/>
  <c r="F727" i="5" s="1"/>
  <c r="I766" i="5"/>
  <c r="F766" i="5" s="1"/>
  <c r="I513" i="5"/>
  <c r="F513" i="5" s="1"/>
  <c r="I1040" i="5"/>
  <c r="F1040" i="5" s="1"/>
  <c r="I863" i="5"/>
  <c r="F863" i="5" s="1"/>
  <c r="I541" i="5"/>
  <c r="F541" i="5" s="1"/>
  <c r="I579" i="5"/>
  <c r="F579" i="5" s="1"/>
  <c r="I988" i="5"/>
  <c r="F988" i="5" s="1"/>
  <c r="I761" i="5"/>
  <c r="F761" i="5" s="1"/>
  <c r="I732" i="5"/>
  <c r="F732" i="5" s="1"/>
  <c r="I81" i="5"/>
  <c r="F81" i="5" s="1"/>
  <c r="I953" i="5"/>
  <c r="F953" i="5" s="1"/>
  <c r="I443" i="5"/>
  <c r="F443" i="5" s="1"/>
  <c r="I275" i="5"/>
  <c r="F275" i="5" s="1"/>
  <c r="I983" i="5"/>
  <c r="F983" i="5" s="1"/>
  <c r="I580" i="5"/>
  <c r="F580" i="5" s="1"/>
  <c r="I149" i="5"/>
  <c r="F149" i="5" s="1"/>
  <c r="I240" i="5"/>
  <c r="F240" i="5" s="1"/>
  <c r="I915" i="5"/>
  <c r="F915" i="5" s="1"/>
  <c r="I830" i="5"/>
  <c r="F830" i="5" s="1"/>
  <c r="I103" i="5"/>
  <c r="F103" i="5" s="1"/>
  <c r="I677" i="5"/>
  <c r="F677" i="5" s="1"/>
  <c r="I870" i="5"/>
  <c r="F870" i="5" s="1"/>
  <c r="I309" i="5"/>
  <c r="F309" i="5" s="1"/>
  <c r="I217" i="5"/>
  <c r="F217" i="5" s="1"/>
  <c r="I851" i="5"/>
  <c r="F851" i="5" s="1"/>
  <c r="I223" i="5"/>
  <c r="F223" i="5" s="1"/>
  <c r="I205" i="5"/>
  <c r="F205" i="5" s="1"/>
  <c r="I354" i="5"/>
  <c r="F354" i="5" s="1"/>
  <c r="I359" i="5"/>
  <c r="F359" i="5" s="1"/>
  <c r="I683" i="5"/>
  <c r="F683" i="5" s="1"/>
  <c r="I257" i="5"/>
  <c r="F257" i="5" s="1"/>
  <c r="I1072" i="5"/>
  <c r="F1072" i="5" s="1"/>
  <c r="I631" i="5"/>
  <c r="F631" i="5" s="1"/>
  <c r="I556" i="5"/>
  <c r="F556" i="5" s="1"/>
  <c r="L7" i="5"/>
  <c r="I7" i="5" s="1"/>
  <c r="B32" i="37" s="1"/>
  <c r="D32" i="37" s="1"/>
  <c r="F32" i="37" s="1"/>
  <c r="I26" i="5"/>
  <c r="F26" i="5" s="1"/>
  <c r="I389" i="5"/>
  <c r="F389" i="5" s="1"/>
  <c r="L12" i="5"/>
  <c r="I12" i="5" s="1"/>
  <c r="B37" i="37" s="1"/>
  <c r="D37" i="37" s="1"/>
  <c r="F37" i="37" s="1"/>
  <c r="I31" i="5"/>
  <c r="F31" i="5" s="1"/>
  <c r="I860" i="5"/>
  <c r="F860" i="5" s="1"/>
  <c r="I883" i="5"/>
  <c r="F883" i="5" s="1"/>
  <c r="L374" i="5"/>
  <c r="L378" i="5" s="1"/>
  <c r="I366" i="5"/>
  <c r="F366" i="5" s="1"/>
  <c r="L510" i="5"/>
  <c r="L514" i="5" s="1"/>
  <c r="I502" i="5"/>
  <c r="F502" i="5" s="1"/>
  <c r="I164" i="5"/>
  <c r="F164" i="5" s="1"/>
  <c r="I622" i="5"/>
  <c r="F622" i="5" s="1"/>
  <c r="L782" i="5"/>
  <c r="L786" i="5" s="1"/>
  <c r="I774" i="5"/>
  <c r="F774" i="5" s="1"/>
  <c r="L102" i="5"/>
  <c r="L106" i="5" s="1"/>
  <c r="I94" i="5"/>
  <c r="F94" i="5" s="1"/>
  <c r="L952" i="5"/>
  <c r="L956" i="5" s="1"/>
  <c r="I944" i="5"/>
  <c r="F944" i="5" s="1"/>
  <c r="I827" i="5"/>
  <c r="F827" i="5" s="1"/>
  <c r="I593" i="5"/>
  <c r="F593" i="5" s="1"/>
  <c r="I440" i="5"/>
  <c r="F440" i="5" s="1"/>
  <c r="I435" i="5"/>
  <c r="F435" i="5" s="1"/>
  <c r="I963" i="5"/>
  <c r="F963" i="5" s="1"/>
  <c r="I645" i="5"/>
  <c r="F645" i="5" s="1"/>
  <c r="I997" i="5"/>
  <c r="F997" i="5" s="1"/>
  <c r="I406" i="5"/>
  <c r="F406" i="5" s="1"/>
  <c r="L867" i="5"/>
  <c r="L871" i="5" s="1"/>
  <c r="I859" i="5"/>
  <c r="F859" i="5" s="1"/>
  <c r="I83" i="5"/>
  <c r="F83" i="5" s="1"/>
  <c r="I373" i="5"/>
  <c r="F373" i="5" s="1"/>
  <c r="I729" i="5"/>
  <c r="F729" i="5" s="1"/>
  <c r="I930" i="5"/>
  <c r="F930" i="5" s="1"/>
  <c r="I45" i="5"/>
  <c r="F45" i="5" s="1"/>
  <c r="I934" i="5"/>
  <c r="F934" i="5" s="1"/>
  <c r="I62" i="5"/>
  <c r="F62" i="5" s="1"/>
  <c r="L323" i="5"/>
  <c r="L327" i="5" s="1"/>
  <c r="I315" i="5"/>
  <c r="F315" i="5" s="1"/>
  <c r="I220" i="5"/>
  <c r="F220" i="5" s="1"/>
  <c r="I764" i="5"/>
  <c r="F764" i="5" s="1"/>
  <c r="I996" i="5"/>
  <c r="F996" i="5" s="1"/>
  <c r="I777" i="5"/>
  <c r="F777" i="5" s="1"/>
  <c r="I390" i="5"/>
  <c r="F390" i="5" s="1"/>
  <c r="I845" i="5"/>
  <c r="F845" i="5" s="1"/>
  <c r="I741" i="5"/>
  <c r="F741" i="5" s="1"/>
  <c r="I284" i="5"/>
  <c r="F284" i="5" s="1"/>
  <c r="I165" i="5"/>
  <c r="F165" i="5" s="1"/>
  <c r="I322" i="5"/>
  <c r="F322" i="5" s="1"/>
  <c r="I351" i="5"/>
  <c r="F351" i="5" s="1"/>
  <c r="I199" i="5"/>
  <c r="F199" i="5" s="1"/>
  <c r="I521" i="5"/>
  <c r="F521" i="5" s="1"/>
  <c r="L578" i="5"/>
  <c r="L582" i="5" s="1"/>
  <c r="I570" i="5"/>
  <c r="F570" i="5" s="1"/>
  <c r="L612" i="5"/>
  <c r="L616" i="5" s="1"/>
  <c r="I604" i="5"/>
  <c r="F604" i="5" s="1"/>
  <c r="I794" i="5"/>
  <c r="F794" i="5" s="1"/>
  <c r="I270" i="5"/>
  <c r="F270" i="5" s="1"/>
  <c r="I968" i="5"/>
  <c r="F968" i="5" s="1"/>
  <c r="I520" i="5"/>
  <c r="F520" i="5" s="1"/>
  <c r="I1015" i="5"/>
  <c r="F1015" i="5" s="1"/>
  <c r="I542" i="5"/>
  <c r="F542" i="5" s="1"/>
  <c r="I339" i="5"/>
  <c r="F339" i="5" s="1"/>
  <c r="L527" i="5"/>
  <c r="L531" i="5" s="1"/>
  <c r="I519" i="5"/>
  <c r="F519" i="5" s="1"/>
  <c r="I352" i="5"/>
  <c r="F352" i="5" s="1"/>
  <c r="I611" i="5"/>
  <c r="F611" i="5" s="1"/>
  <c r="I117" i="5"/>
  <c r="F117" i="5" s="1"/>
  <c r="L68" i="5"/>
  <c r="L72" i="5" s="1"/>
  <c r="I60" i="5"/>
  <c r="F60" i="5" s="1"/>
  <c r="I985" i="5"/>
  <c r="F985" i="5" s="1"/>
  <c r="I61" i="5"/>
  <c r="F61" i="5" s="1"/>
  <c r="I301" i="5"/>
  <c r="F301" i="5" s="1"/>
  <c r="I674" i="5"/>
  <c r="F674" i="5" s="1"/>
  <c r="I1032" i="5"/>
  <c r="F1032" i="5" s="1"/>
  <c r="I404" i="5"/>
  <c r="F404" i="5" s="1"/>
  <c r="I98" i="5"/>
  <c r="F98" i="5" s="1"/>
  <c r="I234" i="5"/>
  <c r="F234" i="5" s="1"/>
  <c r="I681" i="5"/>
  <c r="F681" i="5" s="1"/>
  <c r="I326" i="5"/>
  <c r="F326" i="5" s="1"/>
  <c r="I643" i="5"/>
  <c r="F643" i="5" s="1"/>
  <c r="I308" i="5"/>
  <c r="F308" i="5" s="1"/>
  <c r="I700" i="5"/>
  <c r="F700" i="5" s="1"/>
  <c r="I902" i="5"/>
  <c r="F902" i="5" s="1"/>
  <c r="I269" i="5"/>
  <c r="F269" i="5" s="1"/>
  <c r="I694" i="5"/>
  <c r="F694" i="5" s="1"/>
  <c r="I268" i="5"/>
  <c r="F268" i="5" s="1"/>
  <c r="I919" i="5"/>
  <c r="F919" i="5" s="1"/>
  <c r="I903" i="5"/>
  <c r="F903" i="5" s="1"/>
  <c r="I914" i="5"/>
  <c r="F914" i="5" s="1"/>
  <c r="I438" i="5"/>
  <c r="F438" i="5" s="1"/>
  <c r="I795" i="5"/>
  <c r="F795" i="5" s="1"/>
  <c r="I69" i="5"/>
  <c r="F69" i="5" s="1"/>
  <c r="I154" i="5"/>
  <c r="F154" i="5" s="1"/>
  <c r="I801" i="5"/>
  <c r="F801" i="5" s="1"/>
  <c r="I82" i="5"/>
  <c r="F82" i="5" s="1"/>
  <c r="I274" i="5"/>
  <c r="F274" i="5" s="1"/>
  <c r="I818" i="5"/>
  <c r="F818" i="5" s="1"/>
  <c r="I104" i="5"/>
  <c r="F104" i="5" s="1"/>
  <c r="I728" i="5"/>
  <c r="F728" i="5" s="1"/>
  <c r="I660" i="5"/>
  <c r="F660" i="5" s="1"/>
  <c r="I524" i="5"/>
  <c r="F524" i="5" s="1"/>
  <c r="I615" i="5"/>
  <c r="F615" i="5" s="1"/>
  <c r="I665" i="5"/>
  <c r="F665" i="5" s="1"/>
  <c r="I989" i="5"/>
  <c r="F989" i="5" s="1"/>
  <c r="I291" i="5"/>
  <c r="F291" i="5" s="1"/>
  <c r="I528" i="5"/>
  <c r="F528" i="5" s="1"/>
  <c r="I116" i="5"/>
  <c r="F116" i="5" s="1"/>
  <c r="I506" i="5"/>
  <c r="F506" i="5" s="1"/>
  <c r="I609" i="5"/>
  <c r="F609" i="5" s="1"/>
  <c r="I785" i="5"/>
  <c r="F785" i="5" s="1"/>
  <c r="I768" i="5"/>
  <c r="F768" i="5" s="1"/>
  <c r="I954" i="5"/>
  <c r="F954" i="5" s="1"/>
  <c r="I375" i="5"/>
  <c r="F375" i="5" s="1"/>
  <c r="I172" i="5"/>
  <c r="F172" i="5" s="1"/>
  <c r="I1017" i="5"/>
  <c r="F1017" i="5" s="1"/>
  <c r="I303" i="5"/>
  <c r="F303" i="5" s="1"/>
  <c r="I733" i="5"/>
  <c r="F733" i="5" s="1"/>
  <c r="I71" i="5"/>
  <c r="F71" i="5" s="1"/>
  <c r="I1016" i="5"/>
  <c r="F1016" i="5" s="1"/>
  <c r="I835" i="5"/>
  <c r="F835" i="5" s="1"/>
  <c r="I647" i="5"/>
  <c r="F647" i="5" s="1"/>
  <c r="I613" i="5"/>
  <c r="F613" i="5" s="1"/>
  <c r="I377" i="5"/>
  <c r="F377" i="5" s="1"/>
  <c r="I932" i="5"/>
  <c r="F932" i="5" s="1"/>
  <c r="I292" i="5"/>
  <c r="F292" i="5" s="1"/>
  <c r="I166" i="5"/>
  <c r="F166" i="5" s="1"/>
  <c r="I321" i="5"/>
  <c r="F321" i="5" s="1"/>
  <c r="L918" i="5"/>
  <c r="L922" i="5" s="1"/>
  <c r="I910" i="5"/>
  <c r="F910" i="5" s="1"/>
  <c r="I967" i="5"/>
  <c r="F967" i="5" s="1"/>
  <c r="L561" i="5"/>
  <c r="L565" i="5" s="1"/>
  <c r="I553" i="5"/>
  <c r="F553" i="5" s="1"/>
  <c r="I1047" i="5"/>
  <c r="F1047" i="5" s="1"/>
  <c r="L119" i="5"/>
  <c r="L123" i="5" s="1"/>
  <c r="I111" i="5"/>
  <c r="F111" i="5" s="1"/>
  <c r="I168" i="5"/>
  <c r="F168" i="5" s="1"/>
  <c r="I979" i="5"/>
  <c r="F979" i="5" s="1"/>
  <c r="I335" i="5"/>
  <c r="F335" i="5" s="1"/>
  <c r="I78" i="5"/>
  <c r="F78" i="5" s="1"/>
  <c r="I775" i="5"/>
  <c r="F775" i="5" s="1"/>
  <c r="I233" i="5"/>
  <c r="F233" i="5" s="1"/>
  <c r="I458" i="5"/>
  <c r="F458" i="5" s="1"/>
  <c r="I508" i="5"/>
  <c r="F508" i="5" s="1"/>
  <c r="I998" i="5"/>
  <c r="F998" i="5" s="1"/>
  <c r="I692" i="5"/>
  <c r="F692" i="5" s="1"/>
  <c r="I423" i="5"/>
  <c r="F423" i="5" s="1"/>
  <c r="L595" i="5"/>
  <c r="L599" i="5" s="1"/>
  <c r="I587" i="5"/>
  <c r="F587" i="5" s="1"/>
  <c r="L969" i="5"/>
  <c r="L973" i="5" s="1"/>
  <c r="I961" i="5"/>
  <c r="F961" i="5" s="1"/>
  <c r="I100" i="5"/>
  <c r="F100" i="5" s="1"/>
  <c r="I198" i="5"/>
  <c r="F198" i="5" s="1"/>
  <c r="I135" i="5"/>
  <c r="F135" i="5" s="1"/>
  <c r="I66" i="5"/>
  <c r="F66" i="5" s="1"/>
  <c r="I1014" i="5"/>
  <c r="F1014" i="5" s="1"/>
  <c r="I407" i="5"/>
  <c r="F407" i="5" s="1"/>
  <c r="I560" i="5"/>
  <c r="F560" i="5" s="1"/>
  <c r="I505" i="5"/>
  <c r="F505" i="5" s="1"/>
  <c r="I815" i="5"/>
  <c r="F815" i="5" s="1"/>
  <c r="I690" i="5"/>
  <c r="F690" i="5" s="1"/>
  <c r="I236" i="5"/>
  <c r="F236" i="5" s="1"/>
  <c r="I237" i="5"/>
  <c r="F237" i="5" s="1"/>
  <c r="I333" i="5"/>
  <c r="F333" i="5" s="1"/>
  <c r="I386" i="5"/>
  <c r="F386" i="5" s="1"/>
  <c r="I554" i="5"/>
  <c r="F554" i="5" s="1"/>
  <c r="I623" i="5"/>
  <c r="F623" i="5" s="1"/>
  <c r="L357" i="5"/>
  <c r="L361" i="5" s="1"/>
  <c r="I349" i="5"/>
  <c r="F349" i="5" s="1"/>
  <c r="I743" i="5"/>
  <c r="F743" i="5" s="1"/>
  <c r="I797" i="5"/>
  <c r="F797" i="5" s="1"/>
  <c r="I486" i="5"/>
  <c r="F486" i="5" s="1"/>
  <c r="I792" i="5"/>
  <c r="F792" i="5" s="1"/>
  <c r="I605" i="5"/>
  <c r="F605" i="5" s="1"/>
  <c r="I1013" i="5"/>
  <c r="F1013" i="5" s="1"/>
  <c r="I469" i="5"/>
  <c r="F469" i="5" s="1"/>
  <c r="I895" i="5"/>
  <c r="F895" i="5" s="1"/>
  <c r="I695" i="5"/>
  <c r="F695" i="5" s="1"/>
  <c r="I1031" i="5"/>
  <c r="F1031" i="5" s="1"/>
  <c r="I1049" i="5"/>
  <c r="F1049" i="5" s="1"/>
  <c r="I831" i="5"/>
  <c r="F831" i="5" s="1"/>
  <c r="I129" i="5"/>
  <c r="F129" i="5" s="1"/>
  <c r="I525" i="5"/>
  <c r="F525" i="5" s="1"/>
  <c r="L680" i="5"/>
  <c r="L684" i="5" s="1"/>
  <c r="I672" i="5"/>
  <c r="F672" i="5" s="1"/>
  <c r="L8" i="5"/>
  <c r="I8" i="5" s="1"/>
  <c r="B33" i="37" s="1"/>
  <c r="D33" i="37" s="1"/>
  <c r="F33" i="37" s="1"/>
  <c r="I27" i="5"/>
  <c r="F27" i="5" s="1"/>
  <c r="I933" i="5"/>
  <c r="F933" i="5" s="1"/>
  <c r="L986" i="5"/>
  <c r="L990" i="5" s="1"/>
  <c r="I978" i="5"/>
  <c r="F978" i="5" s="1"/>
  <c r="I1052" i="5"/>
  <c r="F1052" i="5" s="1"/>
  <c r="L731" i="5"/>
  <c r="L735" i="5" s="1"/>
  <c r="I723" i="5"/>
  <c r="F723" i="5" s="1"/>
  <c r="I641" i="5"/>
  <c r="F641" i="5" s="1"/>
  <c r="I696" i="5"/>
  <c r="F696" i="5" s="1"/>
  <c r="I186" i="5"/>
  <c r="F186" i="5" s="1"/>
  <c r="L459" i="5"/>
  <c r="L463" i="5" s="1"/>
  <c r="I451" i="5"/>
  <c r="F451" i="5" s="1"/>
  <c r="I305" i="5"/>
  <c r="F305" i="5" s="1"/>
  <c r="I877" i="5"/>
  <c r="F877" i="5" s="1"/>
  <c r="I545" i="5"/>
  <c r="F545" i="5" s="1"/>
  <c r="I693" i="5"/>
  <c r="F693" i="5" s="1"/>
  <c r="I54" i="5"/>
  <c r="F54" i="5" s="1"/>
  <c r="L1020" i="5"/>
  <c r="L1024" i="5" s="1"/>
  <c r="I1012" i="5"/>
  <c r="F1012" i="5" s="1"/>
  <c r="I710" i="5"/>
  <c r="F710" i="5" s="1"/>
  <c r="I563" i="5"/>
  <c r="F563" i="5" s="1"/>
  <c r="I120" i="5"/>
  <c r="F120" i="5" s="1"/>
  <c r="I591" i="5"/>
  <c r="F591" i="5" s="1"/>
  <c r="I34" i="5"/>
  <c r="F34" i="5" s="1"/>
  <c r="I426" i="5"/>
  <c r="F426" i="5" s="1"/>
  <c r="I715" i="5"/>
  <c r="F715" i="5" s="1"/>
  <c r="I734" i="5"/>
  <c r="F734" i="5" s="1"/>
  <c r="I965" i="5"/>
  <c r="F965" i="5" s="1"/>
  <c r="I664" i="5"/>
  <c r="F664" i="5" s="1"/>
  <c r="I523" i="5"/>
  <c r="F523" i="5" s="1"/>
  <c r="I630" i="5"/>
  <c r="F630" i="5" s="1"/>
  <c r="I512" i="5"/>
  <c r="F512" i="5" s="1"/>
  <c r="I184" i="5"/>
  <c r="F184" i="5" s="1"/>
  <c r="I122" i="5"/>
  <c r="F122" i="5" s="1"/>
  <c r="I370" i="5"/>
  <c r="F370" i="5" s="1"/>
  <c r="I130" i="5"/>
  <c r="F130" i="5" s="1"/>
  <c r="I216" i="5"/>
  <c r="F216" i="5" s="1"/>
  <c r="L884" i="5"/>
  <c r="L888" i="5" s="1"/>
  <c r="I876" i="5"/>
  <c r="F876" i="5" s="1"/>
  <c r="I367" i="5"/>
  <c r="F367" i="5" s="1"/>
  <c r="I730" i="5"/>
  <c r="F730" i="5" s="1"/>
  <c r="I334" i="5"/>
  <c r="F334" i="5" s="1"/>
  <c r="I747" i="5"/>
  <c r="F747" i="5" s="1"/>
  <c r="I299" i="5"/>
  <c r="F299" i="5" s="1"/>
  <c r="I780" i="5"/>
  <c r="F780" i="5" s="1"/>
  <c r="I644" i="5"/>
  <c r="F644" i="5" s="1"/>
  <c r="I1001" i="5"/>
  <c r="F1001" i="5" s="1"/>
  <c r="I316" i="5"/>
  <c r="F316" i="5" s="1"/>
  <c r="L9" i="5"/>
  <c r="I9" i="5" s="1"/>
  <c r="B34" i="37" s="1"/>
  <c r="D34" i="37" s="1"/>
  <c r="F34" i="37" s="1"/>
  <c r="I28" i="5"/>
  <c r="F28" i="5" s="1"/>
  <c r="I114" i="5"/>
  <c r="F114" i="5" s="1"/>
  <c r="I896" i="5"/>
  <c r="F896" i="5" s="1"/>
  <c r="I267" i="5"/>
  <c r="F267" i="5" s="1"/>
  <c r="I134" i="5"/>
  <c r="F134" i="5" s="1"/>
  <c r="L153" i="5"/>
  <c r="L157" i="5" s="1"/>
  <c r="I145" i="5"/>
  <c r="F145" i="5" s="1"/>
  <c r="I318" i="5"/>
  <c r="F318" i="5" s="1"/>
  <c r="I411" i="5"/>
  <c r="F411" i="5" s="1"/>
  <c r="I879" i="5"/>
  <c r="F879" i="5" s="1"/>
  <c r="I526" i="5"/>
  <c r="F526" i="5" s="1"/>
  <c r="J973" i="5"/>
  <c r="I969" i="5"/>
  <c r="G395" i="5"/>
  <c r="J650" i="5"/>
  <c r="I646" i="5"/>
  <c r="G582" i="5"/>
  <c r="F395" i="6"/>
  <c r="F397" i="6"/>
  <c r="C386" i="6" s="1"/>
  <c r="C387" i="6" s="1"/>
  <c r="C388" i="6" s="1"/>
  <c r="C389" i="6" s="1"/>
  <c r="C390" i="6" s="1"/>
  <c r="C391" i="6" s="1"/>
  <c r="C392" i="6" s="1"/>
  <c r="C393" i="6" s="1"/>
  <c r="C394" i="6" s="1"/>
  <c r="C395" i="6" s="1"/>
  <c r="C396" i="6" s="1"/>
  <c r="C397" i="6" s="1"/>
  <c r="F644" i="6"/>
  <c r="C633" i="6" s="1"/>
  <c r="C634" i="6" s="1"/>
  <c r="C635" i="6" s="1"/>
  <c r="C636" i="6" s="1"/>
  <c r="C637" i="6" s="1"/>
  <c r="C638" i="6" s="1"/>
  <c r="C639" i="6" s="1"/>
  <c r="C640" i="6" s="1"/>
  <c r="C641" i="6" s="1"/>
  <c r="C642" i="6" s="1"/>
  <c r="C643" i="6" s="1"/>
  <c r="C644" i="6" s="1"/>
  <c r="F642" i="6"/>
  <c r="F694" i="6"/>
  <c r="F696" i="6"/>
  <c r="C685" i="6" s="1"/>
  <c r="C686" i="6" s="1"/>
  <c r="C687" i="6" s="1"/>
  <c r="C688" i="6" s="1"/>
  <c r="C689" i="6" s="1"/>
  <c r="C690" i="6" s="1"/>
  <c r="C691" i="6" s="1"/>
  <c r="C692" i="6" s="1"/>
  <c r="C693" i="6" s="1"/>
  <c r="C694" i="6" s="1"/>
  <c r="C695" i="6" s="1"/>
  <c r="C696" i="6" s="1"/>
  <c r="I280" i="6"/>
  <c r="G1058" i="5"/>
  <c r="G378" i="5"/>
  <c r="J242" i="5"/>
  <c r="I238" i="5"/>
  <c r="F618" i="6"/>
  <c r="C607" i="6" s="1"/>
  <c r="C608" i="6" s="1"/>
  <c r="C609" i="6" s="1"/>
  <c r="C610" i="6" s="1"/>
  <c r="C611" i="6" s="1"/>
  <c r="C612" i="6" s="1"/>
  <c r="C613" i="6" s="1"/>
  <c r="C614" i="6" s="1"/>
  <c r="C615" i="6" s="1"/>
  <c r="C616" i="6" s="1"/>
  <c r="C617" i="6" s="1"/>
  <c r="C618" i="6" s="1"/>
  <c r="F616" i="6"/>
  <c r="G718" i="5"/>
  <c r="J871" i="5"/>
  <c r="G837" i="5"/>
  <c r="F70" i="6"/>
  <c r="F72" i="6"/>
  <c r="C61" i="6" s="1"/>
  <c r="C62" i="6" s="1"/>
  <c r="C63" i="6" s="1"/>
  <c r="C64" i="6" s="1"/>
  <c r="C65" i="6" s="1"/>
  <c r="C66" i="6" s="1"/>
  <c r="C67" i="6" s="1"/>
  <c r="C68" i="6" s="1"/>
  <c r="C69" i="6" s="1"/>
  <c r="C70" i="6" s="1"/>
  <c r="C71" i="6" s="1"/>
  <c r="C72" i="6" s="1"/>
  <c r="F512" i="6"/>
  <c r="F514" i="6"/>
  <c r="C503" i="6" s="1"/>
  <c r="C504" i="6" s="1"/>
  <c r="C505" i="6" s="1"/>
  <c r="C506" i="6" s="1"/>
  <c r="C507" i="6" s="1"/>
  <c r="C508" i="6" s="1"/>
  <c r="C509" i="6" s="1"/>
  <c r="C510" i="6" s="1"/>
  <c r="C511" i="6" s="1"/>
  <c r="C512" i="6" s="1"/>
  <c r="C513" i="6" s="1"/>
  <c r="C514" i="6" s="1"/>
  <c r="G956" i="5"/>
  <c r="J191" i="5"/>
  <c r="I187" i="5"/>
  <c r="I191" i="5" s="1"/>
  <c r="J174" i="5"/>
  <c r="I170" i="5"/>
  <c r="I174" i="5" s="1"/>
  <c r="J701" i="5"/>
  <c r="I697" i="5"/>
  <c r="F345" i="6"/>
  <c r="C334" i="6" s="1"/>
  <c r="C335" i="6" s="1"/>
  <c r="C336" i="6" s="1"/>
  <c r="C337" i="6" s="1"/>
  <c r="C338" i="6" s="1"/>
  <c r="C339" i="6" s="1"/>
  <c r="C340" i="6" s="1"/>
  <c r="C341" i="6" s="1"/>
  <c r="C342" i="6" s="1"/>
  <c r="C343" i="6" s="1"/>
  <c r="C344" i="6" s="1"/>
  <c r="C345" i="6" s="1"/>
  <c r="F343" i="6"/>
  <c r="G208" i="5"/>
  <c r="I72" i="6"/>
  <c r="F759" i="6"/>
  <c r="F761" i="6"/>
  <c r="C750" i="6" s="1"/>
  <c r="C751" i="6" s="1"/>
  <c r="C752" i="6" s="1"/>
  <c r="C753" i="6" s="1"/>
  <c r="C754" i="6" s="1"/>
  <c r="C755" i="6" s="1"/>
  <c r="C756" i="6" s="1"/>
  <c r="C757" i="6" s="1"/>
  <c r="C758" i="6" s="1"/>
  <c r="C759" i="6" s="1"/>
  <c r="C760" i="6" s="1"/>
  <c r="C761" i="6" s="1"/>
  <c r="G667" i="5"/>
  <c r="I683" i="6"/>
  <c r="I343" i="6"/>
  <c r="G293" i="5"/>
  <c r="F460" i="6"/>
  <c r="F462" i="6"/>
  <c r="C451" i="6" s="1"/>
  <c r="C452" i="6" s="1"/>
  <c r="C453" i="6" s="1"/>
  <c r="C454" i="6" s="1"/>
  <c r="C455" i="6" s="1"/>
  <c r="C456" i="6" s="1"/>
  <c r="C457" i="6" s="1"/>
  <c r="C458" i="6" s="1"/>
  <c r="C459" i="6" s="1"/>
  <c r="C460" i="6" s="1"/>
  <c r="C461" i="6" s="1"/>
  <c r="C462" i="6" s="1"/>
  <c r="J599" i="5"/>
  <c r="G259" i="5"/>
  <c r="I83" i="6"/>
  <c r="G14" i="5"/>
  <c r="G18" i="5" s="1"/>
  <c r="K72" i="5"/>
  <c r="I68" i="5"/>
  <c r="K531" i="5"/>
  <c r="J123" i="5"/>
  <c r="I119" i="5"/>
  <c r="I369" i="6"/>
  <c r="K14" i="6"/>
  <c r="K15" i="6" s="1"/>
  <c r="K12" i="6"/>
  <c r="F124" i="6"/>
  <c r="C113" i="6" s="1"/>
  <c r="C114" i="6" s="1"/>
  <c r="C115" i="6" s="1"/>
  <c r="C116" i="6" s="1"/>
  <c r="C117" i="6" s="1"/>
  <c r="C118" i="6" s="1"/>
  <c r="C119" i="6" s="1"/>
  <c r="C120" i="6" s="1"/>
  <c r="C121" i="6" s="1"/>
  <c r="C122" i="6" s="1"/>
  <c r="C123" i="6" s="1"/>
  <c r="C124" i="6" s="1"/>
  <c r="F122" i="6"/>
  <c r="J293" i="5"/>
  <c r="I289" i="5"/>
  <c r="F289" i="5" s="1"/>
  <c r="J378" i="5"/>
  <c r="I374" i="5"/>
  <c r="I11" i="6"/>
  <c r="B46" i="37" s="1"/>
  <c r="D46" i="37" s="1"/>
  <c r="F46" i="37" s="1"/>
  <c r="J361" i="5"/>
  <c r="I357" i="5"/>
  <c r="J344" i="5"/>
  <c r="I553" i="6"/>
  <c r="J854" i="5"/>
  <c r="I850" i="5"/>
  <c r="F590" i="6"/>
  <c r="F592" i="6"/>
  <c r="C581" i="6" s="1"/>
  <c r="C582" i="6" s="1"/>
  <c r="C583" i="6" s="1"/>
  <c r="C584" i="6" s="1"/>
  <c r="C585" i="6" s="1"/>
  <c r="C586" i="6" s="1"/>
  <c r="C587" i="6" s="1"/>
  <c r="C588" i="6" s="1"/>
  <c r="C589" i="6" s="1"/>
  <c r="C590" i="6" s="1"/>
  <c r="C591" i="6" s="1"/>
  <c r="C592" i="6" s="1"/>
  <c r="J310" i="5"/>
  <c r="J463" i="5"/>
  <c r="I657" i="6"/>
  <c r="F135" i="6"/>
  <c r="F137" i="6"/>
  <c r="C126" i="6" s="1"/>
  <c r="C127" i="6" s="1"/>
  <c r="C128" i="6" s="1"/>
  <c r="C129" i="6" s="1"/>
  <c r="C130" i="6" s="1"/>
  <c r="C131" i="6" s="1"/>
  <c r="C132" i="6" s="1"/>
  <c r="C133" i="6" s="1"/>
  <c r="C134" i="6" s="1"/>
  <c r="C135" i="6" s="1"/>
  <c r="C136" i="6" s="1"/>
  <c r="C137" i="6" s="1"/>
  <c r="I733" i="6"/>
  <c r="I629" i="6"/>
  <c r="G888" i="5"/>
  <c r="K735" i="5"/>
  <c r="I731" i="5"/>
  <c r="F731" i="5" s="1"/>
  <c r="G1007" i="5"/>
  <c r="I722" i="6"/>
  <c r="I358" i="6"/>
  <c r="K752" i="5"/>
  <c r="I748" i="5"/>
  <c r="I752" i="5" s="1"/>
  <c r="I10" i="6"/>
  <c r="B45" i="37" s="1"/>
  <c r="D45" i="37" s="1"/>
  <c r="F45" i="37" s="1"/>
  <c r="G684" i="5"/>
  <c r="J446" i="5"/>
  <c r="I442" i="5"/>
  <c r="J888" i="5"/>
  <c r="I884" i="5"/>
  <c r="I888" i="5" s="1"/>
  <c r="I527" i="6"/>
  <c r="G497" i="5"/>
  <c r="F332" i="6"/>
  <c r="C321" i="6" s="1"/>
  <c r="C322" i="6" s="1"/>
  <c r="C323" i="6" s="1"/>
  <c r="C324" i="6" s="1"/>
  <c r="C325" i="6" s="1"/>
  <c r="C326" i="6" s="1"/>
  <c r="C327" i="6" s="1"/>
  <c r="C328" i="6" s="1"/>
  <c r="C329" i="6" s="1"/>
  <c r="C330" i="6" s="1"/>
  <c r="C331" i="6" s="1"/>
  <c r="C332" i="6" s="1"/>
  <c r="F330" i="6"/>
  <c r="F12" i="5"/>
  <c r="I696" i="6"/>
  <c r="F11" i="5"/>
  <c r="J769" i="5"/>
  <c r="I765" i="5"/>
  <c r="G735" i="5"/>
  <c r="F681" i="6"/>
  <c r="F683" i="6"/>
  <c r="C672" i="6" s="1"/>
  <c r="C673" i="6" s="1"/>
  <c r="C674" i="6" s="1"/>
  <c r="C675" i="6" s="1"/>
  <c r="C676" i="6" s="1"/>
  <c r="C677" i="6" s="1"/>
  <c r="C678" i="6" s="1"/>
  <c r="C679" i="6" s="1"/>
  <c r="C680" i="6" s="1"/>
  <c r="C681" i="6" s="1"/>
  <c r="C682" i="6" s="1"/>
  <c r="C683" i="6" s="1"/>
  <c r="J582" i="5"/>
  <c r="I578" i="5"/>
  <c r="I582" i="5" s="1"/>
  <c r="F582" i="5" s="1"/>
  <c r="C567" i="5" s="1"/>
  <c r="C568" i="5" s="1"/>
  <c r="C569" i="5" s="1"/>
  <c r="C570" i="5" s="1"/>
  <c r="C571" i="5" s="1"/>
  <c r="C572" i="5" s="1"/>
  <c r="C573" i="5" s="1"/>
  <c r="C574" i="5" s="1"/>
  <c r="C575" i="5" s="1"/>
  <c r="C576" i="5" s="1"/>
  <c r="C577" i="5" s="1"/>
  <c r="C578" i="5" s="1"/>
  <c r="C579" i="5" s="1"/>
  <c r="C580" i="5" s="1"/>
  <c r="C581" i="5" s="1"/>
  <c r="C582" i="5" s="1"/>
  <c r="I460" i="6"/>
  <c r="G140" i="5"/>
  <c r="I761" i="6"/>
  <c r="F83" i="6"/>
  <c r="F85" i="6"/>
  <c r="C74" i="6" s="1"/>
  <c r="C75" i="6" s="1"/>
  <c r="C76" i="6" s="1"/>
  <c r="C77" i="6" s="1"/>
  <c r="C78" i="6" s="1"/>
  <c r="C79" i="6" s="1"/>
  <c r="C80" i="6" s="1"/>
  <c r="C81" i="6" s="1"/>
  <c r="C82" i="6" s="1"/>
  <c r="C83" i="6" s="1"/>
  <c r="C84" i="6" s="1"/>
  <c r="C85" i="6" s="1"/>
  <c r="G37" i="5"/>
  <c r="F267" i="6"/>
  <c r="C256" i="6" s="1"/>
  <c r="C257" i="6" s="1"/>
  <c r="C258" i="6" s="1"/>
  <c r="C259" i="6" s="1"/>
  <c r="C260" i="6" s="1"/>
  <c r="C261" i="6" s="1"/>
  <c r="C262" i="6" s="1"/>
  <c r="C263" i="6" s="1"/>
  <c r="C264" i="6" s="1"/>
  <c r="C265" i="6" s="1"/>
  <c r="C266" i="6" s="1"/>
  <c r="C267" i="6" s="1"/>
  <c r="F265" i="6"/>
  <c r="G412" i="5"/>
  <c r="F163" i="6"/>
  <c r="C152" i="6" s="1"/>
  <c r="C153" i="6" s="1"/>
  <c r="C154" i="6" s="1"/>
  <c r="C155" i="6" s="1"/>
  <c r="C156" i="6" s="1"/>
  <c r="C157" i="6" s="1"/>
  <c r="C158" i="6" s="1"/>
  <c r="C159" i="6" s="1"/>
  <c r="C160" i="6" s="1"/>
  <c r="C161" i="6" s="1"/>
  <c r="C162" i="6" s="1"/>
  <c r="C163" i="6" s="1"/>
  <c r="F161" i="6"/>
  <c r="J225" i="5"/>
  <c r="F213" i="6"/>
  <c r="F215" i="6"/>
  <c r="C204" i="6" s="1"/>
  <c r="C205" i="6" s="1"/>
  <c r="C206" i="6" s="1"/>
  <c r="C207" i="6" s="1"/>
  <c r="C208" i="6" s="1"/>
  <c r="C209" i="6" s="1"/>
  <c r="C210" i="6" s="1"/>
  <c r="C211" i="6" s="1"/>
  <c r="C212" i="6" s="1"/>
  <c r="C213" i="6" s="1"/>
  <c r="C214" i="6" s="1"/>
  <c r="C215" i="6" s="1"/>
  <c r="F57" i="6"/>
  <c r="F59" i="6"/>
  <c r="C48" i="6" s="1"/>
  <c r="C49" i="6" s="1"/>
  <c r="C50" i="6" s="1"/>
  <c r="C51" i="6" s="1"/>
  <c r="C52" i="6" s="1"/>
  <c r="C53" i="6" s="1"/>
  <c r="C54" i="6" s="1"/>
  <c r="C55" i="6" s="1"/>
  <c r="C56" i="6" s="1"/>
  <c r="C57" i="6" s="1"/>
  <c r="C58" i="6" s="1"/>
  <c r="C59" i="6" s="1"/>
  <c r="I668" i="6"/>
  <c r="I616" i="6"/>
  <c r="J684" i="5"/>
  <c r="K1041" i="5"/>
  <c r="I1037" i="5"/>
  <c r="I473" i="6"/>
  <c r="J259" i="5"/>
  <c r="I255" i="5"/>
  <c r="F255" i="5" s="1"/>
  <c r="I8" i="6"/>
  <c r="B43" i="37" s="1"/>
  <c r="D43" i="37" s="1"/>
  <c r="F43" i="37" s="1"/>
  <c r="G829" i="6"/>
  <c r="G830" i="6" s="1"/>
  <c r="I434" i="6"/>
  <c r="K905" i="5"/>
  <c r="I901" i="5"/>
  <c r="I905" i="5" s="1"/>
  <c r="F9" i="6"/>
  <c r="I30" i="6"/>
  <c r="I592" i="6"/>
  <c r="K37" i="5"/>
  <c r="I33" i="5"/>
  <c r="I37" i="5" s="1"/>
  <c r="F241" i="6"/>
  <c r="C230" i="6" s="1"/>
  <c r="C231" i="6" s="1"/>
  <c r="C232" i="6" s="1"/>
  <c r="C233" i="6" s="1"/>
  <c r="C234" i="6" s="1"/>
  <c r="C235" i="6" s="1"/>
  <c r="C236" i="6" s="1"/>
  <c r="C237" i="6" s="1"/>
  <c r="C238" i="6" s="1"/>
  <c r="C239" i="6" s="1"/>
  <c r="C240" i="6" s="1"/>
  <c r="C241" i="6" s="1"/>
  <c r="F239" i="6"/>
  <c r="F655" i="6"/>
  <c r="F657" i="6"/>
  <c r="C646" i="6" s="1"/>
  <c r="C647" i="6" s="1"/>
  <c r="C648" i="6" s="1"/>
  <c r="C649" i="6" s="1"/>
  <c r="C650" i="6" s="1"/>
  <c r="C651" i="6" s="1"/>
  <c r="C652" i="6" s="1"/>
  <c r="C653" i="6" s="1"/>
  <c r="C654" i="6" s="1"/>
  <c r="C655" i="6" s="1"/>
  <c r="C656" i="6" s="1"/>
  <c r="C657" i="6" s="1"/>
  <c r="I137" i="6"/>
  <c r="G990" i="5"/>
  <c r="G72" i="5"/>
  <c r="F68" i="5"/>
  <c r="G310" i="5"/>
  <c r="J157" i="5"/>
  <c r="I153" i="5"/>
  <c r="I226" i="6"/>
  <c r="F746" i="6"/>
  <c r="F748" i="6"/>
  <c r="C737" i="6" s="1"/>
  <c r="C738" i="6" s="1"/>
  <c r="C739" i="6" s="1"/>
  <c r="C740" i="6" s="1"/>
  <c r="C741" i="6" s="1"/>
  <c r="C742" i="6" s="1"/>
  <c r="C743" i="6" s="1"/>
  <c r="C744" i="6" s="1"/>
  <c r="C745" i="6" s="1"/>
  <c r="C746" i="6" s="1"/>
  <c r="C747" i="6" s="1"/>
  <c r="C748" i="6" s="1"/>
  <c r="I111" i="6"/>
  <c r="I631" i="6"/>
  <c r="I291" i="6"/>
  <c r="G55" i="5"/>
  <c r="F356" i="6"/>
  <c r="F358" i="6"/>
  <c r="C347" i="6" s="1"/>
  <c r="C348" i="6" s="1"/>
  <c r="C349" i="6" s="1"/>
  <c r="C350" i="6" s="1"/>
  <c r="C351" i="6" s="1"/>
  <c r="C352" i="6" s="1"/>
  <c r="C353" i="6" s="1"/>
  <c r="C354" i="6" s="1"/>
  <c r="C355" i="6" s="1"/>
  <c r="C356" i="6" s="1"/>
  <c r="C357" i="6" s="1"/>
  <c r="C358" i="6" s="1"/>
  <c r="J480" i="5"/>
  <c r="I476" i="5"/>
  <c r="I148" i="6"/>
  <c r="F473" i="6"/>
  <c r="F475" i="6"/>
  <c r="C464" i="6" s="1"/>
  <c r="C465" i="6" s="1"/>
  <c r="C466" i="6" s="1"/>
  <c r="C467" i="6" s="1"/>
  <c r="C468" i="6" s="1"/>
  <c r="C469" i="6" s="1"/>
  <c r="C470" i="6" s="1"/>
  <c r="C471" i="6" s="1"/>
  <c r="C472" i="6" s="1"/>
  <c r="C473" i="6" s="1"/>
  <c r="C474" i="6" s="1"/>
  <c r="C475" i="6" s="1"/>
  <c r="F603" i="6"/>
  <c r="F605" i="6"/>
  <c r="C594" i="6" s="1"/>
  <c r="C595" i="6" s="1"/>
  <c r="C596" i="6" s="1"/>
  <c r="C597" i="6" s="1"/>
  <c r="C598" i="6" s="1"/>
  <c r="C599" i="6" s="1"/>
  <c r="C600" i="6" s="1"/>
  <c r="C601" i="6" s="1"/>
  <c r="C602" i="6" s="1"/>
  <c r="C603" i="6" s="1"/>
  <c r="C604" i="6" s="1"/>
  <c r="C605" i="6" s="1"/>
  <c r="K14" i="5"/>
  <c r="K18" i="5" s="1"/>
  <c r="K19" i="5" s="1"/>
  <c r="G531" i="5"/>
  <c r="K803" i="5"/>
  <c r="I799" i="5"/>
  <c r="I803" i="5" s="1"/>
  <c r="F252" i="6"/>
  <c r="F254" i="6"/>
  <c r="C243" i="6" s="1"/>
  <c r="C244" i="6" s="1"/>
  <c r="C245" i="6" s="1"/>
  <c r="C246" i="6" s="1"/>
  <c r="C247" i="6" s="1"/>
  <c r="C248" i="6" s="1"/>
  <c r="C249" i="6" s="1"/>
  <c r="C250" i="6" s="1"/>
  <c r="C251" i="6" s="1"/>
  <c r="C252" i="6" s="1"/>
  <c r="C253" i="6" s="1"/>
  <c r="C254" i="6" s="1"/>
  <c r="F226" i="6"/>
  <c r="F228" i="6"/>
  <c r="C217" i="6" s="1"/>
  <c r="C218" i="6" s="1"/>
  <c r="C219" i="6" s="1"/>
  <c r="C220" i="6" s="1"/>
  <c r="C221" i="6" s="1"/>
  <c r="C222" i="6" s="1"/>
  <c r="C223" i="6" s="1"/>
  <c r="C224" i="6" s="1"/>
  <c r="C225" i="6" s="1"/>
  <c r="C226" i="6" s="1"/>
  <c r="C227" i="6" s="1"/>
  <c r="C228" i="6" s="1"/>
  <c r="F7" i="6"/>
  <c r="F111" i="6"/>
  <c r="C100" i="6" s="1"/>
  <c r="C101" i="6" s="1"/>
  <c r="C102" i="6" s="1"/>
  <c r="C103" i="6" s="1"/>
  <c r="C104" i="6" s="1"/>
  <c r="C105" i="6" s="1"/>
  <c r="C106" i="6" s="1"/>
  <c r="C107" i="6" s="1"/>
  <c r="C108" i="6" s="1"/>
  <c r="C109" i="6" s="1"/>
  <c r="C110" i="6" s="1"/>
  <c r="C111" i="6" s="1"/>
  <c r="F109" i="6"/>
  <c r="J616" i="5"/>
  <c r="I612" i="5"/>
  <c r="I616" i="5" s="1"/>
  <c r="F293" i="6"/>
  <c r="C282" i="6" s="1"/>
  <c r="C283" i="6" s="1"/>
  <c r="C284" i="6" s="1"/>
  <c r="C285" i="6" s="1"/>
  <c r="C286" i="6" s="1"/>
  <c r="C287" i="6" s="1"/>
  <c r="C288" i="6" s="1"/>
  <c r="C289" i="6" s="1"/>
  <c r="C290" i="6" s="1"/>
  <c r="C291" i="6" s="1"/>
  <c r="C292" i="6" s="1"/>
  <c r="C293" i="6" s="1"/>
  <c r="F291" i="6"/>
  <c r="I501" i="6"/>
  <c r="F280" i="6"/>
  <c r="C269" i="6" s="1"/>
  <c r="C270" i="6" s="1"/>
  <c r="C271" i="6" s="1"/>
  <c r="C272" i="6" s="1"/>
  <c r="C273" i="6" s="1"/>
  <c r="C274" i="6" s="1"/>
  <c r="C275" i="6" s="1"/>
  <c r="C276" i="6" s="1"/>
  <c r="C277" i="6" s="1"/>
  <c r="C278" i="6" s="1"/>
  <c r="C279" i="6" s="1"/>
  <c r="C280" i="6" s="1"/>
  <c r="F278" i="6"/>
  <c r="J1024" i="5"/>
  <c r="I1020" i="5"/>
  <c r="I1024" i="5" s="1"/>
  <c r="I566" i="6"/>
  <c r="I330" i="6"/>
  <c r="K718" i="5"/>
  <c r="I714" i="5"/>
  <c r="I718" i="5" s="1"/>
  <c r="F718" i="5" s="1"/>
  <c r="C703" i="5" s="1"/>
  <c r="C704" i="5" s="1"/>
  <c r="C705" i="5" s="1"/>
  <c r="C706" i="5" s="1"/>
  <c r="C707" i="5" s="1"/>
  <c r="C708" i="5" s="1"/>
  <c r="C709" i="5" s="1"/>
  <c r="C710" i="5" s="1"/>
  <c r="C711" i="5" s="1"/>
  <c r="C712" i="5" s="1"/>
  <c r="C713" i="5" s="1"/>
  <c r="C714" i="5" s="1"/>
  <c r="C715" i="5" s="1"/>
  <c r="C716" i="5" s="1"/>
  <c r="C717" i="5" s="1"/>
  <c r="C718" i="5" s="1"/>
  <c r="F800" i="6"/>
  <c r="C789" i="6" s="1"/>
  <c r="C790" i="6" s="1"/>
  <c r="C791" i="6" s="1"/>
  <c r="C792" i="6" s="1"/>
  <c r="C793" i="6" s="1"/>
  <c r="C794" i="6" s="1"/>
  <c r="C795" i="6" s="1"/>
  <c r="C796" i="6" s="1"/>
  <c r="C797" i="6" s="1"/>
  <c r="C798" i="6" s="1"/>
  <c r="C799" i="6" s="1"/>
  <c r="C800" i="6" s="1"/>
  <c r="F798" i="6"/>
  <c r="F774" i="6"/>
  <c r="C763" i="6" s="1"/>
  <c r="C764" i="6" s="1"/>
  <c r="C765" i="6" s="1"/>
  <c r="C766" i="6" s="1"/>
  <c r="C767" i="6" s="1"/>
  <c r="C768" i="6" s="1"/>
  <c r="C769" i="6" s="1"/>
  <c r="C770" i="6" s="1"/>
  <c r="C771" i="6" s="1"/>
  <c r="C772" i="6" s="1"/>
  <c r="C773" i="6" s="1"/>
  <c r="C774" i="6" s="1"/>
  <c r="F772" i="6"/>
  <c r="J140" i="5"/>
  <c r="I136" i="5"/>
  <c r="I140" i="5" s="1"/>
  <c r="F140" i="5" s="1"/>
  <c r="C125" i="5" s="1"/>
  <c r="C126" i="5" s="1"/>
  <c r="C127" i="5" s="1"/>
  <c r="C128" i="5" s="1"/>
  <c r="C129" i="5" s="1"/>
  <c r="C130" i="5" s="1"/>
  <c r="C131" i="5" s="1"/>
  <c r="C132" i="5" s="1"/>
  <c r="C133" i="5" s="1"/>
  <c r="C134" i="5" s="1"/>
  <c r="C135" i="5" s="1"/>
  <c r="C136" i="5" s="1"/>
  <c r="C137" i="5" s="1"/>
  <c r="C138" i="5" s="1"/>
  <c r="C139" i="5" s="1"/>
  <c r="C140" i="5" s="1"/>
  <c r="F13" i="5"/>
  <c r="I813" i="6"/>
  <c r="K829" i="6"/>
  <c r="K830" i="6" s="1"/>
  <c r="F96" i="6"/>
  <c r="F98" i="6"/>
  <c r="C87" i="6" s="1"/>
  <c r="C88" i="6" s="1"/>
  <c r="C89" i="6" s="1"/>
  <c r="C90" i="6" s="1"/>
  <c r="C91" i="6" s="1"/>
  <c r="C92" i="6" s="1"/>
  <c r="C93" i="6" s="1"/>
  <c r="C94" i="6" s="1"/>
  <c r="C95" i="6" s="1"/>
  <c r="C96" i="6" s="1"/>
  <c r="C97" i="6" s="1"/>
  <c r="C98" i="6" s="1"/>
  <c r="J1058" i="5"/>
  <c r="I1054" i="5"/>
  <c r="I1058" i="5" s="1"/>
  <c r="I57" i="6"/>
  <c r="F668" i="6"/>
  <c r="F670" i="6"/>
  <c r="C659" i="6" s="1"/>
  <c r="C660" i="6" s="1"/>
  <c r="C661" i="6" s="1"/>
  <c r="C662" i="6" s="1"/>
  <c r="C663" i="6" s="1"/>
  <c r="C664" i="6" s="1"/>
  <c r="C665" i="6" s="1"/>
  <c r="C666" i="6" s="1"/>
  <c r="C667" i="6" s="1"/>
  <c r="C668" i="6" s="1"/>
  <c r="C669" i="6" s="1"/>
  <c r="C670" i="6" s="1"/>
  <c r="I618" i="6"/>
  <c r="G616" i="5"/>
  <c r="F612" i="5"/>
  <c r="I475" i="6"/>
  <c r="G803" i="5"/>
  <c r="F799" i="5"/>
  <c r="I826" i="6"/>
  <c r="J829" i="6"/>
  <c r="J830" i="6" s="1"/>
  <c r="G905" i="5"/>
  <c r="F436" i="6"/>
  <c r="C425" i="6" s="1"/>
  <c r="C426" i="6" s="1"/>
  <c r="C427" i="6" s="1"/>
  <c r="C428" i="6" s="1"/>
  <c r="C429" i="6" s="1"/>
  <c r="C430" i="6" s="1"/>
  <c r="C431" i="6" s="1"/>
  <c r="C432" i="6" s="1"/>
  <c r="C433" i="6" s="1"/>
  <c r="C434" i="6" s="1"/>
  <c r="C435" i="6" s="1"/>
  <c r="C436" i="6" s="1"/>
  <c r="F434" i="6"/>
  <c r="J1075" i="5"/>
  <c r="I1071" i="5"/>
  <c r="I1075" i="5" s="1"/>
  <c r="I603" i="6"/>
  <c r="J956" i="5"/>
  <c r="I952" i="5"/>
  <c r="I956" i="5" s="1"/>
  <c r="G752" i="5"/>
  <c r="F748" i="5"/>
  <c r="F200" i="6"/>
  <c r="F202" i="6"/>
  <c r="C191" i="6" s="1"/>
  <c r="C192" i="6" s="1"/>
  <c r="C193" i="6" s="1"/>
  <c r="C194" i="6" s="1"/>
  <c r="C195" i="6" s="1"/>
  <c r="C196" i="6" s="1"/>
  <c r="C197" i="6" s="1"/>
  <c r="C198" i="6" s="1"/>
  <c r="C199" i="6" s="1"/>
  <c r="C200" i="6" s="1"/>
  <c r="C201" i="6" s="1"/>
  <c r="C202" i="6" s="1"/>
  <c r="G922" i="5"/>
  <c r="F32" i="6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F30" i="6"/>
  <c r="F787" i="6"/>
  <c r="C776" i="6" s="1"/>
  <c r="C777" i="6" s="1"/>
  <c r="C778" i="6" s="1"/>
  <c r="C779" i="6" s="1"/>
  <c r="C780" i="6" s="1"/>
  <c r="C781" i="6" s="1"/>
  <c r="C782" i="6" s="1"/>
  <c r="C783" i="6" s="1"/>
  <c r="C784" i="6" s="1"/>
  <c r="C785" i="6" s="1"/>
  <c r="C786" i="6" s="1"/>
  <c r="C787" i="6" s="1"/>
  <c r="F785" i="6"/>
  <c r="J939" i="5"/>
  <c r="I935" i="5"/>
  <c r="J14" i="5"/>
  <c r="I6" i="5"/>
  <c r="B31" i="37" s="1"/>
  <c r="D31" i="37" s="1"/>
  <c r="F31" i="37" s="1"/>
  <c r="I239" i="6"/>
  <c r="G429" i="5"/>
  <c r="K514" i="5"/>
  <c r="I510" i="5"/>
  <c r="G276" i="5"/>
  <c r="G871" i="5"/>
  <c r="F579" i="6"/>
  <c r="C568" i="6" s="1"/>
  <c r="C569" i="6" s="1"/>
  <c r="C570" i="6" s="1"/>
  <c r="C571" i="6" s="1"/>
  <c r="C572" i="6" s="1"/>
  <c r="C573" i="6" s="1"/>
  <c r="C574" i="6" s="1"/>
  <c r="C575" i="6" s="1"/>
  <c r="C576" i="6" s="1"/>
  <c r="C577" i="6" s="1"/>
  <c r="C578" i="6" s="1"/>
  <c r="C579" i="6" s="1"/>
  <c r="F577" i="6"/>
  <c r="I228" i="6"/>
  <c r="K429" i="5"/>
  <c r="I425" i="5"/>
  <c r="I429" i="5" s="1"/>
  <c r="I293" i="6"/>
  <c r="I707" i="6"/>
  <c r="F538" i="6"/>
  <c r="F540" i="6"/>
  <c r="C529" i="6" s="1"/>
  <c r="C530" i="6" s="1"/>
  <c r="C531" i="6" s="1"/>
  <c r="C532" i="6" s="1"/>
  <c r="C533" i="6" s="1"/>
  <c r="C534" i="6" s="1"/>
  <c r="C535" i="6" s="1"/>
  <c r="C536" i="6" s="1"/>
  <c r="C537" i="6" s="1"/>
  <c r="C538" i="6" s="1"/>
  <c r="C539" i="6" s="1"/>
  <c r="C540" i="6" s="1"/>
  <c r="F10" i="5"/>
  <c r="F8" i="5"/>
  <c r="J837" i="5"/>
  <c r="I833" i="5"/>
  <c r="I837" i="5" s="1"/>
  <c r="I499" i="6"/>
  <c r="F447" i="6"/>
  <c r="F449" i="6"/>
  <c r="C438" i="6" s="1"/>
  <c r="C439" i="6" s="1"/>
  <c r="C440" i="6" s="1"/>
  <c r="C441" i="6" s="1"/>
  <c r="C442" i="6" s="1"/>
  <c r="C443" i="6" s="1"/>
  <c r="C444" i="6" s="1"/>
  <c r="C445" i="6" s="1"/>
  <c r="C446" i="6" s="1"/>
  <c r="C447" i="6" s="1"/>
  <c r="C448" i="6" s="1"/>
  <c r="C449" i="6" s="1"/>
  <c r="I525" i="6"/>
  <c r="F317" i="6"/>
  <c r="F319" i="6"/>
  <c r="C308" i="6" s="1"/>
  <c r="C309" i="6" s="1"/>
  <c r="C310" i="6" s="1"/>
  <c r="C311" i="6" s="1"/>
  <c r="C312" i="6" s="1"/>
  <c r="C313" i="6" s="1"/>
  <c r="C314" i="6" s="1"/>
  <c r="C315" i="6" s="1"/>
  <c r="C316" i="6" s="1"/>
  <c r="C317" i="6" s="1"/>
  <c r="C318" i="6" s="1"/>
  <c r="C319" i="6" s="1"/>
  <c r="F564" i="6"/>
  <c r="F566" i="6"/>
  <c r="C555" i="6" s="1"/>
  <c r="C556" i="6" s="1"/>
  <c r="C557" i="6" s="1"/>
  <c r="C558" i="6" s="1"/>
  <c r="C559" i="6" s="1"/>
  <c r="C560" i="6" s="1"/>
  <c r="C561" i="6" s="1"/>
  <c r="C562" i="6" s="1"/>
  <c r="C563" i="6" s="1"/>
  <c r="C564" i="6" s="1"/>
  <c r="C565" i="6" s="1"/>
  <c r="C566" i="6" s="1"/>
  <c r="J1007" i="5"/>
  <c r="I1003" i="5"/>
  <c r="I1007" i="5" s="1"/>
  <c r="F1007" i="5" s="1"/>
  <c r="C992" i="5" s="1"/>
  <c r="C993" i="5" s="1"/>
  <c r="C994" i="5" s="1"/>
  <c r="C995" i="5" s="1"/>
  <c r="C996" i="5" s="1"/>
  <c r="C997" i="5" s="1"/>
  <c r="C998" i="5" s="1"/>
  <c r="C999" i="5" s="1"/>
  <c r="C1000" i="5" s="1"/>
  <c r="C1001" i="5" s="1"/>
  <c r="C1002" i="5" s="1"/>
  <c r="C1003" i="5" s="1"/>
  <c r="C1004" i="5" s="1"/>
  <c r="C1005" i="5" s="1"/>
  <c r="C1006" i="5" s="1"/>
  <c r="C1007" i="5" s="1"/>
  <c r="F150" i="6"/>
  <c r="C139" i="6" s="1"/>
  <c r="C140" i="6" s="1"/>
  <c r="C141" i="6" s="1"/>
  <c r="C142" i="6" s="1"/>
  <c r="C143" i="6" s="1"/>
  <c r="C144" i="6" s="1"/>
  <c r="C145" i="6" s="1"/>
  <c r="C146" i="6" s="1"/>
  <c r="C147" i="6" s="1"/>
  <c r="C148" i="6" s="1"/>
  <c r="C149" i="6" s="1"/>
  <c r="C150" i="6" s="1"/>
  <c r="F148" i="6"/>
  <c r="I605" i="6"/>
  <c r="G106" i="5"/>
  <c r="F553" i="6"/>
  <c r="C542" i="6" s="1"/>
  <c r="C543" i="6" s="1"/>
  <c r="C544" i="6" s="1"/>
  <c r="C545" i="6" s="1"/>
  <c r="C546" i="6" s="1"/>
  <c r="C547" i="6" s="1"/>
  <c r="C548" i="6" s="1"/>
  <c r="C549" i="6" s="1"/>
  <c r="C550" i="6" s="1"/>
  <c r="C551" i="6" s="1"/>
  <c r="C552" i="6" s="1"/>
  <c r="C553" i="6" s="1"/>
  <c r="F551" i="6"/>
  <c r="G1024" i="5"/>
  <c r="F1020" i="5"/>
  <c r="I32" i="6"/>
  <c r="F176" i="6"/>
  <c r="C165" i="6" s="1"/>
  <c r="C166" i="6" s="1"/>
  <c r="C167" i="6" s="1"/>
  <c r="C168" i="6" s="1"/>
  <c r="C169" i="6" s="1"/>
  <c r="C170" i="6" s="1"/>
  <c r="C171" i="6" s="1"/>
  <c r="C172" i="6" s="1"/>
  <c r="C173" i="6" s="1"/>
  <c r="C174" i="6" s="1"/>
  <c r="C175" i="6" s="1"/>
  <c r="C176" i="6" s="1"/>
  <c r="F174" i="6"/>
  <c r="J395" i="5"/>
  <c r="I391" i="5"/>
  <c r="I395" i="5" s="1"/>
  <c r="F395" i="5" s="1"/>
  <c r="C380" i="5" s="1"/>
  <c r="C381" i="5" s="1"/>
  <c r="C382" i="5" s="1"/>
  <c r="C383" i="5" s="1"/>
  <c r="C384" i="5" s="1"/>
  <c r="C385" i="5" s="1"/>
  <c r="C386" i="5" s="1"/>
  <c r="C387" i="5" s="1"/>
  <c r="C388" i="5" s="1"/>
  <c r="C389" i="5" s="1"/>
  <c r="C390" i="5" s="1"/>
  <c r="C391" i="5" s="1"/>
  <c r="C392" i="5" s="1"/>
  <c r="C393" i="5" s="1"/>
  <c r="C394" i="5" s="1"/>
  <c r="C395" i="5" s="1"/>
  <c r="F7" i="5"/>
  <c r="G174" i="5"/>
  <c r="F410" i="6"/>
  <c r="C399" i="6" s="1"/>
  <c r="C400" i="6" s="1"/>
  <c r="C401" i="6" s="1"/>
  <c r="C402" i="6" s="1"/>
  <c r="C403" i="6" s="1"/>
  <c r="C404" i="6" s="1"/>
  <c r="C405" i="6" s="1"/>
  <c r="C406" i="6" s="1"/>
  <c r="C407" i="6" s="1"/>
  <c r="C408" i="6" s="1"/>
  <c r="C409" i="6" s="1"/>
  <c r="C410" i="6" s="1"/>
  <c r="F408" i="6"/>
  <c r="I252" i="6"/>
  <c r="K633" i="5"/>
  <c r="I629" i="5"/>
  <c r="F187" i="6"/>
  <c r="F189" i="6"/>
  <c r="C178" i="6" s="1"/>
  <c r="C179" i="6" s="1"/>
  <c r="C180" i="6" s="1"/>
  <c r="C181" i="6" s="1"/>
  <c r="C182" i="6" s="1"/>
  <c r="C183" i="6" s="1"/>
  <c r="C184" i="6" s="1"/>
  <c r="C185" i="6" s="1"/>
  <c r="C186" i="6" s="1"/>
  <c r="C187" i="6" s="1"/>
  <c r="C188" i="6" s="1"/>
  <c r="C189" i="6" s="1"/>
  <c r="I735" i="6"/>
  <c r="F46" i="6"/>
  <c r="C35" i="6" s="1"/>
  <c r="C36" i="6" s="1"/>
  <c r="C37" i="6" s="1"/>
  <c r="C38" i="6" s="1"/>
  <c r="C39" i="6" s="1"/>
  <c r="C40" i="6" s="1"/>
  <c r="C41" i="6" s="1"/>
  <c r="C42" i="6" s="1"/>
  <c r="C43" i="6" s="1"/>
  <c r="C44" i="6" s="1"/>
  <c r="C45" i="6" s="1"/>
  <c r="C46" i="6" s="1"/>
  <c r="F44" i="6"/>
  <c r="F384" i="6"/>
  <c r="C373" i="6" s="1"/>
  <c r="C374" i="6" s="1"/>
  <c r="C375" i="6" s="1"/>
  <c r="C376" i="6" s="1"/>
  <c r="C377" i="6" s="1"/>
  <c r="C378" i="6" s="1"/>
  <c r="C379" i="6" s="1"/>
  <c r="C380" i="6" s="1"/>
  <c r="C381" i="6" s="1"/>
  <c r="C382" i="6" s="1"/>
  <c r="C383" i="6" s="1"/>
  <c r="C384" i="6" s="1"/>
  <c r="F382" i="6"/>
  <c r="I720" i="6"/>
  <c r="F709" i="6"/>
  <c r="C698" i="6" s="1"/>
  <c r="C699" i="6" s="1"/>
  <c r="C700" i="6" s="1"/>
  <c r="C701" i="6" s="1"/>
  <c r="C702" i="6" s="1"/>
  <c r="C703" i="6" s="1"/>
  <c r="C704" i="6" s="1"/>
  <c r="C705" i="6" s="1"/>
  <c r="C706" i="6" s="1"/>
  <c r="C707" i="6" s="1"/>
  <c r="C708" i="6" s="1"/>
  <c r="C709" i="6" s="1"/>
  <c r="F707" i="6"/>
  <c r="J497" i="5"/>
  <c r="I493" i="5"/>
  <c r="G463" i="5"/>
  <c r="F499" i="6"/>
  <c r="F501" i="6"/>
  <c r="C490" i="6" s="1"/>
  <c r="C491" i="6" s="1"/>
  <c r="C492" i="6" s="1"/>
  <c r="C493" i="6" s="1"/>
  <c r="C494" i="6" s="1"/>
  <c r="C495" i="6" s="1"/>
  <c r="C496" i="6" s="1"/>
  <c r="C497" i="6" s="1"/>
  <c r="C498" i="6" s="1"/>
  <c r="C499" i="6" s="1"/>
  <c r="C500" i="6" s="1"/>
  <c r="C501" i="6" s="1"/>
  <c r="I447" i="6"/>
  <c r="F527" i="6"/>
  <c r="C516" i="6" s="1"/>
  <c r="C517" i="6" s="1"/>
  <c r="C518" i="6" s="1"/>
  <c r="C519" i="6" s="1"/>
  <c r="C520" i="6" s="1"/>
  <c r="C521" i="6" s="1"/>
  <c r="C522" i="6" s="1"/>
  <c r="C523" i="6" s="1"/>
  <c r="C524" i="6" s="1"/>
  <c r="C525" i="6" s="1"/>
  <c r="C526" i="6" s="1"/>
  <c r="C527" i="6" s="1"/>
  <c r="F525" i="6"/>
  <c r="I319" i="6"/>
  <c r="F9" i="5"/>
  <c r="J667" i="5"/>
  <c r="I663" i="5"/>
  <c r="I667" i="5" s="1"/>
  <c r="G344" i="5"/>
  <c r="J12" i="6"/>
  <c r="I6" i="6"/>
  <c r="J14" i="6"/>
  <c r="J15" i="6" s="1"/>
  <c r="J55" i="5"/>
  <c r="I51" i="5"/>
  <c r="I55" i="5" s="1"/>
  <c r="K820" i="5"/>
  <c r="I816" i="5"/>
  <c r="J922" i="5"/>
  <c r="I918" i="5"/>
  <c r="G225" i="5"/>
  <c r="J89" i="5"/>
  <c r="I85" i="5"/>
  <c r="J786" i="5"/>
  <c r="I782" i="5"/>
  <c r="F813" i="6"/>
  <c r="C802" i="6" s="1"/>
  <c r="C803" i="6" s="1"/>
  <c r="C804" i="6" s="1"/>
  <c r="C805" i="6" s="1"/>
  <c r="C806" i="6" s="1"/>
  <c r="C807" i="6" s="1"/>
  <c r="C808" i="6" s="1"/>
  <c r="C809" i="6" s="1"/>
  <c r="C810" i="6" s="1"/>
  <c r="C811" i="6" s="1"/>
  <c r="C812" i="6" s="1"/>
  <c r="C813" i="6" s="1"/>
  <c r="F811" i="6"/>
  <c r="J276" i="5"/>
  <c r="I272" i="5"/>
  <c r="F272" i="5" s="1"/>
  <c r="I824" i="6"/>
  <c r="F421" i="6"/>
  <c r="F423" i="6"/>
  <c r="C412" i="6" s="1"/>
  <c r="C413" i="6" s="1"/>
  <c r="C414" i="6" s="1"/>
  <c r="C415" i="6" s="1"/>
  <c r="C416" i="6" s="1"/>
  <c r="C417" i="6" s="1"/>
  <c r="C418" i="6" s="1"/>
  <c r="C419" i="6" s="1"/>
  <c r="C420" i="6" s="1"/>
  <c r="C421" i="6" s="1"/>
  <c r="C422" i="6" s="1"/>
  <c r="C423" i="6" s="1"/>
  <c r="J412" i="5"/>
  <c r="I408" i="5"/>
  <c r="F408" i="5" s="1"/>
  <c r="F369" i="6"/>
  <c r="F371" i="6"/>
  <c r="C360" i="6" s="1"/>
  <c r="C361" i="6" s="1"/>
  <c r="C362" i="6" s="1"/>
  <c r="C363" i="6" s="1"/>
  <c r="C364" i="6" s="1"/>
  <c r="C365" i="6" s="1"/>
  <c r="C366" i="6" s="1"/>
  <c r="C367" i="6" s="1"/>
  <c r="C368" i="6" s="1"/>
  <c r="C369" i="6" s="1"/>
  <c r="C370" i="6" s="1"/>
  <c r="C371" i="6" s="1"/>
  <c r="I124" i="6"/>
  <c r="G12" i="6"/>
  <c r="G14" i="6"/>
  <c r="G15" i="6" s="1"/>
  <c r="F6" i="6"/>
  <c r="G1075" i="5"/>
  <c r="F1071" i="5"/>
  <c r="F824" i="6"/>
  <c r="F826" i="6"/>
  <c r="C815" i="6" s="1"/>
  <c r="C816" i="6" s="1"/>
  <c r="C817" i="6" s="1"/>
  <c r="C818" i="6" s="1"/>
  <c r="C819" i="6" s="1"/>
  <c r="C820" i="6" s="1"/>
  <c r="C821" i="6" s="1"/>
  <c r="C822" i="6" s="1"/>
  <c r="C823" i="6" s="1"/>
  <c r="C824" i="6" s="1"/>
  <c r="C825" i="6" s="1"/>
  <c r="C826" i="6" s="1"/>
  <c r="J990" i="5"/>
  <c r="I986" i="5"/>
  <c r="G599" i="5"/>
  <c r="J327" i="5"/>
  <c r="I323" i="5"/>
  <c r="K548" i="5"/>
  <c r="I544" i="5"/>
  <c r="I548" i="5" s="1"/>
  <c r="F486" i="6"/>
  <c r="F488" i="6"/>
  <c r="C477" i="6" s="1"/>
  <c r="C478" i="6" s="1"/>
  <c r="C479" i="6" s="1"/>
  <c r="C480" i="6" s="1"/>
  <c r="C481" i="6" s="1"/>
  <c r="C482" i="6" s="1"/>
  <c r="C483" i="6" s="1"/>
  <c r="C484" i="6" s="1"/>
  <c r="C485" i="6" s="1"/>
  <c r="C486" i="6" s="1"/>
  <c r="C487" i="6" s="1"/>
  <c r="C488" i="6" s="1"/>
  <c r="I202" i="6"/>
  <c r="F306" i="6"/>
  <c r="C295" i="6" s="1"/>
  <c r="C296" i="6" s="1"/>
  <c r="C297" i="6" s="1"/>
  <c r="C298" i="6" s="1"/>
  <c r="C299" i="6" s="1"/>
  <c r="C300" i="6" s="1"/>
  <c r="C301" i="6" s="1"/>
  <c r="C302" i="6" s="1"/>
  <c r="C303" i="6" s="1"/>
  <c r="C304" i="6" s="1"/>
  <c r="C305" i="6" s="1"/>
  <c r="C306" i="6" s="1"/>
  <c r="F304" i="6"/>
  <c r="G191" i="5"/>
  <c r="F187" i="5"/>
  <c r="J106" i="5"/>
  <c r="I102" i="5"/>
  <c r="I106" i="5" s="1"/>
  <c r="I590" i="6"/>
  <c r="F735" i="6"/>
  <c r="C724" i="6" s="1"/>
  <c r="C725" i="6" s="1"/>
  <c r="C726" i="6" s="1"/>
  <c r="C727" i="6" s="1"/>
  <c r="C728" i="6" s="1"/>
  <c r="C729" i="6" s="1"/>
  <c r="C730" i="6" s="1"/>
  <c r="C731" i="6" s="1"/>
  <c r="C732" i="6" s="1"/>
  <c r="C733" i="6" s="1"/>
  <c r="C734" i="6" s="1"/>
  <c r="C735" i="6" s="1"/>
  <c r="F733" i="6"/>
  <c r="I46" i="6"/>
  <c r="F631" i="6"/>
  <c r="C620" i="6" s="1"/>
  <c r="C621" i="6" s="1"/>
  <c r="C622" i="6" s="1"/>
  <c r="C623" i="6" s="1"/>
  <c r="C624" i="6" s="1"/>
  <c r="C625" i="6" s="1"/>
  <c r="C626" i="6" s="1"/>
  <c r="C627" i="6" s="1"/>
  <c r="C628" i="6" s="1"/>
  <c r="C629" i="6" s="1"/>
  <c r="C630" i="6" s="1"/>
  <c r="C631" i="6" s="1"/>
  <c r="F629" i="6"/>
  <c r="F720" i="6"/>
  <c r="F722" i="6"/>
  <c r="C711" i="6" s="1"/>
  <c r="C712" i="6" s="1"/>
  <c r="C713" i="6" s="1"/>
  <c r="C714" i="6" s="1"/>
  <c r="C715" i="6" s="1"/>
  <c r="C716" i="6" s="1"/>
  <c r="C717" i="6" s="1"/>
  <c r="C718" i="6" s="1"/>
  <c r="C719" i="6" s="1"/>
  <c r="C720" i="6" s="1"/>
  <c r="C721" i="6" s="1"/>
  <c r="C722" i="6" s="1"/>
  <c r="I709" i="6"/>
  <c r="G650" i="5"/>
  <c r="F646" i="5"/>
  <c r="K208" i="5"/>
  <c r="I204" i="5"/>
  <c r="F204" i="5" s="1"/>
  <c r="G548" i="5"/>
  <c r="F544" i="5"/>
  <c r="I317" i="6"/>
  <c r="J565" i="5"/>
  <c r="I561" i="5"/>
  <c r="F55" i="5" l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F667" i="5"/>
  <c r="C652" i="5" s="1"/>
  <c r="C653" i="5" s="1"/>
  <c r="C654" i="5" s="1"/>
  <c r="C655" i="5" s="1"/>
  <c r="C656" i="5" s="1"/>
  <c r="C657" i="5" s="1"/>
  <c r="C658" i="5" s="1"/>
  <c r="C659" i="5" s="1"/>
  <c r="C660" i="5" s="1"/>
  <c r="C661" i="5" s="1"/>
  <c r="C662" i="5" s="1"/>
  <c r="C663" i="5" s="1"/>
  <c r="C664" i="5" s="1"/>
  <c r="C665" i="5" s="1"/>
  <c r="C666" i="5" s="1"/>
  <c r="C667" i="5" s="1"/>
  <c r="I221" i="5"/>
  <c r="I497" i="5"/>
  <c r="F497" i="5" s="1"/>
  <c r="C482" i="5" s="1"/>
  <c r="C483" i="5" s="1"/>
  <c r="C484" i="5" s="1"/>
  <c r="C485" i="5" s="1"/>
  <c r="C486" i="5" s="1"/>
  <c r="C487" i="5" s="1"/>
  <c r="C488" i="5" s="1"/>
  <c r="C489" i="5" s="1"/>
  <c r="C490" i="5" s="1"/>
  <c r="C491" i="5" s="1"/>
  <c r="C492" i="5" s="1"/>
  <c r="C493" i="5" s="1"/>
  <c r="C494" i="5" s="1"/>
  <c r="C495" i="5" s="1"/>
  <c r="C496" i="5" s="1"/>
  <c r="C497" i="5" s="1"/>
  <c r="F429" i="5"/>
  <c r="C414" i="5" s="1"/>
  <c r="C415" i="5" s="1"/>
  <c r="C416" i="5" s="1"/>
  <c r="C417" i="5" s="1"/>
  <c r="C418" i="5" s="1"/>
  <c r="C419" i="5" s="1"/>
  <c r="C420" i="5" s="1"/>
  <c r="C421" i="5" s="1"/>
  <c r="C422" i="5" s="1"/>
  <c r="C423" i="5" s="1"/>
  <c r="C424" i="5" s="1"/>
  <c r="C425" i="5" s="1"/>
  <c r="C426" i="5" s="1"/>
  <c r="C427" i="5" s="1"/>
  <c r="C428" i="5" s="1"/>
  <c r="C429" i="5" s="1"/>
  <c r="F884" i="5"/>
  <c r="F391" i="5"/>
  <c r="F901" i="5"/>
  <c r="F10" i="6"/>
  <c r="F888" i="5"/>
  <c r="C873" i="5" s="1"/>
  <c r="C874" i="5" s="1"/>
  <c r="C875" i="5" s="1"/>
  <c r="C876" i="5" s="1"/>
  <c r="C877" i="5" s="1"/>
  <c r="C878" i="5" s="1"/>
  <c r="C879" i="5" s="1"/>
  <c r="C880" i="5" s="1"/>
  <c r="C881" i="5" s="1"/>
  <c r="C882" i="5" s="1"/>
  <c r="C883" i="5" s="1"/>
  <c r="C884" i="5" s="1"/>
  <c r="C885" i="5" s="1"/>
  <c r="C886" i="5" s="1"/>
  <c r="C887" i="5" s="1"/>
  <c r="C888" i="5" s="1"/>
  <c r="I829" i="6"/>
  <c r="I830" i="6" s="1"/>
  <c r="J1079" i="5"/>
  <c r="F510" i="5"/>
  <c r="I514" i="5"/>
  <c r="F514" i="5" s="1"/>
  <c r="C499" i="5" s="1"/>
  <c r="C500" i="5" s="1"/>
  <c r="C501" i="5" s="1"/>
  <c r="C502" i="5" s="1"/>
  <c r="C503" i="5" s="1"/>
  <c r="C504" i="5" s="1"/>
  <c r="C505" i="5" s="1"/>
  <c r="C506" i="5" s="1"/>
  <c r="C507" i="5" s="1"/>
  <c r="C508" i="5" s="1"/>
  <c r="C509" i="5" s="1"/>
  <c r="C510" i="5" s="1"/>
  <c r="C511" i="5" s="1"/>
  <c r="C512" i="5" s="1"/>
  <c r="C513" i="5" s="1"/>
  <c r="C514" i="5" s="1"/>
  <c r="J18" i="5"/>
  <c r="F803" i="5"/>
  <c r="C788" i="5" s="1"/>
  <c r="C789" i="5" s="1"/>
  <c r="C790" i="5" s="1"/>
  <c r="C791" i="5" s="1"/>
  <c r="C792" i="5" s="1"/>
  <c r="C793" i="5" s="1"/>
  <c r="C794" i="5" s="1"/>
  <c r="C795" i="5" s="1"/>
  <c r="C796" i="5" s="1"/>
  <c r="C797" i="5" s="1"/>
  <c r="C798" i="5" s="1"/>
  <c r="C799" i="5" s="1"/>
  <c r="C800" i="5" s="1"/>
  <c r="C801" i="5" s="1"/>
  <c r="C802" i="5" s="1"/>
  <c r="C803" i="5" s="1"/>
  <c r="K1079" i="5"/>
  <c r="K1080" i="5" s="1"/>
  <c r="F1037" i="5"/>
  <c r="I1041" i="5"/>
  <c r="F1041" i="5" s="1"/>
  <c r="C1026" i="5" s="1"/>
  <c r="C1027" i="5" s="1"/>
  <c r="C1028" i="5" s="1"/>
  <c r="C1029" i="5" s="1"/>
  <c r="C1030" i="5" s="1"/>
  <c r="C1031" i="5" s="1"/>
  <c r="C1032" i="5" s="1"/>
  <c r="C1033" i="5" s="1"/>
  <c r="C1034" i="5" s="1"/>
  <c r="C1035" i="5" s="1"/>
  <c r="C1036" i="5" s="1"/>
  <c r="C1037" i="5" s="1"/>
  <c r="C1038" i="5" s="1"/>
  <c r="C1039" i="5" s="1"/>
  <c r="C1040" i="5" s="1"/>
  <c r="C1041" i="5" s="1"/>
  <c r="F136" i="5"/>
  <c r="I459" i="5"/>
  <c r="F850" i="5"/>
  <c r="I854" i="5"/>
  <c r="F854" i="5" s="1"/>
  <c r="C839" i="5" s="1"/>
  <c r="C840" i="5" s="1"/>
  <c r="C841" i="5" s="1"/>
  <c r="C842" i="5" s="1"/>
  <c r="C843" i="5" s="1"/>
  <c r="C844" i="5" s="1"/>
  <c r="C845" i="5" s="1"/>
  <c r="C846" i="5" s="1"/>
  <c r="C847" i="5" s="1"/>
  <c r="C848" i="5" s="1"/>
  <c r="C849" i="5" s="1"/>
  <c r="C850" i="5" s="1"/>
  <c r="C851" i="5" s="1"/>
  <c r="C852" i="5" s="1"/>
  <c r="C853" i="5" s="1"/>
  <c r="C854" i="5" s="1"/>
  <c r="G19" i="5"/>
  <c r="F663" i="5"/>
  <c r="I867" i="5"/>
  <c r="F238" i="5"/>
  <c r="I242" i="5"/>
  <c r="F242" i="5" s="1"/>
  <c r="C227" i="5" s="1"/>
  <c r="C228" i="5" s="1"/>
  <c r="C229" i="5" s="1"/>
  <c r="C230" i="5" s="1"/>
  <c r="C231" i="5" s="1"/>
  <c r="C232" i="5" s="1"/>
  <c r="C233" i="5" s="1"/>
  <c r="C234" i="5" s="1"/>
  <c r="C235" i="5" s="1"/>
  <c r="C236" i="5" s="1"/>
  <c r="C237" i="5" s="1"/>
  <c r="C238" i="5" s="1"/>
  <c r="C239" i="5" s="1"/>
  <c r="C240" i="5" s="1"/>
  <c r="C241" i="5" s="1"/>
  <c r="C242" i="5" s="1"/>
  <c r="F323" i="5"/>
  <c r="I327" i="5"/>
  <c r="F327" i="5" s="1"/>
  <c r="C312" i="5" s="1"/>
  <c r="C313" i="5" s="1"/>
  <c r="C314" i="5" s="1"/>
  <c r="C315" i="5" s="1"/>
  <c r="C316" i="5" s="1"/>
  <c r="C317" i="5" s="1"/>
  <c r="C318" i="5" s="1"/>
  <c r="C319" i="5" s="1"/>
  <c r="C320" i="5" s="1"/>
  <c r="C321" i="5" s="1"/>
  <c r="C322" i="5" s="1"/>
  <c r="C323" i="5" s="1"/>
  <c r="C324" i="5" s="1"/>
  <c r="C325" i="5" s="1"/>
  <c r="C326" i="5" s="1"/>
  <c r="C327" i="5" s="1"/>
  <c r="F106" i="5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F782" i="5"/>
  <c r="I786" i="5"/>
  <c r="F786" i="5" s="1"/>
  <c r="C771" i="5" s="1"/>
  <c r="C772" i="5" s="1"/>
  <c r="C773" i="5" s="1"/>
  <c r="C774" i="5" s="1"/>
  <c r="C775" i="5" s="1"/>
  <c r="C776" i="5" s="1"/>
  <c r="C777" i="5" s="1"/>
  <c r="C778" i="5" s="1"/>
  <c r="C779" i="5" s="1"/>
  <c r="C780" i="5" s="1"/>
  <c r="C781" i="5" s="1"/>
  <c r="C782" i="5" s="1"/>
  <c r="C783" i="5" s="1"/>
  <c r="C784" i="5" s="1"/>
  <c r="C785" i="5" s="1"/>
  <c r="C786" i="5" s="1"/>
  <c r="I922" i="5"/>
  <c r="F922" i="5" s="1"/>
  <c r="C907" i="5" s="1"/>
  <c r="C908" i="5" s="1"/>
  <c r="C909" i="5" s="1"/>
  <c r="C910" i="5" s="1"/>
  <c r="C911" i="5" s="1"/>
  <c r="C912" i="5" s="1"/>
  <c r="C913" i="5" s="1"/>
  <c r="C914" i="5" s="1"/>
  <c r="C915" i="5" s="1"/>
  <c r="C916" i="5" s="1"/>
  <c r="C917" i="5" s="1"/>
  <c r="C918" i="5" s="1"/>
  <c r="C919" i="5" s="1"/>
  <c r="C920" i="5" s="1"/>
  <c r="C921" i="5" s="1"/>
  <c r="C922" i="5" s="1"/>
  <c r="F837" i="5"/>
  <c r="C822" i="5" s="1"/>
  <c r="C823" i="5" s="1"/>
  <c r="C824" i="5" s="1"/>
  <c r="C825" i="5" s="1"/>
  <c r="C826" i="5" s="1"/>
  <c r="C827" i="5" s="1"/>
  <c r="C828" i="5" s="1"/>
  <c r="C829" i="5" s="1"/>
  <c r="C830" i="5" s="1"/>
  <c r="C831" i="5" s="1"/>
  <c r="C832" i="5" s="1"/>
  <c r="C833" i="5" s="1"/>
  <c r="C834" i="5" s="1"/>
  <c r="C835" i="5" s="1"/>
  <c r="C836" i="5" s="1"/>
  <c r="C837" i="5" s="1"/>
  <c r="F935" i="5"/>
  <c r="I939" i="5"/>
  <c r="F939" i="5" s="1"/>
  <c r="C924" i="5" s="1"/>
  <c r="C925" i="5" s="1"/>
  <c r="C926" i="5" s="1"/>
  <c r="C927" i="5" s="1"/>
  <c r="C928" i="5" s="1"/>
  <c r="C929" i="5" s="1"/>
  <c r="C930" i="5" s="1"/>
  <c r="C931" i="5" s="1"/>
  <c r="C932" i="5" s="1"/>
  <c r="C933" i="5" s="1"/>
  <c r="C934" i="5" s="1"/>
  <c r="C935" i="5" s="1"/>
  <c r="C936" i="5" s="1"/>
  <c r="C937" i="5" s="1"/>
  <c r="C938" i="5" s="1"/>
  <c r="C939" i="5" s="1"/>
  <c r="F918" i="5"/>
  <c r="F956" i="5"/>
  <c r="C941" i="5" s="1"/>
  <c r="C942" i="5" s="1"/>
  <c r="C943" i="5" s="1"/>
  <c r="C944" i="5" s="1"/>
  <c r="C945" i="5" s="1"/>
  <c r="C946" i="5" s="1"/>
  <c r="C947" i="5" s="1"/>
  <c r="C948" i="5" s="1"/>
  <c r="C949" i="5" s="1"/>
  <c r="C950" i="5" s="1"/>
  <c r="C951" i="5" s="1"/>
  <c r="C952" i="5" s="1"/>
  <c r="C953" i="5" s="1"/>
  <c r="C954" i="5" s="1"/>
  <c r="C955" i="5" s="1"/>
  <c r="C956" i="5" s="1"/>
  <c r="F33" i="5"/>
  <c r="F1003" i="5"/>
  <c r="I527" i="5"/>
  <c r="F191" i="5"/>
  <c r="C176" i="5" s="1"/>
  <c r="C177" i="5" s="1"/>
  <c r="C178" i="5" s="1"/>
  <c r="C179" i="5" s="1"/>
  <c r="C180" i="5" s="1"/>
  <c r="C181" i="5" s="1"/>
  <c r="C182" i="5" s="1"/>
  <c r="C183" i="5" s="1"/>
  <c r="C184" i="5" s="1"/>
  <c r="C185" i="5" s="1"/>
  <c r="C186" i="5" s="1"/>
  <c r="C187" i="5" s="1"/>
  <c r="C188" i="5" s="1"/>
  <c r="C189" i="5" s="1"/>
  <c r="C190" i="5" s="1"/>
  <c r="C191" i="5" s="1"/>
  <c r="F578" i="5"/>
  <c r="F969" i="5"/>
  <c r="I973" i="5"/>
  <c r="F973" i="5" s="1"/>
  <c r="C958" i="5" s="1"/>
  <c r="C959" i="5" s="1"/>
  <c r="C960" i="5" s="1"/>
  <c r="C961" i="5" s="1"/>
  <c r="C962" i="5" s="1"/>
  <c r="C963" i="5" s="1"/>
  <c r="C964" i="5" s="1"/>
  <c r="C965" i="5" s="1"/>
  <c r="C966" i="5" s="1"/>
  <c r="C967" i="5" s="1"/>
  <c r="C968" i="5" s="1"/>
  <c r="C969" i="5" s="1"/>
  <c r="C970" i="5" s="1"/>
  <c r="C971" i="5" s="1"/>
  <c r="C972" i="5" s="1"/>
  <c r="C973" i="5" s="1"/>
  <c r="L1079" i="5"/>
  <c r="F629" i="5"/>
  <c r="I633" i="5"/>
  <c r="F633" i="5" s="1"/>
  <c r="C618" i="5" s="1"/>
  <c r="C619" i="5" s="1"/>
  <c r="C620" i="5" s="1"/>
  <c r="C621" i="5" s="1"/>
  <c r="C622" i="5" s="1"/>
  <c r="C623" i="5" s="1"/>
  <c r="C624" i="5" s="1"/>
  <c r="C625" i="5" s="1"/>
  <c r="C626" i="5" s="1"/>
  <c r="C627" i="5" s="1"/>
  <c r="C628" i="5" s="1"/>
  <c r="C629" i="5" s="1"/>
  <c r="C630" i="5" s="1"/>
  <c r="C631" i="5" s="1"/>
  <c r="C632" i="5" s="1"/>
  <c r="C633" i="5" s="1"/>
  <c r="I14" i="6"/>
  <c r="I15" i="6" s="1"/>
  <c r="I12" i="6"/>
  <c r="B41" i="37"/>
  <c r="D41" i="37" s="1"/>
  <c r="F41" i="37" s="1"/>
  <c r="F425" i="5"/>
  <c r="F1024" i="5"/>
  <c r="C1009" i="5" s="1"/>
  <c r="C1010" i="5" s="1"/>
  <c r="C1011" i="5" s="1"/>
  <c r="C1012" i="5" s="1"/>
  <c r="C1013" i="5" s="1"/>
  <c r="C1014" i="5" s="1"/>
  <c r="C1015" i="5" s="1"/>
  <c r="C1016" i="5" s="1"/>
  <c r="C1017" i="5" s="1"/>
  <c r="C1018" i="5" s="1"/>
  <c r="C1019" i="5" s="1"/>
  <c r="C1020" i="5" s="1"/>
  <c r="C1021" i="5" s="1"/>
  <c r="C1022" i="5" s="1"/>
  <c r="C1023" i="5" s="1"/>
  <c r="C1024" i="5" s="1"/>
  <c r="F51" i="5"/>
  <c r="I680" i="5"/>
  <c r="F8" i="6"/>
  <c r="G1079" i="5"/>
  <c r="G1080" i="5" s="1"/>
  <c r="F37" i="5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I306" i="5"/>
  <c r="I378" i="5"/>
  <c r="F378" i="5" s="1"/>
  <c r="C363" i="5" s="1"/>
  <c r="C364" i="5" s="1"/>
  <c r="C365" i="5" s="1"/>
  <c r="C366" i="5" s="1"/>
  <c r="C367" i="5" s="1"/>
  <c r="C368" i="5" s="1"/>
  <c r="C369" i="5" s="1"/>
  <c r="C370" i="5" s="1"/>
  <c r="C371" i="5" s="1"/>
  <c r="C372" i="5" s="1"/>
  <c r="C373" i="5" s="1"/>
  <c r="C374" i="5" s="1"/>
  <c r="C375" i="5" s="1"/>
  <c r="C376" i="5" s="1"/>
  <c r="C377" i="5" s="1"/>
  <c r="C378" i="5" s="1"/>
  <c r="F714" i="5"/>
  <c r="F374" i="5"/>
  <c r="L14" i="5"/>
  <c r="L18" i="5" s="1"/>
  <c r="L19" i="5" s="1"/>
  <c r="L20" i="5" s="1"/>
  <c r="F357" i="5"/>
  <c r="I361" i="5"/>
  <c r="F361" i="5" s="1"/>
  <c r="C346" i="5" s="1"/>
  <c r="C347" i="5" s="1"/>
  <c r="C348" i="5" s="1"/>
  <c r="C349" i="5" s="1"/>
  <c r="C350" i="5" s="1"/>
  <c r="C351" i="5" s="1"/>
  <c r="C352" i="5" s="1"/>
  <c r="C353" i="5" s="1"/>
  <c r="C354" i="5" s="1"/>
  <c r="C355" i="5" s="1"/>
  <c r="C356" i="5" s="1"/>
  <c r="C357" i="5" s="1"/>
  <c r="C358" i="5" s="1"/>
  <c r="C359" i="5" s="1"/>
  <c r="C360" i="5" s="1"/>
  <c r="C361" i="5" s="1"/>
  <c r="F119" i="5"/>
  <c r="I123" i="5"/>
  <c r="F123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C123" i="5" s="1"/>
  <c r="F6" i="5"/>
  <c r="F174" i="5"/>
  <c r="C159" i="5" s="1"/>
  <c r="C160" i="5" s="1"/>
  <c r="C161" i="5" s="1"/>
  <c r="C162" i="5" s="1"/>
  <c r="C163" i="5" s="1"/>
  <c r="C164" i="5" s="1"/>
  <c r="C165" i="5" s="1"/>
  <c r="C166" i="5" s="1"/>
  <c r="C167" i="5" s="1"/>
  <c r="C168" i="5" s="1"/>
  <c r="C169" i="5" s="1"/>
  <c r="C170" i="5" s="1"/>
  <c r="C171" i="5" s="1"/>
  <c r="C172" i="5" s="1"/>
  <c r="C173" i="5" s="1"/>
  <c r="C174" i="5" s="1"/>
  <c r="I208" i="5"/>
  <c r="F208" i="5" s="1"/>
  <c r="C193" i="5" s="1"/>
  <c r="C194" i="5" s="1"/>
  <c r="C195" i="5" s="1"/>
  <c r="C196" i="5" s="1"/>
  <c r="C197" i="5" s="1"/>
  <c r="C198" i="5" s="1"/>
  <c r="C199" i="5" s="1"/>
  <c r="C200" i="5" s="1"/>
  <c r="C201" i="5" s="1"/>
  <c r="C202" i="5" s="1"/>
  <c r="C203" i="5" s="1"/>
  <c r="C204" i="5" s="1"/>
  <c r="C205" i="5" s="1"/>
  <c r="C206" i="5" s="1"/>
  <c r="C207" i="5" s="1"/>
  <c r="C208" i="5" s="1"/>
  <c r="F561" i="5"/>
  <c r="I565" i="5"/>
  <c r="F565" i="5" s="1"/>
  <c r="C550" i="5" s="1"/>
  <c r="C551" i="5" s="1"/>
  <c r="C552" i="5" s="1"/>
  <c r="C553" i="5" s="1"/>
  <c r="C554" i="5" s="1"/>
  <c r="C555" i="5" s="1"/>
  <c r="C556" i="5" s="1"/>
  <c r="C557" i="5" s="1"/>
  <c r="C558" i="5" s="1"/>
  <c r="C559" i="5" s="1"/>
  <c r="C560" i="5" s="1"/>
  <c r="C561" i="5" s="1"/>
  <c r="C562" i="5" s="1"/>
  <c r="C563" i="5" s="1"/>
  <c r="C564" i="5" s="1"/>
  <c r="C565" i="5" s="1"/>
  <c r="I276" i="5"/>
  <c r="F276" i="5" s="1"/>
  <c r="C261" i="5" s="1"/>
  <c r="C262" i="5" s="1"/>
  <c r="C263" i="5" s="1"/>
  <c r="C264" i="5" s="1"/>
  <c r="C265" i="5" s="1"/>
  <c r="C266" i="5" s="1"/>
  <c r="C267" i="5" s="1"/>
  <c r="C268" i="5" s="1"/>
  <c r="C269" i="5" s="1"/>
  <c r="C270" i="5" s="1"/>
  <c r="C271" i="5" s="1"/>
  <c r="C272" i="5" s="1"/>
  <c r="C273" i="5" s="1"/>
  <c r="C274" i="5" s="1"/>
  <c r="C275" i="5" s="1"/>
  <c r="C276" i="5" s="1"/>
  <c r="F85" i="5"/>
  <c r="I89" i="5"/>
  <c r="F89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F816" i="5"/>
  <c r="I820" i="5"/>
  <c r="F820" i="5" s="1"/>
  <c r="C805" i="5" s="1"/>
  <c r="C806" i="5" s="1"/>
  <c r="C807" i="5" s="1"/>
  <c r="C808" i="5" s="1"/>
  <c r="C809" i="5" s="1"/>
  <c r="C810" i="5" s="1"/>
  <c r="C811" i="5" s="1"/>
  <c r="C812" i="5" s="1"/>
  <c r="C813" i="5" s="1"/>
  <c r="C814" i="5" s="1"/>
  <c r="C815" i="5" s="1"/>
  <c r="C816" i="5" s="1"/>
  <c r="C817" i="5" s="1"/>
  <c r="C818" i="5" s="1"/>
  <c r="C819" i="5" s="1"/>
  <c r="C820" i="5" s="1"/>
  <c r="F1058" i="5"/>
  <c r="C1043" i="5" s="1"/>
  <c r="C1044" i="5" s="1"/>
  <c r="C1045" i="5" s="1"/>
  <c r="C1046" i="5" s="1"/>
  <c r="C1047" i="5" s="1"/>
  <c r="C1048" i="5" s="1"/>
  <c r="C1049" i="5" s="1"/>
  <c r="C1050" i="5" s="1"/>
  <c r="C1051" i="5" s="1"/>
  <c r="C1052" i="5" s="1"/>
  <c r="C1053" i="5" s="1"/>
  <c r="C1054" i="5" s="1"/>
  <c r="C1055" i="5" s="1"/>
  <c r="C1056" i="5" s="1"/>
  <c r="C1057" i="5" s="1"/>
  <c r="C1058" i="5" s="1"/>
  <c r="F616" i="5"/>
  <c r="C601" i="5" s="1"/>
  <c r="C602" i="5" s="1"/>
  <c r="C603" i="5" s="1"/>
  <c r="C604" i="5" s="1"/>
  <c r="C605" i="5" s="1"/>
  <c r="C606" i="5" s="1"/>
  <c r="C607" i="5" s="1"/>
  <c r="C608" i="5" s="1"/>
  <c r="C609" i="5" s="1"/>
  <c r="C610" i="5" s="1"/>
  <c r="C611" i="5" s="1"/>
  <c r="C612" i="5" s="1"/>
  <c r="C613" i="5" s="1"/>
  <c r="C614" i="5" s="1"/>
  <c r="C615" i="5" s="1"/>
  <c r="C616" i="5" s="1"/>
  <c r="I259" i="5"/>
  <c r="F259" i="5" s="1"/>
  <c r="C244" i="5" s="1"/>
  <c r="C245" i="5" s="1"/>
  <c r="C246" i="5" s="1"/>
  <c r="C247" i="5" s="1"/>
  <c r="C248" i="5" s="1"/>
  <c r="C249" i="5" s="1"/>
  <c r="C250" i="5" s="1"/>
  <c r="C251" i="5" s="1"/>
  <c r="C252" i="5" s="1"/>
  <c r="C253" i="5" s="1"/>
  <c r="C254" i="5" s="1"/>
  <c r="C255" i="5" s="1"/>
  <c r="C256" i="5" s="1"/>
  <c r="C257" i="5" s="1"/>
  <c r="C258" i="5" s="1"/>
  <c r="C259" i="5" s="1"/>
  <c r="F765" i="5"/>
  <c r="I769" i="5"/>
  <c r="F769" i="5" s="1"/>
  <c r="C754" i="5" s="1"/>
  <c r="C755" i="5" s="1"/>
  <c r="C756" i="5" s="1"/>
  <c r="C757" i="5" s="1"/>
  <c r="C758" i="5" s="1"/>
  <c r="C759" i="5" s="1"/>
  <c r="C760" i="5" s="1"/>
  <c r="C761" i="5" s="1"/>
  <c r="C762" i="5" s="1"/>
  <c r="C763" i="5" s="1"/>
  <c r="C764" i="5" s="1"/>
  <c r="C765" i="5" s="1"/>
  <c r="C766" i="5" s="1"/>
  <c r="C767" i="5" s="1"/>
  <c r="C768" i="5" s="1"/>
  <c r="C769" i="5" s="1"/>
  <c r="F442" i="5"/>
  <c r="I446" i="5"/>
  <c r="F446" i="5" s="1"/>
  <c r="C431" i="5" s="1"/>
  <c r="C432" i="5" s="1"/>
  <c r="C433" i="5" s="1"/>
  <c r="C434" i="5" s="1"/>
  <c r="C435" i="5" s="1"/>
  <c r="C436" i="5" s="1"/>
  <c r="C437" i="5" s="1"/>
  <c r="C438" i="5" s="1"/>
  <c r="C439" i="5" s="1"/>
  <c r="C440" i="5" s="1"/>
  <c r="C441" i="5" s="1"/>
  <c r="C442" i="5" s="1"/>
  <c r="C443" i="5" s="1"/>
  <c r="C444" i="5" s="1"/>
  <c r="C445" i="5" s="1"/>
  <c r="C446" i="5" s="1"/>
  <c r="F752" i="5"/>
  <c r="C737" i="5" s="1"/>
  <c r="C738" i="5" s="1"/>
  <c r="C739" i="5" s="1"/>
  <c r="C740" i="5" s="1"/>
  <c r="C741" i="5" s="1"/>
  <c r="C742" i="5" s="1"/>
  <c r="C743" i="5" s="1"/>
  <c r="C744" i="5" s="1"/>
  <c r="C745" i="5" s="1"/>
  <c r="C746" i="5" s="1"/>
  <c r="C747" i="5" s="1"/>
  <c r="C748" i="5" s="1"/>
  <c r="C749" i="5" s="1"/>
  <c r="C750" i="5" s="1"/>
  <c r="C751" i="5" s="1"/>
  <c r="C752" i="5" s="1"/>
  <c r="I735" i="5"/>
  <c r="F735" i="5" s="1"/>
  <c r="C720" i="5" s="1"/>
  <c r="C721" i="5" s="1"/>
  <c r="C722" i="5" s="1"/>
  <c r="C723" i="5" s="1"/>
  <c r="C724" i="5" s="1"/>
  <c r="C725" i="5" s="1"/>
  <c r="C726" i="5" s="1"/>
  <c r="C727" i="5" s="1"/>
  <c r="C728" i="5" s="1"/>
  <c r="C729" i="5" s="1"/>
  <c r="C730" i="5" s="1"/>
  <c r="C731" i="5" s="1"/>
  <c r="C732" i="5" s="1"/>
  <c r="C733" i="5" s="1"/>
  <c r="C734" i="5" s="1"/>
  <c r="C735" i="5" s="1"/>
  <c r="I340" i="5"/>
  <c r="I72" i="5"/>
  <c r="F72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F697" i="5"/>
  <c r="I701" i="5"/>
  <c r="F701" i="5" s="1"/>
  <c r="C686" i="5" s="1"/>
  <c r="C687" i="5" s="1"/>
  <c r="C688" i="5" s="1"/>
  <c r="C689" i="5" s="1"/>
  <c r="C690" i="5" s="1"/>
  <c r="C691" i="5" s="1"/>
  <c r="C692" i="5" s="1"/>
  <c r="C693" i="5" s="1"/>
  <c r="C694" i="5" s="1"/>
  <c r="C695" i="5" s="1"/>
  <c r="C696" i="5" s="1"/>
  <c r="C697" i="5" s="1"/>
  <c r="C698" i="5" s="1"/>
  <c r="C699" i="5" s="1"/>
  <c r="C700" i="5" s="1"/>
  <c r="C701" i="5" s="1"/>
  <c r="F11" i="6"/>
  <c r="I650" i="5"/>
  <c r="F650" i="5" s="1"/>
  <c r="C635" i="5" s="1"/>
  <c r="C636" i="5" s="1"/>
  <c r="C637" i="5" s="1"/>
  <c r="C638" i="5" s="1"/>
  <c r="C639" i="5" s="1"/>
  <c r="C640" i="5" s="1"/>
  <c r="C641" i="5" s="1"/>
  <c r="C642" i="5" s="1"/>
  <c r="C643" i="5" s="1"/>
  <c r="C644" i="5" s="1"/>
  <c r="C645" i="5" s="1"/>
  <c r="C646" i="5" s="1"/>
  <c r="C647" i="5" s="1"/>
  <c r="C648" i="5" s="1"/>
  <c r="C649" i="5" s="1"/>
  <c r="C650" i="5" s="1"/>
  <c r="F548" i="5"/>
  <c r="C533" i="5" s="1"/>
  <c r="C534" i="5" s="1"/>
  <c r="C535" i="5" s="1"/>
  <c r="C536" i="5" s="1"/>
  <c r="C537" i="5" s="1"/>
  <c r="C538" i="5" s="1"/>
  <c r="C539" i="5" s="1"/>
  <c r="C540" i="5" s="1"/>
  <c r="C541" i="5" s="1"/>
  <c r="C542" i="5" s="1"/>
  <c r="C543" i="5" s="1"/>
  <c r="C544" i="5" s="1"/>
  <c r="C545" i="5" s="1"/>
  <c r="C546" i="5" s="1"/>
  <c r="C547" i="5" s="1"/>
  <c r="C548" i="5" s="1"/>
  <c r="I990" i="5"/>
  <c r="F990" i="5" s="1"/>
  <c r="C975" i="5" s="1"/>
  <c r="C976" i="5" s="1"/>
  <c r="C977" i="5" s="1"/>
  <c r="C978" i="5" s="1"/>
  <c r="C979" i="5" s="1"/>
  <c r="C980" i="5" s="1"/>
  <c r="C981" i="5" s="1"/>
  <c r="C982" i="5" s="1"/>
  <c r="C983" i="5" s="1"/>
  <c r="C984" i="5" s="1"/>
  <c r="C985" i="5" s="1"/>
  <c r="C986" i="5" s="1"/>
  <c r="C987" i="5" s="1"/>
  <c r="C988" i="5" s="1"/>
  <c r="C989" i="5" s="1"/>
  <c r="C990" i="5" s="1"/>
  <c r="I412" i="5"/>
  <c r="F412" i="5" s="1"/>
  <c r="C397" i="5" s="1"/>
  <c r="C398" i="5" s="1"/>
  <c r="C399" i="5" s="1"/>
  <c r="C400" i="5" s="1"/>
  <c r="C401" i="5" s="1"/>
  <c r="C402" i="5" s="1"/>
  <c r="C403" i="5" s="1"/>
  <c r="C404" i="5" s="1"/>
  <c r="C405" i="5" s="1"/>
  <c r="C406" i="5" s="1"/>
  <c r="C407" i="5" s="1"/>
  <c r="C408" i="5" s="1"/>
  <c r="C409" i="5" s="1"/>
  <c r="C410" i="5" s="1"/>
  <c r="C411" i="5" s="1"/>
  <c r="C412" i="5" s="1"/>
  <c r="F170" i="5"/>
  <c r="F102" i="5"/>
  <c r="F1075" i="5"/>
  <c r="C1060" i="5" s="1"/>
  <c r="C1061" i="5" s="1"/>
  <c r="C1062" i="5" s="1"/>
  <c r="C1063" i="5" s="1"/>
  <c r="C1064" i="5" s="1"/>
  <c r="C1065" i="5" s="1"/>
  <c r="C1066" i="5" s="1"/>
  <c r="C1067" i="5" s="1"/>
  <c r="C1068" i="5" s="1"/>
  <c r="C1069" i="5" s="1"/>
  <c r="C1070" i="5" s="1"/>
  <c r="C1071" i="5" s="1"/>
  <c r="C1072" i="5" s="1"/>
  <c r="C1073" i="5" s="1"/>
  <c r="C1074" i="5" s="1"/>
  <c r="C1075" i="5" s="1"/>
  <c r="F476" i="5"/>
  <c r="I480" i="5"/>
  <c r="F480" i="5" s="1"/>
  <c r="C465" i="5" s="1"/>
  <c r="C466" i="5" s="1"/>
  <c r="C467" i="5" s="1"/>
  <c r="C468" i="5" s="1"/>
  <c r="C469" i="5" s="1"/>
  <c r="C470" i="5" s="1"/>
  <c r="C471" i="5" s="1"/>
  <c r="C472" i="5" s="1"/>
  <c r="C473" i="5" s="1"/>
  <c r="C474" i="5" s="1"/>
  <c r="C475" i="5" s="1"/>
  <c r="C476" i="5" s="1"/>
  <c r="C477" i="5" s="1"/>
  <c r="C478" i="5" s="1"/>
  <c r="C479" i="5" s="1"/>
  <c r="C480" i="5" s="1"/>
  <c r="F153" i="5"/>
  <c r="I157" i="5"/>
  <c r="F157" i="5" s="1"/>
  <c r="C142" i="5" s="1"/>
  <c r="C143" i="5" s="1"/>
  <c r="C144" i="5" s="1"/>
  <c r="C145" i="5" s="1"/>
  <c r="C146" i="5" s="1"/>
  <c r="C147" i="5" s="1"/>
  <c r="C148" i="5" s="1"/>
  <c r="C149" i="5" s="1"/>
  <c r="C150" i="5" s="1"/>
  <c r="C151" i="5" s="1"/>
  <c r="C152" i="5" s="1"/>
  <c r="C153" i="5" s="1"/>
  <c r="C154" i="5" s="1"/>
  <c r="C155" i="5" s="1"/>
  <c r="C156" i="5" s="1"/>
  <c r="C157" i="5" s="1"/>
  <c r="F986" i="5"/>
  <c r="F905" i="5"/>
  <c r="C890" i="5" s="1"/>
  <c r="C891" i="5" s="1"/>
  <c r="C892" i="5" s="1"/>
  <c r="C893" i="5" s="1"/>
  <c r="C894" i="5" s="1"/>
  <c r="C895" i="5" s="1"/>
  <c r="C896" i="5" s="1"/>
  <c r="C897" i="5" s="1"/>
  <c r="C898" i="5" s="1"/>
  <c r="C899" i="5" s="1"/>
  <c r="C900" i="5" s="1"/>
  <c r="C901" i="5" s="1"/>
  <c r="C902" i="5" s="1"/>
  <c r="C903" i="5" s="1"/>
  <c r="C904" i="5" s="1"/>
  <c r="C905" i="5" s="1"/>
  <c r="F493" i="5"/>
  <c r="I293" i="5"/>
  <c r="F293" i="5" s="1"/>
  <c r="C278" i="5" s="1"/>
  <c r="C279" i="5" s="1"/>
  <c r="C280" i="5" s="1"/>
  <c r="C281" i="5" s="1"/>
  <c r="C282" i="5" s="1"/>
  <c r="C283" i="5" s="1"/>
  <c r="C284" i="5" s="1"/>
  <c r="C285" i="5" s="1"/>
  <c r="C286" i="5" s="1"/>
  <c r="C287" i="5" s="1"/>
  <c r="C288" i="5" s="1"/>
  <c r="C289" i="5" s="1"/>
  <c r="C290" i="5" s="1"/>
  <c r="C291" i="5" s="1"/>
  <c r="C292" i="5" s="1"/>
  <c r="C293" i="5" s="1"/>
  <c r="I595" i="5"/>
  <c r="F952" i="5"/>
  <c r="F833" i="5"/>
  <c r="F1054" i="5"/>
  <c r="I225" i="5" l="1"/>
  <c r="F225" i="5" s="1"/>
  <c r="C210" i="5" s="1"/>
  <c r="C211" i="5" s="1"/>
  <c r="C212" i="5" s="1"/>
  <c r="C213" i="5" s="1"/>
  <c r="C214" i="5" s="1"/>
  <c r="C215" i="5" s="1"/>
  <c r="C216" i="5" s="1"/>
  <c r="C217" i="5" s="1"/>
  <c r="C218" i="5" s="1"/>
  <c r="C219" i="5" s="1"/>
  <c r="C220" i="5" s="1"/>
  <c r="C221" i="5" s="1"/>
  <c r="C222" i="5" s="1"/>
  <c r="C223" i="5" s="1"/>
  <c r="C224" i="5" s="1"/>
  <c r="C225" i="5" s="1"/>
  <c r="F221" i="5"/>
  <c r="F12" i="6"/>
  <c r="F14" i="6"/>
  <c r="F15" i="6" s="1"/>
  <c r="I871" i="5"/>
  <c r="F871" i="5" s="1"/>
  <c r="C856" i="5" s="1"/>
  <c r="C857" i="5" s="1"/>
  <c r="C858" i="5" s="1"/>
  <c r="C859" i="5" s="1"/>
  <c r="C860" i="5" s="1"/>
  <c r="C861" i="5" s="1"/>
  <c r="C862" i="5" s="1"/>
  <c r="C863" i="5" s="1"/>
  <c r="C864" i="5" s="1"/>
  <c r="C865" i="5" s="1"/>
  <c r="C866" i="5" s="1"/>
  <c r="C867" i="5" s="1"/>
  <c r="C868" i="5" s="1"/>
  <c r="C869" i="5" s="1"/>
  <c r="C870" i="5" s="1"/>
  <c r="C871" i="5" s="1"/>
  <c r="F867" i="5"/>
  <c r="I463" i="5"/>
  <c r="F463" i="5" s="1"/>
  <c r="C448" i="5" s="1"/>
  <c r="C449" i="5" s="1"/>
  <c r="C450" i="5" s="1"/>
  <c r="C451" i="5" s="1"/>
  <c r="C452" i="5" s="1"/>
  <c r="C453" i="5" s="1"/>
  <c r="C454" i="5" s="1"/>
  <c r="C455" i="5" s="1"/>
  <c r="C456" i="5" s="1"/>
  <c r="C457" i="5" s="1"/>
  <c r="C458" i="5" s="1"/>
  <c r="C459" i="5" s="1"/>
  <c r="C460" i="5" s="1"/>
  <c r="C461" i="5" s="1"/>
  <c r="C462" i="5" s="1"/>
  <c r="C463" i="5" s="1"/>
  <c r="F459" i="5"/>
  <c r="I14" i="5"/>
  <c r="F14" i="5" s="1"/>
  <c r="I684" i="5"/>
  <c r="F684" i="5" s="1"/>
  <c r="C669" i="5" s="1"/>
  <c r="C670" i="5" s="1"/>
  <c r="C671" i="5" s="1"/>
  <c r="C672" i="5" s="1"/>
  <c r="C673" i="5" s="1"/>
  <c r="C674" i="5" s="1"/>
  <c r="C675" i="5" s="1"/>
  <c r="C676" i="5" s="1"/>
  <c r="C677" i="5" s="1"/>
  <c r="C678" i="5" s="1"/>
  <c r="C679" i="5" s="1"/>
  <c r="C680" i="5" s="1"/>
  <c r="C681" i="5" s="1"/>
  <c r="C682" i="5" s="1"/>
  <c r="C683" i="5" s="1"/>
  <c r="C684" i="5" s="1"/>
  <c r="F680" i="5"/>
  <c r="I310" i="5"/>
  <c r="F310" i="5" s="1"/>
  <c r="C295" i="5" s="1"/>
  <c r="C296" i="5" s="1"/>
  <c r="C297" i="5" s="1"/>
  <c r="C298" i="5" s="1"/>
  <c r="C299" i="5" s="1"/>
  <c r="C300" i="5" s="1"/>
  <c r="C301" i="5" s="1"/>
  <c r="C302" i="5" s="1"/>
  <c r="C303" i="5" s="1"/>
  <c r="C304" i="5" s="1"/>
  <c r="C305" i="5" s="1"/>
  <c r="C306" i="5" s="1"/>
  <c r="C307" i="5" s="1"/>
  <c r="C308" i="5" s="1"/>
  <c r="C309" i="5" s="1"/>
  <c r="C310" i="5" s="1"/>
  <c r="F306" i="5"/>
  <c r="I18" i="5"/>
  <c r="J19" i="5"/>
  <c r="I599" i="5"/>
  <c r="F599" i="5" s="1"/>
  <c r="C584" i="5" s="1"/>
  <c r="C585" i="5" s="1"/>
  <c r="C586" i="5" s="1"/>
  <c r="C587" i="5" s="1"/>
  <c r="C588" i="5" s="1"/>
  <c r="C589" i="5" s="1"/>
  <c r="C590" i="5" s="1"/>
  <c r="C591" i="5" s="1"/>
  <c r="C592" i="5" s="1"/>
  <c r="C593" i="5" s="1"/>
  <c r="C594" i="5" s="1"/>
  <c r="C595" i="5" s="1"/>
  <c r="C596" i="5" s="1"/>
  <c r="C597" i="5" s="1"/>
  <c r="C598" i="5" s="1"/>
  <c r="C599" i="5" s="1"/>
  <c r="F595" i="5"/>
  <c r="I531" i="5"/>
  <c r="F531" i="5" s="1"/>
  <c r="C516" i="5" s="1"/>
  <c r="C517" i="5" s="1"/>
  <c r="C518" i="5" s="1"/>
  <c r="C519" i="5" s="1"/>
  <c r="C520" i="5" s="1"/>
  <c r="C521" i="5" s="1"/>
  <c r="C522" i="5" s="1"/>
  <c r="C523" i="5" s="1"/>
  <c r="C524" i="5" s="1"/>
  <c r="C525" i="5" s="1"/>
  <c r="C526" i="5" s="1"/>
  <c r="C527" i="5" s="1"/>
  <c r="C528" i="5" s="1"/>
  <c r="C529" i="5" s="1"/>
  <c r="C530" i="5" s="1"/>
  <c r="C531" i="5" s="1"/>
  <c r="F527" i="5"/>
  <c r="I344" i="5"/>
  <c r="F344" i="5" s="1"/>
  <c r="C329" i="5" s="1"/>
  <c r="C330" i="5" s="1"/>
  <c r="C331" i="5" s="1"/>
  <c r="C332" i="5" s="1"/>
  <c r="C333" i="5" s="1"/>
  <c r="C334" i="5" s="1"/>
  <c r="C335" i="5" s="1"/>
  <c r="C336" i="5" s="1"/>
  <c r="C337" i="5" s="1"/>
  <c r="C338" i="5" s="1"/>
  <c r="C339" i="5" s="1"/>
  <c r="C340" i="5" s="1"/>
  <c r="C341" i="5" s="1"/>
  <c r="C342" i="5" s="1"/>
  <c r="C343" i="5" s="1"/>
  <c r="C344" i="5" s="1"/>
  <c r="F340" i="5"/>
  <c r="L1080" i="5"/>
  <c r="G20" i="5"/>
  <c r="D19" i="5"/>
  <c r="J1080" i="5"/>
  <c r="I19" i="5" l="1"/>
  <c r="I20" i="5" s="1"/>
  <c r="H2" i="44"/>
  <c r="F18" i="5"/>
  <c r="F19" i="5" s="1"/>
  <c r="F20" i="5" s="1"/>
  <c r="I1079" i="5"/>
  <c r="I1080" i="5" s="1"/>
  <c r="H4" i="44"/>
  <c r="D11" i="44"/>
  <c r="D23" i="44"/>
  <c r="D24" i="44"/>
  <c r="D12" i="44"/>
  <c r="D34" i="44"/>
  <c r="D17" i="44"/>
  <c r="D29" i="44"/>
  <c r="D14" i="44"/>
  <c r="D18" i="44"/>
  <c r="D35" i="44"/>
  <c r="D9" i="44"/>
  <c r="D15" i="44"/>
  <c r="D19" i="44"/>
  <c r="D4" i="44"/>
  <c r="D28" i="44"/>
  <c r="D26" i="44"/>
  <c r="D32" i="44"/>
  <c r="D37" i="44"/>
  <c r="D7" i="44"/>
  <c r="D5" i="44"/>
  <c r="D31" i="44"/>
  <c r="D6" i="44"/>
  <c r="D33" i="44"/>
  <c r="D8" i="44"/>
  <c r="D21" i="44"/>
  <c r="D16" i="44"/>
  <c r="D13" i="44"/>
  <c r="D30" i="44"/>
  <c r="D10" i="44"/>
  <c r="D25" i="44"/>
  <c r="D22" i="44"/>
  <c r="D36" i="44"/>
  <c r="D27" i="44"/>
  <c r="D20" i="44"/>
  <c r="D1" i="4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Eli Steinberg</author>
  </authors>
  <commentList>
    <comment ref="G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Eli Steinberg:</t>
        </r>
        <r>
          <rPr>
            <sz val="9"/>
            <color indexed="81"/>
            <rFont val="Tahoma"/>
            <family val="2"/>
          </rPr>
          <t xml:space="preserve">
For Payroll Accounts</t>
        </r>
      </text>
    </comment>
    <comment ref="H1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Eli Steinberg:</t>
        </r>
        <r>
          <rPr>
            <sz val="9"/>
            <color indexed="81"/>
            <rFont val="Tahoma"/>
            <family val="2"/>
          </rPr>
          <t xml:space="preserve">
For Taxes and Benefits</t>
        </r>
      </text>
    </comment>
    <comment ref="I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Eli Steinberg:</t>
        </r>
        <r>
          <rPr>
            <sz val="9"/>
            <color indexed="81"/>
            <rFont val="Tahoma"/>
            <family val="2"/>
          </rPr>
          <t xml:space="preserve">
For Workers COmp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Eli Steinberg</author>
  </authors>
  <commentList>
    <comment ref="P47" authorId="0" shapeId="0" xr:uid="{D2EDE6BA-B436-4BDC-BD2A-EFEB59CB86A5}">
      <text>
        <r>
          <rPr>
            <b/>
            <sz val="9"/>
            <color indexed="81"/>
            <rFont val="Tahoma"/>
            <family val="2"/>
          </rPr>
          <t>Eli Steinberg:</t>
        </r>
        <r>
          <rPr>
            <sz val="9"/>
            <color indexed="81"/>
            <rFont val="Tahoma"/>
            <family val="2"/>
          </rPr>
          <t xml:space="preserve">
Need benefits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Eli Steinberg</author>
  </authors>
  <commentList>
    <comment ref="G7" authorId="0" shapeId="0" xr:uid="{00000000-0006-0000-1E00-000001000000}">
      <text>
        <r>
          <rPr>
            <b/>
            <sz val="9"/>
            <color indexed="81"/>
            <rFont val="Tahoma"/>
            <family val="2"/>
          </rPr>
          <t>Eli Steinberg:</t>
        </r>
        <r>
          <rPr>
            <sz val="9"/>
            <color indexed="81"/>
            <rFont val="Tahoma"/>
            <family val="2"/>
          </rPr>
          <t xml:space="preserve">
Subcontractor, CHHA column</t>
        </r>
      </text>
    </comment>
    <comment ref="G9" authorId="0" shapeId="0" xr:uid="{00000000-0006-0000-1E00-000002000000}">
      <text>
        <r>
          <rPr>
            <b/>
            <sz val="9"/>
            <color indexed="81"/>
            <rFont val="Tahoma"/>
            <family val="2"/>
          </rPr>
          <t>Eli Steinberg:</t>
        </r>
        <r>
          <rPr>
            <sz val="9"/>
            <color indexed="81"/>
            <rFont val="Tahoma"/>
            <family val="2"/>
          </rPr>
          <t xml:space="preserve">
Subcontractor, second column</t>
        </r>
      </text>
    </comment>
    <comment ref="G10" authorId="0" shapeId="0" xr:uid="{00000000-0006-0000-1E00-000003000000}">
      <text>
        <r>
          <rPr>
            <b/>
            <sz val="9"/>
            <color indexed="81"/>
            <rFont val="Tahoma"/>
            <family val="2"/>
          </rPr>
          <t>Eli Steinberg:</t>
        </r>
        <r>
          <rPr>
            <sz val="9"/>
            <color indexed="81"/>
            <rFont val="Tahoma"/>
            <family val="2"/>
          </rPr>
          <t xml:space="preserve">
Other non-reimburseable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Eli Steinberg</author>
  </authors>
  <commentList>
    <comment ref="G7" authorId="0" shapeId="0" xr:uid="{4185F3D1-0C79-4BAE-B6CB-EB714FDD2E36}">
      <text>
        <r>
          <rPr>
            <b/>
            <sz val="9"/>
            <color indexed="81"/>
            <rFont val="Tahoma"/>
            <family val="2"/>
          </rPr>
          <t>Eli Steinberg:</t>
        </r>
        <r>
          <rPr>
            <sz val="9"/>
            <color indexed="81"/>
            <rFont val="Tahoma"/>
            <family val="2"/>
          </rPr>
          <t xml:space="preserve">
Subcontractor, CHHA column</t>
        </r>
      </text>
    </comment>
    <comment ref="G9" authorId="0" shapeId="0" xr:uid="{7200C22D-E042-43D5-ACCB-634E5E8D114B}">
      <text>
        <r>
          <rPr>
            <b/>
            <sz val="9"/>
            <color indexed="81"/>
            <rFont val="Tahoma"/>
            <family val="2"/>
          </rPr>
          <t>Eli Steinberg:</t>
        </r>
        <r>
          <rPr>
            <sz val="9"/>
            <color indexed="81"/>
            <rFont val="Tahoma"/>
            <family val="2"/>
          </rPr>
          <t xml:space="preserve">
Subcontractor, second column</t>
        </r>
      </text>
    </comment>
    <comment ref="G10" authorId="0" shapeId="0" xr:uid="{E110BD0E-8596-4395-87D6-8C46A3562CF7}">
      <text>
        <r>
          <rPr>
            <b/>
            <sz val="9"/>
            <color indexed="81"/>
            <rFont val="Tahoma"/>
            <family val="2"/>
          </rPr>
          <t>Eli Steinberg:</t>
        </r>
        <r>
          <rPr>
            <sz val="9"/>
            <color indexed="81"/>
            <rFont val="Tahoma"/>
            <family val="2"/>
          </rPr>
          <t xml:space="preserve">
Other non-reimburseable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Eli Steinberg</author>
  </authors>
  <commentList>
    <comment ref="G7" authorId="0" shapeId="0" xr:uid="{254FD59F-AC5A-4F05-906F-6C7C2DC22FE6}">
      <text>
        <r>
          <rPr>
            <b/>
            <sz val="9"/>
            <color indexed="81"/>
            <rFont val="Tahoma"/>
            <family val="2"/>
          </rPr>
          <t>Eli Steinberg:</t>
        </r>
        <r>
          <rPr>
            <sz val="9"/>
            <color indexed="81"/>
            <rFont val="Tahoma"/>
            <family val="2"/>
          </rPr>
          <t xml:space="preserve">
Subcontractor, CHHA column</t>
        </r>
      </text>
    </comment>
    <comment ref="G9" authorId="0" shapeId="0" xr:uid="{5209F35D-6993-44B9-AC12-DFD03024EEEB}">
      <text>
        <r>
          <rPr>
            <b/>
            <sz val="9"/>
            <color indexed="81"/>
            <rFont val="Tahoma"/>
            <family val="2"/>
          </rPr>
          <t>Eli Steinberg:</t>
        </r>
        <r>
          <rPr>
            <sz val="9"/>
            <color indexed="81"/>
            <rFont val="Tahoma"/>
            <family val="2"/>
          </rPr>
          <t xml:space="preserve">
Subcontractor, second column</t>
        </r>
      </text>
    </comment>
    <comment ref="G10" authorId="0" shapeId="0" xr:uid="{426A0965-756C-4B9C-8450-75BD27EA8B4C}">
      <text>
        <r>
          <rPr>
            <b/>
            <sz val="9"/>
            <color indexed="81"/>
            <rFont val="Tahoma"/>
            <family val="2"/>
          </rPr>
          <t>Eli Steinberg:</t>
        </r>
        <r>
          <rPr>
            <sz val="9"/>
            <color indexed="81"/>
            <rFont val="Tahoma"/>
            <family val="2"/>
          </rPr>
          <t xml:space="preserve">
Other non-reimburseable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tc={7B68E510-2B06-4393-9E19-137BBA437DEE}</author>
    <author>tc={98E423C0-147B-43BB-9FBC-E7A69FAEB1BC}</author>
    <author>tc={8C99B0D6-DED3-4483-BA6D-E65D003B5D54}</author>
  </authors>
  <commentList>
    <comment ref="E5" authorId="0" shapeId="0" xr:uid="{00000000-0006-0000-2000-000001000000}">
      <text>
        <r>
          <rPr>
            <sz val="11"/>
            <color rgb="FF000000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CHHA</t>
        </r>
      </text>
    </comment>
    <comment ref="F5" authorId="1" shapeId="0" xr:uid="{00000000-0006-0000-2000-000002000000}">
      <text>
        <r>
          <rPr>
            <sz val="11"/>
            <color rgb="FF000000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VA</t>
        </r>
      </text>
    </comment>
    <comment ref="F6" authorId="2" shapeId="0" xr:uid="{00000000-0006-0000-2000-000003000000}">
      <text>
        <r>
          <rPr>
            <sz val="11"/>
            <color rgb="FF000000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NHTD/PDN/HOSPICE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<sst xmlns="http://schemas.openxmlformats.org/spreadsheetml/2006/main" count="49164" uniqueCount="1222">
  <si>
    <t>Sr#</t>
  </si>
  <si>
    <t>County</t>
  </si>
  <si>
    <t xml:space="preserve">Contract </t>
  </si>
  <si>
    <t>Source Of Admission</t>
  </si>
  <si>
    <t>Contract Type</t>
  </si>
  <si>
    <t>Service Code</t>
  </si>
  <si>
    <t>Export Code</t>
  </si>
  <si>
    <t>Patient Count</t>
  </si>
  <si>
    <t>Visit Count</t>
  </si>
  <si>
    <t>Billed Hours</t>
  </si>
  <si>
    <t>Unique Patient Count</t>
  </si>
  <si>
    <t>Unique Visit Count</t>
  </si>
  <si>
    <t>Unique Billed Hours</t>
  </si>
  <si>
    <t>CHHA</t>
  </si>
  <si>
    <t>MLTC</t>
  </si>
  <si>
    <t>CDPAP</t>
  </si>
  <si>
    <t>Other</t>
  </si>
  <si>
    <t>QUEENS</t>
  </si>
  <si>
    <t>CDPAS: Individual - Basic</t>
  </si>
  <si>
    <t>RN</t>
  </si>
  <si>
    <t>HHA</t>
  </si>
  <si>
    <t>Row Labels</t>
  </si>
  <si>
    <t>Grand Total</t>
  </si>
  <si>
    <t>Sum of Unique Billed Hours</t>
  </si>
  <si>
    <t>Column Labels</t>
  </si>
  <si>
    <t>Utilities</t>
  </si>
  <si>
    <t>Direct Care</t>
  </si>
  <si>
    <t>Sum of Unique Patient Count</t>
  </si>
  <si>
    <t>Sum of Unique Visit Count</t>
  </si>
  <si>
    <t>Program Admin</t>
  </si>
  <si>
    <t>Non-allowable</t>
  </si>
  <si>
    <t>Program Administration</t>
  </si>
  <si>
    <t>Program Aide (Direct Care)</t>
  </si>
  <si>
    <t>Program RN Supervision/ Assessment 
(Direct Care)</t>
  </si>
  <si>
    <t xml:space="preserve">PC: Level I </t>
  </si>
  <si>
    <t>PC: Level II</t>
  </si>
  <si>
    <t>PC: Level II - Hard to Serve</t>
  </si>
  <si>
    <t>Live-In</t>
  </si>
  <si>
    <t>Nursing Supervision</t>
  </si>
  <si>
    <t>Nursing Assessment</t>
  </si>
  <si>
    <t>Shared Aide: Level I</t>
  </si>
  <si>
    <t>Shared Aide: Level II</t>
  </si>
  <si>
    <t xml:space="preserve">CDPAS: Individual - Hard to Serve </t>
  </si>
  <si>
    <t>CDPAS: Individual - Live-In</t>
  </si>
  <si>
    <t>CDPAS: Multiple - Basic</t>
  </si>
  <si>
    <t xml:space="preserve">CDPAS: Multiple - Hard to Serve </t>
  </si>
  <si>
    <t>CDPAS: Multiple - Live-In</t>
  </si>
  <si>
    <t>010</t>
  </si>
  <si>
    <t>GRAND TOTAL</t>
  </si>
  <si>
    <t>009</t>
  </si>
  <si>
    <t>008</t>
  </si>
  <si>
    <t>007</t>
  </si>
  <si>
    <t>006</t>
  </si>
  <si>
    <t>005</t>
  </si>
  <si>
    <t>004</t>
  </si>
  <si>
    <t>003</t>
  </si>
  <si>
    <t>002</t>
  </si>
  <si>
    <t>001</t>
  </si>
  <si>
    <t>Contracted Purchased Services</t>
  </si>
  <si>
    <t>Transportation</t>
  </si>
  <si>
    <t>Program Staff Training</t>
  </si>
  <si>
    <t>Total Entity Costs
(002 + 003)</t>
  </si>
  <si>
    <t>Schedule 3b: LHCSA Costs &amp; Expenses by Service Type</t>
  </si>
  <si>
    <t>LHCSA County</t>
  </si>
  <si>
    <t xml:space="preserve">LHCSA Name </t>
  </si>
  <si>
    <t xml:space="preserve">FI Name </t>
  </si>
  <si>
    <t>FI County</t>
  </si>
  <si>
    <t>Schedule 3c: FI Costs &amp; Expenses by Service Type</t>
  </si>
  <si>
    <t>Check</t>
  </si>
  <si>
    <t>difference</t>
  </si>
  <si>
    <t>Schedule 4b: LHCSA General Service Cost Centers</t>
  </si>
  <si>
    <t xml:space="preserve">GENERAL SERVICE COST CENTERS </t>
  </si>
  <si>
    <t>Criminal Background Check &amp; Fingerprinting</t>
  </si>
  <si>
    <t>Capital Related - Building &amp; Fixtures</t>
  </si>
  <si>
    <t>Capital Related - Movable Equipment</t>
  </si>
  <si>
    <t>Plant Operations &amp; Maintenance</t>
  </si>
  <si>
    <t>Interest-Property</t>
  </si>
  <si>
    <t>011</t>
  </si>
  <si>
    <t>012</t>
  </si>
  <si>
    <t>013</t>
  </si>
  <si>
    <t>Supplies &amp; Materials</t>
  </si>
  <si>
    <t>014</t>
  </si>
  <si>
    <t>Insurance</t>
  </si>
  <si>
    <t>015</t>
  </si>
  <si>
    <t xml:space="preserve">Administration &amp; General </t>
  </si>
  <si>
    <t>016</t>
  </si>
  <si>
    <t>Employee physicals/uniforms/immunizations</t>
  </si>
  <si>
    <t>017</t>
  </si>
  <si>
    <t>018</t>
  </si>
  <si>
    <t>019</t>
  </si>
  <si>
    <t>Schedule 4c: FI General Service Cost Centers</t>
  </si>
  <si>
    <t xml:space="preserve">Nursing Supervision/Assessment </t>
  </si>
  <si>
    <t>Nursing</t>
  </si>
  <si>
    <t>Personal Care Aide</t>
  </si>
  <si>
    <t>Job Type:</t>
  </si>
  <si>
    <t>Employee Benefits</t>
  </si>
  <si>
    <t>Salary</t>
  </si>
  <si>
    <t>FTE</t>
  </si>
  <si>
    <t>Total</t>
  </si>
  <si>
    <t xml:space="preserve">Other </t>
  </si>
  <si>
    <t>Clinical/Therapy</t>
  </si>
  <si>
    <t>Aides</t>
  </si>
  <si>
    <t>Nurses</t>
  </si>
  <si>
    <t>Supervisors</t>
  </si>
  <si>
    <t xml:space="preserve">Schedule 8b: LHCSA Compensation Analysis - Employees </t>
  </si>
  <si>
    <t xml:space="preserve">Personal Assistant </t>
  </si>
  <si>
    <t xml:space="preserve">Assistant </t>
  </si>
  <si>
    <t xml:space="preserve">Schedule 8c: FI Compensation Analysis - Employees </t>
  </si>
  <si>
    <t>Schedule 11b: LHCSA Labor Costs</t>
  </si>
  <si>
    <t>Holiday Worked Wages</t>
  </si>
  <si>
    <t>Other Wages</t>
  </si>
  <si>
    <t>Personal Time Off (PTO) - Dollars</t>
  </si>
  <si>
    <t>Non-taxable Fringe - Dollars</t>
  </si>
  <si>
    <t>FICA Taxes</t>
  </si>
  <si>
    <t>Disability/                    Unemployment/            Workers Compensation Taxes</t>
  </si>
  <si>
    <t>Other Fringes</t>
  </si>
  <si>
    <t>Total Wages</t>
  </si>
  <si>
    <t>Supervisor</t>
  </si>
  <si>
    <t>Director</t>
  </si>
  <si>
    <t>Administrator</t>
  </si>
  <si>
    <t>Program or Site Director</t>
  </si>
  <si>
    <t>Office Worker</t>
  </si>
  <si>
    <t xml:space="preserve">Clerk </t>
  </si>
  <si>
    <t xml:space="preserve">Housekeeping and Maintenance </t>
  </si>
  <si>
    <t xml:space="preserve">GRAND TOTAL </t>
  </si>
  <si>
    <t>Schedule 11c: FI Labor Costs</t>
  </si>
  <si>
    <t>Base Hours Worked</t>
  </si>
  <si>
    <t>Overtime Hours Worked</t>
  </si>
  <si>
    <t xml:space="preserve">Travel Time - Hours </t>
  </si>
  <si>
    <t>Total Hours Worked</t>
  </si>
  <si>
    <t>Schedule 12b: LHCSA Labor Utilization</t>
  </si>
  <si>
    <t>Holiday Hours</t>
  </si>
  <si>
    <t xml:space="preserve">Nursing </t>
  </si>
  <si>
    <t>Personal Assistant</t>
  </si>
  <si>
    <t>Schedule 12c: FI Labor Utilization</t>
  </si>
  <si>
    <t>Schedule 11</t>
  </si>
  <si>
    <t>Direct Payroll Allocations</t>
  </si>
  <si>
    <t xml:space="preserve">CDPAP Other </t>
  </si>
  <si>
    <t xml:space="preserve">Total </t>
  </si>
  <si>
    <t xml:space="preserve">Check </t>
  </si>
  <si>
    <t xml:space="preserve">HHA Other </t>
  </si>
  <si>
    <t xml:space="preserve">HHA RN </t>
  </si>
  <si>
    <t>Schedule 12</t>
  </si>
  <si>
    <t>Schedule 8</t>
  </si>
  <si>
    <t xml:space="preserve">Salary </t>
  </si>
  <si>
    <t xml:space="preserve">Employee Benefits </t>
  </si>
  <si>
    <t>Employee Benefits Per TB</t>
  </si>
  <si>
    <t>Use TB Allocation.</t>
  </si>
  <si>
    <t>Admin</t>
  </si>
  <si>
    <t>Workers Comp.</t>
  </si>
  <si>
    <t xml:space="preserve">Direct care </t>
  </si>
  <si>
    <t xml:space="preserve">RN </t>
  </si>
  <si>
    <t xml:space="preserve">Nonallowable </t>
  </si>
  <si>
    <t xml:space="preserve"> 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</si>
  <si>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</si>
  <si>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</si>
  <si>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</si>
  <si>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</si>
  <si>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</si>
  <si>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</si>
  <si>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</si>
  <si>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</si>
  <si>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</si>
  <si>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HHA/CDPAP</t>
  </si>
  <si>
    <t xml:space="preserve">Taxes </t>
  </si>
  <si>
    <t>Direct</t>
  </si>
  <si>
    <t>Total Sum of Unique Patient Count</t>
  </si>
  <si>
    <t>Total Sum of Unique Visit Count</t>
  </si>
  <si>
    <t>Total Sum of Unique Billed Hours</t>
  </si>
  <si>
    <t>Amount</t>
  </si>
  <si>
    <t>Office</t>
  </si>
  <si>
    <t>Schedule 17: Balance Sheet - Assets</t>
  </si>
  <si>
    <t/>
  </si>
  <si>
    <t>Assets</t>
  </si>
  <si>
    <t>Current Assets</t>
  </si>
  <si>
    <t xml:space="preserve">   Cash &amp; Cash Equivalents</t>
  </si>
  <si>
    <t>Temporary Investments (market value)</t>
  </si>
  <si>
    <t>Patient Accounts Receivables</t>
  </si>
  <si>
    <r>
      <t xml:space="preserve">    Less: Allowances and adjustments </t>
    </r>
    <r>
      <rPr>
        <sz val="12"/>
        <rFont val="Calibri"/>
        <family val="2"/>
        <scheme val="minor"/>
      </rPr>
      <t>for uncollectibles</t>
    </r>
  </si>
  <si>
    <t>Other Accounts Receivables</t>
  </si>
  <si>
    <r>
      <t xml:space="preserve">    Less: Allowances and adjustments </t>
    </r>
    <r>
      <rPr>
        <sz val="12"/>
        <rFont val="Calibri"/>
        <family val="2"/>
        <scheme val="minor"/>
      </rPr>
      <t>for other uncollectibles</t>
    </r>
  </si>
  <si>
    <t xml:space="preserve">   Inventory</t>
  </si>
  <si>
    <t xml:space="preserve">   Due from Other funds </t>
  </si>
  <si>
    <t xml:space="preserve">   Prepaid Expenses and other Current Assets</t>
  </si>
  <si>
    <t>Other Current Assets</t>
  </si>
  <si>
    <t xml:space="preserve">TOTAL CURRENT ASSETS </t>
  </si>
  <si>
    <t>Fixed Assets</t>
  </si>
  <si>
    <t xml:space="preserve">  Patient Funds Held in Trust (proprietary facilities only)</t>
  </si>
  <si>
    <t xml:space="preserve">  Land</t>
  </si>
  <si>
    <t xml:space="preserve">  Land Improvement</t>
  </si>
  <si>
    <t xml:space="preserve">   Accumulated Depreciation</t>
  </si>
  <si>
    <t xml:space="preserve">  Buildings and Fixed Equipment</t>
  </si>
  <si>
    <t>Accumulated Depreciation</t>
  </si>
  <si>
    <t>Automobiles and Trucks</t>
  </si>
  <si>
    <t xml:space="preserve">  Major Moveable Equipment</t>
  </si>
  <si>
    <t xml:space="preserve">  Leasehold Improvements</t>
  </si>
  <si>
    <t xml:space="preserve">  Accumulated Amortization</t>
  </si>
  <si>
    <t xml:space="preserve">  Minor Equipment (Non-Depreciable)</t>
  </si>
  <si>
    <t>TOTAL FIXED ASSETS</t>
  </si>
  <si>
    <t>Other Assets</t>
  </si>
  <si>
    <t>Investments</t>
  </si>
  <si>
    <t>Mortgage Expense</t>
  </si>
  <si>
    <t xml:space="preserve">   Less: Accumulated Amortization</t>
  </si>
  <si>
    <t>Organizational Expense</t>
  </si>
  <si>
    <t>029</t>
  </si>
  <si>
    <t>030</t>
  </si>
  <si>
    <t xml:space="preserve">  Other assets</t>
  </si>
  <si>
    <t>031</t>
  </si>
  <si>
    <t>TOTAL OTHER ASSETS</t>
  </si>
  <si>
    <t>032</t>
  </si>
  <si>
    <t xml:space="preserve">TOTAL ASSETS </t>
  </si>
  <si>
    <t>033</t>
  </si>
  <si>
    <t>Schedule 18: Balance Sheet - Liabilities</t>
  </si>
  <si>
    <t>Liabilities</t>
  </si>
  <si>
    <t>Current Liabilities</t>
  </si>
  <si>
    <t>Notes and Loans Payable</t>
  </si>
  <si>
    <t>Accounts Payable</t>
  </si>
  <si>
    <t>Accrued Compensation and Related Liabilities</t>
  </si>
  <si>
    <t>Accrued Expenses Payable</t>
  </si>
  <si>
    <t>Deferred Revenue</t>
  </si>
  <si>
    <t>Due to Other Funds</t>
  </si>
  <si>
    <t>Other Current Liabilities</t>
  </si>
  <si>
    <t>TOTAL CURRENT LIABILITIES</t>
  </si>
  <si>
    <t>Long-Term Liabilities</t>
  </si>
  <si>
    <t xml:space="preserve">  Mortgage Payable</t>
  </si>
  <si>
    <t xml:space="preserve">  Notes and Loans Payable</t>
  </si>
  <si>
    <t xml:space="preserve">  Due to Other Funds</t>
  </si>
  <si>
    <t xml:space="preserve">  Due to Related Parties</t>
  </si>
  <si>
    <t xml:space="preserve">  Other Non-Current Liabilities</t>
  </si>
  <si>
    <t>TOTAL LONG-TERM LIABILITIES</t>
  </si>
  <si>
    <t>TOTAL LIABILITIES (current and long-term)</t>
  </si>
  <si>
    <t>Fund Balance</t>
  </si>
  <si>
    <t xml:space="preserve">  General Fund Balance</t>
  </si>
  <si>
    <t xml:space="preserve">  Special Purpose Fund Balance</t>
  </si>
  <si>
    <t xml:space="preserve">  Endowment Fund Balance</t>
  </si>
  <si>
    <t xml:space="preserve">  Other Fund Balances</t>
  </si>
  <si>
    <t>TOTAL FUND BALANCES</t>
  </si>
  <si>
    <t>Other Equity:</t>
  </si>
  <si>
    <t>Owner's Capital</t>
  </si>
  <si>
    <t>Retained Earnings</t>
  </si>
  <si>
    <t>TOTAL OTHER EQUITY</t>
  </si>
  <si>
    <t xml:space="preserve"> TOTAL LIABILITIES, FUND BALANCES, EQUITY</t>
  </si>
  <si>
    <t>Schedule 19: Statement of Revenue and Expenses</t>
  </si>
  <si>
    <t>Home Care Service Revenue:</t>
  </si>
  <si>
    <t>Medicaid</t>
  </si>
  <si>
    <t>Revenue</t>
  </si>
  <si>
    <t>Fee-for-service</t>
  </si>
  <si>
    <t>Managed Care</t>
  </si>
  <si>
    <t>Private Pay</t>
  </si>
  <si>
    <t>Medicare</t>
  </si>
  <si>
    <t xml:space="preserve">Commercial </t>
  </si>
  <si>
    <t>TOTAL HOME CARE SERVICE REVENUE</t>
  </si>
  <si>
    <t>TOTAL OTHER OPERATING REVENUE*</t>
  </si>
  <si>
    <t xml:space="preserve"> TOTAL OPERATING REVENUE </t>
  </si>
  <si>
    <t>Operating Expenses:</t>
  </si>
  <si>
    <t>Non-Revenue Support Services</t>
  </si>
  <si>
    <t>Ancillary Service Revenue Centers</t>
  </si>
  <si>
    <t>Program Services Revenue Centers</t>
  </si>
  <si>
    <t>TOTAL OPERATING EXPENSES</t>
  </si>
  <si>
    <t xml:space="preserve"> Excess (Deficiency) of Operating Revenues Over Expenses</t>
  </si>
  <si>
    <t>Nonoperating Revenue:</t>
  </si>
  <si>
    <t>Income from Investments:</t>
  </si>
  <si>
    <t>Interest Income</t>
  </si>
  <si>
    <t>Gain on Sale of Fixed Assets</t>
  </si>
  <si>
    <t>Other Nonoperating Revenue</t>
  </si>
  <si>
    <t xml:space="preserve"> TOTAL NONOPERATING REVENUE</t>
  </si>
  <si>
    <t>Nonoperating Expenses:</t>
  </si>
  <si>
    <t>Federal, State and Local Taxes</t>
  </si>
  <si>
    <t>Other Nonoperating Expenses</t>
  </si>
  <si>
    <t xml:space="preserve">TOTAL NONOPERATING EXPENSES </t>
  </si>
  <si>
    <t>Excess (Deficiency) of Non-Operating Revenues over Non-Operating Expenses</t>
  </si>
  <si>
    <t>Excess of Total Revenues over Total Expenses (Expenses over Revenues) Before Extraordinary Gain (Loss)</t>
  </si>
  <si>
    <t>Extraordinary Gain (Loss)</t>
  </si>
  <si>
    <t>Excess of Total Revenues over Total Expenses (Expenses over Revenues) after Extraordinary Gain (Loss)</t>
  </si>
  <si>
    <t>Schedule 3 expenses</t>
  </si>
  <si>
    <t>Total expenses after bad debt</t>
  </si>
  <si>
    <t>Total Schedule 3 column 2</t>
  </si>
  <si>
    <t>Total Schedule 4 column 2</t>
  </si>
  <si>
    <t>Total Schedule 3 column 4</t>
  </si>
  <si>
    <t>Total Schedule 4 column 4</t>
  </si>
  <si>
    <t>Total operating expenses Schedule 19</t>
  </si>
  <si>
    <t>Nonallowable expenses</t>
  </si>
  <si>
    <t>Total Schedule 11</t>
  </si>
  <si>
    <t>Level of Service</t>
  </si>
  <si>
    <t>Payor Source</t>
  </si>
  <si>
    <t>Monroe</t>
  </si>
  <si>
    <t>Wages</t>
  </si>
  <si>
    <t>Payroll Allocation</t>
  </si>
  <si>
    <t xml:space="preserve">Code </t>
  </si>
  <si>
    <t xml:space="preserve">Hours </t>
  </si>
  <si>
    <t xml:space="preserve">Amount </t>
  </si>
  <si>
    <t>G&amp;A</t>
  </si>
  <si>
    <t>Nonallowable</t>
  </si>
  <si>
    <t>(blank)</t>
  </si>
  <si>
    <t>PAYROLL</t>
  </si>
  <si>
    <t>Employees Separated from Entity During The Year</t>
  </si>
  <si>
    <t>Employees Hired between  1/1 -12/31</t>
  </si>
  <si>
    <t>Employees Retained  as of 12/31 Who were employed on 1/1</t>
  </si>
  <si>
    <t>Employees as of 1/1</t>
  </si>
  <si>
    <t>Sum of Employees Separated from Entity During The Year</t>
  </si>
  <si>
    <t>Sum of Employees Hired between  1/1 -12/31</t>
  </si>
  <si>
    <t>Sum of Employees Retained  as of 12/31 Who were employed on 1/1</t>
  </si>
  <si>
    <t>Sum of Employees as of 1/1</t>
  </si>
  <si>
    <t>Albany</t>
  </si>
  <si>
    <t>Allegany</t>
  </si>
  <si>
    <t>Bronx</t>
  </si>
  <si>
    <t>Broome</t>
  </si>
  <si>
    <t>Cattaraugus</t>
  </si>
  <si>
    <t>Cayuga</t>
  </si>
  <si>
    <t>Chautauqua</t>
  </si>
  <si>
    <t>Chemung</t>
  </si>
  <si>
    <t>Clinton</t>
  </si>
  <si>
    <t>Columbia</t>
  </si>
  <si>
    <t>Cortland</t>
  </si>
  <si>
    <t>Delaware</t>
  </si>
  <si>
    <t>Dutchess</t>
  </si>
  <si>
    <t>Erie</t>
  </si>
  <si>
    <t>Essex</t>
  </si>
  <si>
    <t>Franklin</t>
  </si>
  <si>
    <t>Fulton</t>
  </si>
  <si>
    <t>Genesee</t>
  </si>
  <si>
    <t>Greene</t>
  </si>
  <si>
    <t>Hamilton</t>
  </si>
  <si>
    <t>Herkimer</t>
  </si>
  <si>
    <t>Jefferson</t>
  </si>
  <si>
    <t>Lewis</t>
  </si>
  <si>
    <t>Livingston</t>
  </si>
  <si>
    <t>Madison</t>
  </si>
  <si>
    <t>Montgomery</t>
  </si>
  <si>
    <t>Nassau</t>
  </si>
  <si>
    <t>Niagara</t>
  </si>
  <si>
    <t>Oneida</t>
  </si>
  <si>
    <t>Onondaga</t>
  </si>
  <si>
    <t>Ontario</t>
  </si>
  <si>
    <t>Orange</t>
  </si>
  <si>
    <t>Orleans</t>
  </si>
  <si>
    <t>Oswego</t>
  </si>
  <si>
    <t>Otsego</t>
  </si>
  <si>
    <t>Putnam</t>
  </si>
  <si>
    <t>Queens</t>
  </si>
  <si>
    <t>Rensselaer</t>
  </si>
  <si>
    <t>Rockland</t>
  </si>
  <si>
    <t>Saint Lawrence</t>
  </si>
  <si>
    <t>Saratoga</t>
  </si>
  <si>
    <t>Schenectady</t>
  </si>
  <si>
    <t>Schoharie</t>
  </si>
  <si>
    <t>Schuyler</t>
  </si>
  <si>
    <t>Seneca</t>
  </si>
  <si>
    <t>Steuben</t>
  </si>
  <si>
    <t>Suffolk</t>
  </si>
  <si>
    <t>Sullivan</t>
  </si>
  <si>
    <t>Tioga</t>
  </si>
  <si>
    <t>Tompkins</t>
  </si>
  <si>
    <t>Ulster</t>
  </si>
  <si>
    <t>Warren</t>
  </si>
  <si>
    <t>Washington</t>
  </si>
  <si>
    <t>Base Wages for Hours Worked</t>
  </si>
  <si>
    <t>In-Service Wages</t>
  </si>
  <si>
    <t>Travel Wages</t>
  </si>
  <si>
    <t>.</t>
  </si>
  <si>
    <t>Chenango</t>
  </si>
  <si>
    <t>Wayne</t>
  </si>
  <si>
    <t>Westchester</t>
  </si>
  <si>
    <t>Wyoming</t>
  </si>
  <si>
    <t>Yates</t>
  </si>
  <si>
    <t>Kings</t>
  </si>
  <si>
    <t>New York</t>
  </si>
  <si>
    <t>Richmond</t>
  </si>
  <si>
    <t>Counties check</t>
  </si>
  <si>
    <t>Percentage check</t>
  </si>
  <si>
    <t>Total Hours</t>
  </si>
  <si>
    <t>Total wages</t>
  </si>
  <si>
    <t xml:space="preserve">Total Taxes </t>
  </si>
  <si>
    <t>Overtime Wages</t>
  </si>
  <si>
    <t>Home Health Aide</t>
  </si>
  <si>
    <t>Filter Level of Service to only include Nursing Assesment &amp; Nursing Supervision</t>
  </si>
  <si>
    <t>Make sure filters EXclude everything besides CDPAS</t>
  </si>
  <si>
    <t>Refresh Pivot Table</t>
  </si>
  <si>
    <t>Total Fringe</t>
  </si>
  <si>
    <t>Counties Check</t>
  </si>
  <si>
    <t>Nonallowable hours</t>
  </si>
  <si>
    <t>PAYROLL TOTALS PER PDF PAYROLL REPORT</t>
  </si>
  <si>
    <t>Hours</t>
  </si>
  <si>
    <t>Taxes</t>
  </si>
  <si>
    <t>CHECKS BELOW NEEDS TO BE MANUALLY UPDATED FROM PDF Payroll Report</t>
  </si>
  <si>
    <t>Update Data Source in Pivot's Analyze Tab</t>
  </si>
  <si>
    <t>Medical Supplies</t>
  </si>
  <si>
    <t>Non-Reimbursable Costs (Adjustment to Expense)</t>
  </si>
  <si>
    <t>Non-Reimbursable WR&amp;R Costs</t>
  </si>
  <si>
    <t>Subtotal (reimbursable services)</t>
  </si>
  <si>
    <t>Other Non-Reimbursable Services</t>
  </si>
  <si>
    <t>Subcontractor Services</t>
  </si>
  <si>
    <t>Total Reimbursable Costs
(Sum of columns 005 through 011)</t>
  </si>
  <si>
    <t xml:space="preserve">Non Reimbursable </t>
  </si>
  <si>
    <t>Program Admin/Staff Training/Transportation/Contracted Purchased Services/Other</t>
  </si>
  <si>
    <t>Tag</t>
  </si>
  <si>
    <t>Total Entity Costs
(002 + 003 + 004)</t>
  </si>
  <si>
    <t>Direct Care Non-Personnel Costs</t>
  </si>
  <si>
    <t>Account:</t>
  </si>
  <si>
    <t>Balance:</t>
  </si>
  <si>
    <t>Schedule 3 Allocation Columns</t>
  </si>
  <si>
    <t>Schedule 4 Allocation Rows</t>
  </si>
  <si>
    <t>Schedule 4 Allocation Columns</t>
  </si>
  <si>
    <t>GROSS TAXES</t>
  </si>
  <si>
    <t>CHECK</t>
  </si>
  <si>
    <t>TOTAL Expenses</t>
  </si>
  <si>
    <t>GROSS WAGES</t>
  </si>
  <si>
    <t>WAGES AIDES</t>
  </si>
  <si>
    <t>WAGES ADMIN</t>
  </si>
  <si>
    <t>WAGES RN</t>
  </si>
  <si>
    <t>WR&amp;R WAGES</t>
  </si>
  <si>
    <t>WR&amp;R TAXES</t>
  </si>
  <si>
    <t>AIDES TAXES</t>
  </si>
  <si>
    <t>ADMIN TAXES</t>
  </si>
  <si>
    <t>RN TAXES</t>
  </si>
  <si>
    <t>EMPLOYEE BENEFITS</t>
  </si>
  <si>
    <t>WORKERS COMP AIDES</t>
  </si>
  <si>
    <t>WORKERS COMP ADMIN</t>
  </si>
  <si>
    <t>WR&amp;R</t>
  </si>
  <si>
    <t>WORKERS COMP RN</t>
  </si>
  <si>
    <t>Filter level of service to include all besides Subcontractor, Nursing Assesment &amp; Nursing Supervision</t>
  </si>
  <si>
    <t>MC Medicaid CDPAP</t>
  </si>
  <si>
    <t>Payroll to TB Rec</t>
  </si>
  <si>
    <t>TB wages</t>
  </si>
  <si>
    <t>Payroll wages</t>
  </si>
  <si>
    <t>Variance</t>
  </si>
  <si>
    <t>TB taxes</t>
  </si>
  <si>
    <t>Payroll taxes</t>
  </si>
  <si>
    <t>MC Medicaid HHA</t>
  </si>
  <si>
    <t>x</t>
  </si>
  <si>
    <t>Taxes Allocation</t>
  </si>
  <si>
    <t>Benefits allocation</t>
  </si>
  <si>
    <t>WC Allocation</t>
  </si>
  <si>
    <t>WORKERS COMP Total</t>
  </si>
  <si>
    <t>LHCSA</t>
  </si>
  <si>
    <t>WAGES NONREIMBURSABLE</t>
  </si>
  <si>
    <t>NONREIMBURSABLE TAXES</t>
  </si>
  <si>
    <t>WORKERS COMP NONREIMBURSABLE</t>
  </si>
  <si>
    <t>Payroll Allocation - Benefits</t>
  </si>
  <si>
    <t>Payroll Allocation - Taxes</t>
  </si>
  <si>
    <t>Payroll Allocation - Wages</t>
  </si>
  <si>
    <t>Payroll Allocation - Workers Comp</t>
  </si>
  <si>
    <t>EMPLOYEE BENEFITS AIDES</t>
  </si>
  <si>
    <t>EMPLOYEE BENEFITS ADMIN</t>
  </si>
  <si>
    <t>EMPLOYEE BENEFITS NONREIMBURSABLE</t>
  </si>
  <si>
    <t>EMPLOYEE BENEFITS RN</t>
  </si>
  <si>
    <t>Bad Debt</t>
  </si>
  <si>
    <t>FFS</t>
  </si>
  <si>
    <t xml:space="preserve">Other Government Programs </t>
  </si>
  <si>
    <t>NR Services</t>
  </si>
  <si>
    <t>Ttl NR Services PER TB</t>
  </si>
  <si>
    <t>Schedule 10b: LHCSA WR&amp;R and Staff Turnover</t>
  </si>
  <si>
    <t>WR&amp;R Costs to Entity
(Section 367-q of the Social Services Law)</t>
  </si>
  <si>
    <t>Schedule 10c: FI WR&amp;R and Staff Turnover</t>
  </si>
  <si>
    <t>Employees Separated From Entity During the Year</t>
  </si>
  <si>
    <t>Employees Hired Between 1/1 and 12/31</t>
  </si>
  <si>
    <t>Employees retained as of 12/31 who were employed on 1/1</t>
  </si>
  <si>
    <t>Employees as of 12/31
(002+005-006)</t>
  </si>
  <si>
    <t>Americare</t>
  </si>
  <si>
    <t>Girling Health Care Of New York</t>
  </si>
  <si>
    <t>10C</t>
  </si>
  <si>
    <t>10B</t>
  </si>
  <si>
    <t xml:space="preserve">10C - Personal Assistant </t>
  </si>
  <si>
    <t>10B - Personal Care Aide</t>
  </si>
  <si>
    <t>Prime Home Health Services</t>
  </si>
  <si>
    <t>Extended Home Care</t>
  </si>
  <si>
    <t>Office Supplies &amp; Materials</t>
  </si>
  <si>
    <t>Rent</t>
  </si>
  <si>
    <t>Depreciation</t>
  </si>
  <si>
    <t>Sick/Safe Leave</t>
  </si>
  <si>
    <t>Leave of Absence</t>
  </si>
  <si>
    <t>Shift Differentials and Higher-pay Shifts</t>
  </si>
  <si>
    <t>Premium Pay</t>
  </si>
  <si>
    <t>Premimum Pay</t>
  </si>
  <si>
    <t>Personal Time-off (PTO) Hours</t>
  </si>
  <si>
    <t>Sick/Safe Leave Hours</t>
  </si>
  <si>
    <t>Leave of Absence Hours</t>
  </si>
  <si>
    <t>In-Service Hours</t>
  </si>
  <si>
    <t>Shift Differentials and Higher-pay Shifts  Hours</t>
  </si>
  <si>
    <t>Other Hours</t>
  </si>
  <si>
    <t>WP Router</t>
  </si>
  <si>
    <t>Bronx Total</t>
  </si>
  <si>
    <t>Kings Total</t>
  </si>
  <si>
    <t>New York Total</t>
  </si>
  <si>
    <t>Queens Total</t>
  </si>
  <si>
    <t>Richmond Total</t>
  </si>
  <si>
    <t>Suffolk Total</t>
  </si>
  <si>
    <t xml:space="preserve">Holiday Hours </t>
  </si>
  <si>
    <t xml:space="preserve">Nonallowable taxes </t>
  </si>
  <si>
    <t>B</t>
  </si>
  <si>
    <t>C</t>
  </si>
  <si>
    <t>Revival Home Health Care</t>
  </si>
  <si>
    <t>Non Billable</t>
  </si>
  <si>
    <t>Partners Health Plan CDPAP</t>
  </si>
  <si>
    <t>Shining Star Home Care CHHA</t>
  </si>
  <si>
    <t>MCO</t>
  </si>
  <si>
    <t>Nassau Total</t>
  </si>
  <si>
    <t>4C Line 17 Backin</t>
  </si>
  <si>
    <t>WAGES AIDES LHCSA/CDPAP</t>
  </si>
  <si>
    <t>WAGES AIDES NHTD/TBI</t>
  </si>
  <si>
    <t>Taxes AIDES LHCSA/CDPAP</t>
  </si>
  <si>
    <t>Taxes AIDES NHTD/TBI</t>
  </si>
  <si>
    <t>Employee Benefits AIDES LHCSA/CDPAP</t>
  </si>
  <si>
    <t>Employee Benefits AIDES NHTD/TBI</t>
  </si>
  <si>
    <t>Workers Comp AIDES LHCSA/CDPAP</t>
  </si>
  <si>
    <t>Workers Comp AIDES NHTD/TBI</t>
  </si>
  <si>
    <t>(Multiple Items)</t>
  </si>
  <si>
    <t>Nursing override</t>
  </si>
  <si>
    <t>Nursing Total</t>
  </si>
  <si>
    <t>Unbilled Nursing</t>
  </si>
  <si>
    <t>Nursing Unbilled (Direct Care)</t>
  </si>
  <si>
    <t>WR&amp;R Number</t>
  </si>
  <si>
    <t>Other TB WR&amp;R</t>
  </si>
  <si>
    <t>Wages WR&amp;R</t>
  </si>
  <si>
    <t>Schedule 5 hours</t>
  </si>
  <si>
    <t>Payroll Hours</t>
  </si>
  <si>
    <t>Direct Care Check</t>
  </si>
  <si>
    <t>Payroll</t>
  </si>
  <si>
    <t>TB</t>
  </si>
  <si>
    <t>PDN</t>
  </si>
  <si>
    <t>3b</t>
  </si>
  <si>
    <t>Units</t>
  </si>
  <si>
    <t>Cost per unit</t>
  </si>
  <si>
    <t>OTHER</t>
  </si>
  <si>
    <t>NONALLOWABLE</t>
  </si>
  <si>
    <t>DIRECT</t>
  </si>
  <si>
    <t>COLUMN A</t>
  </si>
  <si>
    <t>COLUMNB</t>
  </si>
  <si>
    <t>COLUMN  C</t>
  </si>
  <si>
    <t>nursing</t>
  </si>
  <si>
    <t>3C</t>
  </si>
  <si>
    <t>Last Year</t>
  </si>
  <si>
    <t>for Sch 19</t>
  </si>
  <si>
    <t>Schedule 5 Allocation</t>
  </si>
  <si>
    <t xml:space="preserve">Payroll report Allocation </t>
  </si>
  <si>
    <t>Live-In 13</t>
  </si>
  <si>
    <t>WAGES PDN</t>
  </si>
  <si>
    <t>PDN TAXES</t>
  </si>
  <si>
    <t>EMPLOYEE BENEFITS PDN</t>
  </si>
  <si>
    <t>WORKERS COMP PDN</t>
  </si>
  <si>
    <t>Total Without RN/PDN</t>
  </si>
  <si>
    <t>Change</t>
  </si>
  <si>
    <t>When Payroll has PDN Dept, exclude PDN from filter.</t>
  </si>
  <si>
    <t>HHA, everything except nursing override</t>
  </si>
  <si>
    <t>NR Sevices</t>
  </si>
  <si>
    <t>Nursing - Billed</t>
  </si>
  <si>
    <t>Aide Services ONLY</t>
  </si>
  <si>
    <t>Debit</t>
  </si>
  <si>
    <t>Credit</t>
  </si>
  <si>
    <t>Cross River Bank</t>
  </si>
  <si>
    <t>Chase - Checking</t>
  </si>
  <si>
    <t>Chase - Payroll</t>
  </si>
  <si>
    <t>Chase - Anchor Choice</t>
  </si>
  <si>
    <t>Chase - Savings</t>
  </si>
  <si>
    <t>Stone Castle - Savings</t>
  </si>
  <si>
    <t>Petty Cash</t>
  </si>
  <si>
    <t>Valley National Bank - Checking</t>
  </si>
  <si>
    <t>Signature - Checking</t>
  </si>
  <si>
    <t>Signature - Payroll</t>
  </si>
  <si>
    <t>Signature - Anchor Choice</t>
  </si>
  <si>
    <t>Non Distributed</t>
  </si>
  <si>
    <t>Accounts Receivable</t>
  </si>
  <si>
    <t>Employee L&amp;E:Shaina Raskin</t>
  </si>
  <si>
    <t>Employee L&amp;E:Shaista Roohi</t>
  </si>
  <si>
    <t>Employee L&amp;E:Atif Javed</t>
  </si>
  <si>
    <t>Employee L&amp;E:Jose Benitez</t>
  </si>
  <si>
    <t>Employee L&amp;E:Zilolakhon Abduraufova</t>
  </si>
  <si>
    <t>Employee L&amp;E:Dilnovoz  Uralova</t>
  </si>
  <si>
    <t>Employee L&amp;E:Gustavo E Idrovo</t>
  </si>
  <si>
    <t>Employee L&amp;E:Employee Loans</t>
  </si>
  <si>
    <t>Employee L&amp;E:Schneur Zalman Holzman</t>
  </si>
  <si>
    <t>Employee L&amp;E:Alex Giller</t>
  </si>
  <si>
    <t>Employee L&amp;E:Juana Castro</t>
  </si>
  <si>
    <t>Employee L&amp;E:Frances Philippe</t>
  </si>
  <si>
    <t>Employee L&amp;E:Laura Clarke</t>
  </si>
  <si>
    <t>Employee L&amp;E:Janae Rolle</t>
  </si>
  <si>
    <t>Employee L&amp;E:Nadezhda Yakimchenko</t>
  </si>
  <si>
    <t>Employee L&amp;E:Aziza Aminova</t>
  </si>
  <si>
    <t>Employee L&amp;E:Dayonna Calixte - Montano</t>
  </si>
  <si>
    <t>Employee L&amp;E:Gustavo Idrovo</t>
  </si>
  <si>
    <t>Employee L&amp;E:Levi Yitzchak Farkash</t>
  </si>
  <si>
    <t>Employee L&amp;E:Shajin Gonzalez</t>
  </si>
  <si>
    <t>Employee L&amp;E:Vicknel Powell</t>
  </si>
  <si>
    <t>Employee L&amp;E:Mobile Health</t>
  </si>
  <si>
    <t>Employee L&amp;E:Victor Tetteh</t>
  </si>
  <si>
    <t>Employee L&amp;E:Clarisha Joseph</t>
  </si>
  <si>
    <t>Employee L&amp;E:Khadejah Y Beckles</t>
  </si>
  <si>
    <t>Employee L&amp;E:David Landau</t>
  </si>
  <si>
    <t>Employee L&amp;E:Eliezer  Safrin</t>
  </si>
  <si>
    <t>Employee L&amp;E:Excellence LLC</t>
  </si>
  <si>
    <t>Employee L&amp;E:Jay Cinner</t>
  </si>
  <si>
    <t>Employee L&amp;E:Janet A Medrano Velez</t>
  </si>
  <si>
    <t>Employee L&amp;E:Marguba H Mustafokulova</t>
  </si>
  <si>
    <t>Employee L&amp;E:Nilufar Muhammadieva</t>
  </si>
  <si>
    <t>Employee L&amp;E:Ronny Y Aizenfratz</t>
  </si>
  <si>
    <t>Employee L&amp;E:Rivky Wertzberger</t>
  </si>
  <si>
    <t>Employee L&amp;E:Yehudah Consulting Inc.</t>
  </si>
  <si>
    <t>Loan &amp; Exchanges</t>
  </si>
  <si>
    <t>Loan &amp; Exchanges:Rose Green LLC</t>
  </si>
  <si>
    <t>Loan &amp; Exchanges:Kids First Management Inc</t>
  </si>
  <si>
    <t>Loan &amp; Exchanges:MUSICAL CAVE INC</t>
  </si>
  <si>
    <t>Loan &amp; Exchanges:Sam Goldshtein</t>
  </si>
  <si>
    <t>Loan &amp; Exchanges:23 Colleen St LLC</t>
  </si>
  <si>
    <t>Loan &amp; Exchanges:MJH Constuction Corp</t>
  </si>
  <si>
    <t>Loan &amp; Exchanges:Abraham Reich</t>
  </si>
  <si>
    <t>Loan &amp; Exchanges:Anchor Health LLC</t>
  </si>
  <si>
    <t>Loan &amp; Exchanges:Aron Greenfeld</t>
  </si>
  <si>
    <t>Loan &amp; Exchanges:Joseph Samuels</t>
  </si>
  <si>
    <t>Loan &amp; Exchanges:Chaim Weiss</t>
  </si>
  <si>
    <t>Loan &amp; Exchanges:301 SOUTH STREET LLC</t>
  </si>
  <si>
    <t>Loan &amp; Exchanges:B &amp; L Photo Inc.</t>
  </si>
  <si>
    <t>Loan &amp; Exchanges:Mulei Chaim LLC</t>
  </si>
  <si>
    <t>Loan &amp; Exchanges:Industry Construction Services</t>
  </si>
  <si>
    <t>Loan &amp; Exchanges:Marcus Garvey Equities, LLC</t>
  </si>
  <si>
    <t>Loan &amp; Exchanges:187 Johnson LLC</t>
  </si>
  <si>
    <t>Loan &amp; Exchanges:506 Ferry Street Partners LLC</t>
  </si>
  <si>
    <t>Loan &amp; Exchanges:Richard J Kapner Esq Trust Acct</t>
  </si>
  <si>
    <t>Loan &amp; Exchanges:372 palmetto LLC</t>
  </si>
  <si>
    <t>Loan &amp; Exchanges:Cong Yetev Lev</t>
  </si>
  <si>
    <t>Loan &amp; Exchanges:BH HEALTHCARE SERVICES INC</t>
  </si>
  <si>
    <t>Loan &amp; Exchanges:Anchor Florida</t>
  </si>
  <si>
    <t>Loan &amp; Exchanges:Chai Care</t>
  </si>
  <si>
    <t>Loan &amp; Exchanges:Benzion Kraus</t>
  </si>
  <si>
    <t>Loan &amp; Exchanges:CASHIUM CAPITAL LLC</t>
  </si>
  <si>
    <t>Loan &amp; Exchanges:Chaim Schwartz</t>
  </si>
  <si>
    <t>Loan &amp; Exchanges:Chase</t>
  </si>
  <si>
    <t>Loan &amp; Exchanges:Cheskel Eisdorfer</t>
  </si>
  <si>
    <t>Loan &amp; Exchanges:Esther Feferkorn</t>
  </si>
  <si>
    <t>Loan &amp; Exchanges:Ari Goldberger</t>
  </si>
  <si>
    <t>Loan &amp; Exchanges:Hershel Jacobowitz</t>
  </si>
  <si>
    <t>Loan &amp; Exchanges:JJ Capital Investment LLC</t>
  </si>
  <si>
    <t>Loan &amp; Exchanges:Jayru Capital Inc.</t>
  </si>
  <si>
    <t>Loan &amp; Exchanges:Joel Posen</t>
  </si>
  <si>
    <t>Loan &amp; Exchanges:Jonathan Werzberger</t>
  </si>
  <si>
    <t>Loan &amp; Exchanges:Joyland gardens LLC</t>
  </si>
  <si>
    <t>Loan &amp; Exchanges:Kavana Business Presentations</t>
  </si>
  <si>
    <t>Loan &amp; Exchanges:Kelly Bridge LLC</t>
  </si>
  <si>
    <t>Loan &amp; Exchanges:Lipa Lefkowitz</t>
  </si>
  <si>
    <t>Loan &amp; Exchanges:Lipmansd LLC</t>
  </si>
  <si>
    <t>Loan &amp; Exchanges:Luc Bijoux</t>
  </si>
  <si>
    <t>Loan &amp; Exchanges:Mattes Deitsch</t>
  </si>
  <si>
    <t>Loan &amp; Exchanges:My Home Adult Daycare Center</t>
  </si>
  <si>
    <t>Loan &amp; Exchanges:Paid Keeper Inc.</t>
  </si>
  <si>
    <t>Loan &amp; Exchanges:Paradigm Rehab</t>
  </si>
  <si>
    <t>Loan &amp; Exchanges:Penina Mezei</t>
  </si>
  <si>
    <t>Loan &amp; Exchanges:Prestige Furniture</t>
  </si>
  <si>
    <t>Loan &amp; Exchanges:Thryve Teams LLC</t>
  </si>
  <si>
    <t>Loan &amp; Exchanges:Vibrant ABA</t>
  </si>
  <si>
    <t>Loan &amp; Exchanges:Vibrant Applied PLLC</t>
  </si>
  <si>
    <t>Loan &amp; Exchanges:Wolf Katz</t>
  </si>
  <si>
    <t>Loan &amp; Exchanges:YEEDLE FLIEGMAN</t>
  </si>
  <si>
    <t>Account for Credit Transfer</t>
  </si>
  <si>
    <t>Undeposited Funds</t>
  </si>
  <si>
    <t>Azure Capital Partners LP</t>
  </si>
  <si>
    <t>Business License</t>
  </si>
  <si>
    <t>Primary Home Care Companies LLC</t>
  </si>
  <si>
    <t>Rent Security Deposit</t>
  </si>
  <si>
    <t>AMEX - Original</t>
  </si>
  <si>
    <t>Ramp Card</t>
  </si>
  <si>
    <t>Prepaid PEX</t>
  </si>
  <si>
    <t>Cross River Bank Line of Credit</t>
  </si>
  <si>
    <t>Child Support</t>
  </si>
  <si>
    <t>Net Checks</t>
  </si>
  <si>
    <t>Direct Deposit</t>
  </si>
  <si>
    <t>Wage Parity Benefits</t>
  </si>
  <si>
    <t>Wage Parity Benefits:Wage Parity - Flex Cards</t>
  </si>
  <si>
    <t>Wage Parity Benefits:Wage Parity - Flex Cards:Flex Card Debits</t>
  </si>
  <si>
    <t>Loans &amp; Exchanges</t>
  </si>
  <si>
    <t>Loans &amp; Exchanges:CHANGE HEALTHCARE</t>
  </si>
  <si>
    <t>Loans &amp; Exchanges:NHTD Caregiver Stipend Payable</t>
  </si>
  <si>
    <t>Loans &amp; Exchanges:TBI Caregiver Stipend Payable</t>
  </si>
  <si>
    <t>Payroll Liabilities:State Uemployment Insurance</t>
  </si>
  <si>
    <t>Payroll Liabilities:MTA Tax</t>
  </si>
  <si>
    <t>Payroll Liabilities:Federal Unemployment Insurance</t>
  </si>
  <si>
    <t>Payroll Liabilities:State Unemployment Insurance</t>
  </si>
  <si>
    <t>Payroll Liabilities:Federal Tax Witholding</t>
  </si>
  <si>
    <t>Payroll Liabilities:FICA Tax Witholding</t>
  </si>
  <si>
    <t>Payroll Liabilities:Medicare Tax Witholding</t>
  </si>
  <si>
    <t>Payroll Liabilities:NYS Tax Witholding</t>
  </si>
  <si>
    <t>Payroll Liabilities:NYC Tax Witholding</t>
  </si>
  <si>
    <t>Payroll Liabilities:NY Disability Employee</t>
  </si>
  <si>
    <t>Payroll Liabilities:NY Paid Family Leave</t>
  </si>
  <si>
    <t>Payroll Liabilities:NYS Child Support</t>
  </si>
  <si>
    <t>SBA EIDL Loan - Anchor</t>
  </si>
  <si>
    <t>SBA EIDL Loan - Nemo</t>
  </si>
  <si>
    <t>Homecare Revenue</t>
  </si>
  <si>
    <t>PT Therapy Revenue</t>
  </si>
  <si>
    <t>Revenue - HCBS</t>
  </si>
  <si>
    <t>Other Income</t>
  </si>
  <si>
    <t>Payroll:Homecare Aides</t>
  </si>
  <si>
    <t>Payroll:Homecare Aides:Salaries</t>
  </si>
  <si>
    <t>Payroll:Homecare Aides:FICA Tax Employer</t>
  </si>
  <si>
    <t>Payroll:Homecare Aides:Federal Unemployment Insurance</t>
  </si>
  <si>
    <t>Payroll:Homecare Aides:MTA Tax</t>
  </si>
  <si>
    <t>Payroll:Homecare Aides:State Unemployment Insurance</t>
  </si>
  <si>
    <t>Payroll:Homecare Aides:Wage Parity Benefits</t>
  </si>
  <si>
    <t>Payroll:Office Staff:Salaries</t>
  </si>
  <si>
    <t>Payroll:Office Staff:Salaries - Case Management</t>
  </si>
  <si>
    <t>Payroll:Office Staff:Salaries - Coordination</t>
  </si>
  <si>
    <t>Payroll:Office Staff:Salaries - HR</t>
  </si>
  <si>
    <t>Payroll:Office Staff:Salaries - Marketing</t>
  </si>
  <si>
    <t>Payroll:Office Staff:Salaries - Recruiting</t>
  </si>
  <si>
    <t>Payroll:Office Staff:FICA Tax Employer</t>
  </si>
  <si>
    <t>Payroll:Office Staff:MTA Tax</t>
  </si>
  <si>
    <t>Payroll:Office Staff:Federal Unemployment Insurance</t>
  </si>
  <si>
    <t>Payroll:Office Staff:State Unemployment Insurance</t>
  </si>
  <si>
    <t>Paradigm Payroll</t>
  </si>
  <si>
    <t>Paradigm Payroll:Paradigm Payroll - Therapists</t>
  </si>
  <si>
    <t>Paradigm Payroll:Paradigm Payroll - Therapists:Salaries</t>
  </si>
  <si>
    <t>Paradigm Payroll:Paradigm Payroll - Therapists:FICA Tax Employer</t>
  </si>
  <si>
    <t>Paradigm Payroll:Paradigm Payroll - Therapists:Federal Unemployment Insurance</t>
  </si>
  <si>
    <t>Paradigm Payroll:Paradigm Payroll - Therapists:State Unemployment Insurance</t>
  </si>
  <si>
    <t>Paradigm Payroll:Paradigm Payroll - Therapists:MTA Tax</t>
  </si>
  <si>
    <t>Paradigm Payroll:Paradigm Payroll - Office:Outside Services</t>
  </si>
  <si>
    <t>Paradigm Payroll:Paradigm Payroll - Office:Salaries</t>
  </si>
  <si>
    <t>Paradigm Payroll:Paradigm Payroll - Office:FICA Tax Employer</t>
  </si>
  <si>
    <t>Paradigm Payroll:Paradigm Payroll - Office:Federal Unemployment Insurance</t>
  </si>
  <si>
    <t>Paradigm Payroll:Paradigm Payroll - Office:State Unemployment Insurance</t>
  </si>
  <si>
    <t>Paradigm Payroll:Paradigm Payroll - Office:MTA Tax</t>
  </si>
  <si>
    <t>Advertising and Promotion</t>
  </si>
  <si>
    <t>Automobile Expense</t>
  </si>
  <si>
    <t>Bad Debt Expense</t>
  </si>
  <si>
    <t>Bank Service Charges</t>
  </si>
  <si>
    <t>Billing Fees</t>
  </si>
  <si>
    <t>Broker Fee</t>
  </si>
  <si>
    <t>Call Monitoring</t>
  </si>
  <si>
    <t>Call Service</t>
  </si>
  <si>
    <t>Cleaning</t>
  </si>
  <si>
    <t>Computer and Internet Expenses</t>
  </si>
  <si>
    <t>Computer Equip. &amp; Maintenance</t>
  </si>
  <si>
    <t>Consulting</t>
  </si>
  <si>
    <t>Continuing Education</t>
  </si>
  <si>
    <t>Credit Card Processing</t>
  </si>
  <si>
    <t>Designer</t>
  </si>
  <si>
    <t>Dues and Subscriptions</t>
  </si>
  <si>
    <t>Evaluations</t>
  </si>
  <si>
    <t>Fees</t>
  </si>
  <si>
    <t>Gifts</t>
  </si>
  <si>
    <t>Human Resources</t>
  </si>
  <si>
    <t>Insurance Expense</t>
  </si>
  <si>
    <t>Insurance Expense:Health Insurance</t>
  </si>
  <si>
    <t>Insurance Expense:Liability Insurance</t>
  </si>
  <si>
    <t>Insurance Expense:Workers Compensation</t>
  </si>
  <si>
    <t>Internet Expense</t>
  </si>
  <si>
    <t>Marketing</t>
  </si>
  <si>
    <t>Marketing:Advertising</t>
  </si>
  <si>
    <t>Marketing:Commissions</t>
  </si>
  <si>
    <t>Marketing:Events &amp; Sponsorships</t>
  </si>
  <si>
    <t>Marketing:Food</t>
  </si>
  <si>
    <t>Marketing:Intake</t>
  </si>
  <si>
    <t>Marketing:Parking</t>
  </si>
  <si>
    <t>Marketing:Promotional Items</t>
  </si>
  <si>
    <t>Marketing:PPC</t>
  </si>
  <si>
    <t>Marketing:Party</t>
  </si>
  <si>
    <t>Marketing:Supplies</t>
  </si>
  <si>
    <t>Marketing:Software &amp; Platforms</t>
  </si>
  <si>
    <t>Marketing:Travel</t>
  </si>
  <si>
    <t>Meals and Entertainment</t>
  </si>
  <si>
    <t>Membership Fee</t>
  </si>
  <si>
    <t>Moving</t>
  </si>
  <si>
    <t>Office Construction</t>
  </si>
  <si>
    <t>Office Equipment</t>
  </si>
  <si>
    <t>Office Furniture</t>
  </si>
  <si>
    <t>Office Party</t>
  </si>
  <si>
    <t>Office Supplies</t>
  </si>
  <si>
    <t>Office Supplies:Office Breakfast</t>
  </si>
  <si>
    <t>Outside Services</t>
  </si>
  <si>
    <t>Parking</t>
  </si>
  <si>
    <t>Payroll Expenses</t>
  </si>
  <si>
    <t>Payroll Processing</t>
  </si>
  <si>
    <t>Postage</t>
  </si>
  <si>
    <t>Printing</t>
  </si>
  <si>
    <t>Professional Fees</t>
  </si>
  <si>
    <t>Professional Fees:Legal Fees</t>
  </si>
  <si>
    <t>Professional Fees:Accounting</t>
  </si>
  <si>
    <t>Professional Fees:Financial Planning &amp; Analysis</t>
  </si>
  <si>
    <t>Recruiting Caregivers</t>
  </si>
  <si>
    <t>Recruiting Caregivers:Fingerprinting</t>
  </si>
  <si>
    <t>Recruiting Caregivers:Training</t>
  </si>
  <si>
    <t>Recruiting Caregivers:Mobile Health</t>
  </si>
  <si>
    <t>Recruiting Caregivers:Software &amp; Platforms</t>
  </si>
  <si>
    <t>Recruiting Caregivers:Marketing</t>
  </si>
  <si>
    <t>Recruiting In Office</t>
  </si>
  <si>
    <t>Recruiting In Office:Marketing</t>
  </si>
  <si>
    <t>Recruiting In Office:Software &amp; Platforms</t>
  </si>
  <si>
    <t>Rent Expense</t>
  </si>
  <si>
    <t>Repairs and Maintenance</t>
  </si>
  <si>
    <t>Security</t>
  </si>
  <si>
    <t>Shuttle</t>
  </si>
  <si>
    <t>Signs</t>
  </si>
  <si>
    <t>Software Costs</t>
  </si>
  <si>
    <t>Supplies</t>
  </si>
  <si>
    <t>Suspense</t>
  </si>
  <si>
    <t>Taxes:NYS Corpration Tax</t>
  </si>
  <si>
    <t>Taxes:NYC Corporation Tax</t>
  </si>
  <si>
    <t>Telephone Expense</t>
  </si>
  <si>
    <t>Training</t>
  </si>
  <si>
    <t>Travel Expense</t>
  </si>
  <si>
    <t>Uniforms</t>
  </si>
  <si>
    <t>Utilities:Gas</t>
  </si>
  <si>
    <t>Utilities:Electric</t>
  </si>
  <si>
    <t>Waste Removal</t>
  </si>
  <si>
    <t>Partner Setllement</t>
  </si>
  <si>
    <t>Interest Expense</t>
  </si>
  <si>
    <t>Charity</t>
  </si>
  <si>
    <t>TOTAL</t>
  </si>
  <si>
    <t>Bonus</t>
  </si>
  <si>
    <t>FUTA</t>
  </si>
  <si>
    <t>Meal</t>
  </si>
  <si>
    <t>MED-R</t>
  </si>
  <si>
    <t>Misc Pay</t>
  </si>
  <si>
    <t>NY-MTA1</t>
  </si>
  <si>
    <t>Regular</t>
  </si>
  <si>
    <t>NYCLA</t>
  </si>
  <si>
    <t>NYSUI</t>
  </si>
  <si>
    <t>SS-R</t>
  </si>
  <si>
    <t>Blank</t>
  </si>
  <si>
    <t>On Call</t>
  </si>
  <si>
    <t>Overtime</t>
  </si>
  <si>
    <t>PTO</t>
  </si>
  <si>
    <t>Annual bonus</t>
  </si>
  <si>
    <t>Third Party Sick Pay</t>
  </si>
  <si>
    <t>Bereavment</t>
  </si>
  <si>
    <t>Regular Hours</t>
  </si>
  <si>
    <t>Inservice</t>
  </si>
  <si>
    <t>Misc Earnings</t>
  </si>
  <si>
    <t>Hourly Mutual</t>
  </si>
  <si>
    <t>OLD-VISIT</t>
  </si>
  <si>
    <t>Sick</t>
  </si>
  <si>
    <t>Travel Time</t>
  </si>
  <si>
    <t>Vacation</t>
  </si>
  <si>
    <t>Visit</t>
  </si>
  <si>
    <t>100 (From caregiver payroll report)</t>
  </si>
  <si>
    <t>Holiday</t>
  </si>
  <si>
    <t>OLD-HHA-HO</t>
  </si>
  <si>
    <t>OLD-HOU-OT</t>
  </si>
  <si>
    <t>HCSS</t>
  </si>
  <si>
    <t>Live In</t>
  </si>
  <si>
    <t>Live In Holiday</t>
  </si>
  <si>
    <t>Live in and OT</t>
  </si>
  <si>
    <t>Old Live In</t>
  </si>
  <si>
    <t>OLD-LIV-OT</t>
  </si>
  <si>
    <t>LPN</t>
  </si>
  <si>
    <t>OLD-LIV-HOL</t>
  </si>
  <si>
    <t>OLD-M-Liv</t>
  </si>
  <si>
    <t>Old Mutual</t>
  </si>
  <si>
    <t>PA</t>
  </si>
  <si>
    <t>Live-in Mutual</t>
  </si>
  <si>
    <t>PCA</t>
  </si>
  <si>
    <t>RESP</t>
  </si>
  <si>
    <t>100 (Admin report)</t>
  </si>
  <si>
    <t>200 (Admin report)</t>
  </si>
  <si>
    <t>CDPAP (Admin report)</t>
  </si>
  <si>
    <t>(CLSTR) Cluster Care (Admin report)</t>
  </si>
  <si>
    <t>HCBS (Admin report)</t>
  </si>
  <si>
    <t>HHA/PCA (Admin report)</t>
  </si>
  <si>
    <t>NHTD Department (Admin report)</t>
  </si>
  <si>
    <t>Primary Care (PA) (Admin report)</t>
  </si>
  <si>
    <t>(PED) Pediatrics (Admin report)</t>
  </si>
  <si>
    <t>HHA1</t>
  </si>
  <si>
    <t>S9122</t>
  </si>
  <si>
    <t xml:space="preserve">Centers Plan For Healthy Living CDPAP </t>
  </si>
  <si>
    <t>PA Hourly - 5 Boroughs</t>
  </si>
  <si>
    <t>T1019:U6</t>
  </si>
  <si>
    <t>Empire Blue Cross Blue Shield (CDPAP)</t>
  </si>
  <si>
    <t>PA Hourly (New)</t>
  </si>
  <si>
    <t>Empire Blue Cross Blue Shield (PCA)</t>
  </si>
  <si>
    <t>PCA Hourly NYC</t>
  </si>
  <si>
    <t>T1019:U1</t>
  </si>
  <si>
    <t>RN Initial (NB)</t>
  </si>
  <si>
    <t>Excellent Home Care Services</t>
  </si>
  <si>
    <t>Rate3</t>
  </si>
  <si>
    <t>PedCode95</t>
  </si>
  <si>
    <t>-</t>
  </si>
  <si>
    <t>Fidelis Care (ANT)</t>
  </si>
  <si>
    <t>RN Reassessment (NB)</t>
  </si>
  <si>
    <t>Fidelis Care (CDP)</t>
  </si>
  <si>
    <t>Rate1</t>
  </si>
  <si>
    <t>NHTD</t>
  </si>
  <si>
    <t>HCSS 9795 NYC</t>
  </si>
  <si>
    <t>9795</t>
  </si>
  <si>
    <t>Initial RN Visit 9799 (Hourly)</t>
  </si>
  <si>
    <t>9799</t>
  </si>
  <si>
    <t>RN Visit 9799 (Hourly)</t>
  </si>
  <si>
    <t>Private</t>
  </si>
  <si>
    <t>PCA Hourly</t>
  </si>
  <si>
    <t>EDDY SeniorCare VNA (Pace Plan)</t>
  </si>
  <si>
    <t>PCA Hourly Weekday</t>
  </si>
  <si>
    <t>RN Initial Visit-NB</t>
  </si>
  <si>
    <t>PRN (NB)</t>
  </si>
  <si>
    <t>RN Initial Assement</t>
  </si>
  <si>
    <t>T2024</t>
  </si>
  <si>
    <t>S5130:U1</t>
  </si>
  <si>
    <t>S5130:U1::::Homemaker</t>
  </si>
  <si>
    <t>Fidelis Care PCA (Non Live)</t>
  </si>
  <si>
    <t>G0162</t>
  </si>
  <si>
    <t>Rn initial assement</t>
  </si>
  <si>
    <t>Nascentia Health Options CDPAP</t>
  </si>
  <si>
    <t>PA Hourly</t>
  </si>
  <si>
    <t>Nascentia PCA</t>
  </si>
  <si>
    <t>Rn initial assesment non billable</t>
  </si>
  <si>
    <t>Rn re-assessment non billable</t>
  </si>
  <si>
    <t>SN Visit Aide Supervision</t>
  </si>
  <si>
    <t>T1030</t>
  </si>
  <si>
    <t>SN Visit Aide Supervision (in active)</t>
  </si>
  <si>
    <t>Private Pay - Select</t>
  </si>
  <si>
    <t>VNS Health Health Plans (ANT)</t>
  </si>
  <si>
    <t>RN - Initial Visit</t>
  </si>
  <si>
    <t>T1019U1 ALB</t>
  </si>
  <si>
    <t>VNS Health Health Plans (CDP)</t>
  </si>
  <si>
    <t>T1019U6 ALB</t>
  </si>
  <si>
    <t>T1019U6 ALB MAP</t>
  </si>
  <si>
    <t>T1019U6 K</t>
  </si>
  <si>
    <t>T1019U6 REN</t>
  </si>
  <si>
    <t>VNSNY CHOICE PCA</t>
  </si>
  <si>
    <t>HHAPEDSV</t>
  </si>
  <si>
    <t>Amerigroup (Empire) PCA</t>
  </si>
  <si>
    <t>PCA HOURLY</t>
  </si>
  <si>
    <t>Archcare Community Life CDPAP</t>
  </si>
  <si>
    <t>Archcare Community Life PCA</t>
  </si>
  <si>
    <t>AVCC, LLC CDPAP</t>
  </si>
  <si>
    <t>Centerlight CHHA / Cassena Care At Home</t>
  </si>
  <si>
    <t>HHA Hourly</t>
  </si>
  <si>
    <t>HH11</t>
  </si>
  <si>
    <t>CenterLight HealthCare (PACE) (ANT)</t>
  </si>
  <si>
    <t>CenterLight HealthCare (PACE) (CDP)</t>
  </si>
  <si>
    <t>Centers Plan For Health Living PCA</t>
  </si>
  <si>
    <t>Elderplan MJHS (ANT)</t>
  </si>
  <si>
    <t>Elderplan MJHS (CDP)</t>
  </si>
  <si>
    <t>T1019:U6 MAP</t>
  </si>
  <si>
    <t>ElderServe/Riverspring (CDPAP)</t>
  </si>
  <si>
    <t>ElderServe/Riverspring (PCA)</t>
  </si>
  <si>
    <t>PCA Live In</t>
  </si>
  <si>
    <t>T1020</t>
  </si>
  <si>
    <t>T1020:U6</t>
  </si>
  <si>
    <t>Hamaspik Choice (MLTC) CDPAP</t>
  </si>
  <si>
    <t>PA Hourly NYC , Nassau, Westchester</t>
  </si>
  <si>
    <t>Hamaspik Choice MLTC (PCA)</t>
  </si>
  <si>
    <t>Hamaspik MAP CDPAP</t>
  </si>
  <si>
    <t>PA Hourly (NYC, LI, &amp; Westchester)</t>
  </si>
  <si>
    <t>Hamaspik MAP PCA</t>
  </si>
  <si>
    <t>Healthfirst (ANT)</t>
  </si>
  <si>
    <t>T1019:U1:CC</t>
  </si>
  <si>
    <t>Healthfirst (CDP)</t>
  </si>
  <si>
    <t>T1019:U6:CC</t>
  </si>
  <si>
    <t>Healthfirst PCA MAP (Complete Care) (Non Live)</t>
  </si>
  <si>
    <t>HEALTHFIRST PHSP (Medicaid) (Non Live)</t>
  </si>
  <si>
    <t>Non billable Hourly</t>
  </si>
  <si>
    <t>HHAHRPED</t>
  </si>
  <si>
    <t>99999</t>
  </si>
  <si>
    <t>Royal Care Certified of NY</t>
  </si>
  <si>
    <t>Rate 1</t>
  </si>
  <si>
    <t>na</t>
  </si>
  <si>
    <t>SWHNY-MLTC (ANT)</t>
  </si>
  <si>
    <t>SWHNY-MLTC (CDP)</t>
  </si>
  <si>
    <t>VillageCare CDPAP</t>
  </si>
  <si>
    <t>PA Hourly Mutual</t>
  </si>
  <si>
    <t>T1019:U7</t>
  </si>
  <si>
    <t>VillageCare PCA</t>
  </si>
  <si>
    <t>Aide Supervision (NB)</t>
  </si>
  <si>
    <t>PCA - Live In</t>
  </si>
  <si>
    <t>PCA - Live In TV</t>
  </si>
  <si>
    <t>T1020:TV</t>
  </si>
  <si>
    <t>PCA Cluster Care</t>
  </si>
  <si>
    <t>T1019:U3</t>
  </si>
  <si>
    <t>T1019:U1:TV</t>
  </si>
  <si>
    <t>PCA Hourly Mutual</t>
  </si>
  <si>
    <t>T1019:U2</t>
  </si>
  <si>
    <t>PCA Hourly Mutual TV</t>
  </si>
  <si>
    <t>T1019:U2:TV</t>
  </si>
  <si>
    <t>PCA Hourly TV</t>
  </si>
  <si>
    <t>RN Initial Visit</t>
  </si>
  <si>
    <t>T1019U1 BX</t>
  </si>
  <si>
    <t>T1019U1 BX MAP</t>
  </si>
  <si>
    <t>T1019U1 K</t>
  </si>
  <si>
    <t>T1019U2 BX</t>
  </si>
  <si>
    <t>T1020 BX</t>
  </si>
  <si>
    <t>T1020U2 BX</t>
  </si>
  <si>
    <t>T1020:U2</t>
  </si>
  <si>
    <t>T1019U6 BX</t>
  </si>
  <si>
    <t>T1019U6 BX MAP</t>
  </si>
  <si>
    <t>T1019U6 NYC</t>
  </si>
  <si>
    <t>T1019U7 NYC</t>
  </si>
  <si>
    <t>PCA Hourly Housekeeping</t>
  </si>
  <si>
    <t>S5130:U1::::S5130</t>
  </si>
  <si>
    <t>T1019U6 SCH</t>
  </si>
  <si>
    <t>PA Hourly - Mutual</t>
  </si>
  <si>
    <t>T1019U6 COL</t>
  </si>
  <si>
    <t>T1019U6 DEL</t>
  </si>
  <si>
    <t>PA Hourly Upstate</t>
  </si>
  <si>
    <t>T1019U6 DUT</t>
  </si>
  <si>
    <t>PA Hourly - Erie/Niagara</t>
  </si>
  <si>
    <t>PA Hourly - Nassau/Suffolk/Westchester:</t>
  </si>
  <si>
    <t>PA Hourly - Rockland</t>
  </si>
  <si>
    <t>Elderwood Health Plan</t>
  </si>
  <si>
    <t>T1019U6 EDD</t>
  </si>
  <si>
    <t>T1019U7 EDD</t>
  </si>
  <si>
    <t>T1019U6 NAS</t>
  </si>
  <si>
    <t>T1019U6 FUL</t>
  </si>
  <si>
    <t>T1019U6 GEN</t>
  </si>
  <si>
    <t>VNSNY CHOICE CDPAP</t>
  </si>
  <si>
    <t>T1019U6 GRE</t>
  </si>
  <si>
    <t>T1019U6 HER</t>
  </si>
  <si>
    <t>T1019U6 ONE</t>
  </si>
  <si>
    <t>RN Initial-NB</t>
  </si>
  <si>
    <t>T1019</t>
  </si>
  <si>
    <t>RN Reassessment-NB</t>
  </si>
  <si>
    <t>Anchor select</t>
  </si>
  <si>
    <t>Non billable</t>
  </si>
  <si>
    <t>LPN (T1003)</t>
  </si>
  <si>
    <t>T1003</t>
  </si>
  <si>
    <t>PCA Live-In</t>
  </si>
  <si>
    <t>PA Live-In - 5 Boroughs</t>
  </si>
  <si>
    <t>PA Live-In</t>
  </si>
  <si>
    <t>Rate4HMO</t>
  </si>
  <si>
    <t>0</t>
  </si>
  <si>
    <t>KINGS</t>
  </si>
  <si>
    <t>Rate4</t>
  </si>
  <si>
    <t>T1020:CC</t>
  </si>
  <si>
    <t>T1019:U6:SHP</t>
  </si>
  <si>
    <t>HCSS 9795 LI Nassau Westchester Suffolk</t>
  </si>
  <si>
    <t>HCSS 9795 Rest of State</t>
  </si>
  <si>
    <t>RN Supervision</t>
  </si>
  <si>
    <t>Partners Health Plan</t>
  </si>
  <si>
    <t>RN Initial Visit NB</t>
  </si>
  <si>
    <t>HHAHOUR</t>
  </si>
  <si>
    <t>HHA supervision</t>
  </si>
  <si>
    <t>Live In - 1 Hour</t>
  </si>
  <si>
    <t>Live In - 4 Hours</t>
  </si>
  <si>
    <t>Live In - 7 Hours</t>
  </si>
  <si>
    <t>Live In - 8 Hours</t>
  </si>
  <si>
    <t>RN Re-Assessment</t>
  </si>
  <si>
    <t>PA hourly</t>
  </si>
  <si>
    <t>PCA Live-in</t>
  </si>
  <si>
    <t>Senior Whole Health PCA (Non Live)</t>
  </si>
  <si>
    <t>xxxx</t>
  </si>
  <si>
    <t>RN Visit</t>
  </si>
  <si>
    <t>TBI</t>
  </si>
  <si>
    <t>HCSS 9879</t>
  </si>
  <si>
    <t>9879</t>
  </si>
  <si>
    <t>Service Coordination (monthly)</t>
  </si>
  <si>
    <t>9851</t>
  </si>
  <si>
    <t>HHA Hourly - S5125</t>
  </si>
  <si>
    <t>S5125</t>
  </si>
  <si>
    <t>T1019U1 K MAP</t>
  </si>
  <si>
    <t>T1019U1 NYC</t>
  </si>
  <si>
    <t>T1019U1 QNS</t>
  </si>
  <si>
    <t>T1019U2 K</t>
  </si>
  <si>
    <t>T1020 K</t>
  </si>
  <si>
    <t>T1019U7 K</t>
  </si>
  <si>
    <t>T1020U6 K</t>
  </si>
  <si>
    <t>Your Choice at Home</t>
  </si>
  <si>
    <t>2610</t>
  </si>
  <si>
    <t>T1019U6 MAD</t>
  </si>
  <si>
    <t>T1019U6 MRE</t>
  </si>
  <si>
    <t>T1019U6 MRE MAP</t>
  </si>
  <si>
    <t>T1019U6 SUF</t>
  </si>
  <si>
    <t>T1019U6 MGY</t>
  </si>
  <si>
    <t>T1019U6 MGY MAP</t>
  </si>
  <si>
    <t>Amerigroup (Empire) CDPAP</t>
  </si>
  <si>
    <t>PA HOURLY</t>
  </si>
  <si>
    <t>PCA Hourly LI &amp; Westchester</t>
  </si>
  <si>
    <t>PA Hourly - Long Island &amp; Westchester</t>
  </si>
  <si>
    <t>T1019:U6:U4</t>
  </si>
  <si>
    <t>PA Hourly Mutual Long Island &amp; Westchester</t>
  </si>
  <si>
    <t>T1019:U7:U4</t>
  </si>
  <si>
    <t>PCA Hourly - LI Westchester</t>
  </si>
  <si>
    <t>T1019:U4</t>
  </si>
  <si>
    <t>PCA Hourly Mutual - LI Westchester</t>
  </si>
  <si>
    <t>T1019 U5</t>
  </si>
  <si>
    <t>PCA Hourly - Mutual Long Island</t>
  </si>
  <si>
    <t>Royal Care Certified</t>
  </si>
  <si>
    <t>Rate2</t>
  </si>
  <si>
    <t>T1019U1 NAS</t>
  </si>
  <si>
    <t>T1019U1 NAS MAP</t>
  </si>
  <si>
    <t>T1019U2 NAS</t>
  </si>
  <si>
    <t>T1020 NAS</t>
  </si>
  <si>
    <t>T1019U6 NAS MAP</t>
  </si>
  <si>
    <t>T1019U7 NAS</t>
  </si>
  <si>
    <t>T1020U6 NAS</t>
  </si>
  <si>
    <t>PCA Hourly - Mutual NYC</t>
  </si>
  <si>
    <t>NEW YORK</t>
  </si>
  <si>
    <t>UAS-VCM</t>
  </si>
  <si>
    <t>UAS Enrollment Assessment</t>
  </si>
  <si>
    <t>HHA Live In - S5126</t>
  </si>
  <si>
    <t>S5126</t>
  </si>
  <si>
    <t>T1020 NYC</t>
  </si>
  <si>
    <t>T1019U6 NIA</t>
  </si>
  <si>
    <t>T1019U6 ONO</t>
  </si>
  <si>
    <t>T1019U7 ONO</t>
  </si>
  <si>
    <t>PA Hourly - Mutual Upstate</t>
  </si>
  <si>
    <t>MVP Health Care CDPAP</t>
  </si>
  <si>
    <t>T1019U6 ORA</t>
  </si>
  <si>
    <t>T1019U6 ULS</t>
  </si>
  <si>
    <t>T1019U6 ORL</t>
  </si>
  <si>
    <t>T1019U6 OTS</t>
  </si>
  <si>
    <t>PCA Live-In NYC</t>
  </si>
  <si>
    <t>Rn re-assessment</t>
  </si>
  <si>
    <t>Live In (H)</t>
  </si>
  <si>
    <t>RN skilled visit</t>
  </si>
  <si>
    <t>United Healthcare CDPAP</t>
  </si>
  <si>
    <t>T1019U1 QNS MAP</t>
  </si>
  <si>
    <t>T1019U2 QNS</t>
  </si>
  <si>
    <t>T1020 QNS</t>
  </si>
  <si>
    <t>T1019U6 QNS</t>
  </si>
  <si>
    <t>T1019U6 SI</t>
  </si>
  <si>
    <t>T1019U7 QNS</t>
  </si>
  <si>
    <t>G0156</t>
  </si>
  <si>
    <t>T1019U1 REN</t>
  </si>
  <si>
    <t>Anchor Health</t>
  </si>
  <si>
    <t>Archcare Senior Life PCA "PACE Plan"</t>
  </si>
  <si>
    <t>HHA Live IN - S5126</t>
  </si>
  <si>
    <t>RN Initial Assessment</t>
  </si>
  <si>
    <t>Live In - 3 Hours</t>
  </si>
  <si>
    <t>HHA Live-in</t>
  </si>
  <si>
    <t>T1019U1 SI</t>
  </si>
  <si>
    <t>T1019U1 SI MAP</t>
  </si>
  <si>
    <t>T1019U2 SI</t>
  </si>
  <si>
    <t>T1019U3 SI</t>
  </si>
  <si>
    <t>T1020 SI</t>
  </si>
  <si>
    <t>T1020 SI MAP</t>
  </si>
  <si>
    <t>T1020U2 SI</t>
  </si>
  <si>
    <t>T1019U6 WES</t>
  </si>
  <si>
    <t>T1019U7 SI</t>
  </si>
  <si>
    <t>T1020U6 SI</t>
  </si>
  <si>
    <t>T1020U7 SI MAP</t>
  </si>
  <si>
    <t>T1020:U7</t>
  </si>
  <si>
    <t>PCA Hourly Mutual U3</t>
  </si>
  <si>
    <t>T1019U6 RKL</t>
  </si>
  <si>
    <t>T1019U1 SAR</t>
  </si>
  <si>
    <t>T1019U6 SAR</t>
  </si>
  <si>
    <t>T1019U6 SAR MAP</t>
  </si>
  <si>
    <t>T1019U1 SCH</t>
  </si>
  <si>
    <t>T1020 SCH</t>
  </si>
  <si>
    <t>T1019U7 SCH</t>
  </si>
  <si>
    <t>T1019U6 SCHO</t>
  </si>
  <si>
    <t>PA Live-In -  Nassau/Suffolk/Westchester:</t>
  </si>
  <si>
    <t>T1019U7 SUF</t>
  </si>
  <si>
    <t>T1020U6 SUF</t>
  </si>
  <si>
    <t>T1019U6 SUL</t>
  </si>
  <si>
    <t>T1019U6 ULS MAP</t>
  </si>
  <si>
    <t>T1019U6 WAR</t>
  </si>
  <si>
    <t>T1019U6 WAS</t>
  </si>
  <si>
    <t>Preferred Certified</t>
  </si>
  <si>
    <t>HHA hourly</t>
  </si>
  <si>
    <t>T1019U1 WES</t>
  </si>
  <si>
    <t>T1019U2 WES</t>
  </si>
  <si>
    <t>T1020 WES</t>
  </si>
  <si>
    <t>T1019U6 WES MAP</t>
  </si>
  <si>
    <t>np</t>
  </si>
  <si>
    <t>Tax Refund</t>
  </si>
  <si>
    <t>Albany Total</t>
  </si>
  <si>
    <t>Columbia Total</t>
  </si>
  <si>
    <t>Montgomery Total</t>
  </si>
  <si>
    <t>Orange Total</t>
  </si>
  <si>
    <t>Rensselaer Total</t>
  </si>
  <si>
    <t>Saratoga Total</t>
  </si>
  <si>
    <t>Schenectady Total</t>
  </si>
  <si>
    <t>Westchester Total</t>
  </si>
  <si>
    <t>Allegany Total</t>
  </si>
  <si>
    <t>Broome Total</t>
  </si>
  <si>
    <t>Cattaraugus Total</t>
  </si>
  <si>
    <t>Cayuga Total</t>
  </si>
  <si>
    <t>Chautauqua Total</t>
  </si>
  <si>
    <t>Chemung Total</t>
  </si>
  <si>
    <t>Chenango Total</t>
  </si>
  <si>
    <t>Clinton Total</t>
  </si>
  <si>
    <t>Cortland Total</t>
  </si>
  <si>
    <t>Delaware Total</t>
  </si>
  <si>
    <t>Dutchess Total</t>
  </si>
  <si>
    <t>Erie Total</t>
  </si>
  <si>
    <t>Essex Total</t>
  </si>
  <si>
    <t>Franklin Total</t>
  </si>
  <si>
    <t>Fulton Total</t>
  </si>
  <si>
    <t>Genesee Total</t>
  </si>
  <si>
    <t>Greene Total</t>
  </si>
  <si>
    <t>Hamilton Total</t>
  </si>
  <si>
    <t>Herkimer Total</t>
  </si>
  <si>
    <t>Jefferson Total</t>
  </si>
  <si>
    <t>Lewis Total</t>
  </si>
  <si>
    <t>Livingston Total</t>
  </si>
  <si>
    <t>Madison Total</t>
  </si>
  <si>
    <t>Monroe Total</t>
  </si>
  <si>
    <t>Niagara Total</t>
  </si>
  <si>
    <t>Oneida Total</t>
  </si>
  <si>
    <t>Onondaga Total</t>
  </si>
  <si>
    <t>Ontario Total</t>
  </si>
  <si>
    <t>Orleans Total</t>
  </si>
  <si>
    <t>Oswego Total</t>
  </si>
  <si>
    <t>Otsego Total</t>
  </si>
  <si>
    <t>Putnam Total</t>
  </si>
  <si>
    <t>Rockland Total</t>
  </si>
  <si>
    <t>Saint Lawrence Total</t>
  </si>
  <si>
    <t>Schoharie Total</t>
  </si>
  <si>
    <t>Schuyler Total</t>
  </si>
  <si>
    <t>Seneca Total</t>
  </si>
  <si>
    <t>Steuben Total</t>
  </si>
  <si>
    <t>Sullivan Total</t>
  </si>
  <si>
    <t>Tioga Total</t>
  </si>
  <si>
    <t>Tompkins Total</t>
  </si>
  <si>
    <t>Ulster Total</t>
  </si>
  <si>
    <t>Warren Total</t>
  </si>
  <si>
    <t>Washington Total</t>
  </si>
  <si>
    <t>Wayne Total</t>
  </si>
  <si>
    <t>Wyoming Total</t>
  </si>
  <si>
    <t>Yates Total</t>
  </si>
  <si>
    <t>Anchor Health (HHA-PCA)</t>
  </si>
  <si>
    <t>Anchor Health Choice (CDPAP)</t>
  </si>
  <si>
    <t>Anchor Select (Private Pay)</t>
  </si>
  <si>
    <t>Fidelis Care CDPAP (Non Live)</t>
  </si>
  <si>
    <t>Healthfirst MLTC CDPAP (SHP) (Non Live)</t>
  </si>
  <si>
    <t>Outside Services: Admin</t>
  </si>
  <si>
    <t>Parking: Marketing</t>
  </si>
  <si>
    <t>Evaluations: Paradigm</t>
  </si>
  <si>
    <t>Therapy Expenses</t>
  </si>
  <si>
    <t>Nemo</t>
  </si>
  <si>
    <t>Anchor</t>
  </si>
  <si>
    <t>Anchor and Nemo Trial Balance</t>
  </si>
  <si>
    <t>January 1, 2024 - December 31, 2024</t>
  </si>
  <si>
    <t>NR</t>
  </si>
  <si>
    <t>R</t>
  </si>
  <si>
    <t>Schedule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</si>
</sst>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* #,##0.000_);_(* \(#,##0.000\);_(* &quot;-&quot;??_);_(@_)"/>
    <numFmt numFmtId="166" formatCode="00000"/>
    <numFmt numFmtId="167" formatCode="0.000%"/>
    <numFmt numFmtId="168" formatCode="_(* #,##0.0000000_);_(* \(#,##0.0000000\);_(* &quot;-&quot;??_);_(@_)"/>
    <numFmt numFmtId="169" formatCode="0.0000%"/>
    <numFmt numFmtId="170" formatCode="_(&quot;$&quot;* #,##0_);_(&quot;$&quot;* \(#,##0\);_(&quot;$&quot;* &quot;-&quot;??_);_(@_)"/>
    <numFmt numFmtId="171" formatCode="#,##0.0"/>
    <numFmt numFmtId="172" formatCode="#,##0.00\ _€"/>
  </numFmts>
  <fonts count="134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Verdana"/>
      <family val="2"/>
    </font>
    <font>
      <b/>
      <sz val="8"/>
      <color rgb="FF000000"/>
      <name val="Verdana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Arial"/>
      <family val="2"/>
    </font>
    <font>
      <b/>
      <sz val="11"/>
      <color rgb="FF800080"/>
      <name val="Arial"/>
      <family val="2"/>
    </font>
    <font>
      <b/>
      <sz val="9"/>
      <color rgb="FF000000"/>
      <name val="Arial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Times New Roman"/>
      <family val="1"/>
    </font>
    <font>
      <b/>
      <sz val="11"/>
      <name val="Calibri"/>
      <family val="2"/>
      <scheme val="minor"/>
    </font>
    <font>
      <i/>
      <sz val="10"/>
      <color rgb="FFFF0000"/>
      <name val="Times New Roman"/>
      <family val="1"/>
    </font>
    <font>
      <b/>
      <sz val="10"/>
      <color rgb="FF000000"/>
      <name val="Times New Roman"/>
      <family val="1"/>
    </font>
    <font>
      <b/>
      <sz val="11"/>
      <color theme="1"/>
      <name val="Calibri"/>
      <family val="2"/>
    </font>
    <font>
      <sz val="10"/>
      <color rgb="FF000000"/>
      <name val="Times New Roman"/>
      <family val="1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Calibri"/>
      <family val="2"/>
    </font>
    <font>
      <sz val="14"/>
      <color rgb="FF000000"/>
      <name val="Times New Roman"/>
      <family val="1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</font>
    <font>
      <sz val="14"/>
      <name val="Calibri"/>
      <family val="2"/>
    </font>
    <font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rgb="FF3333CC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1"/>
      <color rgb="FF3333CC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8"/>
      <color rgb="FF323232"/>
      <name val="Arial"/>
      <family val="2"/>
    </font>
    <font>
      <b/>
      <sz val="8"/>
      <color theme="1"/>
      <name val="Calibri"/>
      <family val="2"/>
      <scheme val="minor"/>
    </font>
    <font>
      <sz val="11"/>
      <name val="Calibri"/>
      <family val="2"/>
    </font>
    <font>
      <b/>
      <sz val="12"/>
      <color theme="0"/>
      <name val="Calibri"/>
      <family val="2"/>
      <scheme val="minor"/>
    </font>
    <font>
      <sz val="12"/>
      <color rgb="FF000000"/>
      <name val="Times New Roman"/>
      <family val="1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i/>
      <sz val="12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i/>
      <sz val="11"/>
      <color rgb="FFFF0000"/>
      <name val="Calibri"/>
      <family val="2"/>
    </font>
    <font>
      <sz val="10"/>
      <color rgb="FF000000"/>
      <name val="Times New Roman"/>
      <family val="1"/>
    </font>
    <font>
      <sz val="10"/>
      <color rgb="FFFF0000"/>
      <name val="Times New Roman"/>
      <family val="1"/>
    </font>
    <font>
      <sz val="11"/>
      <name val="Calibri"/>
      <family val="2"/>
    </font>
    <font>
      <sz val="11"/>
      <color rgb="FFFF0000"/>
      <name val="Calibri"/>
      <family val="2"/>
      <scheme val="minor"/>
    </font>
    <font>
      <i/>
      <sz val="10"/>
      <name val="Times New Roman"/>
      <family val="1"/>
    </font>
    <font>
      <b/>
      <sz val="11"/>
      <color rgb="FFFF0000"/>
      <name val="Times New Roman"/>
      <family val="1"/>
    </font>
    <font>
      <b/>
      <sz val="12"/>
      <color rgb="FFFF0000"/>
      <name val="Times New Roman"/>
      <family val="1"/>
    </font>
    <font>
      <sz val="10"/>
      <color theme="1"/>
      <name val="Times New Roman"/>
      <family val="1"/>
    </font>
    <font>
      <b/>
      <sz val="11"/>
      <color rgb="FF00B0F0"/>
      <name val="Calibri"/>
      <family val="2"/>
      <scheme val="minor"/>
    </font>
    <font>
      <i/>
      <sz val="10"/>
      <color rgb="FF000000"/>
      <name val="Times New Roman"/>
      <family val="1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8"/>
      <color rgb="FF00B0F0"/>
      <name val="Arial"/>
      <family val="2"/>
    </font>
    <font>
      <sz val="11"/>
      <color rgb="FF00B0F0"/>
      <name val="Calibri"/>
      <family val="2"/>
      <scheme val="minor"/>
    </font>
    <font>
      <b/>
      <sz val="8"/>
      <color rgb="FFFF0000"/>
      <name val="Arial"/>
      <family val="2"/>
    </font>
    <font>
      <b/>
      <sz val="8"/>
      <color rgb="FF7030A0"/>
      <name val="Arial"/>
      <family val="2"/>
    </font>
    <font>
      <sz val="8"/>
      <name val="Calibri"/>
      <family val="2"/>
      <scheme val="minor"/>
    </font>
    <font>
      <b/>
      <sz val="8"/>
      <color rgb="FFFFC000"/>
      <name val="Arial"/>
      <family val="2"/>
    </font>
    <font>
      <sz val="11"/>
      <color rgb="FF000000"/>
      <name val="Times New Roman"/>
      <family val="1"/>
    </font>
    <font>
      <b/>
      <sz val="11"/>
      <color theme="3"/>
      <name val="Calibri"/>
      <family val="2"/>
      <scheme val="minor"/>
    </font>
    <font>
      <sz val="8"/>
      <color rgb="FF000000"/>
      <name val="Times New Roman"/>
      <family val="1"/>
    </font>
    <font>
      <b/>
      <sz val="8"/>
      <color rgb="FF000000"/>
      <name val="Verdana"/>
      <family val="2"/>
    </font>
    <font>
      <sz val="11"/>
      <name val="Calibri"/>
      <family val="2"/>
    </font>
    <font>
      <sz val="8"/>
      <color rgb="FF000000"/>
      <name val="Verdana"/>
      <family val="2"/>
    </font>
    <font>
      <u/>
      <sz val="8"/>
      <color rgb="FF000000"/>
      <name val="Verdana"/>
      <family val="2"/>
    </font>
    <font>
      <sz val="11"/>
      <color rgb="FF000000"/>
      <name val="Heebo"/>
      <charset val="177"/>
    </font>
    <font>
      <sz val="11"/>
      <color theme="7" tint="0.79998168889431442"/>
      <name val="Times New Roman"/>
      <family val="1"/>
    </font>
    <font>
      <sz val="11"/>
      <name val="Times New Roman"/>
      <family val="1"/>
    </font>
    <font>
      <sz val="7"/>
      <color rgb="FF000000"/>
      <name val="Heebo"/>
      <charset val="177"/>
    </font>
    <font>
      <sz val="10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sz val="8"/>
      <name val="Verdana"/>
      <family val="2"/>
    </font>
    <font>
      <sz val="11"/>
      <name val="Arial Black"/>
      <family val="2"/>
    </font>
    <font>
      <b/>
      <sz val="11"/>
      <color rgb="FF323232"/>
      <name val="Arial Black"/>
      <family val="2"/>
    </font>
    <font>
      <sz val="10"/>
      <name val="Times New Roman"/>
      <family val="1"/>
    </font>
    <font>
      <sz val="8"/>
      <color rgb="FF000000"/>
      <name val="Verdana"/>
      <family val="2"/>
    </font>
    <font>
      <u/>
      <sz val="8"/>
      <color rgb="FF000000"/>
      <name val="Verdana"/>
      <family val="2"/>
    </font>
    <font>
      <sz val="7"/>
      <color indexed="8"/>
      <name val="Tahoma"/>
      <family val="2"/>
    </font>
    <font>
      <b/>
      <sz val="7"/>
      <color indexed="8"/>
      <name val="Tahoma"/>
      <family val="2"/>
    </font>
    <font>
      <b/>
      <sz val="11"/>
      <color rgb="FF000000"/>
      <name val="Times New Roman"/>
      <family val="1"/>
    </font>
    <font>
      <b/>
      <sz val="10"/>
      <name val="Times New Roman"/>
      <family val="1"/>
      <charset val="204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8"/>
      <name val="Arial"/>
      <family val="2"/>
    </font>
    <font>
      <sz val="11"/>
      <color rgb="FF000000"/>
      <name val="Aptos Narrow"/>
      <family val="2"/>
    </font>
    <font>
      <sz val="11"/>
      <color rgb="FFFF0000"/>
      <name val="Calibri"/>
      <family val="2"/>
    </font>
    <font>
      <i/>
      <sz val="14"/>
      <name val="Times New Roman"/>
      <family val="1"/>
    </font>
    <font>
      <i/>
      <sz val="10"/>
      <color indexed="8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D3D3D3"/>
        <bgColor rgb="FFD3D3D3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rgb="FF95B3D7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D7DDE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0">
    <xf numFmtId="0" fontId="0" fillId="0" borderId="0"/>
    <xf numFmtId="0" fontId="35" fillId="0" borderId="0"/>
    <xf numFmtId="43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0" fontId="36" fillId="0" borderId="0"/>
    <xf numFmtId="0" fontId="31" fillId="0" borderId="0"/>
    <xf numFmtId="0" fontId="37" fillId="0" borderId="0"/>
    <xf numFmtId="0" fontId="38" fillId="0" borderId="0"/>
    <xf numFmtId="0" fontId="38" fillId="0" borderId="0"/>
    <xf numFmtId="0" fontId="39" fillId="0" borderId="0"/>
    <xf numFmtId="0" fontId="39" fillId="0" borderId="0"/>
    <xf numFmtId="0" fontId="40" fillId="0" borderId="0"/>
    <xf numFmtId="0" fontId="39" fillId="0" borderId="0"/>
    <xf numFmtId="0" fontId="40" fillId="0" borderId="0"/>
    <xf numFmtId="0" fontId="30" fillId="0" borderId="0"/>
    <xf numFmtId="0" fontId="46" fillId="0" borderId="0"/>
    <xf numFmtId="43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0" fontId="46" fillId="0" borderId="0"/>
    <xf numFmtId="0" fontId="51" fillId="0" borderId="0"/>
    <xf numFmtId="0" fontId="29" fillId="0" borderId="0"/>
    <xf numFmtId="0" fontId="29" fillId="0" borderId="0"/>
    <xf numFmtId="0" fontId="28" fillId="0" borderId="0"/>
    <xf numFmtId="0" fontId="27" fillId="0" borderId="0"/>
    <xf numFmtId="43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0" fontId="25" fillId="0" borderId="0"/>
    <xf numFmtId="0" fontId="25" fillId="0" borderId="0"/>
    <xf numFmtId="43" fontId="25" fillId="0" borderId="0" applyFont="0" applyFill="0" applyBorder="0" applyAlignment="0" applyProtection="0"/>
    <xf numFmtId="0" fontId="82" fillId="0" borderId="0"/>
    <xf numFmtId="44" fontId="35" fillId="0" borderId="0" applyFont="0" applyFill="0" applyBorder="0" applyAlignment="0" applyProtection="0"/>
    <xf numFmtId="0" fontId="113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46" fillId="0" borderId="0" applyFont="0" applyFill="0" applyBorder="0" applyAlignment="0" applyProtection="0"/>
    <xf numFmtId="0" fontId="11" fillId="0" borderId="0"/>
    <xf numFmtId="0" fontId="114" fillId="0" borderId="0" applyNumberFormat="0" applyFill="0" applyBorder="0" applyAlignment="0" applyProtection="0"/>
    <xf numFmtId="44" fontId="11" fillId="0" borderId="0" applyFont="0" applyFill="0" applyBorder="0" applyAlignment="0" applyProtection="0"/>
  </cellStyleXfs>
  <cellXfs count="983">
    <xf numFmtId="0" fontId="32" fillId="0" borderId="0" xfId="0" applyFont="1"/>
    <xf numFmtId="0" fontId="32" fillId="0" borderId="0" xfId="0" pivotButton="1" applyFont="1"/>
    <xf numFmtId="0" fontId="32" fillId="0" borderId="0" xfId="0" applyFont="1" applyAlignment="1">
      <alignment horizontal="left"/>
    </xf>
    <xf numFmtId="10" fontId="32" fillId="0" borderId="0" xfId="0" applyNumberFormat="1" applyFont="1"/>
    <xf numFmtId="43" fontId="32" fillId="0" borderId="0" xfId="2" applyFont="1" applyFill="1" applyBorder="1"/>
    <xf numFmtId="0" fontId="30" fillId="0" borderId="0" xfId="14"/>
    <xf numFmtId="0" fontId="30" fillId="0" borderId="0" xfId="14" applyAlignment="1">
      <alignment horizontal="right"/>
    </xf>
    <xf numFmtId="0" fontId="45" fillId="0" borderId="5" xfId="0" applyFont="1" applyBorder="1" applyAlignment="1">
      <alignment horizontal="left" indent="5"/>
    </xf>
    <xf numFmtId="0" fontId="45" fillId="0" borderId="6" xfId="0" applyFont="1" applyBorder="1" applyAlignment="1">
      <alignment horizontal="left" indent="5"/>
    </xf>
    <xf numFmtId="0" fontId="46" fillId="0" borderId="0" xfId="15" applyAlignment="1">
      <alignment horizontal="left" vertical="top"/>
    </xf>
    <xf numFmtId="0" fontId="46" fillId="0" borderId="0" xfId="15" applyAlignment="1">
      <alignment horizontal="center" vertical="top"/>
    </xf>
    <xf numFmtId="0" fontId="41" fillId="0" borderId="8" xfId="15" applyFont="1" applyBorder="1"/>
    <xf numFmtId="49" fontId="41" fillId="0" borderId="9" xfId="15" applyNumberFormat="1" applyFont="1" applyBorder="1" applyAlignment="1">
      <alignment horizontal="center"/>
    </xf>
    <xf numFmtId="0" fontId="45" fillId="0" borderId="6" xfId="15" applyFont="1" applyBorder="1" applyAlignment="1">
      <alignment horizontal="left" indent="5"/>
    </xf>
    <xf numFmtId="0" fontId="45" fillId="0" borderId="5" xfId="15" applyFont="1" applyBorder="1" applyAlignment="1">
      <alignment horizontal="left" indent="5"/>
    </xf>
    <xf numFmtId="43" fontId="46" fillId="0" borderId="0" xfId="15" applyNumberFormat="1" applyAlignment="1">
      <alignment horizontal="left" vertical="top"/>
    </xf>
    <xf numFmtId="49" fontId="47" fillId="0" borderId="9" xfId="15" applyNumberFormat="1" applyFont="1" applyBorder="1" applyAlignment="1">
      <alignment horizontal="center"/>
    </xf>
    <xf numFmtId="0" fontId="47" fillId="0" borderId="5" xfId="15" applyFont="1" applyBorder="1"/>
    <xf numFmtId="49" fontId="47" fillId="0" borderId="5" xfId="15" applyNumberFormat="1" applyFont="1" applyBorder="1" applyAlignment="1">
      <alignment horizontal="center"/>
    </xf>
    <xf numFmtId="10" fontId="44" fillId="4" borderId="3" xfId="15" applyNumberFormat="1" applyFont="1" applyFill="1" applyBorder="1" applyAlignment="1">
      <alignment horizontal="center" vertical="center" wrapText="1"/>
    </xf>
    <xf numFmtId="0" fontId="44" fillId="4" borderId="12" xfId="15" applyFont="1" applyFill="1" applyBorder="1" applyAlignment="1">
      <alignment horizontal="center" vertical="center" wrapText="1"/>
    </xf>
    <xf numFmtId="0" fontId="44" fillId="4" borderId="8" xfId="15" applyFont="1" applyFill="1" applyBorder="1" applyAlignment="1">
      <alignment horizontal="left" vertical="center" wrapText="1"/>
    </xf>
    <xf numFmtId="0" fontId="44" fillId="4" borderId="12" xfId="15" applyFont="1" applyFill="1" applyBorder="1" applyAlignment="1">
      <alignment horizontal="left" vertical="center" wrapText="1"/>
    </xf>
    <xf numFmtId="0" fontId="44" fillId="4" borderId="6" xfId="15" applyFont="1" applyFill="1" applyBorder="1" applyAlignment="1">
      <alignment horizontal="left" vertical="center" wrapText="1"/>
    </xf>
    <xf numFmtId="10" fontId="42" fillId="0" borderId="2" xfId="15" applyNumberFormat="1" applyFont="1" applyBorder="1"/>
    <xf numFmtId="49" fontId="41" fillId="0" borderId="5" xfId="15" applyNumberFormat="1" applyFont="1" applyBorder="1" applyAlignment="1">
      <alignment horizontal="center"/>
    </xf>
    <xf numFmtId="0" fontId="41" fillId="0" borderId="5" xfId="15" applyFont="1" applyBorder="1"/>
    <xf numFmtId="0" fontId="30" fillId="0" borderId="5" xfId="15" applyFont="1" applyBorder="1" applyAlignment="1">
      <alignment horizontal="left" indent="5"/>
    </xf>
    <xf numFmtId="10" fontId="44" fillId="4" borderId="3" xfId="17" applyNumberFormat="1" applyFont="1" applyFill="1" applyBorder="1" applyAlignment="1">
      <alignment horizontal="center" vertical="center" wrapText="1"/>
    </xf>
    <xf numFmtId="0" fontId="48" fillId="0" borderId="0" xfId="15" applyFont="1" applyAlignment="1">
      <alignment horizontal="right" vertical="top"/>
    </xf>
    <xf numFmtId="0" fontId="46" fillId="0" borderId="5" xfId="15" applyBorder="1" applyAlignment="1">
      <alignment horizontal="left" vertical="top"/>
    </xf>
    <xf numFmtId="0" fontId="46" fillId="0" borderId="9" xfId="15" applyBorder="1" applyAlignment="1">
      <alignment horizontal="center" vertical="top"/>
    </xf>
    <xf numFmtId="0" fontId="41" fillId="0" borderId="5" xfId="18" applyFont="1" applyBorder="1"/>
    <xf numFmtId="0" fontId="41" fillId="0" borderId="9" xfId="18" applyFont="1" applyBorder="1" applyAlignment="1">
      <alignment horizontal="center"/>
    </xf>
    <xf numFmtId="0" fontId="45" fillId="0" borderId="5" xfId="18" applyFont="1" applyBorder="1" applyAlignment="1">
      <alignment horizontal="left" vertical="center" wrapText="1" indent="5"/>
    </xf>
    <xf numFmtId="0" fontId="43" fillId="0" borderId="8" xfId="15" applyFont="1" applyBorder="1" applyAlignment="1">
      <alignment horizontal="left" vertical="top"/>
    </xf>
    <xf numFmtId="0" fontId="46" fillId="0" borderId="0" xfId="18" applyAlignment="1">
      <alignment horizontal="left" vertical="top"/>
    </xf>
    <xf numFmtId="49" fontId="41" fillId="0" borderId="7" xfId="18" applyNumberFormat="1" applyFont="1" applyBorder="1" applyAlignment="1">
      <alignment horizontal="center"/>
    </xf>
    <xf numFmtId="49" fontId="41" fillId="0" borderId="9" xfId="18" applyNumberFormat="1" applyFont="1" applyBorder="1" applyAlignment="1">
      <alignment horizontal="center"/>
    </xf>
    <xf numFmtId="0" fontId="44" fillId="4" borderId="12" xfId="18" applyFont="1" applyFill="1" applyBorder="1" applyAlignment="1">
      <alignment horizontal="center" vertical="center" wrapText="1"/>
    </xf>
    <xf numFmtId="0" fontId="46" fillId="0" borderId="0" xfId="18" applyAlignment="1">
      <alignment vertical="top"/>
    </xf>
    <xf numFmtId="0" fontId="44" fillId="4" borderId="6" xfId="18" applyFont="1" applyFill="1" applyBorder="1" applyAlignment="1">
      <alignment horizontal="left" vertical="center" wrapText="1"/>
    </xf>
    <xf numFmtId="0" fontId="44" fillId="4" borderId="12" xfId="18" applyFont="1" applyFill="1" applyBorder="1" applyAlignment="1">
      <alignment horizontal="left" vertical="center" wrapText="1"/>
    </xf>
    <xf numFmtId="164" fontId="43" fillId="3" borderId="7" xfId="2" applyNumberFormat="1" applyFont="1" applyFill="1" applyBorder="1" applyAlignment="1">
      <alignment vertical="top" wrapText="1"/>
    </xf>
    <xf numFmtId="164" fontId="46" fillId="0" borderId="0" xfId="15" applyNumberFormat="1" applyAlignment="1">
      <alignment horizontal="left" vertical="top"/>
    </xf>
    <xf numFmtId="0" fontId="44" fillId="4" borderId="12" xfId="0" applyFont="1" applyFill="1" applyBorder="1" applyAlignment="1">
      <alignment horizontal="center" vertical="center" wrapText="1"/>
    </xf>
    <xf numFmtId="0" fontId="44" fillId="4" borderId="3" xfId="0" applyFont="1" applyFill="1" applyBorder="1" applyAlignment="1">
      <alignment horizontal="center" vertical="center" wrapText="1"/>
    </xf>
    <xf numFmtId="49" fontId="41" fillId="0" borderId="5" xfId="0" applyNumberFormat="1" applyFont="1" applyBorder="1" applyAlignment="1">
      <alignment horizontal="center"/>
    </xf>
    <xf numFmtId="49" fontId="41" fillId="0" borderId="9" xfId="0" applyNumberFormat="1" applyFont="1" applyBorder="1" applyAlignment="1">
      <alignment horizontal="center"/>
    </xf>
    <xf numFmtId="49" fontId="41" fillId="0" borderId="9" xfId="0" applyNumberFormat="1" applyFont="1" applyBorder="1" applyAlignment="1">
      <alignment horizontal="center" vertical="center"/>
    </xf>
    <xf numFmtId="49" fontId="41" fillId="0" borderId="11" xfId="0" applyNumberFormat="1" applyFont="1" applyBorder="1" applyAlignment="1">
      <alignment horizontal="center" vertical="center"/>
    </xf>
    <xf numFmtId="0" fontId="41" fillId="0" borderId="5" xfId="0" applyFont="1" applyBorder="1"/>
    <xf numFmtId="0" fontId="41" fillId="0" borderId="8" xfId="0" applyFont="1" applyBorder="1"/>
    <xf numFmtId="49" fontId="41" fillId="0" borderId="7" xfId="0" applyNumberFormat="1" applyFont="1" applyBorder="1" applyAlignment="1">
      <alignment horizont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top"/>
    </xf>
    <xf numFmtId="49" fontId="47" fillId="0" borderId="5" xfId="0" applyNumberFormat="1" applyFont="1" applyBorder="1" applyAlignment="1">
      <alignment horizontal="center"/>
    </xf>
    <xf numFmtId="49" fontId="47" fillId="0" borderId="9" xfId="0" applyNumberFormat="1" applyFont="1" applyBorder="1" applyAlignment="1">
      <alignment horizontal="center"/>
    </xf>
    <xf numFmtId="49" fontId="47" fillId="0" borderId="9" xfId="0" applyNumberFormat="1" applyFont="1" applyBorder="1" applyAlignment="1">
      <alignment horizontal="center" vertical="center"/>
    </xf>
    <xf numFmtId="0" fontId="47" fillId="0" borderId="5" xfId="0" applyFont="1" applyBorder="1"/>
    <xf numFmtId="0" fontId="42" fillId="0" borderId="2" xfId="0" applyFont="1" applyBorder="1" applyAlignment="1">
      <alignment horizontal="left"/>
    </xf>
    <xf numFmtId="164" fontId="47" fillId="0" borderId="9" xfId="2" applyNumberFormat="1" applyFont="1" applyFill="1" applyBorder="1"/>
    <xf numFmtId="0" fontId="51" fillId="0" borderId="0" xfId="19" applyAlignment="1">
      <alignment horizontal="left" vertical="top"/>
    </xf>
    <xf numFmtId="0" fontId="51" fillId="0" borderId="0" xfId="19" applyAlignment="1">
      <alignment horizontal="center" vertical="top"/>
    </xf>
    <xf numFmtId="164" fontId="48" fillId="0" borderId="0" xfId="19" applyNumberFormat="1" applyFont="1" applyAlignment="1">
      <alignment horizontal="left" vertical="top"/>
    </xf>
    <xf numFmtId="0" fontId="48" fillId="0" borderId="0" xfId="19" applyFont="1" applyAlignment="1">
      <alignment horizontal="right" vertical="top"/>
    </xf>
    <xf numFmtId="164" fontId="51" fillId="0" borderId="0" xfId="19" applyNumberFormat="1" applyAlignment="1">
      <alignment horizontal="left" vertical="top"/>
    </xf>
    <xf numFmtId="0" fontId="46" fillId="0" borderId="0" xfId="19" applyFont="1" applyAlignment="1">
      <alignment horizontal="center" vertical="top"/>
    </xf>
    <xf numFmtId="164" fontId="35" fillId="3" borderId="7" xfId="16" applyNumberFormat="1" applyFont="1" applyFill="1" applyBorder="1"/>
    <xf numFmtId="165" fontId="35" fillId="3" borderId="7" xfId="16" applyNumberFormat="1" applyFont="1" applyFill="1" applyBorder="1"/>
    <xf numFmtId="49" fontId="41" fillId="0" borderId="7" xfId="19" applyNumberFormat="1" applyFont="1" applyBorder="1" applyAlignment="1">
      <alignment horizontal="center"/>
    </xf>
    <xf numFmtId="0" fontId="47" fillId="0" borderId="8" xfId="19" applyFont="1" applyBorder="1" applyAlignment="1">
      <alignment horizontal="left" vertical="center" wrapText="1"/>
    </xf>
    <xf numFmtId="164" fontId="47" fillId="3" borderId="9" xfId="16" quotePrefix="1" applyNumberFormat="1" applyFont="1" applyFill="1" applyBorder="1" applyAlignment="1">
      <alignment vertical="center" wrapText="1"/>
    </xf>
    <xf numFmtId="165" fontId="47" fillId="3" borderId="9" xfId="16" quotePrefix="1" applyNumberFormat="1" applyFont="1" applyFill="1" applyBorder="1" applyAlignment="1">
      <alignment vertical="center" wrapText="1"/>
    </xf>
    <xf numFmtId="164" fontId="47" fillId="0" borderId="9" xfId="16" quotePrefix="1" applyNumberFormat="1" applyFont="1" applyFill="1" applyBorder="1" applyAlignment="1">
      <alignment vertical="center" wrapText="1"/>
    </xf>
    <xf numFmtId="165" fontId="47" fillId="0" borderId="9" xfId="16" quotePrefix="1" applyNumberFormat="1" applyFont="1" applyFill="1" applyBorder="1" applyAlignment="1">
      <alignment vertical="center" wrapText="1"/>
    </xf>
    <xf numFmtId="49" fontId="41" fillId="0" borderId="9" xfId="19" applyNumberFormat="1" applyFont="1" applyBorder="1" applyAlignment="1">
      <alignment horizontal="center"/>
    </xf>
    <xf numFmtId="0" fontId="29" fillId="0" borderId="5" xfId="19" applyFont="1" applyBorder="1" applyAlignment="1">
      <alignment horizontal="left" indent="5"/>
    </xf>
    <xf numFmtId="0" fontId="47" fillId="5" borderId="11" xfId="19" quotePrefix="1" applyFont="1" applyFill="1" applyBorder="1" applyAlignment="1">
      <alignment vertical="center" wrapText="1"/>
    </xf>
    <xf numFmtId="0" fontId="47" fillId="5" borderId="9" xfId="19" quotePrefix="1" applyFont="1" applyFill="1" applyBorder="1" applyAlignment="1">
      <alignment vertical="center" wrapText="1"/>
    </xf>
    <xf numFmtId="0" fontId="47" fillId="0" borderId="9" xfId="19" quotePrefix="1" applyFont="1" applyBorder="1" applyAlignment="1">
      <alignment horizontal="center" vertical="center" wrapText="1"/>
    </xf>
    <xf numFmtId="0" fontId="41" fillId="0" borderId="5" xfId="19" applyFont="1" applyBorder="1" applyAlignment="1">
      <alignment horizontal="left" vertical="center" wrapText="1" indent="1"/>
    </xf>
    <xf numFmtId="0" fontId="41" fillId="0" borderId="5" xfId="19" applyFont="1" applyBorder="1"/>
    <xf numFmtId="49" fontId="41" fillId="0" borderId="11" xfId="19" applyNumberFormat="1" applyFont="1" applyBorder="1" applyAlignment="1">
      <alignment horizontal="center" vertical="center"/>
    </xf>
    <xf numFmtId="49" fontId="41" fillId="0" borderId="9" xfId="19" applyNumberFormat="1" applyFont="1" applyBorder="1" applyAlignment="1">
      <alignment horizontal="center" vertical="center"/>
    </xf>
    <xf numFmtId="49" fontId="41" fillId="6" borderId="9" xfId="19" applyNumberFormat="1" applyFont="1" applyFill="1" applyBorder="1" applyAlignment="1">
      <alignment horizontal="center"/>
    </xf>
    <xf numFmtId="49" fontId="41" fillId="6" borderId="5" xfId="19" applyNumberFormat="1" applyFont="1" applyFill="1" applyBorder="1"/>
    <xf numFmtId="0" fontId="44" fillId="4" borderId="11" xfId="19" applyFont="1" applyFill="1" applyBorder="1" applyAlignment="1">
      <alignment horizontal="center" vertical="center" wrapText="1"/>
    </xf>
    <xf numFmtId="0" fontId="44" fillId="4" borderId="9" xfId="19" applyFont="1" applyFill="1" applyBorder="1" applyAlignment="1">
      <alignment horizontal="center" vertical="center" wrapText="1"/>
    </xf>
    <xf numFmtId="10" fontId="42" fillId="0" borderId="0" xfId="20" applyNumberFormat="1" applyFont="1"/>
    <xf numFmtId="0" fontId="51" fillId="0" borderId="0" xfId="19" applyAlignment="1">
      <alignment vertical="top"/>
    </xf>
    <xf numFmtId="0" fontId="44" fillId="4" borderId="25" xfId="19" applyFont="1" applyFill="1" applyBorder="1" applyAlignment="1">
      <alignment horizontal="left" vertical="center" wrapText="1"/>
    </xf>
    <xf numFmtId="0" fontId="44" fillId="4" borderId="26" xfId="19" applyFont="1" applyFill="1" applyBorder="1" applyAlignment="1">
      <alignment horizontal="left" vertical="center" wrapText="1"/>
    </xf>
    <xf numFmtId="0" fontId="47" fillId="0" borderId="5" xfId="19" applyFont="1" applyBorder="1" applyAlignment="1">
      <alignment horizontal="left" vertical="center" wrapText="1" indent="1"/>
    </xf>
    <xf numFmtId="0" fontId="52" fillId="4" borderId="12" xfId="19" applyFont="1" applyFill="1" applyBorder="1" applyAlignment="1">
      <alignment horizontal="left" vertical="center" wrapText="1"/>
    </xf>
    <xf numFmtId="0" fontId="52" fillId="4" borderId="6" xfId="19" applyFont="1" applyFill="1" applyBorder="1" applyAlignment="1">
      <alignment horizontal="left" vertical="center" wrapText="1"/>
    </xf>
    <xf numFmtId="0" fontId="52" fillId="4" borderId="22" xfId="19" applyFont="1" applyFill="1" applyBorder="1" applyAlignment="1">
      <alignment horizontal="center" vertical="center" wrapText="1"/>
    </xf>
    <xf numFmtId="0" fontId="52" fillId="4" borderId="30" xfId="19" applyFont="1" applyFill="1" applyBorder="1" applyAlignment="1">
      <alignment horizontal="center" vertical="center" wrapText="1"/>
    </xf>
    <xf numFmtId="0" fontId="52" fillId="4" borderId="21" xfId="19" applyFont="1" applyFill="1" applyBorder="1" applyAlignment="1">
      <alignment horizontal="center" vertical="center" wrapText="1"/>
    </xf>
    <xf numFmtId="0" fontId="52" fillId="4" borderId="31" xfId="19" applyFont="1" applyFill="1" applyBorder="1" applyAlignment="1">
      <alignment horizontal="center" vertical="center" wrapText="1"/>
    </xf>
    <xf numFmtId="0" fontId="50" fillId="0" borderId="0" xfId="21" applyFont="1" applyAlignment="1">
      <alignment wrapText="1"/>
    </xf>
    <xf numFmtId="0" fontId="52" fillId="0" borderId="32" xfId="19" applyFont="1" applyBorder="1" applyAlignment="1">
      <alignment horizontal="center" vertical="center" wrapText="1"/>
    </xf>
    <xf numFmtId="0" fontId="52" fillId="0" borderId="33" xfId="19" applyFont="1" applyBorder="1" applyAlignment="1">
      <alignment horizontal="center" vertical="center" wrapText="1"/>
    </xf>
    <xf numFmtId="0" fontId="53" fillId="0" borderId="5" xfId="21" applyFont="1" applyBorder="1" applyAlignment="1">
      <alignment horizontal="left" vertical="center" wrapText="1"/>
    </xf>
    <xf numFmtId="0" fontId="54" fillId="0" borderId="34" xfId="21" applyFont="1" applyBorder="1" applyAlignment="1">
      <alignment horizontal="left" vertical="center" wrapText="1"/>
    </xf>
    <xf numFmtId="0" fontId="55" fillId="5" borderId="9" xfId="21" applyFont="1" applyFill="1" applyBorder="1" applyAlignment="1">
      <alignment horizontal="center" vertical="center"/>
    </xf>
    <xf numFmtId="0" fontId="54" fillId="5" borderId="9" xfId="21" applyFont="1" applyFill="1" applyBorder="1" applyAlignment="1">
      <alignment horizontal="left" vertical="center" wrapText="1"/>
    </xf>
    <xf numFmtId="0" fontId="56" fillId="5" borderId="9" xfId="21" applyFont="1" applyFill="1" applyBorder="1" applyAlignment="1">
      <alignment horizontal="center" vertical="center"/>
    </xf>
    <xf numFmtId="0" fontId="56" fillId="5" borderId="11" xfId="21" applyFont="1" applyFill="1" applyBorder="1" applyAlignment="1">
      <alignment horizontal="center" vertical="center"/>
    </xf>
    <xf numFmtId="0" fontId="57" fillId="0" borderId="5" xfId="21" applyFont="1" applyBorder="1" applyAlignment="1">
      <alignment horizontal="left" vertical="center" wrapText="1" indent="3"/>
    </xf>
    <xf numFmtId="0" fontId="58" fillId="0" borderId="5" xfId="21" applyFont="1" applyBorder="1" applyAlignment="1">
      <alignment horizontal="left" vertical="center" wrapText="1" indent="3"/>
    </xf>
    <xf numFmtId="0" fontId="59" fillId="6" borderId="5" xfId="19" applyFont="1" applyFill="1" applyBorder="1" applyAlignment="1">
      <alignment horizontal="left" vertical="center" wrapText="1" indent="3"/>
    </xf>
    <xf numFmtId="0" fontId="54" fillId="0" borderId="5" xfId="21" applyFont="1" applyBorder="1" applyAlignment="1">
      <alignment horizontal="left" vertical="center" wrapText="1"/>
    </xf>
    <xf numFmtId="0" fontId="60" fillId="0" borderId="6" xfId="19" applyFont="1" applyBorder="1" applyAlignment="1">
      <alignment horizontal="left" indent="3"/>
    </xf>
    <xf numFmtId="0" fontId="60" fillId="0" borderId="8" xfId="19" applyFont="1" applyBorder="1" applyAlignment="1">
      <alignment horizontal="left" indent="3"/>
    </xf>
    <xf numFmtId="0" fontId="61" fillId="0" borderId="37" xfId="19" applyFont="1" applyBorder="1" applyAlignment="1">
      <alignment horizontal="left" vertical="center" wrapText="1"/>
    </xf>
    <xf numFmtId="49" fontId="41" fillId="0" borderId="38" xfId="19" applyNumberFormat="1" applyFont="1" applyBorder="1" applyAlignment="1">
      <alignment horizontal="center"/>
    </xf>
    <xf numFmtId="0" fontId="29" fillId="0" borderId="0" xfId="21" applyAlignment="1">
      <alignment horizontal="center" vertical="center"/>
    </xf>
    <xf numFmtId="0" fontId="46" fillId="0" borderId="0" xfId="21" applyFont="1" applyAlignment="1">
      <alignment horizontal="center" vertical="center"/>
    </xf>
    <xf numFmtId="0" fontId="29" fillId="0" borderId="0" xfId="21"/>
    <xf numFmtId="49" fontId="60" fillId="0" borderId="0" xfId="19" applyNumberFormat="1" applyFont="1" applyAlignment="1">
      <alignment horizontal="center" vertical="center" shrinkToFit="1"/>
    </xf>
    <xf numFmtId="0" fontId="50" fillId="0" borderId="0" xfId="21" applyFont="1"/>
    <xf numFmtId="0" fontId="53" fillId="0" borderId="34" xfId="21" applyFont="1" applyBorder="1" applyAlignment="1">
      <alignment horizontal="left" vertical="center" wrapText="1"/>
    </xf>
    <xf numFmtId="0" fontId="53" fillId="5" borderId="9" xfId="21" applyFont="1" applyFill="1" applyBorder="1" applyAlignment="1">
      <alignment horizontal="left" vertical="center" wrapText="1"/>
    </xf>
    <xf numFmtId="0" fontId="60" fillId="0" borderId="5" xfId="21" applyFont="1" applyBorder="1" applyAlignment="1">
      <alignment horizontal="left" vertical="center" wrapText="1" indent="3"/>
    </xf>
    <xf numFmtId="0" fontId="60" fillId="0" borderId="5" xfId="19" applyFont="1" applyBorder="1" applyAlignment="1">
      <alignment horizontal="left" indent="3"/>
    </xf>
    <xf numFmtId="0" fontId="35" fillId="0" borderId="0" xfId="19" applyFont="1" applyAlignment="1">
      <alignment horizontal="left" vertical="top"/>
    </xf>
    <xf numFmtId="0" fontId="52" fillId="0" borderId="5" xfId="19" applyFont="1" applyBorder="1" applyAlignment="1">
      <alignment horizontal="center" vertical="center" wrapText="1"/>
    </xf>
    <xf numFmtId="0" fontId="52" fillId="0" borderId="34" xfId="19" applyFont="1" applyBorder="1" applyAlignment="1">
      <alignment horizontal="center" vertical="center" wrapText="1"/>
    </xf>
    <xf numFmtId="49" fontId="47" fillId="0" borderId="9" xfId="19" applyNumberFormat="1" applyFont="1" applyBorder="1" applyAlignment="1">
      <alignment horizontal="center" vertical="center"/>
    </xf>
    <xf numFmtId="0" fontId="60" fillId="6" borderId="5" xfId="19" applyFont="1" applyFill="1" applyBorder="1" applyAlignment="1">
      <alignment horizontal="left" vertical="center" wrapText="1" indent="3"/>
    </xf>
    <xf numFmtId="0" fontId="61" fillId="0" borderId="39" xfId="19" applyFont="1" applyBorder="1" applyAlignment="1">
      <alignment horizontal="left" vertical="center" wrapText="1"/>
    </xf>
    <xf numFmtId="0" fontId="41" fillId="0" borderId="0" xfId="21" applyFont="1" applyAlignment="1">
      <alignment horizontal="center" vertical="center"/>
    </xf>
    <xf numFmtId="0" fontId="53" fillId="0" borderId="32" xfId="21" applyFont="1" applyBorder="1" applyAlignment="1">
      <alignment horizontal="left" vertical="center" wrapText="1"/>
    </xf>
    <xf numFmtId="0" fontId="53" fillId="0" borderId="33" xfId="21" applyFont="1" applyBorder="1" applyAlignment="1">
      <alignment horizontal="center" vertical="center" wrapText="1"/>
    </xf>
    <xf numFmtId="0" fontId="53" fillId="5" borderId="33" xfId="21" applyFont="1" applyFill="1" applyBorder="1" applyAlignment="1">
      <alignment horizontal="left" vertical="center" wrapText="1"/>
    </xf>
    <xf numFmtId="0" fontId="56" fillId="5" borderId="41" xfId="21" applyFont="1" applyFill="1" applyBorder="1" applyAlignment="1">
      <alignment horizontal="center" vertical="center"/>
    </xf>
    <xf numFmtId="0" fontId="56" fillId="5" borderId="42" xfId="21" applyFont="1" applyFill="1" applyBorder="1" applyAlignment="1">
      <alignment horizontal="center" vertical="center"/>
    </xf>
    <xf numFmtId="0" fontId="56" fillId="5" borderId="43" xfId="21" applyFont="1" applyFill="1" applyBorder="1" applyAlignment="1">
      <alignment horizontal="center" vertical="center"/>
    </xf>
    <xf numFmtId="0" fontId="61" fillId="0" borderId="0" xfId="19" applyFont="1" applyAlignment="1">
      <alignment horizontal="left" vertical="center" wrapText="1"/>
    </xf>
    <xf numFmtId="0" fontId="61" fillId="0" borderId="0" xfId="19" applyFont="1" applyAlignment="1">
      <alignment horizontal="center" vertical="center" wrapText="1"/>
    </xf>
    <xf numFmtId="0" fontId="60" fillId="0" borderId="0" xfId="21" applyFont="1" applyAlignment="1">
      <alignment horizontal="center" vertical="center"/>
    </xf>
    <xf numFmtId="0" fontId="55" fillId="0" borderId="0" xfId="21" applyFont="1" applyAlignment="1">
      <alignment horizontal="center" vertical="center"/>
    </xf>
    <xf numFmtId="0" fontId="28" fillId="0" borderId="0" xfId="22"/>
    <xf numFmtId="0" fontId="46" fillId="0" borderId="0" xfId="22" applyFont="1" applyAlignment="1">
      <alignment horizontal="center" vertical="center"/>
    </xf>
    <xf numFmtId="0" fontId="28" fillId="0" borderId="0" xfId="22" applyAlignment="1">
      <alignment horizontal="center" vertical="center"/>
    </xf>
    <xf numFmtId="0" fontId="41" fillId="0" borderId="0" xfId="22" applyFont="1" applyAlignment="1">
      <alignment horizontal="center" vertical="center"/>
    </xf>
    <xf numFmtId="49" fontId="41" fillId="0" borderId="38" xfId="18" applyNumberFormat="1" applyFont="1" applyBorder="1" applyAlignment="1">
      <alignment horizontal="center"/>
    </xf>
    <xf numFmtId="0" fontId="61" fillId="0" borderId="39" xfId="18" applyFont="1" applyBorder="1" applyAlignment="1">
      <alignment horizontal="left" vertical="center" wrapText="1"/>
    </xf>
    <xf numFmtId="0" fontId="60" fillId="0" borderId="6" xfId="18" applyFont="1" applyBorder="1" applyAlignment="1">
      <alignment horizontal="left" indent="3"/>
    </xf>
    <xf numFmtId="0" fontId="54" fillId="0" borderId="5" xfId="22" applyFont="1" applyBorder="1" applyAlignment="1">
      <alignment horizontal="left" vertical="center" wrapText="1"/>
    </xf>
    <xf numFmtId="0" fontId="50" fillId="0" borderId="0" xfId="22" applyFont="1" applyAlignment="1">
      <alignment wrapText="1"/>
    </xf>
    <xf numFmtId="0" fontId="60" fillId="0" borderId="5" xfId="22" applyFont="1" applyBorder="1" applyAlignment="1">
      <alignment horizontal="left" vertical="center" wrapText="1" indent="3"/>
    </xf>
    <xf numFmtId="0" fontId="56" fillId="5" borderId="44" xfId="22" applyFont="1" applyFill="1" applyBorder="1" applyAlignment="1">
      <alignment horizontal="center" vertical="center"/>
    </xf>
    <xf numFmtId="0" fontId="56" fillId="5" borderId="45" xfId="22" applyFont="1" applyFill="1" applyBorder="1" applyAlignment="1">
      <alignment horizontal="center" vertical="center"/>
    </xf>
    <xf numFmtId="0" fontId="56" fillId="5" borderId="15" xfId="22" applyFont="1" applyFill="1" applyBorder="1" applyAlignment="1">
      <alignment horizontal="center" vertical="center"/>
    </xf>
    <xf numFmtId="0" fontId="53" fillId="5" borderId="46" xfId="22" applyFont="1" applyFill="1" applyBorder="1" applyAlignment="1">
      <alignment horizontal="left" vertical="center" wrapText="1"/>
    </xf>
    <xf numFmtId="0" fontId="53" fillId="0" borderId="46" xfId="22" applyFont="1" applyBorder="1" applyAlignment="1">
      <alignment horizontal="center" vertical="center" wrapText="1"/>
    </xf>
    <xf numFmtId="0" fontId="53" fillId="0" borderId="16" xfId="22" applyFont="1" applyBorder="1" applyAlignment="1">
      <alignment horizontal="left" vertical="center" wrapText="1"/>
    </xf>
    <xf numFmtId="0" fontId="52" fillId="0" borderId="34" xfId="18" applyFont="1" applyBorder="1" applyAlignment="1">
      <alignment horizontal="center" vertical="center" wrapText="1"/>
    </xf>
    <xf numFmtId="0" fontId="52" fillId="0" borderId="5" xfId="18" applyFont="1" applyBorder="1" applyAlignment="1">
      <alignment horizontal="center" vertical="center" wrapText="1"/>
    </xf>
    <xf numFmtId="0" fontId="50" fillId="0" borderId="0" xfId="22" applyFont="1"/>
    <xf numFmtId="0" fontId="52" fillId="4" borderId="30" xfId="18" applyFont="1" applyFill="1" applyBorder="1" applyAlignment="1">
      <alignment horizontal="center" vertical="center" wrapText="1"/>
    </xf>
    <xf numFmtId="0" fontId="52" fillId="4" borderId="22" xfId="18" applyFont="1" applyFill="1" applyBorder="1" applyAlignment="1">
      <alignment horizontal="center" vertical="center" wrapText="1"/>
    </xf>
    <xf numFmtId="0" fontId="52" fillId="4" borderId="6" xfId="18" applyFont="1" applyFill="1" applyBorder="1" applyAlignment="1">
      <alignment horizontal="left" vertical="center" wrapText="1"/>
    </xf>
    <xf numFmtId="0" fontId="52" fillId="4" borderId="12" xfId="18" applyFont="1" applyFill="1" applyBorder="1" applyAlignment="1">
      <alignment horizontal="left" vertical="center" wrapText="1"/>
    </xf>
    <xf numFmtId="10" fontId="52" fillId="4" borderId="30" xfId="3" applyNumberFormat="1" applyFont="1" applyFill="1" applyBorder="1" applyAlignment="1">
      <alignment horizontal="center" vertical="center" wrapText="1"/>
    </xf>
    <xf numFmtId="165" fontId="54" fillId="5" borderId="9" xfId="2" applyNumberFormat="1" applyFont="1" applyFill="1" applyBorder="1" applyAlignment="1">
      <alignment horizontal="left" vertical="center" wrapText="1"/>
    </xf>
    <xf numFmtId="165" fontId="60" fillId="0" borderId="9" xfId="2" applyNumberFormat="1" applyFont="1" applyBorder="1" applyAlignment="1">
      <alignment horizontal="center" vertical="center"/>
    </xf>
    <xf numFmtId="165" fontId="60" fillId="3" borderId="40" xfId="2" applyNumberFormat="1" applyFont="1" applyFill="1" applyBorder="1" applyAlignment="1">
      <alignment horizontal="center" vertical="center"/>
    </xf>
    <xf numFmtId="164" fontId="60" fillId="3" borderId="40" xfId="2" applyNumberFormat="1" applyFont="1" applyFill="1" applyBorder="1" applyAlignment="1">
      <alignment horizontal="center" vertical="center"/>
    </xf>
    <xf numFmtId="164" fontId="55" fillId="5" borderId="11" xfId="2" applyNumberFormat="1" applyFont="1" applyFill="1" applyBorder="1" applyAlignment="1">
      <alignment horizontal="center" vertical="center"/>
    </xf>
    <xf numFmtId="0" fontId="51" fillId="0" borderId="0" xfId="19"/>
    <xf numFmtId="4" fontId="51" fillId="0" borderId="0" xfId="19" applyNumberFormat="1"/>
    <xf numFmtId="43" fontId="51" fillId="0" borderId="0" xfId="19" applyNumberFormat="1"/>
    <xf numFmtId="164" fontId="59" fillId="3" borderId="11" xfId="2" applyNumberFormat="1" applyFont="1" applyFill="1" applyBorder="1" applyAlignment="1">
      <alignment horizontal="center" vertical="center"/>
    </xf>
    <xf numFmtId="164" fontId="60" fillId="0" borderId="9" xfId="2" applyNumberFormat="1" applyFont="1" applyBorder="1" applyAlignment="1">
      <alignment horizontal="center" vertical="center" wrapText="1"/>
    </xf>
    <xf numFmtId="164" fontId="60" fillId="5" borderId="10" xfId="2" applyNumberFormat="1" applyFont="1" applyFill="1" applyBorder="1" applyAlignment="1">
      <alignment horizontal="center" vertical="center" wrapText="1"/>
    </xf>
    <xf numFmtId="164" fontId="56" fillId="5" borderId="10" xfId="2" applyNumberFormat="1" applyFont="1" applyFill="1" applyBorder="1" applyAlignment="1">
      <alignment horizontal="center" vertical="center"/>
    </xf>
    <xf numFmtId="164" fontId="59" fillId="5" borderId="14" xfId="2" applyNumberFormat="1" applyFont="1" applyFill="1" applyBorder="1" applyAlignment="1">
      <alignment horizontal="center" vertical="center"/>
    </xf>
    <xf numFmtId="164" fontId="60" fillId="0" borderId="10" xfId="2" applyNumberFormat="1" applyFont="1" applyBorder="1" applyAlignment="1">
      <alignment horizontal="center" vertical="center" wrapText="1"/>
    </xf>
    <xf numFmtId="164" fontId="56" fillId="0" borderId="10" xfId="2" applyNumberFormat="1" applyFont="1" applyBorder="1" applyAlignment="1">
      <alignment horizontal="center" vertical="center"/>
    </xf>
    <xf numFmtId="164" fontId="60" fillId="3" borderId="38" xfId="2" applyNumberFormat="1" applyFont="1" applyFill="1" applyBorder="1" applyAlignment="1">
      <alignment horizontal="center" vertical="center"/>
    </xf>
    <xf numFmtId="164" fontId="26" fillId="3" borderId="38" xfId="2" applyNumberFormat="1" applyFont="1" applyFill="1" applyBorder="1" applyAlignment="1">
      <alignment horizontal="center" vertical="center"/>
    </xf>
    <xf numFmtId="164" fontId="60" fillId="6" borderId="9" xfId="2" applyNumberFormat="1" applyFont="1" applyFill="1" applyBorder="1" applyAlignment="1">
      <alignment horizontal="left" vertical="center" wrapText="1" indent="3"/>
    </xf>
    <xf numFmtId="164" fontId="54" fillId="5" borderId="9" xfId="2" applyNumberFormat="1" applyFont="1" applyFill="1" applyBorder="1" applyAlignment="1">
      <alignment horizontal="left" vertical="center" wrapText="1"/>
    </xf>
    <xf numFmtId="164" fontId="60" fillId="0" borderId="9" xfId="2" applyNumberFormat="1" applyFont="1" applyBorder="1" applyAlignment="1">
      <alignment horizontal="center" vertical="center"/>
    </xf>
    <xf numFmtId="164" fontId="55" fillId="5" borderId="9" xfId="2" applyNumberFormat="1" applyFont="1" applyFill="1" applyBorder="1" applyAlignment="1">
      <alignment horizontal="center" vertical="center"/>
    </xf>
    <xf numFmtId="164" fontId="55" fillId="5" borderId="35" xfId="2" applyNumberFormat="1" applyFont="1" applyFill="1" applyBorder="1" applyAlignment="1">
      <alignment horizontal="center" vertical="center"/>
    </xf>
    <xf numFmtId="164" fontId="60" fillId="3" borderId="11" xfId="2" applyNumberFormat="1" applyFont="1" applyFill="1" applyBorder="1" applyAlignment="1">
      <alignment horizontal="center" vertical="center" wrapText="1"/>
    </xf>
    <xf numFmtId="164" fontId="60" fillId="3" borderId="11" xfId="2" applyNumberFormat="1" applyFont="1" applyFill="1" applyBorder="1" applyAlignment="1">
      <alignment horizontal="left" vertical="center" wrapText="1"/>
    </xf>
    <xf numFmtId="165" fontId="60" fillId="0" borderId="9" xfId="2" applyNumberFormat="1" applyFont="1" applyBorder="1" applyAlignment="1">
      <alignment horizontal="left" vertical="center" wrapText="1"/>
    </xf>
    <xf numFmtId="164" fontId="60" fillId="0" borderId="9" xfId="2" applyNumberFormat="1" applyFont="1" applyBorder="1" applyAlignment="1">
      <alignment horizontal="left" vertical="center" wrapText="1"/>
    </xf>
    <xf numFmtId="49" fontId="67" fillId="0" borderId="0" xfId="1" applyNumberFormat="1" applyFont="1"/>
    <xf numFmtId="0" fontId="35" fillId="0" borderId="0" xfId="1"/>
    <xf numFmtId="43" fontId="0" fillId="0" borderId="0" xfId="16" applyFont="1"/>
    <xf numFmtId="43" fontId="68" fillId="0" borderId="0" xfId="16" applyFont="1"/>
    <xf numFmtId="0" fontId="67" fillId="0" borderId="0" xfId="1" applyFont="1"/>
    <xf numFmtId="0" fontId="68" fillId="0" borderId="0" xfId="1" applyFont="1"/>
    <xf numFmtId="0" fontId="69" fillId="0" borderId="0" xfId="0" applyFont="1"/>
    <xf numFmtId="0" fontId="32" fillId="0" borderId="0" xfId="0" applyFont="1" applyAlignment="1">
      <alignment horizontal="left" indent="1"/>
    </xf>
    <xf numFmtId="0" fontId="0" fillId="0" borderId="0" xfId="0"/>
    <xf numFmtId="9" fontId="0" fillId="0" borderId="0" xfId="17" applyFont="1"/>
    <xf numFmtId="164" fontId="51" fillId="0" borderId="0" xfId="19" applyNumberFormat="1"/>
    <xf numFmtId="0" fontId="51" fillId="0" borderId="47" xfId="19" applyBorder="1"/>
    <xf numFmtId="0" fontId="51" fillId="0" borderId="48" xfId="19" applyBorder="1"/>
    <xf numFmtId="0" fontId="63" fillId="0" borderId="48" xfId="19" applyFont="1" applyBorder="1"/>
    <xf numFmtId="0" fontId="51" fillId="0" borderId="49" xfId="19" applyBorder="1"/>
    <xf numFmtId="0" fontId="51" fillId="0" borderId="50" xfId="19" applyBorder="1"/>
    <xf numFmtId="0" fontId="51" fillId="0" borderId="51" xfId="19" applyBorder="1"/>
    <xf numFmtId="43" fontId="0" fillId="0" borderId="0" xfId="16" applyFont="1" applyBorder="1"/>
    <xf numFmtId="9" fontId="0" fillId="0" borderId="0" xfId="17" applyFont="1" applyBorder="1"/>
    <xf numFmtId="0" fontId="64" fillId="0" borderId="0" xfId="19" applyFont="1"/>
    <xf numFmtId="0" fontId="64" fillId="0" borderId="0" xfId="19" applyFont="1" applyAlignment="1">
      <alignment horizontal="center"/>
    </xf>
    <xf numFmtId="0" fontId="41" fillId="0" borderId="0" xfId="19" applyFont="1"/>
    <xf numFmtId="164" fontId="51" fillId="7" borderId="0" xfId="19" applyNumberFormat="1" applyFill="1"/>
    <xf numFmtId="164" fontId="0" fillId="0" borderId="0" xfId="16" applyNumberFormat="1" applyFont="1" applyBorder="1"/>
    <xf numFmtId="9" fontId="0" fillId="0" borderId="51" xfId="17" applyFont="1" applyBorder="1"/>
    <xf numFmtId="0" fontId="65" fillId="0" borderId="0" xfId="19" applyFont="1"/>
    <xf numFmtId="43" fontId="0" fillId="0" borderId="50" xfId="16" applyFont="1" applyBorder="1" applyAlignment="1">
      <alignment horizontal="right"/>
    </xf>
    <xf numFmtId="43" fontId="66" fillId="0" borderId="50" xfId="16" applyFont="1" applyBorder="1"/>
    <xf numFmtId="43" fontId="66" fillId="0" borderId="0" xfId="19" applyNumberFormat="1" applyFont="1"/>
    <xf numFmtId="43" fontId="0" fillId="0" borderId="52" xfId="16" applyFont="1" applyBorder="1"/>
    <xf numFmtId="164" fontId="51" fillId="0" borderId="1" xfId="19" applyNumberFormat="1" applyBorder="1"/>
    <xf numFmtId="9" fontId="0" fillId="0" borderId="53" xfId="17" applyFont="1" applyBorder="1"/>
    <xf numFmtId="0" fontId="51" fillId="0" borderId="52" xfId="19" applyBorder="1"/>
    <xf numFmtId="0" fontId="51" fillId="0" borderId="1" xfId="19" applyBorder="1"/>
    <xf numFmtId="0" fontId="51" fillId="0" borderId="53" xfId="19" applyBorder="1"/>
    <xf numFmtId="0" fontId="64" fillId="0" borderId="47" xfId="19" applyFont="1" applyBorder="1"/>
    <xf numFmtId="0" fontId="51" fillId="0" borderId="0" xfId="19" applyAlignment="1">
      <alignment horizontal="right"/>
    </xf>
    <xf numFmtId="10" fontId="0" fillId="0" borderId="0" xfId="17" applyNumberFormat="1" applyFont="1" applyBorder="1"/>
    <xf numFmtId="0" fontId="66" fillId="0" borderId="0" xfId="19" applyFont="1"/>
    <xf numFmtId="164" fontId="66" fillId="0" borderId="0" xfId="19" applyNumberFormat="1" applyFont="1"/>
    <xf numFmtId="43" fontId="0" fillId="0" borderId="0" xfId="17" applyNumberFormat="1" applyFont="1"/>
    <xf numFmtId="9" fontId="49" fillId="0" borderId="0" xfId="17" applyFont="1" applyBorder="1"/>
    <xf numFmtId="0" fontId="41" fillId="0" borderId="51" xfId="19" applyFont="1" applyBorder="1"/>
    <xf numFmtId="164" fontId="51" fillId="0" borderId="51" xfId="19" applyNumberFormat="1" applyBorder="1"/>
    <xf numFmtId="164" fontId="0" fillId="0" borderId="1" xfId="16" applyNumberFormat="1" applyFont="1" applyBorder="1"/>
    <xf numFmtId="164" fontId="51" fillId="0" borderId="53" xfId="19" applyNumberFormat="1" applyBorder="1"/>
    <xf numFmtId="10" fontId="51" fillId="0" borderId="0" xfId="19" applyNumberFormat="1"/>
    <xf numFmtId="49" fontId="67" fillId="0" borderId="0" xfId="0" applyNumberFormat="1" applyFont="1"/>
    <xf numFmtId="43" fontId="0" fillId="0" borderId="0" xfId="2" applyFont="1"/>
    <xf numFmtId="43" fontId="41" fillId="0" borderId="0" xfId="2" applyFont="1"/>
    <xf numFmtId="166" fontId="73" fillId="6" borderId="11" xfId="18" quotePrefix="1" applyNumberFormat="1" applyFont="1" applyFill="1" applyBorder="1" applyAlignment="1">
      <alignment horizontal="center" vertical="top" shrinkToFit="1"/>
    </xf>
    <xf numFmtId="0" fontId="72" fillId="5" borderId="11" xfId="27" applyFont="1" applyFill="1" applyBorder="1" applyAlignment="1">
      <alignment horizontal="left" vertical="center"/>
    </xf>
    <xf numFmtId="43" fontId="71" fillId="0" borderId="11" xfId="28" applyFont="1" applyFill="1" applyBorder="1" applyAlignment="1">
      <alignment horizontal="left" vertical="top"/>
    </xf>
    <xf numFmtId="43" fontId="72" fillId="3" borderId="11" xfId="28" applyFont="1" applyFill="1" applyBorder="1" applyAlignment="1">
      <alignment horizontal="left" vertical="center"/>
    </xf>
    <xf numFmtId="43" fontId="72" fillId="5" borderId="11" xfId="28" applyFont="1" applyFill="1" applyBorder="1" applyAlignment="1">
      <alignment horizontal="left" vertical="center"/>
    </xf>
    <xf numFmtId="43" fontId="72" fillId="3" borderId="13" xfId="28" applyFont="1" applyFill="1" applyBorder="1" applyAlignment="1">
      <alignment horizontal="left" vertical="center"/>
    </xf>
    <xf numFmtId="166" fontId="78" fillId="6" borderId="11" xfId="18" quotePrefix="1" applyNumberFormat="1" applyFont="1" applyFill="1" applyBorder="1" applyAlignment="1">
      <alignment horizontal="center" vertical="top" shrinkToFit="1"/>
    </xf>
    <xf numFmtId="43" fontId="53" fillId="5" borderId="11" xfId="28" applyFont="1" applyFill="1" applyBorder="1" applyAlignment="1">
      <alignment horizontal="left" vertical="center"/>
    </xf>
    <xf numFmtId="164" fontId="55" fillId="0" borderId="11" xfId="28" applyNumberFormat="1" applyFont="1" applyFill="1" applyBorder="1" applyAlignment="1">
      <alignment horizontal="left" vertical="top"/>
    </xf>
    <xf numFmtId="164" fontId="53" fillId="3" borderId="11" xfId="28" applyNumberFormat="1" applyFont="1" applyFill="1" applyBorder="1" applyAlignment="1">
      <alignment horizontal="left" vertical="center"/>
    </xf>
    <xf numFmtId="164" fontId="53" fillId="5" borderId="11" xfId="28" applyNumberFormat="1" applyFont="1" applyFill="1" applyBorder="1" applyAlignment="1">
      <alignment horizontal="left" vertical="center"/>
    </xf>
    <xf numFmtId="43" fontId="55" fillId="0" borderId="11" xfId="28" applyFont="1" applyFill="1" applyBorder="1" applyAlignment="1">
      <alignment horizontal="left" vertical="top"/>
    </xf>
    <xf numFmtId="164" fontId="53" fillId="3" borderId="13" xfId="28" applyNumberFormat="1" applyFont="1" applyFill="1" applyBorder="1" applyAlignment="1">
      <alignment horizontal="left" vertical="center"/>
    </xf>
    <xf numFmtId="0" fontId="72" fillId="5" borderId="11" xfId="27" applyFont="1" applyFill="1" applyBorder="1" applyAlignment="1">
      <alignment horizontal="left" vertical="center" wrapText="1"/>
    </xf>
    <xf numFmtId="164" fontId="71" fillId="0" borderId="0" xfId="2" applyNumberFormat="1" applyFont="1" applyFill="1" applyBorder="1" applyAlignment="1">
      <alignment horizontal="left" vertical="top"/>
    </xf>
    <xf numFmtId="164" fontId="71" fillId="0" borderId="11" xfId="28" applyNumberFormat="1" applyFont="1" applyFill="1" applyBorder="1" applyAlignment="1">
      <alignment horizontal="left" vertical="top"/>
    </xf>
    <xf numFmtId="164" fontId="72" fillId="5" borderId="11" xfId="28" applyNumberFormat="1" applyFont="1" applyFill="1" applyBorder="1" applyAlignment="1">
      <alignment horizontal="left" vertical="center" wrapText="1"/>
    </xf>
    <xf numFmtId="43" fontId="71" fillId="0" borderId="0" xfId="28" applyFont="1" applyFill="1" applyBorder="1" applyAlignment="1">
      <alignment horizontal="left" vertical="top"/>
    </xf>
    <xf numFmtId="0" fontId="42" fillId="0" borderId="0" xfId="0" applyFont="1" applyAlignment="1">
      <alignment horizontal="left"/>
    </xf>
    <xf numFmtId="43" fontId="25" fillId="0" borderId="0" xfId="2" applyFont="1"/>
    <xf numFmtId="0" fontId="81" fillId="0" borderId="0" xfId="0" applyFont="1"/>
    <xf numFmtId="43" fontId="66" fillId="0" borderId="0" xfId="2" applyFont="1"/>
    <xf numFmtId="43" fontId="25" fillId="0" borderId="0" xfId="2" applyFont="1" applyFill="1"/>
    <xf numFmtId="0" fontId="32" fillId="0" borderId="0" xfId="0" applyFont="1" applyAlignment="1">
      <alignment wrapText="1"/>
    </xf>
    <xf numFmtId="0" fontId="24" fillId="0" borderId="5" xfId="0" applyFont="1" applyBorder="1" applyAlignment="1">
      <alignment horizontal="left" indent="5"/>
    </xf>
    <xf numFmtId="0" fontId="24" fillId="0" borderId="5" xfId="19" applyFont="1" applyBorder="1" applyAlignment="1">
      <alignment horizontal="left" indent="5"/>
    </xf>
    <xf numFmtId="164" fontId="24" fillId="3" borderId="38" xfId="2" applyNumberFormat="1" applyFont="1" applyFill="1" applyBorder="1" applyAlignment="1">
      <alignment horizontal="center" vertical="center"/>
    </xf>
    <xf numFmtId="49" fontId="40" fillId="0" borderId="0" xfId="0" applyNumberFormat="1" applyFont="1"/>
    <xf numFmtId="4" fontId="0" fillId="0" borderId="0" xfId="0" applyNumberFormat="1"/>
    <xf numFmtId="0" fontId="41" fillId="0" borderId="0" xfId="0" applyFont="1"/>
    <xf numFmtId="0" fontId="0" fillId="0" borderId="50" xfId="16" applyNumberFormat="1" applyFont="1" applyBorder="1"/>
    <xf numFmtId="0" fontId="46" fillId="0" borderId="50" xfId="19" applyFont="1" applyBorder="1"/>
    <xf numFmtId="0" fontId="46" fillId="0" borderId="0" xfId="19" applyFont="1"/>
    <xf numFmtId="43" fontId="32" fillId="0" borderId="0" xfId="0" applyNumberFormat="1" applyFont="1"/>
    <xf numFmtId="43" fontId="42" fillId="0" borderId="0" xfId="2" applyFont="1" applyFill="1" applyBorder="1"/>
    <xf numFmtId="0" fontId="0" fillId="0" borderId="50" xfId="0" applyBorder="1"/>
    <xf numFmtId="0" fontId="0" fillId="0" borderId="52" xfId="0" applyBorder="1"/>
    <xf numFmtId="164" fontId="0" fillId="8" borderId="0" xfId="16" applyNumberFormat="1" applyFont="1" applyFill="1" applyBorder="1"/>
    <xf numFmtId="164" fontId="0" fillId="8" borderId="1" xfId="16" applyNumberFormat="1" applyFont="1" applyFill="1" applyBorder="1"/>
    <xf numFmtId="0" fontId="32" fillId="0" borderId="0" xfId="0" pivotButton="1" applyFont="1" applyAlignment="1">
      <alignment wrapText="1"/>
    </xf>
    <xf numFmtId="43" fontId="50" fillId="0" borderId="0" xfId="21" applyNumberFormat="1" applyFont="1" applyAlignment="1">
      <alignment wrapText="1"/>
    </xf>
    <xf numFmtId="0" fontId="84" fillId="0" borderId="0" xfId="0" applyFont="1"/>
    <xf numFmtId="0" fontId="84" fillId="0" borderId="0" xfId="0" applyFont="1" applyAlignment="1">
      <alignment wrapText="1"/>
    </xf>
    <xf numFmtId="43" fontId="0" fillId="0" borderId="0" xfId="2" applyFont="1" applyFill="1"/>
    <xf numFmtId="10" fontId="85" fillId="9" borderId="0" xfId="17" applyNumberFormat="1" applyFont="1" applyFill="1"/>
    <xf numFmtId="164" fontId="85" fillId="9" borderId="0" xfId="16" applyNumberFormat="1" applyFont="1" applyFill="1"/>
    <xf numFmtId="0" fontId="46" fillId="0" borderId="0" xfId="19" applyFont="1" applyAlignment="1">
      <alignment horizontal="left" vertical="top"/>
    </xf>
    <xf numFmtId="43" fontId="51" fillId="0" borderId="51" xfId="19" applyNumberFormat="1" applyBorder="1"/>
    <xf numFmtId="1" fontId="51" fillId="0" borderId="0" xfId="19" applyNumberFormat="1" applyAlignment="1">
      <alignment horizontal="left" vertical="top"/>
    </xf>
    <xf numFmtId="1" fontId="50" fillId="0" borderId="0" xfId="21" applyNumberFormat="1" applyFont="1"/>
    <xf numFmtId="1" fontId="50" fillId="0" borderId="0" xfId="21" applyNumberFormat="1" applyFont="1" applyAlignment="1">
      <alignment wrapText="1"/>
    </xf>
    <xf numFmtId="1" fontId="29" fillId="0" borderId="0" xfId="21" applyNumberFormat="1"/>
    <xf numFmtId="0" fontId="61" fillId="0" borderId="32" xfId="19" applyFont="1" applyBorder="1" applyAlignment="1">
      <alignment horizontal="left" vertical="center" wrapText="1"/>
    </xf>
    <xf numFmtId="49" fontId="41" fillId="0" borderId="33" xfId="19" applyNumberFormat="1" applyFont="1" applyBorder="1" applyAlignment="1">
      <alignment horizontal="center"/>
    </xf>
    <xf numFmtId="164" fontId="24" fillId="0" borderId="41" xfId="2" applyNumberFormat="1" applyFont="1" applyFill="1" applyBorder="1" applyAlignment="1">
      <alignment horizontal="center" vertical="center"/>
    </xf>
    <xf numFmtId="164" fontId="26" fillId="0" borderId="42" xfId="2" applyNumberFormat="1" applyFont="1" applyFill="1" applyBorder="1" applyAlignment="1">
      <alignment horizontal="center" vertical="center"/>
    </xf>
    <xf numFmtId="1" fontId="29" fillId="0" borderId="0" xfId="21" applyNumberFormat="1" applyAlignment="1">
      <alignment horizontal="right"/>
    </xf>
    <xf numFmtId="1" fontId="35" fillId="0" borderId="0" xfId="19" applyNumberFormat="1" applyFont="1" applyAlignment="1">
      <alignment horizontal="right" vertical="top"/>
    </xf>
    <xf numFmtId="10" fontId="29" fillId="0" borderId="0" xfId="21" applyNumberFormat="1"/>
    <xf numFmtId="0" fontId="22" fillId="0" borderId="0" xfId="21" applyFont="1"/>
    <xf numFmtId="10" fontId="29" fillId="0" borderId="0" xfId="21" applyNumberFormat="1" applyAlignment="1">
      <alignment horizontal="center" vertical="center"/>
    </xf>
    <xf numFmtId="0" fontId="29" fillId="0" borderId="39" xfId="21" applyBorder="1" applyAlignment="1">
      <alignment horizontal="center" vertical="center"/>
    </xf>
    <xf numFmtId="10" fontId="29" fillId="0" borderId="55" xfId="21" applyNumberFormat="1" applyBorder="1" applyAlignment="1">
      <alignment horizontal="center" vertical="center"/>
    </xf>
    <xf numFmtId="164" fontId="86" fillId="0" borderId="0" xfId="19" applyNumberFormat="1" applyFont="1" applyAlignment="1">
      <alignment horizontal="left" vertical="top"/>
    </xf>
    <xf numFmtId="167" fontId="51" fillId="0" borderId="0" xfId="19" applyNumberFormat="1" applyAlignment="1">
      <alignment horizontal="left" vertical="top"/>
    </xf>
    <xf numFmtId="167" fontId="50" fillId="0" borderId="0" xfId="21" applyNumberFormat="1" applyFont="1" applyAlignment="1">
      <alignment wrapText="1"/>
    </xf>
    <xf numFmtId="167" fontId="42" fillId="0" borderId="2" xfId="15" applyNumberFormat="1" applyFont="1" applyBorder="1"/>
    <xf numFmtId="167" fontId="29" fillId="0" borderId="0" xfId="21" applyNumberFormat="1"/>
    <xf numFmtId="168" fontId="46" fillId="0" borderId="0" xfId="21" applyNumberFormat="1" applyFont="1" applyAlignment="1">
      <alignment horizontal="center" vertical="center"/>
    </xf>
    <xf numFmtId="43" fontId="51" fillId="0" borderId="1" xfId="19" applyNumberFormat="1" applyBorder="1"/>
    <xf numFmtId="164" fontId="83" fillId="3" borderId="0" xfId="19" applyNumberFormat="1" applyFont="1" applyFill="1"/>
    <xf numFmtId="164" fontId="88" fillId="3" borderId="0" xfId="19" applyNumberFormat="1" applyFont="1" applyFill="1" applyAlignment="1">
      <alignment horizontal="left"/>
    </xf>
    <xf numFmtId="164" fontId="88" fillId="3" borderId="0" xfId="19" applyNumberFormat="1" applyFont="1" applyFill="1" applyAlignment="1">
      <alignment horizontal="center"/>
    </xf>
    <xf numFmtId="0" fontId="83" fillId="3" borderId="0" xfId="19" applyFont="1" applyFill="1"/>
    <xf numFmtId="43" fontId="83" fillId="3" borderId="0" xfId="19" applyNumberFormat="1" applyFont="1" applyFill="1"/>
    <xf numFmtId="0" fontId="87" fillId="3" borderId="0" xfId="19" applyFont="1" applyFill="1" applyAlignment="1">
      <alignment horizontal="center"/>
    </xf>
    <xf numFmtId="43" fontId="87" fillId="3" borderId="0" xfId="19" applyNumberFormat="1" applyFont="1" applyFill="1" applyAlignment="1">
      <alignment horizontal="center"/>
    </xf>
    <xf numFmtId="168" fontId="69" fillId="0" borderId="0" xfId="2" applyNumberFormat="1" applyFont="1" applyFill="1" applyBorder="1"/>
    <xf numFmtId="43" fontId="46" fillId="0" borderId="0" xfId="2" applyFont="1"/>
    <xf numFmtId="0" fontId="0" fillId="0" borderId="0" xfId="0" applyAlignment="1">
      <alignment horizontal="right" vertical="top"/>
    </xf>
    <xf numFmtId="0" fontId="46" fillId="0" borderId="0" xfId="15" applyAlignment="1">
      <alignment horizontal="right" vertical="top"/>
    </xf>
    <xf numFmtId="49" fontId="41" fillId="0" borderId="0" xfId="0" applyNumberFormat="1" applyFont="1" applyAlignment="1">
      <alignment horizontal="center"/>
    </xf>
    <xf numFmtId="49" fontId="41" fillId="0" borderId="41" xfId="0" applyNumberFormat="1" applyFont="1" applyBorder="1" applyAlignment="1">
      <alignment horizontal="center"/>
    </xf>
    <xf numFmtId="0" fontId="43" fillId="0" borderId="0" xfId="15" applyFont="1" applyAlignment="1">
      <alignment horizontal="left" vertical="top"/>
    </xf>
    <xf numFmtId="49" fontId="41" fillId="0" borderId="0" xfId="15" applyNumberFormat="1" applyFont="1" applyAlignment="1">
      <alignment horizontal="center"/>
    </xf>
    <xf numFmtId="0" fontId="47" fillId="0" borderId="0" xfId="19" applyFont="1" applyAlignment="1">
      <alignment horizontal="left" vertical="center" wrapText="1"/>
    </xf>
    <xf numFmtId="49" fontId="41" fillId="0" borderId="0" xfId="19" applyNumberFormat="1" applyFont="1" applyAlignment="1">
      <alignment horizontal="center"/>
    </xf>
    <xf numFmtId="165" fontId="35" fillId="0" borderId="0" xfId="16" applyNumberFormat="1" applyFont="1" applyFill="1" applyBorder="1"/>
    <xf numFmtId="164" fontId="35" fillId="0" borderId="0" xfId="16" applyNumberFormat="1" applyFont="1" applyFill="1" applyBorder="1"/>
    <xf numFmtId="0" fontId="43" fillId="0" borderId="0" xfId="19" applyFont="1"/>
    <xf numFmtId="0" fontId="41" fillId="0" borderId="0" xfId="15" applyFont="1" applyAlignment="1">
      <alignment horizontal="center"/>
    </xf>
    <xf numFmtId="9" fontId="41" fillId="0" borderId="0" xfId="3" applyFont="1" applyFill="1" applyBorder="1" applyAlignment="1">
      <alignment horizontal="center"/>
    </xf>
    <xf numFmtId="0" fontId="28" fillId="0" borderId="57" xfId="22" applyBorder="1" applyAlignment="1">
      <alignment horizontal="right" vertical="center"/>
    </xf>
    <xf numFmtId="10" fontId="41" fillId="0" borderId="58" xfId="22" applyNumberFormat="1" applyFont="1" applyBorder="1" applyAlignment="1">
      <alignment horizontal="center" vertical="center"/>
    </xf>
    <xf numFmtId="0" fontId="29" fillId="0" borderId="57" xfId="21" applyBorder="1" applyAlignment="1">
      <alignment horizontal="right" vertical="center"/>
    </xf>
    <xf numFmtId="10" fontId="41" fillId="0" borderId="58" xfId="21" applyNumberFormat="1" applyFont="1" applyBorder="1" applyAlignment="1">
      <alignment horizontal="center" vertical="center"/>
    </xf>
    <xf numFmtId="169" fontId="42" fillId="0" borderId="2" xfId="15" applyNumberFormat="1" applyFont="1" applyBorder="1"/>
    <xf numFmtId="169" fontId="29" fillId="0" borderId="0" xfId="21" applyNumberFormat="1"/>
    <xf numFmtId="0" fontId="51" fillId="0" borderId="57" xfId="19" applyBorder="1" applyAlignment="1">
      <alignment horizontal="right" vertical="top"/>
    </xf>
    <xf numFmtId="10" fontId="51" fillId="0" borderId="58" xfId="19" applyNumberFormat="1" applyBorder="1" applyAlignment="1">
      <alignment horizontal="center" vertical="top"/>
    </xf>
    <xf numFmtId="0" fontId="46" fillId="0" borderId="12" xfId="19" applyFont="1" applyBorder="1" applyAlignment="1">
      <alignment horizontal="center" vertical="top"/>
    </xf>
    <xf numFmtId="164" fontId="51" fillId="0" borderId="3" xfId="19" applyNumberFormat="1" applyBorder="1" applyAlignment="1">
      <alignment horizontal="left" vertical="top"/>
    </xf>
    <xf numFmtId="164" fontId="51" fillId="0" borderId="4" xfId="19" applyNumberFormat="1" applyBorder="1" applyAlignment="1">
      <alignment horizontal="left" vertical="top"/>
    </xf>
    <xf numFmtId="0" fontId="48" fillId="0" borderId="8" xfId="19" applyFont="1" applyBorder="1" applyAlignment="1">
      <alignment horizontal="right" vertical="top"/>
    </xf>
    <xf numFmtId="164" fontId="48" fillId="0" borderId="7" xfId="19" applyNumberFormat="1" applyFont="1" applyBorder="1" applyAlignment="1">
      <alignment horizontal="left" vertical="top"/>
    </xf>
    <xf numFmtId="164" fontId="48" fillId="0" borderId="13" xfId="19" applyNumberFormat="1" applyFont="1" applyBorder="1" applyAlignment="1">
      <alignment horizontal="left" vertical="top"/>
    </xf>
    <xf numFmtId="0" fontId="51" fillId="0" borderId="39" xfId="19" applyBorder="1" applyAlignment="1">
      <alignment horizontal="left" vertical="top"/>
    </xf>
    <xf numFmtId="10" fontId="51" fillId="0" borderId="55" xfId="19" applyNumberFormat="1" applyBorder="1" applyAlignment="1">
      <alignment horizontal="center" vertical="top"/>
    </xf>
    <xf numFmtId="43" fontId="41" fillId="10" borderId="0" xfId="2" applyFont="1" applyFill="1"/>
    <xf numFmtId="4" fontId="0" fillId="10" borderId="0" xfId="0" applyNumberFormat="1" applyFill="1"/>
    <xf numFmtId="0" fontId="51" fillId="9" borderId="9" xfId="19" applyFill="1" applyBorder="1"/>
    <xf numFmtId="164" fontId="51" fillId="9" borderId="9" xfId="19" applyNumberFormat="1" applyFill="1" applyBorder="1"/>
    <xf numFmtId="0" fontId="51" fillId="9" borderId="5" xfId="19" applyFill="1" applyBorder="1"/>
    <xf numFmtId="164" fontId="51" fillId="9" borderId="11" xfId="19" applyNumberFormat="1" applyFill="1" applyBorder="1"/>
    <xf numFmtId="43" fontId="0" fillId="9" borderId="8" xfId="16" applyFont="1" applyFill="1" applyBorder="1"/>
    <xf numFmtId="44" fontId="51" fillId="0" borderId="0" xfId="19" applyNumberFormat="1"/>
    <xf numFmtId="44" fontId="51" fillId="9" borderId="7" xfId="19" applyNumberFormat="1" applyFill="1" applyBorder="1"/>
    <xf numFmtId="0" fontId="51" fillId="9" borderId="7" xfId="19" applyFill="1" applyBorder="1"/>
    <xf numFmtId="164" fontId="51" fillId="9" borderId="7" xfId="19" applyNumberFormat="1" applyFill="1" applyBorder="1"/>
    <xf numFmtId="0" fontId="32" fillId="9" borderId="0" xfId="0" applyFont="1" applyFill="1"/>
    <xf numFmtId="0" fontId="84" fillId="9" borderId="0" xfId="0" applyFont="1" applyFill="1"/>
    <xf numFmtId="0" fontId="21" fillId="0" borderId="5" xfId="18" applyFont="1" applyBorder="1" applyAlignment="1">
      <alignment horizontal="left" indent="5"/>
    </xf>
    <xf numFmtId="10" fontId="44" fillId="4" borderId="3" xfId="18" applyNumberFormat="1" applyFont="1" applyFill="1" applyBorder="1" applyAlignment="1">
      <alignment horizontal="center" vertical="center" wrapText="1"/>
    </xf>
    <xf numFmtId="0" fontId="46" fillId="0" borderId="3" xfId="18" applyBorder="1" applyAlignment="1">
      <alignment horizontal="center" vertical="top"/>
    </xf>
    <xf numFmtId="0" fontId="46" fillId="0" borderId="10" xfId="18" applyBorder="1" applyAlignment="1">
      <alignment horizontal="center" vertical="top"/>
    </xf>
    <xf numFmtId="0" fontId="20" fillId="0" borderId="5" xfId="18" applyFont="1" applyBorder="1" applyAlignment="1">
      <alignment horizontal="left" indent="5"/>
    </xf>
    <xf numFmtId="169" fontId="41" fillId="0" borderId="0" xfId="15" applyNumberFormat="1" applyFont="1" applyAlignment="1">
      <alignment horizontal="center"/>
    </xf>
    <xf numFmtId="49" fontId="41" fillId="0" borderId="10" xfId="0" applyNumberFormat="1" applyFont="1" applyBorder="1" applyAlignment="1">
      <alignment horizontal="center"/>
    </xf>
    <xf numFmtId="0" fontId="45" fillId="0" borderId="32" xfId="0" applyFont="1" applyBorder="1" applyAlignment="1">
      <alignment horizontal="left" indent="5"/>
    </xf>
    <xf numFmtId="10" fontId="46" fillId="0" borderId="0" xfId="15" applyNumberFormat="1" applyAlignment="1">
      <alignment horizontal="center" vertical="top"/>
    </xf>
    <xf numFmtId="0" fontId="91" fillId="0" borderId="0" xfId="15" applyFont="1" applyAlignment="1">
      <alignment horizontal="left" vertical="top"/>
    </xf>
    <xf numFmtId="44" fontId="32" fillId="0" borderId="0" xfId="30" applyFont="1"/>
    <xf numFmtId="43" fontId="32" fillId="0" borderId="0" xfId="2" applyFont="1"/>
    <xf numFmtId="0" fontId="46" fillId="0" borderId="3" xfId="15" applyBorder="1" applyAlignment="1">
      <alignment horizontal="center" vertical="top"/>
    </xf>
    <xf numFmtId="0" fontId="46" fillId="0" borderId="7" xfId="15" applyBorder="1" applyAlignment="1">
      <alignment horizontal="center" vertical="top"/>
    </xf>
    <xf numFmtId="0" fontId="19" fillId="0" borderId="5" xfId="0" applyFont="1" applyBorder="1" applyAlignment="1">
      <alignment horizontal="left" indent="5"/>
    </xf>
    <xf numFmtId="10" fontId="44" fillId="4" borderId="12" xfId="0" applyNumberFormat="1" applyFont="1" applyFill="1" applyBorder="1" applyAlignment="1">
      <alignment horizontal="center" vertical="center" wrapText="1"/>
    </xf>
    <xf numFmtId="0" fontId="41" fillId="0" borderId="32" xfId="15" applyFont="1" applyBorder="1"/>
    <xf numFmtId="0" fontId="46" fillId="0" borderId="0" xfId="0" applyFont="1" applyAlignment="1">
      <alignment horizontal="center" vertical="top"/>
    </xf>
    <xf numFmtId="0" fontId="81" fillId="0" borderId="0" xfId="0" applyFont="1" applyAlignment="1">
      <alignment horizontal="right"/>
    </xf>
    <xf numFmtId="0" fontId="18" fillId="0" borderId="0" xfId="14" applyFont="1"/>
    <xf numFmtId="0" fontId="92" fillId="0" borderId="0" xfId="0" applyFont="1"/>
    <xf numFmtId="0" fontId="93" fillId="0" borderId="0" xfId="14" applyFont="1" applyAlignment="1">
      <alignment horizontal="center"/>
    </xf>
    <xf numFmtId="0" fontId="45" fillId="0" borderId="0" xfId="14" applyFont="1"/>
    <xf numFmtId="0" fontId="45" fillId="0" borderId="0" xfId="0" applyFont="1"/>
    <xf numFmtId="43" fontId="18" fillId="0" borderId="0" xfId="2" applyFont="1"/>
    <xf numFmtId="0" fontId="30" fillId="9" borderId="0" xfId="14" applyFill="1"/>
    <xf numFmtId="49" fontId="96" fillId="0" borderId="0" xfId="0" applyNumberFormat="1" applyFont="1"/>
    <xf numFmtId="0" fontId="96" fillId="0" borderId="0" xfId="1" applyFont="1"/>
    <xf numFmtId="0" fontId="98" fillId="0" borderId="0" xfId="1" applyFont="1"/>
    <xf numFmtId="0" fontId="99" fillId="0" borderId="0" xfId="1" applyFont="1"/>
    <xf numFmtId="0" fontId="46" fillId="0" borderId="3" xfId="15" applyBorder="1" applyAlignment="1">
      <alignment vertical="top"/>
    </xf>
    <xf numFmtId="0" fontId="46" fillId="0" borderId="7" xfId="15" applyBorder="1" applyAlignment="1">
      <alignment vertical="top"/>
    </xf>
    <xf numFmtId="10" fontId="85" fillId="9" borderId="0" xfId="3" applyNumberFormat="1" applyFont="1" applyFill="1"/>
    <xf numFmtId="43" fontId="51" fillId="0" borderId="50" xfId="19" applyNumberFormat="1" applyBorder="1"/>
    <xf numFmtId="0" fontId="17" fillId="0" borderId="5" xfId="15" applyFont="1" applyBorder="1" applyAlignment="1">
      <alignment horizontal="left" indent="5"/>
    </xf>
    <xf numFmtId="0" fontId="16" fillId="0" borderId="0" xfId="14" applyFont="1"/>
    <xf numFmtId="44" fontId="0" fillId="0" borderId="0" xfId="30" applyFont="1"/>
    <xf numFmtId="49" fontId="101" fillId="0" borderId="0" xfId="0" applyNumberFormat="1" applyFont="1"/>
    <xf numFmtId="44" fontId="67" fillId="0" borderId="0" xfId="30" applyFont="1"/>
    <xf numFmtId="0" fontId="51" fillId="9" borderId="47" xfId="19" applyFill="1" applyBorder="1"/>
    <xf numFmtId="0" fontId="51" fillId="9" borderId="48" xfId="19" applyFill="1" applyBorder="1"/>
    <xf numFmtId="0" fontId="51" fillId="9" borderId="49" xfId="19" applyFill="1" applyBorder="1"/>
    <xf numFmtId="0" fontId="51" fillId="9" borderId="50" xfId="19" applyFill="1" applyBorder="1"/>
    <xf numFmtId="164" fontId="51" fillId="9" borderId="0" xfId="19" applyNumberFormat="1" applyFill="1"/>
    <xf numFmtId="43" fontId="0" fillId="9" borderId="0" xfId="17" applyNumberFormat="1" applyFont="1" applyFill="1" applyBorder="1"/>
    <xf numFmtId="43" fontId="51" fillId="9" borderId="51" xfId="19" applyNumberFormat="1" applyFill="1" applyBorder="1"/>
    <xf numFmtId="164" fontId="0" fillId="9" borderId="0" xfId="17" applyNumberFormat="1" applyFont="1" applyFill="1" applyBorder="1"/>
    <xf numFmtId="0" fontId="51" fillId="9" borderId="51" xfId="19" applyFill="1" applyBorder="1"/>
    <xf numFmtId="43" fontId="51" fillId="9" borderId="0" xfId="19" applyNumberFormat="1" applyFill="1"/>
    <xf numFmtId="0" fontId="51" fillId="9" borderId="0" xfId="19" applyFill="1"/>
    <xf numFmtId="43" fontId="0" fillId="12" borderId="50" xfId="16" applyFont="1" applyFill="1" applyBorder="1"/>
    <xf numFmtId="0" fontId="51" fillId="12" borderId="0" xfId="19" applyFill="1"/>
    <xf numFmtId="9" fontId="0" fillId="12" borderId="0" xfId="17" applyFont="1" applyFill="1" applyBorder="1"/>
    <xf numFmtId="9" fontId="0" fillId="12" borderId="51" xfId="17" applyFont="1" applyFill="1" applyBorder="1"/>
    <xf numFmtId="43" fontId="0" fillId="9" borderId="50" xfId="16" applyFont="1" applyFill="1" applyBorder="1"/>
    <xf numFmtId="9" fontId="0" fillId="9" borderId="0" xfId="17" applyFont="1" applyFill="1" applyBorder="1"/>
    <xf numFmtId="43" fontId="0" fillId="9" borderId="52" xfId="16" applyFont="1" applyFill="1" applyBorder="1"/>
    <xf numFmtId="43" fontId="51" fillId="9" borderId="1" xfId="19" applyNumberFormat="1" applyFill="1" applyBorder="1"/>
    <xf numFmtId="9" fontId="0" fillId="9" borderId="1" xfId="17" applyFont="1" applyFill="1" applyBorder="1"/>
    <xf numFmtId="0" fontId="51" fillId="9" borderId="53" xfId="19" applyFill="1" applyBorder="1"/>
    <xf numFmtId="0" fontId="71" fillId="0" borderId="0" xfId="18" applyFont="1" applyAlignment="1">
      <alignment horizontal="left" vertical="top"/>
    </xf>
    <xf numFmtId="0" fontId="73" fillId="0" borderId="5" xfId="18" applyFont="1" applyBorder="1" applyAlignment="1">
      <alignment horizontal="left" vertical="top" wrapText="1"/>
    </xf>
    <xf numFmtId="0" fontId="74" fillId="0" borderId="5" xfId="26" applyFont="1" applyBorder="1" applyAlignment="1">
      <alignment wrapText="1"/>
    </xf>
    <xf numFmtId="49" fontId="72" fillId="0" borderId="9" xfId="26" applyNumberFormat="1" applyFont="1" applyBorder="1" applyAlignment="1">
      <alignment horizontal="center"/>
    </xf>
    <xf numFmtId="0" fontId="75" fillId="0" borderId="5" xfId="26" applyFont="1" applyBorder="1" applyAlignment="1">
      <alignment horizontal="left" wrapText="1" indent="1"/>
    </xf>
    <xf numFmtId="49" fontId="72" fillId="0" borderId="9" xfId="18" applyNumberFormat="1" applyFont="1" applyBorder="1" applyAlignment="1">
      <alignment horizontal="center"/>
    </xf>
    <xf numFmtId="49" fontId="73" fillId="0" borderId="0" xfId="11" applyNumberFormat="1" applyFont="1" applyAlignment="1">
      <alignment horizontal="left"/>
    </xf>
    <xf numFmtId="0" fontId="74" fillId="0" borderId="5" xfId="26" applyFont="1" applyBorder="1" applyAlignment="1">
      <alignment horizontal="left" wrapText="1" indent="3"/>
    </xf>
    <xf numFmtId="0" fontId="72" fillId="0" borderId="5" xfId="26" applyFont="1" applyBorder="1" applyAlignment="1">
      <alignment wrapText="1"/>
    </xf>
    <xf numFmtId="164" fontId="71" fillId="0" borderId="0" xfId="18" applyNumberFormat="1" applyFont="1" applyAlignment="1">
      <alignment horizontal="left" vertical="top"/>
    </xf>
    <xf numFmtId="0" fontId="75" fillId="0" borderId="5" xfId="26" applyFont="1" applyBorder="1" applyAlignment="1">
      <alignment wrapText="1"/>
    </xf>
    <xf numFmtId="0" fontId="76" fillId="0" borderId="5" xfId="26" applyFont="1" applyBorder="1" applyAlignment="1">
      <alignment horizontal="left" wrapText="1" indent="1"/>
    </xf>
    <xf numFmtId="49" fontId="72" fillId="0" borderId="7" xfId="18" applyNumberFormat="1" applyFont="1" applyBorder="1" applyAlignment="1">
      <alignment horizontal="center"/>
    </xf>
    <xf numFmtId="0" fontId="80" fillId="0" borderId="0" xfId="18" applyFont="1" applyAlignment="1">
      <alignment horizontal="left" vertical="top" wrapText="1"/>
    </xf>
    <xf numFmtId="0" fontId="71" fillId="0" borderId="0" xfId="18" applyFont="1" applyAlignment="1">
      <alignment horizontal="left" vertical="top" wrapText="1"/>
    </xf>
    <xf numFmtId="0" fontId="55" fillId="0" borderId="0" xfId="18" applyFont="1" applyAlignment="1">
      <alignment horizontal="left" vertical="top"/>
    </xf>
    <xf numFmtId="49" fontId="53" fillId="0" borderId="5" xfId="26" applyNumberFormat="1" applyFont="1" applyBorder="1" applyAlignment="1">
      <alignment horizontal="center"/>
    </xf>
    <xf numFmtId="49" fontId="53" fillId="0" borderId="9" xfId="26" applyNumberFormat="1" applyFont="1" applyBorder="1" applyAlignment="1">
      <alignment horizontal="center"/>
    </xf>
    <xf numFmtId="0" fontId="53" fillId="0" borderId="5" xfId="26" applyFont="1" applyBorder="1"/>
    <xf numFmtId="0" fontId="79" fillId="0" borderId="5" xfId="26" applyFont="1" applyBorder="1"/>
    <xf numFmtId="0" fontId="60" fillId="0" borderId="5" xfId="26" applyFont="1" applyBorder="1" applyAlignment="1">
      <alignment horizontal="left"/>
    </xf>
    <xf numFmtId="49" fontId="53" fillId="0" borderId="9" xfId="18" applyNumberFormat="1" applyFont="1" applyBorder="1" applyAlignment="1">
      <alignment horizontal="center"/>
    </xf>
    <xf numFmtId="0" fontId="60" fillId="0" borderId="5" xfId="26" applyFont="1" applyBorder="1"/>
    <xf numFmtId="0" fontId="59" fillId="0" borderId="5" xfId="26" applyFont="1" applyBorder="1" applyAlignment="1">
      <alignment horizontal="left"/>
    </xf>
    <xf numFmtId="0" fontId="53" fillId="0" borderId="8" xfId="26" applyFont="1" applyBorder="1"/>
    <xf numFmtId="49" fontId="53" fillId="0" borderId="7" xfId="18" applyNumberFormat="1" applyFont="1" applyBorder="1" applyAlignment="1">
      <alignment horizontal="center"/>
    </xf>
    <xf numFmtId="164" fontId="55" fillId="0" borderId="0" xfId="18" applyNumberFormat="1" applyFont="1" applyAlignment="1">
      <alignment horizontal="left" vertical="top"/>
    </xf>
    <xf numFmtId="43" fontId="55" fillId="0" borderId="0" xfId="18" applyNumberFormat="1" applyFont="1" applyAlignment="1">
      <alignment horizontal="left" vertical="top"/>
    </xf>
    <xf numFmtId="49" fontId="72" fillId="0" borderId="5" xfId="26" applyNumberFormat="1" applyFont="1" applyBorder="1" applyAlignment="1">
      <alignment horizontal="center"/>
    </xf>
    <xf numFmtId="0" fontId="72" fillId="0" borderId="5" xfId="26" applyFont="1" applyBorder="1"/>
    <xf numFmtId="0" fontId="71" fillId="0" borderId="11" xfId="18" applyFont="1" applyBorder="1" applyAlignment="1">
      <alignment horizontal="left" vertical="top"/>
    </xf>
    <xf numFmtId="0" fontId="74" fillId="0" borderId="5" xfId="26" applyFont="1" applyBorder="1"/>
    <xf numFmtId="0" fontId="75" fillId="0" borderId="5" xfId="26" applyFont="1" applyBorder="1"/>
    <xf numFmtId="0" fontId="76" fillId="0" borderId="5" xfId="26" applyFont="1" applyBorder="1" applyAlignment="1">
      <alignment horizontal="left"/>
    </xf>
    <xf numFmtId="0" fontId="75" fillId="0" borderId="5" xfId="26" applyFont="1" applyBorder="1" applyAlignment="1">
      <alignment horizontal="left"/>
    </xf>
    <xf numFmtId="0" fontId="77" fillId="0" borderId="5" xfId="26" applyFont="1" applyBorder="1"/>
    <xf numFmtId="0" fontId="72" fillId="0" borderId="8" xfId="26" applyFont="1" applyBorder="1"/>
    <xf numFmtId="164" fontId="71" fillId="13" borderId="11" xfId="28" applyNumberFormat="1" applyFont="1" applyFill="1" applyBorder="1" applyAlignment="1">
      <alignment horizontal="left" vertical="top"/>
    </xf>
    <xf numFmtId="164" fontId="71" fillId="9" borderId="0" xfId="2" applyNumberFormat="1" applyFont="1" applyFill="1" applyBorder="1" applyAlignment="1">
      <alignment horizontal="left" vertical="top"/>
    </xf>
    <xf numFmtId="164" fontId="71" fillId="13" borderId="0" xfId="2" applyNumberFormat="1" applyFont="1" applyFill="1" applyBorder="1" applyAlignment="1">
      <alignment horizontal="left" vertical="top"/>
    </xf>
    <xf numFmtId="164" fontId="72" fillId="13" borderId="11" xfId="28" applyNumberFormat="1" applyFont="1" applyFill="1" applyBorder="1" applyAlignment="1">
      <alignment horizontal="left" vertical="center" wrapText="1"/>
    </xf>
    <xf numFmtId="0" fontId="15" fillId="0" borderId="5" xfId="26" applyFont="1" applyBorder="1" applyAlignment="1">
      <alignment horizontal="left" wrapText="1" indent="1"/>
    </xf>
    <xf numFmtId="0" fontId="43" fillId="0" borderId="9" xfId="18" applyFont="1" applyBorder="1" applyAlignment="1">
      <alignment horizontal="left" vertical="top"/>
    </xf>
    <xf numFmtId="49" fontId="41" fillId="0" borderId="9" xfId="26" applyNumberFormat="1" applyFont="1" applyBorder="1" applyAlignment="1">
      <alignment horizontal="center"/>
    </xf>
    <xf numFmtId="0" fontId="102" fillId="0" borderId="0" xfId="18" applyFont="1" applyAlignment="1">
      <alignment horizontal="left" vertical="top"/>
    </xf>
    <xf numFmtId="0" fontId="41" fillId="0" borderId="5" xfId="26" applyFont="1" applyBorder="1" applyAlignment="1">
      <alignment horizontal="left" indent="1"/>
    </xf>
    <xf numFmtId="164" fontId="55" fillId="14" borderId="11" xfId="28" applyNumberFormat="1" applyFont="1" applyFill="1" applyBorder="1" applyAlignment="1">
      <alignment horizontal="left" vertical="top"/>
    </xf>
    <xf numFmtId="0" fontId="14" fillId="0" borderId="0" xfId="14" applyFont="1"/>
    <xf numFmtId="44" fontId="46" fillId="9" borderId="55" xfId="30" applyFont="1" applyFill="1" applyBorder="1" applyAlignment="1">
      <alignment vertical="top"/>
    </xf>
    <xf numFmtId="0" fontId="29" fillId="15" borderId="0" xfId="21" applyFill="1"/>
    <xf numFmtId="0" fontId="42" fillId="16" borderId="2" xfId="0" applyFont="1" applyFill="1" applyBorder="1" applyAlignment="1">
      <alignment horizontal="left"/>
    </xf>
    <xf numFmtId="0" fontId="29" fillId="16" borderId="0" xfId="21" applyFill="1"/>
    <xf numFmtId="0" fontId="44" fillId="4" borderId="12" xfId="0" applyFont="1" applyFill="1" applyBorder="1" applyAlignment="1">
      <alignment horizontal="left" vertical="center" wrapText="1"/>
    </xf>
    <xf numFmtId="0" fontId="44" fillId="4" borderId="6" xfId="0" applyFont="1" applyFill="1" applyBorder="1" applyAlignment="1">
      <alignment horizontal="left" vertical="center" wrapText="1"/>
    </xf>
    <xf numFmtId="0" fontId="44" fillId="4" borderId="22" xfId="0" applyFont="1" applyFill="1" applyBorder="1" applyAlignment="1">
      <alignment vertical="center" wrapText="1"/>
    </xf>
    <xf numFmtId="0" fontId="44" fillId="4" borderId="21" xfId="0" applyFont="1" applyFill="1" applyBorder="1" applyAlignment="1">
      <alignment vertical="center" wrapText="1"/>
    </xf>
    <xf numFmtId="0" fontId="47" fillId="0" borderId="5" xfId="0" applyFont="1" applyBorder="1" applyAlignment="1">
      <alignment vertical="center" wrapText="1"/>
    </xf>
    <xf numFmtId="0" fontId="41" fillId="0" borderId="9" xfId="0" applyFont="1" applyBorder="1"/>
    <xf numFmtId="0" fontId="41" fillId="5" borderId="9" xfId="0" applyFont="1" applyFill="1" applyBorder="1" applyAlignment="1">
      <alignment horizontal="center"/>
    </xf>
    <xf numFmtId="0" fontId="47" fillId="0" borderId="5" xfId="0" applyFont="1" applyBorder="1" applyAlignment="1">
      <alignment horizontal="left" vertical="center" wrapText="1" indent="1"/>
    </xf>
    <xf numFmtId="0" fontId="41" fillId="0" borderId="9" xfId="0" applyFont="1" applyBorder="1" applyAlignment="1">
      <alignment horizontal="center"/>
    </xf>
    <xf numFmtId="0" fontId="72" fillId="5" borderId="9" xfId="0" applyFont="1" applyFill="1" applyBorder="1" applyAlignment="1">
      <alignment horizontal="center"/>
    </xf>
    <xf numFmtId="44" fontId="41" fillId="0" borderId="9" xfId="0" applyNumberFormat="1" applyFont="1" applyBorder="1" applyAlignment="1">
      <alignment horizontal="center"/>
    </xf>
    <xf numFmtId="0" fontId="13" fillId="0" borderId="5" xfId="0" applyFont="1" applyBorder="1" applyAlignment="1">
      <alignment horizontal="left" indent="5"/>
    </xf>
    <xf numFmtId="0" fontId="47" fillId="0" borderId="8" xfId="0" applyFont="1" applyBorder="1" applyAlignment="1">
      <alignment horizontal="left" vertical="center" wrapText="1"/>
    </xf>
    <xf numFmtId="44" fontId="35" fillId="3" borderId="7" xfId="30" applyFont="1" applyFill="1" applyBorder="1" applyAlignment="1">
      <alignment horizontal="center"/>
    </xf>
    <xf numFmtId="44" fontId="32" fillId="0" borderId="59" xfId="0" applyNumberFormat="1" applyFont="1" applyBorder="1"/>
    <xf numFmtId="44" fontId="32" fillId="0" borderId="0" xfId="0" applyNumberFormat="1" applyFont="1"/>
    <xf numFmtId="0" fontId="72" fillId="0" borderId="0" xfId="0" applyFont="1"/>
    <xf numFmtId="0" fontId="0" fillId="0" borderId="0" xfId="0" applyAlignment="1">
      <alignment vertical="top"/>
    </xf>
    <xf numFmtId="0" fontId="35" fillId="3" borderId="7" xfId="0" applyFont="1" applyFill="1" applyBorder="1" applyAlignment="1">
      <alignment horizontal="center"/>
    </xf>
    <xf numFmtId="0" fontId="0" fillId="17" borderId="11" xfId="0" applyFill="1" applyBorder="1" applyAlignment="1">
      <alignment horizontal="left" vertical="top"/>
    </xf>
    <xf numFmtId="0" fontId="0" fillId="17" borderId="9" xfId="0" applyFill="1" applyBorder="1" applyAlignment="1">
      <alignment horizontal="left" vertical="top"/>
    </xf>
    <xf numFmtId="0" fontId="41" fillId="17" borderId="9" xfId="0" applyFont="1" applyFill="1" applyBorder="1"/>
    <xf numFmtId="0" fontId="72" fillId="3" borderId="9" xfId="0" applyFont="1" applyFill="1" applyBorder="1"/>
    <xf numFmtId="0" fontId="41" fillId="18" borderId="9" xfId="0" applyFont="1" applyFill="1" applyBorder="1" applyAlignment="1">
      <alignment horizontal="center"/>
    </xf>
    <xf numFmtId="0" fontId="41" fillId="17" borderId="9" xfId="0" applyFont="1" applyFill="1" applyBorder="1" applyAlignment="1">
      <alignment horizontal="center"/>
    </xf>
    <xf numFmtId="0" fontId="0" fillId="9" borderId="11" xfId="0" applyFill="1" applyBorder="1" applyAlignment="1">
      <alignment horizontal="left" vertical="top"/>
    </xf>
    <xf numFmtId="0" fontId="0" fillId="9" borderId="9" xfId="0" applyFill="1" applyBorder="1" applyAlignment="1">
      <alignment horizontal="left" vertical="top"/>
    </xf>
    <xf numFmtId="0" fontId="41" fillId="9" borderId="9" xfId="0" applyFont="1" applyFill="1" applyBorder="1"/>
    <xf numFmtId="0" fontId="72" fillId="5" borderId="9" xfId="0" applyFont="1" applyFill="1" applyBorder="1"/>
    <xf numFmtId="49" fontId="72" fillId="5" borderId="9" xfId="0" applyNumberFormat="1" applyFont="1" applyFill="1" applyBorder="1"/>
    <xf numFmtId="0" fontId="41" fillId="5" borderId="11" xfId="0" applyFont="1" applyFill="1" applyBorder="1"/>
    <xf numFmtId="0" fontId="41" fillId="5" borderId="9" xfId="0" applyFont="1" applyFill="1" applyBorder="1"/>
    <xf numFmtId="0" fontId="44" fillId="4" borderId="31" xfId="0" applyFont="1" applyFill="1" applyBorder="1" applyAlignment="1">
      <alignment horizontal="center" vertical="center" wrapText="1"/>
    </xf>
    <xf numFmtId="0" fontId="44" fillId="4" borderId="21" xfId="0" applyFont="1" applyFill="1" applyBorder="1" applyAlignment="1">
      <alignment horizontal="center" vertical="center" wrapText="1"/>
    </xf>
    <xf numFmtId="0" fontId="32" fillId="0" borderId="47" xfId="0" applyFont="1" applyBorder="1"/>
    <xf numFmtId="0" fontId="32" fillId="0" borderId="48" xfId="0" applyFont="1" applyBorder="1"/>
    <xf numFmtId="0" fontId="32" fillId="0" borderId="49" xfId="0" applyFont="1" applyBorder="1"/>
    <xf numFmtId="0" fontId="32" fillId="0" borderId="50" xfId="0" applyFont="1" applyBorder="1"/>
    <xf numFmtId="0" fontId="32" fillId="0" borderId="51" xfId="0" applyFont="1" applyBorder="1"/>
    <xf numFmtId="0" fontId="32" fillId="0" borderId="52" xfId="0" applyFont="1" applyBorder="1"/>
    <xf numFmtId="0" fontId="32" fillId="0" borderId="1" xfId="0" applyFont="1" applyBorder="1"/>
    <xf numFmtId="0" fontId="32" fillId="0" borderId="53" xfId="0" applyFont="1" applyBorder="1"/>
    <xf numFmtId="0" fontId="105" fillId="2" borderId="54" xfId="0" applyFont="1" applyFill="1" applyBorder="1" applyAlignment="1">
      <alignment horizontal="center" vertical="top" wrapText="1" readingOrder="1"/>
    </xf>
    <xf numFmtId="0" fontId="106" fillId="0" borderId="0" xfId="0" applyFont="1"/>
    <xf numFmtId="0" fontId="107" fillId="0" borderId="54" xfId="0" applyFont="1" applyBorder="1" applyAlignment="1">
      <alignment vertical="top" wrapText="1" readingOrder="1"/>
    </xf>
    <xf numFmtId="0" fontId="108" fillId="0" borderId="54" xfId="0" applyFont="1" applyBorder="1" applyAlignment="1">
      <alignment vertical="top" wrapText="1" readingOrder="1"/>
    </xf>
    <xf numFmtId="43" fontId="0" fillId="9" borderId="0" xfId="16" applyFont="1" applyFill="1" applyBorder="1"/>
    <xf numFmtId="43" fontId="0" fillId="0" borderId="0" xfId="16" applyFont="1" applyFill="1" applyBorder="1"/>
    <xf numFmtId="43" fontId="0" fillId="9" borderId="5" xfId="16" applyFont="1" applyFill="1" applyBorder="1"/>
    <xf numFmtId="43" fontId="43" fillId="0" borderId="0" xfId="2" applyFont="1" applyFill="1"/>
    <xf numFmtId="44" fontId="32" fillId="0" borderId="0" xfId="30" applyFont="1" applyBorder="1"/>
    <xf numFmtId="0" fontId="32" fillId="0" borderId="9" xfId="0" applyFont="1" applyBorder="1"/>
    <xf numFmtId="0" fontId="45" fillId="0" borderId="9" xfId="0" applyFont="1" applyBorder="1" applyAlignment="1">
      <alignment horizontal="left" indent="5"/>
    </xf>
    <xf numFmtId="0" fontId="32" fillId="0" borderId="9" xfId="0" applyFont="1" applyBorder="1" applyAlignment="1">
      <alignment horizontal="left"/>
    </xf>
    <xf numFmtId="44" fontId="106" fillId="0" borderId="9" xfId="0" applyNumberFormat="1" applyFont="1" applyBorder="1"/>
    <xf numFmtId="0" fontId="106" fillId="0" borderId="47" xfId="0" applyFont="1" applyBorder="1"/>
    <xf numFmtId="0" fontId="106" fillId="0" borderId="48" xfId="0" applyFont="1" applyBorder="1"/>
    <xf numFmtId="0" fontId="106" fillId="0" borderId="49" xfId="0" applyFont="1" applyBorder="1"/>
    <xf numFmtId="0" fontId="106" fillId="0" borderId="50" xfId="0" applyFont="1" applyBorder="1"/>
    <xf numFmtId="0" fontId="106" fillId="0" borderId="51" xfId="0" applyFont="1" applyBorder="1"/>
    <xf numFmtId="0" fontId="106" fillId="0" borderId="53" xfId="0" applyFont="1" applyBorder="1"/>
    <xf numFmtId="44" fontId="41" fillId="0" borderId="0" xfId="30" applyFont="1" applyFill="1"/>
    <xf numFmtId="44" fontId="43" fillId="0" borderId="0" xfId="30" applyFont="1" applyFill="1"/>
    <xf numFmtId="0" fontId="102" fillId="9" borderId="5" xfId="19" applyFont="1" applyFill="1" applyBorder="1"/>
    <xf numFmtId="43" fontId="0" fillId="19" borderId="0" xfId="2" applyFont="1" applyFill="1"/>
    <xf numFmtId="0" fontId="102" fillId="9" borderId="9" xfId="19" applyFont="1" applyFill="1" applyBorder="1"/>
    <xf numFmtId="39" fontId="30" fillId="0" borderId="0" xfId="14" applyNumberFormat="1"/>
    <xf numFmtId="9" fontId="30" fillId="0" borderId="0" xfId="3" applyFont="1"/>
    <xf numFmtId="167" fontId="46" fillId="0" borderId="0" xfId="3" applyNumberFormat="1" applyFont="1" applyAlignment="1">
      <alignment horizontal="left" vertical="top"/>
    </xf>
    <xf numFmtId="0" fontId="32" fillId="0" borderId="0" xfId="0" applyFont="1" applyAlignment="1">
      <alignment horizontal="left" indent="2"/>
    </xf>
    <xf numFmtId="0" fontId="52" fillId="0" borderId="19" xfId="19" applyFont="1" applyBorder="1" applyAlignment="1">
      <alignment horizontal="center" vertical="center" wrapText="1"/>
    </xf>
    <xf numFmtId="0" fontId="52" fillId="0" borderId="18" xfId="19" applyFont="1" applyBorder="1" applyAlignment="1">
      <alignment horizontal="center" vertical="center" wrapText="1"/>
    </xf>
    <xf numFmtId="0" fontId="52" fillId="0" borderId="17" xfId="19" applyFont="1" applyBorder="1" applyAlignment="1">
      <alignment horizontal="center" vertical="center" wrapText="1"/>
    </xf>
    <xf numFmtId="0" fontId="52" fillId="0" borderId="27" xfId="19" applyFont="1" applyBorder="1" applyAlignment="1">
      <alignment horizontal="center" vertical="center" wrapText="1"/>
    </xf>
    <xf numFmtId="0" fontId="52" fillId="0" borderId="28" xfId="19" applyFont="1" applyBorder="1" applyAlignment="1">
      <alignment horizontal="center" vertical="center" wrapText="1"/>
    </xf>
    <xf numFmtId="0" fontId="52" fillId="0" borderId="29" xfId="19" applyFont="1" applyBorder="1" applyAlignment="1">
      <alignment horizontal="center" vertical="center" wrapText="1"/>
    </xf>
    <xf numFmtId="0" fontId="12" fillId="0" borderId="5" xfId="18" applyFont="1" applyBorder="1" applyAlignment="1">
      <alignment horizontal="left" indent="5"/>
    </xf>
    <xf numFmtId="0" fontId="47" fillId="0" borderId="60" xfId="0" applyFont="1" applyBorder="1" applyAlignment="1">
      <alignment horizontal="left"/>
    </xf>
    <xf numFmtId="0" fontId="52" fillId="0" borderId="0" xfId="19" applyFont="1" applyAlignment="1">
      <alignment horizontal="center" vertical="center" wrapText="1"/>
    </xf>
    <xf numFmtId="0" fontId="51" fillId="0" borderId="30" xfId="19" applyBorder="1"/>
    <xf numFmtId="43" fontId="51" fillId="0" borderId="61" xfId="19" applyNumberFormat="1" applyBorder="1"/>
    <xf numFmtId="0" fontId="44" fillId="4" borderId="21" xfId="31" applyFont="1" applyFill="1" applyBorder="1" applyAlignment="1">
      <alignment horizontal="center" vertical="center" wrapText="1"/>
    </xf>
    <xf numFmtId="164" fontId="54" fillId="5" borderId="35" xfId="2" applyNumberFormat="1" applyFont="1" applyFill="1" applyBorder="1" applyAlignment="1">
      <alignment horizontal="left" vertical="center" wrapText="1"/>
    </xf>
    <xf numFmtId="165" fontId="60" fillId="0" borderId="35" xfId="2" applyNumberFormat="1" applyFont="1" applyBorder="1" applyAlignment="1">
      <alignment horizontal="center" vertical="center"/>
    </xf>
    <xf numFmtId="0" fontId="44" fillId="4" borderId="31" xfId="31" applyFont="1" applyFill="1" applyBorder="1" applyAlignment="1">
      <alignment horizontal="center" vertical="center" wrapText="1"/>
    </xf>
    <xf numFmtId="170" fontId="32" fillId="0" borderId="0" xfId="30" applyNumberFormat="1" applyFont="1"/>
    <xf numFmtId="170" fontId="46" fillId="0" borderId="0" xfId="30" applyNumberFormat="1" applyFont="1"/>
    <xf numFmtId="0" fontId="10" fillId="0" borderId="50" xfId="19" applyFont="1" applyBorder="1"/>
    <xf numFmtId="43" fontId="10" fillId="0" borderId="0" xfId="16" applyFont="1"/>
    <xf numFmtId="43" fontId="0" fillId="19" borderId="9" xfId="2" applyFont="1" applyFill="1" applyBorder="1"/>
    <xf numFmtId="43" fontId="10" fillId="0" borderId="0" xfId="2" applyFont="1" applyFill="1"/>
    <xf numFmtId="0" fontId="33" fillId="0" borderId="54" xfId="0" applyFont="1" applyBorder="1" applyAlignment="1">
      <alignment horizontal="center" vertical="top" wrapText="1" readingOrder="1"/>
    </xf>
    <xf numFmtId="0" fontId="33" fillId="0" borderId="54" xfId="0" applyFont="1" applyBorder="1" applyAlignment="1">
      <alignment horizontal="center" vertical="top" readingOrder="1"/>
    </xf>
    <xf numFmtId="171" fontId="0" fillId="0" borderId="0" xfId="0" applyNumberFormat="1"/>
    <xf numFmtId="43" fontId="89" fillId="0" borderId="56" xfId="2" applyFont="1" applyFill="1" applyBorder="1"/>
    <xf numFmtId="171" fontId="69" fillId="0" borderId="0" xfId="0" applyNumberFormat="1" applyFont="1"/>
    <xf numFmtId="164" fontId="46" fillId="18" borderId="0" xfId="15" applyNumberFormat="1" applyFill="1" applyAlignment="1">
      <alignment horizontal="left" vertical="top"/>
    </xf>
    <xf numFmtId="49" fontId="41" fillId="0" borderId="35" xfId="0" applyNumberFormat="1" applyFont="1" applyBorder="1" applyAlignment="1">
      <alignment horizontal="center" vertical="center"/>
    </xf>
    <xf numFmtId="9" fontId="32" fillId="0" borderId="9" xfId="3" applyFont="1" applyBorder="1" applyAlignment="1">
      <alignment horizontal="left"/>
    </xf>
    <xf numFmtId="0" fontId="116" fillId="0" borderId="0" xfId="0" applyFont="1" applyAlignment="1">
      <alignment horizontal="left"/>
    </xf>
    <xf numFmtId="49" fontId="117" fillId="0" borderId="0" xfId="1" applyNumberFormat="1" applyFont="1" applyAlignment="1">
      <alignment horizontal="left"/>
    </xf>
    <xf numFmtId="44" fontId="45" fillId="0" borderId="0" xfId="30" applyFont="1" applyFill="1"/>
    <xf numFmtId="43" fontId="47" fillId="0" borderId="0" xfId="2" applyFont="1" applyFill="1"/>
    <xf numFmtId="0" fontId="45" fillId="0" borderId="0" xfId="19" applyFont="1"/>
    <xf numFmtId="43" fontId="45" fillId="0" borderId="0" xfId="2" applyFont="1" applyFill="1"/>
    <xf numFmtId="0" fontId="119" fillId="0" borderId="54" xfId="0" applyFont="1" applyBorder="1" applyAlignment="1">
      <alignment vertical="top" wrapText="1" readingOrder="1"/>
    </xf>
    <xf numFmtId="0" fontId="120" fillId="0" borderId="54" xfId="0" applyFont="1" applyBorder="1" applyAlignment="1">
      <alignment vertical="top" wrapText="1" readingOrder="1"/>
    </xf>
    <xf numFmtId="44" fontId="67" fillId="0" borderId="0" xfId="1" applyNumberFormat="1" applyFont="1"/>
    <xf numFmtId="44" fontId="47" fillId="0" borderId="0" xfId="30" applyFont="1" applyFill="1"/>
    <xf numFmtId="43" fontId="71" fillId="0" borderId="0" xfId="2" applyFont="1" applyAlignment="1">
      <alignment horizontal="left" vertical="top"/>
    </xf>
    <xf numFmtId="44" fontId="46" fillId="0" borderId="0" xfId="30" applyFont="1" applyAlignment="1">
      <alignment vertical="top"/>
    </xf>
    <xf numFmtId="44" fontId="30" fillId="0" borderId="0" xfId="30" applyFont="1"/>
    <xf numFmtId="0" fontId="64" fillId="0" borderId="48" xfId="19" applyFont="1" applyBorder="1" applyAlignment="1">
      <alignment horizontal="center"/>
    </xf>
    <xf numFmtId="0" fontId="64" fillId="0" borderId="49" xfId="19" applyFont="1" applyBorder="1" applyAlignment="1">
      <alignment horizontal="center"/>
    </xf>
    <xf numFmtId="0" fontId="64" fillId="0" borderId="47" xfId="19" applyFont="1" applyBorder="1" applyAlignment="1">
      <alignment horizontal="center"/>
    </xf>
    <xf numFmtId="43" fontId="0" fillId="9" borderId="12" xfId="16" applyFont="1" applyFill="1" applyBorder="1" applyAlignment="1">
      <alignment horizontal="center"/>
    </xf>
    <xf numFmtId="43" fontId="0" fillId="9" borderId="3" xfId="16" applyFont="1" applyFill="1" applyBorder="1" applyAlignment="1">
      <alignment horizontal="center"/>
    </xf>
    <xf numFmtId="43" fontId="0" fillId="9" borderId="4" xfId="16" applyFont="1" applyFill="1" applyBorder="1" applyAlignment="1">
      <alignment horizontal="center"/>
    </xf>
    <xf numFmtId="0" fontId="8" fillId="0" borderId="0" xfId="14" applyFont="1"/>
    <xf numFmtId="170" fontId="30" fillId="0" borderId="0" xfId="30" applyNumberFormat="1" applyFont="1"/>
    <xf numFmtId="0" fontId="7" fillId="0" borderId="0" xfId="14" applyFont="1"/>
    <xf numFmtId="44" fontId="30" fillId="0" borderId="0" xfId="14" applyNumberFormat="1"/>
    <xf numFmtId="0" fontId="30" fillId="0" borderId="47" xfId="14" applyBorder="1"/>
    <xf numFmtId="0" fontId="30" fillId="0" borderId="48" xfId="14" applyBorder="1"/>
    <xf numFmtId="0" fontId="30" fillId="0" borderId="49" xfId="14" applyBorder="1"/>
    <xf numFmtId="0" fontId="30" fillId="0" borderId="50" xfId="14" applyBorder="1"/>
    <xf numFmtId="0" fontId="30" fillId="0" borderId="51" xfId="14" applyBorder="1"/>
    <xf numFmtId="39" fontId="68" fillId="0" borderId="0" xfId="1" applyNumberFormat="1" applyFont="1"/>
    <xf numFmtId="43" fontId="68" fillId="0" borderId="0" xfId="1" applyNumberFormat="1" applyFont="1"/>
    <xf numFmtId="9" fontId="30" fillId="0" borderId="51" xfId="3" applyFont="1" applyBorder="1"/>
    <xf numFmtId="44" fontId="68" fillId="0" borderId="0" xfId="30" applyFont="1" applyBorder="1"/>
    <xf numFmtId="0" fontId="30" fillId="0" borderId="52" xfId="14" applyBorder="1"/>
    <xf numFmtId="0" fontId="30" fillId="0" borderId="1" xfId="14" applyBorder="1"/>
    <xf numFmtId="0" fontId="30" fillId="0" borderId="53" xfId="14" applyBorder="1"/>
    <xf numFmtId="0" fontId="30" fillId="9" borderId="47" xfId="14" applyFill="1" applyBorder="1"/>
    <xf numFmtId="0" fontId="30" fillId="9" borderId="48" xfId="14" applyFill="1" applyBorder="1"/>
    <xf numFmtId="0" fontId="45" fillId="9" borderId="49" xfId="14" applyFont="1" applyFill="1" applyBorder="1"/>
    <xf numFmtId="0" fontId="30" fillId="9" borderId="50" xfId="14" applyFill="1" applyBorder="1"/>
    <xf numFmtId="0" fontId="45" fillId="9" borderId="51" xfId="14" applyFont="1" applyFill="1" applyBorder="1"/>
    <xf numFmtId="0" fontId="0" fillId="9" borderId="50" xfId="0" applyFill="1" applyBorder="1"/>
    <xf numFmtId="0" fontId="0" fillId="9" borderId="52" xfId="0" applyFill="1" applyBorder="1"/>
    <xf numFmtId="0" fontId="30" fillId="9" borderId="1" xfId="14" applyFill="1" applyBorder="1"/>
    <xf numFmtId="0" fontId="45" fillId="9" borderId="53" xfId="14" applyFont="1" applyFill="1" applyBorder="1"/>
    <xf numFmtId="44" fontId="46" fillId="0" borderId="50" xfId="30" applyFont="1" applyBorder="1"/>
    <xf numFmtId="0" fontId="129" fillId="0" borderId="0" xfId="1" applyFont="1"/>
    <xf numFmtId="0" fontId="6" fillId="9" borderId="0" xfId="14" applyFont="1" applyFill="1"/>
    <xf numFmtId="43" fontId="30" fillId="9" borderId="0" xfId="14" applyNumberFormat="1" applyFill="1"/>
    <xf numFmtId="43" fontId="30" fillId="9" borderId="0" xfId="2" applyFont="1" applyFill="1" applyBorder="1"/>
    <xf numFmtId="0" fontId="32" fillId="9" borderId="0" xfId="0" applyFont="1" applyFill="1" applyAlignment="1">
      <alignment horizontal="center"/>
    </xf>
    <xf numFmtId="0" fontId="5" fillId="0" borderId="0" xfId="14" applyFont="1"/>
    <xf numFmtId="170" fontId="30" fillId="0" borderId="0" xfId="30" applyNumberFormat="1" applyFont="1" applyBorder="1"/>
    <xf numFmtId="170" fontId="71" fillId="0" borderId="0" xfId="30" applyNumberFormat="1" applyFont="1" applyAlignment="1">
      <alignment horizontal="left" vertical="top"/>
    </xf>
    <xf numFmtId="170" fontId="29" fillId="0" borderId="0" xfId="30" applyNumberFormat="1" applyFont="1"/>
    <xf numFmtId="0" fontId="130" fillId="0" borderId="0" xfId="0" applyFont="1"/>
    <xf numFmtId="43" fontId="32" fillId="0" borderId="0" xfId="2" applyFont="1" applyFill="1" applyBorder="1" applyAlignment="1">
      <alignment wrapText="1"/>
    </xf>
    <xf numFmtId="43" fontId="32" fillId="0" borderId="9" xfId="2" applyFont="1" applyFill="1" applyBorder="1" applyAlignment="1">
      <alignment horizontal="center" vertical="center" wrapText="1"/>
    </xf>
    <xf numFmtId="43" fontId="32" fillId="0" borderId="9" xfId="2" applyFont="1" applyBorder="1"/>
    <xf numFmtId="170" fontId="32" fillId="0" borderId="9" xfId="30" applyNumberFormat="1" applyFont="1" applyBorder="1"/>
    <xf numFmtId="0" fontId="17" fillId="0" borderId="9" xfId="15" applyFont="1" applyBorder="1"/>
    <xf numFmtId="0" fontId="30" fillId="0" borderId="9" xfId="15" applyFont="1" applyBorder="1"/>
    <xf numFmtId="0" fontId="32" fillId="0" borderId="9" xfId="0" applyFont="1" applyBorder="1" applyAlignment="1">
      <alignment horizontal="center" vertical="center"/>
    </xf>
    <xf numFmtId="43" fontId="32" fillId="0" borderId="9" xfId="2" applyFont="1" applyFill="1" applyBorder="1" applyAlignment="1">
      <alignment horizontal="center" vertical="center"/>
    </xf>
    <xf numFmtId="9" fontId="0" fillId="0" borderId="0" xfId="17" applyFont="1" applyFill="1" applyBorder="1" applyAlignment="1">
      <alignment horizontal="center"/>
    </xf>
    <xf numFmtId="9" fontId="0" fillId="0" borderId="0" xfId="17" applyFont="1" applyFill="1" applyAlignment="1">
      <alignment horizontal="center"/>
    </xf>
    <xf numFmtId="0" fontId="4" fillId="0" borderId="0" xfId="14" applyFont="1" applyAlignment="1">
      <alignment horizontal="right"/>
    </xf>
    <xf numFmtId="10" fontId="0" fillId="0" borderId="51" xfId="17" applyNumberFormat="1" applyFont="1" applyBorder="1"/>
    <xf numFmtId="43" fontId="0" fillId="0" borderId="51" xfId="2" applyFont="1" applyBorder="1"/>
    <xf numFmtId="44" fontId="85" fillId="9" borderId="0" xfId="30" applyFont="1" applyFill="1"/>
    <xf numFmtId="44" fontId="46" fillId="0" borderId="3" xfId="30" applyFont="1" applyBorder="1" applyAlignment="1">
      <alignment vertical="top"/>
    </xf>
    <xf numFmtId="44" fontId="46" fillId="0" borderId="21" xfId="30" applyFont="1" applyBorder="1" applyAlignment="1">
      <alignment vertical="top"/>
    </xf>
    <xf numFmtId="44" fontId="46" fillId="0" borderId="4" xfId="30" applyFont="1" applyBorder="1" applyAlignment="1">
      <alignment vertical="top"/>
    </xf>
    <xf numFmtId="44" fontId="46" fillId="0" borderId="0" xfId="30" applyFont="1" applyAlignment="1">
      <alignment horizontal="center" vertical="top"/>
    </xf>
    <xf numFmtId="44" fontId="46" fillId="0" borderId="0" xfId="30" applyFont="1" applyAlignment="1">
      <alignment horizontal="left" vertical="top"/>
    </xf>
    <xf numFmtId="44" fontId="104" fillId="9" borderId="39" xfId="30" applyFont="1" applyFill="1" applyBorder="1" applyAlignment="1">
      <alignment vertical="top"/>
    </xf>
    <xf numFmtId="44" fontId="46" fillId="0" borderId="13" xfId="30" applyFont="1" applyBorder="1" applyAlignment="1">
      <alignment vertical="top"/>
    </xf>
    <xf numFmtId="44" fontId="46" fillId="9" borderId="0" xfId="30" applyFont="1" applyFill="1" applyAlignment="1">
      <alignment vertical="top"/>
    </xf>
    <xf numFmtId="44" fontId="44" fillId="4" borderId="3" xfId="30" applyFont="1" applyFill="1" applyBorder="1" applyAlignment="1">
      <alignment horizontal="center" vertical="center" wrapText="1"/>
    </xf>
    <xf numFmtId="44" fontId="44" fillId="4" borderId="4" xfId="30" applyFont="1" applyFill="1" applyBorder="1" applyAlignment="1">
      <alignment horizontal="center" vertical="center" wrapText="1"/>
    </xf>
    <xf numFmtId="44" fontId="47" fillId="0" borderId="9" xfId="30" applyFont="1" applyBorder="1" applyAlignment="1">
      <alignment horizontal="center" vertical="center"/>
    </xf>
    <xf numFmtId="44" fontId="47" fillId="0" borderId="11" xfId="30" applyFont="1" applyBorder="1" applyAlignment="1">
      <alignment horizontal="center" vertical="center"/>
    </xf>
    <xf numFmtId="44" fontId="47" fillId="5" borderId="9" xfId="30" applyFont="1" applyFill="1" applyBorder="1"/>
    <xf numFmtId="44" fontId="47" fillId="3" borderId="10" xfId="30" applyFont="1" applyFill="1" applyBorder="1"/>
    <xf numFmtId="44" fontId="47" fillId="0" borderId="9" xfId="30" applyFont="1" applyFill="1" applyBorder="1"/>
    <xf numFmtId="44" fontId="47" fillId="11" borderId="10" xfId="30" applyFont="1" applyFill="1" applyBorder="1"/>
    <xf numFmtId="44" fontId="41" fillId="11" borderId="7" xfId="30" applyFont="1" applyFill="1" applyBorder="1"/>
    <xf numFmtId="44" fontId="47" fillId="3" borderId="7" xfId="30" applyFont="1" applyFill="1" applyBorder="1"/>
    <xf numFmtId="44" fontId="41" fillId="3" borderId="7" xfId="30" applyFont="1" applyFill="1" applyBorder="1"/>
    <xf numFmtId="44" fontId="47" fillId="5" borderId="11" xfId="30" applyFont="1" applyFill="1" applyBorder="1"/>
    <xf numFmtId="44" fontId="47" fillId="3" borderId="9" xfId="30" applyFont="1" applyFill="1" applyBorder="1"/>
    <xf numFmtId="44" fontId="47" fillId="0" borderId="15" xfId="30" applyFont="1" applyFill="1" applyBorder="1"/>
    <xf numFmtId="44" fontId="0" fillId="0" borderId="0" xfId="30" applyFont="1" applyAlignment="1">
      <alignment horizontal="left" vertical="top"/>
    </xf>
    <xf numFmtId="44" fontId="41" fillId="0" borderId="0" xfId="30" applyFont="1" applyFill="1" applyBorder="1"/>
    <xf numFmtId="44" fontId="0" fillId="0" borderId="0" xfId="30" applyFont="1" applyAlignment="1">
      <alignment vertical="center"/>
    </xf>
    <xf numFmtId="44" fontId="41" fillId="0" borderId="9" xfId="30" applyFont="1" applyBorder="1" applyAlignment="1">
      <alignment horizontal="center" vertical="center"/>
    </xf>
    <xf numFmtId="44" fontId="41" fillId="0" borderId="11" xfId="30" applyFont="1" applyBorder="1" applyAlignment="1">
      <alignment horizontal="center" vertical="center"/>
    </xf>
    <xf numFmtId="44" fontId="62" fillId="5" borderId="9" xfId="30" applyFont="1" applyFill="1" applyBorder="1"/>
    <xf numFmtId="44" fontId="23" fillId="3" borderId="9" xfId="30" applyFont="1" applyFill="1" applyBorder="1" applyAlignment="1">
      <alignment horizontal="center" vertical="center" shrinkToFit="1"/>
    </xf>
    <xf numFmtId="44" fontId="23" fillId="3" borderId="10" xfId="30" applyFont="1" applyFill="1" applyBorder="1" applyAlignment="1">
      <alignment horizontal="center" vertical="center" shrinkToFit="1"/>
    </xf>
    <xf numFmtId="44" fontId="24" fillId="5" borderId="9" xfId="30" applyFont="1" applyFill="1" applyBorder="1" applyAlignment="1">
      <alignment horizontal="center" vertical="center" shrinkToFit="1"/>
    </xf>
    <xf numFmtId="44" fontId="24" fillId="5" borderId="9" xfId="30" applyFont="1" applyFill="1" applyBorder="1" applyAlignment="1">
      <alignment horizontal="center" vertical="center" wrapText="1"/>
    </xf>
    <xf numFmtId="44" fontId="24" fillId="5" borderId="9" xfId="30" applyFont="1" applyFill="1" applyBorder="1" applyAlignment="1">
      <alignment horizontal="left" vertical="top"/>
    </xf>
    <xf numFmtId="44" fontId="24" fillId="5" borderId="11" xfId="30" applyFont="1" applyFill="1" applyBorder="1" applyAlignment="1">
      <alignment horizontal="center" vertical="center" shrinkToFit="1"/>
    </xf>
    <xf numFmtId="44" fontId="24" fillId="3" borderId="9" xfId="30" applyFont="1" applyFill="1" applyBorder="1" applyAlignment="1">
      <alignment horizontal="center" vertical="center" shrinkToFit="1"/>
    </xf>
    <xf numFmtId="44" fontId="24" fillId="3" borderId="10" xfId="30" applyFont="1" applyFill="1" applyBorder="1" applyAlignment="1">
      <alignment horizontal="center" vertical="center" shrinkToFit="1"/>
    </xf>
    <xf numFmtId="44" fontId="43" fillId="0" borderId="9" xfId="30" applyFont="1" applyBorder="1" applyAlignment="1">
      <alignment horizontal="center" vertical="top" wrapText="1"/>
    </xf>
    <xf numFmtId="44" fontId="41" fillId="5" borderId="9" xfId="30" applyFont="1" applyFill="1" applyBorder="1"/>
    <xf numFmtId="44" fontId="43" fillId="5" borderId="9" xfId="30" applyFont="1" applyFill="1" applyBorder="1" applyAlignment="1">
      <alignment vertical="top" wrapText="1"/>
    </xf>
    <xf numFmtId="44" fontId="43" fillId="0" borderId="9" xfId="30" applyFont="1" applyFill="1" applyBorder="1" applyAlignment="1">
      <alignment vertical="top" wrapText="1"/>
    </xf>
    <xf numFmtId="44" fontId="90" fillId="0" borderId="9" xfId="30" applyFont="1" applyFill="1" applyBorder="1" applyAlignment="1">
      <alignment vertical="top" wrapText="1"/>
    </xf>
    <xf numFmtId="44" fontId="43" fillId="3" borderId="7" xfId="30" applyFont="1" applyFill="1" applyBorder="1" applyAlignment="1">
      <alignment vertical="top" wrapText="1"/>
    </xf>
    <xf numFmtId="44" fontId="43" fillId="0" borderId="0" xfId="30" applyFont="1" applyFill="1" applyBorder="1" applyAlignment="1">
      <alignment vertical="top" wrapText="1"/>
    </xf>
    <xf numFmtId="44" fontId="48" fillId="0" borderId="0" xfId="30" applyFont="1" applyAlignment="1">
      <alignment horizontal="left" vertical="top"/>
    </xf>
    <xf numFmtId="44" fontId="103" fillId="0" borderId="9" xfId="30" applyFont="1" applyFill="1" applyBorder="1" applyAlignment="1">
      <alignment vertical="top" wrapText="1"/>
    </xf>
    <xf numFmtId="44" fontId="49" fillId="0" borderId="0" xfId="30" applyFont="1" applyFill="1" applyBorder="1" applyAlignment="1">
      <alignment horizontal="left" vertical="top" wrapText="1"/>
    </xf>
    <xf numFmtId="44" fontId="41" fillId="0" borderId="9" xfId="30" applyFont="1" applyBorder="1" applyAlignment="1">
      <alignment horizontal="center"/>
    </xf>
    <xf numFmtId="44" fontId="41" fillId="3" borderId="41" xfId="30" applyFont="1" applyFill="1" applyBorder="1"/>
    <xf numFmtId="44" fontId="24" fillId="3" borderId="15" xfId="30" applyFont="1" applyFill="1" applyBorder="1" applyAlignment="1">
      <alignment horizontal="center" vertical="center" shrinkToFit="1"/>
    </xf>
    <xf numFmtId="44" fontId="41" fillId="3" borderId="42" xfId="30" applyFont="1" applyFill="1" applyBorder="1"/>
    <xf numFmtId="0" fontId="32" fillId="0" borderId="35" xfId="0" applyFont="1" applyBorder="1"/>
    <xf numFmtId="43" fontId="32" fillId="0" borderId="9" xfId="0" applyNumberFormat="1" applyFont="1" applyBorder="1"/>
    <xf numFmtId="0" fontId="129" fillId="0" borderId="0" xfId="0" applyFont="1" applyAlignment="1">
      <alignment horizontal="left" wrapText="1"/>
    </xf>
    <xf numFmtId="0" fontId="69" fillId="0" borderId="42" xfId="0" applyFont="1" applyBorder="1"/>
    <xf numFmtId="0" fontId="32" fillId="0" borderId="42" xfId="0" applyFont="1" applyBorder="1"/>
    <xf numFmtId="43" fontId="131" fillId="0" borderId="0" xfId="2" applyFont="1"/>
    <xf numFmtId="0" fontId="32" fillId="0" borderId="34" xfId="0" applyFont="1" applyBorder="1" applyAlignment="1">
      <alignment horizontal="center" vertical="center" wrapText="1"/>
    </xf>
    <xf numFmtId="164" fontId="32" fillId="0" borderId="0" xfId="2" applyNumberFormat="1" applyFont="1" applyFill="1" applyBorder="1" applyAlignment="1">
      <alignment horizontal="center" vertical="center"/>
    </xf>
    <xf numFmtId="164" fontId="32" fillId="0" borderId="0" xfId="2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32" fillId="0" borderId="34" xfId="0" applyFont="1" applyBorder="1" applyAlignment="1">
      <alignment horizontal="center" vertical="center"/>
    </xf>
    <xf numFmtId="164" fontId="32" fillId="0" borderId="0" xfId="2" applyNumberFormat="1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43" fontId="30" fillId="0" borderId="0" xfId="14" applyNumberFormat="1"/>
    <xf numFmtId="0" fontId="32" fillId="0" borderId="9" xfId="0" pivotButton="1" applyFont="1" applyBorder="1" applyAlignment="1">
      <alignment horizontal="center" vertical="center"/>
    </xf>
    <xf numFmtId="0" fontId="32" fillId="0" borderId="9" xfId="0" applyFont="1" applyBorder="1" applyAlignment="1">
      <alignment horizontal="left" indent="1"/>
    </xf>
    <xf numFmtId="164" fontId="32" fillId="0" borderId="33" xfId="0" applyNumberFormat="1" applyFont="1" applyBorder="1" applyAlignment="1">
      <alignment horizontal="center" vertical="center" wrapText="1"/>
    </xf>
    <xf numFmtId="164" fontId="32" fillId="0" borderId="41" xfId="0" applyNumberFormat="1" applyFont="1" applyBorder="1" applyAlignment="1">
      <alignment horizontal="center" vertical="center" wrapText="1"/>
    </xf>
    <xf numFmtId="164" fontId="32" fillId="0" borderId="42" xfId="0" applyNumberFormat="1" applyFont="1" applyBorder="1" applyAlignment="1">
      <alignment horizontal="center" vertical="center" wrapText="1"/>
    </xf>
    <xf numFmtId="0" fontId="33" fillId="0" borderId="54" xfId="0" applyFont="1" applyBorder="1" applyAlignment="1">
      <alignment vertical="top" wrapText="1" readingOrder="1"/>
    </xf>
    <xf numFmtId="43" fontId="71" fillId="0" borderId="0" xfId="18" applyNumberFormat="1" applyFont="1" applyAlignment="1">
      <alignment horizontal="left" vertical="top"/>
    </xf>
    <xf numFmtId="0" fontId="73" fillId="0" borderId="5" xfId="18" applyFont="1" applyBorder="1" applyAlignment="1">
      <alignment horizontal="left" vertical="top"/>
    </xf>
    <xf numFmtId="0" fontId="74" fillId="0" borderId="5" xfId="26" applyFont="1" applyBorder="1" applyAlignment="1">
      <alignment horizontal="left"/>
    </xf>
    <xf numFmtId="0" fontId="15" fillId="0" borderId="5" xfId="26" applyFont="1" applyBorder="1" applyAlignment="1">
      <alignment horizontal="left"/>
    </xf>
    <xf numFmtId="0" fontId="41" fillId="0" borderId="5" xfId="26" applyFont="1" applyBorder="1" applyAlignment="1">
      <alignment horizontal="left"/>
    </xf>
    <xf numFmtId="164" fontId="72" fillId="13" borderId="11" xfId="28" applyNumberFormat="1" applyFont="1" applyFill="1" applyBorder="1" applyAlignment="1">
      <alignment horizontal="left" vertical="center"/>
    </xf>
    <xf numFmtId="164" fontId="72" fillId="5" borderId="11" xfId="28" applyNumberFormat="1" applyFont="1" applyFill="1" applyBorder="1" applyAlignment="1">
      <alignment horizontal="left" vertical="center"/>
    </xf>
    <xf numFmtId="0" fontId="75" fillId="0" borderId="8" xfId="26" applyFont="1" applyBorder="1"/>
    <xf numFmtId="164" fontId="72" fillId="13" borderId="13" xfId="28" applyNumberFormat="1" applyFont="1" applyFill="1" applyBorder="1" applyAlignment="1">
      <alignment horizontal="left" vertical="center"/>
    </xf>
    <xf numFmtId="0" fontId="80" fillId="0" borderId="0" xfId="18" applyFont="1" applyAlignment="1">
      <alignment horizontal="left" vertical="top"/>
    </xf>
    <xf numFmtId="0" fontId="96" fillId="0" borderId="0" xfId="0" applyFont="1" applyAlignment="1">
      <alignment horizontal="left" wrapText="1"/>
    </xf>
    <xf numFmtId="0" fontId="98" fillId="0" borderId="0" xfId="0" applyFont="1" applyAlignment="1">
      <alignment horizontal="left" wrapText="1"/>
    </xf>
    <xf numFmtId="0" fontId="99" fillId="0" borderId="0" xfId="0" applyFont="1" applyAlignment="1">
      <alignment horizontal="left" wrapText="1"/>
    </xf>
    <xf numFmtId="0" fontId="101" fillId="0" borderId="0" xfId="1" applyFont="1"/>
    <xf numFmtId="0" fontId="101" fillId="0" borderId="0" xfId="0" applyFont="1" applyAlignment="1">
      <alignment horizontal="left" wrapText="1"/>
    </xf>
    <xf numFmtId="0" fontId="34" fillId="0" borderId="0" xfId="0" applyFont="1" applyAlignment="1">
      <alignment horizontal="center" vertical="center" readingOrder="1"/>
    </xf>
    <xf numFmtId="0" fontId="32" fillId="0" borderId="0" xfId="0" applyFont="1" applyAlignment="1">
      <alignment vertical="center"/>
    </xf>
    <xf numFmtId="0" fontId="119" fillId="0" borderId="0" xfId="0" applyFont="1" applyAlignment="1">
      <alignment vertical="center" readingOrder="1"/>
    </xf>
    <xf numFmtId="0" fontId="33" fillId="0" borderId="0" xfId="0" applyFont="1" applyAlignment="1">
      <alignment horizontal="center" vertical="center" readingOrder="1"/>
    </xf>
    <xf numFmtId="43" fontId="55" fillId="0" borderId="9" xfId="2" applyFont="1" applyBorder="1" applyAlignment="1">
      <alignment horizontal="center" vertical="center"/>
    </xf>
    <xf numFmtId="43" fontId="59" fillId="3" borderId="11" xfId="2" applyFont="1" applyFill="1" applyBorder="1" applyAlignment="1">
      <alignment horizontal="center" vertical="center"/>
    </xf>
    <xf numFmtId="43" fontId="53" fillId="5" borderId="10" xfId="2" applyFont="1" applyFill="1" applyBorder="1"/>
    <xf numFmtId="43" fontId="55" fillId="5" borderId="10" xfId="2" applyFont="1" applyFill="1" applyBorder="1" applyAlignment="1">
      <alignment horizontal="left" vertical="top"/>
    </xf>
    <xf numFmtId="43" fontId="53" fillId="5" borderId="36" xfId="2" applyFont="1" applyFill="1" applyBorder="1"/>
    <xf numFmtId="43" fontId="55" fillId="5" borderId="36" xfId="2" applyFont="1" applyFill="1" applyBorder="1" applyAlignment="1">
      <alignment horizontal="left" vertical="top"/>
    </xf>
    <xf numFmtId="43" fontId="60" fillId="5" borderId="10" xfId="2" applyFont="1" applyFill="1" applyBorder="1" applyAlignment="1">
      <alignment horizontal="left" vertical="center" wrapText="1" indent="3"/>
    </xf>
    <xf numFmtId="43" fontId="55" fillId="5" borderId="9" xfId="2" applyFont="1" applyFill="1" applyBorder="1" applyAlignment="1">
      <alignment horizontal="left" vertical="top"/>
    </xf>
    <xf numFmtId="43" fontId="53" fillId="5" borderId="9" xfId="2" applyFont="1" applyFill="1" applyBorder="1"/>
    <xf numFmtId="43" fontId="53" fillId="3" borderId="38" xfId="2" applyFont="1" applyFill="1" applyBorder="1"/>
    <xf numFmtId="43" fontId="61" fillId="3" borderId="38" xfId="2" applyFont="1" applyFill="1" applyBorder="1"/>
    <xf numFmtId="43" fontId="60" fillId="0" borderId="0" xfId="2" applyFont="1" applyAlignment="1">
      <alignment horizontal="center" vertical="center" shrinkToFit="1"/>
    </xf>
    <xf numFmtId="43" fontId="55" fillId="5" borderId="9" xfId="2" applyFont="1" applyFill="1" applyBorder="1" applyAlignment="1">
      <alignment horizontal="center" vertical="center"/>
    </xf>
    <xf numFmtId="43" fontId="54" fillId="5" borderId="9" xfId="2" applyFont="1" applyFill="1" applyBorder="1" applyAlignment="1">
      <alignment wrapText="1"/>
    </xf>
    <xf numFmtId="43" fontId="56" fillId="5" borderId="11" xfId="2" applyFont="1" applyFill="1" applyBorder="1" applyAlignment="1">
      <alignment horizontal="center" vertical="center"/>
    </xf>
    <xf numFmtId="43" fontId="54" fillId="5" borderId="9" xfId="2" applyFont="1" applyFill="1" applyBorder="1" applyAlignment="1">
      <alignment horizontal="left" vertical="center" wrapText="1"/>
    </xf>
    <xf numFmtId="43" fontId="56" fillId="5" borderId="9" xfId="2" applyFont="1" applyFill="1" applyBorder="1" applyAlignment="1">
      <alignment horizontal="center" vertical="center"/>
    </xf>
    <xf numFmtId="43" fontId="53" fillId="5" borderId="9" xfId="2" applyFont="1" applyFill="1" applyBorder="1" applyAlignment="1">
      <alignment horizontal="center"/>
    </xf>
    <xf numFmtId="43" fontId="55" fillId="0" borderId="0" xfId="2" applyFont="1" applyAlignment="1">
      <alignment horizontal="center" vertical="center"/>
    </xf>
    <xf numFmtId="43" fontId="60" fillId="0" borderId="0" xfId="2" applyFont="1" applyAlignment="1">
      <alignment horizontal="center" vertical="center"/>
    </xf>
    <xf numFmtId="0" fontId="46" fillId="0" borderId="0" xfId="19" applyFont="1" applyAlignment="1">
      <alignment horizontal="left" vertical="center"/>
    </xf>
    <xf numFmtId="169" fontId="51" fillId="0" borderId="0" xfId="19" applyNumberFormat="1" applyAlignment="1">
      <alignment horizontal="left" vertical="center"/>
    </xf>
    <xf numFmtId="0" fontId="51" fillId="0" borderId="0" xfId="19" applyAlignment="1">
      <alignment horizontal="center" vertical="center"/>
    </xf>
    <xf numFmtId="0" fontId="51" fillId="0" borderId="0" xfId="19" applyAlignment="1">
      <alignment vertical="center"/>
    </xf>
    <xf numFmtId="0" fontId="51" fillId="0" borderId="0" xfId="19" applyAlignment="1">
      <alignment horizontal="left" vertical="center"/>
    </xf>
    <xf numFmtId="0" fontId="50" fillId="0" borderId="0" xfId="21" applyFont="1" applyAlignment="1">
      <alignment vertical="center" wrapText="1"/>
    </xf>
    <xf numFmtId="169" fontId="50" fillId="0" borderId="0" xfId="21" applyNumberFormat="1" applyFont="1" applyAlignment="1">
      <alignment vertical="center" wrapText="1"/>
    </xf>
    <xf numFmtId="0" fontId="42" fillId="0" borderId="2" xfId="0" applyFont="1" applyBorder="1" applyAlignment="1">
      <alignment horizontal="left" vertical="center"/>
    </xf>
    <xf numFmtId="169" fontId="42" fillId="0" borderId="2" xfId="15" applyNumberFormat="1" applyFont="1" applyBorder="1" applyAlignment="1">
      <alignment vertical="center"/>
    </xf>
    <xf numFmtId="0" fontId="54" fillId="5" borderId="9" xfId="21" applyFont="1" applyFill="1" applyBorder="1" applyAlignment="1">
      <alignment vertical="center" wrapText="1"/>
    </xf>
    <xf numFmtId="0" fontId="57" fillId="0" borderId="5" xfId="21" applyFont="1" applyBorder="1" applyAlignment="1">
      <alignment horizontal="left" vertical="center" wrapText="1"/>
    </xf>
    <xf numFmtId="43" fontId="50" fillId="0" borderId="0" xfId="21" applyNumberFormat="1" applyFont="1" applyAlignment="1">
      <alignment vertical="center" wrapText="1"/>
    </xf>
    <xf numFmtId="0" fontId="58" fillId="0" borderId="5" xfId="21" applyFont="1" applyBorder="1" applyAlignment="1">
      <alignment horizontal="left" vertical="center" wrapText="1"/>
    </xf>
    <xf numFmtId="0" fontId="59" fillId="6" borderId="5" xfId="19" applyFont="1" applyFill="1" applyBorder="1" applyAlignment="1">
      <alignment horizontal="left" vertical="center" wrapText="1"/>
    </xf>
    <xf numFmtId="43" fontId="53" fillId="5" borderId="9" xfId="2" applyFont="1" applyFill="1" applyBorder="1" applyAlignment="1">
      <alignment horizontal="center" vertical="center"/>
    </xf>
    <xf numFmtId="43" fontId="53" fillId="5" borderId="10" xfId="2" applyFont="1" applyFill="1" applyBorder="1" applyAlignment="1">
      <alignment vertical="center"/>
    </xf>
    <xf numFmtId="43" fontId="55" fillId="5" borderId="10" xfId="2" applyFont="1" applyFill="1" applyBorder="1" applyAlignment="1">
      <alignment horizontal="left" vertical="center"/>
    </xf>
    <xf numFmtId="43" fontId="53" fillId="5" borderId="36" xfId="2" applyFont="1" applyFill="1" applyBorder="1" applyAlignment="1">
      <alignment vertical="center"/>
    </xf>
    <xf numFmtId="43" fontId="55" fillId="5" borderId="36" xfId="2" applyFont="1" applyFill="1" applyBorder="1" applyAlignment="1">
      <alignment horizontal="left" vertical="center"/>
    </xf>
    <xf numFmtId="43" fontId="60" fillId="5" borderId="10" xfId="2" applyFont="1" applyFill="1" applyBorder="1" applyAlignment="1">
      <alignment horizontal="left" vertical="center" wrapText="1"/>
    </xf>
    <xf numFmtId="43" fontId="55" fillId="5" borderId="9" xfId="2" applyFont="1" applyFill="1" applyBorder="1" applyAlignment="1">
      <alignment horizontal="left" vertical="center"/>
    </xf>
    <xf numFmtId="43" fontId="53" fillId="5" borderId="9" xfId="2" applyFont="1" applyFill="1" applyBorder="1" applyAlignment="1">
      <alignment vertical="center"/>
    </xf>
    <xf numFmtId="0" fontId="60" fillId="0" borderId="6" xfId="19" applyFont="1" applyBorder="1" applyAlignment="1">
      <alignment horizontal="left" vertical="center"/>
    </xf>
    <xf numFmtId="0" fontId="60" fillId="0" borderId="8" xfId="19" applyFont="1" applyBorder="1" applyAlignment="1">
      <alignment horizontal="left" vertical="center"/>
    </xf>
    <xf numFmtId="49" fontId="41" fillId="0" borderId="7" xfId="19" applyNumberFormat="1" applyFont="1" applyBorder="1" applyAlignment="1">
      <alignment horizontal="center" vertical="center"/>
    </xf>
    <xf numFmtId="49" fontId="41" fillId="0" borderId="38" xfId="19" applyNumberFormat="1" applyFont="1" applyBorder="1" applyAlignment="1">
      <alignment horizontal="center" vertical="center"/>
    </xf>
    <xf numFmtId="43" fontId="53" fillId="3" borderId="38" xfId="2" applyFont="1" applyFill="1" applyBorder="1" applyAlignment="1">
      <alignment vertical="center"/>
    </xf>
    <xf numFmtId="43" fontId="61" fillId="3" borderId="38" xfId="2" applyFont="1" applyFill="1" applyBorder="1" applyAlignment="1">
      <alignment vertical="center"/>
    </xf>
    <xf numFmtId="43" fontId="60" fillId="0" borderId="0" xfId="2" applyFont="1" applyAlignment="1">
      <alignment vertical="center"/>
    </xf>
    <xf numFmtId="0" fontId="29" fillId="0" borderId="0" xfId="21" applyAlignment="1">
      <alignment vertical="center"/>
    </xf>
    <xf numFmtId="10" fontId="42" fillId="0" borderId="2" xfId="15" applyNumberFormat="1" applyFont="1" applyBorder="1" applyAlignment="1">
      <alignment vertical="center"/>
    </xf>
    <xf numFmtId="43" fontId="54" fillId="5" borderId="9" xfId="2" applyFont="1" applyFill="1" applyBorder="1" applyAlignment="1">
      <alignment vertical="center" wrapText="1"/>
    </xf>
    <xf numFmtId="0" fontId="22" fillId="0" borderId="0" xfId="21" applyFont="1" applyAlignment="1">
      <alignment vertical="center"/>
    </xf>
    <xf numFmtId="43" fontId="29" fillId="0" borderId="0" xfId="2" applyFont="1" applyAlignment="1">
      <alignment vertical="center"/>
    </xf>
    <xf numFmtId="43" fontId="29" fillId="0" borderId="0" xfId="21" applyNumberFormat="1" applyAlignment="1">
      <alignment vertical="center"/>
    </xf>
    <xf numFmtId="164" fontId="29" fillId="0" borderId="0" xfId="21" applyNumberFormat="1" applyAlignment="1">
      <alignment vertical="center"/>
    </xf>
    <xf numFmtId="169" fontId="29" fillId="0" borderId="0" xfId="21" applyNumberFormat="1" applyAlignment="1">
      <alignment vertical="center"/>
    </xf>
    <xf numFmtId="10" fontId="29" fillId="0" borderId="0" xfId="21" applyNumberFormat="1" applyAlignment="1">
      <alignment vertical="center"/>
    </xf>
    <xf numFmtId="43" fontId="55" fillId="0" borderId="0" xfId="2" applyFont="1" applyAlignment="1">
      <alignment horizontal="left" vertical="center"/>
    </xf>
    <xf numFmtId="43" fontId="132" fillId="0" borderId="0" xfId="2" applyFont="1" applyAlignment="1">
      <alignment horizontal="left" vertical="center"/>
    </xf>
    <xf numFmtId="44" fontId="68" fillId="0" borderId="0" xfId="30" applyFont="1"/>
    <xf numFmtId="44" fontId="67" fillId="0" borderId="0" xfId="30" applyFont="1" applyAlignment="1">
      <alignment horizontal="centerContinuous"/>
    </xf>
    <xf numFmtId="44" fontId="53" fillId="0" borderId="0" xfId="30" applyFont="1"/>
    <xf numFmtId="44" fontId="97" fillId="9" borderId="59" xfId="30" applyFont="1" applyFill="1" applyBorder="1"/>
    <xf numFmtId="44" fontId="45" fillId="0" borderId="0" xfId="30" applyFont="1"/>
    <xf numFmtId="9" fontId="71" fillId="0" borderId="0" xfId="3" applyFont="1" applyAlignment="1">
      <alignment horizontal="left" vertical="top"/>
    </xf>
    <xf numFmtId="9" fontId="46" fillId="0" borderId="0" xfId="3" applyFont="1" applyAlignment="1">
      <alignment horizontal="left" vertical="top"/>
    </xf>
    <xf numFmtId="44" fontId="0" fillId="0" borderId="0" xfId="30" applyFont="1" applyFill="1"/>
    <xf numFmtId="0" fontId="34" fillId="0" borderId="63" xfId="0" applyFont="1" applyBorder="1" applyAlignment="1">
      <alignment horizontal="center" vertical="center" readingOrder="1"/>
    </xf>
    <xf numFmtId="0" fontId="34" fillId="0" borderId="63" xfId="0" applyFont="1" applyBorder="1" applyAlignment="1">
      <alignment horizontal="left" vertical="center" readingOrder="1"/>
    </xf>
    <xf numFmtId="164" fontId="34" fillId="0" borderId="63" xfId="2" applyNumberFormat="1" applyFont="1" applyFill="1" applyBorder="1" applyAlignment="1">
      <alignment horizontal="center" vertical="center" readingOrder="1"/>
    </xf>
    <xf numFmtId="43" fontId="34" fillId="0" borderId="64" xfId="2" applyFont="1" applyFill="1" applyBorder="1" applyAlignment="1">
      <alignment horizontal="center" vertical="center" readingOrder="1"/>
    </xf>
    <xf numFmtId="0" fontId="34" fillId="0" borderId="10" xfId="0" applyFont="1" applyBorder="1" applyAlignment="1">
      <alignment horizontal="center" vertical="center" readingOrder="1"/>
    </xf>
    <xf numFmtId="0" fontId="34" fillId="0" borderId="9" xfId="0" applyFont="1" applyBorder="1" applyAlignment="1">
      <alignment horizontal="center" vertical="center" readingOrder="1"/>
    </xf>
    <xf numFmtId="0" fontId="33" fillId="0" borderId="9" xfId="0" applyFont="1" applyBorder="1" applyAlignment="1">
      <alignment vertical="center" readingOrder="1"/>
    </xf>
    <xf numFmtId="0" fontId="33" fillId="0" borderId="54" xfId="0" applyFont="1" applyBorder="1" applyAlignment="1">
      <alignment vertical="center" readingOrder="1"/>
    </xf>
    <xf numFmtId="0" fontId="33" fillId="0" borderId="9" xfId="0" applyFont="1" applyBorder="1" applyAlignment="1">
      <alignment horizontal="left" vertical="center" readingOrder="1"/>
    </xf>
    <xf numFmtId="0" fontId="33" fillId="0" borderId="9" xfId="0" applyFont="1" applyBorder="1" applyAlignment="1">
      <alignment horizontal="center" vertical="center" readingOrder="1"/>
    </xf>
    <xf numFmtId="164" fontId="33" fillId="0" borderId="9" xfId="2" applyNumberFormat="1" applyFont="1" applyFill="1" applyBorder="1" applyAlignment="1">
      <alignment horizontal="center" vertical="center" readingOrder="1"/>
    </xf>
    <xf numFmtId="43" fontId="33" fillId="0" borderId="9" xfId="2" applyFont="1" applyFill="1" applyBorder="1" applyAlignment="1">
      <alignment horizontal="center" vertical="center" readingOrder="1"/>
    </xf>
    <xf numFmtId="0" fontId="32" fillId="0" borderId="9" xfId="0" applyFont="1" applyBorder="1" applyAlignment="1">
      <alignment vertical="center"/>
    </xf>
    <xf numFmtId="0" fontId="33" fillId="0" borderId="35" xfId="0" applyFont="1" applyBorder="1" applyAlignment="1">
      <alignment vertical="center" readingOrder="1"/>
    </xf>
    <xf numFmtId="2" fontId="32" fillId="0" borderId="9" xfId="2" applyNumberFormat="1" applyFont="1" applyFill="1" applyBorder="1" applyAlignment="1">
      <alignment vertical="center"/>
    </xf>
    <xf numFmtId="0" fontId="32" fillId="0" borderId="35" xfId="0" applyFont="1" applyBorder="1" applyAlignment="1">
      <alignment vertical="center"/>
    </xf>
    <xf numFmtId="0" fontId="115" fillId="0" borderId="9" xfId="0" applyFont="1" applyBorder="1" applyAlignment="1">
      <alignment vertical="center"/>
    </xf>
    <xf numFmtId="0" fontId="119" fillId="0" borderId="9" xfId="0" applyFont="1" applyBorder="1" applyAlignment="1">
      <alignment vertical="center" readingOrder="1"/>
    </xf>
    <xf numFmtId="0" fontId="115" fillId="0" borderId="9" xfId="0" applyFont="1" applyBorder="1" applyAlignment="1">
      <alignment horizontal="left" vertical="center"/>
    </xf>
    <xf numFmtId="0" fontId="115" fillId="0" borderId="9" xfId="0" applyFont="1" applyBorder="1" applyAlignment="1">
      <alignment horizontal="center" vertical="center"/>
    </xf>
    <xf numFmtId="164" fontId="32" fillId="0" borderId="9" xfId="2" applyNumberFormat="1" applyFont="1" applyFill="1" applyBorder="1" applyAlignment="1">
      <alignment horizontal="center" vertical="center"/>
    </xf>
    <xf numFmtId="0" fontId="32" fillId="0" borderId="10" xfId="0" applyFont="1" applyBorder="1" applyAlignment="1">
      <alignment vertical="center"/>
    </xf>
    <xf numFmtId="0" fontId="125" fillId="0" borderId="0" xfId="0" applyFont="1"/>
    <xf numFmtId="44" fontId="0" fillId="0" borderId="0" xfId="30" applyFont="1" applyFill="1" applyAlignment="1"/>
    <xf numFmtId="172" fontId="0" fillId="0" borderId="0" xfId="0" applyNumberFormat="1"/>
    <xf numFmtId="0" fontId="126" fillId="0" borderId="0" xfId="0" applyFont="1"/>
    <xf numFmtId="0" fontId="0" fillId="0" borderId="0" xfId="0" applyAlignment="1">
      <alignment wrapText="1"/>
    </xf>
    <xf numFmtId="0" fontId="127" fillId="0" borderId="0" xfId="0" applyFont="1" applyAlignment="1">
      <alignment horizontal="left" wrapText="1"/>
    </xf>
    <xf numFmtId="44" fontId="128" fillId="0" borderId="0" xfId="30" applyFont="1" applyFill="1" applyAlignment="1">
      <alignment horizontal="right" wrapText="1"/>
    </xf>
    <xf numFmtId="44" fontId="128" fillId="0" borderId="0" xfId="30" applyFont="1" applyFill="1" applyAlignment="1">
      <alignment wrapText="1"/>
    </xf>
    <xf numFmtId="44" fontId="0" fillId="0" borderId="0" xfId="0" applyNumberFormat="1"/>
    <xf numFmtId="0" fontId="2" fillId="0" borderId="0" xfId="14" applyFont="1"/>
    <xf numFmtId="0" fontId="45" fillId="0" borderId="0" xfId="1" applyFont="1"/>
    <xf numFmtId="0" fontId="51" fillId="0" borderId="0" xfId="19" applyAlignment="1">
      <alignment horizontal="center"/>
    </xf>
    <xf numFmtId="43" fontId="46" fillId="0" borderId="0" xfId="2" applyFont="1" applyFill="1"/>
    <xf numFmtId="44" fontId="10" fillId="0" borderId="0" xfId="30" applyFont="1" applyFill="1"/>
    <xf numFmtId="44" fontId="9" fillId="0" borderId="0" xfId="30" applyFont="1" applyFill="1" applyBorder="1"/>
    <xf numFmtId="0" fontId="0" fillId="0" borderId="0" xfId="0" applyAlignment="1">
      <alignment horizontal="center"/>
    </xf>
    <xf numFmtId="0" fontId="62" fillId="0" borderId="0" xfId="0" applyFont="1" applyAlignment="1">
      <alignment horizontal="center"/>
    </xf>
    <xf numFmtId="43" fontId="41" fillId="0" borderId="0" xfId="2" applyFont="1" applyFill="1"/>
    <xf numFmtId="0" fontId="45" fillId="0" borderId="0" xfId="0" applyFont="1" applyAlignment="1">
      <alignment horizontal="center"/>
    </xf>
    <xf numFmtId="0" fontId="47" fillId="0" borderId="0" xfId="0" applyFont="1"/>
    <xf numFmtId="0" fontId="121" fillId="0" borderId="62" xfId="0" applyFont="1" applyBorder="1" applyAlignment="1">
      <alignment horizontal="right" vertical="top" wrapText="1"/>
    </xf>
    <xf numFmtId="0" fontId="118" fillId="0" borderId="0" xfId="19" applyFont="1"/>
    <xf numFmtId="0" fontId="121" fillId="0" borderId="0" xfId="0" applyFont="1" applyAlignment="1">
      <alignment horizontal="right" vertical="top" wrapText="1"/>
    </xf>
    <xf numFmtId="0" fontId="35" fillId="0" borderId="0" xfId="0" applyFont="1"/>
    <xf numFmtId="4" fontId="45" fillId="0" borderId="0" xfId="0" applyNumberFormat="1" applyFont="1"/>
    <xf numFmtId="0" fontId="111" fillId="0" borderId="0" xfId="19" applyFont="1" applyAlignment="1">
      <alignment horizontal="center"/>
    </xf>
    <xf numFmtId="0" fontId="45" fillId="0" borderId="0" xfId="0" applyFont="1" applyAlignment="1">
      <alignment horizontal="left" indent="1"/>
    </xf>
    <xf numFmtId="43" fontId="49" fillId="0" borderId="0" xfId="2" applyFont="1" applyFill="1"/>
    <xf numFmtId="0" fontId="47" fillId="0" borderId="0" xfId="19" applyFont="1"/>
    <xf numFmtId="0" fontId="111" fillId="0" borderId="0" xfId="19" applyFont="1"/>
    <xf numFmtId="0" fontId="102" fillId="0" borderId="0" xfId="19" applyFont="1" applyAlignment="1">
      <alignment horizontal="center"/>
    </xf>
    <xf numFmtId="0" fontId="35" fillId="0" borderId="0" xfId="0" applyFont="1" applyAlignment="1">
      <alignment horizontal="center"/>
    </xf>
    <xf numFmtId="0" fontId="43" fillId="0" borderId="0" xfId="0" applyFont="1"/>
    <xf numFmtId="44" fontId="35" fillId="0" borderId="0" xfId="30" applyFont="1" applyFill="1"/>
    <xf numFmtId="0" fontId="43" fillId="0" borderId="0" xfId="21" applyFont="1"/>
    <xf numFmtId="4" fontId="35" fillId="0" borderId="0" xfId="0" applyNumberFormat="1" applyFont="1"/>
    <xf numFmtId="0" fontId="10" fillId="0" borderId="0" xfId="19" applyFont="1"/>
    <xf numFmtId="43" fontId="49" fillId="0" borderId="0" xfId="2" applyFont="1" applyFill="1" applyBorder="1"/>
    <xf numFmtId="0" fontId="41" fillId="0" borderId="0" xfId="2" applyNumberFormat="1" applyFont="1" applyFill="1"/>
    <xf numFmtId="0" fontId="0" fillId="0" borderId="0" xfId="19" applyFont="1"/>
    <xf numFmtId="43" fontId="35" fillId="0" borderId="0" xfId="2" applyFont="1" applyFill="1"/>
    <xf numFmtId="43" fontId="109" fillId="0" borderId="0" xfId="2" applyFont="1" applyFill="1"/>
    <xf numFmtId="0" fontId="102" fillId="0" borderId="0" xfId="19" applyFont="1"/>
    <xf numFmtId="43" fontId="102" fillId="0" borderId="0" xfId="2" applyFont="1" applyFill="1"/>
    <xf numFmtId="0" fontId="35" fillId="0" borderId="0" xfId="19" applyFont="1"/>
    <xf numFmtId="43" fontId="35" fillId="0" borderId="0" xfId="0" applyNumberFormat="1" applyFont="1"/>
    <xf numFmtId="0" fontId="110" fillId="0" borderId="0" xfId="19" applyFont="1" applyAlignment="1">
      <alignment horizontal="center"/>
    </xf>
    <xf numFmtId="0" fontId="49" fillId="0" borderId="0" xfId="19" applyFont="1"/>
    <xf numFmtId="43" fontId="112" fillId="0" borderId="0" xfId="2" applyFont="1" applyFill="1"/>
    <xf numFmtId="44" fontId="123" fillId="0" borderId="0" xfId="30" applyFont="1" applyFill="1"/>
    <xf numFmtId="2" fontId="43" fillId="0" borderId="0" xfId="0" applyNumberFormat="1" applyFont="1"/>
    <xf numFmtId="4" fontId="43" fillId="0" borderId="0" xfId="0" applyNumberFormat="1" applyFont="1"/>
    <xf numFmtId="44" fontId="102" fillId="0" borderId="0" xfId="30" applyFont="1" applyFill="1"/>
    <xf numFmtId="0" fontId="10" fillId="0" borderId="0" xfId="0" applyFont="1"/>
    <xf numFmtId="0" fontId="122" fillId="0" borderId="62" xfId="0" applyFont="1" applyBorder="1" applyAlignment="1">
      <alignment horizontal="right" vertical="top" wrapText="1"/>
    </xf>
    <xf numFmtId="0" fontId="124" fillId="0" borderId="0" xfId="0" applyFont="1" applyAlignment="1">
      <alignment wrapText="1"/>
    </xf>
    <xf numFmtId="0" fontId="124" fillId="0" borderId="0" xfId="0" applyFont="1" applyAlignment="1">
      <alignment horizontal="left" wrapText="1"/>
    </xf>
    <xf numFmtId="4" fontId="35" fillId="0" borderId="0" xfId="0" applyNumberFormat="1" applyFont="1" applyAlignment="1">
      <alignment wrapText="1"/>
    </xf>
    <xf numFmtId="44" fontId="35" fillId="0" borderId="0" xfId="30" applyFont="1" applyFill="1" applyAlignment="1">
      <alignment wrapText="1"/>
    </xf>
    <xf numFmtId="164" fontId="102" fillId="0" borderId="0" xfId="19" applyNumberFormat="1" applyFont="1" applyAlignment="1">
      <alignment horizontal="center"/>
    </xf>
    <xf numFmtId="0" fontId="42" fillId="0" borderId="0" xfId="0" applyFont="1"/>
    <xf numFmtId="164" fontId="51" fillId="0" borderId="0" xfId="19" applyNumberFormat="1" applyAlignment="1">
      <alignment horizontal="center"/>
    </xf>
    <xf numFmtId="44" fontId="49" fillId="0" borderId="0" xfId="30" applyFont="1" applyFill="1"/>
    <xf numFmtId="44" fontId="46" fillId="0" borderId="0" xfId="30" applyFont="1" applyFill="1"/>
    <xf numFmtId="43" fontId="51" fillId="0" borderId="0" xfId="19" applyNumberFormat="1" applyAlignment="1">
      <alignment horizontal="center"/>
    </xf>
    <xf numFmtId="44" fontId="51" fillId="0" borderId="0" xfId="30" applyFont="1" applyFill="1"/>
    <xf numFmtId="4" fontId="89" fillId="0" borderId="56" xfId="19" applyNumberFormat="1" applyFont="1" applyBorder="1"/>
    <xf numFmtId="0" fontId="89" fillId="0" borderId="56" xfId="19" applyFont="1" applyBorder="1"/>
    <xf numFmtId="2" fontId="32" fillId="0" borderId="35" xfId="2" applyNumberFormat="1" applyFont="1" applyFill="1" applyBorder="1" applyAlignment="1">
      <alignment vertical="center"/>
    </xf>
    <xf numFmtId="43" fontId="119" fillId="0" borderId="0" xfId="2" applyFont="1" applyBorder="1" applyAlignment="1">
      <alignment vertical="center" readingOrder="1"/>
    </xf>
    <xf numFmtId="43" fontId="33" fillId="0" borderId="0" xfId="2" applyFont="1" applyBorder="1" applyAlignment="1">
      <alignment horizontal="center" vertical="center" readingOrder="1"/>
    </xf>
    <xf numFmtId="9" fontId="32" fillId="0" borderId="0" xfId="3" applyFont="1" applyBorder="1" applyAlignment="1">
      <alignment vertical="center"/>
    </xf>
    <xf numFmtId="43" fontId="55" fillId="0" borderId="9" xfId="2" applyFont="1" applyFill="1" applyBorder="1" applyAlignment="1">
      <alignment horizontal="center" vertical="center"/>
    </xf>
    <xf numFmtId="0" fontId="133" fillId="0" borderId="0" xfId="0" applyFont="1"/>
    <xf numFmtId="164" fontId="32" fillId="0" borderId="0" xfId="0" applyNumberFormat="1" applyFont="1" applyAlignment="1">
      <alignment horizontal="center" vertical="center" wrapText="1"/>
    </xf>
    <xf numFmtId="164" fontId="32" fillId="0" borderId="0" xfId="0" pivotButton="1" applyNumberFormat="1" applyFont="1" applyAlignment="1">
      <alignment horizontal="center" vertical="center" wrapText="1"/>
    </xf>
    <xf numFmtId="9" fontId="33" fillId="0" borderId="0" xfId="3" applyFont="1" applyBorder="1" applyAlignment="1">
      <alignment vertical="center" readingOrder="1"/>
    </xf>
    <xf numFmtId="0" fontId="33" fillId="0" borderId="0" xfId="0" applyFont="1" applyAlignment="1">
      <alignment vertical="center" readingOrder="1"/>
    </xf>
    <xf numFmtId="44" fontId="47" fillId="5" borderId="15" xfId="30" applyFont="1" applyFill="1" applyBorder="1"/>
    <xf numFmtId="0" fontId="1" fillId="0" borderId="0" xfId="21" applyFont="1"/>
    <xf numFmtId="0" fontId="32" fillId="0" borderId="0" xfId="0" pivotButton="1" applyFont="1" applyBorder="1"/>
    <xf numFmtId="0" fontId="32" fillId="0" borderId="0" xfId="0" applyFont="1" applyBorder="1"/>
    <xf numFmtId="0" fontId="32" fillId="0" borderId="0" xfId="0" applyFont="1" applyBorder="1" applyAlignment="1">
      <alignment horizontal="center" vertical="center" wrapText="1"/>
    </xf>
    <xf numFmtId="0" fontId="32" fillId="0" borderId="0" xfId="0" pivotButton="1" applyFont="1" applyBorder="1" applyAlignment="1">
      <alignment horizontal="center" vertical="center" wrapText="1"/>
    </xf>
    <xf numFmtId="0" fontId="32" fillId="0" borderId="0" xfId="0" applyFont="1" applyBorder="1" applyAlignment="1">
      <alignment horizontal="left"/>
    </xf>
    <xf numFmtId="164" fontId="32" fillId="0" borderId="0" xfId="0" applyNumberFormat="1" applyFont="1" applyBorder="1" applyAlignment="1">
      <alignment horizontal="center" vertical="center"/>
    </xf>
    <xf numFmtId="0" fontId="32" fillId="0" borderId="0" xfId="0" applyNumberFormat="1" applyFont="1" applyBorder="1"/>
    <xf numFmtId="164" fontId="32" fillId="0" borderId="0" xfId="0" pivotButton="1" applyNumberFormat="1" applyFont="1" applyBorder="1" applyAlignment="1">
      <alignment horizontal="center" vertical="center" wrapText="1"/>
    </xf>
    <xf numFmtId="164" fontId="32" fillId="0" borderId="0" xfId="0" applyNumberFormat="1" applyFont="1" applyBorder="1" applyAlignment="1">
      <alignment horizontal="center" vertical="center" wrapText="1"/>
    </xf>
    <xf numFmtId="0" fontId="32" fillId="9" borderId="0" xfId="0" applyFont="1" applyFill="1" applyAlignment="1">
      <alignment horizontal="center"/>
    </xf>
    <xf numFmtId="0" fontId="69" fillId="9" borderId="0" xfId="0" applyFont="1" applyFill="1" applyAlignment="1">
      <alignment horizontal="center" wrapText="1"/>
    </xf>
    <xf numFmtId="0" fontId="69" fillId="0" borderId="0" xfId="0" applyFont="1" applyAlignment="1">
      <alignment horizontal="center"/>
    </xf>
    <xf numFmtId="0" fontId="32" fillId="0" borderId="0" xfId="0" applyFont="1" applyAlignment="1">
      <alignment horizontal="center"/>
    </xf>
    <xf numFmtId="0" fontId="32" fillId="0" borderId="42" xfId="0" applyFont="1" applyBorder="1" applyAlignment="1">
      <alignment horizontal="center"/>
    </xf>
    <xf numFmtId="0" fontId="69" fillId="9" borderId="0" xfId="0" applyFont="1" applyFill="1" applyAlignment="1">
      <alignment horizontal="center"/>
    </xf>
    <xf numFmtId="0" fontId="42" fillId="0" borderId="57" xfId="0" applyFont="1" applyBorder="1" applyAlignment="1">
      <alignment horizontal="center"/>
    </xf>
    <xf numFmtId="0" fontId="42" fillId="0" borderId="65" xfId="0" applyFont="1" applyBorder="1" applyAlignment="1">
      <alignment horizontal="center"/>
    </xf>
    <xf numFmtId="0" fontId="42" fillId="0" borderId="58" xfId="0" applyFont="1" applyBorder="1" applyAlignment="1">
      <alignment horizontal="center"/>
    </xf>
    <xf numFmtId="0" fontId="3" fillId="9" borderId="0" xfId="14" applyFont="1" applyFill="1" applyAlignment="1">
      <alignment horizontal="center"/>
    </xf>
    <xf numFmtId="43" fontId="64" fillId="0" borderId="47" xfId="16" applyFont="1" applyBorder="1" applyAlignment="1">
      <alignment horizontal="center"/>
    </xf>
    <xf numFmtId="0" fontId="64" fillId="0" borderId="48" xfId="19" applyFont="1" applyBorder="1" applyAlignment="1">
      <alignment horizontal="center"/>
    </xf>
    <xf numFmtId="0" fontId="64" fillId="0" borderId="49" xfId="19" applyFont="1" applyBorder="1" applyAlignment="1">
      <alignment horizontal="center"/>
    </xf>
    <xf numFmtId="0" fontId="63" fillId="0" borderId="0" xfId="19" applyFont="1" applyAlignment="1">
      <alignment horizontal="center"/>
    </xf>
    <xf numFmtId="43" fontId="0" fillId="9" borderId="0" xfId="16" applyFont="1" applyFill="1" applyAlignment="1">
      <alignment horizontal="center"/>
    </xf>
    <xf numFmtId="0" fontId="41" fillId="0" borderId="0" xfId="19" applyFont="1" applyAlignment="1">
      <alignment horizontal="center"/>
    </xf>
    <xf numFmtId="0" fontId="46" fillId="0" borderId="3" xfId="15" applyBorder="1" applyAlignment="1">
      <alignment horizontal="center" vertical="top"/>
    </xf>
    <xf numFmtId="44" fontId="46" fillId="0" borderId="3" xfId="30" applyFont="1" applyBorder="1" applyAlignment="1">
      <alignment horizontal="center" vertical="top"/>
    </xf>
    <xf numFmtId="44" fontId="46" fillId="0" borderId="19" xfId="30" applyFont="1" applyBorder="1" applyAlignment="1">
      <alignment horizontal="center" vertical="top"/>
    </xf>
    <xf numFmtId="44" fontId="46" fillId="0" borderId="4" xfId="30" applyFont="1" applyBorder="1" applyAlignment="1">
      <alignment horizontal="center" vertical="top"/>
    </xf>
    <xf numFmtId="0" fontId="46" fillId="0" borderId="10" xfId="15" applyBorder="1" applyAlignment="1">
      <alignment horizontal="center" vertical="top"/>
    </xf>
    <xf numFmtId="44" fontId="46" fillId="0" borderId="10" xfId="30" applyFont="1" applyBorder="1" applyAlignment="1">
      <alignment horizontal="center" vertical="top"/>
    </xf>
    <xf numFmtId="44" fontId="46" fillId="0" borderId="36" xfId="30" applyFont="1" applyBorder="1" applyAlignment="1">
      <alignment horizontal="center" vertical="top"/>
    </xf>
    <xf numFmtId="44" fontId="46" fillId="0" borderId="14" xfId="30" applyFont="1" applyBorder="1" applyAlignment="1">
      <alignment horizontal="center" vertical="top"/>
    </xf>
    <xf numFmtId="0" fontId="44" fillId="4" borderId="22" xfId="19" applyFont="1" applyFill="1" applyBorder="1" applyAlignment="1">
      <alignment horizontal="center" vertical="center" wrapText="1"/>
    </xf>
    <xf numFmtId="0" fontId="44" fillId="4" borderId="16" xfId="19" applyFont="1" applyFill="1" applyBorder="1" applyAlignment="1">
      <alignment horizontal="center" vertical="center" wrapText="1"/>
    </xf>
    <xf numFmtId="10" fontId="44" fillId="4" borderId="21" xfId="17" applyNumberFormat="1" applyFont="1" applyFill="1" applyBorder="1" applyAlignment="1">
      <alignment horizontal="center" vertical="center" wrapText="1"/>
    </xf>
    <xf numFmtId="10" fontId="44" fillId="4" borderId="15" xfId="17" applyNumberFormat="1" applyFont="1" applyFill="1" applyBorder="1" applyAlignment="1">
      <alignment horizontal="center" vertical="center" wrapText="1"/>
    </xf>
    <xf numFmtId="0" fontId="44" fillId="4" borderId="19" xfId="19" applyFont="1" applyFill="1" applyBorder="1" applyAlignment="1">
      <alignment horizontal="center" vertical="center" wrapText="1"/>
    </xf>
    <xf numFmtId="0" fontId="44" fillId="4" borderId="18" xfId="19" applyFont="1" applyFill="1" applyBorder="1" applyAlignment="1">
      <alignment horizontal="center" vertical="center" wrapText="1"/>
    </xf>
    <xf numFmtId="0" fontId="44" fillId="4" borderId="20" xfId="19" applyFont="1" applyFill="1" applyBorder="1" applyAlignment="1">
      <alignment horizontal="center" vertical="center" wrapText="1"/>
    </xf>
    <xf numFmtId="0" fontId="44" fillId="4" borderId="17" xfId="19" applyFont="1" applyFill="1" applyBorder="1" applyAlignment="1">
      <alignment horizontal="center" vertical="center" wrapText="1"/>
    </xf>
    <xf numFmtId="0" fontId="51" fillId="0" borderId="19" xfId="19" applyBorder="1" applyAlignment="1">
      <alignment horizontal="center" vertical="top"/>
    </xf>
    <xf numFmtId="0" fontId="51" fillId="0" borderId="18" xfId="19" applyBorder="1" applyAlignment="1">
      <alignment horizontal="center" vertical="top"/>
    </xf>
    <xf numFmtId="0" fontId="51" fillId="0" borderId="17" xfId="19" applyBorder="1" applyAlignment="1">
      <alignment horizontal="center" vertical="top"/>
    </xf>
    <xf numFmtId="0" fontId="51" fillId="0" borderId="24" xfId="19" applyBorder="1" applyAlignment="1">
      <alignment horizontal="center" vertical="top"/>
    </xf>
    <xf numFmtId="0" fontId="51" fillId="0" borderId="23" xfId="19" applyBorder="1" applyAlignment="1">
      <alignment horizontal="center" vertical="top"/>
    </xf>
    <xf numFmtId="0" fontId="44" fillId="4" borderId="21" xfId="19" applyFont="1" applyFill="1" applyBorder="1" applyAlignment="1">
      <alignment horizontal="center" vertical="center" wrapText="1"/>
    </xf>
    <xf numFmtId="0" fontId="44" fillId="4" borderId="15" xfId="19" applyFont="1" applyFill="1" applyBorder="1" applyAlignment="1">
      <alignment horizontal="center" vertical="center" wrapText="1"/>
    </xf>
    <xf numFmtId="10" fontId="44" fillId="4" borderId="21" xfId="3" applyNumberFormat="1" applyFont="1" applyFill="1" applyBorder="1" applyAlignment="1">
      <alignment horizontal="center" vertical="center" wrapText="1"/>
    </xf>
    <xf numFmtId="10" fontId="44" fillId="4" borderId="15" xfId="3" applyNumberFormat="1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10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52" fillId="0" borderId="19" xfId="19" applyFont="1" applyBorder="1" applyAlignment="1">
      <alignment horizontal="center" vertical="center" wrapText="1"/>
    </xf>
    <xf numFmtId="0" fontId="52" fillId="0" borderId="18" xfId="19" applyFont="1" applyBorder="1" applyAlignment="1">
      <alignment horizontal="center" vertical="center" wrapText="1"/>
    </xf>
    <xf numFmtId="0" fontId="52" fillId="0" borderId="17" xfId="19" applyFont="1" applyBorder="1" applyAlignment="1">
      <alignment horizontal="center" vertical="center" wrapText="1"/>
    </xf>
    <xf numFmtId="0" fontId="52" fillId="0" borderId="27" xfId="19" applyFont="1" applyBorder="1" applyAlignment="1">
      <alignment horizontal="center" vertical="center" wrapText="1"/>
    </xf>
    <xf numFmtId="0" fontId="52" fillId="0" borderId="28" xfId="19" applyFont="1" applyBorder="1" applyAlignment="1">
      <alignment horizontal="center" vertical="center" wrapText="1"/>
    </xf>
    <xf numFmtId="0" fontId="52" fillId="0" borderId="29" xfId="19" applyFont="1" applyBorder="1" applyAlignment="1">
      <alignment horizontal="center" vertical="center" wrapText="1"/>
    </xf>
    <xf numFmtId="0" fontId="52" fillId="0" borderId="19" xfId="18" applyFont="1" applyBorder="1" applyAlignment="1">
      <alignment horizontal="center" vertical="center" wrapText="1"/>
    </xf>
    <xf numFmtId="0" fontId="52" fillId="0" borderId="18" xfId="18" applyFont="1" applyBorder="1" applyAlignment="1">
      <alignment horizontal="center" vertical="center" wrapText="1"/>
    </xf>
    <xf numFmtId="0" fontId="52" fillId="0" borderId="17" xfId="18" applyFont="1" applyBorder="1" applyAlignment="1">
      <alignment horizontal="center" vertical="center" wrapText="1"/>
    </xf>
    <xf numFmtId="0" fontId="52" fillId="0" borderId="27" xfId="18" applyFont="1" applyBorder="1" applyAlignment="1">
      <alignment horizontal="center" vertical="center" wrapText="1"/>
    </xf>
    <xf numFmtId="0" fontId="52" fillId="0" borderId="28" xfId="18" applyFont="1" applyBorder="1" applyAlignment="1">
      <alignment horizontal="center" vertical="center" wrapText="1"/>
    </xf>
    <xf numFmtId="0" fontId="52" fillId="0" borderId="29" xfId="18" applyFont="1" applyBorder="1" applyAlignment="1">
      <alignment horizontal="center" vertical="center" wrapText="1"/>
    </xf>
    <xf numFmtId="0" fontId="70" fillId="4" borderId="26" xfId="18" applyFont="1" applyFill="1" applyBorder="1" applyAlignment="1">
      <alignment horizontal="center" vertical="center"/>
    </xf>
    <xf numFmtId="0" fontId="70" fillId="4" borderId="18" xfId="18" applyFont="1" applyFill="1" applyBorder="1" applyAlignment="1">
      <alignment horizontal="center" vertical="center"/>
    </xf>
    <xf numFmtId="0" fontId="70" fillId="4" borderId="17" xfId="18" applyFont="1" applyFill="1" applyBorder="1" applyAlignment="1">
      <alignment horizontal="center" vertical="center"/>
    </xf>
    <xf numFmtId="0" fontId="52" fillId="4" borderId="26" xfId="18" applyFont="1" applyFill="1" applyBorder="1" applyAlignment="1">
      <alignment horizontal="center" vertical="center"/>
    </xf>
    <xf numFmtId="0" fontId="52" fillId="4" borderId="18" xfId="18" applyFont="1" applyFill="1" applyBorder="1" applyAlignment="1">
      <alignment horizontal="center" vertical="center"/>
    </xf>
    <xf numFmtId="0" fontId="52" fillId="4" borderId="17" xfId="18" applyFont="1" applyFill="1" applyBorder="1" applyAlignment="1">
      <alignment horizontal="center" vertical="center"/>
    </xf>
    <xf numFmtId="0" fontId="70" fillId="4" borderId="12" xfId="18" applyFont="1" applyFill="1" applyBorder="1" applyAlignment="1">
      <alignment horizontal="center" vertical="center" wrapText="1"/>
    </xf>
    <xf numFmtId="0" fontId="70" fillId="4" borderId="3" xfId="18" applyFont="1" applyFill="1" applyBorder="1" applyAlignment="1">
      <alignment horizontal="center" vertical="center" wrapText="1"/>
    </xf>
    <xf numFmtId="0" fontId="70" fillId="4" borderId="4" xfId="18" applyFont="1" applyFill="1" applyBorder="1" applyAlignment="1">
      <alignment horizontal="center" vertical="center" wrapText="1"/>
    </xf>
    <xf numFmtId="0" fontId="70" fillId="4" borderId="12" xfId="18" applyFont="1" applyFill="1" applyBorder="1" applyAlignment="1">
      <alignment horizontal="center" vertical="center"/>
    </xf>
    <xf numFmtId="0" fontId="70" fillId="4" borderId="3" xfId="18" applyFont="1" applyFill="1" applyBorder="1" applyAlignment="1">
      <alignment horizontal="center" vertical="center"/>
    </xf>
    <xf numFmtId="0" fontId="70" fillId="4" borderId="4" xfId="18" applyFont="1" applyFill="1" applyBorder="1" applyAlignment="1">
      <alignment horizontal="center" vertical="center"/>
    </xf>
    <xf numFmtId="44" fontId="32" fillId="0" borderId="0" xfId="30" applyFont="1" applyAlignment="1">
      <alignment horizontal="center"/>
    </xf>
    <xf numFmtId="0" fontId="32" fillId="0" borderId="0" xfId="0" applyFont="1" applyBorder="1" applyAlignment="1">
      <alignment horizontal="left" indent="1"/>
    </xf>
  </cellXfs>
  <cellStyles count="40">
    <cellStyle name="Comma" xfId="2" builtinId="3"/>
    <cellStyle name="Comma 2" xfId="16" xr:uid="{00000000-0005-0000-0000-000001000000}"/>
    <cellStyle name="Comma 2 2" xfId="24" xr:uid="{00000000-0005-0000-0000-000002000000}"/>
    <cellStyle name="Comma 3" xfId="28" xr:uid="{00000000-0005-0000-0000-000003000000}"/>
    <cellStyle name="Currency" xfId="30" builtinId="4"/>
    <cellStyle name="Currency 2" xfId="39" xr:uid="{4D2B61B7-B472-4E40-A174-0C247D91FF53}"/>
    <cellStyle name="Currency 3" xfId="36" xr:uid="{44708223-1543-4A44-972A-D8D4AA2F082A}"/>
    <cellStyle name="Hyperlink 2" xfId="38" xr:uid="{ED05A805-2E45-4F09-83B4-BE6D3A3979CD}"/>
    <cellStyle name="Normal" xfId="0" builtinId="0"/>
    <cellStyle name="Normal 2" xfId="1" xr:uid="{00000000-0005-0000-0000-000006000000}"/>
    <cellStyle name="Normal 2 2" xfId="21" xr:uid="{00000000-0005-0000-0000-000007000000}"/>
    <cellStyle name="Normal 2 3" xfId="22" xr:uid="{00000000-0005-0000-0000-000008000000}"/>
    <cellStyle name="Normal 2 4" xfId="27" xr:uid="{00000000-0005-0000-0000-000009000000}"/>
    <cellStyle name="Normal 2 5" xfId="32" xr:uid="{805FBA39-E3C9-436E-BEC8-9294BC040088}"/>
    <cellStyle name="Normal 3" xfId="5" xr:uid="{00000000-0005-0000-0000-00000A000000}"/>
    <cellStyle name="Normal 3 2" xfId="26" xr:uid="{00000000-0005-0000-0000-00000B000000}"/>
    <cellStyle name="Normal 3 2 2" xfId="34" xr:uid="{624D4C20-1E58-41BD-A01D-4E15D6F15B36}"/>
    <cellStyle name="Normal 3 3" xfId="33" xr:uid="{AB212867-A430-4B08-A8E8-D8F29E11820B}"/>
    <cellStyle name="Normal 4" xfId="14" xr:uid="{00000000-0005-0000-0000-00000C000000}"/>
    <cellStyle name="Normal 4 2" xfId="18" xr:uid="{00000000-0005-0000-0000-00000D000000}"/>
    <cellStyle name="Normal 5" xfId="15" xr:uid="{00000000-0005-0000-0000-00000E000000}"/>
    <cellStyle name="Normal 5 2" xfId="20" xr:uid="{00000000-0005-0000-0000-00000F000000}"/>
    <cellStyle name="Normal 5 3" xfId="35" xr:uid="{48C936DE-5713-4257-B682-EF5EBE9409FA}"/>
    <cellStyle name="Normal 6" xfId="19" xr:uid="{00000000-0005-0000-0000-000010000000}"/>
    <cellStyle name="Normal 6 2" xfId="23" xr:uid="{00000000-0005-0000-0000-000011000000}"/>
    <cellStyle name="Normal 6 3" xfId="37" xr:uid="{DCDCE872-7CD0-45B9-B16E-2221103D3DCD}"/>
    <cellStyle name="Normal 7" xfId="29" xr:uid="{00000000-0005-0000-0000-000012000000}"/>
    <cellStyle name="Normal 8" xfId="31" xr:uid="{29A88FDA-2F24-4EDE-92B1-56BDA3CFB1DB}"/>
    <cellStyle name="Percent" xfId="3" builtinId="5"/>
    <cellStyle name="Percent 2" xfId="17" xr:uid="{00000000-0005-0000-0000-000014000000}"/>
    <cellStyle name="Percent 2 2" xfId="25" xr:uid="{00000000-0005-0000-0000-000015000000}"/>
    <cellStyle name="rf1" xfId="4" xr:uid="{00000000-0005-0000-0000-000016000000}"/>
    <cellStyle name="rf17" xfId="6" xr:uid="{00000000-0005-0000-0000-000017000000}"/>
    <cellStyle name="rf2" xfId="7" xr:uid="{00000000-0005-0000-0000-000018000000}"/>
    <cellStyle name="rf20" xfId="12" xr:uid="{00000000-0005-0000-0000-000019000000}"/>
    <cellStyle name="rf3" xfId="8" xr:uid="{00000000-0005-0000-0000-00001A000000}"/>
    <cellStyle name="rf4" xfId="13" xr:uid="{00000000-0005-0000-0000-00001B000000}"/>
    <cellStyle name="rf5" xfId="9" xr:uid="{00000000-0005-0000-0000-00001C000000}"/>
    <cellStyle name="rf7" xfId="10" xr:uid="{00000000-0005-0000-0000-00001D000000}"/>
    <cellStyle name="rf8" xfId="11" xr:uid="{00000000-0005-0000-0000-00001E000000}"/>
  </cellStyles>
  <dxfs count="786"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45">
          <stop position="0">
            <color rgb="FFFFC000"/>
          </stop>
          <stop position="1">
            <color rgb="FFFF0000"/>
          </stop>
        </gradient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D3D3D3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5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3.xml"/><Relationship Id="rId40" Type="http://schemas.openxmlformats.org/officeDocument/2006/relationships/theme" Target="theme/theme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pivotCacheDefinition" Target="pivotCache/pivotCacheDefinition1.xml"/><Relationship Id="rId43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4.xml"/><Relationship Id="rId46" Type="http://schemas.microsoft.com/office/2017/10/relationships/person" Target="persons/person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Moshe Landau" id="{1A9FE12E-9DC1-49EF-A470-BC82721D68FE}" userId="c23de935b9adccb4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li Steinberg" refreshedDate="45972.429626620367" createdVersion="6" refreshedVersion="8" minRefreshableVersion="3" recordCount="497" xr:uid="{00000000-000A-0000-FFFF-FFFF0D000000}">
  <cacheSource type="worksheet">
    <worksheetSource ref="A1:J1048576" sheet="Detail Data 10"/>
  </cacheSource>
  <cacheFields count="11">
    <cacheField name="Sr#" numFmtId="0">
      <sharedItems containsString="0" containsBlank="1" containsNumber="1" containsInteger="1" minValue="2" maxValue="496"/>
    </cacheField>
    <cacheField name="Office" numFmtId="0">
      <sharedItems containsBlank="1"/>
    </cacheField>
    <cacheField name="County" numFmtId="0">
      <sharedItems containsBlank="1" count="66">
        <m/>
        <s v="Kings"/>
        <s v="Queens"/>
        <s v="Nassau"/>
        <s v="Richmond"/>
        <s v="Monroe"/>
        <s v="Albany"/>
        <s v="Allegany"/>
        <s v="Bronx"/>
        <s v="Broome"/>
        <s v="Cattaraugus"/>
        <s v="Cayuga"/>
        <s v="Chautauqua"/>
        <s v="Chemung"/>
        <s v="Chenango"/>
        <s v="Clinton"/>
        <s v="Columbia"/>
        <s v="Cortland"/>
        <s v="Delaware"/>
        <s v="Dutchess"/>
        <s v="Erie"/>
        <s v="Essex"/>
        <s v="Franklin"/>
        <s v="Fulton"/>
        <s v="Genesee"/>
        <s v="Greene"/>
        <s v="Hamilton"/>
        <s v="Herkimer"/>
        <s v="Jefferson"/>
        <s v="Lewis"/>
        <s v="Livingston"/>
        <s v="Madison"/>
        <s v="Montgomery"/>
        <s v="New York"/>
        <s v="Niagara"/>
        <s v="Oneida"/>
        <s v="Onondaga"/>
        <s v="Ontario"/>
        <s v="Orange"/>
        <s v="Orleans"/>
        <s v="Oswego"/>
        <s v="Otsego"/>
        <s v="Putnam"/>
        <s v="Rensselaer"/>
        <s v="Rockland"/>
        <s v="Saint Lawrence"/>
        <s v="Saratoga"/>
        <s v="Schenectady"/>
        <s v="Schoharie"/>
        <s v="Schuyler"/>
        <s v="Seneca"/>
        <s v="Steuben"/>
        <s v="Suffolk"/>
        <s v="Sullivan"/>
        <s v="Tioga"/>
        <s v="Tompkins"/>
        <s v="Ulster"/>
        <s v="Warren"/>
        <s v="Washington"/>
        <s v="Wayne"/>
        <s v="Westchester"/>
        <s v="Wyoming"/>
        <s v="Yates"/>
        <s v="Chilton" u="1"/>
        <s v="" u="1"/>
        <s v="Los Angeles" u="1"/>
      </sharedItems>
    </cacheField>
    <cacheField name="Contract " numFmtId="0">
      <sharedItems containsBlank="1"/>
    </cacheField>
    <cacheField name="Source Of Admission" numFmtId="0">
      <sharedItems containsBlank="1"/>
    </cacheField>
    <cacheField name="Contract Type" numFmtId="0">
      <sharedItems containsBlank="1" containsMixedTypes="1" containsNumber="1" containsInteger="1" minValue="0" maxValue="0" count="4">
        <m/>
        <s v="HHA"/>
        <s v="CDPAP"/>
        <n v="0" u="1"/>
      </sharedItems>
    </cacheField>
    <cacheField name="Employees as of 1/1" numFmtId="0">
      <sharedItems containsString="0" containsBlank="1" containsNumber="1" containsInteger="1" minValue="0" maxValue="719"/>
    </cacheField>
    <cacheField name="Employees Retained  as of 12/31 Who were employed on 1/1" numFmtId="0">
      <sharedItems containsString="0" containsBlank="1" containsNumber="1" containsInteger="1" minValue="0" maxValue="626"/>
    </cacheField>
    <cacheField name="Employees Hired between  1/1 -12/31" numFmtId="0">
      <sharedItems containsString="0" containsBlank="1" containsNumber="1" containsInteger="1" minValue="0" maxValue="894"/>
    </cacheField>
    <cacheField name="Employees Separated from Entity During The Year" numFmtId="0">
      <sharedItems containsString="0" containsBlank="1" containsNumber="1" containsInteger="1" minValue="0" maxValue="67"/>
    </cacheField>
    <cacheField name="County Allocation" numFmtId="0" formula="'Employees Hired between  1/1 -12/31'+'Employees Retained  as of 12/31 Who were employed on 1/1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li Steinberg" refreshedDate="45972.42962800926" createdVersion="6" refreshedVersion="8" minRefreshableVersion="3" recordCount="1312" xr:uid="{00000000-000A-0000-FFFF-FFFF1E000000}">
  <cacheSource type="worksheet">
    <worksheetSource ref="A1:Q1048576" sheet="Detail Data 5 Tagging"/>
  </cacheSource>
  <cacheFields count="18">
    <cacheField name="Sr#" numFmtId="0">
      <sharedItems containsString="0" containsBlank="1" containsNumber="1" containsInteger="1" minValue="1" maxValue="1648"/>
    </cacheField>
    <cacheField name="County" numFmtId="0">
      <sharedItems containsBlank="1" containsMixedTypes="1" containsNumber="1" containsInteger="1" minValue="0" maxValue="0" count="64">
        <s v="Nassau"/>
        <s v="Kings"/>
        <s v="Richmond"/>
        <s v="Queens"/>
        <s v="Monroe"/>
        <s v="Bronx"/>
        <s v="Albany"/>
        <s v="Allegany"/>
        <s v="Broome"/>
        <s v="Cattaraugus"/>
        <s v="Cayuga"/>
        <s v="Chautauqua"/>
        <s v="Chemung"/>
        <s v="Chenango"/>
        <s v="Clinton"/>
        <s v="Columbia"/>
        <s v="Cortland"/>
        <s v="Delaware"/>
        <s v="Dutchess"/>
        <s v="Erie"/>
        <s v="Essex"/>
        <s v="Franklin"/>
        <s v="Fulton"/>
        <s v="Genesee"/>
        <s v="Greene"/>
        <s v="Hamilton"/>
        <s v="Herkimer"/>
        <s v="Jefferson"/>
        <s v="Lewis"/>
        <s v="Livingston"/>
        <s v="Madison"/>
        <s v="Montgomery"/>
        <s v="New York"/>
        <s v="Niagara"/>
        <s v="Oneida"/>
        <s v="Onondaga"/>
        <s v="Ontario"/>
        <s v="Orange"/>
        <s v="Orleans"/>
        <s v="Oswego"/>
        <s v="Otsego"/>
        <s v="Putnam"/>
        <s v="Rensselaer"/>
        <s v="Rockland"/>
        <s v="Saint Lawrence"/>
        <s v="Saratoga"/>
        <s v="Schenectady"/>
        <s v="Schoharie"/>
        <s v="Schuyler"/>
        <s v="Seneca"/>
        <s v="Steuben"/>
        <s v="Suffolk"/>
        <s v="Sullivan"/>
        <s v="Tioga"/>
        <s v="Tompkins"/>
        <s v="Ulster"/>
        <s v="Warren"/>
        <s v="Washington"/>
        <s v="Wayne"/>
        <s v="Westchester"/>
        <s v="Wyoming"/>
        <s v="Yates"/>
        <m/>
        <n v="0" u="1"/>
      </sharedItems>
    </cacheField>
    <cacheField name="Contract " numFmtId="0">
      <sharedItems containsBlank="1" containsMixedTypes="1" containsNumber="1" containsInteger="1" minValue="0" maxValue="0" count="66">
        <s v="Americare"/>
        <s v="Centers Plan For Healthy Living CDPAP "/>
        <s v="Empire Blue Cross Blue Shield (CDPAP)"/>
        <s v="Empire Blue Cross Blue Shield (PCA)"/>
        <s v="Excellent Home Care Services"/>
        <s v="Extended Home Care"/>
        <s v="Fidelis Care (ANT)"/>
        <s v="Fidelis Care (CDP)"/>
        <s v="Girling Health Care Of New York"/>
        <s v="NHTD"/>
        <s v="Private Pay"/>
        <s v="Revival Home Health Care"/>
        <s v="EDDY SeniorCare VNA (Pace Plan)"/>
        <s v="Fidelis Care PCA (Non Live)"/>
        <s v="Nascentia Health Options CDPAP"/>
        <s v="Nascentia PCA"/>
        <s v="Non Billable"/>
        <s v="Private Pay - Select"/>
        <s v="VNS Health Health Plans (ANT)"/>
        <s v="VNS Health Health Plans (CDP)"/>
        <s v="VNSNY CHOICE PCA"/>
        <s v="Amerigroup (Empire) PCA"/>
        <s v="Archcare Community Life CDPAP"/>
        <s v="Archcare Community Life PCA"/>
        <s v="AVCC, LLC CDPAP"/>
        <s v="Centerlight CHHA / Cassena Care At Home"/>
        <s v="CenterLight HealthCare (PACE) (ANT)"/>
        <s v="CenterLight HealthCare (PACE) (CDP)"/>
        <s v="Centers Plan For Health Living PCA"/>
        <s v="Elderplan MJHS (ANT)"/>
        <s v="Elderplan MJHS (CDP)"/>
        <s v="ElderServe/Riverspring (CDPAP)"/>
        <s v="ElderServe/Riverspring (PCA)"/>
        <s v="Hamaspik Choice (MLTC) CDPAP"/>
        <s v="Hamaspik Choice MLTC (PCA)"/>
        <s v="Hamaspik MAP CDPAP"/>
        <s v="Hamaspik MAP PCA"/>
        <s v="Healthfirst (ANT)"/>
        <s v="Healthfirst (CDP)"/>
        <s v="Healthfirst PCA MAP (Complete Care) (Non Live)"/>
        <s v="HEALTHFIRST PHSP (Medicaid) (Non Live)"/>
        <s v="Prime Home Health Services"/>
        <s v="Royal Care Certified of NY"/>
        <s v="SWHNY-MLTC (ANT)"/>
        <s v="SWHNY-MLTC (CDP)"/>
        <s v="VillageCare CDPAP"/>
        <s v="VillageCare PCA"/>
        <s v="Elderwood Health Plan"/>
        <s v="VNSNY CHOICE CDPAP"/>
        <s v="Anchor select"/>
        <s v="Partners Health Plan"/>
        <s v="Senior Whole Health PCA (Non Live)"/>
        <s v="Shining Star Home Care CHHA"/>
        <s v="TBI"/>
        <s v="Your Choice at Home"/>
        <s v="Amerigroup (Empire) CDPAP"/>
        <s v="Royal Care Certified"/>
        <s v="Partners Health Plan CDPAP"/>
        <s v="UAS-VCM"/>
        <s v="MVP Health Care CDPAP"/>
        <s v="United Healthcare CDPAP"/>
        <s v="Anchor Health"/>
        <s v="Archcare Senior Life PCA &quot;PACE Plan&quot;"/>
        <s v="Preferred Certified"/>
        <m/>
        <n v="0" u="1"/>
      </sharedItems>
    </cacheField>
    <cacheField name="Source Of Admission" numFmtId="0">
      <sharedItems containsBlank="1"/>
    </cacheField>
    <cacheField name="Contract Type" numFmtId="0">
      <sharedItems containsBlank="1"/>
    </cacheField>
    <cacheField name="Service Code" numFmtId="0">
      <sharedItems containsBlank="1"/>
    </cacheField>
    <cacheField name="Export Code" numFmtId="0">
      <sharedItems containsBlank="1"/>
    </cacheField>
    <cacheField name="Level of Service" numFmtId="0">
      <sharedItems containsBlank="1" count="21">
        <s v="Subcontractor Services"/>
        <s v="CDPAS: Individual - Basic"/>
        <s v="PC: Level II"/>
        <s v="Nursing Assessment"/>
        <s v="Other Non-Reimbursable Services"/>
        <s v="Home Health Aide"/>
        <s v="PC: Level I "/>
        <s v="Nursing Supervision"/>
        <s v="Live-In"/>
        <s v="CDPAS: Individual - Live-In"/>
        <s v="CDPAS: Multiple - Basic"/>
        <s v="Shared Aide: Level II"/>
        <s v="CDPAS: Individual - Hard to Serve "/>
        <s v="CDPAS: Multiple - Hard to Serve "/>
        <s v="PC: Level II - Hard to Serve"/>
        <s v="CDPAS: Multiple - Live-In"/>
        <m/>
        <s v="Shared Aide: Level I" u="1"/>
        <s v="Live In" u="1"/>
        <s v="SubContractor service" u="1"/>
        <s v="Other non-allowable services" u="1"/>
      </sharedItems>
      <fieldGroup par="17"/>
    </cacheField>
    <cacheField name="HHA/CDPAP" numFmtId="0">
      <sharedItems containsBlank="1" containsMixedTypes="1" containsNumber="1" containsInteger="1" minValue="0" maxValue="0" count="4">
        <s v="HHA"/>
        <s v="CDPAP"/>
        <m/>
        <n v="0" u="1"/>
      </sharedItems>
    </cacheField>
    <cacheField name="Payor Source" numFmtId="0">
      <sharedItems containsBlank="1" containsMixedTypes="1" containsNumber="1" containsInteger="1" minValue="0" maxValue="0" count="6">
        <s v="Other"/>
        <s v="MC Medicaid CDPAP"/>
        <s v="MC Medicaid HHA"/>
        <s v="Private Pay"/>
        <m/>
        <n v="0" u="1"/>
      </sharedItems>
    </cacheField>
    <cacheField name="CHHA" numFmtId="0">
      <sharedItems containsBlank="1" containsMixedTypes="1" containsNumber="1" containsInteger="1" minValue="0" maxValue="0" count="3">
        <s v="CHHA"/>
        <m/>
        <n v="0" u="1"/>
      </sharedItems>
    </cacheField>
    <cacheField name="Patient Count" numFmtId="164">
      <sharedItems containsString="0" containsBlank="1" containsNumber="1" containsInteger="1" minValue="1" maxValue="289"/>
    </cacheField>
    <cacheField name="Visit Count" numFmtId="43">
      <sharedItems containsString="0" containsBlank="1" containsNumber="1" containsInteger="1" minValue="1" maxValue="63628"/>
    </cacheField>
    <cacheField name="Billed Hours" numFmtId="43">
      <sharedItems containsString="0" containsBlank="1" containsNumber="1" minValue="0.25" maxValue="730345.25"/>
    </cacheField>
    <cacheField name="Unique Patient Count" numFmtId="164">
      <sharedItems containsString="0" containsBlank="1" containsNumber="1" containsInteger="1" minValue="0" maxValue="279"/>
    </cacheField>
    <cacheField name="Unique Visit Count" numFmtId="43">
      <sharedItems containsString="0" containsBlank="1" containsNumber="1" containsInteger="1" minValue="0" maxValue="63478"/>
    </cacheField>
    <cacheField name="Unique Billed Hours" numFmtId="43">
      <sharedItems containsString="0" containsBlank="1" containsNumber="1" minValue="0" maxValue="729054.25"/>
    </cacheField>
    <cacheField name="Level of Service2" numFmtId="0" databaseField="0">
      <fieldGroup base="7">
        <discretePr count="21">
          <x v="1"/>
          <x v="6"/>
          <x v="7"/>
          <x v="8"/>
          <x v="0"/>
          <x v="2"/>
          <x v="7"/>
          <x v="8"/>
          <x v="7"/>
          <x v="6"/>
          <x v="6"/>
          <x v="7"/>
          <x v="6"/>
          <x v="6"/>
          <x v="7"/>
          <x v="6"/>
          <x v="3"/>
          <x v="7"/>
          <x v="4"/>
          <x v="9"/>
          <x v="5"/>
        </discretePr>
        <groupItems count="10">
          <s v="Other Non-Reimbursable Services"/>
          <s v="SubContractor services"/>
          <s v="Home Health Aide"/>
          <m/>
          <s v="Live In"/>
          <s v="Other non-allowable services"/>
          <s v="Group1"/>
          <s v="Group2"/>
          <s v="Group3"/>
          <s v="SubContractor service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li Steinberg" refreshedDate="45972.429637037036" createdVersion="7" refreshedVersion="8" minRefreshableVersion="3" recordCount="1312" xr:uid="{5C99BD54-A669-4355-86D1-77B359F55409}">
  <cacheSource type="worksheet">
    <worksheetSource ref="A1:R1048576" sheet="Detail Data 5 Tagging"/>
  </cacheSource>
  <cacheFields count="19">
    <cacheField name="Sr#" numFmtId="0">
      <sharedItems containsString="0" containsBlank="1" containsNumber="1" containsInteger="1" minValue="1" maxValue="1648"/>
    </cacheField>
    <cacheField name="County" numFmtId="0">
      <sharedItems containsBlank="1" containsMixedTypes="1" containsNumber="1" containsInteger="1" minValue="0" maxValue="0" count="64">
        <s v="Nassau"/>
        <s v="Kings"/>
        <s v="Richmond"/>
        <s v="Queens"/>
        <s v="Monroe"/>
        <s v="Bronx"/>
        <s v="Albany"/>
        <s v="Allegany"/>
        <s v="Broome"/>
        <s v="Cattaraugus"/>
        <s v="Cayuga"/>
        <s v="Chautauqua"/>
        <s v="Chemung"/>
        <s v="Chenango"/>
        <s v="Clinton"/>
        <s v="Columbia"/>
        <s v="Cortland"/>
        <s v="Delaware"/>
        <s v="Dutchess"/>
        <s v="Erie"/>
        <s v="Essex"/>
        <s v="Franklin"/>
        <s v="Fulton"/>
        <s v="Genesee"/>
        <s v="Greene"/>
        <s v="Hamilton"/>
        <s v="Herkimer"/>
        <s v="Jefferson"/>
        <s v="Lewis"/>
        <s v="Livingston"/>
        <s v="Madison"/>
        <s v="Montgomery"/>
        <s v="New York"/>
        <s v="Niagara"/>
        <s v="Oneida"/>
        <s v="Onondaga"/>
        <s v="Ontario"/>
        <s v="Orange"/>
        <s v="Orleans"/>
        <s v="Oswego"/>
        <s v="Otsego"/>
        <s v="Putnam"/>
        <s v="Rensselaer"/>
        <s v="Rockland"/>
        <s v="Saint Lawrence"/>
        <s v="Saratoga"/>
        <s v="Schenectady"/>
        <s v="Schoharie"/>
        <s v="Schuyler"/>
        <s v="Seneca"/>
        <s v="Steuben"/>
        <s v="Suffolk"/>
        <s v="Sullivan"/>
        <s v="Tioga"/>
        <s v="Tompkins"/>
        <s v="Ulster"/>
        <s v="Warren"/>
        <s v="Washington"/>
        <s v="Wayne"/>
        <s v="Westchester"/>
        <s v="Wyoming"/>
        <s v="Yates"/>
        <m/>
        <n v="0" u="1"/>
      </sharedItems>
    </cacheField>
    <cacheField name="Contract " numFmtId="0">
      <sharedItems containsBlank="1"/>
    </cacheField>
    <cacheField name="Source Of Admission" numFmtId="0">
      <sharedItems containsBlank="1"/>
    </cacheField>
    <cacheField name="Contract Type" numFmtId="0">
      <sharedItems containsBlank="1"/>
    </cacheField>
    <cacheField name="Service Code" numFmtId="0">
      <sharedItems containsBlank="1"/>
    </cacheField>
    <cacheField name="Export Code" numFmtId="0">
      <sharedItems containsBlank="1"/>
    </cacheField>
    <cacheField name="Level of Service" numFmtId="0">
      <sharedItems containsBlank="1" count="21">
        <s v="Subcontractor Services"/>
        <s v="CDPAS: Individual - Basic"/>
        <s v="PC: Level II"/>
        <s v="Nursing Assessment"/>
        <s v="Other Non-Reimbursable Services"/>
        <s v="Home Health Aide"/>
        <s v="PC: Level I "/>
        <s v="Nursing Supervision"/>
        <s v="Live-In"/>
        <s v="CDPAS: Individual - Live-In"/>
        <s v="CDPAS: Multiple - Basic"/>
        <s v="Shared Aide: Level II"/>
        <s v="CDPAS: Individual - Hard to Serve "/>
        <s v="CDPAS: Multiple - Hard to Serve "/>
        <s v="PC: Level II - Hard to Serve"/>
        <s v="CDPAS: Multiple - Live-In"/>
        <m/>
        <s v="Shared Aide: Level I" u="1"/>
        <s v="Live In" u="1"/>
        <s v="SubContractor service" u="1"/>
        <s v="Other non-allowable services" u="1"/>
      </sharedItems>
      <fieldGroup par="18"/>
    </cacheField>
    <cacheField name="HHA/CDPAP" numFmtId="0">
      <sharedItems containsBlank="1" containsMixedTypes="1" containsNumber="1" containsInteger="1" minValue="0" maxValue="0" count="4">
        <s v="HHA"/>
        <s v="CDPAP"/>
        <m/>
        <n v="0" u="1"/>
      </sharedItems>
    </cacheField>
    <cacheField name="Payor Source" numFmtId="0">
      <sharedItems containsBlank="1" containsMixedTypes="1" containsNumber="1" containsInteger="1" minValue="0" maxValue="0" count="6">
        <s v="Other"/>
        <s v="MC Medicaid CDPAP"/>
        <s v="MC Medicaid HHA"/>
        <s v="Private Pay"/>
        <m/>
        <n v="0" u="1"/>
      </sharedItems>
    </cacheField>
    <cacheField name="CHHA" numFmtId="0">
      <sharedItems containsBlank="1"/>
    </cacheField>
    <cacheField name="Patient Count" numFmtId="164">
      <sharedItems containsString="0" containsBlank="1" containsNumber="1" containsInteger="1" minValue="1" maxValue="289"/>
    </cacheField>
    <cacheField name="Visit Count" numFmtId="43">
      <sharedItems containsString="0" containsBlank="1" containsNumber="1" containsInteger="1" minValue="1" maxValue="63628"/>
    </cacheField>
    <cacheField name="Billed Hours" numFmtId="43">
      <sharedItems containsString="0" containsBlank="1" containsNumber="1" minValue="0.25" maxValue="730345.25"/>
    </cacheField>
    <cacheField name="Unique Patient Count" numFmtId="164">
      <sharedItems containsString="0" containsBlank="1" containsNumber="1" containsInteger="1" minValue="0" maxValue="279"/>
    </cacheField>
    <cacheField name="Unique Visit Count" numFmtId="43">
      <sharedItems containsString="0" containsBlank="1" containsNumber="1" containsInteger="1" minValue="0" maxValue="63478"/>
    </cacheField>
    <cacheField name="Unique Billed Hours" numFmtId="43">
      <sharedItems containsString="0" containsBlank="1" containsNumber="1" minValue="0" maxValue="729054.25"/>
    </cacheField>
    <cacheField name="Nursing override" numFmtId="0">
      <sharedItems containsBlank="1" containsMixedTypes="1" containsNumber="1" containsInteger="1" minValue="0" maxValue="13" count="6">
        <s v=""/>
        <s v="Nursing override"/>
        <m/>
        <s v="nursing"/>
        <n v="13" u="1"/>
        <n v="0" u="1"/>
      </sharedItems>
    </cacheField>
    <cacheField name="Level of Service2" numFmtId="0" databaseField="0">
      <fieldGroup base="7">
        <discretePr count="21">
          <x v="1"/>
          <x v="6"/>
          <x v="9"/>
          <x v="8"/>
          <x v="0"/>
          <x v="2"/>
          <x v="11"/>
          <x v="8"/>
          <x v="10"/>
          <x v="6"/>
          <x v="6"/>
          <x v="14"/>
          <x v="6"/>
          <x v="6"/>
          <x v="12"/>
          <x v="6"/>
          <x v="3"/>
          <x v="13"/>
          <x v="4"/>
          <x v="7"/>
          <x v="5"/>
        </discretePr>
        <groupItems count="15">
          <s v="Other Non-Reimbursable Services"/>
          <s v="SubContractor services"/>
          <s v="Home Health Aide"/>
          <m/>
          <s v="Live In"/>
          <s v="Other non-allowable services"/>
          <s v="Group1"/>
          <s v="SubContractor service"/>
          <s v="Group3"/>
          <s v="PC: Level II"/>
          <s v="Live-In"/>
          <s v="PC: Level I "/>
          <s v="PC: Level II - Hard to Serve"/>
          <s v="Shared Aide: Level I"/>
          <s v="Shared Aide: Level II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li Steinberg" refreshedDate="45972.429640162038" createdVersion="8" refreshedVersion="8" minRefreshableVersion="3" recordCount="1312" xr:uid="{7FCBEF92-CE38-4211-B80D-6488308AE8D9}">
  <cacheSource type="worksheet">
    <worksheetSource ref="A1:S1048576" sheet="Detail Data 5 Tagging"/>
  </cacheSource>
  <cacheFields count="20">
    <cacheField name="Sr#" numFmtId="0">
      <sharedItems containsString="0" containsBlank="1" containsNumber="1" containsInteger="1" minValue="1" maxValue="1648"/>
    </cacheField>
    <cacheField name="County" numFmtId="0">
      <sharedItems containsBlank="1"/>
    </cacheField>
    <cacheField name="Contract " numFmtId="0">
      <sharedItems containsBlank="1"/>
    </cacheField>
    <cacheField name="Source Of Admission" numFmtId="0">
      <sharedItems containsBlank="1"/>
    </cacheField>
    <cacheField name="Contract Type" numFmtId="0">
      <sharedItems containsBlank="1"/>
    </cacheField>
    <cacheField name="Service Code" numFmtId="0">
      <sharedItems containsBlank="1"/>
    </cacheField>
    <cacheField name="Export Code" numFmtId="0">
      <sharedItems containsBlank="1"/>
    </cacheField>
    <cacheField name="Level of Service" numFmtId="0">
      <sharedItems containsBlank="1" count="21">
        <s v="Subcontractor Services"/>
        <s v="CDPAS: Individual - Basic"/>
        <s v="PC: Level II"/>
        <s v="Nursing Assessment"/>
        <s v="Other Non-Reimbursable Services"/>
        <s v="Home Health Aide"/>
        <s v="PC: Level I "/>
        <s v="Nursing Supervision"/>
        <s v="Live-In"/>
        <s v="CDPAS: Individual - Live-In"/>
        <s v="CDPAS: Multiple - Basic"/>
        <s v="Shared Aide: Level II"/>
        <s v="CDPAS: Individual - Hard to Serve "/>
        <s v="CDPAS: Multiple - Hard to Serve "/>
        <s v="PC: Level II - Hard to Serve"/>
        <s v="CDPAS: Multiple - Live-In"/>
        <m/>
        <s v="Shared Aide: Level I" u="1"/>
        <s v="Live In" u="1"/>
        <s v="SubContractor service" u="1"/>
        <s v="Other non-allowable services" u="1"/>
      </sharedItems>
      <fieldGroup par="19"/>
    </cacheField>
    <cacheField name="HHA/CDPAP" numFmtId="0">
      <sharedItems containsBlank="1"/>
    </cacheField>
    <cacheField name="Payor Source" numFmtId="0">
      <sharedItems containsBlank="1"/>
    </cacheField>
    <cacheField name="CHHA" numFmtId="0">
      <sharedItems containsBlank="1"/>
    </cacheField>
    <cacheField name="Patient Count" numFmtId="164">
      <sharedItems containsString="0" containsBlank="1" containsNumber="1" containsInteger="1" minValue="1" maxValue="289"/>
    </cacheField>
    <cacheField name="Visit Count" numFmtId="43">
      <sharedItems containsString="0" containsBlank="1" containsNumber="1" containsInteger="1" minValue="1" maxValue="63628"/>
    </cacheField>
    <cacheField name="Billed Hours" numFmtId="43">
      <sharedItems containsString="0" containsBlank="1" containsNumber="1" minValue="0.25" maxValue="730345.25"/>
    </cacheField>
    <cacheField name="Unique Patient Count" numFmtId="164">
      <sharedItems containsString="0" containsBlank="1" containsNumber="1" containsInteger="1" minValue="0" maxValue="279"/>
    </cacheField>
    <cacheField name="Unique Visit Count" numFmtId="43">
      <sharedItems containsString="0" containsBlank="1" containsNumber="1" containsInteger="1" minValue="0" maxValue="63478"/>
    </cacheField>
    <cacheField name="Unique Billed Hours" numFmtId="43">
      <sharedItems containsString="0" containsBlank="1" containsNumber="1" minValue="0" maxValue="729054.25"/>
    </cacheField>
    <cacheField name="Nursing override" numFmtId="0">
      <sharedItems containsBlank="1"/>
    </cacheField>
    <cacheField name="PDN" numFmtId="0">
      <sharedItems containsBlank="1" count="2">
        <m/>
        <s v="PDN"/>
      </sharedItems>
    </cacheField>
    <cacheField name="Level of Service2" numFmtId="0" databaseField="0">
      <fieldGroup base="7">
        <discretePr count="21">
          <x v="1"/>
          <x v="6"/>
          <x v="9"/>
          <x v="8"/>
          <x v="0"/>
          <x v="2"/>
          <x v="11"/>
          <x v="8"/>
          <x v="10"/>
          <x v="6"/>
          <x v="6"/>
          <x v="14"/>
          <x v="6"/>
          <x v="6"/>
          <x v="12"/>
          <x v="6"/>
          <x v="3"/>
          <x v="13"/>
          <x v="4"/>
          <x v="7"/>
          <x v="5"/>
        </discretePr>
        <groupItems count="15">
          <s v="Other Non-Reimbursable Services"/>
          <s v="SubContractor services"/>
          <s v="Home Health Aide"/>
          <m/>
          <s v="Live In"/>
          <s v="Other non-allowable services"/>
          <s v="Group1"/>
          <s v="SubContractor service"/>
          <s v="Group3"/>
          <s v="PC: Level II"/>
          <s v="Live-In"/>
          <s v="PC: Level I "/>
          <s v="PC: Level II - Hard to Serve"/>
          <s v="Shared Aide: Level I"/>
          <s v="Shared Aide: Level II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li Steinberg" refreshedDate="45972.492328587963" createdVersion="8" refreshedVersion="8" minRefreshableVersion="3" recordCount="1312" xr:uid="{CE4648D0-46AB-42FC-8736-2FD1DE59AEE4}">
  <cacheSource type="worksheet">
    <worksheetSource ref="A1:U1048576" sheet="Detail Data 5 Tagging"/>
  </cacheSource>
  <cacheFields count="22">
    <cacheField name="Sr#" numFmtId="0">
      <sharedItems containsString="0" containsBlank="1" containsNumber="1" containsInteger="1" minValue="1" maxValue="1648"/>
    </cacheField>
    <cacheField name="County" numFmtId="0">
      <sharedItems containsBlank="1" count="63">
        <s v="Nassau"/>
        <s v="Kings"/>
        <s v="Richmond"/>
        <s v="Queens"/>
        <s v="Monroe"/>
        <s v="Bronx"/>
        <s v="Albany"/>
        <s v="Allegany"/>
        <s v="Broome"/>
        <s v="Cattaraugus"/>
        <s v="Cayuga"/>
        <s v="Chautauqua"/>
        <s v="Chemung"/>
        <s v="Chenango"/>
        <s v="Clinton"/>
        <s v="Columbia"/>
        <s v="Cortland"/>
        <s v="Delaware"/>
        <s v="Dutchess"/>
        <s v="Erie"/>
        <s v="Essex"/>
        <s v="Franklin"/>
        <s v="Fulton"/>
        <s v="Genesee"/>
        <s v="Greene"/>
        <s v="Hamilton"/>
        <s v="Herkimer"/>
        <s v="Jefferson"/>
        <s v="Lewis"/>
        <s v="Livingston"/>
        <s v="Madison"/>
        <s v="Montgomery"/>
        <s v="New York"/>
        <s v="Niagara"/>
        <s v="Oneida"/>
        <s v="Onondaga"/>
        <s v="Ontario"/>
        <s v="Orange"/>
        <s v="Orleans"/>
        <s v="Oswego"/>
        <s v="Otsego"/>
        <s v="Putnam"/>
        <s v="Rensselaer"/>
        <s v="Rockland"/>
        <s v="Saint Lawrence"/>
        <s v="Saratoga"/>
        <s v="Schenectady"/>
        <s v="Schoharie"/>
        <s v="Schuyler"/>
        <s v="Seneca"/>
        <s v="Steuben"/>
        <s v="Suffolk"/>
        <s v="Sullivan"/>
        <s v="Tioga"/>
        <s v="Tompkins"/>
        <s v="Ulster"/>
        <s v="Warren"/>
        <s v="Washington"/>
        <s v="Wayne"/>
        <s v="Westchester"/>
        <s v="Wyoming"/>
        <s v="Yates"/>
        <m/>
      </sharedItems>
    </cacheField>
    <cacheField name="Contract " numFmtId="0">
      <sharedItems containsBlank="1"/>
    </cacheField>
    <cacheField name="Source Of Admission" numFmtId="0">
      <sharedItems containsBlank="1"/>
    </cacheField>
    <cacheField name="Contract Type" numFmtId="0">
      <sharedItems containsBlank="1"/>
    </cacheField>
    <cacheField name="Service Code" numFmtId="0">
      <sharedItems containsBlank="1"/>
    </cacheField>
    <cacheField name="Export Code" numFmtId="0">
      <sharedItems containsBlank="1"/>
    </cacheField>
    <cacheField name="Level of Service" numFmtId="0">
      <sharedItems containsBlank="1" count="21">
        <s v="Subcontractor Services"/>
        <s v="CDPAS: Individual - Basic"/>
        <s v="PC: Level II"/>
        <s v="Nursing Assessment"/>
        <s v="Other Non-Reimbursable Services"/>
        <s v="Home Health Aide"/>
        <s v="PC: Level I "/>
        <s v="Nursing Supervision"/>
        <s v="Live-In"/>
        <s v="CDPAS: Individual - Live-In"/>
        <s v="CDPAS: Multiple - Basic"/>
        <s v="Shared Aide: Level II"/>
        <s v="CDPAS: Individual - Hard to Serve "/>
        <s v="CDPAS: Multiple - Hard to Serve "/>
        <s v="PC: Level II - Hard to Serve"/>
        <s v="CDPAS: Multiple - Live-In"/>
        <m/>
        <s v="Shared Aide: Level I" u="1"/>
        <s v="Live In" u="1"/>
        <s v="SubContractor service" u="1"/>
        <s v="Other non-allowable services" u="1"/>
      </sharedItems>
      <fieldGroup par="21"/>
    </cacheField>
    <cacheField name="HHA/CDPAP" numFmtId="0">
      <sharedItems containsBlank="1" count="3">
        <s v="HHA"/>
        <s v="CDPAP"/>
        <m/>
      </sharedItems>
    </cacheField>
    <cacheField name="Payor Source" numFmtId="0">
      <sharedItems containsBlank="1"/>
    </cacheField>
    <cacheField name="CHHA" numFmtId="0">
      <sharedItems containsBlank="1"/>
    </cacheField>
    <cacheField name="Patient Count" numFmtId="164">
      <sharedItems containsString="0" containsBlank="1" containsNumber="1" containsInteger="1" minValue="1" maxValue="289"/>
    </cacheField>
    <cacheField name="Visit Count" numFmtId="43">
      <sharedItems containsString="0" containsBlank="1" containsNumber="1" containsInteger="1" minValue="1" maxValue="63628"/>
    </cacheField>
    <cacheField name="Billed Hours" numFmtId="43">
      <sharedItems containsString="0" containsBlank="1" containsNumber="1" minValue="0.25" maxValue="730345.25"/>
    </cacheField>
    <cacheField name="Unique Patient Count" numFmtId="164">
      <sharedItems containsString="0" containsBlank="1" containsNumber="1" containsInteger="1" minValue="0" maxValue="279"/>
    </cacheField>
    <cacheField name="Unique Visit Count" numFmtId="43">
      <sharedItems containsString="0" containsBlank="1" containsNumber="1" containsInteger="1" minValue="0" maxValue="63478"/>
    </cacheField>
    <cacheField name="Unique Billed Hours" numFmtId="43">
      <sharedItems containsString="0" containsBlank="1" containsNumber="1" minValue="0" maxValue="729054.25"/>
    </cacheField>
    <cacheField name="Nursing override" numFmtId="0">
      <sharedItems containsBlank="1"/>
    </cacheField>
    <cacheField name="PDN" numFmtId="0">
      <sharedItems containsBlank="1"/>
    </cacheField>
    <cacheField name="Live-In 13" numFmtId="2">
      <sharedItems containsBlank="1" containsMixedTypes="1" containsNumber="1" minValue="0.99" maxValue="13"/>
    </cacheField>
    <cacheField name="Admin" numFmtId="0">
      <sharedItems containsBlank="1" count="3">
        <s v="NR"/>
        <s v="R"/>
        <m/>
      </sharedItems>
    </cacheField>
    <cacheField name="Level of Service2" numFmtId="0" databaseField="0">
      <fieldGroup base="7">
        <discretePr count="21">
          <x v="1"/>
          <x v="6"/>
          <x v="7"/>
          <x v="8"/>
          <x v="0"/>
          <x v="2"/>
          <x v="7"/>
          <x v="8"/>
          <x v="7"/>
          <x v="6"/>
          <x v="6"/>
          <x v="7"/>
          <x v="6"/>
          <x v="6"/>
          <x v="7"/>
          <x v="6"/>
          <x v="3"/>
          <x v="7"/>
          <x v="4"/>
          <x v="9"/>
          <x v="5"/>
        </discretePr>
        <groupItems count="10">
          <s v="Other Non-Reimbursable Services"/>
          <s v="SubContractor services"/>
          <s v="Home Health Aide"/>
          <m/>
          <s v="Live In"/>
          <s v="Other non-allowable services"/>
          <s v="Group1"/>
          <s v="Group2"/>
          <s v="Group3"/>
          <s v="SubContractor service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7">
  <r>
    <m/>
    <m/>
    <x v="0"/>
    <m/>
    <m/>
    <x v="0"/>
    <m/>
    <m/>
    <m/>
    <m/>
  </r>
  <r>
    <n v="2"/>
    <s v="Anchor Health (HHA-PCA)"/>
    <x v="1"/>
    <s v="Revival Home Health Care"/>
    <s v="CHHA"/>
    <x v="1"/>
    <n v="0"/>
    <n v="0"/>
    <n v="2"/>
    <n v="0"/>
  </r>
  <r>
    <n v="3"/>
    <s v="Anchor Health (HHA-PCA)"/>
    <x v="2"/>
    <s v="Excellent Home Care Services"/>
    <s v="CHHA"/>
    <x v="1"/>
    <n v="0"/>
    <n v="0"/>
    <n v="2"/>
    <n v="0"/>
  </r>
  <r>
    <n v="4"/>
    <s v="Anchor Health (HHA-PCA)"/>
    <x v="3"/>
    <s v="Extended Home Care"/>
    <s v="CHHA"/>
    <x v="1"/>
    <n v="1"/>
    <n v="1"/>
    <n v="14"/>
    <n v="1"/>
  </r>
  <r>
    <n v="5"/>
    <s v="Anchor Health (HHA-PCA)"/>
    <x v="3"/>
    <s v="Americare"/>
    <s v="CHHA"/>
    <x v="1"/>
    <n v="0"/>
    <n v="0"/>
    <n v="3"/>
    <n v="0"/>
  </r>
  <r>
    <n v="6"/>
    <s v="Anchor Health (HHA-PCA)"/>
    <x v="2"/>
    <s v="Girling Health Care Of New York"/>
    <s v="CHHA"/>
    <x v="1"/>
    <n v="8"/>
    <n v="7"/>
    <n v="14"/>
    <n v="1"/>
  </r>
  <r>
    <n v="7"/>
    <s v="Anchor Health (HHA-PCA)"/>
    <x v="2"/>
    <s v="Private Pay"/>
    <s v="Other"/>
    <x v="1"/>
    <n v="1"/>
    <n v="1"/>
    <n v="0"/>
    <n v="0"/>
  </r>
  <r>
    <n v="8"/>
    <s v="Anchor Health (HHA-PCA)"/>
    <x v="4"/>
    <s v="Empire Blue Cross Blue Shield (PCA)"/>
    <s v="Other"/>
    <x v="1"/>
    <n v="6"/>
    <n v="5"/>
    <n v="12"/>
    <n v="0"/>
  </r>
  <r>
    <n v="9"/>
    <s v="Anchor Health (HHA-PCA)"/>
    <x v="2"/>
    <s v="NHTD"/>
    <s v="LHCSA"/>
    <x v="1"/>
    <n v="18"/>
    <n v="16"/>
    <n v="23"/>
    <n v="1"/>
  </r>
  <r>
    <n v="10"/>
    <s v="Anchor Health (HHA-PCA)"/>
    <x v="2"/>
    <s v="Fidelis Care (ANT)"/>
    <s v="LHCSA"/>
    <x v="1"/>
    <n v="1"/>
    <n v="1"/>
    <n v="1"/>
    <n v="0"/>
  </r>
  <r>
    <m/>
    <m/>
    <x v="0"/>
    <m/>
    <m/>
    <x v="0"/>
    <m/>
    <m/>
    <m/>
    <m/>
  </r>
  <r>
    <n v="12"/>
    <s v="Anchor Health Choice (CDPAP)"/>
    <x v="4"/>
    <s v="Empire Blue Cross Blue Shield (CDPAP)"/>
    <s v="Other"/>
    <x v="2"/>
    <n v="1"/>
    <n v="1"/>
    <n v="0"/>
    <n v="0"/>
  </r>
  <r>
    <n v="13"/>
    <s v="Anchor Health Choice (CDPAP)"/>
    <x v="1"/>
    <s v="Centers Plan For Healthy Living CDPAP "/>
    <s v="MLTC"/>
    <x v="2"/>
    <n v="0"/>
    <n v="0"/>
    <n v="1"/>
    <n v="0"/>
  </r>
  <r>
    <n v="14"/>
    <s v="Anchor Health Choice (CDPAP)"/>
    <x v="5"/>
    <s v="Fidelis Care (CDP)"/>
    <s v="LHCSA"/>
    <x v="2"/>
    <n v="0"/>
    <n v="0"/>
    <n v="1"/>
    <n v="0"/>
  </r>
  <r>
    <m/>
    <m/>
    <x v="0"/>
    <m/>
    <m/>
    <x v="0"/>
    <m/>
    <m/>
    <m/>
    <m/>
  </r>
  <r>
    <n v="16"/>
    <s v="Anchor Health (HHA-PCA)"/>
    <x v="6"/>
    <s v="Private Pay"/>
    <s v="Other"/>
    <x v="1"/>
    <n v="1"/>
    <n v="1"/>
    <n v="1"/>
    <n v="1"/>
  </r>
  <r>
    <n v="17"/>
    <s v="Anchor Health (HHA-PCA)"/>
    <x v="6"/>
    <s v="VNSNY CHOICE PCA"/>
    <s v="LHCSA"/>
    <x v="1"/>
    <n v="5"/>
    <n v="3"/>
    <n v="1"/>
    <n v="0"/>
  </r>
  <r>
    <n v="18"/>
    <s v="Anchor Health (HHA-PCA)"/>
    <x v="6"/>
    <s v="VNS Health Health Plans (ANT)"/>
    <s v="MLTC"/>
    <x v="1"/>
    <n v="49"/>
    <n v="26"/>
    <n v="207"/>
    <n v="29"/>
  </r>
  <r>
    <n v="19"/>
    <s v="Anchor Health (HHA-PCA)"/>
    <x v="6"/>
    <s v="Fidelis Care PCA (Non Live)"/>
    <s v="MLTC"/>
    <x v="1"/>
    <n v="2"/>
    <n v="1"/>
    <n v="0"/>
    <n v="0"/>
  </r>
  <r>
    <n v="20"/>
    <s v="Anchor Health (HHA-PCA)"/>
    <x v="6"/>
    <s v="Fidelis Care (ANT)"/>
    <s v="LHCSA"/>
    <x v="1"/>
    <n v="46"/>
    <n v="25"/>
    <n v="221"/>
    <n v="29"/>
  </r>
  <r>
    <n v="21"/>
    <s v="Anchor Health (HHA-PCA)"/>
    <x v="6"/>
    <s v="Nascentia PCA"/>
    <s v="MLTC"/>
    <x v="1"/>
    <n v="4"/>
    <n v="4"/>
    <n v="40"/>
    <n v="0"/>
  </r>
  <r>
    <n v="22"/>
    <s v="Anchor Health (HHA-PCA)"/>
    <x v="6"/>
    <s v="EDDY SeniorCare VNA (Pace Plan)"/>
    <s v="MCO"/>
    <x v="1"/>
    <n v="1"/>
    <n v="0"/>
    <n v="13"/>
    <n v="0"/>
  </r>
  <r>
    <n v="23"/>
    <s v="Anchor Health (HHA-PCA)"/>
    <x v="6"/>
    <s v="Non Billable"/>
    <s v="Other"/>
    <x v="1"/>
    <n v="0"/>
    <n v="0"/>
    <n v="1"/>
    <n v="0"/>
  </r>
  <r>
    <n v="24"/>
    <s v="Anchor Health Choice (CDPAP)"/>
    <x v="6"/>
    <s v="Nascentia Health Options CDPAP"/>
    <s v="MLTC"/>
    <x v="2"/>
    <n v="6"/>
    <n v="5"/>
    <n v="12"/>
    <n v="3"/>
  </r>
  <r>
    <n v="25"/>
    <s v="Anchor Health Choice (CDPAP)"/>
    <x v="6"/>
    <s v="Fidelis Care (CDP)"/>
    <s v="LHCSA"/>
    <x v="2"/>
    <n v="21"/>
    <n v="14"/>
    <n v="55"/>
    <n v="13"/>
  </r>
  <r>
    <n v="26"/>
    <s v="Anchor Health Choice (CDPAP)"/>
    <x v="6"/>
    <s v="VNS Health Health Plans (CDP)"/>
    <s v="MLTC"/>
    <x v="2"/>
    <n v="35"/>
    <n v="26"/>
    <n v="43"/>
    <n v="17"/>
  </r>
  <r>
    <n v="27"/>
    <s v="Anchor Select (Private Pay)"/>
    <x v="6"/>
    <s v="Private Pay - Select"/>
    <s v="Other"/>
    <x v="1"/>
    <n v="2"/>
    <n v="1"/>
    <n v="1"/>
    <n v="0"/>
  </r>
  <r>
    <n v="28"/>
    <s v="Anchor Health Choice (CDPAP)"/>
    <x v="7"/>
    <s v="Fidelis Care (CDP)"/>
    <s v="LHCSA"/>
    <x v="2"/>
    <n v="0"/>
    <n v="0"/>
    <n v="4"/>
    <n v="1"/>
  </r>
  <r>
    <n v="29"/>
    <s v="Anchor Health (HHA-PCA)"/>
    <x v="8"/>
    <s v="Revival Home Health Care"/>
    <s v="CHHA"/>
    <x v="1"/>
    <n v="1"/>
    <n v="1"/>
    <n v="0"/>
    <n v="0"/>
  </r>
  <r>
    <n v="30"/>
    <s v="Anchor Health (HHA-PCA)"/>
    <x v="8"/>
    <s v="Prime Home Health Services"/>
    <s v="CHHA"/>
    <x v="1"/>
    <n v="4"/>
    <n v="4"/>
    <n v="9"/>
    <n v="0"/>
  </r>
  <r>
    <n v="31"/>
    <s v="Anchor Health (HHA-PCA)"/>
    <x v="8"/>
    <s v="Excellent Home Care Services"/>
    <s v="CHHA"/>
    <x v="1"/>
    <n v="101"/>
    <n v="94"/>
    <n v="90"/>
    <n v="2"/>
  </r>
  <r>
    <n v="32"/>
    <s v="Anchor Health (HHA-PCA)"/>
    <x v="8"/>
    <s v="Extended Home Care"/>
    <s v="CHHA"/>
    <x v="1"/>
    <n v="197"/>
    <n v="164"/>
    <n v="210"/>
    <n v="10"/>
  </r>
  <r>
    <n v="33"/>
    <s v="Anchor Health (HHA-PCA)"/>
    <x v="8"/>
    <s v="Americare"/>
    <s v="CHHA"/>
    <x v="1"/>
    <n v="364"/>
    <n v="316"/>
    <n v="368"/>
    <n v="25"/>
  </r>
  <r>
    <n v="34"/>
    <s v="Anchor Health (HHA-PCA)"/>
    <x v="8"/>
    <s v="Centerlight CHHA / Cassena Care At Home"/>
    <s v="CHHA"/>
    <x v="1"/>
    <n v="2"/>
    <n v="2"/>
    <n v="2"/>
    <n v="0"/>
  </r>
  <r>
    <n v="35"/>
    <s v="Anchor Health (HHA-PCA)"/>
    <x v="8"/>
    <s v="Private Pay"/>
    <s v="Other"/>
    <x v="1"/>
    <n v="4"/>
    <n v="4"/>
    <n v="5"/>
    <n v="1"/>
  </r>
  <r>
    <n v="36"/>
    <s v="Anchor Health (HHA-PCA)"/>
    <x v="8"/>
    <s v="Empire Blue Cross Blue Shield (PCA)"/>
    <s v="Other"/>
    <x v="1"/>
    <n v="162"/>
    <n v="139"/>
    <n v="113"/>
    <n v="11"/>
  </r>
  <r>
    <n v="37"/>
    <s v="Anchor Health (HHA-PCA)"/>
    <x v="8"/>
    <s v="Centers Plan For Health Living PCA"/>
    <s v="MLTC"/>
    <x v="1"/>
    <n v="238"/>
    <n v="204"/>
    <n v="176"/>
    <n v="15"/>
  </r>
  <r>
    <n v="38"/>
    <s v="Anchor Health (HHA-PCA)"/>
    <x v="8"/>
    <s v="ElderServe/Riverspring (PCA)"/>
    <s v="MLTC"/>
    <x v="1"/>
    <n v="16"/>
    <n v="15"/>
    <n v="20"/>
    <n v="0"/>
  </r>
  <r>
    <n v="39"/>
    <s v="Anchor Health (HHA-PCA)"/>
    <x v="8"/>
    <s v="Archcare Community Life PCA"/>
    <s v="MCO"/>
    <x v="1"/>
    <n v="51"/>
    <n v="48"/>
    <n v="21"/>
    <n v="4"/>
  </r>
  <r>
    <n v="40"/>
    <s v="Anchor Health (HHA-PCA)"/>
    <x v="8"/>
    <s v="VNSNY CHOICE PCA"/>
    <s v="LHCSA"/>
    <x v="1"/>
    <n v="11"/>
    <n v="10"/>
    <n v="2"/>
    <n v="1"/>
  </r>
  <r>
    <n v="41"/>
    <s v="Anchor Health (HHA-PCA)"/>
    <x v="8"/>
    <s v="VillageCare PCA"/>
    <s v="MLTC"/>
    <x v="1"/>
    <n v="530"/>
    <n v="455"/>
    <n v="548"/>
    <n v="41"/>
  </r>
  <r>
    <n v="42"/>
    <s v="Anchor Health (HHA-PCA)"/>
    <x v="8"/>
    <s v="SWHNY-MLTC (ANT)"/>
    <s v="Other"/>
    <x v="1"/>
    <n v="72"/>
    <n v="59"/>
    <n v="46"/>
    <n v="4"/>
  </r>
  <r>
    <n v="43"/>
    <s v="Anchor Health (HHA-PCA)"/>
    <x v="8"/>
    <s v="NHTD"/>
    <s v="LHCSA"/>
    <x v="1"/>
    <n v="346"/>
    <n v="303"/>
    <n v="404"/>
    <n v="35"/>
  </r>
  <r>
    <n v="44"/>
    <s v="Anchor Health (HHA-PCA)"/>
    <x v="8"/>
    <s v="HEALTHFIRST PHSP (Medicaid) (Non Live)"/>
    <s v="CHHA"/>
    <x v="1"/>
    <n v="2"/>
    <n v="2"/>
    <n v="0"/>
    <n v="0"/>
  </r>
  <r>
    <n v="45"/>
    <s v="Anchor Health (HHA-PCA)"/>
    <x v="8"/>
    <s v="Elderplan MJHS (ANT)"/>
    <s v="MLTC"/>
    <x v="1"/>
    <n v="144"/>
    <n v="122"/>
    <n v="147"/>
    <n v="12"/>
  </r>
  <r>
    <n v="46"/>
    <s v="Anchor Health (HHA-PCA)"/>
    <x v="8"/>
    <s v="Hamaspik MAP PCA"/>
    <s v="MCO"/>
    <x v="1"/>
    <n v="42"/>
    <n v="32"/>
    <n v="42"/>
    <n v="4"/>
  </r>
  <r>
    <n v="47"/>
    <s v="Anchor Health (HHA-PCA)"/>
    <x v="8"/>
    <s v="CenterLight HealthCare (PACE) (ANT)"/>
    <s v="Other"/>
    <x v="1"/>
    <n v="1"/>
    <n v="1"/>
    <n v="0"/>
    <n v="0"/>
  </r>
  <r>
    <n v="48"/>
    <s v="Anchor Health (HHA-PCA)"/>
    <x v="8"/>
    <s v="VNS Health Health Plans (ANT)"/>
    <s v="MLTC"/>
    <x v="1"/>
    <n v="345"/>
    <n v="292"/>
    <n v="280"/>
    <n v="27"/>
  </r>
  <r>
    <n v="49"/>
    <s v="Anchor Health (HHA-PCA)"/>
    <x v="8"/>
    <s v="Healthfirst (ANT)"/>
    <s v="CHHA"/>
    <x v="1"/>
    <n v="219"/>
    <n v="180"/>
    <n v="209"/>
    <n v="17"/>
  </r>
  <r>
    <n v="50"/>
    <s v="Anchor Health (HHA-PCA)"/>
    <x v="8"/>
    <s v="Fidelis Care PCA (Non Live)"/>
    <s v="MLTC"/>
    <x v="1"/>
    <n v="6"/>
    <n v="3"/>
    <n v="3"/>
    <n v="0"/>
  </r>
  <r>
    <n v="51"/>
    <s v="Anchor Health (HHA-PCA)"/>
    <x v="8"/>
    <s v="Fidelis Care (ANT)"/>
    <s v="LHCSA"/>
    <x v="1"/>
    <n v="315"/>
    <n v="265"/>
    <n v="302"/>
    <n v="29"/>
  </r>
  <r>
    <n v="52"/>
    <s v="Anchor Health (HHA-PCA)"/>
    <x v="8"/>
    <s v="Royal Care Certified of NY"/>
    <s v="Other"/>
    <x v="1"/>
    <n v="3"/>
    <n v="3"/>
    <n v="2"/>
    <n v="0"/>
  </r>
  <r>
    <n v="53"/>
    <s v="Anchor Health (HHA-PCA)"/>
    <x v="8"/>
    <s v="Hamaspik Choice MLTC (PCA)"/>
    <s v="MLTC"/>
    <x v="1"/>
    <n v="26"/>
    <n v="21"/>
    <n v="19"/>
    <n v="4"/>
  </r>
  <r>
    <n v="54"/>
    <s v="Anchor Health (HHA-PCA)"/>
    <x v="8"/>
    <s v="Amerigroup (Empire) PCA"/>
    <s v="MCO"/>
    <x v="1"/>
    <n v="6"/>
    <n v="6"/>
    <n v="6"/>
    <n v="0"/>
  </r>
  <r>
    <n v="55"/>
    <s v="Anchor Health (HHA-PCA)"/>
    <x v="8"/>
    <s v="Non Billable"/>
    <s v="Other"/>
    <x v="1"/>
    <n v="10"/>
    <n v="10"/>
    <n v="15"/>
    <n v="1"/>
  </r>
  <r>
    <n v="56"/>
    <s v="Anchor Health Choice (CDPAP)"/>
    <x v="8"/>
    <s v="Empire Blue Cross Blue Shield (CDPAP)"/>
    <s v="Other"/>
    <x v="2"/>
    <n v="23"/>
    <n v="19"/>
    <n v="10"/>
    <n v="8"/>
  </r>
  <r>
    <n v="57"/>
    <s v="Anchor Health Choice (CDPAP)"/>
    <x v="8"/>
    <s v="Centers Plan For Healthy Living CDPAP "/>
    <s v="MLTC"/>
    <x v="2"/>
    <n v="30"/>
    <n v="26"/>
    <n v="24"/>
    <n v="9"/>
  </r>
  <r>
    <n v="58"/>
    <s v="Anchor Health Choice (CDPAP)"/>
    <x v="8"/>
    <s v="ElderServe/Riverspring (CDPAP)"/>
    <s v="MLTC"/>
    <x v="2"/>
    <n v="6"/>
    <n v="5"/>
    <n v="0"/>
    <n v="3"/>
  </r>
  <r>
    <n v="59"/>
    <s v="Anchor Health Choice (CDPAP)"/>
    <x v="8"/>
    <s v="Archcare Community Life CDPAP"/>
    <s v="MCO"/>
    <x v="2"/>
    <n v="2"/>
    <n v="2"/>
    <n v="0"/>
    <n v="0"/>
  </r>
  <r>
    <n v="60"/>
    <s v="Anchor Health Choice (CDPAP)"/>
    <x v="8"/>
    <s v="VillageCare CDPAP"/>
    <s v="MCO"/>
    <x v="2"/>
    <n v="39"/>
    <n v="30"/>
    <n v="81"/>
    <n v="19"/>
  </r>
  <r>
    <n v="61"/>
    <s v="Anchor Health Choice (CDPAP)"/>
    <x v="8"/>
    <s v="SWHNY-MLTC (CDP)"/>
    <s v="Other"/>
    <x v="2"/>
    <n v="22"/>
    <n v="17"/>
    <n v="4"/>
    <n v="10"/>
  </r>
  <r>
    <n v="62"/>
    <s v="Anchor Health Choice (CDPAP)"/>
    <x v="8"/>
    <s v="Hamaspik MAP CDPAP"/>
    <s v="MCO"/>
    <x v="2"/>
    <n v="0"/>
    <n v="0"/>
    <n v="3"/>
    <n v="0"/>
  </r>
  <r>
    <n v="63"/>
    <s v="Anchor Health Choice (CDPAP)"/>
    <x v="8"/>
    <s v="Elderplan MJHS (CDP)"/>
    <s v="MLTC"/>
    <x v="2"/>
    <n v="10"/>
    <n v="9"/>
    <n v="9"/>
    <n v="2"/>
  </r>
  <r>
    <n v="64"/>
    <s v="Anchor Health Choice (CDPAP)"/>
    <x v="8"/>
    <s v="Fidelis Care CDPAP (Non Live)"/>
    <s v="MCO"/>
    <x v="2"/>
    <n v="0"/>
    <n v="0"/>
    <n v="0"/>
    <n v="1"/>
  </r>
  <r>
    <n v="65"/>
    <s v="Anchor Health Choice (CDPAP)"/>
    <x v="8"/>
    <s v="Fidelis Care (CDP)"/>
    <s v="LHCSA"/>
    <x v="2"/>
    <n v="49"/>
    <n v="38"/>
    <n v="68"/>
    <n v="18"/>
  </r>
  <r>
    <n v="66"/>
    <s v="Anchor Health Choice (CDPAP)"/>
    <x v="8"/>
    <s v="Hamaspik Choice (MLTC) CDPAP"/>
    <s v="MCO"/>
    <x v="2"/>
    <n v="2"/>
    <n v="2"/>
    <n v="2"/>
    <n v="0"/>
  </r>
  <r>
    <n v="67"/>
    <s v="Anchor Health Choice (CDPAP)"/>
    <x v="8"/>
    <s v="CenterLight HealthCare (PACE) (CDP)"/>
    <s v="Other"/>
    <x v="2"/>
    <n v="1"/>
    <n v="1"/>
    <n v="0"/>
    <n v="0"/>
  </r>
  <r>
    <n v="68"/>
    <s v="Anchor Health Choice (CDPAP)"/>
    <x v="8"/>
    <s v="VNS Health Health Plans (CDP)"/>
    <s v="MLTC"/>
    <x v="2"/>
    <n v="29"/>
    <n v="25"/>
    <n v="30"/>
    <n v="7"/>
  </r>
  <r>
    <n v="69"/>
    <s v="Anchor Health Choice (CDPAP)"/>
    <x v="8"/>
    <s v="Healthfirst (CDP)"/>
    <s v="CHHA"/>
    <x v="2"/>
    <n v="28"/>
    <n v="22"/>
    <n v="57"/>
    <n v="12"/>
  </r>
  <r>
    <n v="70"/>
    <s v="Anchor Health Choice (CDPAP)"/>
    <x v="8"/>
    <s v="Non Billable"/>
    <s v="Other"/>
    <x v="2"/>
    <n v="1"/>
    <n v="1"/>
    <n v="1"/>
    <n v="0"/>
  </r>
  <r>
    <n v="71"/>
    <s v="Anchor Health Choice (CDPAP)"/>
    <x v="8"/>
    <s v="AVCC, LLC CDPAP"/>
    <s v="MCO"/>
    <x v="2"/>
    <n v="0"/>
    <n v="0"/>
    <n v="1"/>
    <n v="0"/>
  </r>
  <r>
    <n v="72"/>
    <s v="Anchor Select (Private Pay)"/>
    <x v="8"/>
    <s v="Private Pay - Select"/>
    <s v="Other"/>
    <x v="1"/>
    <n v="7"/>
    <n v="7"/>
    <n v="6"/>
    <n v="0"/>
  </r>
  <r>
    <n v="73"/>
    <s v="Anchor Health Choice (CDPAP)"/>
    <x v="9"/>
    <s v="Nascentia Health Options CDPAP"/>
    <s v="MLTC"/>
    <x v="2"/>
    <n v="12"/>
    <n v="9"/>
    <n v="22"/>
    <n v="10"/>
  </r>
  <r>
    <n v="74"/>
    <s v="Anchor Health Choice (CDPAP)"/>
    <x v="9"/>
    <s v="Fidelis Care (CDP)"/>
    <s v="LHCSA"/>
    <x v="2"/>
    <n v="9"/>
    <n v="7"/>
    <n v="28"/>
    <n v="7"/>
  </r>
  <r>
    <n v="75"/>
    <s v="Anchor Health Choice (CDPAP)"/>
    <x v="9"/>
    <s v="VNS Health Health Plans (CDP)"/>
    <s v="MLTC"/>
    <x v="2"/>
    <n v="0"/>
    <n v="0"/>
    <n v="1"/>
    <n v="1"/>
  </r>
  <r>
    <n v="76"/>
    <s v="Anchor Health Choice (CDPAP)"/>
    <x v="10"/>
    <s v="Nascentia Health Options CDPAP"/>
    <s v="MLTC"/>
    <x v="2"/>
    <n v="4"/>
    <n v="3"/>
    <n v="3"/>
    <n v="2"/>
  </r>
  <r>
    <n v="77"/>
    <s v="Anchor Health Choice (CDPAP)"/>
    <x v="10"/>
    <s v="Fidelis Care (CDP)"/>
    <s v="LHCSA"/>
    <x v="2"/>
    <n v="1"/>
    <n v="0"/>
    <n v="10"/>
    <n v="2"/>
  </r>
  <r>
    <n v="78"/>
    <s v="Anchor Health Choice (CDPAP)"/>
    <x v="11"/>
    <s v="Nascentia Health Options CDPAP"/>
    <s v="MLTC"/>
    <x v="2"/>
    <n v="2"/>
    <n v="2"/>
    <n v="1"/>
    <n v="2"/>
  </r>
  <r>
    <n v="79"/>
    <s v="Anchor Health Choice (CDPAP)"/>
    <x v="11"/>
    <s v="Fidelis Care (CDP)"/>
    <s v="LHCSA"/>
    <x v="2"/>
    <n v="3"/>
    <n v="2"/>
    <n v="5"/>
    <n v="3"/>
  </r>
  <r>
    <n v="80"/>
    <s v="Anchor Health Choice (CDPAP)"/>
    <x v="12"/>
    <s v="Nascentia Health Options CDPAP"/>
    <s v="MLTC"/>
    <x v="2"/>
    <n v="3"/>
    <n v="2"/>
    <n v="6"/>
    <n v="2"/>
  </r>
  <r>
    <n v="81"/>
    <s v="Anchor Health Choice (CDPAP)"/>
    <x v="12"/>
    <s v="Fidelis Care (CDP)"/>
    <s v="LHCSA"/>
    <x v="2"/>
    <n v="8"/>
    <n v="6"/>
    <n v="15"/>
    <n v="3"/>
  </r>
  <r>
    <n v="82"/>
    <s v="Anchor Health Choice (CDPAP)"/>
    <x v="13"/>
    <s v="Nascentia Health Options CDPAP"/>
    <s v="MLTC"/>
    <x v="2"/>
    <n v="6"/>
    <n v="5"/>
    <n v="5"/>
    <n v="3"/>
  </r>
  <r>
    <n v="83"/>
    <s v="Anchor Health Choice (CDPAP)"/>
    <x v="13"/>
    <s v="Fidelis Care (CDP)"/>
    <s v="LHCSA"/>
    <x v="2"/>
    <n v="4"/>
    <n v="3"/>
    <n v="10"/>
    <n v="1"/>
  </r>
  <r>
    <n v="84"/>
    <s v="Anchor Health Choice (CDPAP)"/>
    <x v="14"/>
    <s v="Nascentia Health Options CDPAP"/>
    <s v="MLTC"/>
    <x v="2"/>
    <n v="3"/>
    <n v="2"/>
    <n v="4"/>
    <n v="2"/>
  </r>
  <r>
    <n v="85"/>
    <s v="Anchor Health Choice (CDPAP)"/>
    <x v="14"/>
    <s v="Fidelis Care (CDP)"/>
    <s v="LHCSA"/>
    <x v="2"/>
    <n v="2"/>
    <n v="1"/>
    <n v="9"/>
    <n v="2"/>
  </r>
  <r>
    <n v="86"/>
    <s v="Anchor Health Choice (CDPAP)"/>
    <x v="15"/>
    <s v="Fidelis Care (CDP)"/>
    <s v="LHCSA"/>
    <x v="2"/>
    <n v="0"/>
    <n v="0"/>
    <n v="2"/>
    <n v="0"/>
  </r>
  <r>
    <n v="87"/>
    <s v="Anchor Health Choice (CDPAP)"/>
    <x v="15"/>
    <s v="Nascentia Health Options CDPAP"/>
    <s v="MLTC"/>
    <x v="2"/>
    <n v="3"/>
    <n v="3"/>
    <n v="2"/>
    <n v="0"/>
  </r>
  <r>
    <n v="88"/>
    <s v="Anchor Health Choice (CDPAP)"/>
    <x v="15"/>
    <s v="Fidelis Care (CDP)"/>
    <s v="LHCSA"/>
    <x v="2"/>
    <n v="0"/>
    <n v="0"/>
    <n v="5"/>
    <n v="0"/>
  </r>
  <r>
    <n v="89"/>
    <s v="Anchor Health (HHA-PCA)"/>
    <x v="16"/>
    <s v="VNS Health Health Plans (ANT)"/>
    <s v="MLTC"/>
    <x v="1"/>
    <n v="1"/>
    <n v="0"/>
    <n v="4"/>
    <n v="2"/>
  </r>
  <r>
    <n v="90"/>
    <s v="Anchor Health Choice (CDPAP)"/>
    <x v="16"/>
    <s v="VNS Health Health Plans (CDP)"/>
    <s v="MLTC"/>
    <x v="2"/>
    <n v="1"/>
    <n v="1"/>
    <n v="4"/>
    <n v="1"/>
  </r>
  <r>
    <n v="91"/>
    <s v="Anchor Health Choice (CDPAP)"/>
    <x v="17"/>
    <s v="Nascentia Health Options CDPAP"/>
    <s v="MLTC"/>
    <x v="2"/>
    <n v="1"/>
    <n v="1"/>
    <n v="1"/>
    <n v="1"/>
  </r>
  <r>
    <n v="92"/>
    <s v="Anchor Health Choice (CDPAP)"/>
    <x v="17"/>
    <s v="Fidelis Care (CDP)"/>
    <s v="LHCSA"/>
    <x v="2"/>
    <n v="1"/>
    <n v="1"/>
    <n v="3"/>
    <n v="0"/>
  </r>
  <r>
    <n v="93"/>
    <s v="Anchor Health Choice (CDPAP)"/>
    <x v="18"/>
    <s v="Nascentia Health Options CDPAP"/>
    <s v="MLTC"/>
    <x v="2"/>
    <n v="0"/>
    <n v="0"/>
    <n v="2"/>
    <n v="1"/>
  </r>
  <r>
    <n v="94"/>
    <s v="Anchor Health Choice (CDPAP)"/>
    <x v="18"/>
    <s v="Fidelis Care (CDP)"/>
    <s v="LHCSA"/>
    <x v="2"/>
    <n v="0"/>
    <n v="0"/>
    <n v="8"/>
    <n v="1"/>
  </r>
  <r>
    <n v="95"/>
    <s v="Anchor Health Choice (CDPAP)"/>
    <x v="18"/>
    <s v="VNS Health Health Plans (CDP)"/>
    <s v="MLTC"/>
    <x v="2"/>
    <n v="0"/>
    <n v="0"/>
    <n v="5"/>
    <n v="1"/>
  </r>
  <r>
    <n v="96"/>
    <s v="Anchor Health Choice (CDPAP)"/>
    <x v="19"/>
    <s v="Elderplan MJHS (CDP)"/>
    <s v="MLTC"/>
    <x v="2"/>
    <n v="1"/>
    <n v="1"/>
    <n v="3"/>
    <n v="0"/>
  </r>
  <r>
    <n v="97"/>
    <s v="Anchor Health Choice (CDPAP)"/>
    <x v="19"/>
    <s v="Fidelis Care (CDP)"/>
    <s v="LHCSA"/>
    <x v="2"/>
    <n v="3"/>
    <n v="1"/>
    <n v="6"/>
    <n v="3"/>
  </r>
  <r>
    <n v="98"/>
    <s v="Anchor Health Choice (CDPAP)"/>
    <x v="19"/>
    <s v="Hamaspik Choice (MLTC) CDPAP"/>
    <s v="MCO"/>
    <x v="2"/>
    <n v="1"/>
    <n v="1"/>
    <n v="1"/>
    <n v="0"/>
  </r>
  <r>
    <n v="99"/>
    <s v="Anchor Health Choice (CDPAP)"/>
    <x v="19"/>
    <s v="VNS Health Health Plans (CDP)"/>
    <s v="MLTC"/>
    <x v="2"/>
    <n v="10"/>
    <n v="10"/>
    <n v="10"/>
    <n v="3"/>
  </r>
  <r>
    <n v="100"/>
    <s v="Anchor Health Choice (CDPAP)"/>
    <x v="20"/>
    <s v="Centers Plan For Healthy Living CDPAP "/>
    <s v="MLTC"/>
    <x v="2"/>
    <n v="22"/>
    <n v="17"/>
    <n v="16"/>
    <n v="12"/>
  </r>
  <r>
    <n v="101"/>
    <s v="Anchor Health Choice (CDPAP)"/>
    <x v="20"/>
    <s v="Elderwood Health Plan"/>
    <s v="MCO"/>
    <x v="2"/>
    <n v="3"/>
    <n v="0"/>
    <n v="0"/>
    <n v="3"/>
  </r>
  <r>
    <n v="102"/>
    <s v="Anchor Health Choice (CDPAP)"/>
    <x v="20"/>
    <s v="Nascentia Health Options CDPAP"/>
    <s v="MLTC"/>
    <x v="2"/>
    <n v="1"/>
    <n v="1"/>
    <n v="5"/>
    <n v="2"/>
  </r>
  <r>
    <n v="103"/>
    <s v="Anchor Health Choice (CDPAP)"/>
    <x v="20"/>
    <s v="Fidelis Care (CDP)"/>
    <s v="LHCSA"/>
    <x v="2"/>
    <n v="5"/>
    <n v="4"/>
    <n v="37"/>
    <n v="3"/>
  </r>
  <r>
    <n v="104"/>
    <s v="Anchor Health Choice (CDPAP)"/>
    <x v="20"/>
    <s v="VNS Health Health Plans (CDP)"/>
    <s v="MLTC"/>
    <x v="2"/>
    <n v="18"/>
    <n v="11"/>
    <n v="28"/>
    <n v="13"/>
  </r>
  <r>
    <n v="105"/>
    <s v="Anchor Health Choice (CDPAP)"/>
    <x v="21"/>
    <s v="Fidelis Care (CDP)"/>
    <s v="LHCSA"/>
    <x v="2"/>
    <n v="0"/>
    <n v="0"/>
    <n v="2"/>
    <n v="0"/>
  </r>
  <r>
    <n v="106"/>
    <s v="Anchor Health Choice (CDPAP)"/>
    <x v="22"/>
    <s v="Nascentia Health Options CDPAP"/>
    <s v="MLTC"/>
    <x v="2"/>
    <n v="0"/>
    <n v="0"/>
    <n v="2"/>
    <n v="0"/>
  </r>
  <r>
    <n v="107"/>
    <s v="Anchor Health Choice (CDPAP)"/>
    <x v="22"/>
    <s v="Fidelis Care (CDP)"/>
    <s v="LHCSA"/>
    <x v="2"/>
    <n v="0"/>
    <n v="0"/>
    <n v="4"/>
    <n v="0"/>
  </r>
  <r>
    <n v="108"/>
    <s v="Anchor Health Choice (CDPAP)"/>
    <x v="22"/>
    <s v="VNS Health Health Plans (CDP)"/>
    <s v="MLTC"/>
    <x v="2"/>
    <n v="1"/>
    <n v="0"/>
    <n v="0"/>
    <n v="1"/>
  </r>
  <r>
    <n v="109"/>
    <s v="Anchor Health Choice (CDPAP)"/>
    <x v="23"/>
    <s v="Fidelis Care CDPAP (Non Live)"/>
    <s v="MCO"/>
    <x v="2"/>
    <n v="0"/>
    <n v="0"/>
    <n v="1"/>
    <n v="1"/>
  </r>
  <r>
    <n v="110"/>
    <s v="Anchor Health Choice (CDPAP)"/>
    <x v="23"/>
    <s v="Fidelis Care (CDP)"/>
    <s v="LHCSA"/>
    <x v="2"/>
    <n v="7"/>
    <n v="6"/>
    <n v="13"/>
    <n v="4"/>
  </r>
  <r>
    <n v="111"/>
    <s v="Anchor Health Choice (CDPAP)"/>
    <x v="23"/>
    <s v="VNS Health Health Plans (CDP)"/>
    <s v="MLTC"/>
    <x v="2"/>
    <n v="3"/>
    <n v="3"/>
    <n v="6"/>
    <n v="5"/>
  </r>
  <r>
    <n v="112"/>
    <s v="Anchor Health Choice (CDPAP)"/>
    <x v="24"/>
    <s v="VNSNY CHOICE CDPAP"/>
    <s v="MLTC"/>
    <x v="2"/>
    <n v="1"/>
    <n v="1"/>
    <n v="0"/>
    <n v="0"/>
  </r>
  <r>
    <n v="113"/>
    <s v="Anchor Health Choice (CDPAP)"/>
    <x v="24"/>
    <s v="Nascentia Health Options CDPAP"/>
    <s v="MLTC"/>
    <x v="2"/>
    <n v="2"/>
    <n v="2"/>
    <n v="3"/>
    <n v="0"/>
  </r>
  <r>
    <n v="114"/>
    <s v="Anchor Health Choice (CDPAP)"/>
    <x v="24"/>
    <s v="Fidelis Care (CDP)"/>
    <s v="LHCSA"/>
    <x v="2"/>
    <n v="1"/>
    <n v="1"/>
    <n v="2"/>
    <n v="0"/>
  </r>
  <r>
    <n v="115"/>
    <s v="Anchor Health Choice (CDPAP)"/>
    <x v="24"/>
    <s v="VNS Health Health Plans (CDP)"/>
    <s v="MLTC"/>
    <x v="2"/>
    <n v="0"/>
    <n v="0"/>
    <n v="3"/>
    <n v="1"/>
  </r>
  <r>
    <n v="116"/>
    <s v="Anchor Health Choice (CDPAP)"/>
    <x v="25"/>
    <s v="Nascentia Health Options CDPAP"/>
    <s v="MLTC"/>
    <x v="2"/>
    <n v="0"/>
    <n v="0"/>
    <n v="0"/>
    <n v="1"/>
  </r>
  <r>
    <n v="117"/>
    <s v="Anchor Health Choice (CDPAP)"/>
    <x v="25"/>
    <s v="Fidelis Care (CDP)"/>
    <s v="LHCSA"/>
    <x v="2"/>
    <n v="0"/>
    <n v="0"/>
    <n v="6"/>
    <n v="1"/>
  </r>
  <r>
    <n v="118"/>
    <s v="Anchor Health Choice (CDPAP)"/>
    <x v="25"/>
    <s v="VNS Health Health Plans (CDP)"/>
    <s v="MLTC"/>
    <x v="2"/>
    <n v="3"/>
    <n v="3"/>
    <n v="0"/>
    <n v="1"/>
  </r>
  <r>
    <n v="119"/>
    <s v="Anchor Health Choice (CDPAP)"/>
    <x v="26"/>
    <s v="Nascentia Health Options CDPAP"/>
    <s v="MLTC"/>
    <x v="2"/>
    <n v="0"/>
    <n v="0"/>
    <n v="1"/>
    <n v="0"/>
  </r>
  <r>
    <n v="120"/>
    <s v="Anchor Health Choice (CDPAP)"/>
    <x v="27"/>
    <s v="Nascentia Health Options CDPAP"/>
    <s v="MLTC"/>
    <x v="2"/>
    <n v="1"/>
    <n v="1"/>
    <n v="2"/>
    <n v="0"/>
  </r>
  <r>
    <n v="121"/>
    <s v="Anchor Health Choice (CDPAP)"/>
    <x v="27"/>
    <s v="Fidelis Care (CDP)"/>
    <s v="LHCSA"/>
    <x v="2"/>
    <n v="1"/>
    <n v="0"/>
    <n v="8"/>
    <n v="2"/>
  </r>
  <r>
    <n v="122"/>
    <s v="Anchor Health Choice (CDPAP)"/>
    <x v="27"/>
    <s v="VNS Health Health Plans (CDP)"/>
    <s v="MLTC"/>
    <x v="2"/>
    <n v="0"/>
    <n v="0"/>
    <n v="6"/>
    <n v="1"/>
  </r>
  <r>
    <n v="123"/>
    <s v="Anchor Health Choice (CDPAP)"/>
    <x v="28"/>
    <s v="Nascentia Health Options CDPAP"/>
    <s v="MLTC"/>
    <x v="2"/>
    <n v="5"/>
    <n v="3"/>
    <n v="7"/>
    <n v="2"/>
  </r>
  <r>
    <n v="124"/>
    <s v="Anchor Health Choice (CDPAP)"/>
    <x v="28"/>
    <s v="Fidelis Care (CDP)"/>
    <s v="LHCSA"/>
    <x v="2"/>
    <n v="7"/>
    <n v="5"/>
    <n v="9"/>
    <n v="4"/>
  </r>
  <r>
    <n v="125"/>
    <s v="Anchor Health (HHA-PCA)"/>
    <x v="1"/>
    <s v="Revival Home Health Care"/>
    <s v="CHHA"/>
    <x v="1"/>
    <n v="4"/>
    <n v="3"/>
    <n v="10"/>
    <n v="0"/>
  </r>
  <r>
    <n v="126"/>
    <s v="Anchor Health (HHA-PCA)"/>
    <x v="1"/>
    <s v="Prime Home Health Services"/>
    <s v="CHHA"/>
    <x v="1"/>
    <n v="24"/>
    <n v="20"/>
    <n v="31"/>
    <n v="1"/>
  </r>
  <r>
    <n v="127"/>
    <s v="Anchor Health (HHA-PCA)"/>
    <x v="1"/>
    <s v="Excellent Home Care Services"/>
    <s v="CHHA"/>
    <x v="1"/>
    <n v="248"/>
    <n v="222"/>
    <n v="235"/>
    <n v="9"/>
  </r>
  <r>
    <n v="128"/>
    <s v="Anchor Health (HHA-PCA)"/>
    <x v="1"/>
    <s v="Extended Home Care"/>
    <s v="CHHA"/>
    <x v="1"/>
    <n v="143"/>
    <n v="114"/>
    <n v="223"/>
    <n v="12"/>
  </r>
  <r>
    <n v="129"/>
    <s v="Anchor Health (HHA-PCA)"/>
    <x v="1"/>
    <s v="Americare"/>
    <s v="CHHA"/>
    <x v="1"/>
    <n v="341"/>
    <n v="293"/>
    <n v="544"/>
    <n v="27"/>
  </r>
  <r>
    <n v="130"/>
    <s v="Anchor Health (HHA-PCA)"/>
    <x v="1"/>
    <s v="Girling Health Care Of New York"/>
    <s v="CHHA"/>
    <x v="1"/>
    <n v="31"/>
    <n v="30"/>
    <n v="34"/>
    <n v="1"/>
  </r>
  <r>
    <n v="131"/>
    <s v="Anchor Health (HHA-PCA)"/>
    <x v="1"/>
    <s v="Shining Star Home Care CHHA"/>
    <s v="CHHA"/>
    <x v="1"/>
    <n v="2"/>
    <n v="2"/>
    <n v="0"/>
    <n v="0"/>
  </r>
  <r>
    <n v="132"/>
    <s v="Anchor Health (HHA-PCA)"/>
    <x v="1"/>
    <s v="Centerlight CHHA / Cassena Care At Home"/>
    <s v="CHHA"/>
    <x v="1"/>
    <n v="1"/>
    <n v="1"/>
    <n v="1"/>
    <n v="0"/>
  </r>
  <r>
    <n v="133"/>
    <s v="Anchor Health (HHA-PCA)"/>
    <x v="1"/>
    <s v="Private Pay"/>
    <s v="Other"/>
    <x v="1"/>
    <n v="138"/>
    <n v="119"/>
    <n v="100"/>
    <n v="12"/>
  </r>
  <r>
    <n v="134"/>
    <s v="Anchor Health (HHA-PCA)"/>
    <x v="1"/>
    <s v="Empire Blue Cross Blue Shield (PCA)"/>
    <s v="Other"/>
    <x v="1"/>
    <n v="188"/>
    <n v="163"/>
    <n v="184"/>
    <n v="19"/>
  </r>
  <r>
    <n v="135"/>
    <s v="Anchor Health (HHA-PCA)"/>
    <x v="1"/>
    <s v="Senior Whole Health PCA (Non Live)"/>
    <s v="Other"/>
    <x v="1"/>
    <n v="8"/>
    <n v="6"/>
    <n v="3"/>
    <n v="1"/>
  </r>
  <r>
    <n v="136"/>
    <s v="Anchor Health (HHA-PCA)"/>
    <x v="1"/>
    <s v="Centers Plan For Health Living PCA"/>
    <s v="MLTC"/>
    <x v="1"/>
    <n v="382"/>
    <n v="313"/>
    <n v="374"/>
    <n v="43"/>
  </r>
  <r>
    <n v="137"/>
    <s v="Anchor Health (HHA-PCA)"/>
    <x v="1"/>
    <s v="ElderServe/Riverspring (PCA)"/>
    <s v="MLTC"/>
    <x v="1"/>
    <n v="36"/>
    <n v="31"/>
    <n v="38"/>
    <n v="4"/>
  </r>
  <r>
    <n v="138"/>
    <s v="Anchor Health (HHA-PCA)"/>
    <x v="1"/>
    <s v="Partners Health Plan"/>
    <s v="MLTC"/>
    <x v="1"/>
    <n v="1"/>
    <n v="1"/>
    <n v="1"/>
    <n v="0"/>
  </r>
  <r>
    <n v="139"/>
    <s v="Anchor Health (HHA-PCA)"/>
    <x v="1"/>
    <s v="Archcare Community Life PCA"/>
    <s v="MCO"/>
    <x v="1"/>
    <n v="79"/>
    <n v="70"/>
    <n v="31"/>
    <n v="5"/>
  </r>
  <r>
    <n v="140"/>
    <s v="Anchor Health (HHA-PCA)"/>
    <x v="1"/>
    <s v="VNSNY CHOICE PCA"/>
    <s v="LHCSA"/>
    <x v="1"/>
    <n v="6"/>
    <n v="5"/>
    <n v="12"/>
    <n v="2"/>
  </r>
  <r>
    <n v="141"/>
    <s v="Anchor Health (HHA-PCA)"/>
    <x v="1"/>
    <s v="VillageCare PCA"/>
    <s v="MLTC"/>
    <x v="1"/>
    <n v="647"/>
    <n v="540"/>
    <n v="868"/>
    <n v="67"/>
  </r>
  <r>
    <n v="142"/>
    <s v="Anchor Health (HHA-PCA)"/>
    <x v="1"/>
    <s v="SWHNY-MLTC (ANT)"/>
    <s v="Other"/>
    <x v="1"/>
    <n v="159"/>
    <n v="141"/>
    <n v="141"/>
    <n v="11"/>
  </r>
  <r>
    <n v="143"/>
    <s v="Anchor Health (HHA-PCA)"/>
    <x v="1"/>
    <s v="Your Choice at Home"/>
    <s v="CHHA"/>
    <x v="1"/>
    <n v="369"/>
    <n v="324"/>
    <n v="490"/>
    <n v="14"/>
  </r>
  <r>
    <n v="144"/>
    <s v="Anchor Health (HHA-PCA)"/>
    <x v="1"/>
    <s v="NHTD"/>
    <s v="LHCSA"/>
    <x v="1"/>
    <n v="719"/>
    <n v="626"/>
    <n v="894"/>
    <n v="48"/>
  </r>
  <r>
    <n v="145"/>
    <s v="Anchor Health (HHA-PCA)"/>
    <x v="1"/>
    <s v="TBI"/>
    <s v="LHCSA"/>
    <x v="1"/>
    <n v="40"/>
    <n v="36"/>
    <n v="29"/>
    <n v="1"/>
  </r>
  <r>
    <n v="146"/>
    <s v="Anchor Health (HHA-PCA)"/>
    <x v="1"/>
    <s v="Elderplan MJHS (ANT)"/>
    <s v="MLTC"/>
    <x v="1"/>
    <n v="159"/>
    <n v="143"/>
    <n v="250"/>
    <n v="16"/>
  </r>
  <r>
    <n v="147"/>
    <s v="Anchor Health (HHA-PCA)"/>
    <x v="1"/>
    <s v="Hamaspik MAP PCA"/>
    <s v="MCO"/>
    <x v="1"/>
    <n v="19"/>
    <n v="14"/>
    <n v="31"/>
    <n v="2"/>
  </r>
  <r>
    <n v="148"/>
    <s v="Anchor Health (HHA-PCA)"/>
    <x v="1"/>
    <s v="Healthfirst PCA MAP (Complete Care) (Non Live)"/>
    <s v="MCO"/>
    <x v="1"/>
    <n v="2"/>
    <n v="2"/>
    <n v="2"/>
    <n v="0"/>
  </r>
  <r>
    <n v="149"/>
    <s v="Anchor Health (HHA-PCA)"/>
    <x v="1"/>
    <s v="VNS Health Health Plans (ANT)"/>
    <s v="MLTC"/>
    <x v="1"/>
    <n v="517"/>
    <n v="428"/>
    <n v="567"/>
    <n v="54"/>
  </r>
  <r>
    <n v="150"/>
    <s v="Anchor Health (HHA-PCA)"/>
    <x v="1"/>
    <s v="Healthfirst (ANT)"/>
    <s v="CHHA"/>
    <x v="1"/>
    <n v="237"/>
    <n v="192"/>
    <n v="311"/>
    <n v="34"/>
  </r>
  <r>
    <n v="151"/>
    <s v="Anchor Health (HHA-PCA)"/>
    <x v="1"/>
    <s v="Fidelis Care PCA (Non Live)"/>
    <s v="MLTC"/>
    <x v="1"/>
    <n v="4"/>
    <n v="4"/>
    <n v="5"/>
    <n v="0"/>
  </r>
  <r>
    <n v="152"/>
    <s v="Anchor Health (HHA-PCA)"/>
    <x v="1"/>
    <s v="Fidelis Care (ANT)"/>
    <s v="LHCSA"/>
    <x v="1"/>
    <n v="427"/>
    <n v="350"/>
    <n v="588"/>
    <n v="46"/>
  </r>
  <r>
    <n v="153"/>
    <s v="Anchor Health (HHA-PCA)"/>
    <x v="1"/>
    <s v="Hamaspik Choice MLTC (PCA)"/>
    <s v="MLTC"/>
    <x v="1"/>
    <n v="44"/>
    <n v="39"/>
    <n v="45"/>
    <n v="5"/>
  </r>
  <r>
    <n v="154"/>
    <s v="Anchor Health (HHA-PCA)"/>
    <x v="1"/>
    <s v="Amerigroup (Empire) PCA"/>
    <s v="MCO"/>
    <x v="1"/>
    <n v="1"/>
    <n v="1"/>
    <n v="14"/>
    <n v="0"/>
  </r>
  <r>
    <n v="155"/>
    <s v="Anchor Health (HHA-PCA)"/>
    <x v="1"/>
    <s v="Non Billable"/>
    <s v="Other"/>
    <x v="1"/>
    <n v="142"/>
    <n v="138"/>
    <n v="219"/>
    <n v="5"/>
  </r>
  <r>
    <m/>
    <m/>
    <x v="0"/>
    <m/>
    <m/>
    <x v="0"/>
    <m/>
    <m/>
    <m/>
    <m/>
  </r>
  <r>
    <n v="157"/>
    <s v="Anchor Health Choice (CDPAP)"/>
    <x v="1"/>
    <s v="Empire Blue Cross Blue Shield (CDPAP)"/>
    <s v="Other"/>
    <x v="2"/>
    <n v="39"/>
    <n v="38"/>
    <n v="21"/>
    <n v="7"/>
  </r>
  <r>
    <n v="158"/>
    <s v="Anchor Health Choice (CDPAP)"/>
    <x v="1"/>
    <s v="Centers Plan For Healthy Living CDPAP "/>
    <s v="MLTC"/>
    <x v="2"/>
    <n v="74"/>
    <n v="65"/>
    <n v="66"/>
    <n v="26"/>
  </r>
  <r>
    <n v="159"/>
    <s v="Anchor Health Choice (CDPAP)"/>
    <x v="1"/>
    <s v="ElderServe/Riverspring (CDPAP)"/>
    <s v="MLTC"/>
    <x v="2"/>
    <n v="3"/>
    <n v="1"/>
    <n v="1"/>
    <n v="4"/>
  </r>
  <r>
    <n v="160"/>
    <s v="Anchor Health Choice (CDPAP)"/>
    <x v="1"/>
    <s v="Archcare Community Life CDPAP"/>
    <s v="MCO"/>
    <x v="2"/>
    <n v="8"/>
    <n v="7"/>
    <n v="5"/>
    <n v="3"/>
  </r>
  <r>
    <n v="161"/>
    <s v="Anchor Health Choice (CDPAP)"/>
    <x v="1"/>
    <s v="VNSNY CHOICE CDPAP"/>
    <s v="MLTC"/>
    <x v="2"/>
    <n v="1"/>
    <n v="0"/>
    <n v="1"/>
    <n v="2"/>
  </r>
  <r>
    <n v="162"/>
    <s v="Anchor Health Choice (CDPAP)"/>
    <x v="1"/>
    <s v="VillageCare CDPAP"/>
    <s v="MCO"/>
    <x v="2"/>
    <n v="87"/>
    <n v="78"/>
    <n v="155"/>
    <n v="22"/>
  </r>
  <r>
    <n v="163"/>
    <s v="Anchor Health Choice (CDPAP)"/>
    <x v="1"/>
    <s v="SWHNY-MLTC (CDP)"/>
    <s v="Other"/>
    <x v="2"/>
    <n v="42"/>
    <n v="36"/>
    <n v="11"/>
    <n v="9"/>
  </r>
  <r>
    <n v="164"/>
    <s v="Anchor Health Choice (CDPAP)"/>
    <x v="1"/>
    <s v="Nascentia Health Options CDPAP"/>
    <s v="MLTC"/>
    <x v="2"/>
    <n v="1"/>
    <n v="1"/>
    <n v="0"/>
    <n v="0"/>
  </r>
  <r>
    <n v="165"/>
    <s v="Anchor Health Choice (CDPAP)"/>
    <x v="1"/>
    <s v="Hamaspik MAP CDPAP"/>
    <s v="MCO"/>
    <x v="2"/>
    <n v="5"/>
    <n v="5"/>
    <n v="5"/>
    <n v="2"/>
  </r>
  <r>
    <n v="166"/>
    <s v="Anchor Health Choice (CDPAP)"/>
    <x v="1"/>
    <s v="Elderplan MJHS (CDP)"/>
    <s v="MLTC"/>
    <x v="2"/>
    <n v="14"/>
    <n v="12"/>
    <n v="34"/>
    <n v="5"/>
  </r>
  <r>
    <n v="167"/>
    <s v="Anchor Health Choice (CDPAP)"/>
    <x v="1"/>
    <s v="Fidelis Care (CDP)"/>
    <s v="LHCSA"/>
    <x v="2"/>
    <n v="33"/>
    <n v="25"/>
    <n v="89"/>
    <n v="19"/>
  </r>
  <r>
    <n v="168"/>
    <s v="Anchor Health Choice (CDPAP)"/>
    <x v="1"/>
    <s v="Hamaspik Choice (MLTC) CDPAP"/>
    <s v="MCO"/>
    <x v="2"/>
    <n v="2"/>
    <n v="2"/>
    <n v="2"/>
    <n v="0"/>
  </r>
  <r>
    <n v="169"/>
    <s v="Anchor Health Choice (CDPAP)"/>
    <x v="1"/>
    <s v="CenterLight HealthCare (PACE) (CDP)"/>
    <s v="Other"/>
    <x v="2"/>
    <n v="1"/>
    <n v="1"/>
    <n v="0"/>
    <n v="0"/>
  </r>
  <r>
    <n v="170"/>
    <s v="Anchor Health Choice (CDPAP)"/>
    <x v="1"/>
    <s v="Healthfirst MLTC CDPAP (SHP) (Non Live)"/>
    <s v="CHHA"/>
    <x v="2"/>
    <n v="0"/>
    <n v="0"/>
    <n v="1"/>
    <n v="0"/>
  </r>
  <r>
    <n v="171"/>
    <s v="Anchor Health Choice (CDPAP)"/>
    <x v="1"/>
    <s v="VNS Health Health Plans (CDP)"/>
    <s v="MLTC"/>
    <x v="2"/>
    <n v="65"/>
    <n v="53"/>
    <n v="67"/>
    <n v="24"/>
  </r>
  <r>
    <n v="172"/>
    <s v="Anchor Health Choice (CDPAP)"/>
    <x v="1"/>
    <s v="Healthfirst (CDP)"/>
    <s v="CHHA"/>
    <x v="2"/>
    <n v="41"/>
    <n v="37"/>
    <n v="63"/>
    <n v="17"/>
  </r>
  <r>
    <n v="173"/>
    <s v="Anchor Health Choice (CDPAP)"/>
    <x v="1"/>
    <s v="Non Billable"/>
    <s v="Other"/>
    <x v="2"/>
    <n v="0"/>
    <n v="0"/>
    <n v="2"/>
    <n v="0"/>
  </r>
  <r>
    <n v="174"/>
    <s v="Anchor Select (Private Pay)"/>
    <x v="1"/>
    <s v="Private Pay - Select"/>
    <s v="Other"/>
    <x v="1"/>
    <n v="43"/>
    <n v="37"/>
    <n v="32"/>
    <n v="3"/>
  </r>
  <r>
    <n v="175"/>
    <s v="Anchor Select (Private Pay)"/>
    <x v="1"/>
    <s v="Anchor select"/>
    <s v="Other"/>
    <x v="1"/>
    <n v="13"/>
    <n v="13"/>
    <n v="1"/>
    <n v="0"/>
  </r>
  <r>
    <n v="176"/>
    <s v="Anchor Health Choice (CDPAP)"/>
    <x v="29"/>
    <s v="Nascentia Health Options CDPAP"/>
    <s v="MLTC"/>
    <x v="2"/>
    <n v="2"/>
    <n v="2"/>
    <n v="0"/>
    <n v="0"/>
  </r>
  <r>
    <n v="177"/>
    <s v="Anchor Health Choice (CDPAP)"/>
    <x v="29"/>
    <s v="Fidelis Care (CDP)"/>
    <s v="LHCSA"/>
    <x v="2"/>
    <n v="0"/>
    <n v="0"/>
    <n v="2"/>
    <n v="0"/>
  </r>
  <r>
    <n v="178"/>
    <s v="Anchor Health Choice (CDPAP)"/>
    <x v="30"/>
    <s v="Nascentia Health Options CDPAP"/>
    <s v="MLTC"/>
    <x v="2"/>
    <n v="1"/>
    <n v="1"/>
    <n v="0"/>
    <n v="0"/>
  </r>
  <r>
    <n v="179"/>
    <s v="Anchor Health Choice (CDPAP)"/>
    <x v="30"/>
    <s v="Fidelis Care (CDP)"/>
    <s v="LHCSA"/>
    <x v="2"/>
    <n v="3"/>
    <n v="1"/>
    <n v="3"/>
    <n v="2"/>
  </r>
  <r>
    <n v="180"/>
    <s v="Anchor Health Choice (CDPAP)"/>
    <x v="31"/>
    <s v="Fidelis Care (CDP)"/>
    <s v="LHCSA"/>
    <x v="2"/>
    <n v="1"/>
    <n v="1"/>
    <n v="1"/>
    <n v="0"/>
  </r>
  <r>
    <n v="181"/>
    <s v="Anchor Health Choice (CDPAP)"/>
    <x v="31"/>
    <s v="VNS Health Health Plans (CDP)"/>
    <s v="MLTC"/>
    <x v="2"/>
    <n v="2"/>
    <n v="2"/>
    <n v="3"/>
    <n v="0"/>
  </r>
  <r>
    <n v="182"/>
    <s v="Anchor Health Choice (CDPAP)"/>
    <x v="5"/>
    <s v="VNSNY CHOICE CDPAP"/>
    <s v="MLTC"/>
    <x v="2"/>
    <n v="1"/>
    <n v="1"/>
    <n v="0"/>
    <n v="0"/>
  </r>
  <r>
    <n v="183"/>
    <s v="Anchor Health Choice (CDPAP)"/>
    <x v="5"/>
    <s v="Elderwood Health Plan"/>
    <s v="MCO"/>
    <x v="2"/>
    <n v="7"/>
    <n v="6"/>
    <n v="1"/>
    <n v="0"/>
  </r>
  <r>
    <n v="184"/>
    <s v="Anchor Health Choice (CDPAP)"/>
    <x v="5"/>
    <s v="Nascentia Health Options CDPAP"/>
    <s v="MLTC"/>
    <x v="2"/>
    <n v="2"/>
    <n v="2"/>
    <n v="5"/>
    <n v="0"/>
  </r>
  <r>
    <n v="185"/>
    <s v="Anchor Health Choice (CDPAP)"/>
    <x v="5"/>
    <s v="Fidelis Care (CDP)"/>
    <s v="LHCSA"/>
    <x v="2"/>
    <n v="10"/>
    <n v="6"/>
    <n v="23"/>
    <n v="4"/>
  </r>
  <r>
    <n v="186"/>
    <s v="Anchor Health Choice (CDPAP)"/>
    <x v="5"/>
    <s v="VNS Health Health Plans (CDP)"/>
    <s v="MLTC"/>
    <x v="2"/>
    <n v="51"/>
    <n v="43"/>
    <n v="44"/>
    <n v="13"/>
  </r>
  <r>
    <n v="187"/>
    <s v="Anchor Health (HHA-PCA)"/>
    <x v="32"/>
    <s v="Fidelis Care PCA (Non Live)"/>
    <s v="MLTC"/>
    <x v="1"/>
    <n v="0"/>
    <n v="0"/>
    <n v="1"/>
    <n v="0"/>
  </r>
  <r>
    <n v="188"/>
    <s v="Anchor Health (HHA-PCA)"/>
    <x v="32"/>
    <s v="Fidelis Care (ANT)"/>
    <s v="LHCSA"/>
    <x v="1"/>
    <n v="2"/>
    <n v="1"/>
    <n v="9"/>
    <n v="2"/>
  </r>
  <r>
    <n v="189"/>
    <s v="Anchor Health Choice (CDPAP)"/>
    <x v="32"/>
    <s v="Nascentia Health Options CDPAP"/>
    <s v="MLTC"/>
    <x v="2"/>
    <n v="0"/>
    <n v="0"/>
    <n v="1"/>
    <n v="1"/>
  </r>
  <r>
    <n v="190"/>
    <s v="Anchor Health Choice (CDPAP)"/>
    <x v="32"/>
    <s v="Fidelis Care (CDP)"/>
    <s v="LHCSA"/>
    <x v="2"/>
    <n v="4"/>
    <n v="4"/>
    <n v="15"/>
    <n v="1"/>
  </r>
  <r>
    <n v="191"/>
    <s v="Anchor Health Choice (CDPAP)"/>
    <x v="32"/>
    <s v="VNS Health Health Plans (CDP)"/>
    <s v="MLTC"/>
    <x v="2"/>
    <n v="4"/>
    <n v="3"/>
    <n v="4"/>
    <n v="1"/>
  </r>
  <r>
    <n v="192"/>
    <s v="Anchor Health (HHA-PCA)"/>
    <x v="3"/>
    <s v="Revival Home Health Care"/>
    <s v="CHHA"/>
    <x v="1"/>
    <n v="3"/>
    <n v="3"/>
    <n v="11"/>
    <n v="0"/>
  </r>
  <r>
    <n v="193"/>
    <s v="Anchor Health (HHA-PCA)"/>
    <x v="3"/>
    <s v="Excellent Home Care Services"/>
    <s v="CHHA"/>
    <x v="1"/>
    <n v="22"/>
    <n v="15"/>
    <n v="39"/>
    <n v="4"/>
  </r>
  <r>
    <n v="194"/>
    <s v="Anchor Health (HHA-PCA)"/>
    <x v="3"/>
    <s v="Extended Home Care"/>
    <s v="CHHA"/>
    <x v="1"/>
    <n v="32"/>
    <n v="26"/>
    <n v="105"/>
    <n v="4"/>
  </r>
  <r>
    <n v="195"/>
    <s v="Anchor Health (HHA-PCA)"/>
    <x v="3"/>
    <s v="Americare"/>
    <s v="CHHA"/>
    <x v="1"/>
    <n v="109"/>
    <n v="88"/>
    <n v="214"/>
    <n v="10"/>
  </r>
  <r>
    <n v="196"/>
    <s v="Anchor Health (HHA-PCA)"/>
    <x v="3"/>
    <s v="Royal Care Certified"/>
    <s v="Other"/>
    <x v="1"/>
    <n v="59"/>
    <n v="43"/>
    <n v="93"/>
    <n v="7"/>
  </r>
  <r>
    <n v="197"/>
    <s v="Anchor Health (HHA-PCA)"/>
    <x v="3"/>
    <s v="Private Pay"/>
    <s v="Other"/>
    <x v="1"/>
    <n v="7"/>
    <n v="7"/>
    <n v="14"/>
    <n v="2"/>
  </r>
  <r>
    <n v="198"/>
    <s v="Anchor Health (HHA-PCA)"/>
    <x v="3"/>
    <s v="Empire Blue Cross Blue Shield (PCA)"/>
    <s v="Other"/>
    <x v="1"/>
    <n v="55"/>
    <n v="38"/>
    <n v="107"/>
    <n v="9"/>
  </r>
  <r>
    <n v="199"/>
    <s v="Anchor Health (HHA-PCA)"/>
    <x v="3"/>
    <s v="Senior Whole Health PCA (Non Live)"/>
    <s v="Other"/>
    <x v="1"/>
    <n v="1"/>
    <n v="0"/>
    <n v="0"/>
    <n v="1"/>
  </r>
  <r>
    <n v="200"/>
    <s v="Anchor Health (HHA-PCA)"/>
    <x v="3"/>
    <s v="Centers Plan For Health Living PCA"/>
    <s v="MLTC"/>
    <x v="1"/>
    <n v="94"/>
    <n v="74"/>
    <n v="160"/>
    <n v="14"/>
  </r>
  <r>
    <n v="201"/>
    <s v="Anchor Health (HHA-PCA)"/>
    <x v="3"/>
    <s v="ElderServe/Riverspring (PCA)"/>
    <s v="MLTC"/>
    <x v="1"/>
    <n v="11"/>
    <n v="10"/>
    <n v="7"/>
    <n v="0"/>
  </r>
  <r>
    <n v="202"/>
    <s v="Anchor Health (HHA-PCA)"/>
    <x v="3"/>
    <s v="VNSNY CHOICE PCA"/>
    <s v="LHCSA"/>
    <x v="1"/>
    <n v="2"/>
    <n v="2"/>
    <n v="3"/>
    <n v="0"/>
  </r>
  <r>
    <n v="203"/>
    <s v="Anchor Health (HHA-PCA)"/>
    <x v="3"/>
    <s v="VillageCare PCA"/>
    <s v="MLTC"/>
    <x v="1"/>
    <n v="3"/>
    <n v="3"/>
    <n v="0"/>
    <n v="0"/>
  </r>
  <r>
    <n v="204"/>
    <s v="Anchor Health (HHA-PCA)"/>
    <x v="3"/>
    <s v="SWHNY-MLTC (ANT)"/>
    <s v="Other"/>
    <x v="1"/>
    <n v="16"/>
    <n v="10"/>
    <n v="20"/>
    <n v="3"/>
  </r>
  <r>
    <n v="205"/>
    <s v="Anchor Health (HHA-PCA)"/>
    <x v="3"/>
    <s v="NHTD"/>
    <s v="LHCSA"/>
    <x v="1"/>
    <n v="348"/>
    <n v="272"/>
    <n v="687"/>
    <n v="45"/>
  </r>
  <r>
    <n v="206"/>
    <s v="Anchor Health (HHA-PCA)"/>
    <x v="3"/>
    <s v="Elderplan MJHS (ANT)"/>
    <s v="MLTC"/>
    <x v="1"/>
    <n v="67"/>
    <n v="55"/>
    <n v="123"/>
    <n v="7"/>
  </r>
  <r>
    <n v="207"/>
    <s v="Anchor Health (HHA-PCA)"/>
    <x v="3"/>
    <s v="Hamaspik MAP PCA"/>
    <s v="MCO"/>
    <x v="1"/>
    <n v="2"/>
    <n v="2"/>
    <n v="1"/>
    <n v="0"/>
  </r>
  <r>
    <n v="208"/>
    <s v="Anchor Health (HHA-PCA)"/>
    <x v="3"/>
    <s v="CenterLight HealthCare (PACE) (ANT)"/>
    <s v="Other"/>
    <x v="1"/>
    <n v="2"/>
    <n v="2"/>
    <n v="1"/>
    <n v="0"/>
  </r>
  <r>
    <n v="209"/>
    <s v="Anchor Health (HHA-PCA)"/>
    <x v="3"/>
    <s v="VNS Health Health Plans (ANT)"/>
    <s v="MLTC"/>
    <x v="1"/>
    <n v="226"/>
    <n v="177"/>
    <n v="426"/>
    <n v="29"/>
  </r>
  <r>
    <n v="210"/>
    <s v="Anchor Health (HHA-PCA)"/>
    <x v="3"/>
    <s v="Healthfirst (ANT)"/>
    <s v="CHHA"/>
    <x v="1"/>
    <n v="63"/>
    <n v="49"/>
    <n v="98"/>
    <n v="8"/>
  </r>
  <r>
    <n v="211"/>
    <s v="Anchor Health (HHA-PCA)"/>
    <x v="3"/>
    <s v="Fidelis Care PCA (Non Live)"/>
    <s v="MLTC"/>
    <x v="1"/>
    <n v="14"/>
    <n v="9"/>
    <n v="5"/>
    <n v="3"/>
  </r>
  <r>
    <n v="212"/>
    <s v="Anchor Health (HHA-PCA)"/>
    <x v="3"/>
    <s v="Fidelis Care (ANT)"/>
    <s v="LHCSA"/>
    <x v="1"/>
    <n v="144"/>
    <n v="115"/>
    <n v="258"/>
    <n v="18"/>
  </r>
  <r>
    <n v="213"/>
    <s v="Anchor Health (HHA-PCA)"/>
    <x v="3"/>
    <s v="Royal Care Certified of NY"/>
    <s v="Other"/>
    <x v="1"/>
    <n v="0"/>
    <n v="0"/>
    <n v="1"/>
    <n v="0"/>
  </r>
  <r>
    <n v="214"/>
    <s v="Anchor Health (HHA-PCA)"/>
    <x v="3"/>
    <s v="Hamaspik Choice MLTC (PCA)"/>
    <s v="MLTC"/>
    <x v="1"/>
    <n v="8"/>
    <n v="5"/>
    <n v="9"/>
    <n v="2"/>
  </r>
  <r>
    <n v="215"/>
    <s v="Anchor Health (HHA-PCA)"/>
    <x v="3"/>
    <s v="Amerigroup (Empire) PCA"/>
    <s v="MCO"/>
    <x v="1"/>
    <n v="7"/>
    <n v="7"/>
    <n v="14"/>
    <n v="0"/>
  </r>
  <r>
    <n v="216"/>
    <s v="Anchor Health (HHA-PCA)"/>
    <x v="3"/>
    <s v="Non Billable"/>
    <s v="Other"/>
    <x v="1"/>
    <n v="3"/>
    <n v="3"/>
    <n v="6"/>
    <n v="0"/>
  </r>
  <r>
    <n v="217"/>
    <s v="Anchor Health Choice (CDPAP)"/>
    <x v="3"/>
    <s v="Empire Blue Cross Blue Shield (CDPAP)"/>
    <s v="Other"/>
    <x v="2"/>
    <n v="13"/>
    <n v="12"/>
    <n v="3"/>
    <n v="3"/>
  </r>
  <r>
    <n v="218"/>
    <s v="Anchor Health Choice (CDPAP)"/>
    <x v="3"/>
    <s v="Centers Plan For Healthy Living CDPAP "/>
    <s v="MLTC"/>
    <x v="2"/>
    <n v="26"/>
    <n v="20"/>
    <n v="27"/>
    <n v="15"/>
  </r>
  <r>
    <n v="219"/>
    <s v="Anchor Health Choice (CDPAP)"/>
    <x v="3"/>
    <s v="ElderServe/Riverspring (CDPAP)"/>
    <s v="MLTC"/>
    <x v="2"/>
    <n v="3"/>
    <n v="3"/>
    <n v="0"/>
    <n v="0"/>
  </r>
  <r>
    <n v="220"/>
    <s v="Anchor Health Choice (CDPAP)"/>
    <x v="3"/>
    <s v="SWHNY-MLTC (CDP)"/>
    <s v="Other"/>
    <x v="2"/>
    <n v="5"/>
    <n v="5"/>
    <n v="5"/>
    <n v="1"/>
  </r>
  <r>
    <n v="221"/>
    <s v="Anchor Health Choice (CDPAP)"/>
    <x v="3"/>
    <s v="Hamaspik MAP CDPAP"/>
    <s v="MCO"/>
    <x v="2"/>
    <n v="3"/>
    <n v="3"/>
    <n v="1"/>
    <n v="0"/>
  </r>
  <r>
    <n v="222"/>
    <s v="Anchor Health Choice (CDPAP)"/>
    <x v="3"/>
    <s v="Elderplan MJHS (CDP)"/>
    <s v="MLTC"/>
    <x v="2"/>
    <n v="3"/>
    <n v="2"/>
    <n v="15"/>
    <n v="4"/>
  </r>
  <r>
    <n v="223"/>
    <s v="Anchor Health Choice (CDPAP)"/>
    <x v="3"/>
    <s v="Fidelis Care (CDP)"/>
    <s v="LHCSA"/>
    <x v="2"/>
    <n v="9"/>
    <n v="4"/>
    <n v="32"/>
    <n v="8"/>
  </r>
  <r>
    <n v="224"/>
    <s v="Anchor Health Choice (CDPAP)"/>
    <x v="3"/>
    <s v="Hamaspik Choice (MLTC) CDPAP"/>
    <s v="MCO"/>
    <x v="2"/>
    <n v="1"/>
    <n v="1"/>
    <n v="0"/>
    <n v="0"/>
  </r>
  <r>
    <n v="225"/>
    <s v="Anchor Health Choice (CDPAP)"/>
    <x v="3"/>
    <s v="CenterLight HealthCare (PACE) (CDP)"/>
    <s v="Other"/>
    <x v="2"/>
    <n v="1"/>
    <n v="1"/>
    <n v="1"/>
    <n v="0"/>
  </r>
  <r>
    <n v="226"/>
    <s v="Anchor Health Choice (CDPAP)"/>
    <x v="3"/>
    <s v="VNS Health Health Plans (CDP)"/>
    <s v="MLTC"/>
    <x v="2"/>
    <n v="23"/>
    <n v="18"/>
    <n v="43"/>
    <n v="10"/>
  </r>
  <r>
    <n v="227"/>
    <s v="Anchor Health Choice (CDPAP)"/>
    <x v="3"/>
    <s v="Healthfirst (CDP)"/>
    <s v="CHHA"/>
    <x v="2"/>
    <n v="13"/>
    <n v="9"/>
    <n v="24"/>
    <n v="4"/>
  </r>
  <r>
    <n v="228"/>
    <s v="Anchor Health Choice (CDPAP)"/>
    <x v="3"/>
    <s v="Amerigroup (Empire) CDPAP"/>
    <s v="MLTC"/>
    <x v="2"/>
    <n v="0"/>
    <n v="0"/>
    <n v="1"/>
    <n v="1"/>
  </r>
  <r>
    <n v="229"/>
    <s v="Anchor Select (Private Pay)"/>
    <x v="3"/>
    <s v="Private Pay - Select"/>
    <s v="Other"/>
    <x v="1"/>
    <n v="30"/>
    <n v="25"/>
    <n v="19"/>
    <n v="1"/>
  </r>
  <r>
    <n v="230"/>
    <s v="Anchor Health (HHA-PCA)"/>
    <x v="33"/>
    <s v="Prime Home Health Services"/>
    <s v="CHHA"/>
    <x v="1"/>
    <n v="22"/>
    <n v="20"/>
    <n v="19"/>
    <n v="1"/>
  </r>
  <r>
    <n v="231"/>
    <s v="Anchor Health (HHA-PCA)"/>
    <x v="33"/>
    <s v="Excellent Home Care Services"/>
    <s v="CHHA"/>
    <x v="1"/>
    <n v="71"/>
    <n v="63"/>
    <n v="48"/>
    <n v="2"/>
  </r>
  <r>
    <n v="232"/>
    <s v="Anchor Health (HHA-PCA)"/>
    <x v="33"/>
    <s v="Extended Home Care"/>
    <s v="CHHA"/>
    <x v="1"/>
    <n v="117"/>
    <n v="103"/>
    <n v="144"/>
    <n v="6"/>
  </r>
  <r>
    <n v="233"/>
    <s v="Anchor Health (HHA-PCA)"/>
    <x v="33"/>
    <s v="Americare"/>
    <s v="CHHA"/>
    <x v="1"/>
    <n v="221"/>
    <n v="199"/>
    <n v="269"/>
    <n v="9"/>
  </r>
  <r>
    <n v="234"/>
    <s v="Anchor Health (HHA-PCA)"/>
    <x v="33"/>
    <s v="Girling Health Care Of New York"/>
    <s v="CHHA"/>
    <x v="1"/>
    <n v="17"/>
    <n v="15"/>
    <n v="10"/>
    <n v="1"/>
  </r>
  <r>
    <n v="235"/>
    <s v="Anchor Health (HHA-PCA)"/>
    <x v="33"/>
    <s v="Private Pay"/>
    <s v="Other"/>
    <x v="1"/>
    <n v="5"/>
    <n v="5"/>
    <n v="7"/>
    <n v="0"/>
  </r>
  <r>
    <n v="236"/>
    <s v="Anchor Health (HHA-PCA)"/>
    <x v="33"/>
    <s v="Empire Blue Cross Blue Shield (PCA)"/>
    <s v="Other"/>
    <x v="1"/>
    <n v="167"/>
    <n v="153"/>
    <n v="146"/>
    <n v="11"/>
  </r>
  <r>
    <n v="237"/>
    <s v="Anchor Health (HHA-PCA)"/>
    <x v="33"/>
    <s v="Centers Plan For Health Living PCA"/>
    <s v="MLTC"/>
    <x v="1"/>
    <n v="175"/>
    <n v="147"/>
    <n v="137"/>
    <n v="14"/>
  </r>
  <r>
    <n v="238"/>
    <s v="Anchor Health (HHA-PCA)"/>
    <x v="33"/>
    <s v="ElderServe/Riverspring (PCA)"/>
    <s v="MLTC"/>
    <x v="1"/>
    <n v="10"/>
    <n v="9"/>
    <n v="54"/>
    <n v="1"/>
  </r>
  <r>
    <n v="239"/>
    <s v="Anchor Health (HHA-PCA)"/>
    <x v="33"/>
    <s v="Archcare Community Life PCA"/>
    <s v="MCO"/>
    <x v="1"/>
    <n v="38"/>
    <n v="34"/>
    <n v="15"/>
    <n v="2"/>
  </r>
  <r>
    <n v="240"/>
    <s v="Anchor Health (HHA-PCA)"/>
    <x v="33"/>
    <s v="VillageCare PCA"/>
    <s v="MLTC"/>
    <x v="1"/>
    <n v="558"/>
    <n v="474"/>
    <n v="565"/>
    <n v="60"/>
  </r>
  <r>
    <n v="241"/>
    <s v="Anchor Health (HHA-PCA)"/>
    <x v="33"/>
    <s v="SWHNY-MLTC (ANT)"/>
    <s v="Other"/>
    <x v="1"/>
    <n v="77"/>
    <n v="63"/>
    <n v="94"/>
    <n v="8"/>
  </r>
  <r>
    <n v="242"/>
    <s v="Anchor Health (HHA-PCA)"/>
    <x v="33"/>
    <s v="Your Choice at Home"/>
    <s v="CHHA"/>
    <x v="1"/>
    <n v="2"/>
    <n v="1"/>
    <n v="5"/>
    <n v="0"/>
  </r>
  <r>
    <n v="243"/>
    <s v="Anchor Health (HHA-PCA)"/>
    <x v="33"/>
    <s v="NHTD"/>
    <s v="LHCSA"/>
    <x v="1"/>
    <n v="410"/>
    <n v="361"/>
    <n v="475"/>
    <n v="35"/>
  </r>
  <r>
    <n v="244"/>
    <s v="Anchor Health (HHA-PCA)"/>
    <x v="33"/>
    <s v="TBI"/>
    <s v="LHCSA"/>
    <x v="1"/>
    <n v="21"/>
    <n v="18"/>
    <n v="53"/>
    <n v="4"/>
  </r>
  <r>
    <n v="245"/>
    <s v="Anchor Health (HHA-PCA)"/>
    <x v="33"/>
    <s v="Elderplan MJHS (ANT)"/>
    <s v="MLTC"/>
    <x v="1"/>
    <n v="105"/>
    <n v="89"/>
    <n v="134"/>
    <n v="8"/>
  </r>
  <r>
    <n v="246"/>
    <s v="Anchor Health (HHA-PCA)"/>
    <x v="33"/>
    <s v="Hamaspik MAP PCA"/>
    <s v="MCO"/>
    <x v="1"/>
    <n v="42"/>
    <n v="37"/>
    <n v="37"/>
    <n v="0"/>
  </r>
  <r>
    <n v="247"/>
    <s v="Anchor Health (HHA-PCA)"/>
    <x v="33"/>
    <s v="CenterLight HealthCare (PACE) (ANT)"/>
    <s v="Other"/>
    <x v="1"/>
    <n v="1"/>
    <n v="1"/>
    <n v="1"/>
    <n v="0"/>
  </r>
  <r>
    <n v="248"/>
    <s v="Anchor Health (HHA-PCA)"/>
    <x v="33"/>
    <s v="VNS Health Health Plans (ANT)"/>
    <s v="MLTC"/>
    <x v="1"/>
    <n v="390"/>
    <n v="326"/>
    <n v="387"/>
    <n v="39"/>
  </r>
  <r>
    <n v="249"/>
    <s v="Anchor Health (HHA-PCA)"/>
    <x v="33"/>
    <s v="Healthfirst (ANT)"/>
    <s v="CHHA"/>
    <x v="1"/>
    <n v="169"/>
    <n v="141"/>
    <n v="202"/>
    <n v="17"/>
  </r>
  <r>
    <n v="250"/>
    <s v="Anchor Health (HHA-PCA)"/>
    <x v="33"/>
    <s v="Fidelis Care PCA (Non Live)"/>
    <s v="MLTC"/>
    <x v="1"/>
    <n v="3"/>
    <n v="3"/>
    <n v="2"/>
    <n v="0"/>
  </r>
  <r>
    <n v="251"/>
    <s v="Anchor Health (HHA-PCA)"/>
    <x v="33"/>
    <s v="Fidelis Care (ANT)"/>
    <s v="LHCSA"/>
    <x v="1"/>
    <n v="278"/>
    <n v="236"/>
    <n v="297"/>
    <n v="27"/>
  </r>
  <r>
    <n v="252"/>
    <s v="Anchor Health (HHA-PCA)"/>
    <x v="33"/>
    <s v="Royal Care Certified of NY"/>
    <s v="Other"/>
    <x v="1"/>
    <n v="4"/>
    <n v="2"/>
    <n v="0"/>
    <n v="0"/>
  </r>
  <r>
    <n v="253"/>
    <s v="Anchor Health (HHA-PCA)"/>
    <x v="33"/>
    <s v="Hamaspik Choice MLTC (PCA)"/>
    <s v="MLTC"/>
    <x v="1"/>
    <n v="19"/>
    <n v="16"/>
    <n v="26"/>
    <n v="4"/>
  </r>
  <r>
    <n v="254"/>
    <s v="Anchor Health (HHA-PCA)"/>
    <x v="33"/>
    <s v="UAS-VCM"/>
    <s v="Other"/>
    <x v="1"/>
    <n v="19"/>
    <n v="4"/>
    <n v="14"/>
    <n v="3"/>
  </r>
  <r>
    <n v="255"/>
    <s v="Anchor Health (HHA-PCA)"/>
    <x v="33"/>
    <s v="Non Billable"/>
    <s v="Other"/>
    <x v="1"/>
    <n v="19"/>
    <n v="19"/>
    <n v="11"/>
    <n v="0"/>
  </r>
  <r>
    <n v="256"/>
    <s v="Anchor Health Choice (CDPAP)"/>
    <x v="33"/>
    <s v="Empire Blue Cross Blue Shield (CDPAP)"/>
    <s v="Other"/>
    <x v="2"/>
    <n v="13"/>
    <n v="9"/>
    <n v="9"/>
    <n v="7"/>
  </r>
  <r>
    <n v="257"/>
    <s v="Anchor Health Choice (CDPAP)"/>
    <x v="33"/>
    <s v="Centers Plan For Healthy Living CDPAP "/>
    <s v="MLTC"/>
    <x v="2"/>
    <n v="18"/>
    <n v="14"/>
    <n v="19"/>
    <n v="7"/>
  </r>
  <r>
    <n v="258"/>
    <s v="Anchor Health Choice (CDPAP)"/>
    <x v="33"/>
    <s v="ElderServe/Riverspring (CDPAP)"/>
    <s v="MLTC"/>
    <x v="2"/>
    <n v="4"/>
    <n v="2"/>
    <n v="4"/>
    <n v="2"/>
  </r>
  <r>
    <n v="259"/>
    <s v="Anchor Health Choice (CDPAP)"/>
    <x v="33"/>
    <s v="Archcare Community Life CDPAP"/>
    <s v="MCO"/>
    <x v="2"/>
    <n v="3"/>
    <n v="3"/>
    <n v="0"/>
    <n v="0"/>
  </r>
  <r>
    <n v="260"/>
    <s v="Anchor Health Choice (CDPAP)"/>
    <x v="33"/>
    <s v="VNSNY CHOICE CDPAP"/>
    <s v="MLTC"/>
    <x v="2"/>
    <n v="0"/>
    <n v="0"/>
    <n v="1"/>
    <n v="0"/>
  </r>
  <r>
    <n v="261"/>
    <s v="Anchor Health Choice (CDPAP)"/>
    <x v="33"/>
    <s v="VillageCare CDPAP"/>
    <s v="MCO"/>
    <x v="2"/>
    <n v="28"/>
    <n v="18"/>
    <n v="68"/>
    <n v="17"/>
  </r>
  <r>
    <n v="262"/>
    <s v="Anchor Health Choice (CDPAP)"/>
    <x v="33"/>
    <s v="Partners Health Plan CDPAP"/>
    <s v="MLTC"/>
    <x v="2"/>
    <n v="0"/>
    <n v="0"/>
    <n v="1"/>
    <n v="0"/>
  </r>
  <r>
    <n v="263"/>
    <s v="Anchor Health Choice (CDPAP)"/>
    <x v="33"/>
    <s v="SWHNY-MLTC (CDP)"/>
    <s v="Other"/>
    <x v="2"/>
    <n v="22"/>
    <n v="16"/>
    <n v="4"/>
    <n v="5"/>
  </r>
  <r>
    <n v="264"/>
    <s v="Anchor Health Choice (CDPAP)"/>
    <x v="33"/>
    <s v="Hamaspik MAP CDPAP"/>
    <s v="MCO"/>
    <x v="2"/>
    <n v="4"/>
    <n v="2"/>
    <n v="4"/>
    <n v="4"/>
  </r>
  <r>
    <n v="265"/>
    <s v="Anchor Health Choice (CDPAP)"/>
    <x v="33"/>
    <s v="Elderplan MJHS (CDP)"/>
    <s v="MLTC"/>
    <x v="2"/>
    <n v="2"/>
    <n v="0"/>
    <n v="7"/>
    <n v="3"/>
  </r>
  <r>
    <n v="266"/>
    <s v="Anchor Health Choice (CDPAP)"/>
    <x v="33"/>
    <s v="Fidelis Care (CDP)"/>
    <s v="LHCSA"/>
    <x v="2"/>
    <n v="21"/>
    <n v="13"/>
    <n v="34"/>
    <n v="16"/>
  </r>
  <r>
    <n v="267"/>
    <s v="Anchor Health Choice (CDPAP)"/>
    <x v="33"/>
    <s v="Hamaspik Choice (MLTC) CDPAP"/>
    <s v="MCO"/>
    <x v="2"/>
    <n v="1"/>
    <n v="1"/>
    <n v="0"/>
    <n v="0"/>
  </r>
  <r>
    <n v="268"/>
    <s v="Anchor Health Choice (CDPAP)"/>
    <x v="33"/>
    <s v="VNS Health Health Plans (CDP)"/>
    <s v="MLTC"/>
    <x v="2"/>
    <n v="20"/>
    <n v="14"/>
    <n v="17"/>
    <n v="10"/>
  </r>
  <r>
    <n v="269"/>
    <s v="Anchor Health Choice (CDPAP)"/>
    <x v="33"/>
    <s v="Healthfirst (CDP)"/>
    <s v="CHHA"/>
    <x v="2"/>
    <n v="10"/>
    <n v="9"/>
    <n v="28"/>
    <n v="3"/>
  </r>
  <r>
    <n v="270"/>
    <s v="Anchor Health Choice (CDPAP)"/>
    <x v="33"/>
    <s v="Amerigroup (Empire) CDPAP"/>
    <s v="MLTC"/>
    <x v="2"/>
    <n v="0"/>
    <n v="0"/>
    <n v="1"/>
    <n v="0"/>
  </r>
  <r>
    <n v="271"/>
    <s v="Anchor Select (Private Pay)"/>
    <x v="33"/>
    <s v="Private Pay - Select"/>
    <s v="Other"/>
    <x v="1"/>
    <n v="57"/>
    <n v="45"/>
    <n v="41"/>
    <n v="7"/>
  </r>
  <r>
    <n v="272"/>
    <s v="Anchor Health Choice (CDPAP)"/>
    <x v="34"/>
    <s v="Centers Plan For Healthy Living CDPAP "/>
    <s v="MLTC"/>
    <x v="2"/>
    <n v="2"/>
    <n v="2"/>
    <n v="4"/>
    <n v="2"/>
  </r>
  <r>
    <n v="273"/>
    <s v="Anchor Health Choice (CDPAP)"/>
    <x v="34"/>
    <s v="VNSNY CHOICE CDPAP"/>
    <s v="MLTC"/>
    <x v="2"/>
    <n v="1"/>
    <n v="1"/>
    <n v="0"/>
    <n v="0"/>
  </r>
  <r>
    <n v="274"/>
    <s v="Anchor Health Choice (CDPAP)"/>
    <x v="34"/>
    <s v="Elderwood Health Plan"/>
    <s v="MCO"/>
    <x v="2"/>
    <n v="1"/>
    <n v="1"/>
    <n v="0"/>
    <n v="0"/>
  </r>
  <r>
    <n v="275"/>
    <s v="Anchor Health Choice (CDPAP)"/>
    <x v="34"/>
    <s v="Nascentia Health Options CDPAP"/>
    <s v="MLTC"/>
    <x v="2"/>
    <n v="3"/>
    <n v="2"/>
    <n v="2"/>
    <n v="1"/>
  </r>
  <r>
    <n v="276"/>
    <s v="Anchor Health Choice (CDPAP)"/>
    <x v="34"/>
    <s v="Fidelis Care (CDP)"/>
    <s v="LHCSA"/>
    <x v="2"/>
    <n v="6"/>
    <n v="4"/>
    <n v="14"/>
    <n v="2"/>
  </r>
  <r>
    <n v="277"/>
    <s v="Anchor Health Choice (CDPAP)"/>
    <x v="34"/>
    <s v="VNS Health Health Plans (CDP)"/>
    <s v="MLTC"/>
    <x v="2"/>
    <n v="1"/>
    <n v="1"/>
    <n v="1"/>
    <n v="0"/>
  </r>
  <r>
    <n v="278"/>
    <s v="Anchor Health Choice (CDPAP)"/>
    <x v="35"/>
    <s v="Nascentia Health Options CDPAP"/>
    <s v="MLTC"/>
    <x v="2"/>
    <n v="1"/>
    <n v="1"/>
    <n v="5"/>
    <n v="0"/>
  </r>
  <r>
    <n v="279"/>
    <s v="Anchor Health Choice (CDPAP)"/>
    <x v="35"/>
    <s v="Fidelis Care (CDP)"/>
    <s v="LHCSA"/>
    <x v="2"/>
    <n v="10"/>
    <n v="7"/>
    <n v="7"/>
    <n v="3"/>
  </r>
  <r>
    <n v="280"/>
    <s v="Anchor Health Choice (CDPAP)"/>
    <x v="35"/>
    <s v="VNS Health Health Plans (CDP)"/>
    <s v="MLTC"/>
    <x v="2"/>
    <n v="12"/>
    <n v="8"/>
    <n v="11"/>
    <n v="10"/>
  </r>
  <r>
    <n v="281"/>
    <s v="Anchor Health Choice (CDPAP)"/>
    <x v="36"/>
    <s v="Nascentia Health Options CDPAP"/>
    <s v="MLTC"/>
    <x v="2"/>
    <n v="3"/>
    <n v="2"/>
    <n v="3"/>
    <n v="1"/>
  </r>
  <r>
    <n v="282"/>
    <s v="Anchor Health Choice (CDPAP)"/>
    <x v="36"/>
    <s v="Fidelis Care (CDP)"/>
    <s v="LHCSA"/>
    <x v="2"/>
    <n v="11"/>
    <n v="8"/>
    <n v="26"/>
    <n v="8"/>
  </r>
  <r>
    <n v="283"/>
    <s v="Anchor Health Choice (CDPAP)"/>
    <x v="36"/>
    <s v="VNS Health Health Plans (CDP)"/>
    <s v="MLTC"/>
    <x v="2"/>
    <n v="26"/>
    <n v="23"/>
    <n v="10"/>
    <n v="6"/>
  </r>
  <r>
    <n v="284"/>
    <s v="Anchor Health Choice (CDPAP)"/>
    <x v="37"/>
    <s v="Nascentia Health Options CDPAP"/>
    <s v="MLTC"/>
    <x v="2"/>
    <n v="2"/>
    <n v="2"/>
    <n v="1"/>
    <n v="0"/>
  </r>
  <r>
    <n v="285"/>
    <s v="Anchor Health Choice (CDPAP)"/>
    <x v="37"/>
    <s v="Fidelis Care (CDP)"/>
    <s v="LHCSA"/>
    <x v="2"/>
    <n v="3"/>
    <n v="3"/>
    <n v="4"/>
    <n v="1"/>
  </r>
  <r>
    <n v="286"/>
    <s v="Anchor Health (HHA-PCA)"/>
    <x v="38"/>
    <s v="Fidelis Care PCA (Non Live)"/>
    <s v="MLTC"/>
    <x v="1"/>
    <n v="1"/>
    <n v="1"/>
    <n v="1"/>
    <n v="0"/>
  </r>
  <r>
    <n v="287"/>
    <s v="Anchor Health (HHA-PCA)"/>
    <x v="38"/>
    <s v="Fidelis Care (ANT)"/>
    <s v="LHCSA"/>
    <x v="1"/>
    <n v="2"/>
    <n v="0"/>
    <n v="1"/>
    <n v="1"/>
  </r>
  <r>
    <n v="288"/>
    <s v="Anchor Health Choice (CDPAP)"/>
    <x v="38"/>
    <s v="Hamaspik MAP CDPAP"/>
    <s v="MCO"/>
    <x v="2"/>
    <n v="1"/>
    <n v="1"/>
    <n v="0"/>
    <n v="0"/>
  </r>
  <r>
    <n v="289"/>
    <s v="Anchor Health Choice (CDPAP)"/>
    <x v="38"/>
    <s v="Elderplan MJHS (CDP)"/>
    <s v="MLTC"/>
    <x v="2"/>
    <n v="2"/>
    <n v="2"/>
    <n v="7"/>
    <n v="2"/>
  </r>
  <r>
    <n v="290"/>
    <s v="Anchor Health Choice (CDPAP)"/>
    <x v="38"/>
    <s v="Fidelis Care (CDP)"/>
    <s v="LHCSA"/>
    <x v="2"/>
    <n v="3"/>
    <n v="2"/>
    <n v="6"/>
    <n v="1"/>
  </r>
  <r>
    <n v="291"/>
    <s v="Anchor Health Choice (CDPAP)"/>
    <x v="38"/>
    <s v="Hamaspik Choice (MLTC) CDPAP"/>
    <s v="MCO"/>
    <x v="2"/>
    <n v="4"/>
    <n v="3"/>
    <n v="2"/>
    <n v="1"/>
  </r>
  <r>
    <n v="292"/>
    <s v="Anchor Health Choice (CDPAP)"/>
    <x v="38"/>
    <s v="VNS Health Health Plans (CDP)"/>
    <s v="MLTC"/>
    <x v="2"/>
    <n v="13"/>
    <n v="13"/>
    <n v="9"/>
    <n v="2"/>
  </r>
  <r>
    <n v="293"/>
    <s v="Anchor Health Choice (CDPAP)"/>
    <x v="38"/>
    <s v="MVP Health Care CDPAP"/>
    <s v="MLTC"/>
    <x v="2"/>
    <n v="1"/>
    <n v="1"/>
    <n v="0"/>
    <n v="0"/>
  </r>
  <r>
    <n v="294"/>
    <s v="Anchor Health Choice (CDPAP)"/>
    <x v="38"/>
    <s v="Amerigroup (Empire) CDPAP"/>
    <s v="MLTC"/>
    <x v="2"/>
    <n v="0"/>
    <n v="0"/>
    <n v="2"/>
    <n v="0"/>
  </r>
  <r>
    <n v="295"/>
    <s v="Anchor Health Choice (CDPAP)"/>
    <x v="39"/>
    <s v="VNSNY CHOICE CDPAP"/>
    <s v="MLTC"/>
    <x v="2"/>
    <n v="2"/>
    <n v="2"/>
    <n v="0"/>
    <n v="0"/>
  </r>
  <r>
    <n v="296"/>
    <s v="Anchor Health Choice (CDPAP)"/>
    <x v="39"/>
    <s v="Elderwood Health Plan"/>
    <s v="MCO"/>
    <x v="2"/>
    <n v="2"/>
    <n v="2"/>
    <n v="0"/>
    <n v="0"/>
  </r>
  <r>
    <n v="297"/>
    <s v="Anchor Health Choice (CDPAP)"/>
    <x v="39"/>
    <s v="Nascentia Health Options CDPAP"/>
    <s v="MLTC"/>
    <x v="2"/>
    <n v="1"/>
    <n v="1"/>
    <n v="1"/>
    <n v="0"/>
  </r>
  <r>
    <n v="298"/>
    <s v="Anchor Health Choice (CDPAP)"/>
    <x v="39"/>
    <s v="Fidelis Care (CDP)"/>
    <s v="LHCSA"/>
    <x v="2"/>
    <n v="3"/>
    <n v="3"/>
    <n v="0"/>
    <n v="0"/>
  </r>
  <r>
    <n v="299"/>
    <s v="Anchor Health Choice (CDPAP)"/>
    <x v="39"/>
    <s v="VNS Health Health Plans (CDP)"/>
    <s v="MLTC"/>
    <x v="2"/>
    <n v="2"/>
    <n v="2"/>
    <n v="0"/>
    <n v="0"/>
  </r>
  <r>
    <n v="300"/>
    <s v="Anchor Health Choice (CDPAP)"/>
    <x v="40"/>
    <s v="Nascentia Health Options CDPAP"/>
    <s v="MLTC"/>
    <x v="2"/>
    <n v="7"/>
    <n v="6"/>
    <n v="2"/>
    <n v="1"/>
  </r>
  <r>
    <n v="301"/>
    <s v="Anchor Health Choice (CDPAP)"/>
    <x v="40"/>
    <s v="Fidelis Care (CDP)"/>
    <s v="LHCSA"/>
    <x v="2"/>
    <n v="2"/>
    <n v="1"/>
    <n v="11"/>
    <n v="2"/>
  </r>
  <r>
    <n v="302"/>
    <s v="Anchor Health Choice (CDPAP)"/>
    <x v="41"/>
    <s v="Nascentia Health Options CDPAP"/>
    <s v="MLTC"/>
    <x v="2"/>
    <n v="1"/>
    <n v="1"/>
    <n v="1"/>
    <n v="0"/>
  </r>
  <r>
    <n v="303"/>
    <s v="Anchor Health Choice (CDPAP)"/>
    <x v="41"/>
    <s v="Fidelis Care (CDP)"/>
    <s v="LHCSA"/>
    <x v="2"/>
    <n v="1"/>
    <n v="0"/>
    <n v="6"/>
    <n v="2"/>
  </r>
  <r>
    <n v="304"/>
    <s v="Anchor Health Choice (CDPAP)"/>
    <x v="41"/>
    <s v="VNS Health Health Plans (CDP)"/>
    <s v="MLTC"/>
    <x v="2"/>
    <n v="1"/>
    <n v="1"/>
    <n v="4"/>
    <n v="1"/>
  </r>
  <r>
    <n v="305"/>
    <s v="Anchor Health Choice (CDPAP)"/>
    <x v="42"/>
    <s v="Elderplan MJHS (CDP)"/>
    <s v="MLTC"/>
    <x v="2"/>
    <n v="0"/>
    <n v="0"/>
    <n v="2"/>
    <n v="0"/>
  </r>
  <r>
    <n v="306"/>
    <s v="Anchor Health Choice (CDPAP)"/>
    <x v="42"/>
    <s v="Fidelis Care (CDP)"/>
    <s v="LHCSA"/>
    <x v="2"/>
    <n v="1"/>
    <n v="1"/>
    <n v="2"/>
    <n v="0"/>
  </r>
  <r>
    <n v="307"/>
    <s v="Anchor Health Choice (CDPAP)"/>
    <x v="42"/>
    <s v="Amerigroup (Empire) CDPAP"/>
    <s v="MLTC"/>
    <x v="2"/>
    <n v="0"/>
    <n v="0"/>
    <n v="1"/>
    <n v="0"/>
  </r>
  <r>
    <n v="308"/>
    <s v="Anchor Health (HHA-PCA)"/>
    <x v="2"/>
    <s v="Revival Home Health Care"/>
    <s v="CHHA"/>
    <x v="1"/>
    <n v="7"/>
    <n v="5"/>
    <n v="5"/>
    <n v="1"/>
  </r>
  <r>
    <n v="309"/>
    <s v="Anchor Health (HHA-PCA)"/>
    <x v="2"/>
    <s v="Prime Home Health Services"/>
    <s v="CHHA"/>
    <x v="1"/>
    <n v="6"/>
    <n v="5"/>
    <n v="14"/>
    <n v="0"/>
  </r>
  <r>
    <n v="310"/>
    <s v="Anchor Health (HHA-PCA)"/>
    <x v="2"/>
    <s v="Excellent Home Care Services"/>
    <s v="CHHA"/>
    <x v="1"/>
    <n v="63"/>
    <n v="52"/>
    <n v="66"/>
    <n v="8"/>
  </r>
  <r>
    <n v="311"/>
    <s v="Anchor Health (HHA-PCA)"/>
    <x v="2"/>
    <s v="Extended Home Care"/>
    <s v="CHHA"/>
    <x v="1"/>
    <n v="105"/>
    <n v="90"/>
    <n v="181"/>
    <n v="5"/>
  </r>
  <r>
    <n v="312"/>
    <s v="Anchor Health (HHA-PCA)"/>
    <x v="2"/>
    <s v="Americare"/>
    <s v="CHHA"/>
    <x v="1"/>
    <n v="239"/>
    <n v="200"/>
    <n v="461"/>
    <n v="22"/>
  </r>
  <r>
    <n v="313"/>
    <s v="Anchor Health (HHA-PCA)"/>
    <x v="2"/>
    <s v="Girling Health Care Of New York"/>
    <s v="CHHA"/>
    <x v="1"/>
    <n v="69"/>
    <n v="61"/>
    <n v="63"/>
    <n v="6"/>
  </r>
  <r>
    <n v="314"/>
    <s v="Anchor Health (HHA-PCA)"/>
    <x v="2"/>
    <s v="Royal Care Certified"/>
    <s v="Other"/>
    <x v="1"/>
    <n v="106"/>
    <n v="90"/>
    <n v="118"/>
    <n v="5"/>
  </r>
  <r>
    <n v="315"/>
    <s v="Anchor Health (HHA-PCA)"/>
    <x v="2"/>
    <s v="Centerlight CHHA / Cassena Care At Home"/>
    <s v="CHHA"/>
    <x v="1"/>
    <n v="7"/>
    <n v="6"/>
    <n v="7"/>
    <n v="0"/>
  </r>
  <r>
    <n v="316"/>
    <s v="Anchor Health (HHA-PCA)"/>
    <x v="2"/>
    <s v="Private Pay"/>
    <s v="Other"/>
    <x v="1"/>
    <n v="17"/>
    <n v="16"/>
    <n v="19"/>
    <n v="3"/>
  </r>
  <r>
    <n v="317"/>
    <s v="Anchor Health (HHA-PCA)"/>
    <x v="2"/>
    <s v="Empire Blue Cross Blue Shield (PCA)"/>
    <s v="Other"/>
    <x v="1"/>
    <n v="112"/>
    <n v="96"/>
    <n v="155"/>
    <n v="8"/>
  </r>
  <r>
    <n v="318"/>
    <s v="Anchor Health (HHA-PCA)"/>
    <x v="2"/>
    <s v="Centers Plan For Health Living PCA"/>
    <s v="MLTC"/>
    <x v="1"/>
    <n v="225"/>
    <n v="188"/>
    <n v="342"/>
    <n v="23"/>
  </r>
  <r>
    <n v="319"/>
    <s v="Anchor Health (HHA-PCA)"/>
    <x v="2"/>
    <s v="ElderServe/Riverspring (PCA)"/>
    <s v="MLTC"/>
    <x v="1"/>
    <n v="21"/>
    <n v="18"/>
    <n v="32"/>
    <n v="1"/>
  </r>
  <r>
    <n v="320"/>
    <s v="Anchor Health (HHA-PCA)"/>
    <x v="2"/>
    <s v="Archcare Community Life PCA"/>
    <s v="MCO"/>
    <x v="1"/>
    <n v="33"/>
    <n v="27"/>
    <n v="11"/>
    <n v="3"/>
  </r>
  <r>
    <n v="321"/>
    <s v="Anchor Health (HHA-PCA)"/>
    <x v="2"/>
    <s v="VNSNY CHOICE PCA"/>
    <s v="LHCSA"/>
    <x v="1"/>
    <n v="2"/>
    <n v="2"/>
    <n v="0"/>
    <n v="0"/>
  </r>
  <r>
    <n v="322"/>
    <s v="Anchor Health (HHA-PCA)"/>
    <x v="2"/>
    <s v="VillageCare PCA"/>
    <s v="MLTC"/>
    <x v="1"/>
    <n v="403"/>
    <n v="335"/>
    <n v="565"/>
    <n v="35"/>
  </r>
  <r>
    <n v="323"/>
    <s v="Anchor Health (HHA-PCA)"/>
    <x v="2"/>
    <s v="SWHNY-MLTC (ANT)"/>
    <s v="Other"/>
    <x v="1"/>
    <n v="86"/>
    <n v="73"/>
    <n v="89"/>
    <n v="6"/>
  </r>
  <r>
    <n v="324"/>
    <s v="Anchor Health (HHA-PCA)"/>
    <x v="2"/>
    <s v="Your Choice at Home"/>
    <s v="CHHA"/>
    <x v="1"/>
    <n v="39"/>
    <n v="35"/>
    <n v="70"/>
    <n v="1"/>
  </r>
  <r>
    <n v="325"/>
    <s v="Anchor Health (HHA-PCA)"/>
    <x v="2"/>
    <s v="NHTD"/>
    <s v="LHCSA"/>
    <x v="1"/>
    <n v="525"/>
    <n v="448"/>
    <n v="780"/>
    <n v="39"/>
  </r>
  <r>
    <n v="326"/>
    <s v="Anchor Health (HHA-PCA)"/>
    <x v="2"/>
    <s v="TBI"/>
    <s v="LHCSA"/>
    <x v="1"/>
    <n v="17"/>
    <n v="15"/>
    <n v="6"/>
    <n v="1"/>
  </r>
  <r>
    <n v="327"/>
    <s v="Anchor Health (HHA-PCA)"/>
    <x v="2"/>
    <s v="Elderplan MJHS (ANT)"/>
    <s v="MLTC"/>
    <x v="1"/>
    <n v="111"/>
    <n v="98"/>
    <n v="136"/>
    <n v="8"/>
  </r>
  <r>
    <n v="328"/>
    <s v="Anchor Health (HHA-PCA)"/>
    <x v="2"/>
    <s v="Hamaspik MAP PCA"/>
    <s v="MCO"/>
    <x v="1"/>
    <n v="29"/>
    <n v="20"/>
    <n v="27"/>
    <n v="1"/>
  </r>
  <r>
    <n v="329"/>
    <s v="Anchor Health (HHA-PCA)"/>
    <x v="2"/>
    <s v="CenterLight HealthCare (PACE) (ANT)"/>
    <s v="Other"/>
    <x v="1"/>
    <n v="0"/>
    <n v="0"/>
    <n v="2"/>
    <n v="0"/>
  </r>
  <r>
    <n v="330"/>
    <s v="Anchor Health (HHA-PCA)"/>
    <x v="2"/>
    <s v="VNS Health Health Plans (ANT)"/>
    <s v="MLTC"/>
    <x v="1"/>
    <n v="274"/>
    <n v="233"/>
    <n v="306"/>
    <n v="29"/>
  </r>
  <r>
    <n v="331"/>
    <s v="Anchor Health (HHA-PCA)"/>
    <x v="2"/>
    <s v="Healthfirst (ANT)"/>
    <s v="CHHA"/>
    <x v="1"/>
    <n v="168"/>
    <n v="145"/>
    <n v="300"/>
    <n v="11"/>
  </r>
  <r>
    <n v="332"/>
    <s v="Anchor Health (HHA-PCA)"/>
    <x v="2"/>
    <s v="Fidelis Care PCA (Non Live)"/>
    <s v="MLTC"/>
    <x v="1"/>
    <n v="0"/>
    <n v="0"/>
    <n v="3"/>
    <n v="0"/>
  </r>
  <r>
    <n v="333"/>
    <s v="Anchor Health (HHA-PCA)"/>
    <x v="2"/>
    <s v="Fidelis Care (ANT)"/>
    <s v="LHCSA"/>
    <x v="1"/>
    <n v="312"/>
    <n v="258"/>
    <n v="410"/>
    <n v="28"/>
  </r>
  <r>
    <n v="334"/>
    <s v="Anchor Health (HHA-PCA)"/>
    <x v="2"/>
    <s v="Hamaspik Choice MLTC (PCA)"/>
    <s v="MLTC"/>
    <x v="1"/>
    <n v="19"/>
    <n v="18"/>
    <n v="39"/>
    <n v="1"/>
  </r>
  <r>
    <n v="335"/>
    <s v="Anchor Health (HHA-PCA)"/>
    <x v="2"/>
    <s v="Non Billable"/>
    <s v="Other"/>
    <x v="1"/>
    <n v="13"/>
    <n v="12"/>
    <n v="24"/>
    <n v="0"/>
  </r>
  <r>
    <n v="336"/>
    <s v="Anchor Health Choice (CDPAP)"/>
    <x v="2"/>
    <s v="Empire Blue Cross Blue Shield (CDPAP)"/>
    <s v="Other"/>
    <x v="2"/>
    <n v="28"/>
    <n v="23"/>
    <n v="18"/>
    <n v="9"/>
  </r>
  <r>
    <n v="337"/>
    <s v="Anchor Health Choice (CDPAP)"/>
    <x v="2"/>
    <s v="Centers Plan For Healthy Living CDPAP "/>
    <s v="MLTC"/>
    <x v="2"/>
    <n v="29"/>
    <n v="24"/>
    <n v="42"/>
    <n v="18"/>
  </r>
  <r>
    <n v="338"/>
    <s v="Anchor Health Choice (CDPAP)"/>
    <x v="2"/>
    <s v="ElderServe/Riverspring (CDPAP)"/>
    <s v="MLTC"/>
    <x v="2"/>
    <n v="5"/>
    <n v="5"/>
    <n v="3"/>
    <n v="0"/>
  </r>
  <r>
    <n v="339"/>
    <s v="Anchor Health Choice (CDPAP)"/>
    <x v="2"/>
    <s v="Archcare Community Life CDPAP"/>
    <s v="MCO"/>
    <x v="2"/>
    <n v="2"/>
    <n v="1"/>
    <n v="3"/>
    <n v="2"/>
  </r>
  <r>
    <n v="340"/>
    <s v="Anchor Health Choice (CDPAP)"/>
    <x v="2"/>
    <s v="VillageCare CDPAP"/>
    <s v="MCO"/>
    <x v="2"/>
    <n v="63"/>
    <n v="51"/>
    <n v="121"/>
    <n v="24"/>
  </r>
  <r>
    <n v="341"/>
    <s v="Anchor Health Choice (CDPAP)"/>
    <x v="2"/>
    <s v="SWHNY-MLTC (CDP)"/>
    <s v="Other"/>
    <x v="2"/>
    <n v="18"/>
    <n v="13"/>
    <n v="8"/>
    <n v="12"/>
  </r>
  <r>
    <n v="342"/>
    <s v="Anchor Health Choice (CDPAP)"/>
    <x v="2"/>
    <s v="Hamaspik MAP CDPAP"/>
    <s v="MCO"/>
    <x v="2"/>
    <n v="3"/>
    <n v="2"/>
    <n v="2"/>
    <n v="1"/>
  </r>
  <r>
    <n v="343"/>
    <s v="Anchor Health Choice (CDPAP)"/>
    <x v="2"/>
    <s v="Elderplan MJHS (CDP)"/>
    <s v="MLTC"/>
    <x v="2"/>
    <n v="4"/>
    <n v="4"/>
    <n v="20"/>
    <n v="2"/>
  </r>
  <r>
    <n v="344"/>
    <s v="Anchor Health Choice (CDPAP)"/>
    <x v="2"/>
    <s v="Fidelis Care (CDP)"/>
    <s v="LHCSA"/>
    <x v="2"/>
    <n v="37"/>
    <n v="32"/>
    <n v="67"/>
    <n v="12"/>
  </r>
  <r>
    <n v="345"/>
    <s v="Anchor Health Choice (CDPAP)"/>
    <x v="2"/>
    <s v="Hamaspik Choice (MLTC) CDPAP"/>
    <s v="MCO"/>
    <x v="2"/>
    <n v="0"/>
    <n v="0"/>
    <n v="2"/>
    <n v="0"/>
  </r>
  <r>
    <n v="346"/>
    <s v="Anchor Health Choice (CDPAP)"/>
    <x v="2"/>
    <s v="CenterLight HealthCare (PACE) (CDP)"/>
    <s v="Other"/>
    <x v="2"/>
    <n v="0"/>
    <n v="0"/>
    <n v="0"/>
    <n v="1"/>
  </r>
  <r>
    <n v="347"/>
    <s v="Anchor Health Choice (CDPAP)"/>
    <x v="2"/>
    <s v="VNS Health Health Plans (CDP)"/>
    <s v="MLTC"/>
    <x v="2"/>
    <n v="47"/>
    <n v="40"/>
    <n v="34"/>
    <n v="14"/>
  </r>
  <r>
    <n v="348"/>
    <s v="Anchor Health Choice (CDPAP)"/>
    <x v="2"/>
    <s v="Healthfirst (CDP)"/>
    <s v="CHHA"/>
    <x v="2"/>
    <n v="23"/>
    <n v="20"/>
    <n v="46"/>
    <n v="6"/>
  </r>
  <r>
    <n v="349"/>
    <s v="Anchor Health Choice (CDPAP)"/>
    <x v="2"/>
    <s v="United Healthcare CDPAP"/>
    <s v="MCO"/>
    <x v="2"/>
    <n v="0"/>
    <n v="0"/>
    <n v="0"/>
    <n v="1"/>
  </r>
  <r>
    <n v="350"/>
    <s v="Anchor Health Choice (CDPAP)"/>
    <x v="2"/>
    <s v="Amerigroup (Empire) CDPAP"/>
    <s v="MLTC"/>
    <x v="2"/>
    <n v="0"/>
    <n v="0"/>
    <n v="2"/>
    <n v="0"/>
  </r>
  <r>
    <n v="351"/>
    <s v="Anchor Select (Private Pay)"/>
    <x v="2"/>
    <s v="Private Pay - Select"/>
    <s v="Other"/>
    <x v="1"/>
    <n v="52"/>
    <n v="46"/>
    <n v="38"/>
    <n v="8"/>
  </r>
  <r>
    <n v="352"/>
    <s v="Anchor Health (HHA-PCA)"/>
    <x v="43"/>
    <s v="Private Pay"/>
    <s v="Other"/>
    <x v="1"/>
    <n v="3"/>
    <n v="3"/>
    <n v="0"/>
    <n v="0"/>
  </r>
  <r>
    <n v="353"/>
    <s v="Anchor Health (HHA-PCA)"/>
    <x v="43"/>
    <s v="VNS Health Health Plans (ANT)"/>
    <s v="MLTC"/>
    <x v="1"/>
    <n v="22"/>
    <n v="11"/>
    <n v="97"/>
    <n v="11"/>
  </r>
  <r>
    <n v="354"/>
    <s v="Anchor Health (HHA-PCA)"/>
    <x v="43"/>
    <s v="Fidelis Care PCA (Non Live)"/>
    <s v="MLTC"/>
    <x v="1"/>
    <n v="1"/>
    <n v="0"/>
    <n v="0"/>
    <n v="0"/>
  </r>
  <r>
    <n v="355"/>
    <s v="Anchor Health (HHA-PCA)"/>
    <x v="43"/>
    <s v="Fidelis Care (ANT)"/>
    <s v="LHCSA"/>
    <x v="1"/>
    <n v="14"/>
    <n v="10"/>
    <n v="59"/>
    <n v="10"/>
  </r>
  <r>
    <n v="356"/>
    <s v="Anchor Health (HHA-PCA)"/>
    <x v="43"/>
    <s v="Nascentia PCA"/>
    <s v="MLTC"/>
    <x v="1"/>
    <n v="2"/>
    <n v="1"/>
    <n v="13"/>
    <n v="0"/>
  </r>
  <r>
    <n v="357"/>
    <s v="Anchor Health (HHA-PCA)"/>
    <x v="43"/>
    <s v="EDDY SeniorCare VNA (Pace Plan)"/>
    <s v="MCO"/>
    <x v="1"/>
    <n v="0"/>
    <n v="0"/>
    <n v="6"/>
    <n v="0"/>
  </r>
  <r>
    <n v="358"/>
    <s v="Anchor Health Choice (CDPAP)"/>
    <x v="43"/>
    <s v="Nascentia Health Options CDPAP"/>
    <s v="MLTC"/>
    <x v="2"/>
    <n v="2"/>
    <n v="2"/>
    <n v="2"/>
    <n v="1"/>
  </r>
  <r>
    <n v="359"/>
    <s v="Anchor Health Choice (CDPAP)"/>
    <x v="43"/>
    <s v="Fidelis Care (CDP)"/>
    <s v="LHCSA"/>
    <x v="2"/>
    <n v="17"/>
    <n v="15"/>
    <n v="23"/>
    <n v="3"/>
  </r>
  <r>
    <n v="360"/>
    <s v="Anchor Health Choice (CDPAP)"/>
    <x v="43"/>
    <s v="VNS Health Health Plans (CDP)"/>
    <s v="MLTC"/>
    <x v="2"/>
    <n v="7"/>
    <n v="6"/>
    <n v="18"/>
    <n v="6"/>
  </r>
  <r>
    <n v="361"/>
    <s v="Anchor Health (HHA-PCA)"/>
    <x v="4"/>
    <s v="Revival Home Health Care"/>
    <s v="CHHA"/>
    <x v="1"/>
    <n v="5"/>
    <n v="5"/>
    <n v="8"/>
    <n v="0"/>
  </r>
  <r>
    <n v="362"/>
    <s v="Anchor Health (HHA-PCA)"/>
    <x v="4"/>
    <s v="Prime Home Health Services"/>
    <s v="CHHA"/>
    <x v="1"/>
    <n v="0"/>
    <n v="0"/>
    <n v="1"/>
    <n v="0"/>
  </r>
  <r>
    <n v="363"/>
    <s v="Anchor Health (HHA-PCA)"/>
    <x v="4"/>
    <s v="Extended Home Care"/>
    <s v="CHHA"/>
    <x v="1"/>
    <n v="33"/>
    <n v="25"/>
    <n v="63"/>
    <n v="10"/>
  </r>
  <r>
    <n v="364"/>
    <s v="Anchor Health (HHA-PCA)"/>
    <x v="4"/>
    <s v="Americare"/>
    <s v="CHHA"/>
    <x v="1"/>
    <n v="77"/>
    <n v="58"/>
    <n v="127"/>
    <n v="15"/>
  </r>
  <r>
    <n v="365"/>
    <s v="Anchor Health (HHA-PCA)"/>
    <x v="4"/>
    <s v="Private Pay"/>
    <s v="Other"/>
    <x v="1"/>
    <n v="9"/>
    <n v="8"/>
    <n v="8"/>
    <n v="2"/>
  </r>
  <r>
    <n v="366"/>
    <s v="Anchor Health (HHA-PCA)"/>
    <x v="4"/>
    <s v="Empire Blue Cross Blue Shield (PCA)"/>
    <s v="Other"/>
    <x v="1"/>
    <n v="94"/>
    <n v="67"/>
    <n v="103"/>
    <n v="14"/>
  </r>
  <r>
    <n v="367"/>
    <s v="Anchor Health (HHA-PCA)"/>
    <x v="4"/>
    <s v="Centers Plan For Health Living PCA"/>
    <s v="MLTC"/>
    <x v="1"/>
    <n v="229"/>
    <n v="170"/>
    <n v="269"/>
    <n v="41"/>
  </r>
  <r>
    <n v="368"/>
    <s v="Anchor Health (HHA-PCA)"/>
    <x v="4"/>
    <s v="ElderServe/Riverspring (PCA)"/>
    <s v="MLTC"/>
    <x v="1"/>
    <n v="1"/>
    <n v="1"/>
    <n v="5"/>
    <n v="0"/>
  </r>
  <r>
    <n v="369"/>
    <s v="Anchor Health (HHA-PCA)"/>
    <x v="4"/>
    <s v="Archcare Community Life PCA"/>
    <s v="MCO"/>
    <x v="1"/>
    <n v="47"/>
    <n v="36"/>
    <n v="21"/>
    <n v="7"/>
  </r>
  <r>
    <n v="370"/>
    <s v="Anchor Health (HHA-PCA)"/>
    <x v="4"/>
    <s v="VNSNY CHOICE PCA"/>
    <s v="LHCSA"/>
    <x v="1"/>
    <n v="7"/>
    <n v="6"/>
    <n v="0"/>
    <n v="0"/>
  </r>
  <r>
    <n v="371"/>
    <s v="Anchor Health (HHA-PCA)"/>
    <x v="4"/>
    <s v="VillageCare PCA"/>
    <s v="MLTC"/>
    <x v="1"/>
    <n v="71"/>
    <n v="65"/>
    <n v="156"/>
    <n v="9"/>
  </r>
  <r>
    <n v="372"/>
    <s v="Anchor Health (HHA-PCA)"/>
    <x v="4"/>
    <s v="NHTD"/>
    <s v="LHCSA"/>
    <x v="1"/>
    <n v="282"/>
    <n v="230"/>
    <n v="340"/>
    <n v="41"/>
  </r>
  <r>
    <n v="373"/>
    <s v="Anchor Health (HHA-PCA)"/>
    <x v="4"/>
    <s v="TBI"/>
    <s v="LHCSA"/>
    <x v="1"/>
    <n v="3"/>
    <n v="2"/>
    <n v="3"/>
    <n v="0"/>
  </r>
  <r>
    <n v="374"/>
    <s v="Anchor Health (HHA-PCA)"/>
    <x v="4"/>
    <s v="Elderplan MJHS (ANT)"/>
    <s v="MLTC"/>
    <x v="1"/>
    <n v="71"/>
    <n v="61"/>
    <n v="103"/>
    <n v="15"/>
  </r>
  <r>
    <n v="375"/>
    <s v="Anchor Health (HHA-PCA)"/>
    <x v="4"/>
    <s v="Hamaspik MAP PCA"/>
    <s v="MCO"/>
    <x v="1"/>
    <n v="23"/>
    <n v="20"/>
    <n v="12"/>
    <n v="2"/>
  </r>
  <r>
    <n v="376"/>
    <s v="Anchor Health (HHA-PCA)"/>
    <x v="4"/>
    <s v="CenterLight HealthCare (PACE) (ANT)"/>
    <s v="Other"/>
    <x v="1"/>
    <n v="4"/>
    <n v="3"/>
    <n v="1"/>
    <n v="0"/>
  </r>
  <r>
    <n v="377"/>
    <s v="Anchor Health (HHA-PCA)"/>
    <x v="4"/>
    <s v="VNS Health Health Plans (ANT)"/>
    <s v="MLTC"/>
    <x v="1"/>
    <n v="261"/>
    <n v="199"/>
    <n v="270"/>
    <n v="45"/>
  </r>
  <r>
    <n v="378"/>
    <s v="Anchor Health (HHA-PCA)"/>
    <x v="4"/>
    <s v="Archcare Senior Life PCA &quot;PACE Plan&quot;"/>
    <s v="MCO"/>
    <x v="1"/>
    <n v="8"/>
    <n v="8"/>
    <n v="6"/>
    <n v="0"/>
  </r>
  <r>
    <n v="379"/>
    <s v="Anchor Health (HHA-PCA)"/>
    <x v="4"/>
    <s v="Healthfirst (ANT)"/>
    <s v="CHHA"/>
    <x v="1"/>
    <n v="74"/>
    <n v="57"/>
    <n v="83"/>
    <n v="14"/>
  </r>
  <r>
    <n v="380"/>
    <s v="Anchor Health (HHA-PCA)"/>
    <x v="4"/>
    <s v="Fidelis Care PCA (Non Live)"/>
    <s v="MLTC"/>
    <x v="1"/>
    <n v="6"/>
    <n v="4"/>
    <n v="1"/>
    <n v="0"/>
  </r>
  <r>
    <n v="381"/>
    <s v="Anchor Health (HHA-PCA)"/>
    <x v="4"/>
    <s v="Fidelis Care (ANT)"/>
    <s v="LHCSA"/>
    <x v="1"/>
    <n v="200"/>
    <n v="157"/>
    <n v="253"/>
    <n v="31"/>
  </r>
  <r>
    <n v="382"/>
    <s v="Anchor Health (HHA-PCA)"/>
    <x v="4"/>
    <s v="Hamaspik Choice MLTC (PCA)"/>
    <s v="MLTC"/>
    <x v="1"/>
    <n v="44"/>
    <n v="34"/>
    <n v="70"/>
    <n v="5"/>
  </r>
  <r>
    <n v="383"/>
    <s v="Anchor Health (HHA-PCA)"/>
    <x v="4"/>
    <s v="Non Billable"/>
    <s v="Other"/>
    <x v="1"/>
    <n v="9"/>
    <n v="8"/>
    <n v="7"/>
    <n v="0"/>
  </r>
  <r>
    <n v="384"/>
    <s v="Anchor Health Choice (CDPAP)"/>
    <x v="4"/>
    <s v="Empire Blue Cross Blue Shield (CDPAP)"/>
    <s v="Other"/>
    <x v="2"/>
    <n v="26"/>
    <n v="21"/>
    <n v="11"/>
    <n v="7"/>
  </r>
  <r>
    <n v="385"/>
    <s v="Anchor Health Choice (CDPAP)"/>
    <x v="4"/>
    <s v="Centers Plan For Healthy Living CDPAP "/>
    <s v="MLTC"/>
    <x v="2"/>
    <n v="25"/>
    <n v="23"/>
    <n v="22"/>
    <n v="9"/>
  </r>
  <r>
    <n v="386"/>
    <s v="Anchor Health Choice (CDPAP)"/>
    <x v="4"/>
    <s v="ElderServe/Riverspring (CDPAP)"/>
    <s v="MLTC"/>
    <x v="2"/>
    <n v="1"/>
    <n v="1"/>
    <n v="2"/>
    <n v="0"/>
  </r>
  <r>
    <n v="387"/>
    <s v="Anchor Health Choice (CDPAP)"/>
    <x v="4"/>
    <s v="Archcare Community Life CDPAP"/>
    <s v="MCO"/>
    <x v="2"/>
    <n v="6"/>
    <n v="6"/>
    <n v="1"/>
    <n v="0"/>
  </r>
  <r>
    <n v="388"/>
    <s v="Anchor Health Choice (CDPAP)"/>
    <x v="4"/>
    <s v="VNSNY CHOICE CDPAP"/>
    <s v="MLTC"/>
    <x v="2"/>
    <n v="0"/>
    <n v="0"/>
    <n v="1"/>
    <n v="0"/>
  </r>
  <r>
    <n v="389"/>
    <s v="Anchor Health Choice (CDPAP)"/>
    <x v="4"/>
    <s v="VillageCare CDPAP"/>
    <s v="MCO"/>
    <x v="2"/>
    <n v="7"/>
    <n v="7"/>
    <n v="23"/>
    <n v="0"/>
  </r>
  <r>
    <n v="390"/>
    <s v="Anchor Health Choice (CDPAP)"/>
    <x v="4"/>
    <s v="Elderplan MJHS (CDP)"/>
    <s v="MLTC"/>
    <x v="2"/>
    <n v="8"/>
    <n v="8"/>
    <n v="2"/>
    <n v="3"/>
  </r>
  <r>
    <n v="391"/>
    <s v="Anchor Health Choice (CDPAP)"/>
    <x v="4"/>
    <s v="Fidelis Care CDPAP (Non Live)"/>
    <s v="MCO"/>
    <x v="2"/>
    <n v="0"/>
    <n v="0"/>
    <n v="1"/>
    <n v="0"/>
  </r>
  <r>
    <n v="392"/>
    <s v="Anchor Health Choice (CDPAP)"/>
    <x v="4"/>
    <s v="Fidelis Care (CDP)"/>
    <s v="LHCSA"/>
    <x v="2"/>
    <n v="11"/>
    <n v="7"/>
    <n v="24"/>
    <n v="7"/>
  </r>
  <r>
    <n v="393"/>
    <s v="Anchor Health Choice (CDPAP)"/>
    <x v="4"/>
    <s v="Hamaspik Choice (MLTC) CDPAP"/>
    <s v="MCO"/>
    <x v="2"/>
    <n v="1"/>
    <n v="1"/>
    <n v="0"/>
    <n v="0"/>
  </r>
  <r>
    <n v="394"/>
    <s v="Anchor Health Choice (CDPAP)"/>
    <x v="4"/>
    <s v="VNS Health Health Plans (CDP)"/>
    <s v="MLTC"/>
    <x v="2"/>
    <n v="51"/>
    <n v="39"/>
    <n v="31"/>
    <n v="23"/>
  </r>
  <r>
    <n v="395"/>
    <s v="Anchor Health Choice (CDPAP)"/>
    <x v="4"/>
    <s v="Healthfirst (CDP)"/>
    <s v="CHHA"/>
    <x v="2"/>
    <n v="4"/>
    <n v="4"/>
    <n v="9"/>
    <n v="1"/>
  </r>
  <r>
    <n v="396"/>
    <s v="Anchor Select (Private Pay)"/>
    <x v="4"/>
    <s v="Private Pay - Select"/>
    <s v="Other"/>
    <x v="1"/>
    <n v="15"/>
    <n v="13"/>
    <n v="15"/>
    <n v="0"/>
  </r>
  <r>
    <n v="397"/>
    <s v="Anchor Select (Private Pay)"/>
    <x v="4"/>
    <s v="Anchor Health"/>
    <s v="Other"/>
    <x v="1"/>
    <n v="1"/>
    <n v="1"/>
    <n v="0"/>
    <n v="0"/>
  </r>
  <r>
    <n v="398"/>
    <s v="Anchor Health Choice (CDPAP)"/>
    <x v="44"/>
    <s v="Centers Plan For Healthy Living CDPAP "/>
    <s v="MLTC"/>
    <x v="2"/>
    <n v="2"/>
    <n v="1"/>
    <n v="5"/>
    <n v="1"/>
  </r>
  <r>
    <n v="399"/>
    <s v="Anchor Health Choice (CDPAP)"/>
    <x v="44"/>
    <s v="Elderplan MJHS (CDP)"/>
    <s v="MLTC"/>
    <x v="2"/>
    <n v="1"/>
    <n v="0"/>
    <n v="1"/>
    <n v="1"/>
  </r>
  <r>
    <n v="400"/>
    <s v="Anchor Health Choice (CDPAP)"/>
    <x v="44"/>
    <s v="Fidelis Care (CDP)"/>
    <s v="LHCSA"/>
    <x v="2"/>
    <n v="0"/>
    <n v="0"/>
    <n v="7"/>
    <n v="0"/>
  </r>
  <r>
    <n v="401"/>
    <s v="Anchor Health Choice (CDPAP)"/>
    <x v="44"/>
    <s v="Hamaspik Choice (MLTC) CDPAP"/>
    <s v="MCO"/>
    <x v="2"/>
    <n v="3"/>
    <n v="2"/>
    <n v="1"/>
    <n v="1"/>
  </r>
  <r>
    <n v="402"/>
    <s v="Anchor Health Choice (CDPAP)"/>
    <x v="44"/>
    <s v="VNS Health Health Plans (CDP)"/>
    <s v="MLTC"/>
    <x v="2"/>
    <n v="10"/>
    <n v="8"/>
    <n v="4"/>
    <n v="3"/>
  </r>
  <r>
    <n v="403"/>
    <s v="Anchor Health Choice (CDPAP)"/>
    <x v="44"/>
    <s v="Healthfirst (CDP)"/>
    <s v="CHHA"/>
    <x v="2"/>
    <n v="0"/>
    <n v="0"/>
    <n v="1"/>
    <n v="0"/>
  </r>
  <r>
    <n v="404"/>
    <s v="Anchor Health Choice (CDPAP)"/>
    <x v="45"/>
    <s v="Nascentia Health Options CDPAP"/>
    <s v="MLTC"/>
    <x v="2"/>
    <n v="2"/>
    <n v="2"/>
    <n v="0"/>
    <n v="0"/>
  </r>
  <r>
    <n v="405"/>
    <s v="Anchor Health Choice (CDPAP)"/>
    <x v="45"/>
    <s v="Fidelis Care (CDP)"/>
    <s v="LHCSA"/>
    <x v="2"/>
    <n v="7"/>
    <n v="2"/>
    <n v="5"/>
    <n v="7"/>
  </r>
  <r>
    <n v="406"/>
    <s v="Anchor Health (HHA-PCA)"/>
    <x v="46"/>
    <s v="VNS Health Health Plans (ANT)"/>
    <s v="MLTC"/>
    <x v="1"/>
    <n v="2"/>
    <n v="1"/>
    <n v="24"/>
    <n v="2"/>
  </r>
  <r>
    <n v="407"/>
    <s v="Anchor Health (HHA-PCA)"/>
    <x v="46"/>
    <s v="Fidelis Care (ANT)"/>
    <s v="LHCSA"/>
    <x v="1"/>
    <n v="1"/>
    <n v="0"/>
    <n v="14"/>
    <n v="1"/>
  </r>
  <r>
    <n v="408"/>
    <s v="Anchor Health Choice (CDPAP)"/>
    <x v="46"/>
    <s v="Nascentia Health Options CDPAP"/>
    <s v="MLTC"/>
    <x v="2"/>
    <n v="3"/>
    <n v="3"/>
    <n v="2"/>
    <n v="0"/>
  </r>
  <r>
    <n v="409"/>
    <s v="Anchor Health Choice (CDPAP)"/>
    <x v="46"/>
    <s v="Fidelis Care (CDP)"/>
    <s v="LHCSA"/>
    <x v="2"/>
    <n v="3"/>
    <n v="3"/>
    <n v="14"/>
    <n v="1"/>
  </r>
  <r>
    <n v="410"/>
    <s v="Anchor Health Choice (CDPAP)"/>
    <x v="46"/>
    <s v="VNS Health Health Plans (CDP)"/>
    <s v="MLTC"/>
    <x v="2"/>
    <n v="9"/>
    <n v="7"/>
    <n v="7"/>
    <n v="3"/>
  </r>
  <r>
    <n v="411"/>
    <s v="Anchor Health (HHA-PCA)"/>
    <x v="47"/>
    <s v="VNSNY CHOICE PCA"/>
    <s v="LHCSA"/>
    <x v="1"/>
    <n v="1"/>
    <n v="1"/>
    <n v="0"/>
    <n v="0"/>
  </r>
  <r>
    <n v="412"/>
    <s v="Anchor Health (HHA-PCA)"/>
    <x v="47"/>
    <s v="VNS Health Health Plans (ANT)"/>
    <s v="MLTC"/>
    <x v="1"/>
    <n v="26"/>
    <n v="15"/>
    <n v="102"/>
    <n v="18"/>
  </r>
  <r>
    <n v="413"/>
    <s v="Anchor Health (HHA-PCA)"/>
    <x v="47"/>
    <s v="Fidelis Care PCA (Non Live)"/>
    <s v="MLTC"/>
    <x v="1"/>
    <n v="2"/>
    <n v="1"/>
    <n v="3"/>
    <n v="1"/>
  </r>
  <r>
    <n v="414"/>
    <s v="Anchor Health (HHA-PCA)"/>
    <x v="47"/>
    <s v="Fidelis Care (ANT)"/>
    <s v="LHCSA"/>
    <x v="1"/>
    <n v="20"/>
    <n v="12"/>
    <n v="94"/>
    <n v="14"/>
  </r>
  <r>
    <n v="415"/>
    <s v="Anchor Health (HHA-PCA)"/>
    <x v="47"/>
    <s v="Nascentia PCA"/>
    <s v="MLTC"/>
    <x v="1"/>
    <n v="1"/>
    <n v="1"/>
    <n v="3"/>
    <n v="0"/>
  </r>
  <r>
    <n v="416"/>
    <s v="Anchor Health (HHA-PCA)"/>
    <x v="47"/>
    <s v="EDDY SeniorCare VNA (Pace Plan)"/>
    <s v="MCO"/>
    <x v="1"/>
    <n v="1"/>
    <n v="1"/>
    <n v="6"/>
    <n v="0"/>
  </r>
  <r>
    <n v="417"/>
    <s v="Anchor Health (HHA-PCA)"/>
    <x v="47"/>
    <s v="Non Billable"/>
    <s v="Other"/>
    <x v="1"/>
    <n v="1"/>
    <n v="1"/>
    <n v="1"/>
    <n v="0"/>
  </r>
  <r>
    <n v="418"/>
    <s v="Anchor Health Choice (CDPAP)"/>
    <x v="47"/>
    <s v="Nascentia Health Options CDPAP"/>
    <s v="MLTC"/>
    <x v="2"/>
    <n v="0"/>
    <n v="0"/>
    <n v="4"/>
    <n v="0"/>
  </r>
  <r>
    <n v="419"/>
    <s v="Anchor Health Choice (CDPAP)"/>
    <x v="47"/>
    <s v="Fidelis Care (CDP)"/>
    <s v="LHCSA"/>
    <x v="2"/>
    <n v="26"/>
    <n v="21"/>
    <n v="52"/>
    <n v="7"/>
  </r>
  <r>
    <n v="420"/>
    <s v="Anchor Health Choice (CDPAP)"/>
    <x v="47"/>
    <s v="VNS Health Health Plans (CDP)"/>
    <s v="MLTC"/>
    <x v="2"/>
    <n v="40"/>
    <n v="37"/>
    <n v="57"/>
    <n v="13"/>
  </r>
  <r>
    <n v="421"/>
    <s v="Anchor Health Choice (CDPAP)"/>
    <x v="47"/>
    <s v="Non Billable"/>
    <s v="Other"/>
    <x v="2"/>
    <n v="1"/>
    <n v="1"/>
    <n v="0"/>
    <n v="0"/>
  </r>
  <r>
    <n v="422"/>
    <s v="Anchor Select (Private Pay)"/>
    <x v="47"/>
    <s v="Private Pay - Select"/>
    <s v="Other"/>
    <x v="1"/>
    <n v="0"/>
    <n v="0"/>
    <n v="2"/>
    <n v="0"/>
  </r>
  <r>
    <n v="423"/>
    <s v="Anchor Health Choice (CDPAP)"/>
    <x v="48"/>
    <s v="Fidelis Care (CDP)"/>
    <s v="LHCSA"/>
    <x v="2"/>
    <n v="0"/>
    <n v="0"/>
    <n v="4"/>
    <n v="0"/>
  </r>
  <r>
    <n v="424"/>
    <s v="Anchor Health Choice (CDPAP)"/>
    <x v="48"/>
    <s v="VNS Health Health Plans (CDP)"/>
    <s v="MLTC"/>
    <x v="2"/>
    <n v="2"/>
    <n v="1"/>
    <n v="4"/>
    <n v="1"/>
  </r>
  <r>
    <n v="425"/>
    <s v="Anchor Health Choice (CDPAP)"/>
    <x v="49"/>
    <s v="Nascentia Health Options CDPAP"/>
    <s v="MLTC"/>
    <x v="2"/>
    <n v="1"/>
    <n v="1"/>
    <n v="1"/>
    <n v="1"/>
  </r>
  <r>
    <n v="426"/>
    <s v="Anchor Health Choice (CDPAP)"/>
    <x v="49"/>
    <s v="Fidelis Care (CDP)"/>
    <s v="LHCSA"/>
    <x v="2"/>
    <n v="1"/>
    <n v="1"/>
    <n v="3"/>
    <n v="0"/>
  </r>
  <r>
    <n v="427"/>
    <s v="Anchor Health Choice (CDPAP)"/>
    <x v="50"/>
    <s v="Nascentia Health Options CDPAP"/>
    <s v="MLTC"/>
    <x v="2"/>
    <n v="1"/>
    <n v="1"/>
    <n v="1"/>
    <n v="0"/>
  </r>
  <r>
    <n v="428"/>
    <s v="Anchor Health Choice (CDPAP)"/>
    <x v="50"/>
    <s v="Fidelis Care (CDP)"/>
    <s v="LHCSA"/>
    <x v="2"/>
    <n v="0"/>
    <n v="0"/>
    <n v="1"/>
    <n v="0"/>
  </r>
  <r>
    <n v="429"/>
    <s v="Anchor Health Choice (CDPAP)"/>
    <x v="51"/>
    <s v="Nascentia Health Options CDPAP"/>
    <s v="MLTC"/>
    <x v="2"/>
    <n v="2"/>
    <n v="2"/>
    <n v="3"/>
    <n v="1"/>
  </r>
  <r>
    <n v="430"/>
    <s v="Anchor Health Choice (CDPAP)"/>
    <x v="51"/>
    <s v="Fidelis Care (CDP)"/>
    <s v="LHCSA"/>
    <x v="2"/>
    <n v="1"/>
    <n v="1"/>
    <n v="10"/>
    <n v="0"/>
  </r>
  <r>
    <n v="431"/>
    <s v="Anchor Health (HHA-PCA)"/>
    <x v="52"/>
    <s v="Extended Home Care"/>
    <s v="CHHA"/>
    <x v="1"/>
    <n v="3"/>
    <n v="3"/>
    <n v="5"/>
    <n v="0"/>
  </r>
  <r>
    <n v="432"/>
    <s v="Anchor Health (HHA-PCA)"/>
    <x v="52"/>
    <s v="Americare"/>
    <s v="CHHA"/>
    <x v="1"/>
    <n v="1"/>
    <n v="1"/>
    <n v="2"/>
    <n v="0"/>
  </r>
  <r>
    <n v="433"/>
    <s v="Anchor Health (HHA-PCA)"/>
    <x v="52"/>
    <s v="Empire Blue Cross Blue Shield (PCA)"/>
    <s v="Other"/>
    <x v="1"/>
    <n v="2"/>
    <n v="1"/>
    <n v="0"/>
    <n v="0"/>
  </r>
  <r>
    <n v="434"/>
    <s v="Anchor Health Choice (CDPAP)"/>
    <x v="52"/>
    <s v="Empire Blue Cross Blue Shield (CDPAP)"/>
    <s v="Other"/>
    <x v="2"/>
    <n v="9"/>
    <n v="8"/>
    <n v="4"/>
    <n v="2"/>
  </r>
  <r>
    <n v="435"/>
    <s v="Anchor Health Choice (CDPAP)"/>
    <x v="52"/>
    <s v="Centers Plan For Healthy Living CDPAP "/>
    <s v="MLTC"/>
    <x v="2"/>
    <n v="26"/>
    <n v="24"/>
    <n v="30"/>
    <n v="6"/>
  </r>
  <r>
    <n v="436"/>
    <s v="Anchor Health Choice (CDPAP)"/>
    <x v="52"/>
    <s v="SWHNY-MLTC (CDP)"/>
    <s v="Other"/>
    <x v="2"/>
    <n v="1"/>
    <n v="1"/>
    <n v="1"/>
    <n v="1"/>
  </r>
  <r>
    <n v="437"/>
    <s v="Anchor Health Choice (CDPAP)"/>
    <x v="52"/>
    <s v="Fidelis Care (CDP)"/>
    <s v="LHCSA"/>
    <x v="2"/>
    <n v="11"/>
    <n v="10"/>
    <n v="29"/>
    <n v="6"/>
  </r>
  <r>
    <n v="438"/>
    <s v="Anchor Health Choice (CDPAP)"/>
    <x v="52"/>
    <s v="Hamaspik Choice (MLTC) CDPAP"/>
    <s v="MCO"/>
    <x v="2"/>
    <n v="1"/>
    <n v="1"/>
    <n v="0"/>
    <n v="0"/>
  </r>
  <r>
    <n v="439"/>
    <s v="Anchor Health Choice (CDPAP)"/>
    <x v="52"/>
    <s v="VNS Health Health Plans (CDP)"/>
    <s v="MLTC"/>
    <x v="2"/>
    <n v="33"/>
    <n v="28"/>
    <n v="57"/>
    <n v="10"/>
  </r>
  <r>
    <n v="440"/>
    <s v="Anchor Health Choice (CDPAP)"/>
    <x v="52"/>
    <s v="Healthfirst (CDP)"/>
    <s v="CHHA"/>
    <x v="2"/>
    <n v="1"/>
    <n v="1"/>
    <n v="9"/>
    <n v="0"/>
  </r>
  <r>
    <n v="441"/>
    <s v="Anchor Health Choice (CDPAP)"/>
    <x v="52"/>
    <s v="Amerigroup (Empire) CDPAP"/>
    <s v="MLTC"/>
    <x v="2"/>
    <n v="0"/>
    <n v="0"/>
    <n v="1"/>
    <n v="0"/>
  </r>
  <r>
    <n v="442"/>
    <s v="Anchor Health Choice (CDPAP)"/>
    <x v="53"/>
    <s v="Elderplan MJHS (CDP)"/>
    <s v="MLTC"/>
    <x v="2"/>
    <n v="0"/>
    <n v="0"/>
    <n v="1"/>
    <n v="0"/>
  </r>
  <r>
    <n v="443"/>
    <s v="Anchor Health Choice (CDPAP)"/>
    <x v="53"/>
    <s v="Fidelis Care (CDP)"/>
    <s v="LHCSA"/>
    <x v="2"/>
    <n v="1"/>
    <n v="1"/>
    <n v="4"/>
    <n v="0"/>
  </r>
  <r>
    <n v="444"/>
    <s v="Anchor Health Choice (CDPAP)"/>
    <x v="53"/>
    <s v="VNS Health Health Plans (CDP)"/>
    <s v="MLTC"/>
    <x v="2"/>
    <n v="4"/>
    <n v="3"/>
    <n v="3"/>
    <n v="6"/>
  </r>
  <r>
    <n v="445"/>
    <s v="Anchor Health Choice (CDPAP)"/>
    <x v="54"/>
    <s v="Nascentia Health Options CDPAP"/>
    <s v="MLTC"/>
    <x v="2"/>
    <n v="2"/>
    <n v="2"/>
    <n v="4"/>
    <n v="0"/>
  </r>
  <r>
    <n v="446"/>
    <s v="Anchor Health Choice (CDPAP)"/>
    <x v="54"/>
    <s v="Fidelis Care (CDP)"/>
    <s v="LHCSA"/>
    <x v="2"/>
    <n v="1"/>
    <n v="1"/>
    <n v="6"/>
    <n v="0"/>
  </r>
  <r>
    <n v="447"/>
    <s v="Anchor Health Choice (CDPAP)"/>
    <x v="55"/>
    <s v="Nascentia Health Options CDPAP"/>
    <s v="MLTC"/>
    <x v="2"/>
    <n v="1"/>
    <n v="1"/>
    <n v="4"/>
    <n v="1"/>
  </r>
  <r>
    <n v="448"/>
    <s v="Anchor Health Choice (CDPAP)"/>
    <x v="55"/>
    <s v="Fidelis Care (CDP)"/>
    <s v="LHCSA"/>
    <x v="2"/>
    <n v="1"/>
    <n v="1"/>
    <n v="3"/>
    <n v="0"/>
  </r>
  <r>
    <n v="449"/>
    <s v="Anchor Health Choice (CDPAP)"/>
    <x v="56"/>
    <s v="Hamaspik MAP CDPAP"/>
    <s v="MCO"/>
    <x v="2"/>
    <n v="1"/>
    <n v="1"/>
    <n v="0"/>
    <n v="0"/>
  </r>
  <r>
    <n v="450"/>
    <s v="Anchor Health Choice (CDPAP)"/>
    <x v="56"/>
    <s v="Elderplan MJHS (CDP)"/>
    <s v="MLTC"/>
    <x v="2"/>
    <n v="1"/>
    <n v="1"/>
    <n v="1"/>
    <n v="0"/>
  </r>
  <r>
    <n v="451"/>
    <s v="Anchor Health Choice (CDPAP)"/>
    <x v="56"/>
    <s v="Fidelis Care (CDP)"/>
    <s v="LHCSA"/>
    <x v="2"/>
    <n v="4"/>
    <n v="3"/>
    <n v="9"/>
    <n v="4"/>
  </r>
  <r>
    <n v="452"/>
    <s v="Anchor Health Choice (CDPAP)"/>
    <x v="56"/>
    <s v="Hamaspik Choice (MLTC) CDPAP"/>
    <s v="MCO"/>
    <x v="2"/>
    <n v="0"/>
    <n v="0"/>
    <n v="6"/>
    <n v="0"/>
  </r>
  <r>
    <n v="453"/>
    <s v="Anchor Health Choice (CDPAP)"/>
    <x v="56"/>
    <s v="VNS Health Health Plans (CDP)"/>
    <s v="MLTC"/>
    <x v="2"/>
    <n v="7"/>
    <n v="5"/>
    <n v="7"/>
    <n v="4"/>
  </r>
  <r>
    <n v="454"/>
    <s v="Anchor Health Choice (CDPAP)"/>
    <x v="57"/>
    <s v="Nascentia Health Options CDPAP"/>
    <s v="MLTC"/>
    <x v="2"/>
    <n v="0"/>
    <n v="0"/>
    <n v="1"/>
    <n v="1"/>
  </r>
  <r>
    <n v="455"/>
    <s v="Anchor Health Choice (CDPAP)"/>
    <x v="57"/>
    <s v="Fidelis Care (CDP)"/>
    <s v="LHCSA"/>
    <x v="2"/>
    <n v="4"/>
    <n v="2"/>
    <n v="1"/>
    <n v="2"/>
  </r>
  <r>
    <n v="456"/>
    <s v="Anchor Health Choice (CDPAP)"/>
    <x v="57"/>
    <s v="VNS Health Health Plans (CDP)"/>
    <s v="MLTC"/>
    <x v="2"/>
    <n v="1"/>
    <n v="1"/>
    <n v="2"/>
    <n v="0"/>
  </r>
  <r>
    <n v="457"/>
    <s v="Anchor Health Choice (CDPAP)"/>
    <x v="58"/>
    <s v="Nascentia Health Options CDPAP"/>
    <s v="MLTC"/>
    <x v="2"/>
    <n v="1"/>
    <n v="1"/>
    <n v="0"/>
    <n v="0"/>
  </r>
  <r>
    <n v="458"/>
    <s v="Anchor Health Choice (CDPAP)"/>
    <x v="58"/>
    <s v="Fidelis Care (CDP)"/>
    <s v="LHCSA"/>
    <x v="2"/>
    <n v="2"/>
    <n v="1"/>
    <n v="5"/>
    <n v="1"/>
  </r>
  <r>
    <n v="459"/>
    <s v="Anchor Health Choice (CDPAP)"/>
    <x v="58"/>
    <s v="VNS Health Health Plans (CDP)"/>
    <s v="MLTC"/>
    <x v="2"/>
    <n v="3"/>
    <n v="2"/>
    <n v="5"/>
    <n v="2"/>
  </r>
  <r>
    <n v="460"/>
    <s v="Anchor Health Choice (CDPAP)"/>
    <x v="59"/>
    <s v="Nascentia Health Options CDPAP"/>
    <s v="MLTC"/>
    <x v="2"/>
    <n v="3"/>
    <n v="2"/>
    <n v="0"/>
    <n v="1"/>
  </r>
  <r>
    <n v="461"/>
    <s v="Anchor Health Choice (CDPAP)"/>
    <x v="59"/>
    <s v="Fidelis Care (CDP)"/>
    <s v="LHCSA"/>
    <x v="2"/>
    <n v="1"/>
    <n v="1"/>
    <n v="3"/>
    <n v="0"/>
  </r>
  <r>
    <n v="462"/>
    <s v="Anchor Health (HHA-PCA)"/>
    <x v="60"/>
    <s v="Revival Home Health Care"/>
    <s v="CHHA"/>
    <x v="1"/>
    <n v="2"/>
    <n v="2"/>
    <n v="13"/>
    <n v="0"/>
  </r>
  <r>
    <n v="463"/>
    <s v="Anchor Health (HHA-PCA)"/>
    <x v="60"/>
    <s v="Prime Home Health Services"/>
    <s v="CHHA"/>
    <x v="1"/>
    <n v="10"/>
    <n v="8"/>
    <n v="11"/>
    <n v="1"/>
  </r>
  <r>
    <n v="464"/>
    <s v="Anchor Health (HHA-PCA)"/>
    <x v="60"/>
    <s v="Americare"/>
    <s v="CHHA"/>
    <x v="1"/>
    <n v="81"/>
    <n v="68"/>
    <n v="100"/>
    <n v="8"/>
  </r>
  <r>
    <n v="465"/>
    <s v="Anchor Health (HHA-PCA)"/>
    <x v="60"/>
    <s v="Private Pay"/>
    <s v="Other"/>
    <x v="1"/>
    <n v="2"/>
    <n v="1"/>
    <n v="2"/>
    <n v="0"/>
  </r>
  <r>
    <n v="466"/>
    <s v="Anchor Health (HHA-PCA)"/>
    <x v="60"/>
    <s v="Empire Blue Cross Blue Shield (PCA)"/>
    <s v="Other"/>
    <x v="1"/>
    <n v="22"/>
    <n v="16"/>
    <n v="34"/>
    <n v="9"/>
  </r>
  <r>
    <n v="467"/>
    <s v="Anchor Health (HHA-PCA)"/>
    <x v="60"/>
    <s v="Centers Plan For Health Living PCA"/>
    <s v="MLTC"/>
    <x v="1"/>
    <n v="14"/>
    <n v="8"/>
    <n v="21"/>
    <n v="3"/>
  </r>
  <r>
    <n v="468"/>
    <s v="Anchor Health (HHA-PCA)"/>
    <x v="60"/>
    <s v="ElderServe/Riverspring (PCA)"/>
    <s v="MLTC"/>
    <x v="1"/>
    <n v="11"/>
    <n v="7"/>
    <n v="35"/>
    <n v="2"/>
  </r>
  <r>
    <n v="469"/>
    <s v="Anchor Health (HHA-PCA)"/>
    <x v="60"/>
    <s v="Archcare Community Life PCA"/>
    <s v="MCO"/>
    <x v="1"/>
    <n v="3"/>
    <n v="1"/>
    <n v="2"/>
    <n v="1"/>
  </r>
  <r>
    <n v="470"/>
    <s v="Anchor Health (HHA-PCA)"/>
    <x v="60"/>
    <s v="VillageCare PCA"/>
    <s v="MLTC"/>
    <x v="1"/>
    <n v="4"/>
    <n v="4"/>
    <n v="24"/>
    <n v="0"/>
  </r>
  <r>
    <n v="471"/>
    <s v="Anchor Health (HHA-PCA)"/>
    <x v="60"/>
    <s v="SWHNY-MLTC (ANT)"/>
    <s v="Other"/>
    <x v="1"/>
    <n v="4"/>
    <n v="2"/>
    <n v="1"/>
    <n v="1"/>
  </r>
  <r>
    <n v="472"/>
    <s v="Anchor Health (HHA-PCA)"/>
    <x v="60"/>
    <s v="NHTD"/>
    <s v="LHCSA"/>
    <x v="1"/>
    <n v="131"/>
    <n v="103"/>
    <n v="243"/>
    <n v="20"/>
  </r>
  <r>
    <n v="473"/>
    <s v="Anchor Health (HHA-PCA)"/>
    <x v="60"/>
    <s v="Elderplan MJHS (ANT)"/>
    <s v="MLTC"/>
    <x v="1"/>
    <n v="24"/>
    <n v="14"/>
    <n v="54"/>
    <n v="4"/>
  </r>
  <r>
    <n v="474"/>
    <s v="Anchor Health (HHA-PCA)"/>
    <x v="60"/>
    <s v="Hamaspik MAP PCA"/>
    <s v="MCO"/>
    <x v="1"/>
    <n v="5"/>
    <n v="3"/>
    <n v="0"/>
    <n v="0"/>
  </r>
  <r>
    <n v="475"/>
    <s v="Anchor Health (HHA-PCA)"/>
    <x v="60"/>
    <s v="VNS Health Health Plans (ANT)"/>
    <s v="MLTC"/>
    <x v="1"/>
    <n v="91"/>
    <n v="57"/>
    <n v="89"/>
    <n v="20"/>
  </r>
  <r>
    <n v="476"/>
    <s v="Anchor Health (HHA-PCA)"/>
    <x v="60"/>
    <s v="Healthfirst (ANT)"/>
    <s v="CHHA"/>
    <x v="1"/>
    <n v="47"/>
    <n v="32"/>
    <n v="57"/>
    <n v="9"/>
  </r>
  <r>
    <n v="477"/>
    <s v="Anchor Health (HHA-PCA)"/>
    <x v="60"/>
    <s v="Fidelis Care PCA (Non Live)"/>
    <s v="MLTC"/>
    <x v="1"/>
    <n v="1"/>
    <n v="1"/>
    <n v="1"/>
    <n v="0"/>
  </r>
  <r>
    <n v="478"/>
    <s v="Anchor Health (HHA-PCA)"/>
    <x v="60"/>
    <s v="Fidelis Care (ANT)"/>
    <s v="LHCSA"/>
    <x v="1"/>
    <n v="72"/>
    <n v="54"/>
    <n v="116"/>
    <n v="11"/>
  </r>
  <r>
    <n v="479"/>
    <s v="Anchor Health (HHA-PCA)"/>
    <x v="60"/>
    <s v="Royal Care Certified of NY"/>
    <s v="Other"/>
    <x v="1"/>
    <n v="1"/>
    <n v="1"/>
    <n v="2"/>
    <n v="0"/>
  </r>
  <r>
    <n v="480"/>
    <s v="Anchor Health (HHA-PCA)"/>
    <x v="60"/>
    <s v="Amerigroup (Empire) PCA"/>
    <s v="MCO"/>
    <x v="1"/>
    <n v="1"/>
    <n v="1"/>
    <n v="2"/>
    <n v="0"/>
  </r>
  <r>
    <n v="481"/>
    <s v="Anchor Health (HHA-PCA)"/>
    <x v="60"/>
    <s v="Non Billable"/>
    <s v="Other"/>
    <x v="1"/>
    <n v="1"/>
    <n v="0"/>
    <n v="7"/>
    <n v="0"/>
  </r>
  <r>
    <n v="482"/>
    <s v="Anchor Health (HHA-PCA)"/>
    <x v="60"/>
    <s v="Preferred Certified"/>
    <s v="MCO"/>
    <x v="1"/>
    <n v="0"/>
    <n v="0"/>
    <n v="3"/>
    <n v="0"/>
  </r>
  <r>
    <n v="483"/>
    <s v="Anchor Health Choice (CDPAP)"/>
    <x v="60"/>
    <s v="Empire Blue Cross Blue Shield (CDPAP)"/>
    <s v="Other"/>
    <x v="2"/>
    <n v="3"/>
    <n v="3"/>
    <n v="6"/>
    <n v="0"/>
  </r>
  <r>
    <n v="484"/>
    <s v="Anchor Health Choice (CDPAP)"/>
    <x v="60"/>
    <s v="Centers Plan For Healthy Living CDPAP "/>
    <s v="MLTC"/>
    <x v="2"/>
    <n v="7"/>
    <n v="5"/>
    <n v="8"/>
    <n v="6"/>
  </r>
  <r>
    <n v="485"/>
    <s v="Anchor Health Choice (CDPAP)"/>
    <x v="60"/>
    <s v="ElderServe/Riverspring (CDPAP)"/>
    <s v="MLTC"/>
    <x v="2"/>
    <n v="3"/>
    <n v="0"/>
    <n v="8"/>
    <n v="5"/>
  </r>
  <r>
    <n v="486"/>
    <s v="Anchor Health Choice (CDPAP)"/>
    <x v="60"/>
    <s v="VillageCare CDPAP"/>
    <s v="MCO"/>
    <x v="2"/>
    <n v="1"/>
    <n v="1"/>
    <n v="7"/>
    <n v="0"/>
  </r>
  <r>
    <n v="487"/>
    <s v="Anchor Health Choice (CDPAP)"/>
    <x v="60"/>
    <s v="SWHNY-MLTC (CDP)"/>
    <s v="Other"/>
    <x v="2"/>
    <n v="2"/>
    <n v="1"/>
    <n v="1"/>
    <n v="1"/>
  </r>
  <r>
    <n v="488"/>
    <s v="Anchor Health Choice (CDPAP)"/>
    <x v="60"/>
    <s v="Hamaspik MAP CDPAP"/>
    <s v="MCO"/>
    <x v="2"/>
    <n v="3"/>
    <n v="3"/>
    <n v="2"/>
    <n v="0"/>
  </r>
  <r>
    <n v="489"/>
    <s v="Anchor Health Choice (CDPAP)"/>
    <x v="60"/>
    <s v="Elderplan MJHS (CDP)"/>
    <s v="MLTC"/>
    <x v="2"/>
    <n v="7"/>
    <n v="3"/>
    <n v="10"/>
    <n v="2"/>
  </r>
  <r>
    <n v="490"/>
    <s v="Anchor Health Choice (CDPAP)"/>
    <x v="60"/>
    <s v="Fidelis Care (CDP)"/>
    <s v="LHCSA"/>
    <x v="2"/>
    <n v="13"/>
    <n v="13"/>
    <n v="22"/>
    <n v="4"/>
  </r>
  <r>
    <n v="491"/>
    <s v="Anchor Health Choice (CDPAP)"/>
    <x v="60"/>
    <s v="VNS Health Health Plans (CDP)"/>
    <s v="MLTC"/>
    <x v="2"/>
    <n v="10"/>
    <n v="10"/>
    <n v="31"/>
    <n v="4"/>
  </r>
  <r>
    <n v="492"/>
    <s v="Anchor Health Choice (CDPAP)"/>
    <x v="60"/>
    <s v="Healthfirst (CDP)"/>
    <s v="CHHA"/>
    <x v="2"/>
    <n v="1"/>
    <n v="1"/>
    <n v="6"/>
    <n v="2"/>
  </r>
  <r>
    <n v="493"/>
    <s v="Anchor Health Choice (CDPAP)"/>
    <x v="60"/>
    <s v="Amerigroup (Empire) CDPAP"/>
    <s v="MLTC"/>
    <x v="2"/>
    <n v="0"/>
    <n v="0"/>
    <n v="2"/>
    <n v="0"/>
  </r>
  <r>
    <n v="494"/>
    <s v="Anchor Health Choice (CDPAP)"/>
    <x v="61"/>
    <s v="Fidelis Care (CDP)"/>
    <s v="LHCSA"/>
    <x v="2"/>
    <n v="1"/>
    <n v="1"/>
    <n v="2"/>
    <n v="0"/>
  </r>
  <r>
    <n v="495"/>
    <s v="Anchor Health Choice (CDPAP)"/>
    <x v="62"/>
    <s v="Nascentia Health Options CDPAP"/>
    <s v="MLTC"/>
    <x v="2"/>
    <n v="1"/>
    <n v="1"/>
    <n v="0"/>
    <n v="0"/>
  </r>
  <r>
    <n v="496"/>
    <s v="Anchor Health Choice (CDPAP)"/>
    <x v="62"/>
    <s v="Fidelis Care (CDP)"/>
    <s v="LHCSA"/>
    <x v="2"/>
    <n v="1"/>
    <n v="1"/>
    <n v="1"/>
    <n v="0"/>
  </r>
  <r>
    <m/>
    <m/>
    <x v="0"/>
    <m/>
    <m/>
    <x v="0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12">
  <r>
    <n v="1"/>
    <x v="0"/>
    <x v="0"/>
    <s v="CHHA"/>
    <s v="CHHA"/>
    <s v="HHA1"/>
    <s v="S9122"/>
    <x v="0"/>
    <x v="0"/>
    <x v="0"/>
    <x v="0"/>
    <n v="3"/>
    <n v="48"/>
    <n v="179.25"/>
    <n v="2"/>
    <n v="10"/>
    <n v="34"/>
  </r>
  <r>
    <n v="3"/>
    <x v="1"/>
    <x v="1"/>
    <s v="MLTC"/>
    <s v="CDPAP"/>
    <s v="PA Hourly - 5 Boroughs"/>
    <s v="T1019:U6"/>
    <x v="1"/>
    <x v="1"/>
    <x v="1"/>
    <x v="1"/>
    <n v="1"/>
    <n v="10"/>
    <n v="40"/>
    <n v="0"/>
    <n v="0"/>
    <m/>
  </r>
  <r>
    <n v="6"/>
    <x v="2"/>
    <x v="2"/>
    <s v="Other"/>
    <s v="CDPAP"/>
    <s v="PA Hourly (New)"/>
    <s v="T1019:U6"/>
    <x v="1"/>
    <x v="1"/>
    <x v="1"/>
    <x v="1"/>
    <n v="1"/>
    <n v="183"/>
    <n v="1528"/>
    <n v="1"/>
    <n v="183"/>
    <n v="1528"/>
  </r>
  <r>
    <n v="7"/>
    <x v="2"/>
    <x v="3"/>
    <s v="Other"/>
    <s v="MLTC"/>
    <s v="PCA Hourly NYC"/>
    <s v="T1019:U1"/>
    <x v="2"/>
    <x v="0"/>
    <x v="2"/>
    <x v="1"/>
    <n v="1"/>
    <n v="20"/>
    <n v="155"/>
    <n v="1"/>
    <n v="20"/>
    <n v="155"/>
  </r>
  <r>
    <n v="8"/>
    <x v="2"/>
    <x v="3"/>
    <s v="Other"/>
    <s v="MLTC"/>
    <s v="RN Initial (NB)"/>
    <m/>
    <x v="3"/>
    <x v="0"/>
    <x v="2"/>
    <x v="1"/>
    <n v="1"/>
    <n v="1"/>
    <n v="1"/>
    <n v="1"/>
    <n v="1"/>
    <n v="1"/>
  </r>
  <r>
    <n v="9"/>
    <x v="3"/>
    <x v="4"/>
    <s v="CHHA"/>
    <s v="CHHA"/>
    <s v="Rate3"/>
    <m/>
    <x v="0"/>
    <x v="0"/>
    <x v="0"/>
    <x v="0"/>
    <n v="1"/>
    <n v="1"/>
    <n v="5"/>
    <n v="1"/>
    <n v="1"/>
    <n v="5"/>
  </r>
  <r>
    <n v="10"/>
    <x v="0"/>
    <x v="5"/>
    <s v="CHHA"/>
    <s v="CHHA"/>
    <s v="PedCode95"/>
    <s v="-"/>
    <x v="0"/>
    <x v="0"/>
    <x v="0"/>
    <x v="0"/>
    <n v="1"/>
    <n v="158"/>
    <n v="1278"/>
    <n v="1"/>
    <n v="158"/>
    <n v="1278"/>
  </r>
  <r>
    <n v="11"/>
    <x v="3"/>
    <x v="6"/>
    <s v="LHCSA"/>
    <s v="MLTC"/>
    <s v="RN Reassessment (NB)"/>
    <m/>
    <x v="3"/>
    <x v="0"/>
    <x v="2"/>
    <x v="1"/>
    <n v="1"/>
    <n v="2"/>
    <n v="2"/>
    <n v="1"/>
    <n v="2"/>
    <n v="2"/>
  </r>
  <r>
    <n v="12"/>
    <x v="3"/>
    <x v="6"/>
    <s v="LHCSA"/>
    <s v="MLTC"/>
    <s v="T1019:U1"/>
    <s v="T1019:U1"/>
    <x v="2"/>
    <x v="0"/>
    <x v="2"/>
    <x v="1"/>
    <n v="1"/>
    <n v="171"/>
    <n v="730"/>
    <n v="1"/>
    <n v="171"/>
    <n v="730"/>
  </r>
  <r>
    <n v="14"/>
    <x v="4"/>
    <x v="7"/>
    <s v="LHCSA"/>
    <s v="CDPAP"/>
    <s v="T1019:U6"/>
    <s v="T1019:U6"/>
    <x v="1"/>
    <x v="1"/>
    <x v="1"/>
    <x v="1"/>
    <n v="1"/>
    <n v="181"/>
    <n v="734"/>
    <n v="1"/>
    <n v="181"/>
    <n v="734"/>
  </r>
  <r>
    <n v="15"/>
    <x v="3"/>
    <x v="8"/>
    <s v="CHHA"/>
    <s v="CHHA"/>
    <s v="Rate1"/>
    <m/>
    <x v="0"/>
    <x v="0"/>
    <x v="0"/>
    <x v="0"/>
    <n v="4"/>
    <n v="128"/>
    <n v="603.25"/>
    <n v="4"/>
    <n v="128"/>
    <n v="603.25"/>
  </r>
  <r>
    <n v="16"/>
    <x v="3"/>
    <x v="9"/>
    <s v="LHCSA"/>
    <s v="Medicaid"/>
    <s v="HCSS 9795 NYC"/>
    <s v="9795"/>
    <x v="4"/>
    <x v="0"/>
    <x v="0"/>
    <x v="1"/>
    <n v="2"/>
    <n v="1033"/>
    <n v="12092.25"/>
    <n v="2"/>
    <n v="1033"/>
    <n v="12092.25"/>
  </r>
  <r>
    <n v="17"/>
    <x v="5"/>
    <x v="9"/>
    <s v="LHCSA"/>
    <s v="Medicaid"/>
    <s v="Initial RN Visit 9799 (Hourly)"/>
    <s v="9799"/>
    <x v="4"/>
    <x v="0"/>
    <x v="0"/>
    <x v="1"/>
    <n v="1"/>
    <n v="1"/>
    <n v="1"/>
    <n v="1"/>
    <n v="1"/>
    <n v="1"/>
  </r>
  <r>
    <n v="18"/>
    <x v="3"/>
    <x v="9"/>
    <s v="LHCSA"/>
    <s v="Medicaid"/>
    <s v="RN Initial (NB)"/>
    <m/>
    <x v="4"/>
    <x v="0"/>
    <x v="0"/>
    <x v="1"/>
    <n v="1"/>
    <n v="1"/>
    <n v="1"/>
    <n v="1"/>
    <n v="1"/>
    <n v="1"/>
  </r>
  <r>
    <n v="19"/>
    <x v="3"/>
    <x v="9"/>
    <s v="LHCSA"/>
    <s v="Medicaid"/>
    <s v="RN Visit 9799 (Hourly)"/>
    <s v="9799"/>
    <x v="4"/>
    <x v="0"/>
    <x v="0"/>
    <x v="1"/>
    <n v="2"/>
    <n v="2"/>
    <n v="2"/>
    <n v="2"/>
    <n v="2"/>
    <n v="2"/>
  </r>
  <r>
    <n v="20"/>
    <x v="3"/>
    <x v="10"/>
    <s v="Other"/>
    <s v="Private"/>
    <s v="PCA Hourly"/>
    <m/>
    <x v="5"/>
    <x v="0"/>
    <x v="3"/>
    <x v="1"/>
    <n v="1"/>
    <n v="5"/>
    <n v="22"/>
    <n v="1"/>
    <n v="5"/>
    <n v="22"/>
  </r>
  <r>
    <n v="21"/>
    <x v="0"/>
    <x v="11"/>
    <s v="CHHA"/>
    <s v="CHHA"/>
    <s v="Rate1"/>
    <s v="S9122"/>
    <x v="0"/>
    <x v="0"/>
    <x v="0"/>
    <x v="0"/>
    <n v="1"/>
    <n v="3"/>
    <n v="6"/>
    <n v="1"/>
    <n v="3"/>
    <n v="6"/>
  </r>
  <r>
    <n v="22"/>
    <x v="6"/>
    <x v="12"/>
    <s v="MCO"/>
    <s v="MCO"/>
    <s v="PCA Hourly Weekday"/>
    <s v="T1019:U1"/>
    <x v="4"/>
    <x v="0"/>
    <x v="0"/>
    <x v="1"/>
    <n v="7"/>
    <n v="42"/>
    <n v="181"/>
    <n v="7"/>
    <n v="42"/>
    <n v="181"/>
  </r>
  <r>
    <n v="23"/>
    <x v="6"/>
    <x v="12"/>
    <s v="MCO"/>
    <s v="MCO"/>
    <s v="RN Initial Visit-NB"/>
    <s v="T1019:U1"/>
    <x v="4"/>
    <x v="0"/>
    <x v="0"/>
    <x v="1"/>
    <n v="6"/>
    <n v="6"/>
    <n v="6"/>
    <n v="6"/>
    <n v="6"/>
    <n v="6"/>
  </r>
  <r>
    <n v="24"/>
    <x v="6"/>
    <x v="6"/>
    <s v="LHCSA"/>
    <s v="MLTC"/>
    <s v="PRN (NB)"/>
    <m/>
    <x v="3"/>
    <x v="0"/>
    <x v="2"/>
    <x v="1"/>
    <n v="4"/>
    <n v="4"/>
    <n v="4"/>
    <n v="4"/>
    <n v="4"/>
    <n v="4"/>
  </r>
  <r>
    <n v="25"/>
    <x v="6"/>
    <x v="6"/>
    <s v="LHCSA"/>
    <s v="MLTC"/>
    <s v="RN Initial (NB)"/>
    <m/>
    <x v="3"/>
    <x v="0"/>
    <x v="2"/>
    <x v="1"/>
    <n v="44"/>
    <n v="44"/>
    <n v="44"/>
    <n v="39"/>
    <n v="39"/>
    <n v="39"/>
  </r>
  <r>
    <n v="26"/>
    <x v="6"/>
    <x v="6"/>
    <s v="LHCSA"/>
    <s v="MLTC"/>
    <s v="RN Initial Assement"/>
    <s v="T2024"/>
    <x v="3"/>
    <x v="0"/>
    <x v="2"/>
    <x v="1"/>
    <n v="20"/>
    <n v="20"/>
    <n v="20"/>
    <n v="20"/>
    <n v="20"/>
    <n v="20"/>
  </r>
  <r>
    <n v="27"/>
    <x v="6"/>
    <x v="6"/>
    <s v="LHCSA"/>
    <s v="MLTC"/>
    <s v="RN Reassessment (NB)"/>
    <m/>
    <x v="3"/>
    <x v="0"/>
    <x v="2"/>
    <x v="1"/>
    <n v="31"/>
    <n v="39"/>
    <n v="39"/>
    <n v="31"/>
    <n v="39"/>
    <n v="39"/>
  </r>
  <r>
    <n v="28"/>
    <x v="6"/>
    <x v="6"/>
    <s v="LHCSA"/>
    <s v="MLTC"/>
    <s v="S5130:U1"/>
    <s v="S5130:U1::::Homemaker"/>
    <x v="6"/>
    <x v="0"/>
    <x v="2"/>
    <x v="1"/>
    <n v="5"/>
    <n v="208"/>
    <n v="609.25"/>
    <n v="5"/>
    <n v="208"/>
    <n v="609.25"/>
  </r>
  <r>
    <n v="29"/>
    <x v="6"/>
    <x v="6"/>
    <s v="LHCSA"/>
    <s v="MLTC"/>
    <s v="T1019:U1"/>
    <s v="T1019:U1"/>
    <x v="2"/>
    <x v="0"/>
    <x v="2"/>
    <x v="1"/>
    <n v="78"/>
    <n v="6460"/>
    <n v="26400.25"/>
    <n v="72"/>
    <n v="6345"/>
    <n v="25970"/>
  </r>
  <r>
    <n v="30"/>
    <x v="6"/>
    <x v="6"/>
    <s v="LHCSA"/>
    <s v="MLTC"/>
    <s v="T1019:U6"/>
    <s v="T1019:U6"/>
    <x v="1"/>
    <x v="1"/>
    <x v="1"/>
    <x v="1"/>
    <n v="1"/>
    <n v="60"/>
    <n v="315.75"/>
    <n v="1"/>
    <n v="60"/>
    <n v="315.75"/>
  </r>
  <r>
    <n v="34"/>
    <x v="6"/>
    <x v="7"/>
    <s v="LHCSA"/>
    <s v="CDPAP"/>
    <s v="RN Initial (NB)"/>
    <m/>
    <x v="3"/>
    <x v="0"/>
    <x v="2"/>
    <x v="1"/>
    <n v="2"/>
    <n v="2"/>
    <n v="2"/>
    <n v="2"/>
    <n v="2"/>
    <n v="2"/>
  </r>
  <r>
    <n v="35"/>
    <x v="6"/>
    <x v="7"/>
    <s v="LHCSA"/>
    <s v="CDPAP"/>
    <s v="T1019:U1"/>
    <s v="T1019:U1"/>
    <x v="2"/>
    <x v="0"/>
    <x v="2"/>
    <x v="1"/>
    <n v="2"/>
    <n v="21"/>
    <n v="57.25"/>
    <n v="2"/>
    <n v="21"/>
    <n v="57.25"/>
  </r>
  <r>
    <n v="36"/>
    <x v="6"/>
    <x v="7"/>
    <s v="LHCSA"/>
    <s v="CDPAP"/>
    <s v="T1019:U6"/>
    <s v="T1019:U6"/>
    <x v="1"/>
    <x v="1"/>
    <x v="1"/>
    <x v="1"/>
    <n v="69"/>
    <n v="8705"/>
    <n v="43347.75"/>
    <n v="68"/>
    <n v="8669"/>
    <n v="43104.5"/>
  </r>
  <r>
    <n v="37"/>
    <x v="6"/>
    <x v="13"/>
    <s v="MLTC"/>
    <s v="MLTC"/>
    <s v="RN Initial (NB)"/>
    <s v="G0162"/>
    <x v="3"/>
    <x v="0"/>
    <x v="2"/>
    <x v="1"/>
    <n v="1"/>
    <n v="1"/>
    <n v="1"/>
    <n v="1"/>
    <n v="1"/>
    <n v="1"/>
  </r>
  <r>
    <n v="38"/>
    <x v="6"/>
    <x v="13"/>
    <s v="MLTC"/>
    <s v="MLTC"/>
    <s v="RN Initial Assement"/>
    <s v="G0162"/>
    <x v="3"/>
    <x v="0"/>
    <x v="2"/>
    <x v="1"/>
    <n v="1"/>
    <n v="1"/>
    <n v="1"/>
    <n v="1"/>
    <n v="1"/>
    <n v="1"/>
  </r>
  <r>
    <n v="40"/>
    <x v="6"/>
    <x v="14"/>
    <s v="MLTC"/>
    <s v="CDPAP"/>
    <s v="PA Hourly"/>
    <s v="T1019:U6"/>
    <x v="1"/>
    <x v="1"/>
    <x v="1"/>
    <x v="1"/>
    <n v="19"/>
    <n v="2942"/>
    <n v="14642.5"/>
    <n v="19"/>
    <n v="2942"/>
    <n v="14642.5"/>
  </r>
  <r>
    <n v="41"/>
    <x v="6"/>
    <x v="15"/>
    <s v="MLTC"/>
    <s v="MLTC"/>
    <s v="PCA Hourly"/>
    <s v="T1019:U1"/>
    <x v="2"/>
    <x v="0"/>
    <x v="2"/>
    <x v="1"/>
    <n v="4"/>
    <n v="244"/>
    <n v="822.5"/>
    <n v="4"/>
    <n v="244"/>
    <n v="822.5"/>
  </r>
  <r>
    <n v="42"/>
    <x v="6"/>
    <x v="15"/>
    <s v="MLTC"/>
    <s v="MLTC"/>
    <s v="Rn initial assesment non billable"/>
    <m/>
    <x v="3"/>
    <x v="0"/>
    <x v="2"/>
    <x v="1"/>
    <n v="2"/>
    <n v="2"/>
    <n v="2"/>
    <n v="2"/>
    <n v="2"/>
    <n v="2"/>
  </r>
  <r>
    <n v="43"/>
    <x v="6"/>
    <x v="15"/>
    <s v="MLTC"/>
    <s v="MLTC"/>
    <s v="Rn re-assessment non billable"/>
    <m/>
    <x v="3"/>
    <x v="0"/>
    <x v="2"/>
    <x v="1"/>
    <n v="1"/>
    <n v="1"/>
    <n v="1"/>
    <n v="1"/>
    <n v="1"/>
    <n v="1"/>
  </r>
  <r>
    <n v="44"/>
    <x v="6"/>
    <x v="15"/>
    <s v="MLTC"/>
    <s v="MLTC"/>
    <s v="SN Visit Aide Supervision"/>
    <s v="T1030"/>
    <x v="7"/>
    <x v="0"/>
    <x v="2"/>
    <x v="1"/>
    <n v="1"/>
    <n v="1"/>
    <n v="1"/>
    <n v="1"/>
    <n v="1"/>
    <n v="1"/>
  </r>
  <r>
    <n v="45"/>
    <x v="6"/>
    <x v="15"/>
    <s v="MLTC"/>
    <s v="MLTC"/>
    <s v="SN Visit Aide Supervision (in active)"/>
    <s v="T1030"/>
    <x v="7"/>
    <x v="0"/>
    <x v="2"/>
    <x v="1"/>
    <n v="1"/>
    <n v="1"/>
    <n v="1"/>
    <n v="1"/>
    <n v="1"/>
    <n v="1"/>
  </r>
  <r>
    <n v="46"/>
    <x v="6"/>
    <x v="16"/>
    <s v="Other"/>
    <s v="Insurance"/>
    <s v="PCA Hourly"/>
    <m/>
    <x v="5"/>
    <x v="0"/>
    <x v="3"/>
    <x v="1"/>
    <n v="2"/>
    <n v="3"/>
    <n v="2.5"/>
    <n v="2"/>
    <n v="3"/>
    <n v="2.5"/>
  </r>
  <r>
    <n v="47"/>
    <x v="6"/>
    <x v="10"/>
    <s v="Other"/>
    <s v="Private"/>
    <s v="PCA Hourly"/>
    <m/>
    <x v="5"/>
    <x v="0"/>
    <x v="3"/>
    <x v="1"/>
    <n v="1"/>
    <n v="4"/>
    <n v="8"/>
    <n v="1"/>
    <n v="4"/>
    <n v="8"/>
  </r>
  <r>
    <n v="48"/>
    <x v="6"/>
    <x v="17"/>
    <s v="Other"/>
    <s v="Private"/>
    <s v="PCA Hourly"/>
    <m/>
    <x v="5"/>
    <x v="0"/>
    <x v="3"/>
    <x v="1"/>
    <n v="1"/>
    <n v="149"/>
    <n v="301.5"/>
    <n v="1"/>
    <n v="149"/>
    <n v="301.5"/>
  </r>
  <r>
    <n v="49"/>
    <x v="6"/>
    <x v="17"/>
    <s v="Other"/>
    <s v="Private"/>
    <s v="RN Initial (NB)"/>
    <m/>
    <x v="5"/>
    <x v="0"/>
    <x v="3"/>
    <x v="1"/>
    <n v="1"/>
    <n v="1"/>
    <n v="1"/>
    <n v="1"/>
    <n v="1"/>
    <n v="1"/>
  </r>
  <r>
    <n v="50"/>
    <x v="6"/>
    <x v="17"/>
    <s v="Other"/>
    <s v="Private"/>
    <s v="RN Reassessment (NB)"/>
    <m/>
    <x v="5"/>
    <x v="0"/>
    <x v="3"/>
    <x v="1"/>
    <n v="1"/>
    <n v="1"/>
    <n v="0.5"/>
    <n v="1"/>
    <n v="1"/>
    <n v="1"/>
  </r>
  <r>
    <n v="52"/>
    <x v="6"/>
    <x v="18"/>
    <s v="MLTC"/>
    <s v="MLTC"/>
    <s v="PRN (NB)"/>
    <m/>
    <x v="3"/>
    <x v="0"/>
    <x v="2"/>
    <x v="1"/>
    <n v="3"/>
    <n v="3"/>
    <n v="3"/>
    <n v="3"/>
    <n v="3"/>
    <n v="3"/>
  </r>
  <r>
    <n v="53"/>
    <x v="6"/>
    <x v="18"/>
    <s v="MLTC"/>
    <s v="MLTC"/>
    <s v="RN - Initial Visit"/>
    <m/>
    <x v="3"/>
    <x v="0"/>
    <x v="2"/>
    <x v="1"/>
    <n v="1"/>
    <n v="1"/>
    <n v="1"/>
    <n v="1"/>
    <n v="1"/>
    <n v="1"/>
  </r>
  <r>
    <n v="54"/>
    <x v="6"/>
    <x v="18"/>
    <s v="MLTC"/>
    <s v="MLTC"/>
    <s v="RN Initial (NB)"/>
    <m/>
    <x v="3"/>
    <x v="0"/>
    <x v="2"/>
    <x v="1"/>
    <n v="58"/>
    <n v="58"/>
    <n v="58"/>
    <n v="51"/>
    <n v="51"/>
    <n v="51"/>
  </r>
  <r>
    <n v="55"/>
    <x v="6"/>
    <x v="18"/>
    <s v="MLTC"/>
    <s v="MLTC"/>
    <s v="RN Reassessment (NB)"/>
    <m/>
    <x v="3"/>
    <x v="0"/>
    <x v="2"/>
    <x v="1"/>
    <n v="33"/>
    <n v="39"/>
    <n v="39"/>
    <n v="31"/>
    <n v="37"/>
    <n v="37"/>
  </r>
  <r>
    <n v="56"/>
    <x v="6"/>
    <x v="18"/>
    <s v="MLTC"/>
    <s v="MLTC"/>
    <s v="T1019U1 ALB"/>
    <s v="T1019:U1"/>
    <x v="2"/>
    <x v="0"/>
    <x v="2"/>
    <x v="1"/>
    <n v="77"/>
    <n v="6431"/>
    <n v="31750"/>
    <n v="68"/>
    <n v="6042"/>
    <n v="29983"/>
  </r>
  <r>
    <n v="61"/>
    <x v="6"/>
    <x v="19"/>
    <s v="MLTC"/>
    <s v="CDPAP"/>
    <s v="T1019U1 ALB"/>
    <s v="T1019:U1"/>
    <x v="2"/>
    <x v="0"/>
    <x v="2"/>
    <x v="1"/>
    <n v="1"/>
    <n v="1"/>
    <n v="1"/>
    <n v="1"/>
    <n v="1"/>
    <n v="1"/>
  </r>
  <r>
    <n v="62"/>
    <x v="6"/>
    <x v="19"/>
    <s v="MLTC"/>
    <s v="CDPAP"/>
    <s v="T1019U6 ALB"/>
    <s v="T1019:U6"/>
    <x v="1"/>
    <x v="1"/>
    <x v="1"/>
    <x v="1"/>
    <n v="77"/>
    <n v="12450"/>
    <n v="52281.5"/>
    <n v="75"/>
    <n v="12374"/>
    <n v="52110"/>
  </r>
  <r>
    <n v="63"/>
    <x v="6"/>
    <x v="19"/>
    <s v="MLTC"/>
    <s v="CDPAP"/>
    <s v="T1019U6 ALB MAP"/>
    <s v="T1019:U6"/>
    <x v="1"/>
    <x v="1"/>
    <x v="1"/>
    <x v="1"/>
    <n v="1"/>
    <n v="43"/>
    <n v="220.5"/>
    <n v="1"/>
    <n v="43"/>
    <n v="220.5"/>
  </r>
  <r>
    <n v="64"/>
    <x v="6"/>
    <x v="19"/>
    <s v="MLTC"/>
    <s v="CDPAP"/>
    <s v="T1019U6 K"/>
    <s v="T1019:U6"/>
    <x v="1"/>
    <x v="1"/>
    <x v="1"/>
    <x v="1"/>
    <n v="1"/>
    <n v="308"/>
    <n v="805.75"/>
    <n v="1"/>
    <n v="308"/>
    <n v="805.75"/>
  </r>
  <r>
    <n v="65"/>
    <x v="6"/>
    <x v="19"/>
    <s v="MLTC"/>
    <s v="CDPAP"/>
    <s v="T1019U6 REN"/>
    <s v="T1019:U6"/>
    <x v="1"/>
    <x v="1"/>
    <x v="1"/>
    <x v="1"/>
    <n v="1"/>
    <n v="359"/>
    <n v="1097.25"/>
    <n v="1"/>
    <n v="359"/>
    <n v="1097.25"/>
  </r>
  <r>
    <n v="66"/>
    <x v="6"/>
    <x v="20"/>
    <s v="LHCSA"/>
    <s v="MLTC"/>
    <s v="PCA Hourly"/>
    <s v="T1019:U1"/>
    <x v="2"/>
    <x v="0"/>
    <x v="2"/>
    <x v="1"/>
    <n v="2"/>
    <n v="21"/>
    <n v="85.5"/>
    <n v="1"/>
    <n v="7"/>
    <n v="17.5"/>
  </r>
  <r>
    <n v="67"/>
    <x v="6"/>
    <x v="20"/>
    <s v="LHCSA"/>
    <s v="MLTC"/>
    <s v="RN Initial (NB)"/>
    <m/>
    <x v="3"/>
    <x v="0"/>
    <x v="2"/>
    <x v="1"/>
    <n v="1"/>
    <n v="1"/>
    <n v="1"/>
    <n v="0"/>
    <n v="0"/>
    <n v="0"/>
  </r>
  <r>
    <n v="69"/>
    <x v="7"/>
    <x v="7"/>
    <s v="LHCSA"/>
    <s v="CDPAP"/>
    <s v="T1019:U6"/>
    <s v="T1019:U6"/>
    <x v="1"/>
    <x v="1"/>
    <x v="1"/>
    <x v="1"/>
    <n v="3"/>
    <n v="330"/>
    <n v="1833.5"/>
    <n v="3"/>
    <n v="330"/>
    <n v="1833.5"/>
  </r>
  <r>
    <n v="71"/>
    <x v="7"/>
    <x v="14"/>
    <s v="MLTC"/>
    <s v="CDPAP"/>
    <s v="PA Hourly"/>
    <s v="T1019:U6"/>
    <x v="1"/>
    <x v="1"/>
    <x v="1"/>
    <x v="1"/>
    <n v="1"/>
    <n v="181"/>
    <n v="520.5"/>
    <n v="1"/>
    <n v="181"/>
    <n v="520.5"/>
  </r>
  <r>
    <n v="72"/>
    <x v="5"/>
    <x v="0"/>
    <s v="CHHA"/>
    <s v="CHHA"/>
    <s v="HHA1"/>
    <s v="S9122"/>
    <x v="0"/>
    <x v="0"/>
    <x v="0"/>
    <x v="0"/>
    <n v="16"/>
    <n v="285"/>
    <n v="1098.5"/>
    <n v="11"/>
    <n v="162"/>
    <n v="612.25"/>
  </r>
  <r>
    <n v="73"/>
    <x v="5"/>
    <x v="0"/>
    <s v="CHHA"/>
    <s v="CHHA"/>
    <s v="HHAPEDSV"/>
    <s v="S9122"/>
    <x v="0"/>
    <x v="0"/>
    <x v="0"/>
    <x v="0"/>
    <n v="238"/>
    <n v="33641"/>
    <n v="232792.25"/>
    <n v="218"/>
    <n v="32623"/>
    <n v="226018.5"/>
  </r>
  <r>
    <n v="74"/>
    <x v="5"/>
    <x v="21"/>
    <s v="MCO"/>
    <s v="Medicaid"/>
    <s v="PCA HOURLY"/>
    <s v="T1019:U1"/>
    <x v="2"/>
    <x v="0"/>
    <x v="2"/>
    <x v="1"/>
    <n v="2"/>
    <n v="127"/>
    <n v="691.75"/>
    <n v="2"/>
    <n v="127"/>
    <n v="691.75"/>
  </r>
  <r>
    <n v="75"/>
    <x v="5"/>
    <x v="22"/>
    <s v="MCO"/>
    <s v="CDPAP"/>
    <s v="PA Hourly"/>
    <s v="T1019:U6"/>
    <x v="1"/>
    <x v="1"/>
    <x v="1"/>
    <x v="1"/>
    <n v="3"/>
    <n v="351"/>
    <n v="2018"/>
    <n v="3"/>
    <n v="351"/>
    <n v="2018"/>
  </r>
  <r>
    <n v="76"/>
    <x v="5"/>
    <x v="23"/>
    <s v="MCO"/>
    <s v="MLTC"/>
    <s v="PCA Hourly"/>
    <s v="T1019:U1"/>
    <x v="2"/>
    <x v="0"/>
    <x v="2"/>
    <x v="1"/>
    <n v="6"/>
    <n v="830"/>
    <n v="6828.75"/>
    <n v="6"/>
    <n v="830"/>
    <n v="6828.75"/>
  </r>
  <r>
    <n v="77"/>
    <x v="5"/>
    <x v="23"/>
    <s v="MCO"/>
    <s v="MLTC"/>
    <s v="PRN (NB)"/>
    <m/>
    <x v="3"/>
    <x v="0"/>
    <x v="2"/>
    <x v="1"/>
    <n v="1"/>
    <n v="3"/>
    <n v="3"/>
    <n v="1"/>
    <n v="3"/>
    <n v="3"/>
  </r>
  <r>
    <n v="78"/>
    <x v="5"/>
    <x v="23"/>
    <s v="MCO"/>
    <s v="MLTC"/>
    <s v="RN Initial (NB)"/>
    <m/>
    <x v="3"/>
    <x v="0"/>
    <x v="2"/>
    <x v="1"/>
    <n v="1"/>
    <n v="1"/>
    <n v="1"/>
    <n v="1"/>
    <n v="1"/>
    <n v="1"/>
  </r>
  <r>
    <n v="79"/>
    <x v="5"/>
    <x v="23"/>
    <s v="MCO"/>
    <s v="MLTC"/>
    <s v="RN Reassessment (NB)"/>
    <m/>
    <x v="3"/>
    <x v="0"/>
    <x v="2"/>
    <x v="1"/>
    <n v="3"/>
    <n v="3"/>
    <n v="3"/>
    <n v="3"/>
    <n v="3"/>
    <n v="3"/>
  </r>
  <r>
    <n v="80"/>
    <x v="5"/>
    <x v="24"/>
    <s v="MCO"/>
    <s v="MCO"/>
    <s v="PA Hourly"/>
    <s v="T1019:U6"/>
    <x v="1"/>
    <x v="1"/>
    <x v="1"/>
    <x v="1"/>
    <n v="1"/>
    <n v="42"/>
    <n v="248.5"/>
    <n v="1"/>
    <n v="42"/>
    <n v="248.5"/>
  </r>
  <r>
    <n v="81"/>
    <x v="5"/>
    <x v="25"/>
    <s v="CHHA"/>
    <s v="CHHA"/>
    <s v="HHA Hourly"/>
    <s v="HH11"/>
    <x v="0"/>
    <x v="0"/>
    <x v="0"/>
    <x v="0"/>
    <n v="1"/>
    <n v="4"/>
    <n v="15.5"/>
    <n v="1"/>
    <n v="4"/>
    <n v="15.5"/>
  </r>
  <r>
    <n v="82"/>
    <x v="5"/>
    <x v="26"/>
    <s v="Other"/>
    <s v="MLTC"/>
    <s v="T1019:U1"/>
    <s v="T1019:U1"/>
    <x v="4"/>
    <x v="0"/>
    <x v="0"/>
    <x v="1"/>
    <n v="1"/>
    <n v="1"/>
    <n v="5"/>
    <n v="1"/>
    <n v="1"/>
    <n v="5"/>
  </r>
  <r>
    <n v="83"/>
    <x v="5"/>
    <x v="27"/>
    <s v="Other"/>
    <s v="CDPAP"/>
    <s v="T1019:U6"/>
    <s v="T1019:U6"/>
    <x v="4"/>
    <x v="0"/>
    <x v="0"/>
    <x v="1"/>
    <n v="2"/>
    <n v="588"/>
    <n v="3076.75"/>
    <n v="2"/>
    <n v="588"/>
    <n v="3076.75"/>
  </r>
  <r>
    <n v="84"/>
    <x v="5"/>
    <x v="28"/>
    <s v="MLTC"/>
    <s v="MLTC"/>
    <s v="PCA Hourly"/>
    <s v="T1019:U1"/>
    <x v="2"/>
    <x v="0"/>
    <x v="2"/>
    <x v="1"/>
    <n v="45"/>
    <n v="6328"/>
    <n v="31502.75"/>
    <n v="41"/>
    <n v="6182"/>
    <n v="30943.25"/>
  </r>
  <r>
    <n v="85"/>
    <x v="5"/>
    <x v="28"/>
    <s v="MLTC"/>
    <s v="MLTC"/>
    <s v="PRN (NB)"/>
    <m/>
    <x v="3"/>
    <x v="0"/>
    <x v="2"/>
    <x v="1"/>
    <n v="2"/>
    <n v="2"/>
    <n v="2"/>
    <n v="2"/>
    <n v="2"/>
    <n v="2"/>
  </r>
  <r>
    <n v="86"/>
    <x v="5"/>
    <x v="28"/>
    <s v="MLTC"/>
    <s v="MLTC"/>
    <s v="RN Initial (NB)"/>
    <m/>
    <x v="3"/>
    <x v="0"/>
    <x v="2"/>
    <x v="1"/>
    <n v="19"/>
    <n v="19"/>
    <n v="19"/>
    <n v="16"/>
    <n v="16"/>
    <n v="16"/>
  </r>
  <r>
    <n v="87"/>
    <x v="5"/>
    <x v="28"/>
    <s v="MLTC"/>
    <s v="MLTC"/>
    <s v="RN Reassessment (NB)"/>
    <m/>
    <x v="3"/>
    <x v="0"/>
    <x v="2"/>
    <x v="1"/>
    <n v="25"/>
    <n v="39"/>
    <n v="39"/>
    <n v="25"/>
    <n v="39"/>
    <n v="39"/>
  </r>
  <r>
    <n v="91"/>
    <x v="5"/>
    <x v="1"/>
    <s v="MLTC"/>
    <s v="CDPAP"/>
    <s v="PA Hourly - 5 Boroughs"/>
    <s v="T1019:U6"/>
    <x v="1"/>
    <x v="1"/>
    <x v="1"/>
    <x v="1"/>
    <n v="52"/>
    <n v="9543"/>
    <n v="36531.5"/>
    <n v="50"/>
    <n v="9437"/>
    <n v="36049.25"/>
  </r>
  <r>
    <n v="92"/>
    <x v="5"/>
    <x v="29"/>
    <s v="MLTC"/>
    <s v="MLTC"/>
    <s v="RN Initial (NB)"/>
    <m/>
    <x v="3"/>
    <x v="0"/>
    <x v="2"/>
    <x v="1"/>
    <n v="26"/>
    <n v="27"/>
    <n v="27"/>
    <n v="25"/>
    <n v="26"/>
    <n v="26"/>
  </r>
  <r>
    <n v="93"/>
    <x v="5"/>
    <x v="29"/>
    <s v="MLTC"/>
    <s v="MLTC"/>
    <s v="RN Reassessment (NB)"/>
    <m/>
    <x v="3"/>
    <x v="0"/>
    <x v="2"/>
    <x v="1"/>
    <n v="13"/>
    <n v="15"/>
    <n v="15"/>
    <n v="13"/>
    <n v="15"/>
    <n v="15"/>
  </r>
  <r>
    <n v="94"/>
    <x v="5"/>
    <x v="29"/>
    <s v="MLTC"/>
    <s v="MLTC"/>
    <s v="T1019:U1"/>
    <s v="T1019:U1"/>
    <x v="2"/>
    <x v="0"/>
    <x v="2"/>
    <x v="1"/>
    <n v="36"/>
    <n v="3731"/>
    <n v="17403.75"/>
    <n v="34"/>
    <n v="3614"/>
    <n v="16368"/>
  </r>
  <r>
    <n v="97"/>
    <x v="5"/>
    <x v="30"/>
    <s v="MLTC"/>
    <s v="CDPAP"/>
    <s v="T1019:U6"/>
    <s v="T1019:U6"/>
    <x v="1"/>
    <x v="1"/>
    <x v="1"/>
    <x v="1"/>
    <n v="20"/>
    <n v="3354"/>
    <n v="16185.25"/>
    <n v="17"/>
    <n v="3211"/>
    <n v="15546"/>
  </r>
  <r>
    <n v="98"/>
    <x v="5"/>
    <x v="30"/>
    <s v="MLTC"/>
    <s v="CDPAP"/>
    <s v="T1019:U6 MAP"/>
    <s v="T1019:U6"/>
    <x v="1"/>
    <x v="1"/>
    <x v="1"/>
    <x v="1"/>
    <n v="2"/>
    <n v="83"/>
    <n v="497"/>
    <n v="2"/>
    <n v="83"/>
    <n v="497"/>
  </r>
  <r>
    <n v="101"/>
    <x v="5"/>
    <x v="31"/>
    <s v="MLTC"/>
    <s v="CDPAP"/>
    <s v="PA Hourly"/>
    <s v="T1019:U6"/>
    <x v="1"/>
    <x v="1"/>
    <x v="1"/>
    <x v="1"/>
    <n v="8"/>
    <n v="1602"/>
    <n v="10031.25"/>
    <n v="6"/>
    <n v="1347"/>
    <n v="7930.25"/>
  </r>
  <r>
    <n v="102"/>
    <x v="5"/>
    <x v="32"/>
    <s v="MLTC"/>
    <s v="MLTC"/>
    <s v="PCA Hourly NYC"/>
    <s v="T1019:U1"/>
    <x v="2"/>
    <x v="0"/>
    <x v="2"/>
    <x v="1"/>
    <n v="4"/>
    <n v="219"/>
    <n v="1379.75"/>
    <n v="4"/>
    <n v="219"/>
    <n v="1379.75"/>
  </r>
  <r>
    <n v="103"/>
    <x v="5"/>
    <x v="32"/>
    <s v="MLTC"/>
    <s v="MLTC"/>
    <s v="RN Initial (NB)"/>
    <m/>
    <x v="3"/>
    <x v="0"/>
    <x v="2"/>
    <x v="1"/>
    <n v="4"/>
    <n v="4"/>
    <n v="4"/>
    <n v="4"/>
    <n v="4"/>
    <n v="4"/>
  </r>
  <r>
    <n v="106"/>
    <x v="5"/>
    <x v="2"/>
    <s v="Other"/>
    <s v="CDPAP"/>
    <s v="PA Hourly (New)"/>
    <s v="T1019:U6"/>
    <x v="1"/>
    <x v="1"/>
    <x v="1"/>
    <x v="1"/>
    <n v="36"/>
    <n v="6798"/>
    <n v="39980.25"/>
    <n v="35"/>
    <n v="6648"/>
    <n v="39088.25"/>
  </r>
  <r>
    <n v="107"/>
    <x v="5"/>
    <x v="3"/>
    <s v="Other"/>
    <s v="MLTC"/>
    <s v="PCA Hourly NYC"/>
    <s v="T1019:U1"/>
    <x v="2"/>
    <x v="0"/>
    <x v="2"/>
    <x v="1"/>
    <n v="28"/>
    <n v="3400"/>
    <n v="20283.5"/>
    <n v="28"/>
    <n v="3400"/>
    <n v="20283.5"/>
  </r>
  <r>
    <n v="108"/>
    <x v="5"/>
    <x v="3"/>
    <s v="Other"/>
    <s v="MLTC"/>
    <s v="PCA Live In"/>
    <s v="T1020"/>
    <x v="8"/>
    <x v="0"/>
    <x v="2"/>
    <x v="1"/>
    <n v="2"/>
    <n v="594"/>
    <n v="7722"/>
    <n v="2"/>
    <n v="594"/>
    <n v="7722"/>
  </r>
  <r>
    <n v="109"/>
    <x v="5"/>
    <x v="3"/>
    <s v="Other"/>
    <s v="MLTC"/>
    <s v="RN Initial (NB)"/>
    <m/>
    <x v="3"/>
    <x v="0"/>
    <x v="2"/>
    <x v="1"/>
    <n v="16"/>
    <n v="17"/>
    <n v="17"/>
    <n v="16"/>
    <n v="17"/>
    <n v="17"/>
  </r>
  <r>
    <n v="110"/>
    <x v="5"/>
    <x v="3"/>
    <s v="Other"/>
    <s v="MLTC"/>
    <s v="RN Reassessment (NB)"/>
    <m/>
    <x v="3"/>
    <x v="0"/>
    <x v="2"/>
    <x v="1"/>
    <n v="20"/>
    <n v="28"/>
    <n v="28"/>
    <n v="20"/>
    <n v="28"/>
    <n v="28"/>
  </r>
  <r>
    <n v="111"/>
    <x v="5"/>
    <x v="4"/>
    <s v="CHHA"/>
    <s v="CHHA"/>
    <s v="Rate3"/>
    <m/>
    <x v="0"/>
    <x v="0"/>
    <x v="0"/>
    <x v="0"/>
    <n v="44"/>
    <n v="6417"/>
    <n v="35497.25"/>
    <n v="43"/>
    <n v="6346"/>
    <n v="35020.25"/>
  </r>
  <r>
    <n v="112"/>
    <x v="5"/>
    <x v="5"/>
    <s v="CHHA"/>
    <s v="CHHA"/>
    <s v="PedCode95"/>
    <s v="-"/>
    <x v="0"/>
    <x v="0"/>
    <x v="0"/>
    <x v="0"/>
    <n v="44"/>
    <n v="4731"/>
    <n v="29662.25"/>
    <n v="42"/>
    <n v="4692"/>
    <n v="29494.5"/>
  </r>
  <r>
    <n v="113"/>
    <x v="5"/>
    <x v="5"/>
    <s v="CHHA"/>
    <s v="CHHA"/>
    <s v="Rate1"/>
    <m/>
    <x v="0"/>
    <x v="0"/>
    <x v="0"/>
    <x v="0"/>
    <n v="76"/>
    <n v="5561"/>
    <n v="24434.25"/>
    <n v="66"/>
    <n v="5304"/>
    <n v="23444"/>
  </r>
  <r>
    <n v="115"/>
    <x v="5"/>
    <x v="6"/>
    <s v="LHCSA"/>
    <s v="MLTC"/>
    <s v="PRN (NB)"/>
    <m/>
    <x v="3"/>
    <x v="0"/>
    <x v="2"/>
    <x v="1"/>
    <n v="2"/>
    <n v="2"/>
    <n v="2"/>
    <n v="1"/>
    <n v="1"/>
    <n v="1"/>
  </r>
  <r>
    <n v="116"/>
    <x v="5"/>
    <x v="6"/>
    <s v="LHCSA"/>
    <s v="MLTC"/>
    <s v="RN Initial (NB)"/>
    <m/>
    <x v="3"/>
    <x v="0"/>
    <x v="2"/>
    <x v="1"/>
    <n v="50"/>
    <n v="50"/>
    <n v="50"/>
    <n v="42"/>
    <n v="42"/>
    <n v="42"/>
  </r>
  <r>
    <n v="117"/>
    <x v="5"/>
    <x v="6"/>
    <s v="LHCSA"/>
    <s v="MLTC"/>
    <s v="RN Initial Assement"/>
    <s v="T2024"/>
    <x v="3"/>
    <x v="0"/>
    <x v="2"/>
    <x v="1"/>
    <n v="14"/>
    <n v="14"/>
    <n v="14"/>
    <n v="13"/>
    <n v="13"/>
    <n v="13"/>
  </r>
  <r>
    <n v="118"/>
    <x v="5"/>
    <x v="6"/>
    <s v="LHCSA"/>
    <s v="MLTC"/>
    <s v="RN Reassessment (NB)"/>
    <m/>
    <x v="3"/>
    <x v="0"/>
    <x v="2"/>
    <x v="1"/>
    <n v="35"/>
    <n v="47"/>
    <n v="47"/>
    <n v="35"/>
    <n v="47"/>
    <n v="47"/>
  </r>
  <r>
    <n v="119"/>
    <x v="5"/>
    <x v="6"/>
    <s v="LHCSA"/>
    <s v="MLTC"/>
    <s v="S5130:U1"/>
    <s v="S5130:U1::::Homemaker"/>
    <x v="6"/>
    <x v="0"/>
    <x v="2"/>
    <x v="1"/>
    <n v="2"/>
    <n v="47"/>
    <n v="169.75"/>
    <n v="2"/>
    <n v="47"/>
    <n v="169.75"/>
  </r>
  <r>
    <n v="120"/>
    <x v="5"/>
    <x v="6"/>
    <s v="LHCSA"/>
    <s v="MLTC"/>
    <s v="T1019:U1"/>
    <s v="T1019:U1"/>
    <x v="2"/>
    <x v="0"/>
    <x v="2"/>
    <x v="1"/>
    <n v="96"/>
    <n v="7180"/>
    <n v="34459"/>
    <n v="81"/>
    <n v="6736"/>
    <n v="32102.5"/>
  </r>
  <r>
    <n v="121"/>
    <x v="5"/>
    <x v="6"/>
    <s v="LHCSA"/>
    <s v="MLTC"/>
    <s v="T1019:U6"/>
    <s v="T1019:U6"/>
    <x v="1"/>
    <x v="1"/>
    <x v="1"/>
    <x v="1"/>
    <n v="1"/>
    <n v="8"/>
    <n v="40"/>
    <n v="1"/>
    <n v="8"/>
    <n v="40"/>
  </r>
  <r>
    <n v="122"/>
    <x v="5"/>
    <x v="6"/>
    <s v="LHCSA"/>
    <s v="MLTC"/>
    <s v="T1020"/>
    <s v="T1020"/>
    <x v="8"/>
    <x v="0"/>
    <x v="2"/>
    <x v="1"/>
    <n v="3"/>
    <n v="348"/>
    <n v="4524"/>
    <n v="3"/>
    <n v="348"/>
    <n v="4524"/>
  </r>
  <r>
    <n v="127"/>
    <x v="5"/>
    <x v="7"/>
    <s v="LHCSA"/>
    <s v="CDPAP"/>
    <s v="RN Initial Assement"/>
    <m/>
    <x v="3"/>
    <x v="0"/>
    <x v="2"/>
    <x v="1"/>
    <n v="1"/>
    <n v="1"/>
    <n v="1"/>
    <n v="1"/>
    <n v="1"/>
    <n v="1"/>
  </r>
  <r>
    <n v="128"/>
    <x v="5"/>
    <x v="7"/>
    <s v="LHCSA"/>
    <s v="CDPAP"/>
    <s v="T1019:U1"/>
    <s v="T1019:U1"/>
    <x v="2"/>
    <x v="0"/>
    <x v="2"/>
    <x v="1"/>
    <n v="1"/>
    <n v="6"/>
    <n v="22"/>
    <n v="1"/>
    <n v="6"/>
    <n v="22"/>
  </r>
  <r>
    <n v="129"/>
    <x v="5"/>
    <x v="7"/>
    <s v="LHCSA"/>
    <s v="CDPAP"/>
    <s v="T1019:U6"/>
    <s v="T1019:U6"/>
    <x v="1"/>
    <x v="1"/>
    <x v="1"/>
    <x v="1"/>
    <n v="91"/>
    <n v="12522"/>
    <n v="56128.25"/>
    <n v="88"/>
    <n v="12213"/>
    <n v="54710.75"/>
  </r>
  <r>
    <n v="130"/>
    <x v="5"/>
    <x v="7"/>
    <s v="LHCSA"/>
    <s v="CDPAP"/>
    <s v="T1020:U6"/>
    <s v="T1020:U6"/>
    <x v="9"/>
    <x v="1"/>
    <x v="1"/>
    <x v="1"/>
    <n v="1"/>
    <n v="365"/>
    <n v="4745"/>
    <n v="1"/>
    <n v="365"/>
    <n v="4745"/>
  </r>
  <r>
    <n v="131"/>
    <x v="5"/>
    <x v="13"/>
    <s v="MLTC"/>
    <s v="MLTC"/>
    <s v="PCA Hourly"/>
    <s v="T1019:U1"/>
    <x v="2"/>
    <x v="0"/>
    <x v="2"/>
    <x v="1"/>
    <n v="2"/>
    <n v="14"/>
    <n v="53"/>
    <n v="1"/>
    <n v="1"/>
    <n v="1"/>
  </r>
  <r>
    <n v="132"/>
    <x v="5"/>
    <x v="13"/>
    <s v="MLTC"/>
    <s v="MLTC"/>
    <s v="RN Initial (NB)"/>
    <s v="G0162"/>
    <x v="3"/>
    <x v="0"/>
    <x v="2"/>
    <x v="1"/>
    <n v="2"/>
    <n v="2"/>
    <n v="2"/>
    <n v="1"/>
    <n v="1"/>
    <n v="1"/>
  </r>
  <r>
    <n v="133"/>
    <x v="5"/>
    <x v="13"/>
    <s v="MLTC"/>
    <s v="MLTC"/>
    <s v="Rn initial assement"/>
    <s v="G0162"/>
    <x v="3"/>
    <x v="0"/>
    <x v="2"/>
    <x v="1"/>
    <n v="7"/>
    <n v="7"/>
    <n v="7"/>
    <n v="7"/>
    <n v="7"/>
    <n v="7"/>
  </r>
  <r>
    <n v="134"/>
    <x v="5"/>
    <x v="13"/>
    <s v="MLTC"/>
    <s v="MLTC"/>
    <s v="RN Reassessment (NB)"/>
    <m/>
    <x v="3"/>
    <x v="0"/>
    <x v="2"/>
    <x v="1"/>
    <n v="1"/>
    <n v="1"/>
    <n v="1"/>
    <n v="1"/>
    <n v="1"/>
    <n v="1"/>
  </r>
  <r>
    <n v="137"/>
    <x v="5"/>
    <x v="33"/>
    <s v="MCO"/>
    <s v="CDPAP"/>
    <s v="PA Hourly NYC , Nassau, Westchester"/>
    <s v="T1019:U6"/>
    <x v="1"/>
    <x v="1"/>
    <x v="1"/>
    <x v="1"/>
    <n v="4"/>
    <n v="1065"/>
    <n v="4956.75"/>
    <n v="4"/>
    <n v="1065"/>
    <n v="4956.75"/>
  </r>
  <r>
    <n v="140"/>
    <x v="5"/>
    <x v="34"/>
    <s v="MLTC"/>
    <s v="MLTC"/>
    <s v="PCA Hourly"/>
    <s v="T1019:U1"/>
    <x v="2"/>
    <x v="0"/>
    <x v="2"/>
    <x v="1"/>
    <n v="4"/>
    <n v="628"/>
    <n v="2389.25"/>
    <n v="4"/>
    <n v="628"/>
    <n v="2389.25"/>
  </r>
  <r>
    <n v="141"/>
    <x v="5"/>
    <x v="34"/>
    <s v="MLTC"/>
    <s v="MLTC"/>
    <s v="PCA Live In"/>
    <s v="T1020"/>
    <x v="8"/>
    <x v="0"/>
    <x v="2"/>
    <x v="1"/>
    <n v="1"/>
    <n v="10"/>
    <n v="130"/>
    <n v="1"/>
    <n v="10"/>
    <n v="130"/>
  </r>
  <r>
    <n v="142"/>
    <x v="5"/>
    <x v="34"/>
    <s v="MLTC"/>
    <s v="MLTC"/>
    <s v="RN Initial (NB)"/>
    <m/>
    <x v="3"/>
    <x v="0"/>
    <x v="2"/>
    <x v="1"/>
    <n v="4"/>
    <n v="4"/>
    <n v="4"/>
    <n v="4"/>
    <n v="4"/>
    <n v="4"/>
  </r>
  <r>
    <n v="143"/>
    <x v="5"/>
    <x v="34"/>
    <s v="MLTC"/>
    <s v="MLTC"/>
    <s v="RN Reassessment (NB)"/>
    <m/>
    <x v="3"/>
    <x v="0"/>
    <x v="2"/>
    <x v="1"/>
    <n v="2"/>
    <n v="2"/>
    <n v="2"/>
    <n v="2"/>
    <n v="2"/>
    <n v="2"/>
  </r>
  <r>
    <n v="146"/>
    <x v="5"/>
    <x v="35"/>
    <s v="MCO"/>
    <s v="CDPAP"/>
    <s v="PA Hourly (NYC, LI, &amp; Westchester)"/>
    <s v="T1019:U6"/>
    <x v="1"/>
    <x v="1"/>
    <x v="1"/>
    <x v="1"/>
    <n v="4"/>
    <n v="731"/>
    <n v="3622.25"/>
    <n v="4"/>
    <n v="731"/>
    <n v="3622.25"/>
  </r>
  <r>
    <n v="149"/>
    <x v="5"/>
    <x v="36"/>
    <s v="MCO"/>
    <s v="MLTC"/>
    <s v="PCA Hourly"/>
    <s v="T1019:U1"/>
    <x v="2"/>
    <x v="0"/>
    <x v="2"/>
    <x v="1"/>
    <n v="9"/>
    <n v="711"/>
    <n v="3766.25"/>
    <n v="9"/>
    <n v="711"/>
    <n v="3766.25"/>
  </r>
  <r>
    <n v="150"/>
    <x v="5"/>
    <x v="36"/>
    <s v="MCO"/>
    <s v="MLTC"/>
    <s v="PRN (NB)"/>
    <m/>
    <x v="3"/>
    <x v="0"/>
    <x v="2"/>
    <x v="1"/>
    <n v="1"/>
    <n v="2"/>
    <n v="2"/>
    <n v="1"/>
    <n v="2"/>
    <n v="2"/>
  </r>
  <r>
    <n v="151"/>
    <x v="5"/>
    <x v="36"/>
    <s v="MCO"/>
    <s v="MLTC"/>
    <s v="RN Initial (NB)"/>
    <m/>
    <x v="3"/>
    <x v="0"/>
    <x v="2"/>
    <x v="1"/>
    <n v="7"/>
    <n v="7"/>
    <n v="7"/>
    <n v="7"/>
    <n v="7"/>
    <n v="7"/>
  </r>
  <r>
    <n v="152"/>
    <x v="5"/>
    <x v="36"/>
    <s v="MCO"/>
    <s v="MLTC"/>
    <s v="RN Reassessment (NB)"/>
    <m/>
    <x v="3"/>
    <x v="0"/>
    <x v="2"/>
    <x v="1"/>
    <n v="1"/>
    <n v="1"/>
    <n v="1"/>
    <n v="1"/>
    <n v="1"/>
    <n v="1"/>
  </r>
  <r>
    <n v="154"/>
    <x v="5"/>
    <x v="37"/>
    <s v="CHHA"/>
    <s v="MLTC"/>
    <s v="PRN (NB)"/>
    <m/>
    <x v="3"/>
    <x v="0"/>
    <x v="2"/>
    <x v="1"/>
    <n v="4"/>
    <n v="5"/>
    <n v="5"/>
    <n v="4"/>
    <n v="5"/>
    <n v="5"/>
  </r>
  <r>
    <n v="155"/>
    <x v="5"/>
    <x v="37"/>
    <s v="CHHA"/>
    <s v="MLTC"/>
    <s v="RN Initial (NB)"/>
    <m/>
    <x v="3"/>
    <x v="0"/>
    <x v="2"/>
    <x v="1"/>
    <n v="32"/>
    <n v="32"/>
    <n v="32"/>
    <n v="25"/>
    <n v="25"/>
    <n v="25"/>
  </r>
  <r>
    <n v="156"/>
    <x v="5"/>
    <x v="37"/>
    <s v="CHHA"/>
    <s v="MLTC"/>
    <s v="RN Reassessment (NB)"/>
    <m/>
    <x v="3"/>
    <x v="0"/>
    <x v="2"/>
    <x v="1"/>
    <n v="29"/>
    <n v="44"/>
    <n v="44"/>
    <n v="28"/>
    <n v="43"/>
    <n v="43"/>
  </r>
  <r>
    <n v="157"/>
    <x v="5"/>
    <x v="37"/>
    <s v="CHHA"/>
    <s v="MLTC"/>
    <s v="T1019:U1"/>
    <s v="T1019:U1"/>
    <x v="2"/>
    <x v="0"/>
    <x v="2"/>
    <x v="1"/>
    <n v="67"/>
    <n v="6630"/>
    <n v="39056"/>
    <n v="57"/>
    <n v="6349"/>
    <n v="37650.5"/>
  </r>
  <r>
    <n v="158"/>
    <x v="5"/>
    <x v="37"/>
    <s v="CHHA"/>
    <s v="MLTC"/>
    <s v="T1019:U1:CC"/>
    <s v="T1019:U1"/>
    <x v="2"/>
    <x v="0"/>
    <x v="2"/>
    <x v="1"/>
    <n v="1"/>
    <n v="8"/>
    <n v="62.5"/>
    <n v="1"/>
    <n v="8"/>
    <n v="62.5"/>
  </r>
  <r>
    <n v="159"/>
    <x v="5"/>
    <x v="37"/>
    <s v="CHHA"/>
    <s v="MLTC"/>
    <s v="T1019:U6"/>
    <s v="T1019:U6"/>
    <x v="1"/>
    <x v="1"/>
    <x v="1"/>
    <x v="1"/>
    <n v="1"/>
    <n v="39"/>
    <n v="175.5"/>
    <n v="1"/>
    <n v="39"/>
    <n v="175.5"/>
  </r>
  <r>
    <n v="160"/>
    <x v="5"/>
    <x v="37"/>
    <s v="CHHA"/>
    <s v="MLTC"/>
    <s v="T1020"/>
    <s v="T1020"/>
    <x v="8"/>
    <x v="0"/>
    <x v="2"/>
    <x v="1"/>
    <n v="1"/>
    <n v="31"/>
    <n v="403"/>
    <n v="1"/>
    <n v="31"/>
    <n v="403"/>
  </r>
  <r>
    <n v="164"/>
    <x v="5"/>
    <x v="38"/>
    <s v="CHHA"/>
    <s v="CDPAP"/>
    <s v="T1019:U6"/>
    <s v="T1019:U6"/>
    <x v="1"/>
    <x v="1"/>
    <x v="1"/>
    <x v="1"/>
    <n v="81"/>
    <n v="8998"/>
    <n v="47170.75"/>
    <n v="77"/>
    <n v="8803"/>
    <n v="46284"/>
  </r>
  <r>
    <n v="165"/>
    <x v="5"/>
    <x v="38"/>
    <s v="CHHA"/>
    <s v="CDPAP"/>
    <s v="T1019:U6:CC"/>
    <s v="T1019:U6"/>
    <x v="1"/>
    <x v="1"/>
    <x v="1"/>
    <x v="1"/>
    <n v="1"/>
    <n v="262"/>
    <n v="1362"/>
    <n v="1"/>
    <n v="262"/>
    <n v="1362"/>
  </r>
  <r>
    <n v="166"/>
    <x v="5"/>
    <x v="39"/>
    <s v="MCO"/>
    <s v="MLTC"/>
    <s v="RN Reassessment (NB)"/>
    <m/>
    <x v="3"/>
    <x v="0"/>
    <x v="2"/>
    <x v="1"/>
    <n v="1"/>
    <n v="1"/>
    <n v="1"/>
    <n v="1"/>
    <n v="1"/>
    <n v="1"/>
  </r>
  <r>
    <n v="167"/>
    <x v="5"/>
    <x v="40"/>
    <s v="CHHA"/>
    <s v="MCO"/>
    <s v="PCA Hourly"/>
    <s v="T1019:U1"/>
    <x v="2"/>
    <x v="0"/>
    <x v="2"/>
    <x v="1"/>
    <n v="1"/>
    <n v="1"/>
    <n v="1"/>
    <n v="1"/>
    <n v="1"/>
    <n v="1"/>
  </r>
  <r>
    <n v="168"/>
    <x v="5"/>
    <x v="40"/>
    <s v="CHHA"/>
    <s v="MCO"/>
    <s v="RN Initial (NB)"/>
    <m/>
    <x v="3"/>
    <x v="0"/>
    <x v="2"/>
    <x v="1"/>
    <n v="1"/>
    <n v="1"/>
    <n v="1"/>
    <n v="1"/>
    <n v="1"/>
    <n v="1"/>
  </r>
  <r>
    <n v="169"/>
    <x v="5"/>
    <x v="9"/>
    <s v="LHCSA"/>
    <s v="Medicaid"/>
    <s v="HCSS 9795 NYC"/>
    <s v="9795"/>
    <x v="4"/>
    <x v="0"/>
    <x v="0"/>
    <x v="1"/>
    <n v="68"/>
    <n v="23886"/>
    <n v="268079.25"/>
    <n v="68"/>
    <n v="23886"/>
    <n v="268079.25"/>
  </r>
  <r>
    <n v="170"/>
    <x v="5"/>
    <x v="9"/>
    <s v="LHCSA"/>
    <s v="Medicaid"/>
    <s v="Initial RN Visit 9799 (Hourly)"/>
    <s v="9799"/>
    <x v="4"/>
    <x v="0"/>
    <x v="0"/>
    <x v="1"/>
    <n v="39"/>
    <n v="39"/>
    <n v="38"/>
    <n v="39"/>
    <n v="39"/>
    <n v="39"/>
  </r>
  <r>
    <n v="171"/>
    <x v="5"/>
    <x v="9"/>
    <s v="LHCSA"/>
    <s v="Medicaid"/>
    <s v="Non billable Hourly"/>
    <m/>
    <x v="4"/>
    <x v="0"/>
    <x v="0"/>
    <x v="1"/>
    <n v="1"/>
    <n v="4"/>
    <n v="48"/>
    <n v="1"/>
    <n v="4"/>
    <n v="48"/>
  </r>
  <r>
    <n v="172"/>
    <x v="5"/>
    <x v="9"/>
    <s v="LHCSA"/>
    <s v="Medicaid"/>
    <s v="PRN (NB)"/>
    <m/>
    <x v="4"/>
    <x v="0"/>
    <x v="0"/>
    <x v="1"/>
    <n v="2"/>
    <n v="2"/>
    <n v="2"/>
    <n v="2"/>
    <n v="2"/>
    <n v="2"/>
  </r>
  <r>
    <n v="173"/>
    <x v="5"/>
    <x v="9"/>
    <s v="LHCSA"/>
    <s v="Medicaid"/>
    <s v="RN Initial (NB)"/>
    <m/>
    <x v="4"/>
    <x v="0"/>
    <x v="0"/>
    <x v="1"/>
    <n v="5"/>
    <n v="5"/>
    <n v="5"/>
    <n v="5"/>
    <n v="5"/>
    <n v="5"/>
  </r>
  <r>
    <n v="174"/>
    <x v="5"/>
    <x v="9"/>
    <s v="LHCSA"/>
    <s v="Medicaid"/>
    <s v="RN Reassessment (NB)"/>
    <m/>
    <x v="4"/>
    <x v="0"/>
    <x v="0"/>
    <x v="1"/>
    <n v="2"/>
    <n v="2"/>
    <n v="2"/>
    <n v="2"/>
    <n v="2"/>
    <n v="2"/>
  </r>
  <r>
    <n v="175"/>
    <x v="5"/>
    <x v="9"/>
    <s v="LHCSA"/>
    <s v="Medicaid"/>
    <s v="RN Visit 9799 (Hourly)"/>
    <s v="9799"/>
    <x v="4"/>
    <x v="0"/>
    <x v="0"/>
    <x v="1"/>
    <n v="44"/>
    <n v="70"/>
    <n v="67.5"/>
    <n v="44"/>
    <n v="70"/>
    <n v="70"/>
  </r>
  <r>
    <n v="176"/>
    <x v="5"/>
    <x v="16"/>
    <s v="Other"/>
    <s v="Insurance"/>
    <s v="PA Hourly"/>
    <m/>
    <x v="5"/>
    <x v="0"/>
    <x v="3"/>
    <x v="1"/>
    <n v="2"/>
    <n v="8"/>
    <n v="38"/>
    <n v="2"/>
    <n v="8"/>
    <n v="38"/>
  </r>
  <r>
    <n v="177"/>
    <x v="5"/>
    <x v="16"/>
    <s v="Other"/>
    <s v="Insurance"/>
    <s v="PCA Hourly"/>
    <m/>
    <x v="5"/>
    <x v="0"/>
    <x v="3"/>
    <x v="1"/>
    <n v="21"/>
    <n v="33"/>
    <n v="97.75"/>
    <n v="21"/>
    <n v="33"/>
    <n v="97.75"/>
  </r>
  <r>
    <n v="178"/>
    <x v="5"/>
    <x v="41"/>
    <s v="CHHA"/>
    <s v="CHHA"/>
    <s v="HHAHRPED"/>
    <s v="99999"/>
    <x v="0"/>
    <x v="0"/>
    <x v="0"/>
    <x v="0"/>
    <n v="6"/>
    <n v="271"/>
    <n v="2013.5"/>
    <n v="6"/>
    <n v="271"/>
    <n v="2013.5"/>
  </r>
  <r>
    <n v="179"/>
    <x v="5"/>
    <x v="10"/>
    <s v="Other"/>
    <s v="Private"/>
    <s v="PCA Hourly"/>
    <m/>
    <x v="5"/>
    <x v="0"/>
    <x v="3"/>
    <x v="1"/>
    <n v="9"/>
    <n v="17"/>
    <n v="60.25"/>
    <n v="7"/>
    <n v="10"/>
    <n v="34.25"/>
  </r>
  <r>
    <n v="180"/>
    <x v="5"/>
    <x v="17"/>
    <s v="Other"/>
    <s v="Private"/>
    <s v="PCA Hourly"/>
    <m/>
    <x v="5"/>
    <x v="0"/>
    <x v="3"/>
    <x v="1"/>
    <n v="2"/>
    <n v="210"/>
    <n v="1126.5"/>
    <n v="2"/>
    <n v="210"/>
    <n v="1126.5"/>
  </r>
  <r>
    <n v="181"/>
    <x v="5"/>
    <x v="17"/>
    <s v="Other"/>
    <s v="Private"/>
    <s v="RN Initial (NB)"/>
    <m/>
    <x v="5"/>
    <x v="0"/>
    <x v="3"/>
    <x v="1"/>
    <n v="1"/>
    <n v="1"/>
    <n v="0.5"/>
    <n v="1"/>
    <n v="1"/>
    <n v="1"/>
  </r>
  <r>
    <n v="182"/>
    <x v="5"/>
    <x v="17"/>
    <s v="Other"/>
    <s v="Private"/>
    <s v="RN Reassessment (NB)"/>
    <m/>
    <x v="5"/>
    <x v="0"/>
    <x v="3"/>
    <x v="1"/>
    <n v="1"/>
    <n v="2"/>
    <n v="1"/>
    <n v="1"/>
    <n v="2"/>
    <n v="2"/>
  </r>
  <r>
    <n v="183"/>
    <x v="5"/>
    <x v="11"/>
    <s v="CHHA"/>
    <s v="CHHA"/>
    <s v="Rate1"/>
    <s v="S9122"/>
    <x v="0"/>
    <x v="0"/>
    <x v="0"/>
    <x v="0"/>
    <n v="1"/>
    <n v="1"/>
    <n v="4"/>
    <n v="1"/>
    <n v="1"/>
    <n v="4"/>
  </r>
  <r>
    <n v="184"/>
    <x v="5"/>
    <x v="42"/>
    <s v="Other"/>
    <m/>
    <s v="Rate 1"/>
    <s v="na"/>
    <x v="0"/>
    <x v="0"/>
    <x v="0"/>
    <x v="0"/>
    <n v="2"/>
    <n v="6"/>
    <n v="23"/>
    <n v="1"/>
    <n v="4"/>
    <n v="15"/>
  </r>
  <r>
    <n v="185"/>
    <x v="5"/>
    <x v="43"/>
    <s v="Other"/>
    <s v="MLTC"/>
    <s v="PRN (NB)"/>
    <m/>
    <x v="3"/>
    <x v="0"/>
    <x v="2"/>
    <x v="1"/>
    <n v="2"/>
    <n v="2"/>
    <n v="2"/>
    <n v="2"/>
    <n v="2"/>
    <n v="2"/>
  </r>
  <r>
    <n v="186"/>
    <x v="5"/>
    <x v="43"/>
    <s v="Other"/>
    <s v="MLTC"/>
    <s v="RN Initial (NB)"/>
    <m/>
    <x v="3"/>
    <x v="0"/>
    <x v="2"/>
    <x v="1"/>
    <n v="1"/>
    <n v="1"/>
    <n v="1"/>
    <n v="1"/>
    <n v="1"/>
    <n v="1"/>
  </r>
  <r>
    <n v="187"/>
    <x v="5"/>
    <x v="43"/>
    <s v="Other"/>
    <s v="MLTC"/>
    <s v="RN Reassessment (NB)"/>
    <m/>
    <x v="3"/>
    <x v="0"/>
    <x v="2"/>
    <x v="1"/>
    <n v="5"/>
    <n v="9"/>
    <n v="9"/>
    <n v="5"/>
    <n v="9"/>
    <n v="9"/>
  </r>
  <r>
    <n v="188"/>
    <x v="5"/>
    <x v="43"/>
    <s v="Other"/>
    <s v="MLTC"/>
    <s v="T1019:U1"/>
    <s v="T1019:U1"/>
    <x v="2"/>
    <x v="0"/>
    <x v="2"/>
    <x v="1"/>
    <n v="10"/>
    <n v="1412"/>
    <n v="11659.75"/>
    <n v="10"/>
    <n v="1412"/>
    <n v="11659.75"/>
  </r>
  <r>
    <n v="193"/>
    <x v="5"/>
    <x v="44"/>
    <s v="Other"/>
    <s v="CDPAP"/>
    <s v="T1019:U6"/>
    <s v="T1019:U6"/>
    <x v="1"/>
    <x v="1"/>
    <x v="1"/>
    <x v="1"/>
    <n v="28"/>
    <n v="6681"/>
    <n v="37952.5"/>
    <n v="26"/>
    <n v="6584"/>
    <n v="37068.5"/>
  </r>
  <r>
    <n v="194"/>
    <x v="5"/>
    <x v="44"/>
    <s v="Other"/>
    <s v="CDPAP"/>
    <s v="T1020:U6"/>
    <s v="T1020:U6"/>
    <x v="9"/>
    <x v="1"/>
    <x v="1"/>
    <x v="1"/>
    <n v="1"/>
    <n v="366"/>
    <n v="4758"/>
    <n v="1"/>
    <n v="366"/>
    <n v="4758"/>
  </r>
  <r>
    <n v="197"/>
    <x v="5"/>
    <x v="45"/>
    <s v="MCO"/>
    <s v="CDPAP"/>
    <s v="PA Hourly"/>
    <s v="T1019:U6"/>
    <x v="1"/>
    <x v="1"/>
    <x v="1"/>
    <x v="1"/>
    <n v="124"/>
    <n v="15367"/>
    <n v="81625.25"/>
    <n v="113"/>
    <n v="15017"/>
    <n v="79356.75"/>
  </r>
  <r>
    <n v="198"/>
    <x v="5"/>
    <x v="45"/>
    <s v="MCO"/>
    <s v="CDPAP"/>
    <s v="PA Hourly Mutual"/>
    <s v="T1019:U7"/>
    <x v="10"/>
    <x v="1"/>
    <x v="1"/>
    <x v="1"/>
    <n v="3"/>
    <n v="326"/>
    <n v="1002.75"/>
    <n v="3"/>
    <n v="326"/>
    <n v="1002.75"/>
  </r>
  <r>
    <n v="199"/>
    <x v="5"/>
    <x v="46"/>
    <s v="MLTC"/>
    <s v="MLTC"/>
    <s v="Aide Supervision (NB)"/>
    <m/>
    <x v="7"/>
    <x v="0"/>
    <x v="2"/>
    <x v="1"/>
    <n v="2"/>
    <n v="2"/>
    <n v="2"/>
    <n v="2"/>
    <n v="2"/>
    <n v="2"/>
  </r>
  <r>
    <n v="200"/>
    <x v="5"/>
    <x v="46"/>
    <s v="MLTC"/>
    <s v="MLTC"/>
    <s v="PCA - Live In"/>
    <s v="T1020"/>
    <x v="8"/>
    <x v="0"/>
    <x v="2"/>
    <x v="1"/>
    <n v="3"/>
    <n v="134"/>
    <n v="1742"/>
    <n v="3"/>
    <n v="134"/>
    <n v="1742"/>
  </r>
  <r>
    <n v="201"/>
    <x v="5"/>
    <x v="46"/>
    <s v="MLTC"/>
    <s v="MLTC"/>
    <s v="PCA - Live In TV"/>
    <s v="T1020:TV"/>
    <x v="8"/>
    <x v="0"/>
    <x v="2"/>
    <x v="1"/>
    <n v="2"/>
    <n v="16"/>
    <n v="208"/>
    <n v="2"/>
    <n v="16"/>
    <n v="208"/>
  </r>
  <r>
    <n v="202"/>
    <x v="5"/>
    <x v="46"/>
    <s v="MLTC"/>
    <s v="MLTC"/>
    <s v="PCA Cluster Care"/>
    <s v="T1019:U3"/>
    <x v="11"/>
    <x v="0"/>
    <x v="2"/>
    <x v="1"/>
    <n v="63"/>
    <n v="6809"/>
    <n v="11883.25"/>
    <n v="63"/>
    <n v="6809"/>
    <n v="11883.25"/>
  </r>
  <r>
    <n v="203"/>
    <x v="5"/>
    <x v="46"/>
    <s v="MLTC"/>
    <s v="MLTC"/>
    <s v="PCA Hourly"/>
    <s v="T1019:U1"/>
    <x v="2"/>
    <x v="0"/>
    <x v="2"/>
    <x v="1"/>
    <n v="185"/>
    <n v="15754"/>
    <n v="79717.25"/>
    <n v="179"/>
    <n v="15592"/>
    <n v="78632.25"/>
  </r>
  <r>
    <n v="204"/>
    <x v="5"/>
    <x v="46"/>
    <s v="MLTC"/>
    <s v="MLTC"/>
    <s v="PCA Hourly"/>
    <s v="T1019:U1:TV"/>
    <x v="2"/>
    <x v="0"/>
    <x v="2"/>
    <x v="1"/>
    <n v="75"/>
    <n v="2448"/>
    <n v="14957.75"/>
    <n v="71"/>
    <n v="2395"/>
    <n v="14615.25"/>
  </r>
  <r>
    <n v="205"/>
    <x v="5"/>
    <x v="46"/>
    <s v="MLTC"/>
    <s v="MLTC"/>
    <s v="PCA Hourly Mutual"/>
    <s v="T1019:U2"/>
    <x v="11"/>
    <x v="0"/>
    <x v="2"/>
    <x v="1"/>
    <n v="2"/>
    <n v="264"/>
    <n v="786.5"/>
    <n v="2"/>
    <n v="264"/>
    <n v="786.5"/>
  </r>
  <r>
    <n v="206"/>
    <x v="5"/>
    <x v="46"/>
    <s v="MLTC"/>
    <s v="MLTC"/>
    <s v="PCA Hourly Mutual TV"/>
    <s v="T1019:U2:TV"/>
    <x v="11"/>
    <x v="0"/>
    <x v="2"/>
    <x v="1"/>
    <n v="1"/>
    <n v="6"/>
    <n v="16.75"/>
    <n v="1"/>
    <n v="6"/>
    <n v="16.75"/>
  </r>
  <r>
    <n v="207"/>
    <x v="5"/>
    <x v="46"/>
    <s v="MLTC"/>
    <s v="MLTC"/>
    <s v="PCA Hourly TV"/>
    <s v="T1019:U1:TV"/>
    <x v="2"/>
    <x v="0"/>
    <x v="2"/>
    <x v="1"/>
    <n v="37"/>
    <n v="382"/>
    <n v="2057.75"/>
    <n v="36"/>
    <n v="380"/>
    <n v="2044.75"/>
  </r>
  <r>
    <n v="208"/>
    <x v="5"/>
    <x v="46"/>
    <s v="MLTC"/>
    <s v="MLTC"/>
    <s v="PRN (NB)"/>
    <m/>
    <x v="3"/>
    <x v="0"/>
    <x v="2"/>
    <x v="1"/>
    <n v="7"/>
    <n v="8"/>
    <n v="8"/>
    <n v="6"/>
    <n v="7"/>
    <n v="7"/>
  </r>
  <r>
    <n v="209"/>
    <x v="5"/>
    <x v="46"/>
    <s v="MLTC"/>
    <s v="MLTC"/>
    <s v="RN Initial (NB)"/>
    <m/>
    <x v="3"/>
    <x v="0"/>
    <x v="2"/>
    <x v="1"/>
    <n v="6"/>
    <n v="6"/>
    <n v="6"/>
    <n v="6"/>
    <n v="6"/>
    <n v="6"/>
  </r>
  <r>
    <n v="210"/>
    <x v="5"/>
    <x v="46"/>
    <s v="MLTC"/>
    <s v="MLTC"/>
    <s v="RN Initial Visit"/>
    <s v="T1030"/>
    <x v="7"/>
    <x v="0"/>
    <x v="2"/>
    <x v="1"/>
    <n v="174"/>
    <n v="177"/>
    <n v="177"/>
    <n v="170"/>
    <n v="173"/>
    <n v="173"/>
  </r>
  <r>
    <n v="211"/>
    <x v="5"/>
    <x v="46"/>
    <s v="MLTC"/>
    <s v="MLTC"/>
    <s v="RN Reassessment (NB)"/>
    <m/>
    <x v="3"/>
    <x v="0"/>
    <x v="2"/>
    <x v="1"/>
    <n v="91"/>
    <n v="127"/>
    <n v="127"/>
    <n v="90"/>
    <n v="126"/>
    <n v="126"/>
  </r>
  <r>
    <n v="212"/>
    <x v="5"/>
    <x v="18"/>
    <s v="MLTC"/>
    <s v="MLTC"/>
    <s v="PRN (NB)"/>
    <m/>
    <x v="3"/>
    <x v="0"/>
    <x v="2"/>
    <x v="1"/>
    <n v="7"/>
    <n v="7"/>
    <n v="7"/>
    <n v="7"/>
    <n v="7"/>
    <n v="7"/>
  </r>
  <r>
    <n v="213"/>
    <x v="5"/>
    <x v="18"/>
    <s v="MLTC"/>
    <s v="MLTC"/>
    <s v="RN Initial (NB)"/>
    <m/>
    <x v="3"/>
    <x v="0"/>
    <x v="2"/>
    <x v="1"/>
    <n v="35"/>
    <n v="35"/>
    <n v="35"/>
    <n v="32"/>
    <n v="32"/>
    <n v="32"/>
  </r>
  <r>
    <n v="214"/>
    <x v="5"/>
    <x v="18"/>
    <s v="MLTC"/>
    <s v="MLTC"/>
    <s v="RN Reassessment (NB)"/>
    <m/>
    <x v="3"/>
    <x v="0"/>
    <x v="2"/>
    <x v="1"/>
    <n v="38"/>
    <n v="53"/>
    <n v="53"/>
    <n v="38"/>
    <n v="53"/>
    <n v="53"/>
  </r>
  <r>
    <n v="215"/>
    <x v="5"/>
    <x v="18"/>
    <s v="MLTC"/>
    <s v="MLTC"/>
    <s v="T1019U1 BX"/>
    <s v="T1019:U1"/>
    <x v="2"/>
    <x v="0"/>
    <x v="2"/>
    <x v="1"/>
    <n v="69"/>
    <n v="8194"/>
    <n v="51805"/>
    <n v="65"/>
    <n v="8077"/>
    <n v="51465.25"/>
  </r>
  <r>
    <n v="216"/>
    <x v="5"/>
    <x v="18"/>
    <s v="MLTC"/>
    <s v="MLTC"/>
    <s v="T1019U1 BX MAP"/>
    <s v="T1019:U1"/>
    <x v="2"/>
    <x v="0"/>
    <x v="2"/>
    <x v="1"/>
    <n v="1"/>
    <n v="1"/>
    <n v="7.25"/>
    <n v="1"/>
    <n v="1"/>
    <n v="7.25"/>
  </r>
  <r>
    <n v="217"/>
    <x v="5"/>
    <x v="18"/>
    <s v="MLTC"/>
    <s v="MLTC"/>
    <s v="T1019U1 K"/>
    <s v="T1019:U1"/>
    <x v="2"/>
    <x v="0"/>
    <x v="2"/>
    <x v="1"/>
    <n v="1"/>
    <n v="220"/>
    <n v="1368"/>
    <n v="1"/>
    <n v="220"/>
    <n v="1368"/>
  </r>
  <r>
    <n v="218"/>
    <x v="5"/>
    <x v="18"/>
    <s v="MLTC"/>
    <s v="MLTC"/>
    <s v="T1019U2 BX"/>
    <s v="T1019:U2"/>
    <x v="11"/>
    <x v="0"/>
    <x v="2"/>
    <x v="1"/>
    <n v="2"/>
    <n v="100"/>
    <n v="1072"/>
    <n v="2"/>
    <n v="100"/>
    <n v="1072"/>
  </r>
  <r>
    <n v="219"/>
    <x v="5"/>
    <x v="18"/>
    <s v="MLTC"/>
    <s v="MLTC"/>
    <s v="T1020 BX"/>
    <s v="T1020"/>
    <x v="8"/>
    <x v="0"/>
    <x v="2"/>
    <x v="1"/>
    <n v="3"/>
    <n v="488"/>
    <n v="6344"/>
    <n v="3"/>
    <n v="488"/>
    <n v="6344"/>
  </r>
  <r>
    <n v="220"/>
    <x v="5"/>
    <x v="18"/>
    <s v="MLTC"/>
    <s v="MLTC"/>
    <s v="T1020U2 BX"/>
    <s v="T1020:U2"/>
    <x v="8"/>
    <x v="0"/>
    <x v="2"/>
    <x v="1"/>
    <n v="1"/>
    <n v="1"/>
    <n v="13"/>
    <n v="1"/>
    <n v="1"/>
    <n v="13"/>
  </r>
  <r>
    <n v="223"/>
    <x v="5"/>
    <x v="19"/>
    <s v="MLTC"/>
    <s v="CDPAP"/>
    <s v="T1019U6 BX"/>
    <s v="T1019:U6"/>
    <x v="1"/>
    <x v="1"/>
    <x v="1"/>
    <x v="1"/>
    <n v="60"/>
    <n v="11217"/>
    <n v="48716"/>
    <n v="53"/>
    <n v="10730"/>
    <n v="46549.25"/>
  </r>
  <r>
    <n v="224"/>
    <x v="5"/>
    <x v="19"/>
    <s v="MLTC"/>
    <s v="CDPAP"/>
    <s v="T1019U6 BX MAP"/>
    <s v="T1019:U6"/>
    <x v="1"/>
    <x v="1"/>
    <x v="1"/>
    <x v="1"/>
    <n v="1"/>
    <n v="262"/>
    <n v="1154.5"/>
    <n v="1"/>
    <n v="262"/>
    <n v="1154.5"/>
  </r>
  <r>
    <n v="225"/>
    <x v="5"/>
    <x v="19"/>
    <s v="MLTC"/>
    <s v="CDPAP"/>
    <s v="T1019U6 K"/>
    <s v="T1019:U6"/>
    <x v="1"/>
    <x v="1"/>
    <x v="1"/>
    <x v="1"/>
    <n v="1"/>
    <n v="67"/>
    <n v="201"/>
    <n v="1"/>
    <n v="67"/>
    <n v="201"/>
  </r>
  <r>
    <n v="226"/>
    <x v="5"/>
    <x v="19"/>
    <s v="MLTC"/>
    <s v="CDPAP"/>
    <s v="T1019U6 NYC"/>
    <s v="T1019:U6"/>
    <x v="1"/>
    <x v="1"/>
    <x v="1"/>
    <x v="1"/>
    <n v="2"/>
    <n v="613"/>
    <n v="2232.5"/>
    <n v="2"/>
    <n v="613"/>
    <n v="2232.5"/>
  </r>
  <r>
    <n v="227"/>
    <x v="5"/>
    <x v="19"/>
    <s v="MLTC"/>
    <s v="CDPAP"/>
    <s v="T1019U7 NYC"/>
    <s v="T1019:U7"/>
    <x v="10"/>
    <x v="1"/>
    <x v="1"/>
    <x v="1"/>
    <n v="2"/>
    <n v="552"/>
    <n v="3284.5"/>
    <n v="2"/>
    <n v="552"/>
    <n v="3284.5"/>
  </r>
  <r>
    <n v="228"/>
    <x v="5"/>
    <x v="20"/>
    <s v="LHCSA"/>
    <s v="MLTC"/>
    <s v="PCA Hourly"/>
    <s v="T1019:U1"/>
    <x v="2"/>
    <x v="0"/>
    <x v="2"/>
    <x v="1"/>
    <n v="1"/>
    <n v="9"/>
    <n v="16.25"/>
    <n v="1"/>
    <n v="9"/>
    <n v="16.25"/>
  </r>
  <r>
    <n v="229"/>
    <x v="5"/>
    <x v="20"/>
    <s v="LHCSA"/>
    <s v="MLTC"/>
    <s v="PCA Hourly Housekeeping"/>
    <s v="S5130:U1::::S5130"/>
    <x v="6"/>
    <x v="0"/>
    <x v="2"/>
    <x v="1"/>
    <n v="1"/>
    <n v="114"/>
    <n v="222"/>
    <n v="1"/>
    <n v="114"/>
    <n v="222"/>
  </r>
  <r>
    <n v="230"/>
    <x v="5"/>
    <x v="20"/>
    <s v="LHCSA"/>
    <s v="MLTC"/>
    <s v="RN Initial (NB)"/>
    <m/>
    <x v="3"/>
    <x v="0"/>
    <x v="2"/>
    <x v="1"/>
    <n v="1"/>
    <n v="1"/>
    <n v="1"/>
    <n v="1"/>
    <n v="1"/>
    <n v="1"/>
  </r>
  <r>
    <n v="231"/>
    <x v="5"/>
    <x v="20"/>
    <s v="LHCSA"/>
    <s v="MLTC"/>
    <s v="RN Reassessment (NB)"/>
    <m/>
    <x v="3"/>
    <x v="0"/>
    <x v="2"/>
    <x v="1"/>
    <n v="2"/>
    <n v="2"/>
    <n v="2"/>
    <n v="2"/>
    <n v="2"/>
    <n v="2"/>
  </r>
  <r>
    <n v="236"/>
    <x v="8"/>
    <x v="7"/>
    <s v="LHCSA"/>
    <s v="CDPAP"/>
    <s v="T1019:U6"/>
    <s v="T1019:U6"/>
    <x v="1"/>
    <x v="1"/>
    <x v="1"/>
    <x v="1"/>
    <n v="32"/>
    <n v="4448"/>
    <n v="22299.75"/>
    <n v="32"/>
    <n v="4448"/>
    <n v="22299.75"/>
  </r>
  <r>
    <n v="240"/>
    <x v="8"/>
    <x v="14"/>
    <s v="MLTC"/>
    <s v="CDPAP"/>
    <s v="PA Hourly"/>
    <s v="T1019:U6"/>
    <x v="1"/>
    <x v="1"/>
    <x v="1"/>
    <x v="1"/>
    <n v="31"/>
    <n v="4482"/>
    <n v="26558"/>
    <n v="31"/>
    <n v="4482"/>
    <n v="26558"/>
  </r>
  <r>
    <n v="242"/>
    <x v="8"/>
    <x v="19"/>
    <s v="MLTC"/>
    <s v="CDPAP"/>
    <s v="T1019U6 SCH"/>
    <s v="T1019:U6"/>
    <x v="1"/>
    <x v="1"/>
    <x v="1"/>
    <x v="1"/>
    <n v="1"/>
    <n v="215"/>
    <n v="1895.5"/>
    <n v="1"/>
    <n v="215"/>
    <n v="1895.5"/>
  </r>
  <r>
    <n v="244"/>
    <x v="9"/>
    <x v="7"/>
    <s v="LHCSA"/>
    <s v="CDPAP"/>
    <s v="T1019:U6"/>
    <s v="T1019:U6"/>
    <x v="1"/>
    <x v="1"/>
    <x v="1"/>
    <x v="1"/>
    <n v="10"/>
    <n v="804"/>
    <n v="3629.5"/>
    <n v="10"/>
    <n v="804"/>
    <n v="3629.5"/>
  </r>
  <r>
    <n v="246"/>
    <x v="9"/>
    <x v="14"/>
    <s v="MLTC"/>
    <s v="CDPAP"/>
    <s v="PA Hourly"/>
    <s v="T1019:U6"/>
    <x v="1"/>
    <x v="1"/>
    <x v="1"/>
    <x v="1"/>
    <n v="6"/>
    <n v="1160"/>
    <n v="5803.5"/>
    <n v="6"/>
    <n v="1160"/>
    <n v="5803.5"/>
  </r>
  <r>
    <n v="249"/>
    <x v="10"/>
    <x v="7"/>
    <s v="LHCSA"/>
    <s v="CDPAP"/>
    <s v="T1019:U6"/>
    <s v="T1019:U6"/>
    <x v="1"/>
    <x v="1"/>
    <x v="1"/>
    <x v="1"/>
    <n v="7"/>
    <n v="1079"/>
    <n v="5755"/>
    <n v="7"/>
    <n v="1079"/>
    <n v="5755"/>
  </r>
  <r>
    <n v="252"/>
    <x v="10"/>
    <x v="14"/>
    <s v="MLTC"/>
    <s v="CDPAP"/>
    <s v="PA Hourly"/>
    <s v="T1019:U6"/>
    <x v="1"/>
    <x v="1"/>
    <x v="1"/>
    <x v="1"/>
    <n v="3"/>
    <n v="504"/>
    <n v="3102"/>
    <n v="3"/>
    <n v="504"/>
    <n v="3102"/>
  </r>
  <r>
    <n v="254"/>
    <x v="11"/>
    <x v="7"/>
    <s v="LHCSA"/>
    <s v="CDPAP"/>
    <s v="T1019:U6"/>
    <s v="T1019:U6"/>
    <x v="1"/>
    <x v="1"/>
    <x v="1"/>
    <x v="1"/>
    <n v="23"/>
    <n v="3280"/>
    <n v="12913.75"/>
    <n v="23"/>
    <n v="3280"/>
    <n v="12913.75"/>
  </r>
  <r>
    <n v="256"/>
    <x v="11"/>
    <x v="14"/>
    <s v="MLTC"/>
    <s v="CDPAP"/>
    <s v="PA Hourly"/>
    <s v="T1019:U6"/>
    <x v="1"/>
    <x v="1"/>
    <x v="1"/>
    <x v="1"/>
    <n v="11"/>
    <n v="910"/>
    <n v="4498"/>
    <n v="11"/>
    <n v="910"/>
    <n v="4498"/>
  </r>
  <r>
    <n v="257"/>
    <x v="11"/>
    <x v="14"/>
    <s v="MLTC"/>
    <s v="CDPAP"/>
    <s v="PA Hourly - Mutual"/>
    <s v="T1019:U7"/>
    <x v="10"/>
    <x v="1"/>
    <x v="1"/>
    <x v="1"/>
    <n v="2"/>
    <n v="425"/>
    <n v="1430.25"/>
    <n v="2"/>
    <n v="425"/>
    <n v="1430.25"/>
  </r>
  <r>
    <n v="260"/>
    <x v="12"/>
    <x v="7"/>
    <s v="LHCSA"/>
    <s v="CDPAP"/>
    <s v="T1019:U6"/>
    <s v="T1019:U6"/>
    <x v="1"/>
    <x v="1"/>
    <x v="1"/>
    <x v="1"/>
    <n v="13"/>
    <n v="1927"/>
    <n v="10513.25"/>
    <n v="13"/>
    <n v="1927"/>
    <n v="10513.25"/>
  </r>
  <r>
    <n v="262"/>
    <x v="12"/>
    <x v="14"/>
    <s v="MLTC"/>
    <s v="CDPAP"/>
    <s v="PA Hourly"/>
    <s v="T1019:U6"/>
    <x v="1"/>
    <x v="1"/>
    <x v="1"/>
    <x v="1"/>
    <n v="11"/>
    <n v="1633"/>
    <n v="7196.25"/>
    <n v="11"/>
    <n v="1633"/>
    <n v="7196.25"/>
  </r>
  <r>
    <n v="265"/>
    <x v="13"/>
    <x v="7"/>
    <s v="LHCSA"/>
    <s v="CDPAP"/>
    <s v="T1019:U6"/>
    <s v="T1019:U6"/>
    <x v="1"/>
    <x v="1"/>
    <x v="1"/>
    <x v="1"/>
    <n v="11"/>
    <n v="900"/>
    <n v="5514.75"/>
    <n v="11"/>
    <n v="900"/>
    <n v="5514.75"/>
  </r>
  <r>
    <n v="267"/>
    <x v="13"/>
    <x v="14"/>
    <s v="MLTC"/>
    <s v="CDPAP"/>
    <s v="PA Hourly"/>
    <s v="T1019:U6"/>
    <x v="1"/>
    <x v="1"/>
    <x v="1"/>
    <x v="1"/>
    <n v="6"/>
    <n v="771"/>
    <n v="3591.25"/>
    <n v="6"/>
    <n v="771"/>
    <n v="3591.25"/>
  </r>
  <r>
    <n v="269"/>
    <x v="14"/>
    <x v="7"/>
    <s v="LHCSA"/>
    <s v="CDPAP"/>
    <s v="T1019:U6"/>
    <s v="T1019:U6"/>
    <x v="1"/>
    <x v="1"/>
    <x v="1"/>
    <x v="1"/>
    <n v="1"/>
    <n v="84"/>
    <n v="353"/>
    <n v="1"/>
    <n v="84"/>
    <n v="353"/>
  </r>
  <r>
    <n v="271"/>
    <x v="14"/>
    <x v="7"/>
    <s v="LHCSA"/>
    <s v="CDPAP"/>
    <s v="T1019:U6"/>
    <s v="T1019:U6"/>
    <x v="1"/>
    <x v="1"/>
    <x v="1"/>
    <x v="1"/>
    <n v="4"/>
    <n v="268"/>
    <n v="1347.75"/>
    <n v="4"/>
    <n v="268"/>
    <n v="1347.75"/>
  </r>
  <r>
    <n v="274"/>
    <x v="14"/>
    <x v="14"/>
    <s v="MLTC"/>
    <s v="CDPAP"/>
    <s v="PA Hourly"/>
    <s v="T1019:U6"/>
    <x v="1"/>
    <x v="1"/>
    <x v="1"/>
    <x v="1"/>
    <n v="6"/>
    <n v="1347"/>
    <n v="5884.5"/>
    <n v="6"/>
    <n v="1347"/>
    <n v="5884.5"/>
  </r>
  <r>
    <n v="275"/>
    <x v="15"/>
    <x v="18"/>
    <s v="MLTC"/>
    <s v="MLTC"/>
    <s v="RN Initial (NB)"/>
    <m/>
    <x v="3"/>
    <x v="0"/>
    <x v="2"/>
    <x v="1"/>
    <n v="1"/>
    <n v="1"/>
    <n v="1"/>
    <n v="1"/>
    <n v="1"/>
    <n v="1"/>
  </r>
  <r>
    <n v="276"/>
    <x v="15"/>
    <x v="18"/>
    <s v="MLTC"/>
    <s v="MLTC"/>
    <s v="RN Reassessment (NB)"/>
    <m/>
    <x v="3"/>
    <x v="0"/>
    <x v="2"/>
    <x v="1"/>
    <n v="1"/>
    <n v="1"/>
    <n v="1"/>
    <n v="1"/>
    <n v="1"/>
    <n v="1"/>
  </r>
  <r>
    <n v="277"/>
    <x v="15"/>
    <x v="18"/>
    <s v="MLTC"/>
    <s v="MLTC"/>
    <s v="T1019U1 ALB"/>
    <s v="T1019:U1"/>
    <x v="2"/>
    <x v="0"/>
    <x v="2"/>
    <x v="1"/>
    <n v="1"/>
    <n v="145"/>
    <n v="613.25"/>
    <n v="1"/>
    <n v="145"/>
    <n v="613.25"/>
  </r>
  <r>
    <n v="280"/>
    <x v="15"/>
    <x v="19"/>
    <s v="MLTC"/>
    <s v="CDPAP"/>
    <s v="T1019U6 COL"/>
    <s v="T1019:U6"/>
    <x v="1"/>
    <x v="1"/>
    <x v="1"/>
    <x v="1"/>
    <n v="5"/>
    <n v="624"/>
    <n v="1958.75"/>
    <n v="5"/>
    <n v="624"/>
    <n v="1958.75"/>
  </r>
  <r>
    <n v="282"/>
    <x v="16"/>
    <x v="7"/>
    <s v="LHCSA"/>
    <s v="CDPAP"/>
    <s v="T1019:U6"/>
    <s v="T1019:U6"/>
    <x v="1"/>
    <x v="1"/>
    <x v="1"/>
    <x v="1"/>
    <n v="5"/>
    <n v="510"/>
    <n v="2569.75"/>
    <n v="5"/>
    <n v="510"/>
    <n v="2569.75"/>
  </r>
  <r>
    <n v="285"/>
    <x v="16"/>
    <x v="14"/>
    <s v="MLTC"/>
    <s v="CDPAP"/>
    <s v="PA Hourly"/>
    <s v="T1019:U6"/>
    <x v="1"/>
    <x v="1"/>
    <x v="1"/>
    <x v="1"/>
    <n v="3"/>
    <n v="317"/>
    <n v="1835.25"/>
    <n v="3"/>
    <n v="317"/>
    <n v="1835.25"/>
  </r>
  <r>
    <n v="287"/>
    <x v="17"/>
    <x v="7"/>
    <s v="LHCSA"/>
    <s v="CDPAP"/>
    <s v="T1019:U6"/>
    <s v="T1019:U6"/>
    <x v="1"/>
    <x v="1"/>
    <x v="1"/>
    <x v="1"/>
    <n v="3"/>
    <n v="326"/>
    <n v="1932.25"/>
    <n v="3"/>
    <n v="326"/>
    <n v="1932.25"/>
  </r>
  <r>
    <n v="289"/>
    <x v="17"/>
    <x v="14"/>
    <s v="MLTC"/>
    <s v="CDPAP"/>
    <s v="PA Hourly"/>
    <s v="T1019:U6"/>
    <x v="1"/>
    <x v="1"/>
    <x v="1"/>
    <x v="1"/>
    <n v="2"/>
    <n v="87"/>
    <n v="292.75"/>
    <n v="2"/>
    <n v="87"/>
    <n v="292.75"/>
  </r>
  <r>
    <n v="291"/>
    <x v="17"/>
    <x v="19"/>
    <s v="MLTC"/>
    <s v="CDPAP"/>
    <s v="T1019U6 DEL"/>
    <s v="T1019:U6"/>
    <x v="1"/>
    <x v="1"/>
    <x v="1"/>
    <x v="1"/>
    <n v="4"/>
    <n v="392"/>
    <n v="1919"/>
    <n v="4"/>
    <n v="392"/>
    <n v="1919"/>
  </r>
  <r>
    <n v="294"/>
    <x v="18"/>
    <x v="30"/>
    <s v="MLTC"/>
    <s v="CDPAP"/>
    <s v="T1019:U6"/>
    <s v="T1019:U6"/>
    <x v="1"/>
    <x v="1"/>
    <x v="1"/>
    <x v="1"/>
    <n v="3"/>
    <n v="819"/>
    <n v="4285.5"/>
    <n v="3"/>
    <n v="819"/>
    <n v="4285.5"/>
  </r>
  <r>
    <n v="297"/>
    <x v="18"/>
    <x v="7"/>
    <s v="LHCSA"/>
    <s v="CDPAP"/>
    <s v="T1019:U6"/>
    <s v="T1019:U6"/>
    <x v="1"/>
    <x v="1"/>
    <x v="1"/>
    <x v="1"/>
    <n v="8"/>
    <n v="1076"/>
    <n v="5770.5"/>
    <n v="8"/>
    <n v="1076"/>
    <n v="5770.5"/>
  </r>
  <r>
    <n v="299"/>
    <x v="18"/>
    <x v="33"/>
    <s v="MCO"/>
    <s v="CDPAP"/>
    <s v="PA Hourly Upstate"/>
    <s v="T1019:U6"/>
    <x v="1"/>
    <x v="1"/>
    <x v="1"/>
    <x v="1"/>
    <n v="2"/>
    <n v="535"/>
    <n v="2621.75"/>
    <n v="2"/>
    <n v="535"/>
    <n v="2621.75"/>
  </r>
  <r>
    <n v="303"/>
    <x v="18"/>
    <x v="19"/>
    <s v="MLTC"/>
    <s v="CDPAP"/>
    <s v="T1019U6 DUT"/>
    <s v="T1019:U6"/>
    <x v="1"/>
    <x v="1"/>
    <x v="1"/>
    <x v="1"/>
    <n v="18"/>
    <n v="3908"/>
    <n v="19829.5"/>
    <n v="18"/>
    <n v="3908"/>
    <n v="19829.5"/>
  </r>
  <r>
    <n v="304"/>
    <x v="18"/>
    <x v="19"/>
    <s v="MLTC"/>
    <s v="CDPAP"/>
    <s v="T1019U6 SCH"/>
    <s v="T1019:U6"/>
    <x v="1"/>
    <x v="1"/>
    <x v="1"/>
    <x v="1"/>
    <n v="1"/>
    <n v="60"/>
    <n v="335.75"/>
    <n v="1"/>
    <n v="60"/>
    <n v="335.75"/>
  </r>
  <r>
    <n v="307"/>
    <x v="19"/>
    <x v="1"/>
    <s v="MLTC"/>
    <s v="CDPAP"/>
    <s v="PA Hourly - 5 Boroughs"/>
    <s v="T1019:U6"/>
    <x v="1"/>
    <x v="1"/>
    <x v="1"/>
    <x v="1"/>
    <n v="3"/>
    <n v="338"/>
    <n v="1260.5"/>
    <n v="3"/>
    <n v="338"/>
    <n v="1260.5"/>
  </r>
  <r>
    <n v="308"/>
    <x v="19"/>
    <x v="1"/>
    <s v="MLTC"/>
    <s v="CDPAP"/>
    <s v="PA Hourly - Erie/Niagara"/>
    <s v="T1019:U6"/>
    <x v="1"/>
    <x v="1"/>
    <x v="1"/>
    <x v="1"/>
    <n v="37"/>
    <n v="6981"/>
    <n v="27761"/>
    <n v="37"/>
    <n v="6981"/>
    <n v="27761"/>
  </r>
  <r>
    <n v="309"/>
    <x v="19"/>
    <x v="1"/>
    <s v="MLTC"/>
    <s v="CDPAP"/>
    <s v="PA Hourly - Nassau/Suffolk/Westchester:"/>
    <s v="T1019:U6"/>
    <x v="1"/>
    <x v="1"/>
    <x v="1"/>
    <x v="1"/>
    <n v="3"/>
    <n v="446"/>
    <n v="1189.75"/>
    <n v="3"/>
    <n v="446"/>
    <n v="1189.75"/>
  </r>
  <r>
    <n v="310"/>
    <x v="19"/>
    <x v="1"/>
    <s v="MLTC"/>
    <s v="CDPAP"/>
    <s v="PA Hourly - Rockland"/>
    <s v="T1019:U6"/>
    <x v="1"/>
    <x v="1"/>
    <x v="1"/>
    <x v="1"/>
    <n v="1"/>
    <n v="361"/>
    <n v="1623"/>
    <n v="1"/>
    <n v="361"/>
    <n v="1623"/>
  </r>
  <r>
    <n v="311"/>
    <x v="19"/>
    <x v="47"/>
    <s v="MCO"/>
    <s v="CDPAP"/>
    <s v="PA Hourly"/>
    <s v="T1019:U6"/>
    <x v="1"/>
    <x v="1"/>
    <x v="1"/>
    <x v="1"/>
    <n v="3"/>
    <n v="136"/>
    <n v="888"/>
    <n v="3"/>
    <n v="136"/>
    <n v="888"/>
  </r>
  <r>
    <n v="315"/>
    <x v="19"/>
    <x v="7"/>
    <s v="LHCSA"/>
    <s v="CDPAP"/>
    <s v="T1019:U6"/>
    <s v="T1019:U6"/>
    <x v="1"/>
    <x v="1"/>
    <x v="1"/>
    <x v="1"/>
    <n v="42"/>
    <n v="4930"/>
    <n v="26436.5"/>
    <n v="42"/>
    <n v="4930"/>
    <n v="26436.5"/>
  </r>
  <r>
    <n v="317"/>
    <x v="19"/>
    <x v="14"/>
    <s v="MLTC"/>
    <s v="CDPAP"/>
    <s v="PA Hourly"/>
    <s v="T1019:U6"/>
    <x v="1"/>
    <x v="1"/>
    <x v="1"/>
    <x v="1"/>
    <n v="5"/>
    <n v="473"/>
    <n v="2637"/>
    <n v="5"/>
    <n v="473"/>
    <n v="2637"/>
  </r>
  <r>
    <n v="320"/>
    <x v="19"/>
    <x v="19"/>
    <s v="MLTC"/>
    <s v="CDPAP"/>
    <s v="T1019U6 EDD"/>
    <s v="T1019:U6"/>
    <x v="1"/>
    <x v="1"/>
    <x v="1"/>
    <x v="1"/>
    <n v="51"/>
    <n v="7756"/>
    <n v="35944.25"/>
    <n v="51"/>
    <n v="7756"/>
    <n v="35944.25"/>
  </r>
  <r>
    <n v="321"/>
    <x v="19"/>
    <x v="19"/>
    <s v="MLTC"/>
    <s v="CDPAP"/>
    <s v="T1019U7 EDD"/>
    <s v="T1019:U7"/>
    <x v="10"/>
    <x v="1"/>
    <x v="1"/>
    <x v="1"/>
    <n v="4"/>
    <n v="903"/>
    <n v="4606"/>
    <n v="4"/>
    <n v="903"/>
    <n v="4606"/>
  </r>
  <r>
    <n v="323"/>
    <x v="20"/>
    <x v="7"/>
    <s v="LHCSA"/>
    <s v="CDPAP"/>
    <s v="T1019:U6"/>
    <s v="T1019:U6"/>
    <x v="1"/>
    <x v="1"/>
    <x v="1"/>
    <x v="1"/>
    <n v="2"/>
    <n v="212"/>
    <n v="787"/>
    <n v="2"/>
    <n v="212"/>
    <n v="787"/>
  </r>
  <r>
    <n v="325"/>
    <x v="21"/>
    <x v="7"/>
    <s v="LHCSA"/>
    <s v="CDPAP"/>
    <s v="T1019:U6"/>
    <s v="T1019:U6"/>
    <x v="1"/>
    <x v="1"/>
    <x v="1"/>
    <x v="1"/>
    <n v="3"/>
    <n v="393"/>
    <n v="1429.5"/>
    <n v="3"/>
    <n v="393"/>
    <n v="1429.5"/>
  </r>
  <r>
    <n v="327"/>
    <x v="21"/>
    <x v="14"/>
    <s v="MLTC"/>
    <s v="CDPAP"/>
    <s v="PA Hourly"/>
    <s v="T1019:U6"/>
    <x v="1"/>
    <x v="1"/>
    <x v="1"/>
    <x v="1"/>
    <n v="3"/>
    <n v="286"/>
    <n v="1884.5"/>
    <n v="3"/>
    <n v="286"/>
    <n v="1884.5"/>
  </r>
  <r>
    <n v="328"/>
    <x v="21"/>
    <x v="19"/>
    <s v="MLTC"/>
    <s v="CDPAP"/>
    <s v="T1019U6 NAS"/>
    <s v="T1019:U6"/>
    <x v="1"/>
    <x v="1"/>
    <x v="1"/>
    <x v="1"/>
    <n v="1"/>
    <n v="51"/>
    <n v="327.75"/>
    <n v="1"/>
    <n v="51"/>
    <n v="327.75"/>
  </r>
  <r>
    <n v="331"/>
    <x v="22"/>
    <x v="7"/>
    <s v="LHCSA"/>
    <s v="CDPAP"/>
    <s v="T1019:U6"/>
    <s v="T1019:U6"/>
    <x v="1"/>
    <x v="1"/>
    <x v="1"/>
    <x v="1"/>
    <n v="19"/>
    <n v="2574"/>
    <n v="9744.75"/>
    <n v="18"/>
    <n v="2567"/>
    <n v="9729.25"/>
  </r>
  <r>
    <n v="334"/>
    <x v="22"/>
    <x v="19"/>
    <s v="MLTC"/>
    <s v="CDPAP"/>
    <s v="T1019U6 FUL"/>
    <s v="T1019:U6"/>
    <x v="1"/>
    <x v="1"/>
    <x v="1"/>
    <x v="1"/>
    <n v="7"/>
    <n v="1391"/>
    <n v="6478.75"/>
    <n v="7"/>
    <n v="1391"/>
    <n v="6478.75"/>
  </r>
  <r>
    <n v="336"/>
    <x v="23"/>
    <x v="7"/>
    <s v="LHCSA"/>
    <s v="CDPAP"/>
    <s v="T1019:U6"/>
    <s v="T1019:U6"/>
    <x v="1"/>
    <x v="1"/>
    <x v="1"/>
    <x v="1"/>
    <n v="4"/>
    <n v="438"/>
    <n v="2526"/>
    <n v="4"/>
    <n v="438"/>
    <n v="2526"/>
  </r>
  <r>
    <n v="338"/>
    <x v="23"/>
    <x v="14"/>
    <s v="MLTC"/>
    <s v="CDPAP"/>
    <s v="PA Hourly"/>
    <s v="T1019:U6"/>
    <x v="1"/>
    <x v="1"/>
    <x v="1"/>
    <x v="1"/>
    <n v="5"/>
    <n v="1022"/>
    <n v="3807.25"/>
    <n v="5"/>
    <n v="1022"/>
    <n v="3807.25"/>
  </r>
  <r>
    <n v="340"/>
    <x v="23"/>
    <x v="19"/>
    <s v="MLTC"/>
    <s v="CDPAP"/>
    <s v="T1019U6 GEN"/>
    <s v="T1019:U6"/>
    <x v="1"/>
    <x v="1"/>
    <x v="1"/>
    <x v="1"/>
    <n v="2"/>
    <n v="44"/>
    <n v="342"/>
    <n v="2"/>
    <n v="44"/>
    <n v="342"/>
  </r>
  <r>
    <n v="341"/>
    <x v="23"/>
    <x v="48"/>
    <s v="MLTC"/>
    <s v="CDPAP"/>
    <s v="PA Hourly"/>
    <s v="T1019:U6"/>
    <x v="1"/>
    <x v="1"/>
    <x v="1"/>
    <x v="1"/>
    <n v="1"/>
    <n v="17"/>
    <n v="49"/>
    <n v="1"/>
    <n v="17"/>
    <n v="49"/>
  </r>
  <r>
    <n v="343"/>
    <x v="24"/>
    <x v="7"/>
    <s v="LHCSA"/>
    <s v="CDPAP"/>
    <s v="T1019:U6"/>
    <s v="T1019:U6"/>
    <x v="1"/>
    <x v="1"/>
    <x v="1"/>
    <x v="1"/>
    <n v="5"/>
    <n v="398"/>
    <n v="1205"/>
    <n v="5"/>
    <n v="398"/>
    <n v="1205"/>
  </r>
  <r>
    <n v="346"/>
    <x v="24"/>
    <x v="14"/>
    <s v="MLTC"/>
    <s v="CDPAP"/>
    <s v="PA Hourly"/>
    <s v="T1019:U6"/>
    <x v="1"/>
    <x v="1"/>
    <x v="1"/>
    <x v="1"/>
    <n v="1"/>
    <n v="169"/>
    <n v="1136.5"/>
    <n v="1"/>
    <n v="169"/>
    <n v="1136.5"/>
  </r>
  <r>
    <n v="348"/>
    <x v="24"/>
    <x v="19"/>
    <s v="MLTC"/>
    <s v="CDPAP"/>
    <s v="T1019U6 GRE"/>
    <s v="T1019:U6"/>
    <x v="1"/>
    <x v="1"/>
    <x v="1"/>
    <x v="1"/>
    <n v="5"/>
    <n v="1104"/>
    <n v="4790.25"/>
    <n v="5"/>
    <n v="1104"/>
    <n v="4790.25"/>
  </r>
  <r>
    <n v="350"/>
    <x v="25"/>
    <x v="14"/>
    <s v="MLTC"/>
    <s v="CDPAP"/>
    <s v="PA Hourly"/>
    <s v="T1019:U6"/>
    <x v="1"/>
    <x v="1"/>
    <x v="1"/>
    <x v="1"/>
    <n v="1"/>
    <n v="66"/>
    <n v="419.5"/>
    <n v="1"/>
    <n v="66"/>
    <n v="419.5"/>
  </r>
  <r>
    <n v="352"/>
    <x v="26"/>
    <x v="7"/>
    <s v="LHCSA"/>
    <s v="CDPAP"/>
    <s v="T1019:U6"/>
    <s v="T1019:U6"/>
    <x v="1"/>
    <x v="1"/>
    <x v="1"/>
    <x v="1"/>
    <n v="7"/>
    <n v="565"/>
    <n v="2795.25"/>
    <n v="7"/>
    <n v="565"/>
    <n v="2795.25"/>
  </r>
  <r>
    <n v="354"/>
    <x v="26"/>
    <x v="14"/>
    <s v="MLTC"/>
    <s v="CDPAP"/>
    <s v="PA Hourly"/>
    <s v="T1019:U6"/>
    <x v="1"/>
    <x v="1"/>
    <x v="1"/>
    <x v="1"/>
    <n v="2"/>
    <n v="322"/>
    <n v="1505.75"/>
    <n v="2"/>
    <n v="322"/>
    <n v="1505.75"/>
  </r>
  <r>
    <n v="357"/>
    <x v="26"/>
    <x v="19"/>
    <s v="MLTC"/>
    <s v="CDPAP"/>
    <s v="T1019U6 HER"/>
    <s v="T1019:U6"/>
    <x v="1"/>
    <x v="1"/>
    <x v="1"/>
    <x v="1"/>
    <n v="4"/>
    <n v="172"/>
    <n v="603.75"/>
    <n v="4"/>
    <n v="172"/>
    <n v="603.75"/>
  </r>
  <r>
    <n v="358"/>
    <x v="26"/>
    <x v="19"/>
    <s v="MLTC"/>
    <s v="CDPAP"/>
    <s v="T1019U6 ONE"/>
    <s v="T1019:U6"/>
    <x v="1"/>
    <x v="1"/>
    <x v="1"/>
    <x v="1"/>
    <n v="1"/>
    <n v="212"/>
    <n v="1559"/>
    <n v="1"/>
    <n v="212"/>
    <n v="1559"/>
  </r>
  <r>
    <n v="363"/>
    <x v="27"/>
    <x v="7"/>
    <s v="LHCSA"/>
    <s v="CDPAP"/>
    <s v="T1019:U6"/>
    <s v="T1019:U6"/>
    <x v="1"/>
    <x v="1"/>
    <x v="1"/>
    <x v="1"/>
    <n v="14"/>
    <n v="2135"/>
    <n v="11503.5"/>
    <n v="14"/>
    <n v="2135"/>
    <n v="11503.5"/>
  </r>
  <r>
    <n v="364"/>
    <x v="27"/>
    <x v="7"/>
    <s v="LHCSA"/>
    <s v="CDPAP"/>
    <s v="T1020:U6"/>
    <s v="T1020:U6"/>
    <x v="9"/>
    <x v="1"/>
    <x v="1"/>
    <x v="1"/>
    <n v="1"/>
    <n v="48"/>
    <n v="624"/>
    <n v="1"/>
    <n v="48"/>
    <n v="624"/>
  </r>
  <r>
    <n v="369"/>
    <x v="27"/>
    <x v="14"/>
    <s v="MLTC"/>
    <s v="CDPAP"/>
    <s v="PA Hourly"/>
    <s v="T1019:U6"/>
    <x v="1"/>
    <x v="1"/>
    <x v="1"/>
    <x v="1"/>
    <n v="16"/>
    <n v="2203"/>
    <n v="13388.25"/>
    <n v="16"/>
    <n v="2203"/>
    <n v="13388.25"/>
  </r>
  <r>
    <n v="370"/>
    <x v="1"/>
    <x v="0"/>
    <s v="CHHA"/>
    <s v="CHHA"/>
    <s v="HHA1"/>
    <s v="S9122"/>
    <x v="0"/>
    <x v="0"/>
    <x v="0"/>
    <x v="0"/>
    <n v="27"/>
    <n v="656"/>
    <n v="2552.25"/>
    <n v="18"/>
    <n v="484"/>
    <n v="1919.75"/>
  </r>
  <r>
    <n v="371"/>
    <x v="1"/>
    <x v="0"/>
    <s v="CHHA"/>
    <s v="CHHA"/>
    <s v="HHAPEDSV"/>
    <s v="S9122"/>
    <x v="0"/>
    <x v="0"/>
    <x v="0"/>
    <x v="0"/>
    <n v="243"/>
    <n v="34402"/>
    <n v="226951.25"/>
    <n v="232"/>
    <n v="33352"/>
    <n v="219182.25"/>
  </r>
  <r>
    <n v="372"/>
    <x v="1"/>
    <x v="21"/>
    <s v="MCO"/>
    <s v="Medicaid"/>
    <s v="PCA HOURLY"/>
    <s v="T1019:U1"/>
    <x v="2"/>
    <x v="0"/>
    <x v="2"/>
    <x v="1"/>
    <n v="2"/>
    <n v="182"/>
    <n v="723.75"/>
    <n v="2"/>
    <n v="182"/>
    <n v="723.75"/>
  </r>
  <r>
    <n v="373"/>
    <x v="1"/>
    <x v="21"/>
    <s v="MCO"/>
    <s v="Medicaid"/>
    <s v="RN Initial-NB"/>
    <s v="T1019"/>
    <x v="3"/>
    <x v="0"/>
    <x v="2"/>
    <x v="1"/>
    <n v="1"/>
    <n v="1"/>
    <n v="1"/>
    <n v="1"/>
    <n v="1"/>
    <n v="1"/>
  </r>
  <r>
    <n v="374"/>
    <x v="1"/>
    <x v="21"/>
    <s v="MCO"/>
    <s v="Medicaid"/>
    <s v="RN Reassessment-NB"/>
    <s v="T1019"/>
    <x v="3"/>
    <x v="0"/>
    <x v="2"/>
    <x v="1"/>
    <n v="1"/>
    <n v="1"/>
    <n v="1"/>
    <n v="1"/>
    <n v="1"/>
    <n v="1"/>
  </r>
  <r>
    <n v="375"/>
    <x v="1"/>
    <x v="49"/>
    <s v="Other"/>
    <s v="Private"/>
    <s v="Non billable"/>
    <m/>
    <x v="5"/>
    <x v="0"/>
    <x v="3"/>
    <x v="1"/>
    <n v="1"/>
    <n v="396"/>
    <n v="4709.25"/>
    <n v="1"/>
    <n v="396"/>
    <n v="4709.25"/>
  </r>
  <r>
    <n v="376"/>
    <x v="1"/>
    <x v="22"/>
    <s v="MCO"/>
    <s v="CDPAP"/>
    <s v="PA Hourly"/>
    <s v="T1019:U6"/>
    <x v="1"/>
    <x v="1"/>
    <x v="1"/>
    <x v="1"/>
    <n v="15"/>
    <n v="1629"/>
    <n v="8563.5"/>
    <n v="13"/>
    <n v="1509"/>
    <n v="7666.5"/>
  </r>
  <r>
    <n v="377"/>
    <x v="1"/>
    <x v="23"/>
    <s v="MCO"/>
    <s v="MLTC"/>
    <s v="LPN (T1003)"/>
    <s v="T1003"/>
    <x v="4"/>
    <x v="0"/>
    <x v="0"/>
    <x v="1"/>
    <n v="1"/>
    <n v="79"/>
    <n v="934.75"/>
    <n v="1"/>
    <n v="79"/>
    <n v="934.75"/>
  </r>
  <r>
    <n v="378"/>
    <x v="1"/>
    <x v="23"/>
    <s v="MCO"/>
    <s v="MLTC"/>
    <s v="PCA - Live In"/>
    <s v="T1020"/>
    <x v="8"/>
    <x v="0"/>
    <x v="2"/>
    <x v="1"/>
    <n v="2"/>
    <n v="205"/>
    <n v="2665"/>
    <n v="2"/>
    <n v="205"/>
    <n v="2665"/>
  </r>
  <r>
    <n v="379"/>
    <x v="1"/>
    <x v="23"/>
    <s v="MCO"/>
    <s v="MLTC"/>
    <s v="PCA Hourly"/>
    <s v="T1019:U1"/>
    <x v="2"/>
    <x v="0"/>
    <x v="2"/>
    <x v="1"/>
    <n v="17"/>
    <n v="1974"/>
    <n v="16731.75"/>
    <n v="16"/>
    <n v="1906"/>
    <n v="16368"/>
  </r>
  <r>
    <n v="380"/>
    <x v="1"/>
    <x v="23"/>
    <s v="MCO"/>
    <s v="MLTC"/>
    <s v="PRN (NB)"/>
    <m/>
    <x v="3"/>
    <x v="0"/>
    <x v="2"/>
    <x v="1"/>
    <n v="2"/>
    <n v="2"/>
    <n v="2"/>
    <n v="2"/>
    <n v="2"/>
    <n v="2"/>
  </r>
  <r>
    <n v="381"/>
    <x v="1"/>
    <x v="23"/>
    <s v="MCO"/>
    <s v="MLTC"/>
    <s v="RN Initial (NB)"/>
    <m/>
    <x v="3"/>
    <x v="0"/>
    <x v="2"/>
    <x v="1"/>
    <n v="2"/>
    <n v="2"/>
    <n v="2"/>
    <n v="2"/>
    <n v="2"/>
    <n v="2"/>
  </r>
  <r>
    <n v="382"/>
    <x v="1"/>
    <x v="23"/>
    <s v="MCO"/>
    <s v="MLTC"/>
    <s v="RN Reassessment (NB)"/>
    <m/>
    <x v="3"/>
    <x v="0"/>
    <x v="2"/>
    <x v="1"/>
    <n v="15"/>
    <n v="15"/>
    <n v="15"/>
    <n v="15"/>
    <n v="15"/>
    <n v="15"/>
  </r>
  <r>
    <n v="383"/>
    <x v="1"/>
    <x v="25"/>
    <s v="CHHA"/>
    <s v="CHHA"/>
    <s v="HHA Hourly"/>
    <s v="HH11"/>
    <x v="0"/>
    <x v="0"/>
    <x v="0"/>
    <x v="0"/>
    <n v="1"/>
    <n v="8"/>
    <n v="32"/>
    <n v="0"/>
    <n v="0"/>
    <m/>
  </r>
  <r>
    <n v="384"/>
    <x v="1"/>
    <x v="27"/>
    <s v="Other"/>
    <s v="CDPAP"/>
    <s v="T1019:U6"/>
    <s v="T1019:U6"/>
    <x v="4"/>
    <x v="0"/>
    <x v="0"/>
    <x v="1"/>
    <n v="1"/>
    <n v="17"/>
    <n v="136"/>
    <n v="0"/>
    <n v="0"/>
    <m/>
  </r>
  <r>
    <n v="385"/>
    <x v="1"/>
    <x v="28"/>
    <s v="MLTC"/>
    <s v="MLTC"/>
    <s v="PCA Hourly"/>
    <s v="T1019:U1"/>
    <x v="2"/>
    <x v="0"/>
    <x v="2"/>
    <x v="1"/>
    <n v="145"/>
    <n v="19364"/>
    <n v="97945"/>
    <n v="125"/>
    <n v="18271"/>
    <n v="93202.75"/>
  </r>
  <r>
    <n v="386"/>
    <x v="1"/>
    <x v="28"/>
    <s v="MLTC"/>
    <s v="MLTC"/>
    <s v="PCA Live-In"/>
    <s v="T1020"/>
    <x v="8"/>
    <x v="0"/>
    <x v="2"/>
    <x v="1"/>
    <n v="1"/>
    <n v="149"/>
    <n v="1937"/>
    <n v="1"/>
    <n v="149"/>
    <n v="1937"/>
  </r>
  <r>
    <n v="387"/>
    <x v="1"/>
    <x v="28"/>
    <s v="MLTC"/>
    <s v="MLTC"/>
    <s v="PRN (NB)"/>
    <m/>
    <x v="3"/>
    <x v="0"/>
    <x v="2"/>
    <x v="1"/>
    <n v="9"/>
    <n v="10"/>
    <n v="10"/>
    <n v="9"/>
    <n v="10"/>
    <n v="10"/>
  </r>
  <r>
    <n v="388"/>
    <x v="1"/>
    <x v="28"/>
    <s v="MLTC"/>
    <s v="MLTC"/>
    <s v="RN Initial (NB)"/>
    <m/>
    <x v="3"/>
    <x v="0"/>
    <x v="2"/>
    <x v="1"/>
    <n v="62"/>
    <n v="62"/>
    <n v="62"/>
    <n v="48"/>
    <n v="48"/>
    <n v="48"/>
  </r>
  <r>
    <n v="389"/>
    <x v="1"/>
    <x v="28"/>
    <s v="MLTC"/>
    <s v="MLTC"/>
    <s v="RN Reassessment (NB)"/>
    <m/>
    <x v="3"/>
    <x v="0"/>
    <x v="2"/>
    <x v="1"/>
    <n v="84"/>
    <n v="136"/>
    <n v="136"/>
    <n v="79"/>
    <n v="130"/>
    <n v="130"/>
  </r>
  <r>
    <n v="395"/>
    <x v="1"/>
    <x v="1"/>
    <s v="MLTC"/>
    <s v="CDPAP"/>
    <s v="PA Hourly - 5 Boroughs"/>
    <s v="T1019:U6"/>
    <x v="1"/>
    <x v="1"/>
    <x v="1"/>
    <x v="1"/>
    <n v="138"/>
    <n v="28743"/>
    <n v="130928.75"/>
    <n v="132"/>
    <n v="28577"/>
    <n v="130213.5"/>
  </r>
  <r>
    <n v="396"/>
    <x v="1"/>
    <x v="1"/>
    <s v="MLTC"/>
    <s v="CDPAP"/>
    <s v="PA Live-In - 5 Boroughs"/>
    <s v="T1020:U6"/>
    <x v="9"/>
    <x v="1"/>
    <x v="1"/>
    <x v="1"/>
    <n v="1"/>
    <n v="358"/>
    <n v="4654"/>
    <n v="1"/>
    <n v="358"/>
    <n v="4654"/>
  </r>
  <r>
    <n v="398"/>
    <x v="1"/>
    <x v="29"/>
    <s v="MLTC"/>
    <s v="MLTC"/>
    <s v="PRN (NB)"/>
    <m/>
    <x v="3"/>
    <x v="0"/>
    <x v="2"/>
    <x v="1"/>
    <n v="4"/>
    <n v="4"/>
    <n v="4"/>
    <n v="4"/>
    <n v="4"/>
    <n v="4"/>
  </r>
  <r>
    <n v="399"/>
    <x v="1"/>
    <x v="29"/>
    <s v="MLTC"/>
    <s v="MLTC"/>
    <s v="RN Initial (NB)"/>
    <m/>
    <x v="3"/>
    <x v="0"/>
    <x v="2"/>
    <x v="1"/>
    <n v="47"/>
    <n v="47"/>
    <n v="47"/>
    <n v="47"/>
    <n v="47"/>
    <n v="47"/>
  </r>
  <r>
    <n v="400"/>
    <x v="1"/>
    <x v="29"/>
    <s v="MLTC"/>
    <s v="MLTC"/>
    <s v="RN Reassessment (NB)"/>
    <m/>
    <x v="3"/>
    <x v="0"/>
    <x v="2"/>
    <x v="1"/>
    <n v="25"/>
    <n v="31"/>
    <n v="31"/>
    <n v="25"/>
    <n v="31"/>
    <n v="31"/>
  </r>
  <r>
    <n v="401"/>
    <x v="1"/>
    <x v="29"/>
    <s v="MLTC"/>
    <s v="MLTC"/>
    <s v="T1019:U1"/>
    <s v="T1019:U1"/>
    <x v="2"/>
    <x v="0"/>
    <x v="2"/>
    <x v="1"/>
    <n v="59"/>
    <n v="6394"/>
    <n v="33835.75"/>
    <n v="57"/>
    <n v="6385"/>
    <n v="33801.25"/>
  </r>
  <r>
    <n v="402"/>
    <x v="1"/>
    <x v="29"/>
    <s v="MLTC"/>
    <s v="MLTC"/>
    <s v="T1020"/>
    <s v="T1020"/>
    <x v="8"/>
    <x v="0"/>
    <x v="2"/>
    <x v="1"/>
    <n v="7"/>
    <n v="1017"/>
    <n v="13221"/>
    <n v="7"/>
    <n v="1017"/>
    <n v="13221"/>
  </r>
  <r>
    <n v="405"/>
    <x v="1"/>
    <x v="30"/>
    <s v="MLTC"/>
    <s v="CDPAP"/>
    <s v="T1019:U6"/>
    <s v="T1019:U6"/>
    <x v="1"/>
    <x v="1"/>
    <x v="1"/>
    <x v="1"/>
    <n v="38"/>
    <n v="6616"/>
    <n v="32043.5"/>
    <n v="34"/>
    <n v="6360"/>
    <n v="30234"/>
  </r>
  <r>
    <n v="406"/>
    <x v="1"/>
    <x v="30"/>
    <s v="MLTC"/>
    <s v="CDPAP"/>
    <s v="T1019:U6 MAP"/>
    <s v="T1019:U6"/>
    <x v="1"/>
    <x v="1"/>
    <x v="1"/>
    <x v="1"/>
    <n v="3"/>
    <n v="115"/>
    <n v="524"/>
    <n v="1"/>
    <n v="60"/>
    <n v="239"/>
  </r>
  <r>
    <n v="408"/>
    <x v="1"/>
    <x v="31"/>
    <s v="MLTC"/>
    <s v="CDPAP"/>
    <s v="PA Hourly"/>
    <s v="T1019:U6"/>
    <x v="1"/>
    <x v="1"/>
    <x v="1"/>
    <x v="1"/>
    <n v="4"/>
    <n v="529"/>
    <n v="3126.75"/>
    <n v="4"/>
    <n v="529"/>
    <n v="3126.75"/>
  </r>
  <r>
    <n v="409"/>
    <x v="1"/>
    <x v="32"/>
    <s v="MLTC"/>
    <s v="MLTC"/>
    <s v="PCA Hourly NYC"/>
    <s v="T1019:U1"/>
    <x v="2"/>
    <x v="0"/>
    <x v="2"/>
    <x v="1"/>
    <n v="9"/>
    <n v="1588"/>
    <n v="7341"/>
    <n v="9"/>
    <n v="1588"/>
    <n v="7341"/>
  </r>
  <r>
    <n v="410"/>
    <x v="1"/>
    <x v="32"/>
    <s v="MLTC"/>
    <s v="MLTC"/>
    <s v="RN Initial (NB)"/>
    <m/>
    <x v="3"/>
    <x v="0"/>
    <x v="2"/>
    <x v="1"/>
    <n v="5"/>
    <n v="5"/>
    <n v="5"/>
    <n v="5"/>
    <n v="5"/>
    <n v="5"/>
  </r>
  <r>
    <n v="411"/>
    <x v="1"/>
    <x v="32"/>
    <s v="MLTC"/>
    <s v="MLTC"/>
    <s v="RN Reassessment (NB)"/>
    <m/>
    <x v="3"/>
    <x v="0"/>
    <x v="2"/>
    <x v="1"/>
    <n v="7"/>
    <n v="10"/>
    <n v="10"/>
    <n v="7"/>
    <n v="10"/>
    <n v="10"/>
  </r>
  <r>
    <n v="416"/>
    <x v="1"/>
    <x v="2"/>
    <s v="Other"/>
    <s v="CDPAP"/>
    <s v="PA Hourly (New)"/>
    <s v="T1019:U6"/>
    <x v="1"/>
    <x v="1"/>
    <x v="1"/>
    <x v="1"/>
    <n v="56"/>
    <n v="11903"/>
    <n v="70933.75"/>
    <n v="56"/>
    <n v="11903"/>
    <n v="70933.75"/>
  </r>
  <r>
    <n v="417"/>
    <x v="1"/>
    <x v="2"/>
    <s v="Other"/>
    <s v="CDPAP"/>
    <s v="PA Live-In"/>
    <s v="T1020:U6"/>
    <x v="9"/>
    <x v="1"/>
    <x v="1"/>
    <x v="1"/>
    <n v="3"/>
    <n v="818"/>
    <n v="10634"/>
    <n v="3"/>
    <n v="818"/>
    <n v="10634"/>
  </r>
  <r>
    <n v="418"/>
    <x v="1"/>
    <x v="3"/>
    <s v="Other"/>
    <s v="MLTC"/>
    <s v="PCA Hourly NYC"/>
    <s v="T1019:U1"/>
    <x v="2"/>
    <x v="0"/>
    <x v="2"/>
    <x v="1"/>
    <n v="42"/>
    <n v="5250"/>
    <n v="34057.25"/>
    <n v="40"/>
    <n v="5101"/>
    <n v="33302.25"/>
  </r>
  <r>
    <n v="419"/>
    <x v="1"/>
    <x v="3"/>
    <s v="Other"/>
    <s v="MLTC"/>
    <s v="PCA Live In"/>
    <s v="T1020"/>
    <x v="8"/>
    <x v="0"/>
    <x v="2"/>
    <x v="1"/>
    <n v="10"/>
    <n v="1308"/>
    <n v="17004"/>
    <n v="8"/>
    <n v="1267"/>
    <n v="16471"/>
  </r>
  <r>
    <n v="420"/>
    <x v="1"/>
    <x v="3"/>
    <s v="Other"/>
    <s v="MLTC"/>
    <s v="PRN (NB)"/>
    <m/>
    <x v="3"/>
    <x v="0"/>
    <x v="2"/>
    <x v="1"/>
    <n v="6"/>
    <n v="9"/>
    <n v="9"/>
    <n v="6"/>
    <n v="9"/>
    <n v="9"/>
  </r>
  <r>
    <n v="421"/>
    <x v="1"/>
    <x v="3"/>
    <s v="Other"/>
    <s v="MLTC"/>
    <s v="RN Initial (NB)"/>
    <m/>
    <x v="3"/>
    <x v="0"/>
    <x v="2"/>
    <x v="1"/>
    <n v="24"/>
    <n v="25"/>
    <n v="25"/>
    <n v="22"/>
    <n v="23"/>
    <n v="23"/>
  </r>
  <r>
    <n v="422"/>
    <x v="1"/>
    <x v="3"/>
    <s v="Other"/>
    <s v="MLTC"/>
    <s v="RN Reassessment (NB)"/>
    <m/>
    <x v="3"/>
    <x v="0"/>
    <x v="2"/>
    <x v="1"/>
    <n v="23"/>
    <n v="38"/>
    <n v="38"/>
    <n v="23"/>
    <n v="38"/>
    <n v="38"/>
  </r>
  <r>
    <n v="423"/>
    <x v="1"/>
    <x v="4"/>
    <s v="CHHA"/>
    <s v="CHHA"/>
    <s v="Rate3"/>
    <m/>
    <x v="0"/>
    <x v="0"/>
    <x v="0"/>
    <x v="0"/>
    <n v="125"/>
    <n v="17340"/>
    <n v="106359.25"/>
    <n v="121"/>
    <n v="17193"/>
    <n v="105072.25"/>
  </r>
  <r>
    <n v="424"/>
    <x v="1"/>
    <x v="5"/>
    <s v="CHHA"/>
    <s v="CHHA"/>
    <s v="PedCode95"/>
    <s v="-"/>
    <x v="0"/>
    <x v="0"/>
    <x v="0"/>
    <x v="0"/>
    <n v="31"/>
    <n v="3196"/>
    <n v="19007.5"/>
    <n v="25"/>
    <n v="3045"/>
    <n v="18336"/>
  </r>
  <r>
    <n v="425"/>
    <x v="1"/>
    <x v="5"/>
    <s v="CHHA"/>
    <s v="CHHA"/>
    <s v="Rate1"/>
    <m/>
    <x v="0"/>
    <x v="0"/>
    <x v="0"/>
    <x v="0"/>
    <n v="73"/>
    <n v="5108"/>
    <n v="22542"/>
    <n v="61"/>
    <n v="4705"/>
    <n v="20781"/>
  </r>
  <r>
    <n v="426"/>
    <x v="1"/>
    <x v="5"/>
    <s v="CHHA"/>
    <s v="CHHA"/>
    <s v="Rate4HMO"/>
    <s v="0"/>
    <x v="0"/>
    <x v="0"/>
    <x v="0"/>
    <x v="0"/>
    <n v="2"/>
    <n v="46"/>
    <n v="187.25"/>
    <n v="2"/>
    <n v="46"/>
    <n v="187.25"/>
  </r>
  <r>
    <n v="427"/>
    <x v="1"/>
    <x v="6"/>
    <s v="LHCSA"/>
    <s v="MLTC"/>
    <s v="PRN (NB)"/>
    <m/>
    <x v="3"/>
    <x v="0"/>
    <x v="2"/>
    <x v="1"/>
    <n v="4"/>
    <n v="4"/>
    <n v="4"/>
    <n v="4"/>
    <n v="4"/>
    <n v="4"/>
  </r>
  <r>
    <n v="428"/>
    <x v="1"/>
    <x v="6"/>
    <s v="LHCSA"/>
    <s v="MLTC"/>
    <s v="RN Initial (NB)"/>
    <m/>
    <x v="3"/>
    <x v="0"/>
    <x v="2"/>
    <x v="1"/>
    <n v="58"/>
    <n v="58"/>
    <n v="58"/>
    <n v="55"/>
    <n v="55"/>
    <n v="55"/>
  </r>
  <r>
    <n v="429"/>
    <x v="1"/>
    <x v="6"/>
    <s v="LHCSA"/>
    <s v="MLTC"/>
    <s v="RN Initial Assement"/>
    <s v="T2024"/>
    <x v="3"/>
    <x v="0"/>
    <x v="2"/>
    <x v="1"/>
    <n v="38"/>
    <n v="38"/>
    <n v="38"/>
    <n v="34"/>
    <n v="34"/>
    <n v="34"/>
  </r>
  <r>
    <n v="430"/>
    <x v="1"/>
    <x v="6"/>
    <s v="LHCSA"/>
    <s v="MLTC"/>
    <s v="RN Reassessment (NB)"/>
    <m/>
    <x v="3"/>
    <x v="0"/>
    <x v="2"/>
    <x v="1"/>
    <n v="69"/>
    <n v="95"/>
    <n v="95"/>
    <n v="67"/>
    <n v="93"/>
    <n v="93"/>
  </r>
  <r>
    <n v="431"/>
    <x v="1"/>
    <x v="6"/>
    <s v="LHCSA"/>
    <s v="MLTC"/>
    <s v="S5130:U1"/>
    <s v="S5130:U1::::Homemaker"/>
    <x v="6"/>
    <x v="0"/>
    <x v="2"/>
    <x v="1"/>
    <n v="3"/>
    <n v="59"/>
    <n v="231.75"/>
    <n v="3"/>
    <n v="59"/>
    <n v="231.75"/>
  </r>
  <r>
    <n v="432"/>
    <x v="1"/>
    <x v="6"/>
    <s v="LHCSA"/>
    <s v="MLTC"/>
    <s v="T1019:U1"/>
    <s v="T1019:U1"/>
    <x v="2"/>
    <x v="0"/>
    <x v="2"/>
    <x v="1"/>
    <n v="143"/>
    <n v="16920"/>
    <n v="90925.5"/>
    <n v="134"/>
    <n v="16453"/>
    <n v="87911"/>
  </r>
  <r>
    <n v="433"/>
    <x v="1"/>
    <x v="6"/>
    <s v="LHCSA"/>
    <s v="MLTC"/>
    <s v="T1020"/>
    <s v="T1020"/>
    <x v="8"/>
    <x v="0"/>
    <x v="2"/>
    <x v="1"/>
    <n v="4"/>
    <n v="490"/>
    <n v="6370"/>
    <n v="4"/>
    <n v="490"/>
    <n v="6370"/>
  </r>
  <r>
    <n v="438"/>
    <x v="1"/>
    <x v="7"/>
    <s v="LHCSA"/>
    <s v="CDPAP"/>
    <s v="T1019:U6"/>
    <s v="T1019:U6"/>
    <x v="1"/>
    <x v="1"/>
    <x v="1"/>
    <x v="1"/>
    <n v="116"/>
    <n v="13281"/>
    <n v="73517"/>
    <n v="109"/>
    <n v="12958"/>
    <n v="70960"/>
  </r>
  <r>
    <n v="439"/>
    <x v="1"/>
    <x v="7"/>
    <s v="LHCSA"/>
    <s v="CDPAP"/>
    <s v="T1019:U7"/>
    <s v="T1019:U7"/>
    <x v="10"/>
    <x v="1"/>
    <x v="1"/>
    <x v="1"/>
    <n v="2"/>
    <n v="496"/>
    <n v="3458.75"/>
    <n v="2"/>
    <n v="496"/>
    <n v="3458.75"/>
  </r>
  <r>
    <n v="440"/>
    <x v="1"/>
    <x v="13"/>
    <s v="MLTC"/>
    <s v="MLTC"/>
    <s v="PCA Hourly"/>
    <s v="T1019:U1"/>
    <x v="2"/>
    <x v="0"/>
    <x v="2"/>
    <x v="1"/>
    <n v="1"/>
    <n v="2"/>
    <n v="2"/>
    <n v="1"/>
    <n v="2"/>
    <n v="2"/>
  </r>
  <r>
    <n v="441"/>
    <x v="1"/>
    <x v="13"/>
    <s v="MLTC"/>
    <s v="MLTC"/>
    <s v="RN Initial (NB)"/>
    <s v="G0162"/>
    <x v="3"/>
    <x v="0"/>
    <x v="2"/>
    <x v="1"/>
    <n v="12"/>
    <n v="12"/>
    <n v="12"/>
    <n v="12"/>
    <n v="12"/>
    <n v="12"/>
  </r>
  <r>
    <n v="442"/>
    <x v="1"/>
    <x v="13"/>
    <s v="MLTC"/>
    <s v="MLTC"/>
    <s v="Rn initial assement"/>
    <s v="G0162"/>
    <x v="3"/>
    <x v="0"/>
    <x v="2"/>
    <x v="1"/>
    <n v="4"/>
    <n v="4"/>
    <n v="4"/>
    <n v="4"/>
    <n v="4"/>
    <n v="4"/>
  </r>
  <r>
    <n v="443"/>
    <x v="1"/>
    <x v="13"/>
    <s v="MLTC"/>
    <s v="MLTC"/>
    <s v="RN Reassessment (NB)"/>
    <m/>
    <x v="3"/>
    <x v="0"/>
    <x v="2"/>
    <x v="1"/>
    <n v="2"/>
    <n v="2"/>
    <n v="2"/>
    <n v="2"/>
    <n v="2"/>
    <n v="2"/>
  </r>
  <r>
    <n v="444"/>
    <x v="1"/>
    <x v="8"/>
    <s v="CHHA"/>
    <s v="CHHA"/>
    <s v="Rate1"/>
    <m/>
    <x v="0"/>
    <x v="0"/>
    <x v="0"/>
    <x v="0"/>
    <n v="24"/>
    <n v="865"/>
    <n v="4049"/>
    <n v="13"/>
    <n v="656"/>
    <n v="3183"/>
  </r>
  <r>
    <n v="445"/>
    <x v="1"/>
    <x v="8"/>
    <s v="CHHA"/>
    <s v="CHHA"/>
    <s v="Rate4"/>
    <m/>
    <x v="0"/>
    <x v="0"/>
    <x v="0"/>
    <x v="0"/>
    <n v="3"/>
    <n v="27"/>
    <n v="104"/>
    <n v="3"/>
    <n v="27"/>
    <n v="104"/>
  </r>
  <r>
    <n v="448"/>
    <x v="1"/>
    <x v="33"/>
    <s v="MCO"/>
    <s v="CDPAP"/>
    <s v="PA Hourly NYC , Nassau, Westchester"/>
    <s v="T1019:U6"/>
    <x v="1"/>
    <x v="1"/>
    <x v="1"/>
    <x v="1"/>
    <n v="4"/>
    <n v="505"/>
    <n v="3657.75"/>
    <n v="4"/>
    <n v="505"/>
    <n v="3657.75"/>
  </r>
  <r>
    <n v="451"/>
    <x v="1"/>
    <x v="34"/>
    <s v="MLTC"/>
    <s v="MLTC"/>
    <s v="PCA Hourly"/>
    <s v="T1019:U1"/>
    <x v="2"/>
    <x v="0"/>
    <x v="2"/>
    <x v="1"/>
    <n v="7"/>
    <n v="743"/>
    <n v="4336.5"/>
    <n v="6"/>
    <n v="614"/>
    <n v="3208.75"/>
  </r>
  <r>
    <n v="452"/>
    <x v="1"/>
    <x v="34"/>
    <s v="MLTC"/>
    <s v="MLTC"/>
    <s v="PCA Live In"/>
    <s v="T1020"/>
    <x v="8"/>
    <x v="0"/>
    <x v="2"/>
    <x v="1"/>
    <n v="1"/>
    <n v="7"/>
    <n v="91"/>
    <n v="1"/>
    <n v="7"/>
    <n v="91"/>
  </r>
  <r>
    <n v="453"/>
    <x v="1"/>
    <x v="34"/>
    <s v="MLTC"/>
    <s v="MLTC"/>
    <s v="RN Initial (NB)"/>
    <m/>
    <x v="3"/>
    <x v="0"/>
    <x v="2"/>
    <x v="1"/>
    <n v="5"/>
    <n v="5"/>
    <n v="5"/>
    <n v="4"/>
    <n v="4"/>
    <n v="4"/>
  </r>
  <r>
    <n v="454"/>
    <x v="1"/>
    <x v="34"/>
    <s v="MLTC"/>
    <s v="MLTC"/>
    <s v="RN Reassessment (NB)"/>
    <m/>
    <x v="3"/>
    <x v="0"/>
    <x v="2"/>
    <x v="1"/>
    <n v="2"/>
    <n v="2"/>
    <n v="2"/>
    <n v="1"/>
    <n v="1"/>
    <n v="1"/>
  </r>
  <r>
    <n v="457"/>
    <x v="1"/>
    <x v="35"/>
    <s v="MCO"/>
    <s v="CDPAP"/>
    <s v="PA Hourly (NYC, LI, &amp; Westchester)"/>
    <s v="T1019:U6"/>
    <x v="1"/>
    <x v="1"/>
    <x v="1"/>
    <x v="1"/>
    <n v="13"/>
    <n v="2460"/>
    <n v="13339.25"/>
    <n v="13"/>
    <n v="2460"/>
    <n v="13339.25"/>
  </r>
  <r>
    <n v="460"/>
    <x v="1"/>
    <x v="36"/>
    <s v="MCO"/>
    <s v="MLTC"/>
    <s v="PCA Hourly"/>
    <s v="T1019:U1"/>
    <x v="2"/>
    <x v="0"/>
    <x v="2"/>
    <x v="1"/>
    <n v="7"/>
    <n v="1396"/>
    <n v="8367.25"/>
    <n v="6"/>
    <n v="1289"/>
    <n v="7621"/>
  </r>
  <r>
    <n v="461"/>
    <x v="1"/>
    <x v="36"/>
    <s v="MCO"/>
    <s v="MLTC"/>
    <s v="PRN (NB)"/>
    <m/>
    <x v="3"/>
    <x v="0"/>
    <x v="2"/>
    <x v="1"/>
    <n v="1"/>
    <n v="1"/>
    <n v="1"/>
    <n v="0"/>
    <n v="0"/>
    <n v="0"/>
  </r>
  <r>
    <n v="462"/>
    <x v="1"/>
    <x v="36"/>
    <s v="MCO"/>
    <s v="MLTC"/>
    <s v="RN Initial (NB)"/>
    <m/>
    <x v="3"/>
    <x v="0"/>
    <x v="2"/>
    <x v="1"/>
    <n v="3"/>
    <n v="3"/>
    <n v="3"/>
    <n v="2"/>
    <n v="2"/>
    <n v="2"/>
  </r>
  <r>
    <n v="463"/>
    <x v="1"/>
    <x v="36"/>
    <s v="MCO"/>
    <s v="MLTC"/>
    <s v="RN Reassessment (NB)"/>
    <m/>
    <x v="3"/>
    <x v="0"/>
    <x v="2"/>
    <x v="1"/>
    <n v="4"/>
    <n v="8"/>
    <n v="8"/>
    <n v="4"/>
    <n v="8"/>
    <n v="8"/>
  </r>
  <r>
    <n v="465"/>
    <x v="1"/>
    <x v="37"/>
    <s v="CHHA"/>
    <s v="MLTC"/>
    <s v="PRN (NB)"/>
    <m/>
    <x v="3"/>
    <x v="0"/>
    <x v="2"/>
    <x v="1"/>
    <n v="3"/>
    <n v="3"/>
    <n v="3"/>
    <n v="3"/>
    <n v="3"/>
    <n v="3"/>
  </r>
  <r>
    <n v="466"/>
    <x v="1"/>
    <x v="37"/>
    <s v="CHHA"/>
    <s v="MLTC"/>
    <s v="RN Initial (NB)"/>
    <m/>
    <x v="3"/>
    <x v="0"/>
    <x v="2"/>
    <x v="1"/>
    <n v="62"/>
    <n v="62"/>
    <n v="62"/>
    <n v="56"/>
    <n v="56"/>
    <n v="56"/>
  </r>
  <r>
    <n v="467"/>
    <x v="1"/>
    <x v="37"/>
    <s v="CHHA"/>
    <s v="MLTC"/>
    <s v="RN Reassessment (NB)"/>
    <m/>
    <x v="3"/>
    <x v="0"/>
    <x v="2"/>
    <x v="1"/>
    <n v="50"/>
    <n v="70"/>
    <n v="70"/>
    <n v="47"/>
    <n v="67"/>
    <n v="67"/>
  </r>
  <r>
    <n v="468"/>
    <x v="1"/>
    <x v="37"/>
    <s v="CHHA"/>
    <s v="MLTC"/>
    <s v="T1019:U1"/>
    <s v="T1019:U1"/>
    <x v="2"/>
    <x v="0"/>
    <x v="2"/>
    <x v="1"/>
    <n v="104"/>
    <n v="9286"/>
    <n v="48545.75"/>
    <n v="91"/>
    <n v="8782"/>
    <n v="45824"/>
  </r>
  <r>
    <n v="469"/>
    <x v="1"/>
    <x v="37"/>
    <s v="CHHA"/>
    <s v="MLTC"/>
    <s v="T1019:U1:CC"/>
    <s v="T1019:U1"/>
    <x v="2"/>
    <x v="0"/>
    <x v="2"/>
    <x v="1"/>
    <n v="2"/>
    <n v="17"/>
    <n v="75.25"/>
    <n v="2"/>
    <n v="17"/>
    <n v="75.25"/>
  </r>
  <r>
    <n v="470"/>
    <x v="1"/>
    <x v="37"/>
    <s v="CHHA"/>
    <s v="MLTC"/>
    <s v="T1019:U2"/>
    <s v="T1019:U2"/>
    <x v="11"/>
    <x v="0"/>
    <x v="2"/>
    <x v="1"/>
    <n v="2"/>
    <n v="399"/>
    <n v="993.5"/>
    <n v="2"/>
    <n v="399"/>
    <n v="993.5"/>
  </r>
  <r>
    <n v="471"/>
    <x v="1"/>
    <x v="37"/>
    <s v="CHHA"/>
    <s v="MLTC"/>
    <s v="T1019:U6"/>
    <s v="T1019:U6"/>
    <x v="1"/>
    <x v="1"/>
    <x v="1"/>
    <x v="1"/>
    <n v="1"/>
    <n v="24"/>
    <n v="80.5"/>
    <n v="1"/>
    <n v="24"/>
    <n v="80.5"/>
  </r>
  <r>
    <n v="472"/>
    <x v="1"/>
    <x v="37"/>
    <s v="CHHA"/>
    <s v="MLTC"/>
    <s v="T1020"/>
    <s v="T1020"/>
    <x v="8"/>
    <x v="0"/>
    <x v="2"/>
    <x v="1"/>
    <n v="2"/>
    <n v="141"/>
    <n v="1833"/>
    <n v="2"/>
    <n v="141"/>
    <n v="1833"/>
  </r>
  <r>
    <n v="473"/>
    <x v="1"/>
    <x v="37"/>
    <s v="CHHA"/>
    <s v="MLTC"/>
    <s v="T1020:CC"/>
    <s v="T1020"/>
    <x v="8"/>
    <x v="0"/>
    <x v="2"/>
    <x v="1"/>
    <n v="1"/>
    <n v="360"/>
    <n v="4680"/>
    <n v="1"/>
    <n v="360"/>
    <n v="4680"/>
  </r>
  <r>
    <n v="477"/>
    <x v="1"/>
    <x v="38"/>
    <s v="CHHA"/>
    <s v="CDPAP"/>
    <s v="T1019:U1"/>
    <s v="T1019:U1"/>
    <x v="2"/>
    <x v="0"/>
    <x v="2"/>
    <x v="1"/>
    <n v="1"/>
    <n v="3"/>
    <n v="6"/>
    <n v="1"/>
    <n v="3"/>
    <n v="6"/>
  </r>
  <r>
    <n v="478"/>
    <x v="1"/>
    <x v="38"/>
    <s v="CHHA"/>
    <s v="CDPAP"/>
    <s v="T1019:U6"/>
    <s v="T1019:U6"/>
    <x v="1"/>
    <x v="1"/>
    <x v="1"/>
    <x v="1"/>
    <n v="99"/>
    <n v="11908"/>
    <n v="66120.75"/>
    <n v="94"/>
    <n v="11609"/>
    <n v="64160.75"/>
  </r>
  <r>
    <n v="479"/>
    <x v="1"/>
    <x v="38"/>
    <s v="CHHA"/>
    <s v="CDPAP"/>
    <s v="T1019:U6:CC"/>
    <s v="T1019:U6"/>
    <x v="1"/>
    <x v="1"/>
    <x v="1"/>
    <x v="1"/>
    <n v="3"/>
    <n v="614"/>
    <n v="5647.75"/>
    <n v="3"/>
    <n v="614"/>
    <n v="5647.75"/>
  </r>
  <r>
    <n v="480"/>
    <x v="1"/>
    <x v="38"/>
    <s v="CHHA"/>
    <s v="CDPAP"/>
    <s v="T1019:U6:SHP"/>
    <s v="T1019:U6"/>
    <x v="1"/>
    <x v="1"/>
    <x v="1"/>
    <x v="1"/>
    <n v="1"/>
    <n v="250"/>
    <n v="744.25"/>
    <n v="1"/>
    <n v="250"/>
    <n v="744.25"/>
  </r>
  <r>
    <n v="481"/>
    <x v="1"/>
    <x v="39"/>
    <s v="MCO"/>
    <s v="MLTC"/>
    <s v="PCA Hourly"/>
    <s v="T1019:U1"/>
    <x v="2"/>
    <x v="0"/>
    <x v="2"/>
    <x v="1"/>
    <n v="2"/>
    <n v="2"/>
    <n v="4.5"/>
    <n v="1"/>
    <n v="1"/>
    <n v="3.5"/>
  </r>
  <r>
    <n v="482"/>
    <x v="1"/>
    <x v="39"/>
    <s v="MCO"/>
    <s v="MLTC"/>
    <s v="RN Initial (NB)"/>
    <m/>
    <x v="3"/>
    <x v="0"/>
    <x v="2"/>
    <x v="1"/>
    <n v="2"/>
    <n v="2"/>
    <n v="2"/>
    <n v="1"/>
    <n v="1"/>
    <n v="1"/>
  </r>
  <r>
    <n v="483"/>
    <x v="1"/>
    <x v="39"/>
    <s v="MCO"/>
    <s v="MLTC"/>
    <s v="RN Reassessment (NB)"/>
    <m/>
    <x v="3"/>
    <x v="0"/>
    <x v="2"/>
    <x v="1"/>
    <n v="1"/>
    <n v="1"/>
    <n v="1"/>
    <n v="1"/>
    <n v="1"/>
    <n v="1"/>
  </r>
  <r>
    <n v="484"/>
    <x v="1"/>
    <x v="40"/>
    <s v="CHHA"/>
    <s v="MCO"/>
    <s v="RN Reassessment (NB)"/>
    <m/>
    <x v="3"/>
    <x v="0"/>
    <x v="2"/>
    <x v="1"/>
    <n v="1"/>
    <n v="2"/>
    <n v="2"/>
    <n v="1"/>
    <n v="2"/>
    <n v="2"/>
  </r>
  <r>
    <n v="486"/>
    <x v="1"/>
    <x v="14"/>
    <s v="MLTC"/>
    <s v="CDPAP"/>
    <s v="PA Hourly"/>
    <s v="T1019:U6"/>
    <x v="1"/>
    <x v="1"/>
    <x v="1"/>
    <x v="1"/>
    <n v="1"/>
    <n v="313"/>
    <n v="667.75"/>
    <n v="1"/>
    <n v="313"/>
    <n v="667.75"/>
  </r>
  <r>
    <n v="487"/>
    <x v="1"/>
    <x v="9"/>
    <s v="LHCSA"/>
    <s v="Medicaid"/>
    <s v="HCSS 9795 LI Nassau Westchester Suffolk"/>
    <s v="9795"/>
    <x v="4"/>
    <x v="0"/>
    <x v="0"/>
    <x v="1"/>
    <n v="1"/>
    <n v="1"/>
    <n v="2.5"/>
    <n v="1"/>
    <n v="1"/>
    <n v="2.5"/>
  </r>
  <r>
    <n v="488"/>
    <x v="1"/>
    <x v="9"/>
    <s v="LHCSA"/>
    <s v="Medicaid"/>
    <s v="HCSS 9795 NYC"/>
    <s v="9795"/>
    <x v="4"/>
    <x v="0"/>
    <x v="0"/>
    <x v="1"/>
    <n v="153"/>
    <n v="63628"/>
    <n v="730345.25"/>
    <n v="151"/>
    <n v="63478"/>
    <n v="729054.25"/>
  </r>
  <r>
    <n v="489"/>
    <x v="1"/>
    <x v="9"/>
    <s v="LHCSA"/>
    <s v="Medicaid"/>
    <s v="HCSS 9795 Rest of State"/>
    <s v="9795"/>
    <x v="4"/>
    <x v="0"/>
    <x v="0"/>
    <x v="1"/>
    <n v="1"/>
    <n v="68"/>
    <n v="693.75"/>
    <n v="1"/>
    <n v="68"/>
    <n v="693.75"/>
  </r>
  <r>
    <n v="490"/>
    <x v="1"/>
    <x v="9"/>
    <s v="LHCSA"/>
    <s v="Medicaid"/>
    <s v="Initial RN Visit 9799 (Hourly)"/>
    <s v="9799"/>
    <x v="4"/>
    <x v="0"/>
    <x v="0"/>
    <x v="1"/>
    <n v="58"/>
    <n v="59"/>
    <n v="59"/>
    <n v="58"/>
    <n v="59"/>
    <n v="59"/>
  </r>
  <r>
    <n v="491"/>
    <x v="1"/>
    <x v="9"/>
    <s v="LHCSA"/>
    <s v="Medicaid"/>
    <s v="PRN (NB)"/>
    <m/>
    <x v="4"/>
    <x v="0"/>
    <x v="0"/>
    <x v="1"/>
    <n v="9"/>
    <n v="9"/>
    <n v="8.5"/>
    <n v="9"/>
    <n v="9"/>
    <n v="9"/>
  </r>
  <r>
    <n v="492"/>
    <x v="1"/>
    <x v="9"/>
    <s v="LHCSA"/>
    <s v="Medicaid"/>
    <s v="RN Initial (NB)"/>
    <m/>
    <x v="4"/>
    <x v="0"/>
    <x v="0"/>
    <x v="1"/>
    <n v="3"/>
    <n v="3"/>
    <n v="3"/>
    <n v="3"/>
    <n v="3"/>
    <n v="3"/>
  </r>
  <r>
    <n v="493"/>
    <x v="1"/>
    <x v="9"/>
    <s v="LHCSA"/>
    <s v="Medicaid"/>
    <s v="RN Reassessment (NB)"/>
    <m/>
    <x v="4"/>
    <x v="0"/>
    <x v="0"/>
    <x v="1"/>
    <n v="7"/>
    <n v="7"/>
    <n v="7"/>
    <n v="7"/>
    <n v="7"/>
    <n v="7"/>
  </r>
  <r>
    <n v="494"/>
    <x v="1"/>
    <x v="9"/>
    <s v="LHCSA"/>
    <s v="Medicaid"/>
    <s v="RN Visit 9799 (Hourly)"/>
    <s v="9799"/>
    <x v="4"/>
    <x v="0"/>
    <x v="0"/>
    <x v="1"/>
    <n v="122"/>
    <n v="191"/>
    <n v="188.5"/>
    <n v="120"/>
    <n v="189"/>
    <n v="189"/>
  </r>
  <r>
    <n v="495"/>
    <x v="1"/>
    <x v="16"/>
    <s v="Other"/>
    <s v="Insurance"/>
    <s v="PA Hourly"/>
    <m/>
    <x v="5"/>
    <x v="0"/>
    <x v="3"/>
    <x v="1"/>
    <n v="1"/>
    <n v="14"/>
    <n v="170.5"/>
    <n v="1"/>
    <n v="14"/>
    <n v="170.5"/>
  </r>
  <r>
    <n v="496"/>
    <x v="1"/>
    <x v="16"/>
    <s v="Other"/>
    <s v="Insurance"/>
    <s v="PCA Hourly"/>
    <m/>
    <x v="5"/>
    <x v="0"/>
    <x v="3"/>
    <x v="1"/>
    <n v="68"/>
    <n v="749"/>
    <n v="2326.25"/>
    <n v="64"/>
    <n v="744"/>
    <n v="2312"/>
  </r>
  <r>
    <n v="497"/>
    <x v="1"/>
    <x v="16"/>
    <s v="Other"/>
    <s v="Insurance"/>
    <s v="PCA Live In"/>
    <m/>
    <x v="5"/>
    <x v="0"/>
    <x v="3"/>
    <x v="1"/>
    <n v="1"/>
    <n v="5"/>
    <n v="24"/>
    <n v="1"/>
    <n v="5"/>
    <n v="24"/>
  </r>
  <r>
    <n v="498"/>
    <x v="1"/>
    <x v="16"/>
    <s v="Other"/>
    <s v="Insurance"/>
    <s v="RN Supervision"/>
    <m/>
    <x v="7"/>
    <x v="0"/>
    <x v="2"/>
    <x v="1"/>
    <n v="2"/>
    <n v="604"/>
    <n v="604"/>
    <n v="2"/>
    <n v="604"/>
    <n v="604"/>
  </r>
  <r>
    <n v="499"/>
    <x v="1"/>
    <x v="50"/>
    <s v="MLTC"/>
    <s v="MLTC"/>
    <s v="HHA Hourly"/>
    <s v="S5130:U1::::S5130"/>
    <x v="6"/>
    <x v="0"/>
    <x v="2"/>
    <x v="1"/>
    <n v="1"/>
    <n v="3"/>
    <n v="12"/>
    <n v="0"/>
    <n v="0"/>
    <m/>
  </r>
  <r>
    <n v="500"/>
    <x v="1"/>
    <x v="50"/>
    <s v="MLTC"/>
    <s v="MLTC"/>
    <s v="PCA Hourly"/>
    <s v="T1019:U1"/>
    <x v="2"/>
    <x v="0"/>
    <x v="2"/>
    <x v="1"/>
    <n v="1"/>
    <n v="20"/>
    <n v="80"/>
    <n v="0"/>
    <n v="0"/>
    <m/>
  </r>
  <r>
    <n v="501"/>
    <x v="1"/>
    <x v="50"/>
    <s v="MLTC"/>
    <s v="MLTC"/>
    <s v="RN Initial Visit NB"/>
    <s v="T1019"/>
    <x v="3"/>
    <x v="0"/>
    <x v="2"/>
    <x v="1"/>
    <n v="1"/>
    <n v="1"/>
    <n v="1"/>
    <n v="0"/>
    <n v="0"/>
    <n v="0"/>
  </r>
  <r>
    <n v="502"/>
    <x v="1"/>
    <x v="41"/>
    <s v="CHHA"/>
    <s v="CHHA"/>
    <s v="HHAHOUR"/>
    <m/>
    <x v="0"/>
    <x v="0"/>
    <x v="0"/>
    <x v="0"/>
    <n v="1"/>
    <n v="9"/>
    <n v="34.25"/>
    <n v="1"/>
    <n v="9"/>
    <n v="34.25"/>
  </r>
  <r>
    <n v="503"/>
    <x v="1"/>
    <x v="41"/>
    <s v="CHHA"/>
    <s v="CHHA"/>
    <s v="HHAHRPED"/>
    <s v="99999"/>
    <x v="0"/>
    <x v="0"/>
    <x v="0"/>
    <x v="0"/>
    <n v="7"/>
    <n v="1329"/>
    <n v="9605.5"/>
    <n v="6"/>
    <n v="1307"/>
    <n v="9417"/>
  </r>
  <r>
    <n v="504"/>
    <x v="1"/>
    <x v="10"/>
    <s v="Other"/>
    <s v="Private"/>
    <s v="HHA supervision"/>
    <m/>
    <x v="5"/>
    <x v="0"/>
    <x v="3"/>
    <x v="1"/>
    <n v="1"/>
    <n v="1568"/>
    <n v="393"/>
    <n v="1"/>
    <n v="1568"/>
    <n v="393"/>
  </r>
  <r>
    <n v="505"/>
    <x v="1"/>
    <x v="10"/>
    <s v="Other"/>
    <s v="Private"/>
    <s v="Live In - 1 Hour"/>
    <m/>
    <x v="5"/>
    <x v="0"/>
    <x v="3"/>
    <x v="1"/>
    <n v="1"/>
    <n v="119"/>
    <n v="119"/>
    <n v="1"/>
    <n v="119"/>
    <n v="119"/>
  </r>
  <r>
    <n v="506"/>
    <x v="1"/>
    <x v="10"/>
    <s v="Other"/>
    <s v="Private"/>
    <s v="Live In - 4 Hours"/>
    <m/>
    <x v="5"/>
    <x v="0"/>
    <x v="3"/>
    <x v="1"/>
    <n v="1"/>
    <n v="243"/>
    <n v="972"/>
    <n v="1"/>
    <n v="243"/>
    <n v="972"/>
  </r>
  <r>
    <n v="507"/>
    <x v="1"/>
    <x v="10"/>
    <s v="Other"/>
    <s v="Private"/>
    <s v="Live In - 7 Hours"/>
    <m/>
    <x v="5"/>
    <x v="0"/>
    <x v="3"/>
    <x v="1"/>
    <n v="1"/>
    <n v="37"/>
    <n v="259"/>
    <n v="1"/>
    <n v="37"/>
    <n v="259"/>
  </r>
  <r>
    <n v="508"/>
    <x v="1"/>
    <x v="10"/>
    <s v="Other"/>
    <s v="Private"/>
    <s v="Live In - 8 Hours"/>
    <m/>
    <x v="5"/>
    <x v="0"/>
    <x v="3"/>
    <x v="1"/>
    <n v="1"/>
    <n v="25"/>
    <n v="200"/>
    <n v="1"/>
    <n v="25"/>
    <n v="200"/>
  </r>
  <r>
    <n v="509"/>
    <x v="1"/>
    <x v="10"/>
    <s v="Other"/>
    <s v="Private"/>
    <s v="PA Hourly"/>
    <m/>
    <x v="5"/>
    <x v="0"/>
    <x v="3"/>
    <x v="1"/>
    <n v="1"/>
    <n v="5"/>
    <n v="24.75"/>
    <n v="1"/>
    <n v="5"/>
    <n v="24.75"/>
  </r>
  <r>
    <n v="510"/>
    <x v="1"/>
    <x v="10"/>
    <s v="Other"/>
    <s v="Private"/>
    <s v="PCA Hourly"/>
    <m/>
    <x v="5"/>
    <x v="0"/>
    <x v="3"/>
    <x v="1"/>
    <n v="26"/>
    <n v="510"/>
    <n v="2271.25"/>
    <n v="23"/>
    <n v="507"/>
    <n v="2262.5"/>
  </r>
  <r>
    <n v="511"/>
    <x v="1"/>
    <x v="10"/>
    <s v="Other"/>
    <s v="Private"/>
    <s v="RN Initial (NB)"/>
    <m/>
    <x v="5"/>
    <x v="0"/>
    <x v="3"/>
    <x v="1"/>
    <n v="1"/>
    <n v="8"/>
    <n v="3.75"/>
    <n v="1"/>
    <n v="8"/>
    <n v="8"/>
  </r>
  <r>
    <n v="512"/>
    <x v="1"/>
    <x v="10"/>
    <s v="Other"/>
    <s v="Private"/>
    <s v="RN Initial Visit"/>
    <m/>
    <x v="5"/>
    <x v="0"/>
    <x v="3"/>
    <x v="1"/>
    <n v="1"/>
    <n v="24"/>
    <n v="11.25"/>
    <n v="1"/>
    <n v="24"/>
    <n v="24"/>
  </r>
  <r>
    <n v="513"/>
    <x v="1"/>
    <x v="10"/>
    <s v="Other"/>
    <s v="Private"/>
    <s v="RN Re-Assessment"/>
    <m/>
    <x v="5"/>
    <x v="0"/>
    <x v="3"/>
    <x v="1"/>
    <n v="1"/>
    <n v="1"/>
    <n v="1"/>
    <n v="1"/>
    <n v="1"/>
    <n v="1"/>
  </r>
  <r>
    <n v="514"/>
    <x v="1"/>
    <x v="10"/>
    <s v="Other"/>
    <s v="Private"/>
    <s v="RN Reassessment (NB)"/>
    <m/>
    <x v="5"/>
    <x v="0"/>
    <x v="3"/>
    <x v="1"/>
    <n v="1"/>
    <n v="1"/>
    <n v="0.25"/>
    <n v="1"/>
    <n v="1"/>
    <n v="1"/>
  </r>
  <r>
    <n v="515"/>
    <x v="1"/>
    <x v="17"/>
    <s v="Other"/>
    <s v="Private"/>
    <s v="PA hourly"/>
    <m/>
    <x v="5"/>
    <x v="0"/>
    <x v="3"/>
    <x v="1"/>
    <n v="1"/>
    <n v="202"/>
    <n v="2398"/>
    <n v="1"/>
    <n v="202"/>
    <n v="2398"/>
  </r>
  <r>
    <n v="516"/>
    <x v="1"/>
    <x v="17"/>
    <s v="Other"/>
    <s v="Private"/>
    <s v="PCA Hourly"/>
    <m/>
    <x v="5"/>
    <x v="0"/>
    <x v="3"/>
    <x v="1"/>
    <n v="17"/>
    <n v="793"/>
    <n v="5283.25"/>
    <n v="15"/>
    <n v="769"/>
    <n v="5189.75"/>
  </r>
  <r>
    <n v="517"/>
    <x v="1"/>
    <x v="17"/>
    <s v="Other"/>
    <s v="Private"/>
    <s v="PCA Live-in"/>
    <m/>
    <x v="5"/>
    <x v="0"/>
    <x v="3"/>
    <x v="1"/>
    <n v="1"/>
    <n v="65"/>
    <n v="1538"/>
    <n v="1"/>
    <n v="65"/>
    <n v="845"/>
  </r>
  <r>
    <n v="518"/>
    <x v="1"/>
    <x v="17"/>
    <s v="Other"/>
    <s v="Private"/>
    <s v="PRN (NB)"/>
    <m/>
    <x v="5"/>
    <x v="0"/>
    <x v="3"/>
    <x v="1"/>
    <n v="1"/>
    <n v="1"/>
    <n v="0.5"/>
    <n v="1"/>
    <n v="1"/>
    <n v="1"/>
  </r>
  <r>
    <n v="519"/>
    <x v="1"/>
    <x v="17"/>
    <s v="Other"/>
    <s v="Private"/>
    <s v="RN Initial (NB)"/>
    <m/>
    <x v="5"/>
    <x v="0"/>
    <x v="3"/>
    <x v="1"/>
    <n v="13"/>
    <n v="13"/>
    <n v="6.5"/>
    <n v="12"/>
    <n v="12"/>
    <n v="12"/>
  </r>
  <r>
    <n v="520"/>
    <x v="1"/>
    <x v="17"/>
    <s v="Other"/>
    <s v="Private"/>
    <s v="RN Reassessment (NB)"/>
    <m/>
    <x v="5"/>
    <x v="0"/>
    <x v="3"/>
    <x v="1"/>
    <n v="3"/>
    <n v="3"/>
    <n v="1.5"/>
    <n v="3"/>
    <n v="3"/>
    <n v="3"/>
  </r>
  <r>
    <n v="521"/>
    <x v="1"/>
    <x v="11"/>
    <s v="CHHA"/>
    <s v="CHHA"/>
    <s v="Rate1"/>
    <s v="S9122"/>
    <x v="0"/>
    <x v="0"/>
    <x v="0"/>
    <x v="0"/>
    <n v="7"/>
    <n v="105"/>
    <n v="417"/>
    <n v="6"/>
    <n v="95"/>
    <n v="377"/>
  </r>
  <r>
    <n v="522"/>
    <x v="1"/>
    <x v="51"/>
    <s v="Other"/>
    <s v="MLTC"/>
    <s v="PCA Hourly"/>
    <s v="T1019:U1"/>
    <x v="2"/>
    <x v="0"/>
    <x v="2"/>
    <x v="1"/>
    <n v="1"/>
    <n v="94"/>
    <n v="1119"/>
    <n v="0"/>
    <n v="0"/>
    <m/>
  </r>
  <r>
    <n v="523"/>
    <x v="1"/>
    <x v="51"/>
    <s v="Other"/>
    <s v="MLTC"/>
    <s v="RN Reassessment (NB)"/>
    <m/>
    <x v="3"/>
    <x v="0"/>
    <x v="2"/>
    <x v="1"/>
    <n v="1"/>
    <n v="1"/>
    <n v="1"/>
    <n v="1"/>
    <n v="1"/>
    <n v="1"/>
  </r>
  <r>
    <n v="524"/>
    <x v="1"/>
    <x v="52"/>
    <s v="CHHA"/>
    <s v="CHHA"/>
    <s v="Rate1"/>
    <s v="xxxx"/>
    <x v="0"/>
    <x v="0"/>
    <x v="0"/>
    <x v="0"/>
    <n v="4"/>
    <n v="414"/>
    <n v="2768.5"/>
    <n v="2"/>
    <n v="364"/>
    <n v="2430.5"/>
  </r>
  <r>
    <n v="525"/>
    <x v="1"/>
    <x v="43"/>
    <s v="Other"/>
    <s v="MLTC"/>
    <s v="PRN (NB)"/>
    <m/>
    <x v="3"/>
    <x v="0"/>
    <x v="2"/>
    <x v="1"/>
    <n v="3"/>
    <n v="4"/>
    <n v="4"/>
    <n v="3"/>
    <n v="4"/>
    <n v="4"/>
  </r>
  <r>
    <n v="526"/>
    <x v="1"/>
    <x v="43"/>
    <s v="Other"/>
    <s v="MLTC"/>
    <s v="RN Initial (NB)"/>
    <m/>
    <x v="3"/>
    <x v="0"/>
    <x v="2"/>
    <x v="1"/>
    <n v="9"/>
    <n v="9"/>
    <n v="9"/>
    <n v="7"/>
    <n v="7"/>
    <n v="7"/>
  </r>
  <r>
    <n v="527"/>
    <x v="1"/>
    <x v="43"/>
    <s v="Other"/>
    <s v="MLTC"/>
    <s v="RN Reassessment (NB)"/>
    <m/>
    <x v="3"/>
    <x v="0"/>
    <x v="2"/>
    <x v="1"/>
    <n v="22"/>
    <n v="37"/>
    <n v="37"/>
    <n v="22"/>
    <n v="37"/>
    <n v="37"/>
  </r>
  <r>
    <n v="528"/>
    <x v="1"/>
    <x v="43"/>
    <s v="Other"/>
    <s v="MLTC"/>
    <s v="T1019:U1"/>
    <s v="T1019:U1"/>
    <x v="2"/>
    <x v="0"/>
    <x v="2"/>
    <x v="1"/>
    <n v="35"/>
    <n v="6182"/>
    <n v="44875"/>
    <n v="32"/>
    <n v="6041"/>
    <n v="44132"/>
  </r>
  <r>
    <n v="529"/>
    <x v="1"/>
    <x v="43"/>
    <s v="Other"/>
    <s v="MLTC"/>
    <s v="T1020"/>
    <s v="T1020"/>
    <x v="8"/>
    <x v="0"/>
    <x v="2"/>
    <x v="1"/>
    <n v="2"/>
    <n v="482"/>
    <n v="6266"/>
    <n v="2"/>
    <n v="482"/>
    <n v="6266"/>
  </r>
  <r>
    <n v="533"/>
    <x v="1"/>
    <x v="44"/>
    <s v="Other"/>
    <s v="CDPAP"/>
    <s v="PRN (NB)"/>
    <m/>
    <x v="3"/>
    <x v="0"/>
    <x v="2"/>
    <x v="1"/>
    <n v="1"/>
    <n v="1"/>
    <n v="1"/>
    <n v="1"/>
    <n v="1"/>
    <n v="1"/>
  </r>
  <r>
    <n v="534"/>
    <x v="1"/>
    <x v="44"/>
    <s v="Other"/>
    <s v="CDPAP"/>
    <s v="RN Visit"/>
    <m/>
    <x v="3"/>
    <x v="0"/>
    <x v="2"/>
    <x v="1"/>
    <n v="1"/>
    <n v="1"/>
    <n v="1"/>
    <n v="1"/>
    <n v="1"/>
    <n v="1"/>
  </r>
  <r>
    <n v="535"/>
    <x v="1"/>
    <x v="44"/>
    <s v="Other"/>
    <s v="CDPAP"/>
    <s v="T1019:U1"/>
    <s v="T1019:U1"/>
    <x v="2"/>
    <x v="0"/>
    <x v="2"/>
    <x v="1"/>
    <n v="2"/>
    <n v="133"/>
    <n v="1079.25"/>
    <n v="2"/>
    <n v="133"/>
    <n v="1079.25"/>
  </r>
  <r>
    <n v="536"/>
    <x v="1"/>
    <x v="44"/>
    <s v="Other"/>
    <s v="CDPAP"/>
    <s v="T1019:U6"/>
    <s v="T1019:U6"/>
    <x v="1"/>
    <x v="1"/>
    <x v="1"/>
    <x v="1"/>
    <n v="36"/>
    <n v="8135"/>
    <n v="53003.25"/>
    <n v="32"/>
    <n v="7682"/>
    <n v="50486.25"/>
  </r>
  <r>
    <n v="537"/>
    <x v="1"/>
    <x v="53"/>
    <s v="LHCSA"/>
    <s v="Medicaid"/>
    <s v="HCSS 9879"/>
    <s v="9879"/>
    <x v="4"/>
    <x v="0"/>
    <x v="0"/>
    <x v="1"/>
    <n v="2"/>
    <n v="1318"/>
    <n v="15487.5"/>
    <n v="2"/>
    <n v="1318"/>
    <n v="15487.5"/>
  </r>
  <r>
    <n v="538"/>
    <x v="1"/>
    <x v="53"/>
    <s v="LHCSA"/>
    <s v="Medicaid"/>
    <s v="PRN (NB)"/>
    <m/>
    <x v="4"/>
    <x v="0"/>
    <x v="0"/>
    <x v="1"/>
    <n v="1"/>
    <n v="2"/>
    <n v="1.5"/>
    <n v="1"/>
    <n v="2"/>
    <n v="2"/>
  </r>
  <r>
    <n v="539"/>
    <x v="1"/>
    <x v="53"/>
    <s v="LHCSA"/>
    <s v="Medicaid"/>
    <s v="RN Reassessment (NB)"/>
    <m/>
    <x v="4"/>
    <x v="0"/>
    <x v="0"/>
    <x v="1"/>
    <n v="2"/>
    <n v="4"/>
    <n v="4"/>
    <n v="2"/>
    <n v="4"/>
    <n v="4"/>
  </r>
  <r>
    <n v="540"/>
    <x v="1"/>
    <x v="53"/>
    <s v="LHCSA"/>
    <s v="Medicaid"/>
    <s v="Service Coordination (monthly)"/>
    <s v="9851"/>
    <x v="4"/>
    <x v="0"/>
    <x v="0"/>
    <x v="1"/>
    <n v="2"/>
    <n v="14"/>
    <n v="3.5"/>
    <n v="2"/>
    <n v="14"/>
    <n v="3.5"/>
  </r>
  <r>
    <n v="546"/>
    <x v="1"/>
    <x v="45"/>
    <s v="MCO"/>
    <s v="CDPAP"/>
    <s v="Live In"/>
    <s v="T1020:U6"/>
    <x v="9"/>
    <x v="1"/>
    <x v="1"/>
    <x v="1"/>
    <n v="2"/>
    <n v="95"/>
    <n v="1235"/>
    <n v="1"/>
    <n v="20"/>
    <n v="260"/>
  </r>
  <r>
    <n v="547"/>
    <x v="1"/>
    <x v="45"/>
    <s v="MCO"/>
    <s v="CDPAP"/>
    <s v="PA Hourly"/>
    <s v="T1019:U6"/>
    <x v="1"/>
    <x v="1"/>
    <x v="1"/>
    <x v="1"/>
    <n v="245"/>
    <n v="33692"/>
    <n v="170595.5"/>
    <n v="229"/>
    <n v="33052"/>
    <n v="166843.25"/>
  </r>
  <r>
    <n v="548"/>
    <x v="1"/>
    <x v="45"/>
    <s v="MCO"/>
    <s v="CDPAP"/>
    <s v="PA Hourly Mutual"/>
    <s v="T1019:U7"/>
    <x v="10"/>
    <x v="1"/>
    <x v="1"/>
    <x v="1"/>
    <n v="7"/>
    <n v="496"/>
    <n v="3430.5"/>
    <n v="7"/>
    <n v="496"/>
    <n v="3430.5"/>
  </r>
  <r>
    <n v="549"/>
    <x v="1"/>
    <x v="46"/>
    <s v="MLTC"/>
    <s v="MLTC"/>
    <s v="HHA Hourly - S5125"/>
    <s v="S5125"/>
    <x v="6"/>
    <x v="0"/>
    <x v="2"/>
    <x v="1"/>
    <n v="1"/>
    <n v="8"/>
    <n v="46"/>
    <n v="1"/>
    <n v="8"/>
    <n v="46"/>
  </r>
  <r>
    <n v="550"/>
    <x v="1"/>
    <x v="46"/>
    <s v="MLTC"/>
    <s v="MLTC"/>
    <s v="LPN"/>
    <s v="T1003"/>
    <x v="4"/>
    <x v="0"/>
    <x v="0"/>
    <x v="1"/>
    <n v="1"/>
    <n v="82"/>
    <n v="959.75"/>
    <n v="1"/>
    <n v="82"/>
    <n v="959.75"/>
  </r>
  <r>
    <n v="551"/>
    <x v="1"/>
    <x v="46"/>
    <s v="MLTC"/>
    <s v="MLTC"/>
    <s v="PCA - Live In"/>
    <s v="T1020"/>
    <x v="8"/>
    <x v="0"/>
    <x v="2"/>
    <x v="1"/>
    <n v="16"/>
    <n v="3106"/>
    <n v="40378"/>
    <n v="14"/>
    <n v="3075"/>
    <n v="39975"/>
  </r>
  <r>
    <n v="552"/>
    <x v="1"/>
    <x v="46"/>
    <s v="MLTC"/>
    <s v="MLTC"/>
    <s v="PCA - Live In TV"/>
    <s v="T1020:TV"/>
    <x v="8"/>
    <x v="0"/>
    <x v="2"/>
    <x v="1"/>
    <n v="11"/>
    <n v="349"/>
    <n v="4537"/>
    <n v="11"/>
    <n v="349"/>
    <n v="4537"/>
  </r>
  <r>
    <n v="553"/>
    <x v="1"/>
    <x v="46"/>
    <s v="MLTC"/>
    <s v="MLTC"/>
    <s v="PCA Cluster Care"/>
    <s v="T1019:U3"/>
    <x v="11"/>
    <x v="0"/>
    <x v="2"/>
    <x v="1"/>
    <n v="22"/>
    <n v="1175"/>
    <n v="2644.5"/>
    <n v="22"/>
    <n v="1175"/>
    <n v="2644.5"/>
  </r>
  <r>
    <n v="554"/>
    <x v="1"/>
    <x v="46"/>
    <s v="MLTC"/>
    <s v="MLTC"/>
    <s v="PCA Hourly"/>
    <s v="T1019:U1"/>
    <x v="2"/>
    <x v="0"/>
    <x v="2"/>
    <x v="1"/>
    <n v="289"/>
    <n v="31061"/>
    <n v="161033.25"/>
    <n v="279"/>
    <n v="30761"/>
    <n v="159517.5"/>
  </r>
  <r>
    <n v="555"/>
    <x v="1"/>
    <x v="46"/>
    <s v="MLTC"/>
    <s v="MLTC"/>
    <s v="PCA Hourly"/>
    <s v="T1019:U1:TV"/>
    <x v="2"/>
    <x v="0"/>
    <x v="2"/>
    <x v="1"/>
    <n v="107"/>
    <n v="4691"/>
    <n v="28459.75"/>
    <n v="104"/>
    <n v="4633"/>
    <n v="28205"/>
  </r>
  <r>
    <n v="556"/>
    <x v="1"/>
    <x v="46"/>
    <s v="MLTC"/>
    <s v="MLTC"/>
    <s v="PCA Hourly TV"/>
    <s v="T1019:U1:TV"/>
    <x v="2"/>
    <x v="0"/>
    <x v="2"/>
    <x v="1"/>
    <n v="57"/>
    <n v="699"/>
    <n v="4078.75"/>
    <n v="55"/>
    <n v="675"/>
    <n v="3916.75"/>
  </r>
  <r>
    <n v="557"/>
    <x v="1"/>
    <x v="46"/>
    <s v="MLTC"/>
    <s v="MLTC"/>
    <s v="PRN (NB)"/>
    <m/>
    <x v="3"/>
    <x v="0"/>
    <x v="2"/>
    <x v="1"/>
    <n v="22"/>
    <n v="24"/>
    <n v="24"/>
    <n v="22"/>
    <n v="24"/>
    <n v="24"/>
  </r>
  <r>
    <n v="558"/>
    <x v="1"/>
    <x v="46"/>
    <s v="MLTC"/>
    <s v="MLTC"/>
    <s v="RN Initial (NB)"/>
    <m/>
    <x v="3"/>
    <x v="0"/>
    <x v="2"/>
    <x v="1"/>
    <n v="1"/>
    <n v="1"/>
    <n v="1"/>
    <n v="1"/>
    <n v="1"/>
    <n v="1"/>
  </r>
  <r>
    <n v="559"/>
    <x v="1"/>
    <x v="46"/>
    <s v="MLTC"/>
    <s v="MLTC"/>
    <s v="RN Initial Visit"/>
    <s v="T1030"/>
    <x v="7"/>
    <x v="0"/>
    <x v="2"/>
    <x v="1"/>
    <n v="179"/>
    <n v="179"/>
    <n v="179"/>
    <n v="172"/>
    <n v="172"/>
    <n v="172"/>
  </r>
  <r>
    <n v="560"/>
    <x v="1"/>
    <x v="46"/>
    <s v="MLTC"/>
    <s v="MLTC"/>
    <s v="RN Reassessment (NB)"/>
    <m/>
    <x v="3"/>
    <x v="0"/>
    <x v="2"/>
    <x v="1"/>
    <n v="173"/>
    <n v="259"/>
    <n v="259"/>
    <n v="173"/>
    <n v="259"/>
    <n v="259"/>
  </r>
  <r>
    <n v="561"/>
    <x v="1"/>
    <x v="18"/>
    <s v="MLTC"/>
    <s v="MLTC"/>
    <s v="PRN (NB)"/>
    <m/>
    <x v="3"/>
    <x v="0"/>
    <x v="2"/>
    <x v="1"/>
    <n v="14"/>
    <n v="16"/>
    <n v="16"/>
    <n v="14"/>
    <n v="16"/>
    <n v="16"/>
  </r>
  <r>
    <n v="562"/>
    <x v="1"/>
    <x v="18"/>
    <s v="MLTC"/>
    <s v="MLTC"/>
    <s v="RN Initial (NB)"/>
    <m/>
    <x v="3"/>
    <x v="0"/>
    <x v="2"/>
    <x v="1"/>
    <n v="61"/>
    <n v="61"/>
    <n v="61"/>
    <n v="54"/>
    <n v="54"/>
    <n v="54"/>
  </r>
  <r>
    <n v="563"/>
    <x v="1"/>
    <x v="18"/>
    <s v="MLTC"/>
    <s v="MLTC"/>
    <s v="RN Reassessment (NB)"/>
    <m/>
    <x v="3"/>
    <x v="0"/>
    <x v="2"/>
    <x v="1"/>
    <n v="110"/>
    <n v="165"/>
    <n v="165"/>
    <n v="107"/>
    <n v="161"/>
    <n v="161"/>
  </r>
  <r>
    <n v="564"/>
    <x v="1"/>
    <x v="18"/>
    <s v="MLTC"/>
    <s v="MLTC"/>
    <s v="T1019U1 BX"/>
    <s v="T1019:U1"/>
    <x v="2"/>
    <x v="0"/>
    <x v="2"/>
    <x v="1"/>
    <n v="2"/>
    <n v="152"/>
    <n v="956.25"/>
    <n v="2"/>
    <n v="152"/>
    <n v="956.25"/>
  </r>
  <r>
    <n v="565"/>
    <x v="1"/>
    <x v="18"/>
    <s v="MLTC"/>
    <s v="MLTC"/>
    <s v="T1019U1 K"/>
    <s v="T1019:U1"/>
    <x v="2"/>
    <x v="0"/>
    <x v="2"/>
    <x v="1"/>
    <n v="160"/>
    <n v="24250"/>
    <n v="149856.75"/>
    <n v="142"/>
    <n v="23456"/>
    <n v="145401"/>
  </r>
  <r>
    <n v="566"/>
    <x v="1"/>
    <x v="18"/>
    <s v="MLTC"/>
    <s v="MLTC"/>
    <s v="T1019U1 K MAP"/>
    <s v="T1019:U1"/>
    <x v="2"/>
    <x v="0"/>
    <x v="2"/>
    <x v="1"/>
    <n v="1"/>
    <n v="1"/>
    <n v="5"/>
    <n v="1"/>
    <n v="1"/>
    <n v="5"/>
  </r>
  <r>
    <n v="567"/>
    <x v="1"/>
    <x v="18"/>
    <s v="MLTC"/>
    <s v="MLTC"/>
    <s v="T1019U1 NYC"/>
    <s v="T1019:U1"/>
    <x v="2"/>
    <x v="0"/>
    <x v="2"/>
    <x v="1"/>
    <n v="1"/>
    <n v="66"/>
    <n v="205.75"/>
    <n v="1"/>
    <n v="66"/>
    <n v="205.75"/>
  </r>
  <r>
    <n v="568"/>
    <x v="1"/>
    <x v="18"/>
    <s v="MLTC"/>
    <s v="MLTC"/>
    <s v="T1019U1 QNS"/>
    <s v="T1019:U1"/>
    <x v="2"/>
    <x v="0"/>
    <x v="2"/>
    <x v="1"/>
    <n v="1"/>
    <n v="127"/>
    <n v="1365"/>
    <n v="1"/>
    <n v="127"/>
    <n v="1365"/>
  </r>
  <r>
    <n v="569"/>
    <x v="1"/>
    <x v="18"/>
    <s v="MLTC"/>
    <s v="MLTC"/>
    <s v="T1019U2 K"/>
    <s v="T1019:U2"/>
    <x v="11"/>
    <x v="0"/>
    <x v="2"/>
    <x v="1"/>
    <n v="2"/>
    <n v="100"/>
    <n v="485.5"/>
    <n v="2"/>
    <n v="100"/>
    <n v="485.5"/>
  </r>
  <r>
    <n v="570"/>
    <x v="1"/>
    <x v="18"/>
    <s v="MLTC"/>
    <s v="MLTC"/>
    <s v="T1020 K"/>
    <s v="T1020"/>
    <x v="8"/>
    <x v="0"/>
    <x v="2"/>
    <x v="1"/>
    <n v="14"/>
    <n v="3410"/>
    <n v="44330"/>
    <n v="14"/>
    <n v="3410"/>
    <n v="44330"/>
  </r>
  <r>
    <n v="575"/>
    <x v="1"/>
    <x v="19"/>
    <s v="MLTC"/>
    <s v="CDPAP"/>
    <s v="T1019U6 K"/>
    <s v="T1019:U6"/>
    <x v="1"/>
    <x v="1"/>
    <x v="1"/>
    <x v="1"/>
    <n v="102"/>
    <n v="22510"/>
    <n v="128151.5"/>
    <n v="96"/>
    <n v="22041"/>
    <n v="124961"/>
  </r>
  <r>
    <n v="576"/>
    <x v="1"/>
    <x v="19"/>
    <s v="MLTC"/>
    <s v="CDPAP"/>
    <s v="T1019U6 NYC"/>
    <s v="T1019:U6"/>
    <x v="1"/>
    <x v="1"/>
    <x v="1"/>
    <x v="1"/>
    <n v="1"/>
    <n v="31"/>
    <n v="159"/>
    <n v="0"/>
    <n v="0"/>
    <m/>
  </r>
  <r>
    <n v="577"/>
    <x v="1"/>
    <x v="19"/>
    <s v="MLTC"/>
    <s v="CDPAP"/>
    <s v="T1019U7 K"/>
    <s v="T1019:U7"/>
    <x v="10"/>
    <x v="1"/>
    <x v="1"/>
    <x v="1"/>
    <n v="2"/>
    <n v="944"/>
    <n v="5621.5"/>
    <n v="2"/>
    <n v="944"/>
    <n v="5621.5"/>
  </r>
  <r>
    <n v="578"/>
    <x v="1"/>
    <x v="19"/>
    <s v="MLTC"/>
    <s v="CDPAP"/>
    <s v="T1020U6 K"/>
    <s v="T1020:U6"/>
    <x v="9"/>
    <x v="1"/>
    <x v="1"/>
    <x v="1"/>
    <n v="2"/>
    <n v="161"/>
    <n v="2093"/>
    <n v="1"/>
    <n v="17"/>
    <n v="221"/>
  </r>
  <r>
    <n v="579"/>
    <x v="1"/>
    <x v="48"/>
    <s v="MLTC"/>
    <s v="CDPAP"/>
    <s v="PA Hourly"/>
    <s v="T1019:U6"/>
    <x v="1"/>
    <x v="1"/>
    <x v="1"/>
    <x v="1"/>
    <n v="1"/>
    <n v="3"/>
    <n v="16.25"/>
    <n v="1"/>
    <n v="3"/>
    <n v="16.25"/>
  </r>
  <r>
    <n v="580"/>
    <x v="1"/>
    <x v="20"/>
    <s v="LHCSA"/>
    <s v="MLTC"/>
    <s v="PCA Hourly"/>
    <s v="T1019:U1"/>
    <x v="2"/>
    <x v="0"/>
    <x v="2"/>
    <x v="1"/>
    <n v="1"/>
    <n v="51"/>
    <n v="301"/>
    <n v="0"/>
    <n v="0"/>
    <m/>
  </r>
  <r>
    <n v="581"/>
    <x v="1"/>
    <x v="20"/>
    <s v="LHCSA"/>
    <s v="MLTC"/>
    <s v="PCA Hourly Housekeeping"/>
    <s v="S5130:U1::::S5130"/>
    <x v="6"/>
    <x v="0"/>
    <x v="2"/>
    <x v="1"/>
    <n v="1"/>
    <n v="14"/>
    <n v="52"/>
    <n v="1"/>
    <n v="14"/>
    <n v="52"/>
  </r>
  <r>
    <n v="582"/>
    <x v="1"/>
    <x v="20"/>
    <s v="LHCSA"/>
    <s v="MLTC"/>
    <s v="RN Initial (NB)"/>
    <m/>
    <x v="3"/>
    <x v="0"/>
    <x v="2"/>
    <x v="1"/>
    <n v="3"/>
    <n v="3"/>
    <n v="3"/>
    <n v="2"/>
    <n v="2"/>
    <n v="2"/>
  </r>
  <r>
    <n v="583"/>
    <x v="1"/>
    <x v="20"/>
    <s v="LHCSA"/>
    <s v="MLTC"/>
    <s v="RN Reassessment (NB)"/>
    <m/>
    <x v="3"/>
    <x v="0"/>
    <x v="2"/>
    <x v="1"/>
    <n v="2"/>
    <n v="2"/>
    <n v="2"/>
    <n v="1"/>
    <n v="1"/>
    <n v="1"/>
  </r>
  <r>
    <n v="584"/>
    <x v="1"/>
    <x v="54"/>
    <s v="CHHA"/>
    <s v="CHHA"/>
    <s v="2610"/>
    <s v="2610"/>
    <x v="0"/>
    <x v="0"/>
    <x v="0"/>
    <x v="0"/>
    <n v="283"/>
    <n v="42349"/>
    <n v="374553.75"/>
    <n v="275"/>
    <n v="41993"/>
    <n v="371287.25"/>
  </r>
  <r>
    <n v="585"/>
    <x v="1"/>
    <x v="54"/>
    <s v="CHHA"/>
    <s v="CHHA"/>
    <s v="S9122"/>
    <s v="S9122"/>
    <x v="0"/>
    <x v="0"/>
    <x v="0"/>
    <x v="0"/>
    <n v="2"/>
    <n v="6"/>
    <n v="22"/>
    <n v="2"/>
    <n v="6"/>
    <n v="22"/>
  </r>
  <r>
    <n v="587"/>
    <x v="28"/>
    <x v="7"/>
    <s v="LHCSA"/>
    <s v="CDPAP"/>
    <s v="T1019:U6"/>
    <s v="T1019:U6"/>
    <x v="1"/>
    <x v="1"/>
    <x v="1"/>
    <x v="1"/>
    <n v="2"/>
    <n v="500"/>
    <n v="2522"/>
    <n v="2"/>
    <n v="500"/>
    <n v="2522"/>
  </r>
  <r>
    <n v="590"/>
    <x v="28"/>
    <x v="14"/>
    <s v="MLTC"/>
    <s v="CDPAP"/>
    <s v="PA Hourly"/>
    <s v="T1019:U6"/>
    <x v="1"/>
    <x v="1"/>
    <x v="1"/>
    <x v="1"/>
    <n v="2"/>
    <n v="415"/>
    <n v="3584.75"/>
    <n v="2"/>
    <n v="415"/>
    <n v="3584.75"/>
  </r>
  <r>
    <n v="592"/>
    <x v="29"/>
    <x v="7"/>
    <s v="LHCSA"/>
    <s v="CDPAP"/>
    <s v="T1019:U6"/>
    <s v="T1019:U6"/>
    <x v="1"/>
    <x v="1"/>
    <x v="1"/>
    <x v="1"/>
    <n v="5"/>
    <n v="684"/>
    <n v="3477"/>
    <n v="5"/>
    <n v="684"/>
    <n v="3477"/>
  </r>
  <r>
    <n v="594"/>
    <x v="29"/>
    <x v="14"/>
    <s v="MLTC"/>
    <s v="CDPAP"/>
    <s v="PA Hourly"/>
    <s v="T1019:U6"/>
    <x v="1"/>
    <x v="1"/>
    <x v="1"/>
    <x v="1"/>
    <n v="1"/>
    <n v="277"/>
    <n v="873"/>
    <n v="1"/>
    <n v="277"/>
    <n v="873"/>
  </r>
  <r>
    <n v="596"/>
    <x v="30"/>
    <x v="7"/>
    <s v="LHCSA"/>
    <s v="CDPAP"/>
    <s v="T1019:U6"/>
    <s v="T1019:U6"/>
    <x v="1"/>
    <x v="1"/>
    <x v="1"/>
    <x v="1"/>
    <n v="3"/>
    <n v="301"/>
    <n v="1280.5"/>
    <n v="3"/>
    <n v="301"/>
    <n v="1280.5"/>
  </r>
  <r>
    <n v="600"/>
    <x v="30"/>
    <x v="19"/>
    <s v="MLTC"/>
    <s v="CDPAP"/>
    <s v="T1019U6 MAD"/>
    <s v="T1019:U6"/>
    <x v="1"/>
    <x v="1"/>
    <x v="1"/>
    <x v="1"/>
    <n v="5"/>
    <n v="1076"/>
    <n v="6161.25"/>
    <n v="5"/>
    <n v="1076"/>
    <n v="6161.25"/>
  </r>
  <r>
    <n v="601"/>
    <x v="4"/>
    <x v="47"/>
    <s v="MCO"/>
    <s v="CDPAP"/>
    <s v="PA Hourly"/>
    <s v="T1019:U6"/>
    <x v="1"/>
    <x v="1"/>
    <x v="1"/>
    <x v="1"/>
    <n v="10"/>
    <n v="771"/>
    <n v="3447.75"/>
    <n v="9"/>
    <n v="684"/>
    <n v="3189.5"/>
  </r>
  <r>
    <n v="604"/>
    <x v="4"/>
    <x v="7"/>
    <s v="LHCSA"/>
    <s v="CDPAP"/>
    <s v="T1019:U6"/>
    <s v="T1019:U6"/>
    <x v="1"/>
    <x v="1"/>
    <x v="1"/>
    <x v="1"/>
    <n v="34"/>
    <n v="5438"/>
    <n v="24882.25"/>
    <n v="34"/>
    <n v="5438"/>
    <n v="24882.25"/>
  </r>
  <r>
    <n v="607"/>
    <x v="4"/>
    <x v="14"/>
    <s v="MLTC"/>
    <s v="CDPAP"/>
    <s v="PA Hourly"/>
    <s v="T1019:U6"/>
    <x v="1"/>
    <x v="1"/>
    <x v="1"/>
    <x v="1"/>
    <n v="9"/>
    <n v="1779"/>
    <n v="11779.75"/>
    <n v="9"/>
    <n v="1779"/>
    <n v="11779.75"/>
  </r>
  <r>
    <n v="612"/>
    <x v="4"/>
    <x v="19"/>
    <s v="MLTC"/>
    <s v="CDPAP"/>
    <s v="T1019U6 MRE"/>
    <s v="T1019:U6"/>
    <x v="1"/>
    <x v="1"/>
    <x v="1"/>
    <x v="1"/>
    <n v="98"/>
    <n v="19459"/>
    <n v="82692.5"/>
    <n v="97"/>
    <n v="19423"/>
    <n v="82512.5"/>
  </r>
  <r>
    <n v="613"/>
    <x v="4"/>
    <x v="19"/>
    <s v="MLTC"/>
    <s v="CDPAP"/>
    <s v="T1019U6 MRE MAP"/>
    <s v="T1019:U6"/>
    <x v="1"/>
    <x v="1"/>
    <x v="1"/>
    <x v="1"/>
    <n v="1"/>
    <n v="6"/>
    <n v="17"/>
    <n v="1"/>
    <n v="6"/>
    <n v="17"/>
  </r>
  <r>
    <n v="614"/>
    <x v="4"/>
    <x v="19"/>
    <s v="MLTC"/>
    <s v="CDPAP"/>
    <s v="T1019U6 SUF"/>
    <s v="T1019:U6"/>
    <x v="1"/>
    <x v="1"/>
    <x v="1"/>
    <x v="1"/>
    <n v="1"/>
    <n v="305"/>
    <n v="1216.75"/>
    <n v="1"/>
    <n v="305"/>
    <n v="1216.75"/>
  </r>
  <r>
    <n v="615"/>
    <x v="31"/>
    <x v="6"/>
    <s v="LHCSA"/>
    <s v="MLTC"/>
    <s v="RN Initial (NB)"/>
    <m/>
    <x v="3"/>
    <x v="0"/>
    <x v="2"/>
    <x v="1"/>
    <n v="2"/>
    <n v="2"/>
    <n v="2"/>
    <n v="2"/>
    <n v="2"/>
    <n v="2"/>
  </r>
  <r>
    <n v="616"/>
    <x v="31"/>
    <x v="6"/>
    <s v="LHCSA"/>
    <s v="MLTC"/>
    <s v="RN Initial Assement"/>
    <s v="T2024"/>
    <x v="3"/>
    <x v="0"/>
    <x v="2"/>
    <x v="1"/>
    <n v="2"/>
    <n v="2"/>
    <n v="2"/>
    <n v="2"/>
    <n v="2"/>
    <n v="2"/>
  </r>
  <r>
    <n v="617"/>
    <x v="31"/>
    <x v="6"/>
    <s v="LHCSA"/>
    <s v="MLTC"/>
    <s v="RN Reassessment (NB)"/>
    <m/>
    <x v="3"/>
    <x v="0"/>
    <x v="2"/>
    <x v="1"/>
    <n v="2"/>
    <n v="2"/>
    <n v="2"/>
    <n v="2"/>
    <n v="2"/>
    <n v="2"/>
  </r>
  <r>
    <n v="618"/>
    <x v="31"/>
    <x v="6"/>
    <s v="LHCSA"/>
    <s v="MLTC"/>
    <s v="T1019:U1"/>
    <s v="T1019:U1"/>
    <x v="2"/>
    <x v="0"/>
    <x v="2"/>
    <x v="1"/>
    <n v="4"/>
    <n v="247"/>
    <n v="952.25"/>
    <n v="4"/>
    <n v="247"/>
    <n v="952.25"/>
  </r>
  <r>
    <n v="621"/>
    <x v="31"/>
    <x v="7"/>
    <s v="LHCSA"/>
    <s v="CDPAP"/>
    <s v="T1019:U6"/>
    <s v="T1019:U6"/>
    <x v="1"/>
    <x v="1"/>
    <x v="1"/>
    <x v="1"/>
    <n v="18"/>
    <n v="2484"/>
    <n v="12301.75"/>
    <n v="18"/>
    <n v="2484"/>
    <n v="12301.75"/>
  </r>
  <r>
    <n v="622"/>
    <x v="31"/>
    <x v="13"/>
    <s v="MLTC"/>
    <s v="MLTC"/>
    <s v="RN Initial (NB)"/>
    <s v="G0162"/>
    <x v="3"/>
    <x v="0"/>
    <x v="2"/>
    <x v="1"/>
    <n v="1"/>
    <n v="1"/>
    <n v="1"/>
    <n v="1"/>
    <n v="1"/>
    <n v="1"/>
  </r>
  <r>
    <n v="623"/>
    <x v="31"/>
    <x v="14"/>
    <s v="MLTC"/>
    <s v="CDPAP"/>
    <s v="PA Hourly"/>
    <s v="T1019:U6"/>
    <x v="1"/>
    <x v="1"/>
    <x v="1"/>
    <x v="1"/>
    <n v="1"/>
    <n v="84"/>
    <n v="334.75"/>
    <n v="1"/>
    <n v="84"/>
    <n v="334.75"/>
  </r>
  <r>
    <n v="626"/>
    <x v="31"/>
    <x v="19"/>
    <s v="MLTC"/>
    <s v="CDPAP"/>
    <s v="T1019U6 MGY"/>
    <s v="T1019:U6"/>
    <x v="1"/>
    <x v="1"/>
    <x v="1"/>
    <x v="1"/>
    <n v="9"/>
    <n v="1975"/>
    <n v="8225.75"/>
    <n v="9"/>
    <n v="1975"/>
    <n v="8225.75"/>
  </r>
  <r>
    <n v="627"/>
    <x v="31"/>
    <x v="19"/>
    <s v="MLTC"/>
    <s v="CDPAP"/>
    <s v="T1019U6 MGY MAP"/>
    <s v="T1019:U6"/>
    <x v="1"/>
    <x v="1"/>
    <x v="1"/>
    <x v="1"/>
    <n v="1"/>
    <n v="72"/>
    <n v="413.25"/>
    <n v="1"/>
    <n v="72"/>
    <n v="413.25"/>
  </r>
  <r>
    <n v="628"/>
    <x v="0"/>
    <x v="0"/>
    <s v="CHHA"/>
    <s v="CHHA"/>
    <s v="HHA1"/>
    <s v="S9122"/>
    <x v="0"/>
    <x v="0"/>
    <x v="0"/>
    <x v="0"/>
    <n v="38"/>
    <n v="879"/>
    <n v="3383.25"/>
    <n v="28"/>
    <n v="583"/>
    <n v="2260.75"/>
  </r>
  <r>
    <n v="629"/>
    <x v="0"/>
    <x v="0"/>
    <s v="CHHA"/>
    <s v="CHHA"/>
    <s v="HHAPEDSV"/>
    <s v="S9122"/>
    <x v="0"/>
    <x v="0"/>
    <x v="0"/>
    <x v="0"/>
    <n v="54"/>
    <n v="6841"/>
    <n v="40890"/>
    <n v="50"/>
    <n v="6663"/>
    <n v="39749.5"/>
  </r>
  <r>
    <n v="631"/>
    <x v="0"/>
    <x v="55"/>
    <s v="MLTC"/>
    <s v="CDPAP"/>
    <s v="PA HOURLY"/>
    <s v="T1019:U6"/>
    <x v="1"/>
    <x v="1"/>
    <x v="1"/>
    <x v="1"/>
    <n v="1"/>
    <n v="96"/>
    <n v="592"/>
    <n v="0"/>
    <n v="0"/>
    <m/>
  </r>
  <r>
    <n v="632"/>
    <x v="0"/>
    <x v="21"/>
    <s v="MCO"/>
    <s v="Medicaid"/>
    <s v="PCA HOURLY"/>
    <s v="T1019:U1"/>
    <x v="2"/>
    <x v="0"/>
    <x v="2"/>
    <x v="1"/>
    <n v="2"/>
    <n v="57"/>
    <n v="235.5"/>
    <n v="2"/>
    <n v="57"/>
    <n v="235.5"/>
  </r>
  <r>
    <n v="633"/>
    <x v="0"/>
    <x v="21"/>
    <s v="MCO"/>
    <s v="Medicaid"/>
    <s v="RN Initial (NB)"/>
    <m/>
    <x v="3"/>
    <x v="0"/>
    <x v="2"/>
    <x v="1"/>
    <n v="1"/>
    <n v="1"/>
    <n v="1"/>
    <n v="1"/>
    <n v="1"/>
    <n v="1"/>
  </r>
  <r>
    <n v="634"/>
    <x v="0"/>
    <x v="21"/>
    <s v="MCO"/>
    <s v="Medicaid"/>
    <s v="RN Initial-NB"/>
    <s v="T1019"/>
    <x v="3"/>
    <x v="0"/>
    <x v="2"/>
    <x v="1"/>
    <n v="1"/>
    <n v="1"/>
    <n v="1"/>
    <n v="1"/>
    <n v="1"/>
    <n v="1"/>
  </r>
  <r>
    <n v="635"/>
    <x v="0"/>
    <x v="26"/>
    <s v="Other"/>
    <s v="MLTC"/>
    <s v="RN Reassessment (NB)"/>
    <m/>
    <x v="4"/>
    <x v="0"/>
    <x v="0"/>
    <x v="1"/>
    <n v="1"/>
    <n v="2"/>
    <n v="2"/>
    <n v="1"/>
    <n v="2"/>
    <n v="2"/>
  </r>
  <r>
    <n v="636"/>
    <x v="0"/>
    <x v="26"/>
    <s v="Other"/>
    <s v="MLTC"/>
    <s v="T1019:U1"/>
    <s v="T1019:U1"/>
    <x v="4"/>
    <x v="0"/>
    <x v="0"/>
    <x v="1"/>
    <n v="1"/>
    <n v="155"/>
    <n v="929.75"/>
    <n v="1"/>
    <n v="155"/>
    <n v="929.75"/>
  </r>
  <r>
    <n v="637"/>
    <x v="0"/>
    <x v="27"/>
    <s v="Other"/>
    <s v="CDPAP"/>
    <s v="T1019:U6"/>
    <s v="T1019:U6"/>
    <x v="4"/>
    <x v="0"/>
    <x v="0"/>
    <x v="1"/>
    <n v="2"/>
    <n v="426"/>
    <n v="1725.25"/>
    <n v="2"/>
    <n v="426"/>
    <n v="1725.25"/>
  </r>
  <r>
    <n v="638"/>
    <x v="0"/>
    <x v="28"/>
    <s v="MLTC"/>
    <s v="MLTC"/>
    <s v="PCA Hourly"/>
    <s v="T1019:U1"/>
    <x v="2"/>
    <x v="0"/>
    <x v="2"/>
    <x v="1"/>
    <n v="40"/>
    <n v="4381"/>
    <n v="22414.5"/>
    <n v="34"/>
    <n v="4012"/>
    <n v="20553.5"/>
  </r>
  <r>
    <n v="639"/>
    <x v="0"/>
    <x v="28"/>
    <s v="MLTC"/>
    <s v="MLTC"/>
    <s v="PCA Hourly LI &amp; Westchester"/>
    <s v="T1019:U1"/>
    <x v="2"/>
    <x v="0"/>
    <x v="2"/>
    <x v="1"/>
    <n v="16"/>
    <n v="1343"/>
    <n v="7194.75"/>
    <n v="15"/>
    <n v="1341"/>
    <n v="7174"/>
  </r>
  <r>
    <n v="640"/>
    <x v="0"/>
    <x v="28"/>
    <s v="MLTC"/>
    <s v="MLTC"/>
    <s v="PRN (NB)"/>
    <m/>
    <x v="3"/>
    <x v="0"/>
    <x v="2"/>
    <x v="1"/>
    <n v="2"/>
    <n v="2"/>
    <n v="2"/>
    <n v="1"/>
    <n v="1"/>
    <n v="1"/>
  </r>
  <r>
    <n v="641"/>
    <x v="0"/>
    <x v="28"/>
    <s v="MLTC"/>
    <s v="MLTC"/>
    <s v="RN Initial (NB)"/>
    <m/>
    <x v="3"/>
    <x v="0"/>
    <x v="2"/>
    <x v="1"/>
    <n v="31"/>
    <n v="31"/>
    <n v="31"/>
    <n v="28"/>
    <n v="28"/>
    <n v="28"/>
  </r>
  <r>
    <n v="642"/>
    <x v="0"/>
    <x v="28"/>
    <s v="MLTC"/>
    <s v="MLTC"/>
    <s v="RN Reassessment (NB)"/>
    <m/>
    <x v="3"/>
    <x v="0"/>
    <x v="2"/>
    <x v="1"/>
    <n v="21"/>
    <n v="32"/>
    <n v="32"/>
    <n v="19"/>
    <n v="30"/>
    <n v="30"/>
  </r>
  <r>
    <n v="646"/>
    <x v="0"/>
    <x v="1"/>
    <s v="MLTC"/>
    <s v="CDPAP"/>
    <s v="PA Hourly - 5 Boroughs"/>
    <s v="T1019:U6"/>
    <x v="1"/>
    <x v="1"/>
    <x v="1"/>
    <x v="1"/>
    <n v="9"/>
    <n v="1333"/>
    <n v="4979.5"/>
    <n v="9"/>
    <n v="1333"/>
    <n v="4979.5"/>
  </r>
  <r>
    <n v="647"/>
    <x v="0"/>
    <x v="1"/>
    <s v="MLTC"/>
    <s v="CDPAP"/>
    <s v="PA Hourly - Nassau/Suffolk/Westchester:"/>
    <s v="T1019:U6"/>
    <x v="1"/>
    <x v="1"/>
    <x v="1"/>
    <x v="1"/>
    <n v="51"/>
    <n v="10452"/>
    <n v="47819.25"/>
    <n v="49"/>
    <n v="10269"/>
    <n v="46764.25"/>
  </r>
  <r>
    <n v="648"/>
    <x v="0"/>
    <x v="29"/>
    <s v="MLTC"/>
    <s v="MLTC"/>
    <s v="PRN (NB)"/>
    <m/>
    <x v="3"/>
    <x v="0"/>
    <x v="2"/>
    <x v="1"/>
    <n v="1"/>
    <n v="1"/>
    <n v="1"/>
    <n v="1"/>
    <n v="1"/>
    <n v="1"/>
  </r>
  <r>
    <n v="649"/>
    <x v="0"/>
    <x v="29"/>
    <s v="MLTC"/>
    <s v="MLTC"/>
    <s v="RN Initial (NB)"/>
    <m/>
    <x v="3"/>
    <x v="0"/>
    <x v="2"/>
    <x v="1"/>
    <n v="24"/>
    <n v="24"/>
    <n v="24"/>
    <n v="19"/>
    <n v="19"/>
    <n v="19"/>
  </r>
  <r>
    <n v="650"/>
    <x v="0"/>
    <x v="29"/>
    <s v="MLTC"/>
    <s v="MLTC"/>
    <s v="RN Reassessment (NB)"/>
    <m/>
    <x v="3"/>
    <x v="0"/>
    <x v="2"/>
    <x v="1"/>
    <n v="11"/>
    <n v="15"/>
    <n v="15"/>
    <n v="10"/>
    <n v="14"/>
    <n v="14"/>
  </r>
  <r>
    <n v="651"/>
    <x v="0"/>
    <x v="29"/>
    <s v="MLTC"/>
    <s v="MLTC"/>
    <s v="T1019:U1"/>
    <s v="T1019:U1"/>
    <x v="2"/>
    <x v="0"/>
    <x v="2"/>
    <x v="1"/>
    <n v="33"/>
    <n v="3772"/>
    <n v="19781.5"/>
    <n v="28"/>
    <n v="3472"/>
    <n v="18041.25"/>
  </r>
  <r>
    <n v="652"/>
    <x v="0"/>
    <x v="29"/>
    <s v="MLTC"/>
    <s v="MLTC"/>
    <s v="T1020"/>
    <s v="T1020"/>
    <x v="8"/>
    <x v="0"/>
    <x v="2"/>
    <x v="1"/>
    <n v="2"/>
    <n v="298"/>
    <n v="3874"/>
    <n v="2"/>
    <n v="298"/>
    <n v="3874"/>
  </r>
  <r>
    <n v="655"/>
    <x v="0"/>
    <x v="30"/>
    <s v="MLTC"/>
    <s v="CDPAP"/>
    <s v="T1019:U6"/>
    <s v="T1019:U6"/>
    <x v="1"/>
    <x v="1"/>
    <x v="1"/>
    <x v="1"/>
    <n v="17"/>
    <n v="2211"/>
    <n v="10487.75"/>
    <n v="13"/>
    <n v="1835"/>
    <n v="8508.25"/>
  </r>
  <r>
    <n v="657"/>
    <x v="0"/>
    <x v="31"/>
    <s v="MLTC"/>
    <s v="CDPAP"/>
    <s v="PA Hourly - Long Island &amp; Westchester"/>
    <s v="T1019:U6:U4"/>
    <x v="12"/>
    <x v="1"/>
    <x v="1"/>
    <x v="1"/>
    <n v="1"/>
    <n v="97"/>
    <n v="418"/>
    <n v="1"/>
    <n v="97"/>
    <n v="418"/>
  </r>
  <r>
    <n v="658"/>
    <x v="0"/>
    <x v="31"/>
    <s v="MLTC"/>
    <s v="CDPAP"/>
    <s v="PA Hourly Mutual Long Island &amp; Westchester"/>
    <s v="T1019:U7:U4"/>
    <x v="13"/>
    <x v="1"/>
    <x v="1"/>
    <x v="1"/>
    <n v="2"/>
    <n v="522"/>
    <n v="3131.75"/>
    <n v="2"/>
    <n v="522"/>
    <n v="3131.75"/>
  </r>
  <r>
    <n v="659"/>
    <x v="0"/>
    <x v="32"/>
    <s v="MLTC"/>
    <s v="MLTC"/>
    <s v="PCA Hourly - LI Westchester"/>
    <s v="T1019:U4"/>
    <x v="14"/>
    <x v="0"/>
    <x v="2"/>
    <x v="1"/>
    <n v="2"/>
    <n v="73"/>
    <n v="600"/>
    <n v="2"/>
    <n v="73"/>
    <n v="600"/>
  </r>
  <r>
    <n v="660"/>
    <x v="0"/>
    <x v="32"/>
    <s v="MLTC"/>
    <s v="MLTC"/>
    <s v="PCA Hourly Mutual - LI Westchester"/>
    <s v="T1019 U5"/>
    <x v="11"/>
    <x v="0"/>
    <x v="2"/>
    <x v="1"/>
    <n v="2"/>
    <n v="311"/>
    <n v="2174"/>
    <n v="2"/>
    <n v="311"/>
    <n v="2174"/>
  </r>
  <r>
    <n v="661"/>
    <x v="0"/>
    <x v="32"/>
    <s v="MLTC"/>
    <s v="MLTC"/>
    <s v="RN Initial (NB)"/>
    <m/>
    <x v="3"/>
    <x v="0"/>
    <x v="2"/>
    <x v="1"/>
    <n v="1"/>
    <n v="1"/>
    <n v="1"/>
    <n v="1"/>
    <n v="1"/>
    <n v="1"/>
  </r>
  <r>
    <n v="662"/>
    <x v="0"/>
    <x v="32"/>
    <s v="MLTC"/>
    <s v="MLTC"/>
    <s v="RN Reassessment (NB)"/>
    <m/>
    <x v="3"/>
    <x v="0"/>
    <x v="2"/>
    <x v="1"/>
    <n v="2"/>
    <n v="2"/>
    <n v="2"/>
    <n v="2"/>
    <n v="2"/>
    <n v="2"/>
  </r>
  <r>
    <n v="665"/>
    <x v="0"/>
    <x v="2"/>
    <s v="Other"/>
    <s v="CDPAP"/>
    <s v="PA Hourly (New)"/>
    <s v="T1019:U6"/>
    <x v="1"/>
    <x v="1"/>
    <x v="1"/>
    <x v="1"/>
    <n v="7"/>
    <n v="1195"/>
    <n v="7862.25"/>
    <n v="6"/>
    <n v="1074"/>
    <n v="7204.25"/>
  </r>
  <r>
    <n v="666"/>
    <x v="0"/>
    <x v="2"/>
    <s v="Other"/>
    <s v="CDPAP"/>
    <s v="PA Hourly - Long Island &amp; Westchester"/>
    <s v="T1019:U6"/>
    <x v="1"/>
    <x v="1"/>
    <x v="1"/>
    <x v="1"/>
    <n v="11"/>
    <n v="1886"/>
    <n v="12479"/>
    <n v="11"/>
    <n v="1886"/>
    <n v="12479"/>
  </r>
  <r>
    <n v="667"/>
    <x v="0"/>
    <x v="3"/>
    <s v="Other"/>
    <s v="MLTC"/>
    <s v="PCA Hourly - Mutual Long Island"/>
    <s v="T1019:U2"/>
    <x v="11"/>
    <x v="0"/>
    <x v="2"/>
    <x v="1"/>
    <n v="2"/>
    <n v="215"/>
    <n v="2513.75"/>
    <n v="2"/>
    <n v="215"/>
    <n v="2513.75"/>
  </r>
  <r>
    <n v="668"/>
    <x v="0"/>
    <x v="3"/>
    <s v="Other"/>
    <s v="MLTC"/>
    <s v="PCA Hourly LI &amp; Westchester"/>
    <s v="T1019:U1"/>
    <x v="2"/>
    <x v="0"/>
    <x v="2"/>
    <x v="1"/>
    <n v="22"/>
    <n v="2506"/>
    <n v="18950"/>
    <n v="22"/>
    <n v="2506"/>
    <n v="18950"/>
  </r>
  <r>
    <n v="669"/>
    <x v="0"/>
    <x v="3"/>
    <s v="Other"/>
    <s v="MLTC"/>
    <s v="PCA Hourly NYC"/>
    <s v="T1019:U1"/>
    <x v="2"/>
    <x v="0"/>
    <x v="2"/>
    <x v="1"/>
    <n v="6"/>
    <n v="635"/>
    <n v="4191.5"/>
    <n v="6"/>
    <n v="635"/>
    <n v="4191.5"/>
  </r>
  <r>
    <n v="670"/>
    <x v="0"/>
    <x v="3"/>
    <s v="Other"/>
    <s v="MLTC"/>
    <s v="PCA Live In"/>
    <s v="T1020"/>
    <x v="8"/>
    <x v="0"/>
    <x v="2"/>
    <x v="1"/>
    <n v="2"/>
    <n v="17"/>
    <n v="221"/>
    <n v="2"/>
    <n v="17"/>
    <n v="221"/>
  </r>
  <r>
    <n v="671"/>
    <x v="0"/>
    <x v="3"/>
    <s v="Other"/>
    <s v="MLTC"/>
    <s v="PRN (NB)"/>
    <m/>
    <x v="3"/>
    <x v="0"/>
    <x v="2"/>
    <x v="1"/>
    <n v="3"/>
    <n v="3"/>
    <n v="3"/>
    <n v="3"/>
    <n v="3"/>
    <n v="3"/>
  </r>
  <r>
    <n v="672"/>
    <x v="0"/>
    <x v="3"/>
    <s v="Other"/>
    <s v="MLTC"/>
    <s v="RN Initial (NB)"/>
    <m/>
    <x v="3"/>
    <x v="0"/>
    <x v="2"/>
    <x v="1"/>
    <n v="16"/>
    <n v="16"/>
    <n v="16"/>
    <n v="16"/>
    <n v="16"/>
    <n v="16"/>
  </r>
  <r>
    <n v="673"/>
    <x v="0"/>
    <x v="3"/>
    <s v="Other"/>
    <s v="MLTC"/>
    <s v="RN Reassessment (NB)"/>
    <m/>
    <x v="3"/>
    <x v="0"/>
    <x v="2"/>
    <x v="1"/>
    <n v="9"/>
    <n v="16"/>
    <n v="16"/>
    <n v="9"/>
    <n v="16"/>
    <n v="16"/>
  </r>
  <r>
    <n v="674"/>
    <x v="0"/>
    <x v="4"/>
    <s v="CHHA"/>
    <s v="CHHA"/>
    <s v="Rate3"/>
    <m/>
    <x v="0"/>
    <x v="0"/>
    <x v="0"/>
    <x v="0"/>
    <n v="12"/>
    <n v="1322"/>
    <n v="7343.75"/>
    <n v="11"/>
    <n v="1288"/>
    <n v="7152.75"/>
  </r>
  <r>
    <n v="675"/>
    <x v="0"/>
    <x v="5"/>
    <s v="CHHA"/>
    <s v="CHHA"/>
    <s v="PedCode95"/>
    <s v="-"/>
    <x v="0"/>
    <x v="0"/>
    <x v="0"/>
    <x v="0"/>
    <n v="13"/>
    <n v="1222"/>
    <n v="7853.5"/>
    <n v="12"/>
    <n v="1208"/>
    <n v="7735"/>
  </r>
  <r>
    <n v="676"/>
    <x v="0"/>
    <x v="5"/>
    <s v="CHHA"/>
    <s v="CHHA"/>
    <s v="Rate1"/>
    <m/>
    <x v="0"/>
    <x v="0"/>
    <x v="0"/>
    <x v="0"/>
    <n v="33"/>
    <n v="1078"/>
    <n v="5136.25"/>
    <n v="27"/>
    <n v="1029"/>
    <n v="4940.75"/>
  </r>
  <r>
    <n v="677"/>
    <x v="0"/>
    <x v="5"/>
    <s v="CHHA"/>
    <s v="CHHA"/>
    <s v="Rate4HMO"/>
    <s v="0"/>
    <x v="0"/>
    <x v="0"/>
    <x v="0"/>
    <x v="0"/>
    <n v="1"/>
    <n v="7"/>
    <n v="26"/>
    <n v="0"/>
    <n v="0"/>
    <m/>
  </r>
  <r>
    <n v="678"/>
    <x v="0"/>
    <x v="6"/>
    <s v="LHCSA"/>
    <s v="MLTC"/>
    <s v="PRN (NB)"/>
    <m/>
    <x v="3"/>
    <x v="0"/>
    <x v="2"/>
    <x v="1"/>
    <n v="4"/>
    <n v="4"/>
    <n v="4"/>
    <n v="4"/>
    <n v="4"/>
    <n v="4"/>
  </r>
  <r>
    <n v="679"/>
    <x v="0"/>
    <x v="6"/>
    <s v="LHCSA"/>
    <s v="MLTC"/>
    <s v="RN Initial (NB)"/>
    <m/>
    <x v="3"/>
    <x v="0"/>
    <x v="2"/>
    <x v="1"/>
    <n v="27"/>
    <n v="27"/>
    <n v="27"/>
    <n v="25"/>
    <n v="25"/>
    <n v="25"/>
  </r>
  <r>
    <n v="680"/>
    <x v="0"/>
    <x v="6"/>
    <s v="LHCSA"/>
    <s v="MLTC"/>
    <s v="RN Initial Assement"/>
    <s v="T2024"/>
    <x v="3"/>
    <x v="0"/>
    <x v="2"/>
    <x v="1"/>
    <n v="22"/>
    <n v="22"/>
    <n v="22"/>
    <n v="22"/>
    <n v="22"/>
    <n v="22"/>
  </r>
  <r>
    <n v="681"/>
    <x v="0"/>
    <x v="6"/>
    <s v="LHCSA"/>
    <s v="MLTC"/>
    <s v="RN Reassessment (NB)"/>
    <m/>
    <x v="3"/>
    <x v="0"/>
    <x v="2"/>
    <x v="1"/>
    <n v="27"/>
    <n v="34"/>
    <n v="34"/>
    <n v="27"/>
    <n v="34"/>
    <n v="34"/>
  </r>
  <r>
    <n v="682"/>
    <x v="0"/>
    <x v="6"/>
    <s v="LHCSA"/>
    <s v="MLTC"/>
    <s v="T1019:U1"/>
    <s v="T1019:U1"/>
    <x v="2"/>
    <x v="0"/>
    <x v="2"/>
    <x v="1"/>
    <n v="64"/>
    <n v="7102"/>
    <n v="44546.25"/>
    <n v="62"/>
    <n v="7039"/>
    <n v="44228.5"/>
  </r>
  <r>
    <n v="683"/>
    <x v="0"/>
    <x v="6"/>
    <s v="LHCSA"/>
    <s v="MLTC"/>
    <s v="T1019:U3"/>
    <s v="T1019:U3"/>
    <x v="11"/>
    <x v="0"/>
    <x v="2"/>
    <x v="1"/>
    <n v="4"/>
    <n v="457"/>
    <n v="809.25"/>
    <n v="4"/>
    <n v="457"/>
    <n v="809.25"/>
  </r>
  <r>
    <n v="684"/>
    <x v="0"/>
    <x v="6"/>
    <s v="LHCSA"/>
    <s v="MLTC"/>
    <s v="T1020"/>
    <s v="T1020"/>
    <x v="8"/>
    <x v="0"/>
    <x v="2"/>
    <x v="1"/>
    <n v="1"/>
    <n v="370"/>
    <n v="4810"/>
    <n v="1"/>
    <n v="370"/>
    <n v="4810"/>
  </r>
  <r>
    <n v="687"/>
    <x v="0"/>
    <x v="7"/>
    <s v="LHCSA"/>
    <s v="CDPAP"/>
    <s v="T1019:U6"/>
    <s v="T1019:U6"/>
    <x v="1"/>
    <x v="1"/>
    <x v="1"/>
    <x v="1"/>
    <n v="30"/>
    <n v="5023"/>
    <n v="25671.25"/>
    <n v="29"/>
    <n v="4983"/>
    <n v="25334.25"/>
  </r>
  <r>
    <n v="688"/>
    <x v="0"/>
    <x v="13"/>
    <s v="MLTC"/>
    <s v="MLTC"/>
    <s v="PCA Hourly"/>
    <s v="T1019:U1"/>
    <x v="2"/>
    <x v="0"/>
    <x v="2"/>
    <x v="1"/>
    <n v="3"/>
    <n v="58"/>
    <n v="578.75"/>
    <n v="3"/>
    <n v="58"/>
    <n v="578.75"/>
  </r>
  <r>
    <n v="689"/>
    <x v="0"/>
    <x v="13"/>
    <s v="MLTC"/>
    <s v="MLTC"/>
    <s v="RN Initial (NB)"/>
    <s v="G0162"/>
    <x v="3"/>
    <x v="0"/>
    <x v="2"/>
    <x v="1"/>
    <n v="2"/>
    <n v="2"/>
    <n v="2"/>
    <n v="2"/>
    <n v="2"/>
    <n v="2"/>
  </r>
  <r>
    <n v="690"/>
    <x v="0"/>
    <x v="13"/>
    <s v="MLTC"/>
    <s v="MLTC"/>
    <s v="Rn initial assement"/>
    <s v="G0162"/>
    <x v="3"/>
    <x v="0"/>
    <x v="2"/>
    <x v="1"/>
    <n v="2"/>
    <n v="2"/>
    <n v="2"/>
    <n v="2"/>
    <n v="2"/>
    <n v="2"/>
  </r>
  <r>
    <n v="692"/>
    <x v="0"/>
    <x v="33"/>
    <s v="MCO"/>
    <s v="CDPAP"/>
    <s v="PA Hourly NYC , Nassau, Westchester"/>
    <s v="T1019:U6"/>
    <x v="1"/>
    <x v="1"/>
    <x v="1"/>
    <x v="1"/>
    <n v="1"/>
    <n v="233"/>
    <n v="1431.75"/>
    <n v="1"/>
    <n v="233"/>
    <n v="1431.75"/>
  </r>
  <r>
    <n v="694"/>
    <x v="0"/>
    <x v="34"/>
    <s v="MLTC"/>
    <s v="MLTC"/>
    <s v="PCA Hourly"/>
    <s v="T1019:U1"/>
    <x v="2"/>
    <x v="0"/>
    <x v="2"/>
    <x v="1"/>
    <n v="3"/>
    <n v="190"/>
    <n v="1032.25"/>
    <n v="3"/>
    <n v="190"/>
    <n v="1032.25"/>
  </r>
  <r>
    <n v="695"/>
    <x v="0"/>
    <x v="34"/>
    <s v="MLTC"/>
    <s v="MLTC"/>
    <s v="RN Initial (NB)"/>
    <m/>
    <x v="3"/>
    <x v="0"/>
    <x v="2"/>
    <x v="1"/>
    <n v="2"/>
    <n v="2"/>
    <n v="2"/>
    <n v="2"/>
    <n v="2"/>
    <n v="2"/>
  </r>
  <r>
    <n v="696"/>
    <x v="0"/>
    <x v="34"/>
    <s v="MLTC"/>
    <s v="MLTC"/>
    <s v="RN Reassessment (NB)"/>
    <m/>
    <x v="3"/>
    <x v="0"/>
    <x v="2"/>
    <x v="1"/>
    <n v="1"/>
    <n v="2"/>
    <n v="2"/>
    <n v="1"/>
    <n v="2"/>
    <n v="2"/>
  </r>
  <r>
    <n v="699"/>
    <x v="0"/>
    <x v="35"/>
    <s v="MCO"/>
    <s v="CDPAP"/>
    <s v="PA Hourly (NYC, LI, &amp; Westchester)"/>
    <s v="T1019:U6"/>
    <x v="1"/>
    <x v="1"/>
    <x v="1"/>
    <x v="1"/>
    <n v="4"/>
    <n v="814"/>
    <n v="5200"/>
    <n v="4"/>
    <n v="814"/>
    <n v="5200"/>
  </r>
  <r>
    <n v="701"/>
    <x v="0"/>
    <x v="36"/>
    <s v="MCO"/>
    <s v="MLTC"/>
    <s v="PCA Hourly"/>
    <s v="T1019:U1"/>
    <x v="2"/>
    <x v="0"/>
    <x v="2"/>
    <x v="1"/>
    <n v="1"/>
    <n v="52"/>
    <n v="194.25"/>
    <n v="1"/>
    <n v="52"/>
    <n v="194.25"/>
  </r>
  <r>
    <n v="702"/>
    <x v="0"/>
    <x v="36"/>
    <s v="MCO"/>
    <s v="MLTC"/>
    <s v="RN Initial (NB)"/>
    <m/>
    <x v="3"/>
    <x v="0"/>
    <x v="2"/>
    <x v="1"/>
    <n v="1"/>
    <n v="1"/>
    <n v="1"/>
    <n v="1"/>
    <n v="1"/>
    <n v="1"/>
  </r>
  <r>
    <n v="704"/>
    <x v="0"/>
    <x v="37"/>
    <s v="CHHA"/>
    <s v="MLTC"/>
    <s v="PRN (NB)"/>
    <m/>
    <x v="3"/>
    <x v="0"/>
    <x v="2"/>
    <x v="1"/>
    <n v="2"/>
    <n v="2"/>
    <n v="2"/>
    <n v="2"/>
    <n v="2"/>
    <n v="2"/>
  </r>
  <r>
    <n v="705"/>
    <x v="0"/>
    <x v="37"/>
    <s v="CHHA"/>
    <s v="MLTC"/>
    <s v="RN Initial (NB)"/>
    <m/>
    <x v="3"/>
    <x v="0"/>
    <x v="2"/>
    <x v="1"/>
    <n v="16"/>
    <n v="16"/>
    <n v="16"/>
    <n v="16"/>
    <n v="16"/>
    <n v="16"/>
  </r>
  <r>
    <n v="706"/>
    <x v="0"/>
    <x v="37"/>
    <s v="CHHA"/>
    <s v="MLTC"/>
    <s v="RN Reassessment (NB)"/>
    <m/>
    <x v="3"/>
    <x v="0"/>
    <x v="2"/>
    <x v="1"/>
    <n v="15"/>
    <n v="22"/>
    <n v="22"/>
    <n v="15"/>
    <n v="22"/>
    <n v="22"/>
  </r>
  <r>
    <n v="707"/>
    <x v="0"/>
    <x v="37"/>
    <s v="CHHA"/>
    <s v="MLTC"/>
    <s v="S5130:U1"/>
    <s v="S5130:U1"/>
    <x v="6"/>
    <x v="0"/>
    <x v="2"/>
    <x v="1"/>
    <n v="2"/>
    <n v="7"/>
    <n v="24"/>
    <n v="2"/>
    <n v="7"/>
    <n v="24"/>
  </r>
  <r>
    <n v="708"/>
    <x v="0"/>
    <x v="37"/>
    <s v="CHHA"/>
    <s v="MLTC"/>
    <s v="T1019:U1"/>
    <s v="T1019:U1"/>
    <x v="2"/>
    <x v="0"/>
    <x v="2"/>
    <x v="1"/>
    <n v="25"/>
    <n v="3330"/>
    <n v="21243.75"/>
    <n v="25"/>
    <n v="3330"/>
    <n v="21243.75"/>
  </r>
  <r>
    <n v="709"/>
    <x v="0"/>
    <x v="37"/>
    <s v="CHHA"/>
    <s v="MLTC"/>
    <s v="T1019:U6"/>
    <s v="T1019:U6"/>
    <x v="1"/>
    <x v="1"/>
    <x v="1"/>
    <x v="1"/>
    <n v="2"/>
    <n v="46"/>
    <n v="276.5"/>
    <n v="2"/>
    <n v="46"/>
    <n v="276.5"/>
  </r>
  <r>
    <n v="713"/>
    <x v="0"/>
    <x v="38"/>
    <s v="CHHA"/>
    <s v="CDPAP"/>
    <s v="PRN (NB)"/>
    <m/>
    <x v="3"/>
    <x v="0"/>
    <x v="2"/>
    <x v="1"/>
    <n v="1"/>
    <n v="1"/>
    <n v="1"/>
    <n v="1"/>
    <n v="1"/>
    <n v="1"/>
  </r>
  <r>
    <n v="714"/>
    <x v="0"/>
    <x v="38"/>
    <s v="CHHA"/>
    <s v="CDPAP"/>
    <s v="RN Initial (NB)"/>
    <m/>
    <x v="3"/>
    <x v="0"/>
    <x v="2"/>
    <x v="1"/>
    <n v="1"/>
    <n v="1"/>
    <n v="1"/>
    <n v="1"/>
    <n v="1"/>
    <n v="1"/>
  </r>
  <r>
    <n v="715"/>
    <x v="0"/>
    <x v="38"/>
    <s v="CHHA"/>
    <s v="CDPAP"/>
    <s v="T1019:U1"/>
    <s v="T1019:U1"/>
    <x v="2"/>
    <x v="0"/>
    <x v="2"/>
    <x v="1"/>
    <n v="2"/>
    <n v="119"/>
    <n v="705.25"/>
    <n v="2"/>
    <n v="119"/>
    <n v="705.25"/>
  </r>
  <r>
    <n v="716"/>
    <x v="0"/>
    <x v="38"/>
    <s v="CHHA"/>
    <s v="CDPAP"/>
    <s v="T1019:U6"/>
    <s v="T1019:U6"/>
    <x v="1"/>
    <x v="1"/>
    <x v="1"/>
    <x v="1"/>
    <n v="23"/>
    <n v="3038"/>
    <n v="17597.25"/>
    <n v="23"/>
    <n v="3038"/>
    <n v="17597.25"/>
  </r>
  <r>
    <n v="717"/>
    <x v="0"/>
    <x v="9"/>
    <s v="LHCSA"/>
    <s v="Medicaid"/>
    <s v="HCSS 9795 LI Nassau Westchester Suffolk"/>
    <s v="9795"/>
    <x v="4"/>
    <x v="0"/>
    <x v="0"/>
    <x v="1"/>
    <n v="96"/>
    <n v="29431"/>
    <n v="336529.25"/>
    <n v="96"/>
    <n v="29431"/>
    <n v="336529.25"/>
  </r>
  <r>
    <n v="718"/>
    <x v="0"/>
    <x v="9"/>
    <s v="LHCSA"/>
    <s v="Medicaid"/>
    <s v="HCSS 9795 NYC"/>
    <s v="9795"/>
    <x v="4"/>
    <x v="0"/>
    <x v="0"/>
    <x v="1"/>
    <n v="56"/>
    <n v="9498"/>
    <n v="105855"/>
    <n v="56"/>
    <n v="9498"/>
    <n v="105855"/>
  </r>
  <r>
    <n v="719"/>
    <x v="0"/>
    <x v="9"/>
    <s v="LHCSA"/>
    <s v="Medicaid"/>
    <s v="Initial RN Visit 9799 (Hourly)"/>
    <s v="9799"/>
    <x v="4"/>
    <x v="0"/>
    <x v="0"/>
    <x v="1"/>
    <n v="53"/>
    <n v="53"/>
    <n v="52.75"/>
    <n v="53"/>
    <n v="53"/>
    <n v="53"/>
  </r>
  <r>
    <n v="720"/>
    <x v="0"/>
    <x v="9"/>
    <s v="LHCSA"/>
    <s v="Medicaid"/>
    <s v="PRN (NB)"/>
    <m/>
    <x v="4"/>
    <x v="0"/>
    <x v="0"/>
    <x v="1"/>
    <n v="6"/>
    <n v="6"/>
    <n v="4.75"/>
    <n v="6"/>
    <n v="6"/>
    <n v="6"/>
  </r>
  <r>
    <n v="721"/>
    <x v="0"/>
    <x v="9"/>
    <s v="LHCSA"/>
    <s v="Medicaid"/>
    <s v="RN Initial (NB)"/>
    <m/>
    <x v="4"/>
    <x v="0"/>
    <x v="0"/>
    <x v="1"/>
    <n v="5"/>
    <n v="5"/>
    <n v="5"/>
    <n v="5"/>
    <n v="5"/>
    <n v="5"/>
  </r>
  <r>
    <n v="722"/>
    <x v="0"/>
    <x v="9"/>
    <s v="LHCSA"/>
    <s v="Medicaid"/>
    <s v="RN Reassessment (NB)"/>
    <m/>
    <x v="4"/>
    <x v="0"/>
    <x v="0"/>
    <x v="1"/>
    <n v="1"/>
    <n v="1"/>
    <n v="1"/>
    <n v="1"/>
    <n v="1"/>
    <n v="1"/>
  </r>
  <r>
    <n v="723"/>
    <x v="0"/>
    <x v="9"/>
    <s v="LHCSA"/>
    <s v="Medicaid"/>
    <s v="RN Visit 9799 (Hourly)"/>
    <s v="9799"/>
    <x v="4"/>
    <x v="0"/>
    <x v="0"/>
    <x v="1"/>
    <n v="74"/>
    <n v="114"/>
    <n v="108.75"/>
    <n v="74"/>
    <n v="114"/>
    <n v="114"/>
  </r>
  <r>
    <n v="724"/>
    <x v="0"/>
    <x v="16"/>
    <s v="Other"/>
    <s v="Insurance"/>
    <s v="PCA Hourly"/>
    <m/>
    <x v="5"/>
    <x v="0"/>
    <x v="3"/>
    <x v="1"/>
    <n v="5"/>
    <n v="5"/>
    <n v="14"/>
    <n v="5"/>
    <n v="5"/>
    <n v="14"/>
  </r>
  <r>
    <n v="725"/>
    <x v="0"/>
    <x v="10"/>
    <s v="Other"/>
    <s v="Private"/>
    <s v="PCA Hourly"/>
    <m/>
    <x v="5"/>
    <x v="0"/>
    <x v="3"/>
    <x v="1"/>
    <n v="6"/>
    <n v="84"/>
    <n v="221.75"/>
    <n v="6"/>
    <n v="84"/>
    <n v="221.75"/>
  </r>
  <r>
    <n v="726"/>
    <x v="0"/>
    <x v="17"/>
    <s v="Other"/>
    <s v="Private"/>
    <s v="HHA Hourly"/>
    <m/>
    <x v="5"/>
    <x v="0"/>
    <x v="3"/>
    <x v="1"/>
    <n v="1"/>
    <n v="366"/>
    <n v="366"/>
    <n v="1"/>
    <n v="366"/>
    <n v="366"/>
  </r>
  <r>
    <n v="727"/>
    <x v="0"/>
    <x v="17"/>
    <s v="Other"/>
    <s v="Private"/>
    <s v="PCA Hourly"/>
    <m/>
    <x v="5"/>
    <x v="0"/>
    <x v="3"/>
    <x v="1"/>
    <n v="8"/>
    <n v="926"/>
    <n v="6193.25"/>
    <n v="7"/>
    <n v="910"/>
    <n v="6086.25"/>
  </r>
  <r>
    <n v="728"/>
    <x v="0"/>
    <x v="17"/>
    <s v="Other"/>
    <s v="Private"/>
    <s v="PCA Live-in"/>
    <m/>
    <x v="5"/>
    <x v="0"/>
    <x v="3"/>
    <x v="1"/>
    <n v="1"/>
    <n v="373"/>
    <n v="8767.75"/>
    <n v="1"/>
    <n v="373"/>
    <n v="4849"/>
  </r>
  <r>
    <n v="729"/>
    <x v="0"/>
    <x v="17"/>
    <s v="Other"/>
    <s v="Private"/>
    <s v="RN Initial (NB)"/>
    <m/>
    <x v="5"/>
    <x v="0"/>
    <x v="3"/>
    <x v="1"/>
    <n v="4"/>
    <n v="4"/>
    <n v="2.5"/>
    <n v="3"/>
    <n v="3"/>
    <n v="3"/>
  </r>
  <r>
    <n v="730"/>
    <x v="0"/>
    <x v="17"/>
    <s v="Other"/>
    <s v="Private"/>
    <s v="RN Reassessment (NB)"/>
    <m/>
    <x v="5"/>
    <x v="0"/>
    <x v="3"/>
    <x v="1"/>
    <n v="4"/>
    <n v="8"/>
    <n v="5.5"/>
    <n v="4"/>
    <n v="8"/>
    <n v="8"/>
  </r>
  <r>
    <n v="731"/>
    <x v="0"/>
    <x v="11"/>
    <s v="CHHA"/>
    <s v="CHHA"/>
    <s v="Rate1"/>
    <s v="S9122"/>
    <x v="0"/>
    <x v="0"/>
    <x v="0"/>
    <x v="0"/>
    <n v="6"/>
    <n v="22"/>
    <n v="85"/>
    <n v="6"/>
    <n v="22"/>
    <n v="85"/>
  </r>
  <r>
    <n v="732"/>
    <x v="0"/>
    <x v="56"/>
    <s v="Other"/>
    <s v="CHHA"/>
    <s v="Rate1"/>
    <m/>
    <x v="0"/>
    <x v="0"/>
    <x v="0"/>
    <x v="0"/>
    <n v="39"/>
    <n v="575"/>
    <n v="2228.75"/>
    <n v="35"/>
    <n v="561"/>
    <n v="2182"/>
  </r>
  <r>
    <n v="733"/>
    <x v="0"/>
    <x v="56"/>
    <s v="Other"/>
    <s v="CHHA"/>
    <s v="Rate2"/>
    <m/>
    <x v="0"/>
    <x v="0"/>
    <x v="0"/>
    <x v="0"/>
    <n v="15"/>
    <n v="1403"/>
    <n v="7718.75"/>
    <n v="14"/>
    <n v="1376"/>
    <n v="7610.75"/>
  </r>
  <r>
    <n v="734"/>
    <x v="0"/>
    <x v="51"/>
    <s v="Other"/>
    <s v="MLTC"/>
    <s v="RN Initial (NB)"/>
    <m/>
    <x v="3"/>
    <x v="0"/>
    <x v="2"/>
    <x v="1"/>
    <n v="1"/>
    <n v="1"/>
    <n v="1"/>
    <n v="1"/>
    <n v="1"/>
    <n v="1"/>
  </r>
  <r>
    <n v="735"/>
    <x v="0"/>
    <x v="43"/>
    <s v="Other"/>
    <s v="MLTC"/>
    <s v="RN Initial (NB)"/>
    <m/>
    <x v="3"/>
    <x v="0"/>
    <x v="2"/>
    <x v="1"/>
    <n v="2"/>
    <n v="2"/>
    <n v="2"/>
    <n v="2"/>
    <n v="2"/>
    <n v="2"/>
  </r>
  <r>
    <n v="736"/>
    <x v="0"/>
    <x v="43"/>
    <s v="Other"/>
    <s v="MLTC"/>
    <s v="RN Reassessment (NB)"/>
    <m/>
    <x v="3"/>
    <x v="0"/>
    <x v="2"/>
    <x v="1"/>
    <n v="2"/>
    <n v="2"/>
    <n v="2"/>
    <n v="2"/>
    <n v="2"/>
    <n v="2"/>
  </r>
  <r>
    <n v="737"/>
    <x v="0"/>
    <x v="43"/>
    <s v="Other"/>
    <s v="MLTC"/>
    <s v="T1019:U1"/>
    <s v="T1019:U1"/>
    <x v="2"/>
    <x v="0"/>
    <x v="2"/>
    <x v="1"/>
    <n v="3"/>
    <n v="380"/>
    <n v="2587.25"/>
    <n v="3"/>
    <n v="380"/>
    <n v="2587.25"/>
  </r>
  <r>
    <n v="740"/>
    <x v="0"/>
    <x v="44"/>
    <s v="Other"/>
    <s v="CDPAP"/>
    <s v="T1019:U6"/>
    <s v="T1019:U6"/>
    <x v="1"/>
    <x v="1"/>
    <x v="1"/>
    <x v="1"/>
    <n v="9"/>
    <n v="1084"/>
    <n v="6233"/>
    <n v="8"/>
    <n v="1070"/>
    <n v="6177"/>
  </r>
  <r>
    <n v="741"/>
    <x v="0"/>
    <x v="44"/>
    <s v="Other"/>
    <s v="CDPAP"/>
    <s v="T1019:U7"/>
    <s v="T1019:U7"/>
    <x v="10"/>
    <x v="1"/>
    <x v="1"/>
    <x v="1"/>
    <n v="2"/>
    <n v="58"/>
    <n v="227.25"/>
    <n v="2"/>
    <n v="58"/>
    <n v="227.25"/>
  </r>
  <r>
    <n v="743"/>
    <x v="0"/>
    <x v="45"/>
    <s v="MCO"/>
    <s v="CDPAP"/>
    <s v="PA Hourly"/>
    <s v="T1019:U6"/>
    <x v="1"/>
    <x v="1"/>
    <x v="1"/>
    <x v="1"/>
    <n v="1"/>
    <n v="366"/>
    <n v="1360"/>
    <n v="1"/>
    <n v="366"/>
    <n v="1360"/>
  </r>
  <r>
    <n v="744"/>
    <x v="0"/>
    <x v="46"/>
    <s v="MLTC"/>
    <s v="MLTC"/>
    <s v="PCA Hourly"/>
    <s v="T1019:U1"/>
    <x v="2"/>
    <x v="0"/>
    <x v="2"/>
    <x v="1"/>
    <n v="1"/>
    <n v="9"/>
    <n v="32.75"/>
    <n v="1"/>
    <n v="9"/>
    <n v="32.75"/>
  </r>
  <r>
    <n v="746"/>
    <x v="0"/>
    <x v="18"/>
    <s v="MLTC"/>
    <s v="MLTC"/>
    <s v="PRN (NB)"/>
    <m/>
    <x v="3"/>
    <x v="0"/>
    <x v="2"/>
    <x v="1"/>
    <n v="7"/>
    <n v="7"/>
    <n v="7"/>
    <n v="7"/>
    <n v="7"/>
    <n v="7"/>
  </r>
  <r>
    <n v="747"/>
    <x v="0"/>
    <x v="18"/>
    <s v="MLTC"/>
    <s v="MLTC"/>
    <s v="RN - Initial Visit"/>
    <m/>
    <x v="3"/>
    <x v="0"/>
    <x v="2"/>
    <x v="1"/>
    <n v="1"/>
    <n v="1"/>
    <n v="1"/>
    <n v="1"/>
    <n v="1"/>
    <n v="1"/>
  </r>
  <r>
    <n v="748"/>
    <x v="0"/>
    <x v="18"/>
    <s v="MLTC"/>
    <s v="MLTC"/>
    <s v="RN Initial (NB)"/>
    <m/>
    <x v="3"/>
    <x v="0"/>
    <x v="2"/>
    <x v="1"/>
    <n v="83"/>
    <n v="83"/>
    <n v="83"/>
    <n v="77"/>
    <n v="77"/>
    <n v="77"/>
  </r>
  <r>
    <n v="749"/>
    <x v="0"/>
    <x v="18"/>
    <s v="MLTC"/>
    <s v="MLTC"/>
    <s v="RN Reassessment (NB)"/>
    <m/>
    <x v="3"/>
    <x v="0"/>
    <x v="2"/>
    <x v="1"/>
    <n v="56"/>
    <n v="87"/>
    <n v="87"/>
    <n v="55"/>
    <n v="86"/>
    <n v="86"/>
  </r>
  <r>
    <n v="750"/>
    <x v="0"/>
    <x v="18"/>
    <s v="MLTC"/>
    <s v="MLTC"/>
    <s v="T1019U1 NAS"/>
    <s v="T1019:U1"/>
    <x v="2"/>
    <x v="0"/>
    <x v="2"/>
    <x v="1"/>
    <n v="126"/>
    <n v="14610"/>
    <n v="92550.75"/>
    <n v="116"/>
    <n v="14215"/>
    <n v="89731"/>
  </r>
  <r>
    <n v="751"/>
    <x v="0"/>
    <x v="18"/>
    <s v="MLTC"/>
    <s v="MLTC"/>
    <s v="T1019U1 NAS MAP"/>
    <s v="T1019:U1"/>
    <x v="2"/>
    <x v="0"/>
    <x v="2"/>
    <x v="1"/>
    <n v="2"/>
    <n v="128"/>
    <n v="577.5"/>
    <n v="2"/>
    <n v="128"/>
    <n v="577.5"/>
  </r>
  <r>
    <n v="752"/>
    <x v="0"/>
    <x v="18"/>
    <s v="MLTC"/>
    <s v="MLTC"/>
    <s v="T1019U2 NAS"/>
    <s v="T1019:U2"/>
    <x v="11"/>
    <x v="0"/>
    <x v="2"/>
    <x v="1"/>
    <n v="6"/>
    <n v="918"/>
    <n v="6944"/>
    <n v="6"/>
    <n v="918"/>
    <n v="6944"/>
  </r>
  <r>
    <n v="753"/>
    <x v="0"/>
    <x v="18"/>
    <s v="MLTC"/>
    <s v="MLTC"/>
    <s v="T1019U6 NAS"/>
    <s v="T1019:U6"/>
    <x v="1"/>
    <x v="1"/>
    <x v="1"/>
    <x v="1"/>
    <n v="1"/>
    <n v="354"/>
    <n v="1210"/>
    <n v="1"/>
    <n v="354"/>
    <n v="1210"/>
  </r>
  <r>
    <n v="754"/>
    <x v="0"/>
    <x v="18"/>
    <s v="MLTC"/>
    <s v="MLTC"/>
    <s v="T1020 NAS"/>
    <s v="T1020"/>
    <x v="8"/>
    <x v="0"/>
    <x v="2"/>
    <x v="1"/>
    <n v="3"/>
    <n v="133"/>
    <n v="1729"/>
    <n v="3"/>
    <n v="133"/>
    <n v="1729"/>
  </r>
  <r>
    <n v="760"/>
    <x v="0"/>
    <x v="19"/>
    <s v="MLTC"/>
    <s v="CDPAP"/>
    <s v="T1019U6 K"/>
    <s v="T1019:U6"/>
    <x v="1"/>
    <x v="1"/>
    <x v="1"/>
    <x v="1"/>
    <n v="1"/>
    <n v="99"/>
    <n v="541.75"/>
    <n v="1"/>
    <n v="99"/>
    <n v="541.75"/>
  </r>
  <r>
    <n v="761"/>
    <x v="0"/>
    <x v="19"/>
    <s v="MLTC"/>
    <s v="CDPAP"/>
    <s v="T1019U6 NAS"/>
    <s v="T1019:U6"/>
    <x v="1"/>
    <x v="1"/>
    <x v="1"/>
    <x v="1"/>
    <n v="54"/>
    <n v="10018"/>
    <n v="54422.75"/>
    <n v="49"/>
    <n v="9587"/>
    <n v="51789.75"/>
  </r>
  <r>
    <n v="762"/>
    <x v="0"/>
    <x v="19"/>
    <s v="MLTC"/>
    <s v="CDPAP"/>
    <s v="T1019U6 NAS MAP"/>
    <s v="T1019:U6"/>
    <x v="1"/>
    <x v="1"/>
    <x v="1"/>
    <x v="1"/>
    <n v="1"/>
    <n v="345"/>
    <n v="1278.25"/>
    <n v="1"/>
    <n v="345"/>
    <n v="1278.25"/>
  </r>
  <r>
    <n v="763"/>
    <x v="0"/>
    <x v="19"/>
    <s v="MLTC"/>
    <s v="CDPAP"/>
    <s v="T1019U7 NAS"/>
    <s v="T1019:U7"/>
    <x v="10"/>
    <x v="1"/>
    <x v="1"/>
    <x v="1"/>
    <n v="2"/>
    <n v="53"/>
    <n v="571.25"/>
    <n v="2"/>
    <n v="53"/>
    <n v="571.25"/>
  </r>
  <r>
    <n v="764"/>
    <x v="0"/>
    <x v="19"/>
    <s v="MLTC"/>
    <s v="CDPAP"/>
    <s v="T1020U6 NAS"/>
    <s v="T1020:U6"/>
    <x v="9"/>
    <x v="1"/>
    <x v="1"/>
    <x v="1"/>
    <n v="1"/>
    <n v="357"/>
    <n v="4641"/>
    <n v="1"/>
    <n v="357"/>
    <n v="4641"/>
  </r>
  <r>
    <n v="765"/>
    <x v="0"/>
    <x v="20"/>
    <s v="LHCSA"/>
    <s v="MLTC"/>
    <s v="PCA Hourly"/>
    <s v="T1019:U1"/>
    <x v="2"/>
    <x v="0"/>
    <x v="2"/>
    <x v="1"/>
    <n v="2"/>
    <n v="30"/>
    <n v="202.75"/>
    <n v="1"/>
    <n v="29"/>
    <n v="201.75"/>
  </r>
  <r>
    <n v="766"/>
    <x v="0"/>
    <x v="20"/>
    <s v="LHCSA"/>
    <s v="MLTC"/>
    <s v="RN Reassessment (NB)"/>
    <m/>
    <x v="3"/>
    <x v="0"/>
    <x v="2"/>
    <x v="1"/>
    <n v="1"/>
    <n v="2"/>
    <n v="2"/>
    <n v="1"/>
    <n v="2"/>
    <n v="2"/>
  </r>
  <r>
    <n v="767"/>
    <x v="32"/>
    <x v="0"/>
    <s v="CHHA"/>
    <s v="CHHA"/>
    <s v="HHA1"/>
    <s v="S9122"/>
    <x v="0"/>
    <x v="0"/>
    <x v="0"/>
    <x v="0"/>
    <n v="8"/>
    <n v="149"/>
    <n v="578.25"/>
    <n v="5"/>
    <n v="84"/>
    <n v="328"/>
  </r>
  <r>
    <n v="768"/>
    <x v="32"/>
    <x v="0"/>
    <s v="CHHA"/>
    <s v="CHHA"/>
    <s v="HHAPEDSV"/>
    <s v="S9122"/>
    <x v="0"/>
    <x v="0"/>
    <x v="0"/>
    <x v="0"/>
    <n v="100"/>
    <n v="12556"/>
    <n v="86039.25"/>
    <n v="90"/>
    <n v="12355"/>
    <n v="84591.5"/>
  </r>
  <r>
    <n v="770"/>
    <x v="32"/>
    <x v="55"/>
    <s v="MLTC"/>
    <s v="CDPAP"/>
    <s v="PA HOURLY"/>
    <s v="T1019:U6"/>
    <x v="1"/>
    <x v="1"/>
    <x v="1"/>
    <x v="1"/>
    <n v="1"/>
    <n v="54"/>
    <n v="279.5"/>
    <n v="1"/>
    <n v="54"/>
    <n v="279.5"/>
  </r>
  <r>
    <n v="771"/>
    <x v="32"/>
    <x v="22"/>
    <s v="MCO"/>
    <s v="CDPAP"/>
    <s v="PA Hourly"/>
    <s v="T1019:U6"/>
    <x v="1"/>
    <x v="1"/>
    <x v="1"/>
    <x v="1"/>
    <n v="3"/>
    <n v="285"/>
    <n v="1658.25"/>
    <n v="3"/>
    <n v="285"/>
    <n v="1658.25"/>
  </r>
  <r>
    <n v="772"/>
    <x v="32"/>
    <x v="23"/>
    <s v="MCO"/>
    <s v="MLTC"/>
    <s v="PCA Hourly"/>
    <s v="T1019:U1"/>
    <x v="2"/>
    <x v="0"/>
    <x v="2"/>
    <x v="1"/>
    <n v="7"/>
    <n v="410"/>
    <n v="2395"/>
    <n v="7"/>
    <n v="410"/>
    <n v="2395"/>
  </r>
  <r>
    <n v="773"/>
    <x v="32"/>
    <x v="23"/>
    <s v="MCO"/>
    <s v="MLTC"/>
    <s v="RN Initial (NB)"/>
    <m/>
    <x v="3"/>
    <x v="0"/>
    <x v="2"/>
    <x v="1"/>
    <n v="3"/>
    <n v="3"/>
    <n v="3"/>
    <n v="3"/>
    <n v="3"/>
    <n v="3"/>
  </r>
  <r>
    <n v="774"/>
    <x v="32"/>
    <x v="23"/>
    <s v="MCO"/>
    <s v="MLTC"/>
    <s v="RN Reassessment (NB)"/>
    <m/>
    <x v="3"/>
    <x v="0"/>
    <x v="2"/>
    <x v="1"/>
    <n v="3"/>
    <n v="3"/>
    <n v="3"/>
    <n v="3"/>
    <n v="3"/>
    <n v="3"/>
  </r>
  <r>
    <n v="775"/>
    <x v="32"/>
    <x v="26"/>
    <s v="Other"/>
    <s v="MLTC"/>
    <s v="RN Initial (NB)"/>
    <m/>
    <x v="4"/>
    <x v="0"/>
    <x v="0"/>
    <x v="1"/>
    <n v="1"/>
    <n v="1"/>
    <n v="1"/>
    <n v="1"/>
    <n v="1"/>
    <n v="1"/>
  </r>
  <r>
    <n v="776"/>
    <x v="32"/>
    <x v="26"/>
    <s v="Other"/>
    <s v="MLTC"/>
    <s v="T1019:U1"/>
    <s v="T1019:U1"/>
    <x v="4"/>
    <x v="0"/>
    <x v="0"/>
    <x v="1"/>
    <n v="1"/>
    <n v="46"/>
    <n v="138"/>
    <n v="1"/>
    <n v="46"/>
    <n v="138"/>
  </r>
  <r>
    <n v="777"/>
    <x v="32"/>
    <x v="28"/>
    <s v="MLTC"/>
    <s v="MLTC"/>
    <s v="PCA Hourly"/>
    <s v="T1019:U1"/>
    <x v="2"/>
    <x v="0"/>
    <x v="2"/>
    <x v="1"/>
    <n v="32"/>
    <n v="4168"/>
    <n v="22241"/>
    <n v="29"/>
    <n v="4025"/>
    <n v="21471"/>
  </r>
  <r>
    <n v="778"/>
    <x v="32"/>
    <x v="28"/>
    <s v="MLTC"/>
    <s v="MLTC"/>
    <s v="PRN (NB)"/>
    <m/>
    <x v="3"/>
    <x v="0"/>
    <x v="2"/>
    <x v="1"/>
    <n v="3"/>
    <n v="3"/>
    <n v="3"/>
    <n v="3"/>
    <n v="3"/>
    <n v="3"/>
  </r>
  <r>
    <n v="779"/>
    <x v="32"/>
    <x v="28"/>
    <s v="MLTC"/>
    <s v="MLTC"/>
    <s v="RN Initial (NB)"/>
    <m/>
    <x v="3"/>
    <x v="0"/>
    <x v="2"/>
    <x v="1"/>
    <n v="13"/>
    <n v="13"/>
    <n v="13"/>
    <n v="11"/>
    <n v="11"/>
    <n v="11"/>
  </r>
  <r>
    <n v="780"/>
    <x v="32"/>
    <x v="28"/>
    <s v="MLTC"/>
    <s v="MLTC"/>
    <s v="RN Reassessment (NB)"/>
    <m/>
    <x v="3"/>
    <x v="0"/>
    <x v="2"/>
    <x v="1"/>
    <n v="18"/>
    <n v="30"/>
    <n v="30"/>
    <n v="18"/>
    <n v="30"/>
    <n v="30"/>
  </r>
  <r>
    <n v="784"/>
    <x v="32"/>
    <x v="1"/>
    <s v="MLTC"/>
    <s v="CDPAP"/>
    <s v="PA Hourly - 5 Boroughs"/>
    <s v="T1019:U6"/>
    <x v="1"/>
    <x v="1"/>
    <x v="1"/>
    <x v="1"/>
    <n v="37"/>
    <n v="7308"/>
    <n v="34690.5"/>
    <n v="37"/>
    <n v="7308"/>
    <n v="34690.5"/>
  </r>
  <r>
    <n v="785"/>
    <x v="32"/>
    <x v="1"/>
    <s v="MLTC"/>
    <s v="CDPAP"/>
    <s v="PA Live-In - 5 Boroughs"/>
    <s v="T1020:U6"/>
    <x v="9"/>
    <x v="1"/>
    <x v="1"/>
    <x v="1"/>
    <n v="1"/>
    <n v="169"/>
    <n v="2197"/>
    <n v="1"/>
    <n v="169"/>
    <n v="2197"/>
  </r>
  <r>
    <n v="786"/>
    <x v="32"/>
    <x v="29"/>
    <s v="MLTC"/>
    <s v="MLTC"/>
    <s v="PRN (NB)"/>
    <m/>
    <x v="3"/>
    <x v="0"/>
    <x v="2"/>
    <x v="1"/>
    <n v="2"/>
    <n v="2"/>
    <n v="2"/>
    <n v="1"/>
    <n v="1"/>
    <n v="1"/>
  </r>
  <r>
    <n v="787"/>
    <x v="32"/>
    <x v="29"/>
    <s v="MLTC"/>
    <s v="MLTC"/>
    <s v="RN Initial (NB)"/>
    <m/>
    <x v="3"/>
    <x v="0"/>
    <x v="2"/>
    <x v="1"/>
    <n v="22"/>
    <n v="22"/>
    <n v="22"/>
    <n v="21"/>
    <n v="21"/>
    <n v="21"/>
  </r>
  <r>
    <n v="788"/>
    <x v="32"/>
    <x v="29"/>
    <s v="MLTC"/>
    <s v="MLTC"/>
    <s v="RN Reassessment (NB)"/>
    <m/>
    <x v="3"/>
    <x v="0"/>
    <x v="2"/>
    <x v="1"/>
    <n v="12"/>
    <n v="14"/>
    <n v="14"/>
    <n v="10"/>
    <n v="12"/>
    <n v="12"/>
  </r>
  <r>
    <n v="789"/>
    <x v="32"/>
    <x v="29"/>
    <s v="MLTC"/>
    <s v="MLTC"/>
    <s v="T1019:U1"/>
    <s v="T1019:U1"/>
    <x v="2"/>
    <x v="0"/>
    <x v="2"/>
    <x v="1"/>
    <n v="31"/>
    <n v="2887"/>
    <n v="15511"/>
    <n v="28"/>
    <n v="2583"/>
    <n v="13851.5"/>
  </r>
  <r>
    <n v="792"/>
    <x v="32"/>
    <x v="30"/>
    <s v="MLTC"/>
    <s v="CDPAP"/>
    <s v="T1019:U6"/>
    <s v="T1019:U6"/>
    <x v="1"/>
    <x v="1"/>
    <x v="1"/>
    <x v="1"/>
    <n v="9"/>
    <n v="1307"/>
    <n v="7117.5"/>
    <n v="9"/>
    <n v="1307"/>
    <n v="7117.5"/>
  </r>
  <r>
    <n v="795"/>
    <x v="32"/>
    <x v="31"/>
    <s v="MLTC"/>
    <s v="CDPAP"/>
    <s v="PA Hourly"/>
    <s v="T1019:U6"/>
    <x v="1"/>
    <x v="1"/>
    <x v="1"/>
    <x v="1"/>
    <n v="6"/>
    <n v="1125"/>
    <n v="6846.25"/>
    <n v="6"/>
    <n v="1125"/>
    <n v="6846.25"/>
  </r>
  <r>
    <n v="796"/>
    <x v="32"/>
    <x v="32"/>
    <s v="MLTC"/>
    <s v="MLTC"/>
    <s v="PCA Hourly - Mutual NYC"/>
    <s v="T1019:U2"/>
    <x v="11"/>
    <x v="0"/>
    <x v="2"/>
    <x v="1"/>
    <n v="2"/>
    <n v="306"/>
    <n v="1223.75"/>
    <n v="2"/>
    <n v="306"/>
    <n v="1223.75"/>
  </r>
  <r>
    <n v="797"/>
    <x v="32"/>
    <x v="32"/>
    <s v="MLTC"/>
    <s v="MLTC"/>
    <s v="PCA Hourly NYC"/>
    <s v="T1019:U1"/>
    <x v="2"/>
    <x v="0"/>
    <x v="2"/>
    <x v="1"/>
    <n v="18"/>
    <n v="2871"/>
    <n v="17080.75"/>
    <n v="17"/>
    <n v="2842"/>
    <n v="16936"/>
  </r>
  <r>
    <n v="798"/>
    <x v="32"/>
    <x v="32"/>
    <s v="MLTC"/>
    <s v="MLTC"/>
    <s v="RN Initial (NB)"/>
    <m/>
    <x v="3"/>
    <x v="0"/>
    <x v="2"/>
    <x v="1"/>
    <n v="18"/>
    <n v="18"/>
    <n v="18"/>
    <n v="18"/>
    <n v="18"/>
    <n v="18"/>
  </r>
  <r>
    <n v="799"/>
    <x v="32"/>
    <x v="32"/>
    <s v="MLTC"/>
    <s v="MLTC"/>
    <s v="RN Reassessment (NB)"/>
    <m/>
    <x v="3"/>
    <x v="0"/>
    <x v="2"/>
    <x v="1"/>
    <n v="15"/>
    <n v="15"/>
    <n v="15"/>
    <n v="15"/>
    <n v="15"/>
    <n v="15"/>
  </r>
  <r>
    <n v="802"/>
    <x v="32"/>
    <x v="2"/>
    <s v="Other"/>
    <s v="CDPAP"/>
    <s v="PA Hourly (New)"/>
    <s v="T1019:U6"/>
    <x v="1"/>
    <x v="1"/>
    <x v="1"/>
    <x v="1"/>
    <n v="20"/>
    <n v="3549"/>
    <n v="22341.75"/>
    <n v="18"/>
    <n v="3386"/>
    <n v="20958"/>
  </r>
  <r>
    <n v="803"/>
    <x v="32"/>
    <x v="3"/>
    <s v="Other"/>
    <s v="MLTC"/>
    <s v="PCA Hourly NYC"/>
    <s v="T1019:U1"/>
    <x v="2"/>
    <x v="0"/>
    <x v="2"/>
    <x v="1"/>
    <n v="32"/>
    <n v="4854"/>
    <n v="33244.5"/>
    <n v="31"/>
    <n v="4766"/>
    <n v="32552.5"/>
  </r>
  <r>
    <n v="804"/>
    <x v="32"/>
    <x v="3"/>
    <s v="Other"/>
    <s v="MLTC"/>
    <s v="PCA Live In"/>
    <s v="T1020"/>
    <x v="8"/>
    <x v="0"/>
    <x v="2"/>
    <x v="1"/>
    <n v="1"/>
    <n v="351"/>
    <n v="4563"/>
    <n v="1"/>
    <n v="351"/>
    <n v="4563"/>
  </r>
  <r>
    <n v="805"/>
    <x v="32"/>
    <x v="3"/>
    <s v="Other"/>
    <s v="MLTC"/>
    <s v="PRN (NB)"/>
    <m/>
    <x v="3"/>
    <x v="0"/>
    <x v="2"/>
    <x v="1"/>
    <n v="8"/>
    <n v="8"/>
    <n v="8"/>
    <n v="8"/>
    <n v="8"/>
    <n v="8"/>
  </r>
  <r>
    <n v="806"/>
    <x v="32"/>
    <x v="3"/>
    <s v="Other"/>
    <s v="MLTC"/>
    <s v="RN Initial (NB)"/>
    <m/>
    <x v="3"/>
    <x v="0"/>
    <x v="2"/>
    <x v="1"/>
    <n v="10"/>
    <n v="10"/>
    <n v="10"/>
    <n v="10"/>
    <n v="10"/>
    <n v="10"/>
  </r>
  <r>
    <n v="807"/>
    <x v="32"/>
    <x v="3"/>
    <s v="Other"/>
    <s v="MLTC"/>
    <s v="RN Reassessment (NB)"/>
    <m/>
    <x v="3"/>
    <x v="0"/>
    <x v="2"/>
    <x v="1"/>
    <n v="23"/>
    <n v="38"/>
    <n v="38"/>
    <n v="22"/>
    <n v="37"/>
    <n v="37"/>
  </r>
  <r>
    <n v="808"/>
    <x v="32"/>
    <x v="4"/>
    <s v="CHHA"/>
    <s v="CHHA"/>
    <s v="Rate3"/>
    <m/>
    <x v="0"/>
    <x v="0"/>
    <x v="0"/>
    <x v="0"/>
    <n v="22"/>
    <n v="4187"/>
    <n v="19684.75"/>
    <n v="22"/>
    <n v="4187"/>
    <n v="19684.75"/>
  </r>
  <r>
    <n v="809"/>
    <x v="32"/>
    <x v="5"/>
    <s v="CHHA"/>
    <s v="CHHA"/>
    <s v="PedCode95"/>
    <s v="-"/>
    <x v="0"/>
    <x v="0"/>
    <x v="0"/>
    <x v="0"/>
    <n v="18"/>
    <n v="1644"/>
    <n v="9439"/>
    <n v="18"/>
    <n v="1644"/>
    <n v="9439"/>
  </r>
  <r>
    <n v="810"/>
    <x v="32"/>
    <x v="5"/>
    <s v="CHHA"/>
    <s v="CHHA"/>
    <s v="Rate1"/>
    <m/>
    <x v="0"/>
    <x v="0"/>
    <x v="0"/>
    <x v="0"/>
    <n v="36"/>
    <n v="2908"/>
    <n v="12447.25"/>
    <n v="34"/>
    <n v="2892"/>
    <n v="12353.5"/>
  </r>
  <r>
    <n v="811"/>
    <x v="32"/>
    <x v="5"/>
    <s v="CHHA"/>
    <s v="CHHA"/>
    <s v="Rate4HMO"/>
    <s v="0"/>
    <x v="0"/>
    <x v="0"/>
    <x v="0"/>
    <x v="0"/>
    <n v="2"/>
    <n v="46"/>
    <n v="215.5"/>
    <n v="2"/>
    <n v="46"/>
    <n v="215.5"/>
  </r>
  <r>
    <n v="812"/>
    <x v="32"/>
    <x v="6"/>
    <s v="LHCSA"/>
    <s v="MLTC"/>
    <s v="PRN (NB)"/>
    <m/>
    <x v="3"/>
    <x v="0"/>
    <x v="2"/>
    <x v="1"/>
    <n v="5"/>
    <n v="5"/>
    <n v="5"/>
    <n v="5"/>
    <n v="5"/>
    <n v="5"/>
  </r>
  <r>
    <n v="813"/>
    <x v="32"/>
    <x v="6"/>
    <s v="LHCSA"/>
    <s v="MLTC"/>
    <s v="RN Initial (NB)"/>
    <m/>
    <x v="3"/>
    <x v="0"/>
    <x v="2"/>
    <x v="1"/>
    <n v="27"/>
    <n v="27"/>
    <n v="27"/>
    <n v="26"/>
    <n v="26"/>
    <n v="26"/>
  </r>
  <r>
    <n v="814"/>
    <x v="32"/>
    <x v="6"/>
    <s v="LHCSA"/>
    <s v="MLTC"/>
    <s v="RN Initial Assement"/>
    <s v="T2024"/>
    <x v="3"/>
    <x v="0"/>
    <x v="2"/>
    <x v="1"/>
    <n v="13"/>
    <n v="13"/>
    <n v="13"/>
    <n v="13"/>
    <n v="13"/>
    <n v="13"/>
  </r>
  <r>
    <n v="815"/>
    <x v="32"/>
    <x v="6"/>
    <s v="LHCSA"/>
    <s v="MLTC"/>
    <s v="RN Reassessment (NB)"/>
    <m/>
    <x v="3"/>
    <x v="0"/>
    <x v="2"/>
    <x v="1"/>
    <n v="31"/>
    <n v="43"/>
    <n v="43"/>
    <n v="31"/>
    <n v="43"/>
    <n v="43"/>
  </r>
  <r>
    <n v="816"/>
    <x v="32"/>
    <x v="6"/>
    <s v="LHCSA"/>
    <s v="MLTC"/>
    <s v="S5130:U1"/>
    <s v="S5130:U1::::Homemaker"/>
    <x v="6"/>
    <x v="0"/>
    <x v="2"/>
    <x v="1"/>
    <n v="1"/>
    <n v="1"/>
    <n v="1"/>
    <n v="1"/>
    <n v="1"/>
    <n v="1"/>
  </r>
  <r>
    <n v="817"/>
    <x v="32"/>
    <x v="6"/>
    <s v="LHCSA"/>
    <s v="MLTC"/>
    <s v="T1019:U1"/>
    <s v="T1019:U1"/>
    <x v="2"/>
    <x v="0"/>
    <x v="2"/>
    <x v="1"/>
    <n v="68"/>
    <n v="7803"/>
    <n v="43597.75"/>
    <n v="66"/>
    <n v="7787"/>
    <n v="43510"/>
  </r>
  <r>
    <n v="818"/>
    <x v="32"/>
    <x v="6"/>
    <s v="LHCSA"/>
    <s v="MLTC"/>
    <s v="T1020"/>
    <s v="T1020"/>
    <x v="8"/>
    <x v="0"/>
    <x v="2"/>
    <x v="1"/>
    <n v="3"/>
    <n v="149"/>
    <n v="1937"/>
    <n v="3"/>
    <n v="149"/>
    <n v="1937"/>
  </r>
  <r>
    <n v="822"/>
    <x v="32"/>
    <x v="7"/>
    <s v="LHCSA"/>
    <s v="CDPAP"/>
    <s v="T1019:U6"/>
    <s v="T1019:U6"/>
    <x v="1"/>
    <x v="1"/>
    <x v="1"/>
    <x v="1"/>
    <n v="45"/>
    <n v="6593"/>
    <n v="35128.75"/>
    <n v="42"/>
    <n v="6527"/>
    <n v="34629.25"/>
  </r>
  <r>
    <n v="823"/>
    <x v="32"/>
    <x v="13"/>
    <s v="MLTC"/>
    <s v="MLTC"/>
    <s v="PCA Hourly"/>
    <s v="T1019:U1"/>
    <x v="2"/>
    <x v="0"/>
    <x v="2"/>
    <x v="1"/>
    <n v="3"/>
    <n v="8"/>
    <n v="35.75"/>
    <n v="3"/>
    <n v="8"/>
    <n v="35.75"/>
  </r>
  <r>
    <n v="824"/>
    <x v="32"/>
    <x v="13"/>
    <s v="MLTC"/>
    <s v="MLTC"/>
    <s v="RN Initial (NB)"/>
    <s v="G0162"/>
    <x v="3"/>
    <x v="0"/>
    <x v="2"/>
    <x v="1"/>
    <n v="1"/>
    <n v="1"/>
    <n v="1"/>
    <n v="1"/>
    <n v="1"/>
    <n v="1"/>
  </r>
  <r>
    <n v="825"/>
    <x v="32"/>
    <x v="13"/>
    <s v="MLTC"/>
    <s v="MLTC"/>
    <s v="Rn initial assement"/>
    <s v="G0162"/>
    <x v="3"/>
    <x v="0"/>
    <x v="2"/>
    <x v="1"/>
    <n v="4"/>
    <n v="4"/>
    <n v="4"/>
    <n v="4"/>
    <n v="4"/>
    <n v="4"/>
  </r>
  <r>
    <n v="826"/>
    <x v="32"/>
    <x v="13"/>
    <s v="MLTC"/>
    <s v="MLTC"/>
    <s v="RN Reassessment (NB)"/>
    <m/>
    <x v="3"/>
    <x v="0"/>
    <x v="2"/>
    <x v="1"/>
    <n v="1"/>
    <n v="1"/>
    <n v="1"/>
    <n v="1"/>
    <n v="1"/>
    <n v="1"/>
  </r>
  <r>
    <n v="827"/>
    <x v="32"/>
    <x v="8"/>
    <s v="CHHA"/>
    <s v="CHHA"/>
    <s v="Rate1"/>
    <m/>
    <x v="0"/>
    <x v="0"/>
    <x v="0"/>
    <x v="0"/>
    <n v="6"/>
    <n v="331"/>
    <n v="1452.75"/>
    <n v="5"/>
    <n v="322"/>
    <n v="1434.75"/>
  </r>
  <r>
    <n v="828"/>
    <x v="32"/>
    <x v="8"/>
    <s v="CHHA"/>
    <s v="CHHA"/>
    <s v="Rate4"/>
    <m/>
    <x v="0"/>
    <x v="0"/>
    <x v="0"/>
    <x v="0"/>
    <n v="2"/>
    <n v="20"/>
    <n v="80"/>
    <n v="1"/>
    <n v="10"/>
    <n v="40"/>
  </r>
  <r>
    <n v="829"/>
    <x v="32"/>
    <x v="33"/>
    <s v="MCO"/>
    <s v="CDPAP"/>
    <s v="PA Hourly NYC , Nassau, Westchester"/>
    <s v="T1019:U6"/>
    <x v="1"/>
    <x v="1"/>
    <x v="1"/>
    <x v="1"/>
    <n v="1"/>
    <n v="131"/>
    <n v="524"/>
    <n v="1"/>
    <n v="131"/>
    <n v="524"/>
  </r>
  <r>
    <n v="831"/>
    <x v="32"/>
    <x v="34"/>
    <s v="MLTC"/>
    <s v="MLTC"/>
    <s v="PCA Hourly"/>
    <s v="T1019:U1"/>
    <x v="2"/>
    <x v="0"/>
    <x v="2"/>
    <x v="1"/>
    <n v="2"/>
    <n v="393"/>
    <n v="2860.25"/>
    <n v="2"/>
    <n v="393"/>
    <n v="2860.25"/>
  </r>
  <r>
    <n v="832"/>
    <x v="32"/>
    <x v="34"/>
    <s v="MLTC"/>
    <s v="MLTC"/>
    <s v="RN Initial (NB)"/>
    <m/>
    <x v="3"/>
    <x v="0"/>
    <x v="2"/>
    <x v="1"/>
    <n v="1"/>
    <n v="2"/>
    <n v="2"/>
    <n v="1"/>
    <n v="2"/>
    <n v="2"/>
  </r>
  <r>
    <n v="833"/>
    <x v="32"/>
    <x v="34"/>
    <s v="MLTC"/>
    <s v="MLTC"/>
    <s v="RN Reassessment (NB)"/>
    <m/>
    <x v="3"/>
    <x v="0"/>
    <x v="2"/>
    <x v="1"/>
    <n v="1"/>
    <n v="2"/>
    <n v="2"/>
    <n v="1"/>
    <n v="2"/>
    <n v="2"/>
  </r>
  <r>
    <n v="836"/>
    <x v="32"/>
    <x v="35"/>
    <s v="MCO"/>
    <s v="CDPAP"/>
    <s v="PA Hourly (NYC, LI, &amp; Westchester)"/>
    <s v="T1019:U6"/>
    <x v="1"/>
    <x v="1"/>
    <x v="1"/>
    <x v="1"/>
    <n v="5"/>
    <n v="996"/>
    <n v="4957.25"/>
    <n v="5"/>
    <n v="996"/>
    <n v="4957.25"/>
  </r>
  <r>
    <n v="839"/>
    <x v="32"/>
    <x v="36"/>
    <s v="MCO"/>
    <s v="MLTC"/>
    <s v="PCA Hourly"/>
    <s v="T1019:U1"/>
    <x v="2"/>
    <x v="0"/>
    <x v="2"/>
    <x v="1"/>
    <n v="12"/>
    <n v="942"/>
    <n v="3817.5"/>
    <n v="8"/>
    <n v="817"/>
    <n v="3114.5"/>
  </r>
  <r>
    <n v="840"/>
    <x v="32"/>
    <x v="36"/>
    <s v="MCO"/>
    <s v="MLTC"/>
    <s v="RN Initial (NB)"/>
    <m/>
    <x v="3"/>
    <x v="0"/>
    <x v="2"/>
    <x v="1"/>
    <n v="7"/>
    <n v="7"/>
    <n v="7"/>
    <n v="5"/>
    <n v="5"/>
    <n v="5"/>
  </r>
  <r>
    <n v="841"/>
    <x v="32"/>
    <x v="36"/>
    <s v="MCO"/>
    <s v="MLTC"/>
    <s v="RN Reassessment (NB)"/>
    <m/>
    <x v="3"/>
    <x v="0"/>
    <x v="2"/>
    <x v="1"/>
    <n v="4"/>
    <n v="6"/>
    <n v="6"/>
    <n v="4"/>
    <n v="6"/>
    <n v="6"/>
  </r>
  <r>
    <n v="842"/>
    <x v="32"/>
    <x v="37"/>
    <s v="CHHA"/>
    <s v="MLTC"/>
    <s v="RN Initial (NB)"/>
    <m/>
    <x v="3"/>
    <x v="0"/>
    <x v="2"/>
    <x v="1"/>
    <n v="27"/>
    <n v="27"/>
    <n v="27"/>
    <n v="27"/>
    <n v="27"/>
    <n v="27"/>
  </r>
  <r>
    <n v="843"/>
    <x v="32"/>
    <x v="37"/>
    <s v="CHHA"/>
    <s v="MLTC"/>
    <s v="RN Reassessment (NB)"/>
    <m/>
    <x v="3"/>
    <x v="0"/>
    <x v="2"/>
    <x v="1"/>
    <n v="27"/>
    <n v="40"/>
    <n v="40"/>
    <n v="26"/>
    <n v="39"/>
    <n v="39"/>
  </r>
  <r>
    <n v="844"/>
    <x v="32"/>
    <x v="37"/>
    <s v="CHHA"/>
    <s v="MLTC"/>
    <s v="S5130:U1"/>
    <s v="S5130:U1"/>
    <x v="6"/>
    <x v="0"/>
    <x v="2"/>
    <x v="1"/>
    <n v="1"/>
    <n v="24"/>
    <n v="70"/>
    <n v="1"/>
    <n v="24"/>
    <n v="70"/>
  </r>
  <r>
    <n v="845"/>
    <x v="32"/>
    <x v="37"/>
    <s v="CHHA"/>
    <s v="MLTC"/>
    <s v="T1019:U1"/>
    <s v="T1019:U1"/>
    <x v="2"/>
    <x v="0"/>
    <x v="2"/>
    <x v="1"/>
    <n v="57"/>
    <n v="5319"/>
    <n v="30935.75"/>
    <n v="54"/>
    <n v="5144"/>
    <n v="30015"/>
  </r>
  <r>
    <n v="848"/>
    <x v="32"/>
    <x v="38"/>
    <s v="CHHA"/>
    <s v="CDPAP"/>
    <s v="T1019:U6"/>
    <s v="T1019:U6"/>
    <x v="1"/>
    <x v="1"/>
    <x v="1"/>
    <x v="1"/>
    <n v="40"/>
    <n v="4058"/>
    <n v="22544.5"/>
    <n v="40"/>
    <n v="4058"/>
    <n v="22544.5"/>
  </r>
  <r>
    <n v="849"/>
    <x v="32"/>
    <x v="39"/>
    <s v="MCO"/>
    <s v="MLTC"/>
    <s v="RN Initial (NB)"/>
    <m/>
    <x v="3"/>
    <x v="0"/>
    <x v="2"/>
    <x v="1"/>
    <n v="1"/>
    <n v="1"/>
    <n v="1"/>
    <n v="0"/>
    <n v="0"/>
    <n v="0"/>
  </r>
  <r>
    <n v="850"/>
    <x v="32"/>
    <x v="9"/>
    <s v="LHCSA"/>
    <s v="Medicaid"/>
    <s v="HCSS 9795 LI Nassau Westchester Suffolk"/>
    <s v="9795"/>
    <x v="4"/>
    <x v="0"/>
    <x v="0"/>
    <x v="1"/>
    <n v="1"/>
    <n v="1"/>
    <n v="0.5"/>
    <n v="1"/>
    <n v="1"/>
    <n v="0.5"/>
  </r>
  <r>
    <n v="851"/>
    <x v="32"/>
    <x v="9"/>
    <s v="LHCSA"/>
    <s v="Medicaid"/>
    <s v="HCSS 9795 NYC"/>
    <s v="9795"/>
    <x v="4"/>
    <x v="0"/>
    <x v="0"/>
    <x v="1"/>
    <n v="55"/>
    <n v="22079"/>
    <n v="248862.5"/>
    <n v="54"/>
    <n v="22016"/>
    <n v="248122"/>
  </r>
  <r>
    <n v="852"/>
    <x v="32"/>
    <x v="9"/>
    <s v="LHCSA"/>
    <s v="Medicaid"/>
    <s v="HCSS 9795 Rest of State"/>
    <s v="9795"/>
    <x v="4"/>
    <x v="0"/>
    <x v="0"/>
    <x v="1"/>
    <n v="1"/>
    <n v="107"/>
    <n v="1261.5"/>
    <n v="1"/>
    <n v="107"/>
    <n v="1261.5"/>
  </r>
  <r>
    <n v="853"/>
    <x v="32"/>
    <x v="9"/>
    <s v="LHCSA"/>
    <s v="Medicaid"/>
    <s v="Initial RN Visit 9799 (Hourly)"/>
    <s v="9799"/>
    <x v="4"/>
    <x v="0"/>
    <x v="0"/>
    <x v="1"/>
    <n v="31"/>
    <n v="31"/>
    <n v="30"/>
    <n v="31"/>
    <n v="31"/>
    <n v="31"/>
  </r>
  <r>
    <n v="854"/>
    <x v="32"/>
    <x v="9"/>
    <s v="LHCSA"/>
    <s v="Medicaid"/>
    <s v="PRN (NB)"/>
    <m/>
    <x v="4"/>
    <x v="0"/>
    <x v="0"/>
    <x v="1"/>
    <n v="3"/>
    <n v="3"/>
    <n v="3"/>
    <n v="3"/>
    <n v="3"/>
    <n v="3"/>
  </r>
  <r>
    <n v="855"/>
    <x v="32"/>
    <x v="9"/>
    <s v="LHCSA"/>
    <s v="Medicaid"/>
    <s v="RN Initial (NB)"/>
    <m/>
    <x v="4"/>
    <x v="0"/>
    <x v="0"/>
    <x v="1"/>
    <n v="3"/>
    <n v="3"/>
    <n v="2.5"/>
    <n v="3"/>
    <n v="3"/>
    <n v="3"/>
  </r>
  <r>
    <n v="856"/>
    <x v="32"/>
    <x v="9"/>
    <s v="LHCSA"/>
    <s v="Medicaid"/>
    <s v="RN Reassessment (NB)"/>
    <m/>
    <x v="4"/>
    <x v="0"/>
    <x v="0"/>
    <x v="1"/>
    <n v="2"/>
    <n v="2"/>
    <n v="2"/>
    <n v="2"/>
    <n v="2"/>
    <n v="2"/>
  </r>
  <r>
    <n v="857"/>
    <x v="32"/>
    <x v="9"/>
    <s v="LHCSA"/>
    <s v="Medicaid"/>
    <s v="RN Visit 9799 (Hourly)"/>
    <s v="9799"/>
    <x v="4"/>
    <x v="0"/>
    <x v="0"/>
    <x v="1"/>
    <n v="48"/>
    <n v="70"/>
    <n v="68.5"/>
    <n v="47"/>
    <n v="69"/>
    <n v="69"/>
  </r>
  <r>
    <n v="858"/>
    <x v="32"/>
    <x v="16"/>
    <s v="Other"/>
    <s v="Insurance"/>
    <s v="PCA Hourly"/>
    <m/>
    <x v="5"/>
    <x v="0"/>
    <x v="3"/>
    <x v="1"/>
    <n v="30"/>
    <n v="60"/>
    <n v="233.5"/>
    <n v="30"/>
    <n v="60"/>
    <n v="233.5"/>
  </r>
  <r>
    <n v="860"/>
    <x v="32"/>
    <x v="57"/>
    <s v="MLTC"/>
    <s v="CDPAP"/>
    <s v="PA Hourly"/>
    <s v="T1019:U6"/>
    <x v="1"/>
    <x v="1"/>
    <x v="1"/>
    <x v="1"/>
    <n v="1"/>
    <n v="218"/>
    <n v="646.5"/>
    <n v="1"/>
    <n v="218"/>
    <n v="646.5"/>
  </r>
  <r>
    <n v="861"/>
    <x v="32"/>
    <x v="41"/>
    <s v="CHHA"/>
    <s v="CHHA"/>
    <s v="HHAHRPED"/>
    <s v="99999"/>
    <x v="0"/>
    <x v="0"/>
    <x v="0"/>
    <x v="0"/>
    <n v="2"/>
    <n v="331"/>
    <n v="2495.25"/>
    <n v="2"/>
    <n v="331"/>
    <n v="2495.25"/>
  </r>
  <r>
    <n v="862"/>
    <x v="32"/>
    <x v="10"/>
    <s v="Other"/>
    <s v="Private"/>
    <s v="PCA Hourly"/>
    <m/>
    <x v="5"/>
    <x v="0"/>
    <x v="3"/>
    <x v="1"/>
    <n v="3"/>
    <n v="63"/>
    <n v="571.5"/>
    <n v="2"/>
    <n v="2"/>
    <n v="2.5"/>
  </r>
  <r>
    <n v="863"/>
    <x v="32"/>
    <x v="17"/>
    <s v="Other"/>
    <s v="Private"/>
    <s v="HHA Hourly"/>
    <m/>
    <x v="5"/>
    <x v="0"/>
    <x v="3"/>
    <x v="1"/>
    <n v="1"/>
    <n v="362"/>
    <n v="4275.75"/>
    <n v="1"/>
    <n v="362"/>
    <n v="4275.75"/>
  </r>
  <r>
    <n v="864"/>
    <x v="32"/>
    <x v="17"/>
    <s v="Other"/>
    <s v="Private"/>
    <s v="PCA Hourly"/>
    <m/>
    <x v="5"/>
    <x v="0"/>
    <x v="3"/>
    <x v="1"/>
    <n v="9"/>
    <n v="794"/>
    <n v="8377.25"/>
    <n v="8"/>
    <n v="792"/>
    <n v="8358.25"/>
  </r>
  <r>
    <n v="865"/>
    <x v="32"/>
    <x v="17"/>
    <s v="Other"/>
    <s v="Private"/>
    <s v="PCA Live-in"/>
    <m/>
    <x v="5"/>
    <x v="0"/>
    <x v="3"/>
    <x v="1"/>
    <n v="1"/>
    <n v="106"/>
    <n v="2356.25"/>
    <n v="1"/>
    <n v="106"/>
    <n v="1378"/>
  </r>
  <r>
    <n v="866"/>
    <x v="32"/>
    <x v="17"/>
    <s v="Other"/>
    <s v="Private"/>
    <s v="PRN (NB)"/>
    <m/>
    <x v="5"/>
    <x v="0"/>
    <x v="3"/>
    <x v="1"/>
    <n v="2"/>
    <n v="2"/>
    <n v="1"/>
    <n v="2"/>
    <n v="2"/>
    <n v="2"/>
  </r>
  <r>
    <n v="867"/>
    <x v="32"/>
    <x v="17"/>
    <s v="Other"/>
    <s v="Private"/>
    <s v="RN Initial (NB)"/>
    <m/>
    <x v="5"/>
    <x v="0"/>
    <x v="3"/>
    <x v="1"/>
    <n v="3"/>
    <n v="3"/>
    <n v="2.5"/>
    <n v="3"/>
    <n v="3"/>
    <n v="3"/>
  </r>
  <r>
    <n v="868"/>
    <x v="32"/>
    <x v="17"/>
    <s v="Other"/>
    <s v="Private"/>
    <s v="RN Reassessment (NB)"/>
    <m/>
    <x v="5"/>
    <x v="0"/>
    <x v="3"/>
    <x v="1"/>
    <n v="2"/>
    <n v="3"/>
    <n v="1.5"/>
    <n v="1"/>
    <n v="2"/>
    <n v="2"/>
  </r>
  <r>
    <n v="869"/>
    <x v="32"/>
    <x v="42"/>
    <s v="Other"/>
    <m/>
    <s v="Rate 1"/>
    <s v="na"/>
    <x v="0"/>
    <x v="0"/>
    <x v="0"/>
    <x v="0"/>
    <n v="1"/>
    <n v="9"/>
    <n v="28.75"/>
    <n v="1"/>
    <n v="9"/>
    <n v="28.75"/>
  </r>
  <r>
    <n v="870"/>
    <x v="32"/>
    <x v="43"/>
    <s v="Other"/>
    <s v="MLTC"/>
    <s v="PRN (NB)"/>
    <m/>
    <x v="3"/>
    <x v="0"/>
    <x v="2"/>
    <x v="1"/>
    <n v="1"/>
    <n v="4"/>
    <n v="4"/>
    <n v="1"/>
    <n v="4"/>
    <n v="4"/>
  </r>
  <r>
    <n v="871"/>
    <x v="32"/>
    <x v="43"/>
    <s v="Other"/>
    <s v="MLTC"/>
    <s v="RN Initial (NB)"/>
    <m/>
    <x v="3"/>
    <x v="0"/>
    <x v="2"/>
    <x v="1"/>
    <n v="3"/>
    <n v="3"/>
    <n v="3"/>
    <n v="3"/>
    <n v="3"/>
    <n v="3"/>
  </r>
  <r>
    <n v="872"/>
    <x v="32"/>
    <x v="43"/>
    <s v="Other"/>
    <s v="MLTC"/>
    <s v="RN Reassessment (NB)"/>
    <m/>
    <x v="3"/>
    <x v="0"/>
    <x v="2"/>
    <x v="1"/>
    <n v="11"/>
    <n v="20"/>
    <n v="20"/>
    <n v="11"/>
    <n v="20"/>
    <n v="20"/>
  </r>
  <r>
    <n v="873"/>
    <x v="32"/>
    <x v="43"/>
    <s v="Other"/>
    <s v="MLTC"/>
    <s v="T1019:U1"/>
    <s v="T1019:U1"/>
    <x v="2"/>
    <x v="0"/>
    <x v="2"/>
    <x v="1"/>
    <n v="13"/>
    <n v="2759"/>
    <n v="19922"/>
    <n v="13"/>
    <n v="2759"/>
    <n v="19922"/>
  </r>
  <r>
    <n v="877"/>
    <x v="32"/>
    <x v="44"/>
    <s v="Other"/>
    <s v="CDPAP"/>
    <s v="T1019:U1"/>
    <s v="T1019:U1"/>
    <x v="2"/>
    <x v="0"/>
    <x v="2"/>
    <x v="1"/>
    <n v="1"/>
    <n v="20"/>
    <n v="89.75"/>
    <n v="1"/>
    <n v="20"/>
    <n v="89.75"/>
  </r>
  <r>
    <n v="878"/>
    <x v="32"/>
    <x v="44"/>
    <s v="Other"/>
    <s v="CDPAP"/>
    <s v="T1019:U6"/>
    <s v="T1019:U6"/>
    <x v="1"/>
    <x v="1"/>
    <x v="1"/>
    <x v="1"/>
    <n v="16"/>
    <n v="4447"/>
    <n v="33989"/>
    <n v="15"/>
    <n v="4345"/>
    <n v="33320"/>
  </r>
  <r>
    <n v="879"/>
    <x v="32"/>
    <x v="53"/>
    <s v="LHCSA"/>
    <s v="Medicaid"/>
    <s v="HCSS 9879"/>
    <s v="9879"/>
    <x v="4"/>
    <x v="0"/>
    <x v="0"/>
    <x v="1"/>
    <n v="2"/>
    <n v="415"/>
    <n v="4797.75"/>
    <n v="2"/>
    <n v="415"/>
    <n v="4797.75"/>
  </r>
  <r>
    <n v="880"/>
    <x v="32"/>
    <x v="53"/>
    <s v="LHCSA"/>
    <s v="Medicaid"/>
    <s v="PRN (NB)"/>
    <m/>
    <x v="4"/>
    <x v="0"/>
    <x v="0"/>
    <x v="1"/>
    <n v="1"/>
    <n v="2"/>
    <n v="2"/>
    <n v="1"/>
    <n v="2"/>
    <n v="2"/>
  </r>
  <r>
    <n v="881"/>
    <x v="32"/>
    <x v="53"/>
    <s v="LHCSA"/>
    <s v="Medicaid"/>
    <s v="RN Initial (NB)"/>
    <m/>
    <x v="4"/>
    <x v="0"/>
    <x v="0"/>
    <x v="1"/>
    <n v="1"/>
    <n v="1"/>
    <n v="0.75"/>
    <n v="1"/>
    <n v="1"/>
    <n v="1"/>
  </r>
  <r>
    <n v="882"/>
    <x v="32"/>
    <x v="53"/>
    <s v="LHCSA"/>
    <s v="Medicaid"/>
    <s v="RN Reassessment (NB)"/>
    <m/>
    <x v="4"/>
    <x v="0"/>
    <x v="0"/>
    <x v="1"/>
    <n v="1"/>
    <n v="1"/>
    <n v="1"/>
    <n v="1"/>
    <n v="1"/>
    <n v="1"/>
  </r>
  <r>
    <n v="883"/>
    <x v="32"/>
    <x v="58"/>
    <s v="Other"/>
    <s v="MLTC"/>
    <s v="UAS Enrollment Assessment"/>
    <m/>
    <x v="3"/>
    <x v="0"/>
    <x v="2"/>
    <x v="1"/>
    <n v="1"/>
    <n v="339"/>
    <n v="339"/>
    <n v="1"/>
    <n v="339"/>
    <n v="339"/>
  </r>
  <r>
    <n v="886"/>
    <x v="32"/>
    <x v="45"/>
    <s v="MCO"/>
    <s v="CDPAP"/>
    <s v="Live In"/>
    <s v="T1020:U6"/>
    <x v="9"/>
    <x v="1"/>
    <x v="1"/>
    <x v="1"/>
    <n v="1"/>
    <n v="28"/>
    <n v="364"/>
    <n v="1"/>
    <n v="28"/>
    <n v="364"/>
  </r>
  <r>
    <n v="887"/>
    <x v="32"/>
    <x v="45"/>
    <s v="MCO"/>
    <s v="CDPAP"/>
    <s v="PA Hourly"/>
    <s v="T1019:U6"/>
    <x v="1"/>
    <x v="1"/>
    <x v="1"/>
    <x v="1"/>
    <n v="82"/>
    <n v="10482"/>
    <n v="58274.25"/>
    <n v="77"/>
    <n v="10227"/>
    <n v="56842.5"/>
  </r>
  <r>
    <n v="888"/>
    <x v="32"/>
    <x v="45"/>
    <s v="MCO"/>
    <s v="CDPAP"/>
    <s v="PA Hourly Mutual"/>
    <s v="T1019:U7"/>
    <x v="10"/>
    <x v="1"/>
    <x v="1"/>
    <x v="1"/>
    <n v="5"/>
    <n v="94"/>
    <n v="711.75"/>
    <n v="5"/>
    <n v="94"/>
    <n v="711.75"/>
  </r>
  <r>
    <n v="889"/>
    <x v="32"/>
    <x v="46"/>
    <s v="MLTC"/>
    <s v="MLTC"/>
    <s v="HHA Live In - S5126"/>
    <s v="S5126"/>
    <x v="8"/>
    <x v="0"/>
    <x v="2"/>
    <x v="1"/>
    <n v="1"/>
    <n v="98"/>
    <n v="1274"/>
    <n v="1"/>
    <n v="98"/>
    <n v="1274"/>
  </r>
  <r>
    <n v="890"/>
    <x v="32"/>
    <x v="46"/>
    <s v="MLTC"/>
    <s v="MLTC"/>
    <s v="PCA - Live In"/>
    <s v="T1020"/>
    <x v="8"/>
    <x v="0"/>
    <x v="2"/>
    <x v="1"/>
    <n v="7"/>
    <n v="782"/>
    <n v="10166"/>
    <n v="7"/>
    <n v="782"/>
    <n v="10166"/>
  </r>
  <r>
    <n v="891"/>
    <x v="32"/>
    <x v="46"/>
    <s v="MLTC"/>
    <s v="MLTC"/>
    <s v="PCA - Live In TV"/>
    <s v="T1020:TV"/>
    <x v="8"/>
    <x v="0"/>
    <x v="2"/>
    <x v="1"/>
    <n v="1"/>
    <n v="29"/>
    <n v="377"/>
    <n v="1"/>
    <n v="29"/>
    <n v="377"/>
  </r>
  <r>
    <n v="892"/>
    <x v="32"/>
    <x v="46"/>
    <s v="MLTC"/>
    <s v="MLTC"/>
    <s v="PCA Cluster Care"/>
    <s v="T1019:U3"/>
    <x v="11"/>
    <x v="0"/>
    <x v="2"/>
    <x v="1"/>
    <n v="26"/>
    <n v="1366"/>
    <n v="3015.25"/>
    <n v="25"/>
    <n v="1364"/>
    <n v="3013.25"/>
  </r>
  <r>
    <n v="893"/>
    <x v="32"/>
    <x v="46"/>
    <s v="MLTC"/>
    <s v="MLTC"/>
    <s v="PCA Hourly"/>
    <s v="T1019:U1"/>
    <x v="2"/>
    <x v="0"/>
    <x v="2"/>
    <x v="1"/>
    <n v="175"/>
    <n v="17892"/>
    <n v="102573.75"/>
    <n v="167"/>
    <n v="17616"/>
    <n v="101409.25"/>
  </r>
  <r>
    <n v="894"/>
    <x v="32"/>
    <x v="46"/>
    <s v="MLTC"/>
    <s v="MLTC"/>
    <s v="PCA Hourly"/>
    <s v="T1019:U1:TV"/>
    <x v="2"/>
    <x v="0"/>
    <x v="2"/>
    <x v="1"/>
    <n v="59"/>
    <n v="2541"/>
    <n v="20202.75"/>
    <n v="57"/>
    <n v="2501"/>
    <n v="20031.75"/>
  </r>
  <r>
    <n v="895"/>
    <x v="32"/>
    <x v="46"/>
    <s v="MLTC"/>
    <s v="MLTC"/>
    <s v="PCA Hourly TV"/>
    <s v="T1019:U1:TV"/>
    <x v="2"/>
    <x v="0"/>
    <x v="2"/>
    <x v="1"/>
    <n v="25"/>
    <n v="286"/>
    <n v="2015.25"/>
    <n v="23"/>
    <n v="275"/>
    <n v="1954.25"/>
  </r>
  <r>
    <n v="896"/>
    <x v="32"/>
    <x v="46"/>
    <s v="MLTC"/>
    <s v="MLTC"/>
    <s v="PRN (NB)"/>
    <m/>
    <x v="3"/>
    <x v="0"/>
    <x v="2"/>
    <x v="1"/>
    <n v="8"/>
    <n v="10"/>
    <n v="10"/>
    <n v="8"/>
    <n v="10"/>
    <n v="10"/>
  </r>
  <r>
    <n v="897"/>
    <x v="32"/>
    <x v="46"/>
    <s v="MLTC"/>
    <s v="MLTC"/>
    <s v="RN Initial (NB)"/>
    <m/>
    <x v="3"/>
    <x v="0"/>
    <x v="2"/>
    <x v="1"/>
    <n v="1"/>
    <n v="1"/>
    <n v="1"/>
    <n v="1"/>
    <n v="1"/>
    <n v="1"/>
  </r>
  <r>
    <n v="898"/>
    <x v="32"/>
    <x v="46"/>
    <s v="MLTC"/>
    <s v="MLTC"/>
    <s v="RN Initial Visit"/>
    <s v="T1030"/>
    <x v="7"/>
    <x v="0"/>
    <x v="2"/>
    <x v="1"/>
    <n v="97"/>
    <n v="97"/>
    <n v="97"/>
    <n v="95"/>
    <n v="95"/>
    <n v="95"/>
  </r>
  <r>
    <n v="899"/>
    <x v="32"/>
    <x v="46"/>
    <s v="MLTC"/>
    <s v="MLTC"/>
    <s v="RN Reassessment (NB)"/>
    <m/>
    <x v="3"/>
    <x v="0"/>
    <x v="2"/>
    <x v="1"/>
    <n v="90"/>
    <n v="141"/>
    <n v="141"/>
    <n v="88"/>
    <n v="139"/>
    <n v="139"/>
  </r>
  <r>
    <n v="900"/>
    <x v="32"/>
    <x v="18"/>
    <s v="MLTC"/>
    <s v="MLTC"/>
    <s v="PRN (NB)"/>
    <m/>
    <x v="3"/>
    <x v="0"/>
    <x v="2"/>
    <x v="1"/>
    <n v="7"/>
    <n v="8"/>
    <n v="8"/>
    <n v="7"/>
    <n v="8"/>
    <n v="8"/>
  </r>
  <r>
    <n v="901"/>
    <x v="32"/>
    <x v="18"/>
    <s v="MLTC"/>
    <s v="MLTC"/>
    <s v="RN - Initial Visit"/>
    <m/>
    <x v="3"/>
    <x v="0"/>
    <x v="2"/>
    <x v="1"/>
    <n v="1"/>
    <n v="1"/>
    <n v="1"/>
    <n v="1"/>
    <n v="1"/>
    <n v="1"/>
  </r>
  <r>
    <n v="902"/>
    <x v="32"/>
    <x v="18"/>
    <s v="MLTC"/>
    <s v="MLTC"/>
    <s v="RN Initial (NB)"/>
    <m/>
    <x v="3"/>
    <x v="0"/>
    <x v="2"/>
    <x v="1"/>
    <n v="33"/>
    <n v="33"/>
    <n v="33"/>
    <n v="30"/>
    <n v="30"/>
    <n v="30"/>
  </r>
  <r>
    <n v="903"/>
    <x v="32"/>
    <x v="18"/>
    <s v="MLTC"/>
    <s v="MLTC"/>
    <s v="RN Reassessment (NB)"/>
    <m/>
    <x v="3"/>
    <x v="0"/>
    <x v="2"/>
    <x v="1"/>
    <n v="44"/>
    <n v="76"/>
    <n v="76"/>
    <n v="43"/>
    <n v="74"/>
    <n v="74"/>
  </r>
  <r>
    <n v="904"/>
    <x v="32"/>
    <x v="18"/>
    <s v="MLTC"/>
    <s v="MLTC"/>
    <s v="T1019U1 BX"/>
    <s v="T1019:U1"/>
    <x v="2"/>
    <x v="0"/>
    <x v="2"/>
    <x v="1"/>
    <n v="2"/>
    <n v="141"/>
    <n v="1221.25"/>
    <n v="2"/>
    <n v="141"/>
    <n v="1221.25"/>
  </r>
  <r>
    <n v="905"/>
    <x v="32"/>
    <x v="18"/>
    <s v="MLTC"/>
    <s v="MLTC"/>
    <s v="T1019U1 NYC"/>
    <s v="T1019:U1"/>
    <x v="2"/>
    <x v="0"/>
    <x v="2"/>
    <x v="1"/>
    <n v="76"/>
    <n v="8940"/>
    <n v="53451.25"/>
    <n v="70"/>
    <n v="8528"/>
    <n v="50109.5"/>
  </r>
  <r>
    <n v="906"/>
    <x v="32"/>
    <x v="18"/>
    <s v="MLTC"/>
    <s v="MLTC"/>
    <s v="T1020 NYC"/>
    <s v="T1020"/>
    <x v="8"/>
    <x v="0"/>
    <x v="2"/>
    <x v="1"/>
    <n v="6"/>
    <n v="565"/>
    <n v="7345"/>
    <n v="6"/>
    <n v="565"/>
    <n v="7345"/>
  </r>
  <r>
    <n v="909"/>
    <x v="32"/>
    <x v="19"/>
    <s v="MLTC"/>
    <s v="CDPAP"/>
    <s v="T1019U6 BX"/>
    <s v="T1019:U6"/>
    <x v="1"/>
    <x v="1"/>
    <x v="1"/>
    <x v="1"/>
    <n v="1"/>
    <n v="26"/>
    <n v="208"/>
    <n v="1"/>
    <n v="26"/>
    <n v="208"/>
  </r>
  <r>
    <n v="910"/>
    <x v="32"/>
    <x v="19"/>
    <s v="MLTC"/>
    <s v="CDPAP"/>
    <s v="T1019U6 EDD"/>
    <s v="T1019:U6"/>
    <x v="1"/>
    <x v="1"/>
    <x v="1"/>
    <x v="1"/>
    <n v="1"/>
    <n v="366"/>
    <n v="1203.5"/>
    <n v="1"/>
    <n v="366"/>
    <n v="1203.5"/>
  </r>
  <r>
    <n v="911"/>
    <x v="32"/>
    <x v="19"/>
    <s v="MLTC"/>
    <s v="CDPAP"/>
    <s v="T1019U6 NYC"/>
    <s v="T1019:U6"/>
    <x v="1"/>
    <x v="1"/>
    <x v="1"/>
    <x v="1"/>
    <n v="37"/>
    <n v="6739"/>
    <n v="38329.75"/>
    <n v="31"/>
    <n v="6355"/>
    <n v="35543.75"/>
  </r>
  <r>
    <n v="912"/>
    <x v="32"/>
    <x v="19"/>
    <s v="MLTC"/>
    <s v="CDPAP"/>
    <s v="T1019U7 NYC"/>
    <s v="T1019:U7"/>
    <x v="10"/>
    <x v="1"/>
    <x v="1"/>
    <x v="1"/>
    <n v="4"/>
    <n v="293"/>
    <n v="2029.75"/>
    <n v="4"/>
    <n v="293"/>
    <n v="2029.75"/>
  </r>
  <r>
    <n v="913"/>
    <x v="32"/>
    <x v="54"/>
    <s v="CHHA"/>
    <s v="CHHA"/>
    <s v="2610"/>
    <s v="2610"/>
    <x v="0"/>
    <x v="0"/>
    <x v="0"/>
    <x v="0"/>
    <n v="3"/>
    <n v="92"/>
    <n v="717"/>
    <n v="3"/>
    <n v="92"/>
    <n v="717"/>
  </r>
  <r>
    <n v="917"/>
    <x v="33"/>
    <x v="1"/>
    <s v="MLTC"/>
    <s v="CDPAP"/>
    <s v="PA Hourly - Erie/Niagara"/>
    <s v="T1019:U6"/>
    <x v="1"/>
    <x v="1"/>
    <x v="1"/>
    <x v="1"/>
    <n v="6"/>
    <n v="1551"/>
    <n v="5425.25"/>
    <n v="6"/>
    <n v="1551"/>
    <n v="5425.25"/>
  </r>
  <r>
    <n v="918"/>
    <x v="33"/>
    <x v="47"/>
    <s v="MCO"/>
    <s v="CDPAP"/>
    <s v="PA Hourly"/>
    <s v="T1019:U6"/>
    <x v="1"/>
    <x v="1"/>
    <x v="1"/>
    <x v="1"/>
    <n v="1"/>
    <n v="36"/>
    <n v="360"/>
    <n v="1"/>
    <n v="36"/>
    <n v="360"/>
  </r>
  <r>
    <n v="920"/>
    <x v="33"/>
    <x v="7"/>
    <s v="LHCSA"/>
    <s v="CDPAP"/>
    <s v="T1019:U6"/>
    <s v="T1019:U6"/>
    <x v="1"/>
    <x v="1"/>
    <x v="1"/>
    <x v="1"/>
    <n v="18"/>
    <n v="2221"/>
    <n v="9862"/>
    <n v="18"/>
    <n v="2221"/>
    <n v="9862"/>
  </r>
  <r>
    <n v="923"/>
    <x v="33"/>
    <x v="14"/>
    <s v="MLTC"/>
    <s v="CDPAP"/>
    <s v="PA Hourly"/>
    <s v="T1019:U6"/>
    <x v="1"/>
    <x v="1"/>
    <x v="1"/>
    <x v="1"/>
    <n v="7"/>
    <n v="1206"/>
    <n v="6175.5"/>
    <n v="7"/>
    <n v="1206"/>
    <n v="6175.5"/>
  </r>
  <r>
    <n v="925"/>
    <x v="33"/>
    <x v="19"/>
    <s v="MLTC"/>
    <s v="CDPAP"/>
    <s v="T1019U6 NIA"/>
    <s v="T1019:U6"/>
    <x v="1"/>
    <x v="1"/>
    <x v="1"/>
    <x v="1"/>
    <n v="2"/>
    <n v="78"/>
    <n v="690.75"/>
    <n v="2"/>
    <n v="78"/>
    <n v="690.75"/>
  </r>
  <r>
    <n v="926"/>
    <x v="33"/>
    <x v="48"/>
    <s v="MLTC"/>
    <s v="CDPAP"/>
    <s v="PA Hourly"/>
    <s v="T1019:U6"/>
    <x v="1"/>
    <x v="1"/>
    <x v="1"/>
    <x v="1"/>
    <n v="1"/>
    <n v="18"/>
    <n v="180"/>
    <n v="1"/>
    <n v="18"/>
    <n v="180"/>
  </r>
  <r>
    <n v="928"/>
    <x v="34"/>
    <x v="7"/>
    <s v="LHCSA"/>
    <s v="CDPAP"/>
    <s v="T1019:U6"/>
    <s v="T1019:U6"/>
    <x v="1"/>
    <x v="1"/>
    <x v="1"/>
    <x v="1"/>
    <n v="18"/>
    <n v="2974"/>
    <n v="10685.5"/>
    <n v="18"/>
    <n v="2974"/>
    <n v="10685.5"/>
  </r>
  <r>
    <n v="930"/>
    <x v="34"/>
    <x v="14"/>
    <s v="MLTC"/>
    <s v="CDPAP"/>
    <s v="PA Hourly"/>
    <s v="T1019:U6"/>
    <x v="1"/>
    <x v="1"/>
    <x v="1"/>
    <x v="1"/>
    <n v="4"/>
    <n v="489"/>
    <n v="2170.75"/>
    <n v="4"/>
    <n v="489"/>
    <n v="2170.75"/>
  </r>
  <r>
    <n v="933"/>
    <x v="34"/>
    <x v="19"/>
    <s v="MLTC"/>
    <s v="CDPAP"/>
    <s v="T1019U6 ONE"/>
    <s v="T1019:U6"/>
    <x v="1"/>
    <x v="1"/>
    <x v="1"/>
    <x v="1"/>
    <n v="20"/>
    <n v="3776"/>
    <n v="14770.75"/>
    <n v="20"/>
    <n v="3776"/>
    <n v="14770.75"/>
  </r>
  <r>
    <n v="937"/>
    <x v="35"/>
    <x v="7"/>
    <s v="LHCSA"/>
    <s v="CDPAP"/>
    <s v="T1019:U6"/>
    <s v="T1019:U6"/>
    <x v="1"/>
    <x v="1"/>
    <x v="1"/>
    <x v="1"/>
    <n v="37"/>
    <n v="5356"/>
    <n v="26517.25"/>
    <n v="36"/>
    <n v="5330"/>
    <n v="26407.25"/>
  </r>
  <r>
    <n v="938"/>
    <x v="35"/>
    <x v="7"/>
    <s v="LHCSA"/>
    <s v="CDPAP"/>
    <s v="T1019:U7"/>
    <s v="T1019:U7"/>
    <x v="10"/>
    <x v="1"/>
    <x v="1"/>
    <x v="1"/>
    <n v="2"/>
    <n v="76"/>
    <n v="152"/>
    <n v="2"/>
    <n v="76"/>
    <n v="152"/>
  </r>
  <r>
    <n v="941"/>
    <x v="35"/>
    <x v="14"/>
    <s v="MLTC"/>
    <s v="CDPAP"/>
    <s v="PA Hourly"/>
    <s v="T1019:U6"/>
    <x v="1"/>
    <x v="1"/>
    <x v="1"/>
    <x v="1"/>
    <n v="6"/>
    <n v="1295"/>
    <n v="5090"/>
    <n v="6"/>
    <n v="1295"/>
    <n v="5090"/>
  </r>
  <r>
    <n v="945"/>
    <x v="35"/>
    <x v="19"/>
    <s v="MLTC"/>
    <s v="CDPAP"/>
    <s v="T1019U6 ONO"/>
    <s v="T1019:U6"/>
    <x v="1"/>
    <x v="1"/>
    <x v="1"/>
    <x v="1"/>
    <n v="36"/>
    <n v="8423"/>
    <n v="34658.25"/>
    <n v="36"/>
    <n v="8423"/>
    <n v="34658.25"/>
  </r>
  <r>
    <n v="946"/>
    <x v="35"/>
    <x v="19"/>
    <s v="MLTC"/>
    <s v="CDPAP"/>
    <s v="T1019U7 ONO"/>
    <s v="T1019:U7"/>
    <x v="10"/>
    <x v="1"/>
    <x v="1"/>
    <x v="1"/>
    <n v="6"/>
    <n v="2178"/>
    <n v="19859"/>
    <n v="6"/>
    <n v="2178"/>
    <n v="19859"/>
  </r>
  <r>
    <n v="950"/>
    <x v="36"/>
    <x v="7"/>
    <s v="LHCSA"/>
    <s v="CDPAP"/>
    <s v="T1019:U6"/>
    <s v="T1019:U6"/>
    <x v="1"/>
    <x v="1"/>
    <x v="1"/>
    <x v="1"/>
    <n v="7"/>
    <n v="1393"/>
    <n v="6954.5"/>
    <n v="7"/>
    <n v="1393"/>
    <n v="6954.5"/>
  </r>
  <r>
    <n v="953"/>
    <x v="36"/>
    <x v="14"/>
    <s v="MLTC"/>
    <s v="CDPAP"/>
    <s v="PA Hourly"/>
    <s v="T1019:U6"/>
    <x v="1"/>
    <x v="1"/>
    <x v="1"/>
    <x v="1"/>
    <n v="4"/>
    <n v="891"/>
    <n v="4934.75"/>
    <n v="4"/>
    <n v="891"/>
    <n v="4934.75"/>
  </r>
  <r>
    <n v="955"/>
    <x v="37"/>
    <x v="55"/>
    <s v="MLTC"/>
    <s v="CDPAP"/>
    <s v="PA HOURLY"/>
    <s v="T1019:U6"/>
    <x v="1"/>
    <x v="1"/>
    <x v="1"/>
    <x v="1"/>
    <n v="1"/>
    <n v="71"/>
    <n v="422.75"/>
    <n v="1"/>
    <n v="71"/>
    <n v="422.75"/>
  </r>
  <r>
    <n v="958"/>
    <x v="37"/>
    <x v="30"/>
    <s v="MLTC"/>
    <s v="CDPAP"/>
    <s v="T1019:U6"/>
    <s v="T1019:U6"/>
    <x v="1"/>
    <x v="1"/>
    <x v="1"/>
    <x v="1"/>
    <n v="8"/>
    <n v="673"/>
    <n v="3447"/>
    <n v="7"/>
    <n v="644"/>
    <n v="3318.75"/>
  </r>
  <r>
    <n v="959"/>
    <x v="37"/>
    <x v="6"/>
    <s v="LHCSA"/>
    <s v="MLTC"/>
    <s v="T1019:U1"/>
    <s v="T1019:U1"/>
    <x v="2"/>
    <x v="0"/>
    <x v="2"/>
    <x v="1"/>
    <n v="1"/>
    <n v="3"/>
    <n v="10.5"/>
    <n v="1"/>
    <n v="3"/>
    <n v="10.5"/>
  </r>
  <r>
    <n v="962"/>
    <x v="37"/>
    <x v="7"/>
    <s v="LHCSA"/>
    <s v="CDPAP"/>
    <s v="T1019:U6"/>
    <s v="T1019:U6"/>
    <x v="1"/>
    <x v="1"/>
    <x v="1"/>
    <x v="1"/>
    <n v="9"/>
    <n v="1162"/>
    <n v="4331.75"/>
    <n v="9"/>
    <n v="1162"/>
    <n v="4331.75"/>
  </r>
  <r>
    <n v="963"/>
    <x v="37"/>
    <x v="13"/>
    <s v="MLTC"/>
    <s v="MLTC"/>
    <s v="Rn initial assement"/>
    <s v="G0162"/>
    <x v="3"/>
    <x v="0"/>
    <x v="2"/>
    <x v="1"/>
    <n v="1"/>
    <n v="1"/>
    <n v="1"/>
    <n v="0"/>
    <n v="0"/>
    <n v="0"/>
  </r>
  <r>
    <n v="965"/>
    <x v="37"/>
    <x v="33"/>
    <s v="MCO"/>
    <s v="CDPAP"/>
    <s v="PA Hourly - Mutual Upstate"/>
    <s v="T1019:U7"/>
    <x v="10"/>
    <x v="1"/>
    <x v="1"/>
    <x v="1"/>
    <n v="2"/>
    <n v="133"/>
    <n v="906.5"/>
    <n v="2"/>
    <n v="133"/>
    <n v="906.5"/>
  </r>
  <r>
    <n v="966"/>
    <x v="37"/>
    <x v="33"/>
    <s v="MCO"/>
    <s v="CDPAP"/>
    <s v="PA Hourly Upstate"/>
    <s v="T1019:U6"/>
    <x v="1"/>
    <x v="1"/>
    <x v="1"/>
    <x v="1"/>
    <n v="5"/>
    <n v="1110"/>
    <n v="4694.75"/>
    <n v="5"/>
    <n v="1110"/>
    <n v="4694.75"/>
  </r>
  <r>
    <n v="969"/>
    <x v="37"/>
    <x v="35"/>
    <s v="MCO"/>
    <s v="CDPAP"/>
    <s v="PA Hourly Upstate"/>
    <s v="T1019:U6"/>
    <x v="1"/>
    <x v="1"/>
    <x v="1"/>
    <x v="1"/>
    <n v="1"/>
    <n v="186"/>
    <n v="557"/>
    <n v="1"/>
    <n v="186"/>
    <n v="557"/>
  </r>
  <r>
    <n v="972"/>
    <x v="37"/>
    <x v="59"/>
    <s v="MLTC"/>
    <s v="CDPAP"/>
    <s v="PA Hourly"/>
    <s v="T1019:U6"/>
    <x v="1"/>
    <x v="1"/>
    <x v="1"/>
    <x v="1"/>
    <n v="1"/>
    <n v="259"/>
    <n v="985"/>
    <n v="1"/>
    <n v="259"/>
    <n v="985"/>
  </r>
  <r>
    <n v="975"/>
    <x v="37"/>
    <x v="19"/>
    <s v="MLTC"/>
    <s v="CDPAP"/>
    <s v="T1019U6 ORA"/>
    <s v="T1019:U6"/>
    <x v="1"/>
    <x v="1"/>
    <x v="1"/>
    <x v="1"/>
    <n v="28"/>
    <n v="6842"/>
    <n v="32486"/>
    <n v="27"/>
    <n v="6826"/>
    <n v="32394"/>
  </r>
  <r>
    <n v="976"/>
    <x v="37"/>
    <x v="19"/>
    <s v="MLTC"/>
    <s v="CDPAP"/>
    <s v="T1019U6 ULS"/>
    <s v="T1019:U6"/>
    <x v="1"/>
    <x v="1"/>
    <x v="1"/>
    <x v="1"/>
    <n v="1"/>
    <n v="87"/>
    <n v="221.25"/>
    <n v="1"/>
    <n v="87"/>
    <n v="221.25"/>
  </r>
  <r>
    <n v="977"/>
    <x v="38"/>
    <x v="47"/>
    <s v="MCO"/>
    <s v="CDPAP"/>
    <s v="PA Hourly"/>
    <s v="T1019:U6"/>
    <x v="1"/>
    <x v="1"/>
    <x v="1"/>
    <x v="1"/>
    <n v="2"/>
    <n v="102"/>
    <n v="582.5"/>
    <n v="2"/>
    <n v="102"/>
    <n v="582.5"/>
  </r>
  <r>
    <n v="979"/>
    <x v="38"/>
    <x v="7"/>
    <s v="LHCSA"/>
    <s v="CDPAP"/>
    <s v="T1019:U6"/>
    <s v="T1019:U6"/>
    <x v="1"/>
    <x v="1"/>
    <x v="1"/>
    <x v="1"/>
    <n v="3"/>
    <n v="613"/>
    <n v="2834"/>
    <n v="3"/>
    <n v="613"/>
    <n v="2834"/>
  </r>
  <r>
    <n v="981"/>
    <x v="38"/>
    <x v="14"/>
    <s v="MLTC"/>
    <s v="CDPAP"/>
    <s v="PA Hourly"/>
    <s v="T1019:U6"/>
    <x v="1"/>
    <x v="1"/>
    <x v="1"/>
    <x v="1"/>
    <n v="1"/>
    <n v="75"/>
    <n v="251.25"/>
    <n v="1"/>
    <n v="75"/>
    <n v="251.25"/>
  </r>
  <r>
    <n v="983"/>
    <x v="38"/>
    <x v="19"/>
    <s v="MLTC"/>
    <s v="CDPAP"/>
    <s v="T1019U6 ORL"/>
    <s v="T1019:U6"/>
    <x v="1"/>
    <x v="1"/>
    <x v="1"/>
    <x v="1"/>
    <n v="2"/>
    <n v="150"/>
    <n v="938.25"/>
    <n v="1"/>
    <n v="78"/>
    <n v="568.5"/>
  </r>
  <r>
    <n v="984"/>
    <x v="38"/>
    <x v="48"/>
    <s v="MLTC"/>
    <s v="CDPAP"/>
    <s v="PA Hourly"/>
    <s v="T1019:U6"/>
    <x v="1"/>
    <x v="1"/>
    <x v="1"/>
    <x v="1"/>
    <n v="2"/>
    <n v="58"/>
    <n v="357"/>
    <n v="2"/>
    <n v="58"/>
    <n v="357"/>
  </r>
  <r>
    <n v="987"/>
    <x v="39"/>
    <x v="7"/>
    <s v="LHCSA"/>
    <s v="CDPAP"/>
    <s v="T1019:U6"/>
    <s v="T1019:U6"/>
    <x v="1"/>
    <x v="1"/>
    <x v="1"/>
    <x v="1"/>
    <n v="12"/>
    <n v="1669"/>
    <n v="8234"/>
    <n v="12"/>
    <n v="1669"/>
    <n v="8234"/>
  </r>
  <r>
    <n v="990"/>
    <x v="39"/>
    <x v="14"/>
    <s v="MLTC"/>
    <s v="CDPAP"/>
    <s v="PA Hourly"/>
    <s v="T1019:U6"/>
    <x v="1"/>
    <x v="1"/>
    <x v="1"/>
    <x v="1"/>
    <n v="7"/>
    <n v="1206"/>
    <n v="6990.5"/>
    <n v="7"/>
    <n v="1206"/>
    <n v="6990.5"/>
  </r>
  <r>
    <n v="993"/>
    <x v="40"/>
    <x v="7"/>
    <s v="LHCSA"/>
    <s v="CDPAP"/>
    <s v="T1019:U6"/>
    <s v="T1019:U6"/>
    <x v="1"/>
    <x v="1"/>
    <x v="1"/>
    <x v="1"/>
    <n v="5"/>
    <n v="457"/>
    <n v="2912.75"/>
    <n v="5"/>
    <n v="457"/>
    <n v="2912.75"/>
  </r>
  <r>
    <n v="995"/>
    <x v="40"/>
    <x v="14"/>
    <s v="MLTC"/>
    <s v="CDPAP"/>
    <s v="PA Hourly"/>
    <s v="T1019:U6"/>
    <x v="1"/>
    <x v="1"/>
    <x v="1"/>
    <x v="1"/>
    <n v="2"/>
    <n v="387"/>
    <n v="1466.75"/>
    <n v="2"/>
    <n v="387"/>
    <n v="1466.75"/>
  </r>
  <r>
    <n v="998"/>
    <x v="40"/>
    <x v="19"/>
    <s v="MLTC"/>
    <s v="CDPAP"/>
    <s v="T1019U6 OTS"/>
    <s v="T1019:U6"/>
    <x v="1"/>
    <x v="1"/>
    <x v="1"/>
    <x v="1"/>
    <n v="3"/>
    <n v="548"/>
    <n v="2097.75"/>
    <n v="3"/>
    <n v="548"/>
    <n v="2097.75"/>
  </r>
  <r>
    <n v="1000"/>
    <x v="41"/>
    <x v="55"/>
    <s v="MLTC"/>
    <s v="CDPAP"/>
    <s v="PA HOURLY"/>
    <s v="T1019:U6"/>
    <x v="1"/>
    <x v="1"/>
    <x v="1"/>
    <x v="1"/>
    <n v="1"/>
    <n v="6"/>
    <n v="30"/>
    <n v="1"/>
    <n v="6"/>
    <n v="30"/>
  </r>
  <r>
    <n v="1003"/>
    <x v="41"/>
    <x v="30"/>
    <s v="MLTC"/>
    <s v="CDPAP"/>
    <s v="T1019:U6"/>
    <s v="T1019:U6"/>
    <x v="1"/>
    <x v="1"/>
    <x v="1"/>
    <x v="1"/>
    <n v="2"/>
    <n v="282"/>
    <n v="1597.5"/>
    <n v="2"/>
    <n v="282"/>
    <n v="1597.5"/>
  </r>
  <r>
    <n v="1005"/>
    <x v="41"/>
    <x v="7"/>
    <s v="LHCSA"/>
    <s v="CDPAP"/>
    <s v="T1019:U6"/>
    <s v="T1019:U6"/>
    <x v="1"/>
    <x v="1"/>
    <x v="1"/>
    <x v="1"/>
    <n v="3"/>
    <n v="320"/>
    <n v="1093.75"/>
    <n v="3"/>
    <n v="320"/>
    <n v="1093.75"/>
  </r>
  <r>
    <n v="1006"/>
    <x v="3"/>
    <x v="0"/>
    <s v="CHHA"/>
    <s v="CHHA"/>
    <s v="HHA1"/>
    <s v="S9122"/>
    <x v="0"/>
    <x v="0"/>
    <x v="0"/>
    <x v="0"/>
    <n v="31"/>
    <n v="748"/>
    <n v="2943.75"/>
    <n v="22"/>
    <n v="568"/>
    <n v="2258.5"/>
  </r>
  <r>
    <n v="1007"/>
    <x v="3"/>
    <x v="0"/>
    <s v="CHHA"/>
    <s v="CHHA"/>
    <s v="HHAPEDSV"/>
    <s v="S9122"/>
    <x v="0"/>
    <x v="0"/>
    <x v="0"/>
    <x v="0"/>
    <n v="212"/>
    <n v="26991"/>
    <n v="181303"/>
    <n v="181"/>
    <n v="25501"/>
    <n v="171376"/>
  </r>
  <r>
    <n v="1009"/>
    <x v="3"/>
    <x v="55"/>
    <s v="MLTC"/>
    <s v="CDPAP"/>
    <s v="PA HOURLY"/>
    <s v="T1019:U6"/>
    <x v="1"/>
    <x v="1"/>
    <x v="1"/>
    <x v="1"/>
    <n v="2"/>
    <n v="30"/>
    <n v="119.75"/>
    <n v="2"/>
    <n v="30"/>
    <n v="119.75"/>
  </r>
  <r>
    <n v="1010"/>
    <x v="3"/>
    <x v="22"/>
    <s v="MCO"/>
    <s v="CDPAP"/>
    <s v="PA Hourly"/>
    <s v="T1019:U6"/>
    <x v="1"/>
    <x v="1"/>
    <x v="1"/>
    <x v="1"/>
    <n v="5"/>
    <n v="358"/>
    <n v="1884.25"/>
    <n v="4"/>
    <n v="344"/>
    <n v="1780.25"/>
  </r>
  <r>
    <n v="1011"/>
    <x v="3"/>
    <x v="23"/>
    <s v="MCO"/>
    <s v="MLTC"/>
    <s v="PCA Hourly"/>
    <s v="T1019:U1"/>
    <x v="2"/>
    <x v="0"/>
    <x v="2"/>
    <x v="1"/>
    <n v="8"/>
    <n v="430"/>
    <n v="2439"/>
    <n v="7"/>
    <n v="387"/>
    <n v="2269.5"/>
  </r>
  <r>
    <n v="1012"/>
    <x v="3"/>
    <x v="23"/>
    <s v="MCO"/>
    <s v="MLTC"/>
    <s v="RN Initial (NB)"/>
    <m/>
    <x v="3"/>
    <x v="0"/>
    <x v="2"/>
    <x v="1"/>
    <n v="2"/>
    <n v="2"/>
    <n v="2"/>
    <n v="1"/>
    <n v="1"/>
    <n v="1"/>
  </r>
  <r>
    <n v="1013"/>
    <x v="3"/>
    <x v="23"/>
    <s v="MCO"/>
    <s v="MLTC"/>
    <s v="RN Reassessment (NB)"/>
    <m/>
    <x v="3"/>
    <x v="0"/>
    <x v="2"/>
    <x v="1"/>
    <n v="3"/>
    <n v="3"/>
    <n v="3"/>
    <n v="3"/>
    <n v="3"/>
    <n v="3"/>
  </r>
  <r>
    <n v="1014"/>
    <x v="3"/>
    <x v="25"/>
    <s v="CHHA"/>
    <s v="CHHA"/>
    <s v="HHA Hourly"/>
    <s v="HH11"/>
    <x v="0"/>
    <x v="0"/>
    <x v="0"/>
    <x v="0"/>
    <n v="7"/>
    <n v="44"/>
    <n v="162.5"/>
    <n v="6"/>
    <n v="34"/>
    <n v="128.5"/>
  </r>
  <r>
    <n v="1015"/>
    <x v="3"/>
    <x v="26"/>
    <s v="Other"/>
    <s v="MLTC"/>
    <s v="RN Initial (NB)"/>
    <m/>
    <x v="4"/>
    <x v="0"/>
    <x v="0"/>
    <x v="1"/>
    <n v="1"/>
    <n v="1"/>
    <n v="1"/>
    <n v="1"/>
    <n v="1"/>
    <n v="1"/>
  </r>
  <r>
    <n v="1016"/>
    <x v="3"/>
    <x v="26"/>
    <s v="Other"/>
    <s v="MLTC"/>
    <s v="T1019:U1"/>
    <s v="T1019:U1"/>
    <x v="4"/>
    <x v="0"/>
    <x v="0"/>
    <x v="1"/>
    <n v="1"/>
    <n v="8"/>
    <n v="36.25"/>
    <n v="1"/>
    <n v="8"/>
    <n v="36.25"/>
  </r>
  <r>
    <n v="1017"/>
    <x v="3"/>
    <x v="27"/>
    <s v="Other"/>
    <s v="CDPAP"/>
    <s v="T1019:U6"/>
    <s v="T1019:U6"/>
    <x v="4"/>
    <x v="0"/>
    <x v="0"/>
    <x v="1"/>
    <n v="2"/>
    <n v="253"/>
    <n v="2034.5"/>
    <n v="2"/>
    <n v="253"/>
    <n v="2034.5"/>
  </r>
  <r>
    <n v="1018"/>
    <x v="3"/>
    <x v="28"/>
    <s v="MLTC"/>
    <s v="MLTC"/>
    <s v="PCA Hourly"/>
    <s v="T1019:U1"/>
    <x v="2"/>
    <x v="0"/>
    <x v="2"/>
    <x v="1"/>
    <n v="90"/>
    <n v="10993"/>
    <n v="52611"/>
    <n v="87"/>
    <n v="10869"/>
    <n v="51726.75"/>
  </r>
  <r>
    <n v="1019"/>
    <x v="3"/>
    <x v="28"/>
    <s v="MLTC"/>
    <s v="MLTC"/>
    <s v="PCA Live-In"/>
    <s v="T1020"/>
    <x v="8"/>
    <x v="0"/>
    <x v="2"/>
    <x v="1"/>
    <n v="1"/>
    <n v="23"/>
    <n v="299"/>
    <n v="1"/>
    <n v="23"/>
    <n v="299"/>
  </r>
  <r>
    <n v="1020"/>
    <x v="3"/>
    <x v="28"/>
    <s v="MLTC"/>
    <s v="MLTC"/>
    <s v="PRN (NB)"/>
    <m/>
    <x v="3"/>
    <x v="0"/>
    <x v="2"/>
    <x v="1"/>
    <n v="2"/>
    <n v="2"/>
    <n v="2"/>
    <n v="2"/>
    <n v="2"/>
    <n v="2"/>
  </r>
  <r>
    <n v="1021"/>
    <x v="3"/>
    <x v="28"/>
    <s v="MLTC"/>
    <s v="MLTC"/>
    <s v="RN Initial (NB)"/>
    <m/>
    <x v="3"/>
    <x v="0"/>
    <x v="2"/>
    <x v="1"/>
    <n v="49"/>
    <n v="49"/>
    <n v="49"/>
    <n v="48"/>
    <n v="48"/>
    <n v="48"/>
  </r>
  <r>
    <n v="1022"/>
    <x v="3"/>
    <x v="28"/>
    <s v="MLTC"/>
    <s v="MLTC"/>
    <s v="RN Reassessment (NB)"/>
    <m/>
    <x v="3"/>
    <x v="0"/>
    <x v="2"/>
    <x v="1"/>
    <n v="41"/>
    <n v="61"/>
    <n v="61"/>
    <n v="41"/>
    <n v="61"/>
    <n v="61"/>
  </r>
  <r>
    <n v="1025"/>
    <x v="3"/>
    <x v="1"/>
    <s v="MLTC"/>
    <s v="CDPAP"/>
    <s v="PA Hourly - 5 Boroughs"/>
    <s v="T1019:U6"/>
    <x v="1"/>
    <x v="1"/>
    <x v="1"/>
    <x v="1"/>
    <n v="85"/>
    <n v="16110"/>
    <n v="66145.5"/>
    <n v="80"/>
    <n v="15847"/>
    <n v="64895"/>
  </r>
  <r>
    <n v="1026"/>
    <x v="3"/>
    <x v="1"/>
    <s v="MLTC"/>
    <s v="CDPAP"/>
    <s v="PA Hourly - Nassau/Suffolk/Westchester:"/>
    <s v="T1019:U6"/>
    <x v="1"/>
    <x v="1"/>
    <x v="1"/>
    <x v="1"/>
    <n v="2"/>
    <n v="253"/>
    <n v="1462.5"/>
    <n v="2"/>
    <n v="253"/>
    <n v="1462.5"/>
  </r>
  <r>
    <n v="1027"/>
    <x v="3"/>
    <x v="29"/>
    <s v="MLTC"/>
    <s v="MLTC"/>
    <s v="PRN (NB)"/>
    <m/>
    <x v="3"/>
    <x v="0"/>
    <x v="2"/>
    <x v="1"/>
    <n v="3"/>
    <n v="3"/>
    <n v="3"/>
    <n v="3"/>
    <n v="3"/>
    <n v="3"/>
  </r>
  <r>
    <n v="1028"/>
    <x v="3"/>
    <x v="29"/>
    <s v="MLTC"/>
    <s v="MLTC"/>
    <s v="RN Initial (NB)"/>
    <m/>
    <x v="3"/>
    <x v="0"/>
    <x v="2"/>
    <x v="1"/>
    <n v="16"/>
    <n v="16"/>
    <n v="16"/>
    <n v="14"/>
    <n v="14"/>
    <n v="14"/>
  </r>
  <r>
    <n v="1029"/>
    <x v="3"/>
    <x v="29"/>
    <s v="MLTC"/>
    <s v="MLTC"/>
    <s v="RN Reassessment (NB)"/>
    <m/>
    <x v="3"/>
    <x v="0"/>
    <x v="2"/>
    <x v="1"/>
    <n v="11"/>
    <n v="17"/>
    <n v="17"/>
    <n v="11"/>
    <n v="17"/>
    <n v="17"/>
  </r>
  <r>
    <n v="1030"/>
    <x v="3"/>
    <x v="29"/>
    <s v="MLTC"/>
    <s v="MLTC"/>
    <s v="T1019:U1"/>
    <s v="T1019:U1"/>
    <x v="2"/>
    <x v="0"/>
    <x v="2"/>
    <x v="1"/>
    <n v="30"/>
    <n v="2971"/>
    <n v="13954.25"/>
    <n v="27"/>
    <n v="2808"/>
    <n v="13007"/>
  </r>
  <r>
    <n v="1031"/>
    <x v="3"/>
    <x v="29"/>
    <s v="MLTC"/>
    <s v="MLTC"/>
    <s v="T1020"/>
    <s v="T1020"/>
    <x v="8"/>
    <x v="0"/>
    <x v="2"/>
    <x v="1"/>
    <n v="1"/>
    <n v="25"/>
    <n v="325"/>
    <n v="1"/>
    <n v="25"/>
    <n v="325"/>
  </r>
  <r>
    <n v="1034"/>
    <x v="3"/>
    <x v="30"/>
    <s v="MLTC"/>
    <s v="CDPAP"/>
    <s v="RN Initial (NB)"/>
    <m/>
    <x v="3"/>
    <x v="0"/>
    <x v="2"/>
    <x v="1"/>
    <n v="1"/>
    <n v="1"/>
    <n v="1"/>
    <n v="1"/>
    <n v="1"/>
    <n v="1"/>
  </r>
  <r>
    <n v="1035"/>
    <x v="3"/>
    <x v="30"/>
    <s v="MLTC"/>
    <s v="CDPAP"/>
    <s v="T1019:U6"/>
    <s v="T1019:U6"/>
    <x v="1"/>
    <x v="1"/>
    <x v="1"/>
    <x v="1"/>
    <n v="22"/>
    <n v="3135"/>
    <n v="15123.75"/>
    <n v="22"/>
    <n v="3135"/>
    <n v="15123.75"/>
  </r>
  <r>
    <n v="1038"/>
    <x v="3"/>
    <x v="31"/>
    <s v="MLTC"/>
    <s v="CDPAP"/>
    <s v="PA Hourly"/>
    <s v="T1019:U6"/>
    <x v="1"/>
    <x v="1"/>
    <x v="1"/>
    <x v="1"/>
    <n v="10"/>
    <n v="1798"/>
    <n v="10335.5"/>
    <n v="10"/>
    <n v="1798"/>
    <n v="10335.5"/>
  </r>
  <r>
    <n v="1039"/>
    <x v="3"/>
    <x v="31"/>
    <s v="MLTC"/>
    <s v="CDPAP"/>
    <s v="PA Hourly Mutual"/>
    <s v="T1019:U7"/>
    <x v="10"/>
    <x v="1"/>
    <x v="1"/>
    <x v="1"/>
    <n v="2"/>
    <n v="476"/>
    <n v="1888.75"/>
    <n v="2"/>
    <n v="476"/>
    <n v="1888.75"/>
  </r>
  <r>
    <n v="1040"/>
    <x v="3"/>
    <x v="32"/>
    <s v="MLTC"/>
    <s v="MLTC"/>
    <s v="PCA Hourly NYC"/>
    <s v="T1019:U1"/>
    <x v="2"/>
    <x v="0"/>
    <x v="2"/>
    <x v="1"/>
    <n v="6"/>
    <n v="323"/>
    <n v="1309.25"/>
    <n v="6"/>
    <n v="323"/>
    <n v="1309.25"/>
  </r>
  <r>
    <n v="1041"/>
    <x v="3"/>
    <x v="32"/>
    <s v="MLTC"/>
    <s v="MLTC"/>
    <s v="PCA Live-In NYC"/>
    <s v="T1020"/>
    <x v="8"/>
    <x v="0"/>
    <x v="2"/>
    <x v="1"/>
    <n v="1"/>
    <n v="4"/>
    <n v="52"/>
    <n v="1"/>
    <n v="4"/>
    <n v="52"/>
  </r>
  <r>
    <n v="1042"/>
    <x v="3"/>
    <x v="32"/>
    <s v="MLTC"/>
    <s v="MLTC"/>
    <s v="RN Initial (NB)"/>
    <m/>
    <x v="3"/>
    <x v="0"/>
    <x v="2"/>
    <x v="1"/>
    <n v="3"/>
    <n v="3"/>
    <n v="3"/>
    <n v="3"/>
    <n v="3"/>
    <n v="3"/>
  </r>
  <r>
    <n v="1043"/>
    <x v="3"/>
    <x v="32"/>
    <s v="MLTC"/>
    <s v="MLTC"/>
    <s v="RN Reassessment (NB)"/>
    <m/>
    <x v="3"/>
    <x v="0"/>
    <x v="2"/>
    <x v="1"/>
    <n v="1"/>
    <n v="2"/>
    <n v="2"/>
    <n v="1"/>
    <n v="2"/>
    <n v="2"/>
  </r>
  <r>
    <n v="1046"/>
    <x v="3"/>
    <x v="2"/>
    <s v="Other"/>
    <s v="CDPAP"/>
    <s v="PA Hourly (New)"/>
    <s v="T1019:U6"/>
    <x v="1"/>
    <x v="1"/>
    <x v="1"/>
    <x v="1"/>
    <n v="47"/>
    <n v="10212"/>
    <n v="64790.5"/>
    <n v="46"/>
    <n v="10148"/>
    <n v="64410.5"/>
  </r>
  <r>
    <n v="1047"/>
    <x v="3"/>
    <x v="3"/>
    <s v="Other"/>
    <s v="MLTC"/>
    <s v="PCA Hourly NYC"/>
    <s v="T1019:U1"/>
    <x v="2"/>
    <x v="0"/>
    <x v="2"/>
    <x v="1"/>
    <n v="31"/>
    <n v="3736"/>
    <n v="26311.25"/>
    <n v="30"/>
    <n v="3659"/>
    <n v="25853.75"/>
  </r>
  <r>
    <n v="1048"/>
    <x v="3"/>
    <x v="3"/>
    <s v="Other"/>
    <s v="MLTC"/>
    <s v="PCA Live In"/>
    <s v="T1020"/>
    <x v="8"/>
    <x v="0"/>
    <x v="2"/>
    <x v="1"/>
    <n v="4"/>
    <n v="420"/>
    <n v="5460"/>
    <n v="4"/>
    <n v="420"/>
    <n v="5460"/>
  </r>
  <r>
    <n v="1049"/>
    <x v="3"/>
    <x v="3"/>
    <s v="Other"/>
    <s v="MLTC"/>
    <s v="PRN (NB)"/>
    <m/>
    <x v="3"/>
    <x v="0"/>
    <x v="2"/>
    <x v="1"/>
    <n v="3"/>
    <n v="4"/>
    <n v="4"/>
    <n v="3"/>
    <n v="4"/>
    <n v="4"/>
  </r>
  <r>
    <n v="1050"/>
    <x v="3"/>
    <x v="3"/>
    <s v="Other"/>
    <s v="MLTC"/>
    <s v="RN Initial (NB)"/>
    <m/>
    <x v="3"/>
    <x v="0"/>
    <x v="2"/>
    <x v="1"/>
    <n v="18"/>
    <n v="19"/>
    <n v="19"/>
    <n v="18"/>
    <n v="19"/>
    <n v="19"/>
  </r>
  <r>
    <n v="1051"/>
    <x v="3"/>
    <x v="3"/>
    <s v="Other"/>
    <s v="MLTC"/>
    <s v="RN Reassessment (NB)"/>
    <m/>
    <x v="3"/>
    <x v="0"/>
    <x v="2"/>
    <x v="1"/>
    <n v="16"/>
    <n v="22"/>
    <n v="22"/>
    <n v="16"/>
    <n v="22"/>
    <n v="22"/>
  </r>
  <r>
    <n v="1052"/>
    <x v="3"/>
    <x v="4"/>
    <s v="CHHA"/>
    <s v="CHHA"/>
    <s v="Rate3"/>
    <m/>
    <x v="0"/>
    <x v="0"/>
    <x v="0"/>
    <x v="0"/>
    <n v="42"/>
    <n v="5305"/>
    <n v="25873.25"/>
    <n v="38"/>
    <n v="5174"/>
    <n v="25339.25"/>
  </r>
  <r>
    <n v="1053"/>
    <x v="3"/>
    <x v="5"/>
    <s v="CHHA"/>
    <s v="CHHA"/>
    <s v="PedCode95"/>
    <s v="-"/>
    <x v="0"/>
    <x v="0"/>
    <x v="0"/>
    <x v="0"/>
    <n v="25"/>
    <n v="1370"/>
    <n v="9517"/>
    <n v="21"/>
    <n v="1187"/>
    <n v="8372.75"/>
  </r>
  <r>
    <n v="1054"/>
    <x v="3"/>
    <x v="5"/>
    <s v="CHHA"/>
    <s v="CHHA"/>
    <s v="Rate1"/>
    <m/>
    <x v="0"/>
    <x v="0"/>
    <x v="0"/>
    <x v="0"/>
    <n v="78"/>
    <n v="5090"/>
    <n v="24045.5"/>
    <n v="68"/>
    <n v="4940"/>
    <n v="23298.75"/>
  </r>
  <r>
    <n v="1055"/>
    <x v="3"/>
    <x v="5"/>
    <s v="CHHA"/>
    <s v="CHHA"/>
    <s v="Rate4HMO"/>
    <s v="0"/>
    <x v="0"/>
    <x v="0"/>
    <x v="0"/>
    <x v="0"/>
    <n v="1"/>
    <n v="70"/>
    <n v="279.25"/>
    <n v="1"/>
    <n v="70"/>
    <n v="279.25"/>
  </r>
  <r>
    <n v="1057"/>
    <x v="3"/>
    <x v="6"/>
    <s v="LHCSA"/>
    <s v="MLTC"/>
    <s v="PRN (NB)"/>
    <m/>
    <x v="3"/>
    <x v="0"/>
    <x v="2"/>
    <x v="1"/>
    <n v="10"/>
    <n v="12"/>
    <n v="12"/>
    <n v="10"/>
    <n v="12"/>
    <n v="12"/>
  </r>
  <r>
    <n v="1058"/>
    <x v="3"/>
    <x v="6"/>
    <s v="LHCSA"/>
    <s v="MLTC"/>
    <s v="RN Initial (NB)"/>
    <m/>
    <x v="3"/>
    <x v="0"/>
    <x v="2"/>
    <x v="1"/>
    <n v="60"/>
    <n v="60"/>
    <n v="60"/>
    <n v="58"/>
    <n v="58"/>
    <n v="58"/>
  </r>
  <r>
    <n v="1059"/>
    <x v="3"/>
    <x v="6"/>
    <s v="LHCSA"/>
    <s v="MLTC"/>
    <s v="RN Initial Assement"/>
    <s v="T2024"/>
    <x v="3"/>
    <x v="0"/>
    <x v="2"/>
    <x v="1"/>
    <n v="29"/>
    <n v="29"/>
    <n v="29"/>
    <n v="26"/>
    <n v="26"/>
    <n v="26"/>
  </r>
  <r>
    <n v="1060"/>
    <x v="3"/>
    <x v="6"/>
    <s v="LHCSA"/>
    <s v="MLTC"/>
    <s v="Rn re-assessment"/>
    <m/>
    <x v="3"/>
    <x v="0"/>
    <x v="2"/>
    <x v="1"/>
    <n v="1"/>
    <n v="1"/>
    <n v="1"/>
    <n v="1"/>
    <n v="1"/>
    <n v="1"/>
  </r>
  <r>
    <n v="1061"/>
    <x v="3"/>
    <x v="6"/>
    <s v="LHCSA"/>
    <s v="MLTC"/>
    <s v="RN Reassessment (NB)"/>
    <m/>
    <x v="3"/>
    <x v="0"/>
    <x v="2"/>
    <x v="1"/>
    <n v="61"/>
    <n v="77"/>
    <n v="77"/>
    <n v="59"/>
    <n v="75"/>
    <n v="75"/>
  </r>
  <r>
    <n v="1062"/>
    <x v="3"/>
    <x v="6"/>
    <s v="LHCSA"/>
    <s v="MLTC"/>
    <s v="S5130:U1"/>
    <s v="S5130:U1::::Homemaker"/>
    <x v="6"/>
    <x v="0"/>
    <x v="2"/>
    <x v="1"/>
    <n v="4"/>
    <n v="52"/>
    <n v="306.75"/>
    <n v="3"/>
    <n v="31"/>
    <n v="138.75"/>
  </r>
  <r>
    <n v="1063"/>
    <x v="3"/>
    <x v="6"/>
    <s v="LHCSA"/>
    <s v="MLTC"/>
    <s v="T1019:U1"/>
    <s v="T1019:U1"/>
    <x v="2"/>
    <x v="0"/>
    <x v="2"/>
    <x v="1"/>
    <n v="142"/>
    <n v="14733"/>
    <n v="79489"/>
    <n v="133"/>
    <n v="14314"/>
    <n v="77412.25"/>
  </r>
  <r>
    <n v="1064"/>
    <x v="3"/>
    <x v="6"/>
    <s v="LHCSA"/>
    <s v="MLTC"/>
    <s v="T1019:U6"/>
    <s v="T1019:U6"/>
    <x v="1"/>
    <x v="1"/>
    <x v="1"/>
    <x v="1"/>
    <n v="3"/>
    <n v="157"/>
    <n v="703.5"/>
    <n v="3"/>
    <n v="157"/>
    <n v="703.5"/>
  </r>
  <r>
    <n v="1065"/>
    <x v="3"/>
    <x v="6"/>
    <s v="LHCSA"/>
    <s v="MLTC"/>
    <s v="T1020"/>
    <s v="T1020"/>
    <x v="8"/>
    <x v="0"/>
    <x v="2"/>
    <x v="1"/>
    <n v="3"/>
    <n v="303"/>
    <n v="3939"/>
    <n v="3"/>
    <n v="303"/>
    <n v="3939"/>
  </r>
  <r>
    <n v="1070"/>
    <x v="3"/>
    <x v="7"/>
    <s v="LHCSA"/>
    <s v="CDPAP"/>
    <s v="T1019:U1"/>
    <s v="T1019:U1"/>
    <x v="2"/>
    <x v="0"/>
    <x v="2"/>
    <x v="1"/>
    <n v="1"/>
    <n v="1"/>
    <n v="1"/>
    <n v="1"/>
    <n v="1"/>
    <n v="1"/>
  </r>
  <r>
    <n v="1071"/>
    <x v="3"/>
    <x v="7"/>
    <s v="LHCSA"/>
    <s v="CDPAP"/>
    <s v="T1019:U6"/>
    <s v="T1019:U6"/>
    <x v="1"/>
    <x v="1"/>
    <x v="1"/>
    <x v="1"/>
    <n v="99"/>
    <n v="13026"/>
    <n v="72370.5"/>
    <n v="94"/>
    <n v="12839"/>
    <n v="71248"/>
  </r>
  <r>
    <n v="1072"/>
    <x v="3"/>
    <x v="13"/>
    <s v="MLTC"/>
    <s v="MLTC"/>
    <s v="RN Initial (NB)"/>
    <s v="G0162"/>
    <x v="3"/>
    <x v="0"/>
    <x v="2"/>
    <x v="1"/>
    <n v="8"/>
    <n v="8"/>
    <n v="8"/>
    <n v="8"/>
    <n v="8"/>
    <n v="8"/>
  </r>
  <r>
    <n v="1073"/>
    <x v="3"/>
    <x v="13"/>
    <s v="MLTC"/>
    <s v="MLTC"/>
    <s v="Rn initial assement"/>
    <s v="G0162"/>
    <x v="3"/>
    <x v="0"/>
    <x v="2"/>
    <x v="1"/>
    <n v="3"/>
    <n v="3"/>
    <n v="3"/>
    <n v="3"/>
    <n v="3"/>
    <n v="3"/>
  </r>
  <r>
    <n v="1074"/>
    <x v="3"/>
    <x v="13"/>
    <s v="MLTC"/>
    <s v="MLTC"/>
    <s v="RN Reassessment (NB)"/>
    <m/>
    <x v="3"/>
    <x v="0"/>
    <x v="2"/>
    <x v="1"/>
    <n v="2"/>
    <n v="2"/>
    <n v="2"/>
    <n v="2"/>
    <n v="2"/>
    <n v="2"/>
  </r>
  <r>
    <n v="1075"/>
    <x v="3"/>
    <x v="8"/>
    <s v="CHHA"/>
    <s v="CHHA"/>
    <s v="Rate1"/>
    <m/>
    <x v="0"/>
    <x v="0"/>
    <x v="0"/>
    <x v="0"/>
    <n v="37"/>
    <n v="1303"/>
    <n v="6074.25"/>
    <n v="29"/>
    <n v="1168"/>
    <n v="5534.75"/>
  </r>
  <r>
    <n v="1076"/>
    <x v="3"/>
    <x v="8"/>
    <s v="CHHA"/>
    <s v="CHHA"/>
    <s v="Rate4"/>
    <m/>
    <x v="0"/>
    <x v="0"/>
    <x v="0"/>
    <x v="0"/>
    <n v="7"/>
    <n v="34"/>
    <n v="126"/>
    <n v="5"/>
    <n v="20"/>
    <n v="70.25"/>
  </r>
  <r>
    <n v="1078"/>
    <x v="3"/>
    <x v="33"/>
    <s v="MCO"/>
    <s v="CDPAP"/>
    <s v="PA Hourly NYC , Nassau, Westchester"/>
    <s v="T1019:U6"/>
    <x v="1"/>
    <x v="1"/>
    <x v="1"/>
    <x v="1"/>
    <n v="2"/>
    <n v="143"/>
    <n v="834.75"/>
    <n v="2"/>
    <n v="143"/>
    <n v="834.75"/>
  </r>
  <r>
    <n v="1080"/>
    <x v="3"/>
    <x v="34"/>
    <s v="MLTC"/>
    <s v="MLTC"/>
    <s v="PCA Hourly"/>
    <s v="T1019:U1"/>
    <x v="2"/>
    <x v="0"/>
    <x v="2"/>
    <x v="1"/>
    <n v="8"/>
    <n v="472"/>
    <n v="1950"/>
    <n v="8"/>
    <n v="472"/>
    <n v="1950"/>
  </r>
  <r>
    <n v="1081"/>
    <x v="3"/>
    <x v="34"/>
    <s v="MLTC"/>
    <s v="MLTC"/>
    <s v="RN Initial (NB)"/>
    <m/>
    <x v="3"/>
    <x v="0"/>
    <x v="2"/>
    <x v="1"/>
    <n v="4"/>
    <n v="4"/>
    <n v="4"/>
    <n v="4"/>
    <n v="4"/>
    <n v="4"/>
  </r>
  <r>
    <n v="1082"/>
    <x v="3"/>
    <x v="34"/>
    <s v="MLTC"/>
    <s v="MLTC"/>
    <s v="RN Reassessment (NB)"/>
    <m/>
    <x v="3"/>
    <x v="0"/>
    <x v="2"/>
    <x v="1"/>
    <n v="1"/>
    <n v="1"/>
    <n v="1"/>
    <n v="1"/>
    <n v="1"/>
    <n v="1"/>
  </r>
  <r>
    <n v="1085"/>
    <x v="3"/>
    <x v="35"/>
    <s v="MCO"/>
    <s v="CDPAP"/>
    <s v="PA Hourly (NYC, LI, &amp; Westchester)"/>
    <s v="T1019:U6"/>
    <x v="1"/>
    <x v="1"/>
    <x v="1"/>
    <x v="1"/>
    <n v="5"/>
    <n v="941"/>
    <n v="5867.5"/>
    <n v="4"/>
    <n v="876"/>
    <n v="5259.75"/>
  </r>
  <r>
    <n v="1088"/>
    <x v="3"/>
    <x v="36"/>
    <s v="MCO"/>
    <s v="MLTC"/>
    <s v="PCA Hourly"/>
    <s v="T1019:U1"/>
    <x v="2"/>
    <x v="0"/>
    <x v="2"/>
    <x v="1"/>
    <n v="8"/>
    <n v="715"/>
    <n v="3723.5"/>
    <n v="8"/>
    <n v="715"/>
    <n v="3723.5"/>
  </r>
  <r>
    <n v="1089"/>
    <x v="3"/>
    <x v="36"/>
    <s v="MCO"/>
    <s v="MLTC"/>
    <s v="RN Initial (NB)"/>
    <m/>
    <x v="3"/>
    <x v="0"/>
    <x v="2"/>
    <x v="1"/>
    <n v="3"/>
    <n v="3"/>
    <n v="3"/>
    <n v="3"/>
    <n v="3"/>
    <n v="3"/>
  </r>
  <r>
    <n v="1090"/>
    <x v="3"/>
    <x v="36"/>
    <s v="MCO"/>
    <s v="MLTC"/>
    <s v="RN Reassessment (NB)"/>
    <m/>
    <x v="3"/>
    <x v="0"/>
    <x v="2"/>
    <x v="1"/>
    <n v="2"/>
    <n v="4"/>
    <n v="4"/>
    <n v="2"/>
    <n v="4"/>
    <n v="4"/>
  </r>
  <r>
    <n v="1091"/>
    <x v="3"/>
    <x v="37"/>
    <s v="CHHA"/>
    <s v="MLTC"/>
    <s v="PRN (NB)"/>
    <m/>
    <x v="3"/>
    <x v="0"/>
    <x v="2"/>
    <x v="1"/>
    <n v="2"/>
    <n v="2"/>
    <n v="2"/>
    <n v="2"/>
    <n v="2"/>
    <n v="2"/>
  </r>
  <r>
    <n v="1092"/>
    <x v="3"/>
    <x v="37"/>
    <s v="CHHA"/>
    <s v="MLTC"/>
    <s v="RN Initial (NB)"/>
    <m/>
    <x v="3"/>
    <x v="0"/>
    <x v="2"/>
    <x v="1"/>
    <n v="36"/>
    <n v="36"/>
    <n v="36"/>
    <n v="36"/>
    <n v="36"/>
    <n v="36"/>
  </r>
  <r>
    <n v="1093"/>
    <x v="3"/>
    <x v="37"/>
    <s v="CHHA"/>
    <s v="MLTC"/>
    <s v="RN Reassessment (NB)"/>
    <m/>
    <x v="3"/>
    <x v="0"/>
    <x v="2"/>
    <x v="1"/>
    <n v="37"/>
    <n v="53"/>
    <n v="53"/>
    <n v="36"/>
    <n v="52"/>
    <n v="52"/>
  </r>
  <r>
    <n v="1094"/>
    <x v="3"/>
    <x v="37"/>
    <s v="CHHA"/>
    <s v="MLTC"/>
    <s v="T1019:U1"/>
    <s v="T1019:U1"/>
    <x v="2"/>
    <x v="0"/>
    <x v="2"/>
    <x v="1"/>
    <n v="67"/>
    <n v="6938"/>
    <n v="41620.5"/>
    <n v="64"/>
    <n v="6743"/>
    <n v="40415.5"/>
  </r>
  <r>
    <n v="1095"/>
    <x v="3"/>
    <x v="37"/>
    <s v="CHHA"/>
    <s v="MLTC"/>
    <s v="T1020"/>
    <s v="T1020"/>
    <x v="8"/>
    <x v="0"/>
    <x v="2"/>
    <x v="1"/>
    <n v="1"/>
    <n v="86"/>
    <n v="1118"/>
    <n v="1"/>
    <n v="86"/>
    <n v="1118"/>
  </r>
  <r>
    <n v="1098"/>
    <x v="3"/>
    <x v="38"/>
    <s v="CHHA"/>
    <s v="CDPAP"/>
    <s v="RN Initial (NB)"/>
    <m/>
    <x v="3"/>
    <x v="0"/>
    <x v="2"/>
    <x v="1"/>
    <n v="1"/>
    <n v="1"/>
    <n v="1"/>
    <n v="1"/>
    <n v="1"/>
    <n v="1"/>
  </r>
  <r>
    <n v="1099"/>
    <x v="3"/>
    <x v="38"/>
    <s v="CHHA"/>
    <s v="CDPAP"/>
    <s v="T1019:U6"/>
    <s v="T1019:U6"/>
    <x v="1"/>
    <x v="1"/>
    <x v="1"/>
    <x v="1"/>
    <n v="67"/>
    <n v="7953"/>
    <n v="36322.5"/>
    <n v="65"/>
    <n v="7814"/>
    <n v="35751"/>
  </r>
  <r>
    <n v="1100"/>
    <x v="3"/>
    <x v="38"/>
    <s v="CHHA"/>
    <s v="CDPAP"/>
    <s v="T1019:U6:CC"/>
    <s v="T1019:U6"/>
    <x v="1"/>
    <x v="1"/>
    <x v="1"/>
    <x v="1"/>
    <n v="1"/>
    <n v="71"/>
    <n v="354.75"/>
    <n v="1"/>
    <n v="71"/>
    <n v="354.75"/>
  </r>
  <r>
    <n v="1101"/>
    <x v="3"/>
    <x v="39"/>
    <s v="MCO"/>
    <s v="MLTC"/>
    <s v="RN Initial (NB)"/>
    <m/>
    <x v="3"/>
    <x v="0"/>
    <x v="2"/>
    <x v="1"/>
    <n v="1"/>
    <n v="1"/>
    <n v="1"/>
    <n v="1"/>
    <n v="1"/>
    <n v="1"/>
  </r>
  <r>
    <n v="1102"/>
    <x v="3"/>
    <x v="9"/>
    <s v="LHCSA"/>
    <s v="Medicaid"/>
    <s v="HCSS 9795 LI Nassau Westchester Suffolk"/>
    <s v="9795"/>
    <x v="4"/>
    <x v="0"/>
    <x v="0"/>
    <x v="1"/>
    <n v="2"/>
    <n v="277"/>
    <n v="3262.5"/>
    <n v="2"/>
    <n v="277"/>
    <n v="3262.5"/>
  </r>
  <r>
    <n v="1103"/>
    <x v="3"/>
    <x v="9"/>
    <s v="LHCSA"/>
    <s v="Medicaid"/>
    <s v="HCSS 9795 NYC"/>
    <s v="9795"/>
    <x v="4"/>
    <x v="0"/>
    <x v="0"/>
    <x v="1"/>
    <n v="124"/>
    <n v="46157"/>
    <n v="522702.5"/>
    <n v="121"/>
    <n v="45913"/>
    <n v="519880.75"/>
  </r>
  <r>
    <n v="1104"/>
    <x v="3"/>
    <x v="9"/>
    <s v="LHCSA"/>
    <s v="Medicaid"/>
    <s v="HCSS 9795 Rest of State"/>
    <s v="9795"/>
    <x v="4"/>
    <x v="0"/>
    <x v="0"/>
    <x v="1"/>
    <n v="2"/>
    <n v="159"/>
    <n v="1763"/>
    <n v="2"/>
    <n v="159"/>
    <n v="1763"/>
  </r>
  <r>
    <n v="1105"/>
    <x v="3"/>
    <x v="9"/>
    <s v="LHCSA"/>
    <s v="Medicaid"/>
    <s v="Initial RN Visit 9799 (Hourly)"/>
    <s v="9799"/>
    <x v="4"/>
    <x v="0"/>
    <x v="0"/>
    <x v="1"/>
    <n v="53"/>
    <n v="53"/>
    <n v="52.25"/>
    <n v="51"/>
    <n v="51"/>
    <n v="51"/>
  </r>
  <r>
    <n v="1106"/>
    <x v="3"/>
    <x v="9"/>
    <s v="LHCSA"/>
    <s v="Medicaid"/>
    <s v="PRN (NB)"/>
    <m/>
    <x v="4"/>
    <x v="0"/>
    <x v="0"/>
    <x v="1"/>
    <n v="8"/>
    <n v="10"/>
    <n v="10"/>
    <n v="8"/>
    <n v="10"/>
    <n v="10"/>
  </r>
  <r>
    <n v="1107"/>
    <x v="3"/>
    <x v="9"/>
    <s v="LHCSA"/>
    <s v="Medicaid"/>
    <s v="RN Initial (NB)"/>
    <m/>
    <x v="4"/>
    <x v="0"/>
    <x v="0"/>
    <x v="1"/>
    <n v="4"/>
    <n v="4"/>
    <n v="4"/>
    <n v="4"/>
    <n v="4"/>
    <n v="4"/>
  </r>
  <r>
    <n v="1108"/>
    <x v="3"/>
    <x v="9"/>
    <s v="LHCSA"/>
    <s v="Medicaid"/>
    <s v="RN Reassessment (NB)"/>
    <m/>
    <x v="4"/>
    <x v="0"/>
    <x v="0"/>
    <x v="1"/>
    <n v="2"/>
    <n v="2"/>
    <n v="2"/>
    <n v="2"/>
    <n v="2"/>
    <n v="2"/>
  </r>
  <r>
    <n v="1109"/>
    <x v="3"/>
    <x v="9"/>
    <s v="LHCSA"/>
    <s v="Medicaid"/>
    <s v="RN Visit 9799 (Hourly)"/>
    <s v="9799"/>
    <x v="4"/>
    <x v="0"/>
    <x v="0"/>
    <x v="1"/>
    <n v="94"/>
    <n v="143"/>
    <n v="141.5"/>
    <n v="93"/>
    <n v="142"/>
    <n v="142"/>
  </r>
  <r>
    <n v="1110"/>
    <x v="3"/>
    <x v="16"/>
    <s v="Other"/>
    <s v="Insurance"/>
    <s v="PCA Hourly"/>
    <m/>
    <x v="5"/>
    <x v="0"/>
    <x v="3"/>
    <x v="1"/>
    <n v="33"/>
    <n v="65"/>
    <n v="247.25"/>
    <n v="32"/>
    <n v="64"/>
    <n v="246"/>
  </r>
  <r>
    <n v="1111"/>
    <x v="3"/>
    <x v="41"/>
    <s v="CHHA"/>
    <s v="CHHA"/>
    <s v="HHAHRPED"/>
    <s v="99999"/>
    <x v="0"/>
    <x v="0"/>
    <x v="0"/>
    <x v="0"/>
    <n v="5"/>
    <n v="659"/>
    <n v="4803.75"/>
    <n v="5"/>
    <n v="659"/>
    <n v="4803.75"/>
  </r>
  <r>
    <n v="1112"/>
    <x v="3"/>
    <x v="10"/>
    <s v="Other"/>
    <s v="Private"/>
    <s v="Live In (H)"/>
    <m/>
    <x v="5"/>
    <x v="0"/>
    <x v="3"/>
    <x v="1"/>
    <n v="1"/>
    <n v="25"/>
    <n v="24.75"/>
    <n v="1"/>
    <n v="25"/>
    <n v="24.75"/>
  </r>
  <r>
    <n v="1113"/>
    <x v="3"/>
    <x v="10"/>
    <s v="Other"/>
    <s v="Private"/>
    <s v="Live In - 1 Hour"/>
    <m/>
    <x v="5"/>
    <x v="0"/>
    <x v="3"/>
    <x v="1"/>
    <n v="1"/>
    <n v="335"/>
    <n v="332"/>
    <n v="1"/>
    <n v="335"/>
    <n v="332"/>
  </r>
  <r>
    <n v="1114"/>
    <x v="3"/>
    <x v="10"/>
    <s v="Other"/>
    <s v="Private"/>
    <s v="Live In - 4 Hours"/>
    <m/>
    <x v="5"/>
    <x v="0"/>
    <x v="3"/>
    <x v="1"/>
    <n v="1"/>
    <n v="213"/>
    <n v="844.5"/>
    <n v="1"/>
    <n v="213"/>
    <n v="844.5"/>
  </r>
  <r>
    <n v="1115"/>
    <x v="3"/>
    <x v="10"/>
    <s v="Other"/>
    <s v="Private"/>
    <s v="Live-In"/>
    <m/>
    <x v="5"/>
    <x v="0"/>
    <x v="3"/>
    <x v="1"/>
    <n v="1"/>
    <n v="3"/>
    <n v="69.75"/>
    <n v="1"/>
    <n v="3"/>
    <n v="39"/>
  </r>
  <r>
    <n v="1116"/>
    <x v="3"/>
    <x v="10"/>
    <s v="Other"/>
    <s v="Private"/>
    <s v="PCA Hourly"/>
    <m/>
    <x v="5"/>
    <x v="0"/>
    <x v="3"/>
    <x v="1"/>
    <n v="20"/>
    <n v="56"/>
    <n v="281"/>
    <n v="19"/>
    <n v="50"/>
    <n v="221"/>
  </r>
  <r>
    <n v="1117"/>
    <x v="3"/>
    <x v="10"/>
    <s v="Other"/>
    <s v="Private"/>
    <s v="RN Initial (NB)"/>
    <m/>
    <x v="5"/>
    <x v="0"/>
    <x v="3"/>
    <x v="1"/>
    <n v="1"/>
    <n v="1"/>
    <n v="0.5"/>
    <n v="1"/>
    <n v="1"/>
    <n v="1"/>
  </r>
  <r>
    <n v="1118"/>
    <x v="3"/>
    <x v="10"/>
    <s v="Other"/>
    <s v="Private"/>
    <s v="RN Re-Assessment"/>
    <m/>
    <x v="5"/>
    <x v="0"/>
    <x v="3"/>
    <x v="1"/>
    <n v="1"/>
    <n v="1"/>
    <n v="1"/>
    <n v="1"/>
    <n v="1"/>
    <n v="1"/>
  </r>
  <r>
    <n v="1119"/>
    <x v="3"/>
    <x v="10"/>
    <s v="Other"/>
    <s v="Private"/>
    <s v="RN Reassessment (NB)"/>
    <m/>
    <x v="5"/>
    <x v="0"/>
    <x v="3"/>
    <x v="1"/>
    <n v="1"/>
    <n v="1"/>
    <n v="0.5"/>
    <n v="1"/>
    <n v="1"/>
    <n v="1"/>
  </r>
  <r>
    <n v="1120"/>
    <x v="3"/>
    <x v="17"/>
    <s v="Other"/>
    <s v="Private"/>
    <s v="HHA Hourly"/>
    <m/>
    <x v="5"/>
    <x v="0"/>
    <x v="3"/>
    <x v="1"/>
    <n v="1"/>
    <n v="2"/>
    <n v="8"/>
    <n v="1"/>
    <n v="2"/>
    <n v="8"/>
  </r>
  <r>
    <n v="1121"/>
    <x v="3"/>
    <x v="17"/>
    <s v="Other"/>
    <s v="Private"/>
    <s v="PCA Hourly"/>
    <m/>
    <x v="5"/>
    <x v="0"/>
    <x v="3"/>
    <x v="1"/>
    <n v="14"/>
    <n v="1479"/>
    <n v="11598.25"/>
    <n v="11"/>
    <n v="1445"/>
    <n v="11301.5"/>
  </r>
  <r>
    <n v="1122"/>
    <x v="3"/>
    <x v="17"/>
    <s v="Other"/>
    <s v="Private"/>
    <s v="PCA Hourly Mutual"/>
    <m/>
    <x v="5"/>
    <x v="0"/>
    <x v="3"/>
    <x v="1"/>
    <n v="2"/>
    <n v="2"/>
    <n v="6"/>
    <n v="2"/>
    <n v="2"/>
    <n v="6"/>
  </r>
  <r>
    <n v="1123"/>
    <x v="3"/>
    <x v="17"/>
    <s v="Other"/>
    <s v="Private"/>
    <s v="PCA Live-in"/>
    <m/>
    <x v="5"/>
    <x v="0"/>
    <x v="3"/>
    <x v="1"/>
    <n v="1"/>
    <n v="30"/>
    <n v="716.75"/>
    <n v="1"/>
    <n v="30"/>
    <n v="390"/>
  </r>
  <r>
    <n v="1124"/>
    <x v="3"/>
    <x v="17"/>
    <s v="Other"/>
    <s v="Private"/>
    <s v="RN Initial (NB)"/>
    <m/>
    <x v="5"/>
    <x v="0"/>
    <x v="3"/>
    <x v="1"/>
    <n v="13"/>
    <n v="13"/>
    <n v="7"/>
    <n v="11"/>
    <n v="11"/>
    <n v="11"/>
  </r>
  <r>
    <n v="1125"/>
    <x v="3"/>
    <x v="17"/>
    <s v="Other"/>
    <s v="Private"/>
    <s v="RN Reassessment (NB)"/>
    <m/>
    <x v="5"/>
    <x v="0"/>
    <x v="3"/>
    <x v="1"/>
    <n v="6"/>
    <n v="7"/>
    <n v="5"/>
    <n v="6"/>
    <n v="7"/>
    <n v="7"/>
  </r>
  <r>
    <n v="1126"/>
    <x v="3"/>
    <x v="17"/>
    <s v="Other"/>
    <s v="Private"/>
    <s v="RN skilled visit"/>
    <m/>
    <x v="5"/>
    <x v="0"/>
    <x v="3"/>
    <x v="1"/>
    <n v="1"/>
    <n v="4"/>
    <n v="2"/>
    <n v="1"/>
    <n v="4"/>
    <n v="4"/>
  </r>
  <r>
    <n v="1127"/>
    <x v="3"/>
    <x v="11"/>
    <s v="CHHA"/>
    <s v="CHHA"/>
    <s v="Rate1"/>
    <s v="S9122"/>
    <x v="0"/>
    <x v="0"/>
    <x v="0"/>
    <x v="0"/>
    <n v="5"/>
    <n v="42"/>
    <n v="157"/>
    <n v="4"/>
    <n v="32"/>
    <n v="117.25"/>
  </r>
  <r>
    <n v="1128"/>
    <x v="3"/>
    <x v="56"/>
    <s v="Other"/>
    <s v="CHHA"/>
    <s v="Rate1"/>
    <m/>
    <x v="0"/>
    <x v="0"/>
    <x v="0"/>
    <x v="0"/>
    <n v="40"/>
    <n v="606"/>
    <n v="2550.25"/>
    <n v="30"/>
    <n v="471"/>
    <n v="2022"/>
  </r>
  <r>
    <n v="1129"/>
    <x v="3"/>
    <x v="56"/>
    <s v="Other"/>
    <s v="CHHA"/>
    <s v="Rate2"/>
    <m/>
    <x v="0"/>
    <x v="0"/>
    <x v="0"/>
    <x v="0"/>
    <n v="34"/>
    <n v="4869"/>
    <n v="28750.5"/>
    <n v="34"/>
    <n v="4869"/>
    <n v="28750.5"/>
  </r>
  <r>
    <n v="1130"/>
    <x v="3"/>
    <x v="43"/>
    <s v="Other"/>
    <s v="MLTC"/>
    <s v="RN Initial (NB)"/>
    <m/>
    <x v="3"/>
    <x v="0"/>
    <x v="2"/>
    <x v="1"/>
    <n v="4"/>
    <n v="4"/>
    <n v="4"/>
    <n v="4"/>
    <n v="4"/>
    <n v="4"/>
  </r>
  <r>
    <n v="1131"/>
    <x v="3"/>
    <x v="43"/>
    <s v="Other"/>
    <s v="MLTC"/>
    <s v="RN Reassessment (NB)"/>
    <m/>
    <x v="3"/>
    <x v="0"/>
    <x v="2"/>
    <x v="1"/>
    <n v="11"/>
    <n v="16"/>
    <n v="16"/>
    <n v="11"/>
    <n v="16"/>
    <n v="16"/>
  </r>
  <r>
    <n v="1132"/>
    <x v="3"/>
    <x v="43"/>
    <s v="Other"/>
    <s v="MLTC"/>
    <s v="T1019:U1"/>
    <s v="T1019:U1"/>
    <x v="2"/>
    <x v="0"/>
    <x v="2"/>
    <x v="1"/>
    <n v="13"/>
    <n v="1569"/>
    <n v="10322.75"/>
    <n v="13"/>
    <n v="1569"/>
    <n v="10322.75"/>
  </r>
  <r>
    <n v="1133"/>
    <x v="3"/>
    <x v="43"/>
    <s v="Other"/>
    <s v="MLTC"/>
    <s v="T1020"/>
    <s v="T1020"/>
    <x v="8"/>
    <x v="0"/>
    <x v="2"/>
    <x v="1"/>
    <n v="4"/>
    <n v="650"/>
    <n v="8450"/>
    <n v="4"/>
    <n v="650"/>
    <n v="8450"/>
  </r>
  <r>
    <n v="1137"/>
    <x v="3"/>
    <x v="44"/>
    <s v="Other"/>
    <s v="CDPAP"/>
    <s v="T1019:U6"/>
    <s v="T1019:U6"/>
    <x v="1"/>
    <x v="1"/>
    <x v="1"/>
    <x v="1"/>
    <n v="23"/>
    <n v="6036"/>
    <n v="38724.75"/>
    <n v="22"/>
    <n v="5995"/>
    <n v="38439.75"/>
  </r>
  <r>
    <n v="1138"/>
    <x v="3"/>
    <x v="53"/>
    <s v="LHCSA"/>
    <s v="Medicaid"/>
    <s v="HCSS 9879"/>
    <s v="9879"/>
    <x v="4"/>
    <x v="0"/>
    <x v="0"/>
    <x v="1"/>
    <n v="3"/>
    <n v="1205"/>
    <n v="13519.5"/>
    <n v="3"/>
    <n v="1205"/>
    <n v="13519.5"/>
  </r>
  <r>
    <n v="1139"/>
    <x v="3"/>
    <x v="53"/>
    <s v="LHCSA"/>
    <s v="Medicaid"/>
    <s v="RN Initial (NB)"/>
    <m/>
    <x v="4"/>
    <x v="0"/>
    <x v="0"/>
    <x v="1"/>
    <n v="1"/>
    <n v="1"/>
    <n v="1"/>
    <n v="1"/>
    <n v="1"/>
    <n v="1"/>
  </r>
  <r>
    <n v="1140"/>
    <x v="3"/>
    <x v="53"/>
    <s v="LHCSA"/>
    <s v="Medicaid"/>
    <s v="RN Reassessment (NB)"/>
    <m/>
    <x v="4"/>
    <x v="0"/>
    <x v="0"/>
    <x v="1"/>
    <n v="2"/>
    <n v="3"/>
    <n v="2.5"/>
    <n v="2"/>
    <n v="3"/>
    <n v="3"/>
  </r>
  <r>
    <n v="1141"/>
    <x v="3"/>
    <x v="60"/>
    <s v="MCO"/>
    <s v="CDPAP"/>
    <s v="PA Hourly"/>
    <s v="T1019:U6"/>
    <x v="1"/>
    <x v="1"/>
    <x v="1"/>
    <x v="1"/>
    <n v="1"/>
    <n v="58"/>
    <n v="330"/>
    <n v="1"/>
    <n v="58"/>
    <n v="330"/>
  </r>
  <r>
    <n v="1146"/>
    <x v="3"/>
    <x v="45"/>
    <s v="MCO"/>
    <s v="CDPAP"/>
    <s v="PA Hourly"/>
    <s v="T1019:U6"/>
    <x v="1"/>
    <x v="1"/>
    <x v="1"/>
    <x v="1"/>
    <n v="173"/>
    <n v="25202"/>
    <n v="135337.25"/>
    <n v="167"/>
    <n v="24782"/>
    <n v="131403"/>
  </r>
  <r>
    <n v="1147"/>
    <x v="3"/>
    <x v="45"/>
    <s v="MCO"/>
    <s v="CDPAP"/>
    <s v="PA Hourly Mutual"/>
    <s v="T1019:U7"/>
    <x v="10"/>
    <x v="1"/>
    <x v="1"/>
    <x v="1"/>
    <n v="2"/>
    <n v="63"/>
    <n v="318.75"/>
    <n v="2"/>
    <n v="63"/>
    <n v="318.75"/>
  </r>
  <r>
    <n v="1148"/>
    <x v="3"/>
    <x v="46"/>
    <s v="MLTC"/>
    <s v="MLTC"/>
    <s v="HHA Hourly - S5125"/>
    <s v="S5125"/>
    <x v="6"/>
    <x v="0"/>
    <x v="2"/>
    <x v="1"/>
    <n v="1"/>
    <n v="142"/>
    <n v="695.5"/>
    <n v="1"/>
    <n v="142"/>
    <n v="695.5"/>
  </r>
  <r>
    <n v="1149"/>
    <x v="3"/>
    <x v="46"/>
    <s v="MLTC"/>
    <s v="MLTC"/>
    <s v="PCA - Live In"/>
    <s v="T1020"/>
    <x v="8"/>
    <x v="0"/>
    <x v="2"/>
    <x v="1"/>
    <n v="1"/>
    <n v="3"/>
    <n v="39"/>
    <n v="1"/>
    <n v="3"/>
    <n v="39"/>
  </r>
  <r>
    <n v="1150"/>
    <x v="3"/>
    <x v="46"/>
    <s v="MLTC"/>
    <s v="MLTC"/>
    <s v="PCA - Live In TV"/>
    <s v="T1020:TV"/>
    <x v="8"/>
    <x v="0"/>
    <x v="2"/>
    <x v="1"/>
    <n v="1"/>
    <n v="14"/>
    <n v="182"/>
    <n v="1"/>
    <n v="14"/>
    <n v="182"/>
  </r>
  <r>
    <n v="1151"/>
    <x v="3"/>
    <x v="46"/>
    <s v="MLTC"/>
    <s v="MLTC"/>
    <s v="PCA Cluster Care"/>
    <s v="T1019:U3"/>
    <x v="11"/>
    <x v="0"/>
    <x v="2"/>
    <x v="1"/>
    <n v="7"/>
    <n v="284"/>
    <n v="587"/>
    <n v="7"/>
    <n v="284"/>
    <n v="587"/>
  </r>
  <r>
    <n v="1152"/>
    <x v="3"/>
    <x v="46"/>
    <s v="MLTC"/>
    <s v="MLTC"/>
    <s v="PCA Hourly"/>
    <s v="T1019:U1"/>
    <x v="2"/>
    <x v="0"/>
    <x v="2"/>
    <x v="1"/>
    <n v="211"/>
    <n v="17866"/>
    <n v="98131"/>
    <n v="193"/>
    <n v="17176"/>
    <n v="95331.75"/>
  </r>
  <r>
    <n v="1153"/>
    <x v="3"/>
    <x v="46"/>
    <s v="MLTC"/>
    <s v="MLTC"/>
    <s v="PCA Hourly"/>
    <s v="T1019:U1:TV"/>
    <x v="2"/>
    <x v="0"/>
    <x v="2"/>
    <x v="1"/>
    <n v="90"/>
    <n v="3607"/>
    <n v="23806.5"/>
    <n v="79"/>
    <n v="3323"/>
    <n v="21690"/>
  </r>
  <r>
    <n v="1154"/>
    <x v="3"/>
    <x v="46"/>
    <s v="MLTC"/>
    <s v="MLTC"/>
    <s v="PCA Hourly Mutual"/>
    <s v="T1019:U2"/>
    <x v="11"/>
    <x v="0"/>
    <x v="2"/>
    <x v="1"/>
    <n v="6"/>
    <n v="312"/>
    <n v="1229.75"/>
    <n v="4"/>
    <n v="273"/>
    <n v="1088.5"/>
  </r>
  <r>
    <n v="1155"/>
    <x v="3"/>
    <x v="46"/>
    <s v="MLTC"/>
    <s v="MLTC"/>
    <s v="PCA Hourly Mutual TV"/>
    <s v="T1019:U2:TV"/>
    <x v="11"/>
    <x v="0"/>
    <x v="2"/>
    <x v="1"/>
    <n v="3"/>
    <n v="28"/>
    <n v="111.25"/>
    <n v="2"/>
    <n v="27"/>
    <n v="108.25"/>
  </r>
  <r>
    <n v="1156"/>
    <x v="3"/>
    <x v="46"/>
    <s v="MLTC"/>
    <s v="MLTC"/>
    <s v="PCA Hourly TV"/>
    <s v="T1019:U1:TV"/>
    <x v="2"/>
    <x v="0"/>
    <x v="2"/>
    <x v="1"/>
    <n v="43"/>
    <n v="487"/>
    <n v="2799.5"/>
    <n v="42"/>
    <n v="485"/>
    <n v="2791.5"/>
  </r>
  <r>
    <n v="1157"/>
    <x v="3"/>
    <x v="46"/>
    <s v="MLTC"/>
    <s v="MLTC"/>
    <s v="PRN (NB)"/>
    <m/>
    <x v="3"/>
    <x v="0"/>
    <x v="2"/>
    <x v="1"/>
    <n v="21"/>
    <n v="22"/>
    <n v="22"/>
    <n v="20"/>
    <n v="21"/>
    <n v="21"/>
  </r>
  <r>
    <n v="1158"/>
    <x v="3"/>
    <x v="46"/>
    <s v="MLTC"/>
    <s v="MLTC"/>
    <s v="RN Initial (NB)"/>
    <m/>
    <x v="3"/>
    <x v="0"/>
    <x v="2"/>
    <x v="1"/>
    <n v="2"/>
    <n v="2"/>
    <n v="2"/>
    <n v="2"/>
    <n v="2"/>
    <n v="2"/>
  </r>
  <r>
    <n v="1159"/>
    <x v="3"/>
    <x v="46"/>
    <s v="MLTC"/>
    <s v="MLTC"/>
    <s v="RN Initial Visit"/>
    <s v="T1030"/>
    <x v="7"/>
    <x v="0"/>
    <x v="2"/>
    <x v="1"/>
    <n v="132"/>
    <n v="132"/>
    <n v="132"/>
    <n v="119"/>
    <n v="119"/>
    <n v="119"/>
  </r>
  <r>
    <n v="1160"/>
    <x v="3"/>
    <x v="46"/>
    <s v="MLTC"/>
    <s v="MLTC"/>
    <s v="RN Reassessment (NB)"/>
    <m/>
    <x v="3"/>
    <x v="0"/>
    <x v="2"/>
    <x v="1"/>
    <n v="87"/>
    <n v="131"/>
    <n v="131"/>
    <n v="83"/>
    <n v="125"/>
    <n v="125"/>
  </r>
  <r>
    <n v="1161"/>
    <x v="3"/>
    <x v="18"/>
    <s v="MLTC"/>
    <s v="MLTC"/>
    <s v="PRN (NB)"/>
    <m/>
    <x v="3"/>
    <x v="0"/>
    <x v="2"/>
    <x v="1"/>
    <n v="9"/>
    <n v="11"/>
    <n v="11"/>
    <n v="7"/>
    <n v="8"/>
    <n v="8"/>
  </r>
  <r>
    <n v="1162"/>
    <x v="3"/>
    <x v="18"/>
    <s v="MLTC"/>
    <s v="MLTC"/>
    <s v="RN Initial (NB)"/>
    <m/>
    <x v="3"/>
    <x v="0"/>
    <x v="2"/>
    <x v="1"/>
    <n v="37"/>
    <n v="38"/>
    <n v="38"/>
    <n v="35"/>
    <n v="36"/>
    <n v="36"/>
  </r>
  <r>
    <n v="1163"/>
    <x v="3"/>
    <x v="18"/>
    <s v="MLTC"/>
    <s v="MLTC"/>
    <s v="RN Reassessment (NB)"/>
    <m/>
    <x v="3"/>
    <x v="0"/>
    <x v="2"/>
    <x v="1"/>
    <n v="48"/>
    <n v="75"/>
    <n v="75"/>
    <n v="47"/>
    <n v="74"/>
    <n v="74"/>
  </r>
  <r>
    <n v="1164"/>
    <x v="3"/>
    <x v="18"/>
    <s v="MLTC"/>
    <s v="MLTC"/>
    <s v="T1019U1 NAS"/>
    <s v="T1019:U1"/>
    <x v="2"/>
    <x v="0"/>
    <x v="2"/>
    <x v="1"/>
    <n v="2"/>
    <n v="232"/>
    <n v="987.75"/>
    <n v="2"/>
    <n v="232"/>
    <n v="987.75"/>
  </r>
  <r>
    <n v="1165"/>
    <x v="3"/>
    <x v="18"/>
    <s v="MLTC"/>
    <s v="MLTC"/>
    <s v="T1019U1 QNS"/>
    <s v="T1019:U1"/>
    <x v="2"/>
    <x v="0"/>
    <x v="2"/>
    <x v="1"/>
    <n v="87"/>
    <n v="10833"/>
    <n v="73922.75"/>
    <n v="79"/>
    <n v="10390"/>
    <n v="71124"/>
  </r>
  <r>
    <n v="1166"/>
    <x v="3"/>
    <x v="18"/>
    <s v="MLTC"/>
    <s v="MLTC"/>
    <s v="T1019U1 QNS MAP"/>
    <s v="T1019:U1"/>
    <x v="2"/>
    <x v="0"/>
    <x v="2"/>
    <x v="1"/>
    <n v="4"/>
    <n v="557"/>
    <n v="5296"/>
    <n v="3"/>
    <n v="527"/>
    <n v="5132.5"/>
  </r>
  <r>
    <n v="1167"/>
    <x v="3"/>
    <x v="18"/>
    <s v="MLTC"/>
    <s v="MLTC"/>
    <s v="T1019U2 QNS"/>
    <s v="T1019:U2"/>
    <x v="11"/>
    <x v="0"/>
    <x v="2"/>
    <x v="1"/>
    <n v="12"/>
    <n v="1768"/>
    <n v="14877"/>
    <n v="11"/>
    <n v="1709"/>
    <n v="14297"/>
  </r>
  <r>
    <n v="1168"/>
    <x v="3"/>
    <x v="18"/>
    <s v="MLTC"/>
    <s v="MLTC"/>
    <s v="T1020 QNS"/>
    <s v="T1020"/>
    <x v="8"/>
    <x v="0"/>
    <x v="2"/>
    <x v="1"/>
    <n v="4"/>
    <n v="563"/>
    <n v="7319"/>
    <n v="4"/>
    <n v="563"/>
    <n v="7319"/>
  </r>
  <r>
    <n v="1172"/>
    <x v="3"/>
    <x v="19"/>
    <s v="MLTC"/>
    <s v="CDPAP"/>
    <s v="T1019U6 K"/>
    <s v="T1019:U6"/>
    <x v="1"/>
    <x v="1"/>
    <x v="1"/>
    <x v="1"/>
    <n v="1"/>
    <n v="184"/>
    <n v="1050"/>
    <n v="1"/>
    <n v="184"/>
    <n v="1050"/>
  </r>
  <r>
    <n v="1173"/>
    <x v="3"/>
    <x v="19"/>
    <s v="MLTC"/>
    <s v="CDPAP"/>
    <s v="T1019U6 NAS"/>
    <s v="T1019:U6"/>
    <x v="1"/>
    <x v="1"/>
    <x v="1"/>
    <x v="1"/>
    <n v="1"/>
    <n v="249"/>
    <n v="845.5"/>
    <n v="1"/>
    <n v="249"/>
    <n v="845.5"/>
  </r>
  <r>
    <n v="1174"/>
    <x v="3"/>
    <x v="19"/>
    <s v="MLTC"/>
    <s v="CDPAP"/>
    <s v="T1019U6 QNS"/>
    <s v="T1019:U6"/>
    <x v="1"/>
    <x v="1"/>
    <x v="1"/>
    <x v="1"/>
    <n v="71"/>
    <n v="14242"/>
    <n v="75838.75"/>
    <n v="68"/>
    <n v="14123"/>
    <n v="75110"/>
  </r>
  <r>
    <n v="1175"/>
    <x v="3"/>
    <x v="19"/>
    <s v="MLTC"/>
    <s v="CDPAP"/>
    <s v="T1019U6 SCH"/>
    <s v="T1019:U6"/>
    <x v="1"/>
    <x v="1"/>
    <x v="1"/>
    <x v="1"/>
    <n v="1"/>
    <n v="158"/>
    <n v="588.75"/>
    <n v="1"/>
    <n v="158"/>
    <n v="588.75"/>
  </r>
  <r>
    <n v="1176"/>
    <x v="3"/>
    <x v="19"/>
    <s v="MLTC"/>
    <s v="CDPAP"/>
    <s v="T1019U6 SI"/>
    <s v="T1019:U6"/>
    <x v="1"/>
    <x v="1"/>
    <x v="1"/>
    <x v="1"/>
    <n v="1"/>
    <n v="207"/>
    <n v="1241.25"/>
    <n v="1"/>
    <n v="207"/>
    <n v="1241.25"/>
  </r>
  <r>
    <n v="1177"/>
    <x v="3"/>
    <x v="19"/>
    <s v="MLTC"/>
    <s v="CDPAP"/>
    <s v="T1019U7 QNS"/>
    <s v="T1019:U7"/>
    <x v="10"/>
    <x v="1"/>
    <x v="1"/>
    <x v="1"/>
    <n v="2"/>
    <n v="341"/>
    <n v="3675.75"/>
    <n v="0"/>
    <n v="0"/>
    <m/>
  </r>
  <r>
    <n v="1178"/>
    <x v="3"/>
    <x v="20"/>
    <s v="LHCSA"/>
    <s v="MLTC"/>
    <s v="PCA Hourly"/>
    <s v="T1019:U1"/>
    <x v="2"/>
    <x v="0"/>
    <x v="2"/>
    <x v="1"/>
    <n v="1"/>
    <n v="2"/>
    <n v="6"/>
    <n v="1"/>
    <n v="2"/>
    <n v="6"/>
  </r>
  <r>
    <n v="1179"/>
    <x v="3"/>
    <x v="20"/>
    <s v="LHCSA"/>
    <s v="MLTC"/>
    <s v="RN Reassessment (NB)"/>
    <m/>
    <x v="3"/>
    <x v="0"/>
    <x v="2"/>
    <x v="1"/>
    <n v="1"/>
    <n v="2"/>
    <n v="2"/>
    <n v="1"/>
    <n v="2"/>
    <n v="2"/>
  </r>
  <r>
    <n v="1180"/>
    <x v="3"/>
    <x v="54"/>
    <s v="CHHA"/>
    <s v="CHHA"/>
    <s v="2610"/>
    <s v="2610"/>
    <x v="0"/>
    <x v="0"/>
    <x v="0"/>
    <x v="0"/>
    <n v="23"/>
    <n v="1418"/>
    <n v="13736.25"/>
    <n v="23"/>
    <n v="1418"/>
    <n v="13736.25"/>
  </r>
  <r>
    <n v="1181"/>
    <x v="3"/>
    <x v="54"/>
    <s v="CHHA"/>
    <s v="CHHA"/>
    <s v="G0156"/>
    <s v="G0156"/>
    <x v="0"/>
    <x v="0"/>
    <x v="0"/>
    <x v="0"/>
    <n v="1"/>
    <n v="13"/>
    <n v="51.75"/>
    <n v="1"/>
    <n v="13"/>
    <n v="51.75"/>
  </r>
  <r>
    <n v="1182"/>
    <x v="3"/>
    <x v="54"/>
    <s v="CHHA"/>
    <s v="CHHA"/>
    <s v="S9122"/>
    <s v="S9122"/>
    <x v="0"/>
    <x v="0"/>
    <x v="0"/>
    <x v="0"/>
    <n v="1"/>
    <n v="6"/>
    <n v="23.75"/>
    <n v="0"/>
    <n v="0"/>
    <m/>
  </r>
  <r>
    <n v="1183"/>
    <x v="42"/>
    <x v="12"/>
    <s v="MCO"/>
    <s v="MCO"/>
    <s v="PCA Hourly Weekday"/>
    <s v="T1019:U1"/>
    <x v="4"/>
    <x v="0"/>
    <x v="0"/>
    <x v="1"/>
    <n v="3"/>
    <n v="31"/>
    <n v="153"/>
    <n v="3"/>
    <n v="31"/>
    <n v="153"/>
  </r>
  <r>
    <n v="1184"/>
    <x v="42"/>
    <x v="12"/>
    <s v="MCO"/>
    <s v="MCO"/>
    <s v="RN Initial Visit-NB"/>
    <s v="T1019:U1"/>
    <x v="4"/>
    <x v="0"/>
    <x v="0"/>
    <x v="1"/>
    <n v="3"/>
    <n v="3"/>
    <n v="3"/>
    <n v="3"/>
    <n v="3"/>
    <n v="3"/>
  </r>
  <r>
    <n v="1185"/>
    <x v="42"/>
    <x v="6"/>
    <s v="LHCSA"/>
    <s v="MLTC"/>
    <s v="PRN (NB)"/>
    <m/>
    <x v="3"/>
    <x v="0"/>
    <x v="2"/>
    <x v="1"/>
    <n v="1"/>
    <n v="1"/>
    <n v="1"/>
    <n v="0"/>
    <n v="0"/>
    <n v="0"/>
  </r>
  <r>
    <n v="1186"/>
    <x v="42"/>
    <x v="6"/>
    <s v="LHCSA"/>
    <s v="MLTC"/>
    <s v="RN Initial (NB)"/>
    <m/>
    <x v="3"/>
    <x v="0"/>
    <x v="2"/>
    <x v="1"/>
    <n v="8"/>
    <n v="9"/>
    <n v="9"/>
    <n v="7"/>
    <n v="8"/>
    <n v="8"/>
  </r>
  <r>
    <n v="1187"/>
    <x v="42"/>
    <x v="6"/>
    <s v="LHCSA"/>
    <s v="MLTC"/>
    <s v="RN Initial Assement"/>
    <s v="T2024"/>
    <x v="3"/>
    <x v="0"/>
    <x v="2"/>
    <x v="1"/>
    <n v="2"/>
    <n v="2"/>
    <n v="2"/>
    <n v="2"/>
    <n v="2"/>
    <n v="2"/>
  </r>
  <r>
    <n v="1188"/>
    <x v="42"/>
    <x v="6"/>
    <s v="LHCSA"/>
    <s v="MLTC"/>
    <s v="RN Reassessment (NB)"/>
    <m/>
    <x v="3"/>
    <x v="0"/>
    <x v="2"/>
    <x v="1"/>
    <n v="5"/>
    <n v="6"/>
    <n v="6"/>
    <n v="4"/>
    <n v="4"/>
    <n v="4"/>
  </r>
  <r>
    <n v="1189"/>
    <x v="42"/>
    <x v="6"/>
    <s v="LHCSA"/>
    <s v="MLTC"/>
    <s v="T1019:U1"/>
    <s v="T1019:U1"/>
    <x v="2"/>
    <x v="0"/>
    <x v="2"/>
    <x v="1"/>
    <n v="14"/>
    <n v="1165"/>
    <n v="4647.5"/>
    <n v="12"/>
    <n v="971"/>
    <n v="3659.75"/>
  </r>
  <r>
    <n v="1196"/>
    <x v="42"/>
    <x v="7"/>
    <s v="LHCSA"/>
    <s v="CDPAP"/>
    <s v="T1019:U6"/>
    <s v="T1019:U6"/>
    <x v="1"/>
    <x v="1"/>
    <x v="1"/>
    <x v="1"/>
    <n v="31"/>
    <n v="5117"/>
    <n v="25749.5"/>
    <n v="29"/>
    <n v="4999"/>
    <n v="24930.25"/>
  </r>
  <r>
    <n v="1197"/>
    <x v="42"/>
    <x v="7"/>
    <s v="LHCSA"/>
    <s v="CDPAP"/>
    <s v="T1020:U6"/>
    <s v="T1020:U6"/>
    <x v="9"/>
    <x v="1"/>
    <x v="1"/>
    <x v="1"/>
    <n v="1"/>
    <n v="6"/>
    <n v="78"/>
    <n v="1"/>
    <n v="6"/>
    <n v="78"/>
  </r>
  <r>
    <n v="1199"/>
    <x v="42"/>
    <x v="14"/>
    <s v="MLTC"/>
    <s v="CDPAP"/>
    <s v="PA Hourly"/>
    <s v="T1019:U6"/>
    <x v="1"/>
    <x v="1"/>
    <x v="1"/>
    <x v="1"/>
    <n v="4"/>
    <n v="273"/>
    <n v="1547.5"/>
    <n v="3"/>
    <n v="271"/>
    <n v="1542.5"/>
  </r>
  <r>
    <n v="1200"/>
    <x v="42"/>
    <x v="15"/>
    <s v="MLTC"/>
    <s v="MLTC"/>
    <s v="PCA Hourly"/>
    <s v="T1019:U1"/>
    <x v="2"/>
    <x v="0"/>
    <x v="2"/>
    <x v="1"/>
    <n v="4"/>
    <n v="75"/>
    <n v="387.25"/>
    <n v="3"/>
    <n v="47"/>
    <n v="233.25"/>
  </r>
  <r>
    <n v="1201"/>
    <x v="42"/>
    <x v="15"/>
    <s v="MLTC"/>
    <s v="MLTC"/>
    <s v="Rn initial assesment non billable"/>
    <m/>
    <x v="3"/>
    <x v="0"/>
    <x v="2"/>
    <x v="1"/>
    <n v="4"/>
    <n v="4"/>
    <n v="4"/>
    <n v="3"/>
    <n v="3"/>
    <n v="3"/>
  </r>
  <r>
    <n v="1202"/>
    <x v="42"/>
    <x v="10"/>
    <s v="Other"/>
    <s v="Private"/>
    <s v="PCA Hourly"/>
    <m/>
    <x v="5"/>
    <x v="0"/>
    <x v="3"/>
    <x v="1"/>
    <n v="1"/>
    <n v="7"/>
    <n v="84"/>
    <n v="1"/>
    <n v="7"/>
    <n v="84"/>
  </r>
  <r>
    <n v="1203"/>
    <x v="42"/>
    <x v="18"/>
    <s v="MLTC"/>
    <s v="MLTC"/>
    <s v="PRN (NB)"/>
    <m/>
    <x v="3"/>
    <x v="0"/>
    <x v="2"/>
    <x v="1"/>
    <n v="2"/>
    <n v="2"/>
    <n v="2"/>
    <n v="1"/>
    <n v="1"/>
    <n v="1"/>
  </r>
  <r>
    <n v="1204"/>
    <x v="42"/>
    <x v="18"/>
    <s v="MLTC"/>
    <s v="MLTC"/>
    <s v="RN Initial (NB)"/>
    <m/>
    <x v="3"/>
    <x v="0"/>
    <x v="2"/>
    <x v="1"/>
    <n v="11"/>
    <n v="12"/>
    <n v="12"/>
    <n v="9"/>
    <n v="9"/>
    <n v="9"/>
  </r>
  <r>
    <n v="1205"/>
    <x v="42"/>
    <x v="18"/>
    <s v="MLTC"/>
    <s v="MLTC"/>
    <s v="RN Reassessment (NB)"/>
    <m/>
    <x v="3"/>
    <x v="0"/>
    <x v="2"/>
    <x v="1"/>
    <n v="7"/>
    <n v="10"/>
    <n v="10"/>
    <n v="7"/>
    <n v="10"/>
    <n v="10"/>
  </r>
  <r>
    <n v="1206"/>
    <x v="42"/>
    <x v="18"/>
    <s v="MLTC"/>
    <s v="MLTC"/>
    <s v="T1019U1 REN"/>
    <s v="T1019:U1"/>
    <x v="2"/>
    <x v="0"/>
    <x v="2"/>
    <x v="1"/>
    <n v="18"/>
    <n v="1282"/>
    <n v="5186.5"/>
    <n v="15"/>
    <n v="1107"/>
    <n v="4529"/>
  </r>
  <r>
    <n v="1207"/>
    <x v="42"/>
    <x v="18"/>
    <s v="MLTC"/>
    <s v="MLTC"/>
    <s v="T1019U6 REN"/>
    <s v="T1019:U6"/>
    <x v="1"/>
    <x v="1"/>
    <x v="1"/>
    <x v="1"/>
    <n v="1"/>
    <n v="96"/>
    <n v="467"/>
    <n v="1"/>
    <n v="96"/>
    <n v="467"/>
  </r>
  <r>
    <n v="1210"/>
    <x v="42"/>
    <x v="19"/>
    <s v="MLTC"/>
    <s v="CDPAP"/>
    <s v="T1019U6 REN"/>
    <s v="T1019:U6"/>
    <x v="1"/>
    <x v="1"/>
    <x v="1"/>
    <x v="1"/>
    <n v="31"/>
    <n v="4740"/>
    <n v="20321.75"/>
    <n v="28"/>
    <n v="4421"/>
    <n v="19199.75"/>
  </r>
  <r>
    <n v="1211"/>
    <x v="2"/>
    <x v="0"/>
    <s v="CHHA"/>
    <s v="CHHA"/>
    <s v="HHA1"/>
    <s v="S9122"/>
    <x v="0"/>
    <x v="0"/>
    <x v="0"/>
    <x v="0"/>
    <n v="10"/>
    <n v="148"/>
    <n v="572.75"/>
    <n v="5"/>
    <n v="58"/>
    <n v="223"/>
  </r>
  <r>
    <n v="1212"/>
    <x v="2"/>
    <x v="0"/>
    <s v="CHHA"/>
    <s v="CHHA"/>
    <s v="HHAPEDSV"/>
    <s v="S9122"/>
    <x v="0"/>
    <x v="0"/>
    <x v="0"/>
    <x v="0"/>
    <n v="40"/>
    <n v="4964"/>
    <n v="33164.5"/>
    <n v="36"/>
    <n v="4798"/>
    <n v="32267.25"/>
  </r>
  <r>
    <n v="1213"/>
    <x v="2"/>
    <x v="61"/>
    <s v="Other"/>
    <s v="Private"/>
    <s v="Non Billable"/>
    <m/>
    <x v="5"/>
    <x v="0"/>
    <x v="3"/>
    <x v="1"/>
    <n v="1"/>
    <n v="2"/>
    <n v="3.5"/>
    <n v="1"/>
    <n v="2"/>
    <n v="3.5"/>
  </r>
  <r>
    <n v="1214"/>
    <x v="2"/>
    <x v="22"/>
    <s v="MCO"/>
    <s v="CDPAP"/>
    <s v="PA Hourly"/>
    <s v="T1019:U6"/>
    <x v="1"/>
    <x v="1"/>
    <x v="1"/>
    <x v="1"/>
    <n v="8"/>
    <n v="771"/>
    <n v="3758.75"/>
    <n v="8"/>
    <n v="771"/>
    <n v="3758.75"/>
  </r>
  <r>
    <n v="1215"/>
    <x v="2"/>
    <x v="23"/>
    <s v="MCO"/>
    <s v="MLTC"/>
    <s v="PCA Hourly"/>
    <s v="T1019:U1"/>
    <x v="2"/>
    <x v="0"/>
    <x v="2"/>
    <x v="1"/>
    <n v="8"/>
    <n v="723"/>
    <n v="6020.75"/>
    <n v="8"/>
    <n v="723"/>
    <n v="6020.75"/>
  </r>
  <r>
    <n v="1216"/>
    <x v="2"/>
    <x v="23"/>
    <s v="MCO"/>
    <s v="MLTC"/>
    <s v="PRN (NB)"/>
    <m/>
    <x v="3"/>
    <x v="0"/>
    <x v="2"/>
    <x v="1"/>
    <n v="1"/>
    <n v="1"/>
    <n v="1"/>
    <n v="1"/>
    <n v="1"/>
    <n v="1"/>
  </r>
  <r>
    <n v="1217"/>
    <x v="2"/>
    <x v="23"/>
    <s v="MCO"/>
    <s v="MLTC"/>
    <s v="RN Reassessment (NB)"/>
    <m/>
    <x v="3"/>
    <x v="0"/>
    <x v="2"/>
    <x v="1"/>
    <n v="4"/>
    <n v="4"/>
    <n v="4"/>
    <n v="4"/>
    <n v="4"/>
    <n v="4"/>
  </r>
  <r>
    <n v="1218"/>
    <x v="2"/>
    <x v="62"/>
    <s v="MCO"/>
    <s v="MLTC"/>
    <s v="HHA Hourly - S5125"/>
    <s v="S5125"/>
    <x v="4"/>
    <x v="0"/>
    <x v="0"/>
    <x v="1"/>
    <n v="1"/>
    <n v="550"/>
    <n v="3178.75"/>
    <n v="1"/>
    <n v="550"/>
    <n v="3178.75"/>
  </r>
  <r>
    <n v="1219"/>
    <x v="2"/>
    <x v="62"/>
    <s v="MCO"/>
    <s v="MLTC"/>
    <s v="HHA Live IN - S5126"/>
    <s v="S5126"/>
    <x v="4"/>
    <x v="0"/>
    <x v="0"/>
    <x v="1"/>
    <n v="1"/>
    <n v="21"/>
    <n v="273"/>
    <n v="1"/>
    <n v="21"/>
    <n v="273"/>
  </r>
  <r>
    <n v="1220"/>
    <x v="2"/>
    <x v="62"/>
    <s v="MCO"/>
    <s v="MLTC"/>
    <s v="PCA Hourly"/>
    <s v="T1019:U1"/>
    <x v="4"/>
    <x v="0"/>
    <x v="0"/>
    <x v="1"/>
    <n v="2"/>
    <n v="242"/>
    <n v="2016"/>
    <n v="2"/>
    <n v="242"/>
    <n v="2016"/>
  </r>
  <r>
    <n v="1221"/>
    <x v="2"/>
    <x v="62"/>
    <s v="MCO"/>
    <s v="MLTC"/>
    <s v="PRN (NB)"/>
    <m/>
    <x v="4"/>
    <x v="0"/>
    <x v="0"/>
    <x v="1"/>
    <n v="1"/>
    <n v="1"/>
    <n v="1"/>
    <n v="1"/>
    <n v="1"/>
    <n v="1"/>
  </r>
  <r>
    <n v="1222"/>
    <x v="2"/>
    <x v="62"/>
    <s v="MCO"/>
    <s v="MLTC"/>
    <s v="RN Reassessment (NB)"/>
    <m/>
    <x v="4"/>
    <x v="0"/>
    <x v="0"/>
    <x v="1"/>
    <n v="2"/>
    <n v="4"/>
    <n v="4"/>
    <n v="2"/>
    <n v="4"/>
    <n v="4"/>
  </r>
  <r>
    <n v="1223"/>
    <x v="2"/>
    <x v="26"/>
    <s v="Other"/>
    <s v="MLTC"/>
    <s v="RN Reassessment (NB)"/>
    <m/>
    <x v="4"/>
    <x v="0"/>
    <x v="0"/>
    <x v="1"/>
    <n v="1"/>
    <n v="1"/>
    <n v="1"/>
    <n v="1"/>
    <n v="1"/>
    <n v="1"/>
  </r>
  <r>
    <n v="1224"/>
    <x v="2"/>
    <x v="26"/>
    <s v="Other"/>
    <s v="MLTC"/>
    <s v="T1019:U1"/>
    <s v="T1019:U1"/>
    <x v="4"/>
    <x v="0"/>
    <x v="0"/>
    <x v="1"/>
    <n v="1"/>
    <n v="142"/>
    <n v="609.75"/>
    <n v="1"/>
    <n v="142"/>
    <n v="609.75"/>
  </r>
  <r>
    <n v="1225"/>
    <x v="2"/>
    <x v="28"/>
    <s v="MLTC"/>
    <s v="MLTC"/>
    <s v="PCA Hourly"/>
    <s v="T1019:U1"/>
    <x v="2"/>
    <x v="0"/>
    <x v="2"/>
    <x v="1"/>
    <n v="94"/>
    <n v="12619"/>
    <n v="71127.5"/>
    <n v="88"/>
    <n v="12338"/>
    <n v="69632.75"/>
  </r>
  <r>
    <n v="1226"/>
    <x v="2"/>
    <x v="28"/>
    <s v="MLTC"/>
    <s v="MLTC"/>
    <s v="PCA Live-In"/>
    <s v="T1020"/>
    <x v="8"/>
    <x v="0"/>
    <x v="2"/>
    <x v="1"/>
    <n v="5"/>
    <n v="1093"/>
    <n v="14209"/>
    <n v="5"/>
    <n v="1093"/>
    <n v="14209"/>
  </r>
  <r>
    <n v="1227"/>
    <x v="2"/>
    <x v="28"/>
    <s v="MLTC"/>
    <s v="MLTC"/>
    <s v="PRN (NB)"/>
    <m/>
    <x v="3"/>
    <x v="0"/>
    <x v="2"/>
    <x v="1"/>
    <n v="8"/>
    <n v="8"/>
    <n v="8"/>
    <n v="8"/>
    <n v="8"/>
    <n v="8"/>
  </r>
  <r>
    <n v="1228"/>
    <x v="2"/>
    <x v="28"/>
    <s v="MLTC"/>
    <s v="MLTC"/>
    <s v="RN Initial (NB)"/>
    <m/>
    <x v="3"/>
    <x v="0"/>
    <x v="2"/>
    <x v="1"/>
    <n v="49"/>
    <n v="49"/>
    <n v="49"/>
    <n v="47"/>
    <n v="47"/>
    <n v="47"/>
  </r>
  <r>
    <n v="1229"/>
    <x v="2"/>
    <x v="28"/>
    <s v="MLTC"/>
    <s v="MLTC"/>
    <s v="RN Initial Assessment"/>
    <m/>
    <x v="3"/>
    <x v="0"/>
    <x v="2"/>
    <x v="1"/>
    <n v="1"/>
    <n v="1"/>
    <n v="1"/>
    <n v="1"/>
    <n v="1"/>
    <n v="1"/>
  </r>
  <r>
    <n v="1230"/>
    <x v="2"/>
    <x v="28"/>
    <s v="MLTC"/>
    <s v="MLTC"/>
    <s v="RN Reassessment (NB)"/>
    <m/>
    <x v="3"/>
    <x v="0"/>
    <x v="2"/>
    <x v="1"/>
    <n v="53"/>
    <n v="83"/>
    <n v="83"/>
    <n v="52"/>
    <n v="82"/>
    <n v="82"/>
  </r>
  <r>
    <n v="1235"/>
    <x v="2"/>
    <x v="1"/>
    <s v="MLTC"/>
    <s v="CDPAP"/>
    <s v="PA Hourly - 5 Boroughs"/>
    <s v="T1019:U6"/>
    <x v="1"/>
    <x v="1"/>
    <x v="1"/>
    <x v="1"/>
    <n v="49"/>
    <n v="11864"/>
    <n v="54709.75"/>
    <n v="48"/>
    <n v="11840"/>
    <n v="54424"/>
  </r>
  <r>
    <n v="1236"/>
    <x v="2"/>
    <x v="29"/>
    <s v="MLTC"/>
    <s v="MLTC"/>
    <s v="RN Initial (NB)"/>
    <m/>
    <x v="3"/>
    <x v="0"/>
    <x v="2"/>
    <x v="1"/>
    <n v="12"/>
    <n v="12"/>
    <n v="12"/>
    <n v="11"/>
    <n v="11"/>
    <n v="11"/>
  </r>
  <r>
    <n v="1237"/>
    <x v="2"/>
    <x v="29"/>
    <s v="MLTC"/>
    <s v="MLTC"/>
    <s v="RN Reassessment (NB)"/>
    <m/>
    <x v="3"/>
    <x v="0"/>
    <x v="2"/>
    <x v="1"/>
    <n v="6"/>
    <n v="9"/>
    <n v="9"/>
    <n v="6"/>
    <n v="9"/>
    <n v="9"/>
  </r>
  <r>
    <n v="1238"/>
    <x v="2"/>
    <x v="29"/>
    <s v="MLTC"/>
    <s v="MLTC"/>
    <s v="T1019:U1"/>
    <s v="T1019:U1"/>
    <x v="2"/>
    <x v="0"/>
    <x v="2"/>
    <x v="1"/>
    <n v="17"/>
    <n v="1833"/>
    <n v="9339.75"/>
    <n v="14"/>
    <n v="1775"/>
    <n v="8953.5"/>
  </r>
  <r>
    <n v="1239"/>
    <x v="2"/>
    <x v="29"/>
    <s v="MLTC"/>
    <s v="MLTC"/>
    <s v="T1020"/>
    <s v="T1020"/>
    <x v="8"/>
    <x v="0"/>
    <x v="2"/>
    <x v="1"/>
    <n v="2"/>
    <n v="93"/>
    <n v="1209"/>
    <n v="2"/>
    <n v="93"/>
    <n v="1209"/>
  </r>
  <r>
    <n v="1242"/>
    <x v="2"/>
    <x v="30"/>
    <s v="MLTC"/>
    <s v="CDPAP"/>
    <s v="T1019:U6"/>
    <s v="T1019:U6"/>
    <x v="1"/>
    <x v="1"/>
    <x v="1"/>
    <x v="1"/>
    <n v="12"/>
    <n v="2473"/>
    <n v="12336"/>
    <n v="12"/>
    <n v="2473"/>
    <n v="12336"/>
  </r>
  <r>
    <n v="1245"/>
    <x v="2"/>
    <x v="31"/>
    <s v="MLTC"/>
    <s v="CDPAP"/>
    <s v="PA Hourly"/>
    <s v="T1019:U6"/>
    <x v="1"/>
    <x v="1"/>
    <x v="1"/>
    <x v="1"/>
    <n v="3"/>
    <n v="383"/>
    <n v="2323.25"/>
    <n v="3"/>
    <n v="383"/>
    <n v="2323.25"/>
  </r>
  <r>
    <n v="1246"/>
    <x v="2"/>
    <x v="32"/>
    <s v="MLTC"/>
    <s v="MLTC"/>
    <s v="PCA Hourly NYC"/>
    <s v="T1019:U1"/>
    <x v="2"/>
    <x v="0"/>
    <x v="2"/>
    <x v="1"/>
    <n v="2"/>
    <n v="97"/>
    <n v="543"/>
    <n v="2"/>
    <n v="97"/>
    <n v="543"/>
  </r>
  <r>
    <n v="1247"/>
    <x v="2"/>
    <x v="32"/>
    <s v="MLTC"/>
    <s v="MLTC"/>
    <s v="RN Initial (NB)"/>
    <m/>
    <x v="3"/>
    <x v="0"/>
    <x v="2"/>
    <x v="1"/>
    <n v="2"/>
    <n v="2"/>
    <n v="2"/>
    <n v="2"/>
    <n v="2"/>
    <n v="2"/>
  </r>
  <r>
    <n v="1252"/>
    <x v="2"/>
    <x v="2"/>
    <s v="Other"/>
    <s v="CDPAP"/>
    <s v="PA Hourly (New)"/>
    <s v="T1019:U6"/>
    <x v="1"/>
    <x v="1"/>
    <x v="1"/>
    <x v="1"/>
    <n v="30"/>
    <n v="6190"/>
    <n v="36430.5"/>
    <n v="27"/>
    <n v="6108"/>
    <n v="35667.75"/>
  </r>
  <r>
    <n v="1253"/>
    <x v="2"/>
    <x v="2"/>
    <s v="Other"/>
    <s v="CDPAP"/>
    <s v="PA Live-In"/>
    <s v="T1020:U6"/>
    <x v="9"/>
    <x v="1"/>
    <x v="1"/>
    <x v="1"/>
    <n v="2"/>
    <n v="495"/>
    <n v="6435"/>
    <n v="2"/>
    <n v="495"/>
    <n v="6435"/>
  </r>
  <r>
    <n v="1254"/>
    <x v="2"/>
    <x v="3"/>
    <s v="Other"/>
    <s v="MLTC"/>
    <s v="PCA Hourly NYC"/>
    <s v="T1019:U1"/>
    <x v="2"/>
    <x v="0"/>
    <x v="2"/>
    <x v="1"/>
    <n v="21"/>
    <n v="3155"/>
    <n v="19337.25"/>
    <n v="19"/>
    <n v="3096"/>
    <n v="18900.25"/>
  </r>
  <r>
    <n v="1255"/>
    <x v="2"/>
    <x v="3"/>
    <s v="Other"/>
    <s v="MLTC"/>
    <s v="PCA Live In"/>
    <s v="T1020"/>
    <x v="8"/>
    <x v="0"/>
    <x v="2"/>
    <x v="1"/>
    <n v="1"/>
    <n v="98"/>
    <n v="1274"/>
    <n v="0"/>
    <n v="0"/>
    <n v="0"/>
  </r>
  <r>
    <n v="1256"/>
    <x v="2"/>
    <x v="3"/>
    <s v="Other"/>
    <s v="MLTC"/>
    <s v="PRN (NB)"/>
    <m/>
    <x v="3"/>
    <x v="0"/>
    <x v="2"/>
    <x v="1"/>
    <n v="2"/>
    <n v="2"/>
    <n v="2"/>
    <n v="2"/>
    <n v="2"/>
    <n v="2"/>
  </r>
  <r>
    <n v="1257"/>
    <x v="2"/>
    <x v="3"/>
    <s v="Other"/>
    <s v="MLTC"/>
    <s v="RN Initial (NB)"/>
    <m/>
    <x v="3"/>
    <x v="0"/>
    <x v="2"/>
    <x v="1"/>
    <n v="9"/>
    <n v="9"/>
    <n v="9"/>
    <n v="7"/>
    <n v="7"/>
    <n v="7"/>
  </r>
  <r>
    <n v="1258"/>
    <x v="2"/>
    <x v="3"/>
    <s v="Other"/>
    <s v="MLTC"/>
    <s v="RN Reassessment (NB)"/>
    <m/>
    <x v="3"/>
    <x v="0"/>
    <x v="2"/>
    <x v="1"/>
    <n v="11"/>
    <n v="19"/>
    <n v="19"/>
    <n v="11"/>
    <n v="19"/>
    <n v="19"/>
  </r>
  <r>
    <n v="1259"/>
    <x v="2"/>
    <x v="5"/>
    <s v="CHHA"/>
    <s v="CHHA"/>
    <s v="PedCode95"/>
    <s v="-"/>
    <x v="0"/>
    <x v="0"/>
    <x v="0"/>
    <x v="0"/>
    <n v="9"/>
    <n v="439"/>
    <n v="2399.75"/>
    <n v="8"/>
    <n v="419"/>
    <n v="2288.25"/>
  </r>
  <r>
    <n v="1260"/>
    <x v="2"/>
    <x v="5"/>
    <s v="CHHA"/>
    <s v="CHHA"/>
    <s v="Rate1"/>
    <m/>
    <x v="0"/>
    <x v="0"/>
    <x v="0"/>
    <x v="0"/>
    <n v="24"/>
    <n v="1364"/>
    <n v="6228.5"/>
    <n v="22"/>
    <n v="1306"/>
    <n v="6019.75"/>
  </r>
  <r>
    <n v="1261"/>
    <x v="2"/>
    <x v="5"/>
    <s v="CHHA"/>
    <s v="CHHA"/>
    <s v="Rate4HMO"/>
    <s v="0"/>
    <x v="0"/>
    <x v="0"/>
    <x v="0"/>
    <x v="0"/>
    <n v="1"/>
    <n v="4"/>
    <n v="16"/>
    <n v="1"/>
    <n v="4"/>
    <n v="16"/>
  </r>
  <r>
    <n v="1262"/>
    <x v="2"/>
    <x v="6"/>
    <s v="LHCSA"/>
    <s v="MLTC"/>
    <s v="PRN (NB)"/>
    <m/>
    <x v="3"/>
    <x v="0"/>
    <x v="2"/>
    <x v="1"/>
    <n v="5"/>
    <n v="6"/>
    <n v="6"/>
    <n v="5"/>
    <n v="6"/>
    <n v="6"/>
  </r>
  <r>
    <n v="1263"/>
    <x v="2"/>
    <x v="6"/>
    <s v="LHCSA"/>
    <s v="MLTC"/>
    <s v="RN Initial (NB)"/>
    <m/>
    <x v="3"/>
    <x v="0"/>
    <x v="2"/>
    <x v="1"/>
    <n v="30"/>
    <n v="30"/>
    <n v="30"/>
    <n v="30"/>
    <n v="30"/>
    <n v="30"/>
  </r>
  <r>
    <n v="1264"/>
    <x v="2"/>
    <x v="6"/>
    <s v="LHCSA"/>
    <s v="MLTC"/>
    <s v="RN Initial Assement"/>
    <s v="T2024"/>
    <x v="3"/>
    <x v="0"/>
    <x v="2"/>
    <x v="1"/>
    <n v="13"/>
    <n v="13"/>
    <n v="13"/>
    <n v="13"/>
    <n v="13"/>
    <n v="13"/>
  </r>
  <r>
    <n v="1265"/>
    <x v="2"/>
    <x v="6"/>
    <s v="LHCSA"/>
    <s v="MLTC"/>
    <s v="RN Reassessment (NB)"/>
    <m/>
    <x v="3"/>
    <x v="0"/>
    <x v="2"/>
    <x v="1"/>
    <n v="33"/>
    <n v="40"/>
    <n v="40"/>
    <n v="33"/>
    <n v="40"/>
    <n v="40"/>
  </r>
  <r>
    <n v="1266"/>
    <x v="2"/>
    <x v="6"/>
    <s v="LHCSA"/>
    <s v="MLTC"/>
    <s v="S5130:U1"/>
    <s v="S5130:U1::::Homemaker"/>
    <x v="6"/>
    <x v="0"/>
    <x v="2"/>
    <x v="1"/>
    <n v="1"/>
    <n v="2"/>
    <n v="10"/>
    <n v="1"/>
    <n v="2"/>
    <n v="10"/>
  </r>
  <r>
    <n v="1267"/>
    <x v="2"/>
    <x v="6"/>
    <s v="LHCSA"/>
    <s v="MLTC"/>
    <s v="T1019:U1"/>
    <s v="T1019:U1"/>
    <x v="2"/>
    <x v="0"/>
    <x v="2"/>
    <x v="1"/>
    <n v="79"/>
    <n v="8762"/>
    <n v="50727.75"/>
    <n v="76"/>
    <n v="8720"/>
    <n v="50552.25"/>
  </r>
  <r>
    <n v="1268"/>
    <x v="2"/>
    <x v="6"/>
    <s v="LHCSA"/>
    <s v="MLTC"/>
    <s v="T1020"/>
    <s v="T1020"/>
    <x v="8"/>
    <x v="0"/>
    <x v="2"/>
    <x v="1"/>
    <n v="2"/>
    <n v="105"/>
    <n v="1365"/>
    <n v="2"/>
    <n v="105"/>
    <n v="1365"/>
  </r>
  <r>
    <n v="1271"/>
    <x v="2"/>
    <x v="7"/>
    <s v="LHCSA"/>
    <s v="CDPAP"/>
    <s v="T1019:U6"/>
    <s v="T1019:U6"/>
    <x v="1"/>
    <x v="1"/>
    <x v="1"/>
    <x v="1"/>
    <n v="28"/>
    <n v="4454"/>
    <n v="21993.5"/>
    <n v="27"/>
    <n v="4449"/>
    <n v="21955.5"/>
  </r>
  <r>
    <n v="1272"/>
    <x v="2"/>
    <x v="13"/>
    <s v="MLTC"/>
    <s v="MLTC"/>
    <s v="PCA Hourly"/>
    <s v="T1019:U1"/>
    <x v="2"/>
    <x v="0"/>
    <x v="2"/>
    <x v="1"/>
    <n v="1"/>
    <n v="1"/>
    <n v="1"/>
    <n v="1"/>
    <n v="1"/>
    <n v="1"/>
  </r>
  <r>
    <n v="1273"/>
    <x v="2"/>
    <x v="13"/>
    <s v="MLTC"/>
    <s v="MLTC"/>
    <s v="RN Initial (NB)"/>
    <s v="G0162"/>
    <x v="3"/>
    <x v="0"/>
    <x v="2"/>
    <x v="1"/>
    <n v="4"/>
    <n v="4"/>
    <n v="4"/>
    <n v="3"/>
    <n v="3"/>
    <n v="3"/>
  </r>
  <r>
    <n v="1274"/>
    <x v="2"/>
    <x v="13"/>
    <s v="MLTC"/>
    <s v="MLTC"/>
    <s v="Rn initial assement"/>
    <s v="G0162"/>
    <x v="3"/>
    <x v="0"/>
    <x v="2"/>
    <x v="1"/>
    <n v="12"/>
    <n v="12"/>
    <n v="12"/>
    <n v="11"/>
    <n v="11"/>
    <n v="11"/>
  </r>
  <r>
    <n v="1276"/>
    <x v="2"/>
    <x v="33"/>
    <s v="MCO"/>
    <s v="CDPAP"/>
    <s v="PA Hourly NYC , Nassau, Westchester"/>
    <s v="T1019:U6"/>
    <x v="1"/>
    <x v="1"/>
    <x v="1"/>
    <x v="1"/>
    <n v="1"/>
    <n v="366"/>
    <n v="1097.75"/>
    <n v="1"/>
    <n v="366"/>
    <n v="1097.75"/>
  </r>
  <r>
    <n v="1278"/>
    <x v="2"/>
    <x v="34"/>
    <s v="MLTC"/>
    <s v="MLTC"/>
    <s v="PCA Hourly"/>
    <s v="T1019:U1"/>
    <x v="2"/>
    <x v="0"/>
    <x v="2"/>
    <x v="1"/>
    <n v="8"/>
    <n v="1103"/>
    <n v="7958.25"/>
    <n v="8"/>
    <n v="1103"/>
    <n v="7958.25"/>
  </r>
  <r>
    <n v="1279"/>
    <x v="2"/>
    <x v="34"/>
    <s v="MLTC"/>
    <s v="MLTC"/>
    <s v="PCA Live In"/>
    <s v="T1020"/>
    <x v="8"/>
    <x v="0"/>
    <x v="2"/>
    <x v="1"/>
    <n v="2"/>
    <n v="68"/>
    <n v="884"/>
    <n v="2"/>
    <n v="68"/>
    <n v="884"/>
  </r>
  <r>
    <n v="1280"/>
    <x v="2"/>
    <x v="34"/>
    <s v="MLTC"/>
    <s v="MLTC"/>
    <s v="RN Initial (NB)"/>
    <m/>
    <x v="3"/>
    <x v="0"/>
    <x v="2"/>
    <x v="1"/>
    <n v="5"/>
    <n v="5"/>
    <n v="5"/>
    <n v="5"/>
    <n v="5"/>
    <n v="5"/>
  </r>
  <r>
    <n v="1281"/>
    <x v="2"/>
    <x v="34"/>
    <s v="MLTC"/>
    <s v="MLTC"/>
    <s v="RN Reassessment (NB)"/>
    <m/>
    <x v="3"/>
    <x v="0"/>
    <x v="2"/>
    <x v="1"/>
    <n v="4"/>
    <n v="6"/>
    <n v="6"/>
    <n v="4"/>
    <n v="6"/>
    <n v="6"/>
  </r>
  <r>
    <n v="1283"/>
    <x v="2"/>
    <x v="35"/>
    <s v="MCO"/>
    <s v="CDPAP"/>
    <s v="PA Hourly (NYC, LI, &amp; Westchester)"/>
    <s v="T1019:U6"/>
    <x v="1"/>
    <x v="1"/>
    <x v="1"/>
    <x v="1"/>
    <n v="1"/>
    <n v="175"/>
    <n v="1529"/>
    <n v="1"/>
    <n v="175"/>
    <n v="1529"/>
  </r>
  <r>
    <n v="1285"/>
    <x v="2"/>
    <x v="36"/>
    <s v="MCO"/>
    <s v="MLTC"/>
    <s v="PCA Hourly"/>
    <s v="T1019:U1"/>
    <x v="2"/>
    <x v="0"/>
    <x v="2"/>
    <x v="1"/>
    <n v="5"/>
    <n v="740"/>
    <n v="3494"/>
    <n v="3"/>
    <n v="642"/>
    <n v="3103"/>
  </r>
  <r>
    <n v="1286"/>
    <x v="2"/>
    <x v="36"/>
    <s v="MCO"/>
    <s v="MLTC"/>
    <s v="PRN (NB)"/>
    <m/>
    <x v="3"/>
    <x v="0"/>
    <x v="2"/>
    <x v="1"/>
    <n v="2"/>
    <n v="2"/>
    <n v="2"/>
    <n v="2"/>
    <n v="2"/>
    <n v="2"/>
  </r>
  <r>
    <n v="1287"/>
    <x v="2"/>
    <x v="36"/>
    <s v="MCO"/>
    <s v="MLTC"/>
    <s v="RN Initial (NB)"/>
    <m/>
    <x v="3"/>
    <x v="0"/>
    <x v="2"/>
    <x v="1"/>
    <n v="2"/>
    <n v="2"/>
    <n v="2"/>
    <n v="1"/>
    <n v="1"/>
    <n v="1"/>
  </r>
  <r>
    <n v="1288"/>
    <x v="2"/>
    <x v="36"/>
    <s v="MCO"/>
    <s v="MLTC"/>
    <s v="RN Reassessment (NB)"/>
    <m/>
    <x v="3"/>
    <x v="0"/>
    <x v="2"/>
    <x v="1"/>
    <n v="4"/>
    <n v="4"/>
    <n v="4"/>
    <n v="3"/>
    <n v="3"/>
    <n v="3"/>
  </r>
  <r>
    <n v="1289"/>
    <x v="2"/>
    <x v="37"/>
    <s v="CHHA"/>
    <s v="MLTC"/>
    <s v="RN Initial (NB)"/>
    <m/>
    <x v="3"/>
    <x v="0"/>
    <x v="2"/>
    <x v="1"/>
    <n v="10"/>
    <n v="10"/>
    <n v="10"/>
    <n v="10"/>
    <n v="10"/>
    <n v="10"/>
  </r>
  <r>
    <n v="1290"/>
    <x v="2"/>
    <x v="37"/>
    <s v="CHHA"/>
    <s v="MLTC"/>
    <s v="RN Reassessment (NB)"/>
    <m/>
    <x v="3"/>
    <x v="0"/>
    <x v="2"/>
    <x v="1"/>
    <n v="15"/>
    <n v="21"/>
    <n v="21"/>
    <n v="15"/>
    <n v="21"/>
    <n v="21"/>
  </r>
  <r>
    <n v="1291"/>
    <x v="2"/>
    <x v="37"/>
    <s v="CHHA"/>
    <s v="MLTC"/>
    <s v="S5130:U1"/>
    <s v="S5130:U1"/>
    <x v="6"/>
    <x v="0"/>
    <x v="2"/>
    <x v="1"/>
    <n v="3"/>
    <n v="95"/>
    <n v="589.75"/>
    <n v="3"/>
    <n v="95"/>
    <n v="589.75"/>
  </r>
  <r>
    <n v="1292"/>
    <x v="2"/>
    <x v="37"/>
    <s v="CHHA"/>
    <s v="MLTC"/>
    <s v="T1019:U1"/>
    <s v="T1019:U1"/>
    <x v="2"/>
    <x v="0"/>
    <x v="2"/>
    <x v="1"/>
    <n v="22"/>
    <n v="1832"/>
    <n v="8942.25"/>
    <n v="21"/>
    <n v="1813"/>
    <n v="8828.5"/>
  </r>
  <r>
    <n v="1293"/>
    <x v="2"/>
    <x v="37"/>
    <s v="CHHA"/>
    <s v="MLTC"/>
    <s v="T1020"/>
    <s v="T1020"/>
    <x v="8"/>
    <x v="0"/>
    <x v="2"/>
    <x v="1"/>
    <n v="1"/>
    <n v="90"/>
    <n v="1170"/>
    <n v="1"/>
    <n v="90"/>
    <n v="1170"/>
  </r>
  <r>
    <n v="1295"/>
    <x v="2"/>
    <x v="38"/>
    <s v="CHHA"/>
    <s v="CDPAP"/>
    <s v="T1019:U6"/>
    <s v="T1019:U6"/>
    <x v="1"/>
    <x v="1"/>
    <x v="1"/>
    <x v="1"/>
    <n v="18"/>
    <n v="1724"/>
    <n v="8581.5"/>
    <n v="16"/>
    <n v="1603"/>
    <n v="8065.25"/>
  </r>
  <r>
    <n v="1296"/>
    <x v="2"/>
    <x v="9"/>
    <s v="LHCSA"/>
    <s v="Medicaid"/>
    <s v="HCSS 9795 NYC"/>
    <s v="9795"/>
    <x v="4"/>
    <x v="0"/>
    <x v="0"/>
    <x v="1"/>
    <n v="67"/>
    <n v="27910"/>
    <n v="305613.5"/>
    <n v="64"/>
    <n v="27769"/>
    <n v="303990.5"/>
  </r>
  <r>
    <n v="1297"/>
    <x v="2"/>
    <x v="9"/>
    <s v="LHCSA"/>
    <s v="Medicaid"/>
    <s v="HCSS 9795 Rest of State"/>
    <s v="9795"/>
    <x v="4"/>
    <x v="0"/>
    <x v="0"/>
    <x v="1"/>
    <n v="1"/>
    <n v="128"/>
    <n v="1331.75"/>
    <n v="1"/>
    <n v="128"/>
    <n v="1331.75"/>
  </r>
  <r>
    <n v="1298"/>
    <x v="2"/>
    <x v="9"/>
    <s v="LHCSA"/>
    <s v="Medicaid"/>
    <s v="Initial RN Visit 9799 (Hourly)"/>
    <s v="9799"/>
    <x v="4"/>
    <x v="0"/>
    <x v="0"/>
    <x v="1"/>
    <n v="22"/>
    <n v="22"/>
    <n v="23"/>
    <n v="20"/>
    <n v="20"/>
    <n v="20"/>
  </r>
  <r>
    <n v="1299"/>
    <x v="2"/>
    <x v="9"/>
    <s v="LHCSA"/>
    <s v="Medicaid"/>
    <s v="PRN (NB)"/>
    <m/>
    <x v="4"/>
    <x v="0"/>
    <x v="0"/>
    <x v="1"/>
    <n v="3"/>
    <n v="3"/>
    <n v="3"/>
    <n v="3"/>
    <n v="3"/>
    <n v="3"/>
  </r>
  <r>
    <n v="1300"/>
    <x v="2"/>
    <x v="9"/>
    <s v="LHCSA"/>
    <s v="Medicaid"/>
    <s v="RN Initial (NB)"/>
    <m/>
    <x v="4"/>
    <x v="0"/>
    <x v="0"/>
    <x v="1"/>
    <n v="6"/>
    <n v="6"/>
    <n v="6"/>
    <n v="6"/>
    <n v="6"/>
    <n v="6"/>
  </r>
  <r>
    <n v="1301"/>
    <x v="2"/>
    <x v="9"/>
    <s v="LHCSA"/>
    <s v="Medicaid"/>
    <s v="RN Reassessment (NB)"/>
    <m/>
    <x v="4"/>
    <x v="0"/>
    <x v="0"/>
    <x v="1"/>
    <n v="1"/>
    <n v="1"/>
    <n v="1"/>
    <n v="1"/>
    <n v="1"/>
    <n v="1"/>
  </r>
  <r>
    <n v="1302"/>
    <x v="2"/>
    <x v="9"/>
    <s v="LHCSA"/>
    <s v="Medicaid"/>
    <s v="RN Visit 9799 (Hourly)"/>
    <s v="9799"/>
    <x v="4"/>
    <x v="0"/>
    <x v="0"/>
    <x v="1"/>
    <n v="55"/>
    <n v="92"/>
    <n v="90.5"/>
    <n v="54"/>
    <n v="90"/>
    <n v="90"/>
  </r>
  <r>
    <n v="1303"/>
    <x v="2"/>
    <x v="16"/>
    <s v="Other"/>
    <s v="Insurance"/>
    <s v="PCA Hourly"/>
    <m/>
    <x v="5"/>
    <x v="0"/>
    <x v="3"/>
    <x v="1"/>
    <n v="13"/>
    <n v="16"/>
    <n v="44.25"/>
    <n v="13"/>
    <n v="16"/>
    <n v="44.25"/>
  </r>
  <r>
    <n v="1304"/>
    <x v="2"/>
    <x v="41"/>
    <s v="CHHA"/>
    <s v="CHHA"/>
    <s v="HHAHOUR"/>
    <m/>
    <x v="0"/>
    <x v="0"/>
    <x v="0"/>
    <x v="0"/>
    <n v="1"/>
    <n v="11"/>
    <n v="42.75"/>
    <n v="1"/>
    <n v="11"/>
    <n v="42.75"/>
  </r>
  <r>
    <n v="1305"/>
    <x v="2"/>
    <x v="10"/>
    <s v="Other"/>
    <s v="Private"/>
    <s v="Live In - 3 Hours"/>
    <m/>
    <x v="5"/>
    <x v="0"/>
    <x v="3"/>
    <x v="1"/>
    <n v="1"/>
    <n v="22"/>
    <n v="296.5"/>
    <n v="1"/>
    <n v="22"/>
    <n v="286"/>
  </r>
  <r>
    <n v="1306"/>
    <x v="2"/>
    <x v="10"/>
    <s v="Other"/>
    <s v="Private"/>
    <s v="PCA Hourly"/>
    <m/>
    <x v="5"/>
    <x v="0"/>
    <x v="3"/>
    <x v="1"/>
    <n v="9"/>
    <n v="73"/>
    <n v="217"/>
    <n v="7"/>
    <n v="14"/>
    <n v="48"/>
  </r>
  <r>
    <n v="1307"/>
    <x v="2"/>
    <x v="17"/>
    <s v="Other"/>
    <s v="Private"/>
    <s v="HHA Live-in"/>
    <m/>
    <x v="5"/>
    <x v="0"/>
    <x v="3"/>
    <x v="1"/>
    <n v="1"/>
    <n v="366"/>
    <n v="8610.25"/>
    <n v="1"/>
    <n v="366"/>
    <n v="4758"/>
  </r>
  <r>
    <n v="1308"/>
    <x v="2"/>
    <x v="17"/>
    <s v="Other"/>
    <s v="Private"/>
    <s v="PCA Hourly"/>
    <m/>
    <x v="5"/>
    <x v="0"/>
    <x v="3"/>
    <x v="1"/>
    <n v="2"/>
    <n v="217"/>
    <n v="2941.25"/>
    <n v="2"/>
    <n v="217"/>
    <n v="2941.25"/>
  </r>
  <r>
    <n v="1309"/>
    <x v="2"/>
    <x v="17"/>
    <s v="Other"/>
    <s v="Private"/>
    <s v="PCA Live-in"/>
    <m/>
    <x v="5"/>
    <x v="0"/>
    <x v="3"/>
    <x v="1"/>
    <n v="1"/>
    <n v="6"/>
    <n v="55.5"/>
    <n v="1"/>
    <n v="6"/>
    <n v="55.5"/>
  </r>
  <r>
    <n v="1310"/>
    <x v="2"/>
    <x v="17"/>
    <s v="Other"/>
    <s v="Private"/>
    <s v="RN Initial (NB)"/>
    <m/>
    <x v="5"/>
    <x v="0"/>
    <x v="3"/>
    <x v="1"/>
    <n v="1"/>
    <n v="1"/>
    <n v="1.5"/>
    <n v="1"/>
    <n v="1"/>
    <n v="1"/>
  </r>
  <r>
    <n v="1311"/>
    <x v="2"/>
    <x v="17"/>
    <s v="Other"/>
    <s v="Private"/>
    <s v="RN Reassessment (NB)"/>
    <m/>
    <x v="5"/>
    <x v="0"/>
    <x v="3"/>
    <x v="1"/>
    <n v="1"/>
    <n v="2"/>
    <n v="1.5"/>
    <n v="1"/>
    <n v="2"/>
    <n v="2"/>
  </r>
  <r>
    <n v="1312"/>
    <x v="2"/>
    <x v="11"/>
    <s v="CHHA"/>
    <s v="CHHA"/>
    <s v="Rate1"/>
    <s v="S9122"/>
    <x v="0"/>
    <x v="0"/>
    <x v="0"/>
    <x v="0"/>
    <n v="11"/>
    <n v="109"/>
    <n v="414"/>
    <n v="7"/>
    <n v="94"/>
    <n v="365.75"/>
  </r>
  <r>
    <n v="1313"/>
    <x v="2"/>
    <x v="53"/>
    <s v="LHCSA"/>
    <s v="Medicaid"/>
    <s v="HCSS 9879"/>
    <s v="9879"/>
    <x v="4"/>
    <x v="0"/>
    <x v="0"/>
    <x v="1"/>
    <n v="1"/>
    <n v="48"/>
    <n v="418"/>
    <n v="1"/>
    <n v="48"/>
    <n v="418"/>
  </r>
  <r>
    <n v="1319"/>
    <x v="2"/>
    <x v="45"/>
    <s v="MCO"/>
    <s v="CDPAP"/>
    <s v="PA Hourly"/>
    <s v="T1019:U6"/>
    <x v="1"/>
    <x v="1"/>
    <x v="1"/>
    <x v="1"/>
    <n v="24"/>
    <n v="2347"/>
    <n v="13476"/>
    <n v="22"/>
    <n v="2286"/>
    <n v="13117"/>
  </r>
  <r>
    <n v="1320"/>
    <x v="2"/>
    <x v="45"/>
    <s v="MCO"/>
    <s v="CDPAP"/>
    <s v="PA Hourly Mutual"/>
    <s v="T1019:U7"/>
    <x v="10"/>
    <x v="1"/>
    <x v="1"/>
    <x v="1"/>
    <n v="3"/>
    <n v="80"/>
    <n v="356.25"/>
    <n v="3"/>
    <n v="80"/>
    <n v="356.25"/>
  </r>
  <r>
    <n v="1321"/>
    <x v="2"/>
    <x v="46"/>
    <s v="MLTC"/>
    <s v="MLTC"/>
    <s v="PCA Cluster Care"/>
    <s v="T1019:U3"/>
    <x v="11"/>
    <x v="0"/>
    <x v="2"/>
    <x v="1"/>
    <n v="3"/>
    <n v="166"/>
    <n v="407.5"/>
    <n v="3"/>
    <n v="166"/>
    <n v="407.5"/>
  </r>
  <r>
    <n v="1322"/>
    <x v="2"/>
    <x v="46"/>
    <s v="MLTC"/>
    <s v="MLTC"/>
    <s v="PCA Hourly"/>
    <s v="T1019:U1"/>
    <x v="2"/>
    <x v="0"/>
    <x v="2"/>
    <x v="1"/>
    <n v="36"/>
    <n v="2074"/>
    <n v="13077.75"/>
    <n v="36"/>
    <n v="2074"/>
    <n v="13077.75"/>
  </r>
  <r>
    <n v="1323"/>
    <x v="2"/>
    <x v="46"/>
    <s v="MLTC"/>
    <s v="MLTC"/>
    <s v="PCA Hourly"/>
    <s v="T1019:U1:TV"/>
    <x v="2"/>
    <x v="0"/>
    <x v="2"/>
    <x v="1"/>
    <n v="8"/>
    <n v="282"/>
    <n v="2676.25"/>
    <n v="8"/>
    <n v="282"/>
    <n v="2676.25"/>
  </r>
  <r>
    <n v="1324"/>
    <x v="2"/>
    <x v="46"/>
    <s v="MLTC"/>
    <s v="MLTC"/>
    <s v="PCA Hourly Mutual"/>
    <s v="T1019:U2"/>
    <x v="11"/>
    <x v="0"/>
    <x v="2"/>
    <x v="1"/>
    <n v="4"/>
    <n v="102"/>
    <n v="310.75"/>
    <n v="2"/>
    <n v="59"/>
    <n v="180.75"/>
  </r>
  <r>
    <n v="1325"/>
    <x v="2"/>
    <x v="46"/>
    <s v="MLTC"/>
    <s v="MLTC"/>
    <s v="PCA Hourly Mutual TV"/>
    <s v="T1019:U2:TV"/>
    <x v="11"/>
    <x v="0"/>
    <x v="2"/>
    <x v="1"/>
    <n v="1"/>
    <n v="14"/>
    <n v="40.5"/>
    <n v="1"/>
    <n v="14"/>
    <n v="40.5"/>
  </r>
  <r>
    <n v="1326"/>
    <x v="2"/>
    <x v="46"/>
    <s v="MLTC"/>
    <s v="MLTC"/>
    <s v="PCA Hourly TV"/>
    <s v="T1019:U1:TV"/>
    <x v="2"/>
    <x v="0"/>
    <x v="2"/>
    <x v="1"/>
    <n v="17"/>
    <n v="183"/>
    <n v="967.5"/>
    <n v="17"/>
    <n v="183"/>
    <n v="967.5"/>
  </r>
  <r>
    <n v="1327"/>
    <x v="2"/>
    <x v="46"/>
    <s v="MLTC"/>
    <s v="MLTC"/>
    <s v="PRN (NB)"/>
    <m/>
    <x v="3"/>
    <x v="0"/>
    <x v="2"/>
    <x v="1"/>
    <n v="3"/>
    <n v="3"/>
    <n v="3"/>
    <n v="3"/>
    <n v="3"/>
    <n v="3"/>
  </r>
  <r>
    <n v="1328"/>
    <x v="2"/>
    <x v="46"/>
    <s v="MLTC"/>
    <s v="MLTC"/>
    <s v="RN Initial Visit"/>
    <s v="T1030"/>
    <x v="7"/>
    <x v="0"/>
    <x v="2"/>
    <x v="1"/>
    <n v="34"/>
    <n v="34"/>
    <n v="34"/>
    <n v="32"/>
    <n v="32"/>
    <n v="32"/>
  </r>
  <r>
    <n v="1329"/>
    <x v="2"/>
    <x v="46"/>
    <s v="MLTC"/>
    <s v="MLTC"/>
    <s v="RN Reassessment (NB)"/>
    <m/>
    <x v="3"/>
    <x v="0"/>
    <x v="2"/>
    <x v="1"/>
    <n v="4"/>
    <n v="5"/>
    <n v="5"/>
    <n v="4"/>
    <n v="5"/>
    <n v="5"/>
  </r>
  <r>
    <n v="1330"/>
    <x v="2"/>
    <x v="18"/>
    <s v="MLTC"/>
    <s v="MLTC"/>
    <s v="Aide Supervision (NB)"/>
    <m/>
    <x v="7"/>
    <x v="0"/>
    <x v="2"/>
    <x v="1"/>
    <n v="1"/>
    <n v="1"/>
    <n v="1"/>
    <n v="0"/>
    <n v="0"/>
    <n v="0"/>
  </r>
  <r>
    <n v="1331"/>
    <x v="2"/>
    <x v="18"/>
    <s v="MLTC"/>
    <s v="MLTC"/>
    <s v="PRN (NB)"/>
    <m/>
    <x v="3"/>
    <x v="0"/>
    <x v="2"/>
    <x v="1"/>
    <n v="9"/>
    <n v="11"/>
    <n v="11"/>
    <n v="9"/>
    <n v="11"/>
    <n v="11"/>
  </r>
  <r>
    <n v="1332"/>
    <x v="2"/>
    <x v="18"/>
    <s v="MLTC"/>
    <s v="MLTC"/>
    <s v="RN - Initial Visit"/>
    <m/>
    <x v="3"/>
    <x v="0"/>
    <x v="2"/>
    <x v="1"/>
    <n v="1"/>
    <n v="1"/>
    <n v="1"/>
    <n v="1"/>
    <n v="1"/>
    <n v="1"/>
  </r>
  <r>
    <n v="1333"/>
    <x v="2"/>
    <x v="18"/>
    <s v="MLTC"/>
    <s v="MLTC"/>
    <s v="RN Initial (NB)"/>
    <m/>
    <x v="3"/>
    <x v="0"/>
    <x v="2"/>
    <x v="1"/>
    <n v="33"/>
    <n v="34"/>
    <n v="34"/>
    <n v="27"/>
    <n v="28"/>
    <n v="28"/>
  </r>
  <r>
    <n v="1334"/>
    <x v="2"/>
    <x v="18"/>
    <s v="MLTC"/>
    <s v="MLTC"/>
    <s v="RN Reassessment (NB)"/>
    <m/>
    <x v="3"/>
    <x v="0"/>
    <x v="2"/>
    <x v="1"/>
    <n v="73"/>
    <n v="126"/>
    <n v="126"/>
    <n v="68"/>
    <n v="117"/>
    <n v="117"/>
  </r>
  <r>
    <n v="1335"/>
    <x v="2"/>
    <x v="18"/>
    <s v="MLTC"/>
    <s v="MLTC"/>
    <s v="T1019U1 K"/>
    <s v="T1019:U1"/>
    <x v="2"/>
    <x v="0"/>
    <x v="2"/>
    <x v="1"/>
    <n v="1"/>
    <n v="304"/>
    <n v="3612.5"/>
    <n v="1"/>
    <n v="304"/>
    <n v="3612.5"/>
  </r>
  <r>
    <n v="1336"/>
    <x v="2"/>
    <x v="18"/>
    <s v="MLTC"/>
    <s v="MLTC"/>
    <s v="T1019U1 SI"/>
    <s v="T1019:U1"/>
    <x v="2"/>
    <x v="0"/>
    <x v="2"/>
    <x v="1"/>
    <n v="102"/>
    <n v="14170"/>
    <n v="94715.5"/>
    <n v="89"/>
    <n v="12950"/>
    <n v="86054.25"/>
  </r>
  <r>
    <n v="1337"/>
    <x v="2"/>
    <x v="18"/>
    <s v="MLTC"/>
    <s v="MLTC"/>
    <s v="T1019U1 SI MAP"/>
    <s v="T1019:U1"/>
    <x v="2"/>
    <x v="0"/>
    <x v="2"/>
    <x v="1"/>
    <n v="1"/>
    <n v="65"/>
    <n v="327.25"/>
    <n v="1"/>
    <n v="65"/>
    <n v="327.25"/>
  </r>
  <r>
    <n v="1338"/>
    <x v="2"/>
    <x v="18"/>
    <s v="MLTC"/>
    <s v="MLTC"/>
    <s v="T1019U2 SI"/>
    <s v="T1019:U2"/>
    <x v="11"/>
    <x v="0"/>
    <x v="2"/>
    <x v="1"/>
    <n v="20"/>
    <n v="1042"/>
    <n v="8445.75"/>
    <n v="20"/>
    <n v="1042"/>
    <n v="8445.75"/>
  </r>
  <r>
    <n v="1339"/>
    <x v="2"/>
    <x v="18"/>
    <s v="MLTC"/>
    <s v="MLTC"/>
    <s v="T1019U3 SI"/>
    <s v="T1019:U3"/>
    <x v="11"/>
    <x v="0"/>
    <x v="2"/>
    <x v="1"/>
    <n v="3"/>
    <n v="120"/>
    <n v="469"/>
    <n v="3"/>
    <n v="120"/>
    <n v="469"/>
  </r>
  <r>
    <n v="1340"/>
    <x v="2"/>
    <x v="18"/>
    <s v="MLTC"/>
    <s v="MLTC"/>
    <s v="T1020 SI"/>
    <s v="T1020"/>
    <x v="8"/>
    <x v="0"/>
    <x v="2"/>
    <x v="1"/>
    <n v="2"/>
    <n v="12"/>
    <n v="156"/>
    <n v="2"/>
    <n v="12"/>
    <n v="156"/>
  </r>
  <r>
    <n v="1341"/>
    <x v="2"/>
    <x v="18"/>
    <s v="MLTC"/>
    <s v="MLTC"/>
    <s v="T1020 SI MAP"/>
    <s v="T1020"/>
    <x v="8"/>
    <x v="0"/>
    <x v="2"/>
    <x v="1"/>
    <n v="1"/>
    <n v="152"/>
    <n v="1976"/>
    <n v="1"/>
    <n v="152"/>
    <n v="1976"/>
  </r>
  <r>
    <n v="1342"/>
    <x v="2"/>
    <x v="18"/>
    <s v="MLTC"/>
    <s v="MLTC"/>
    <s v="T1020U2 SI"/>
    <s v="T1020:U2"/>
    <x v="8"/>
    <x v="0"/>
    <x v="2"/>
    <x v="1"/>
    <n v="2"/>
    <n v="205"/>
    <n v="2665"/>
    <n v="2"/>
    <n v="205"/>
    <n v="2665"/>
  </r>
  <r>
    <n v="1348"/>
    <x v="2"/>
    <x v="19"/>
    <s v="MLTC"/>
    <s v="CDPAP"/>
    <s v="T1019U6 NAS"/>
    <s v="T1019:U6"/>
    <x v="1"/>
    <x v="1"/>
    <x v="1"/>
    <x v="1"/>
    <n v="1"/>
    <n v="716"/>
    <n v="3881.75"/>
    <n v="1"/>
    <n v="716"/>
    <n v="3881.75"/>
  </r>
  <r>
    <n v="1349"/>
    <x v="2"/>
    <x v="19"/>
    <s v="MLTC"/>
    <s v="CDPAP"/>
    <s v="T1019U6 SI"/>
    <s v="T1019:U6"/>
    <x v="1"/>
    <x v="1"/>
    <x v="1"/>
    <x v="1"/>
    <n v="72"/>
    <n v="15218"/>
    <n v="89542.75"/>
    <n v="64"/>
    <n v="14719"/>
    <n v="86699.5"/>
  </r>
  <r>
    <n v="1350"/>
    <x v="2"/>
    <x v="19"/>
    <s v="MLTC"/>
    <s v="CDPAP"/>
    <s v="T1019U6 WES"/>
    <s v="T1019:U6"/>
    <x v="1"/>
    <x v="1"/>
    <x v="1"/>
    <x v="1"/>
    <n v="1"/>
    <n v="333"/>
    <n v="1996.75"/>
    <n v="1"/>
    <n v="333"/>
    <n v="1996.75"/>
  </r>
  <r>
    <n v="1351"/>
    <x v="2"/>
    <x v="19"/>
    <s v="MLTC"/>
    <s v="CDPAP"/>
    <s v="T1019U7 SI"/>
    <s v="T1019:U7"/>
    <x v="10"/>
    <x v="1"/>
    <x v="1"/>
    <x v="1"/>
    <n v="4"/>
    <n v="503"/>
    <n v="1633.75"/>
    <n v="4"/>
    <n v="503"/>
    <n v="1633.75"/>
  </r>
  <r>
    <n v="1352"/>
    <x v="2"/>
    <x v="19"/>
    <s v="MLTC"/>
    <s v="CDPAP"/>
    <s v="T1020U6 SI"/>
    <s v="T1020:U6"/>
    <x v="9"/>
    <x v="1"/>
    <x v="1"/>
    <x v="1"/>
    <n v="1"/>
    <n v="299"/>
    <n v="3887"/>
    <n v="1"/>
    <n v="299"/>
    <n v="3887"/>
  </r>
  <r>
    <n v="1353"/>
    <x v="2"/>
    <x v="19"/>
    <s v="MLTC"/>
    <s v="CDPAP"/>
    <s v="T1020U7 SI MAP"/>
    <s v="T1020:U7"/>
    <x v="15"/>
    <x v="1"/>
    <x v="1"/>
    <x v="1"/>
    <n v="1"/>
    <n v="1"/>
    <n v="13"/>
    <n v="1"/>
    <n v="1"/>
    <n v="13"/>
  </r>
  <r>
    <n v="1354"/>
    <x v="2"/>
    <x v="20"/>
    <s v="LHCSA"/>
    <s v="MLTC"/>
    <s v="PCA Hourly"/>
    <s v="T1019:U1"/>
    <x v="2"/>
    <x v="0"/>
    <x v="2"/>
    <x v="1"/>
    <n v="2"/>
    <n v="61"/>
    <n v="216.75"/>
    <n v="1"/>
    <n v="59"/>
    <n v="211.75"/>
  </r>
  <r>
    <n v="1355"/>
    <x v="2"/>
    <x v="20"/>
    <s v="LHCSA"/>
    <s v="MLTC"/>
    <s v="PCA Hourly Mutual U3"/>
    <s v="T1019:U2"/>
    <x v="11"/>
    <x v="0"/>
    <x v="2"/>
    <x v="1"/>
    <n v="3"/>
    <n v="20"/>
    <n v="74.25"/>
    <n v="3"/>
    <n v="20"/>
    <n v="74.25"/>
  </r>
  <r>
    <n v="1356"/>
    <x v="2"/>
    <x v="20"/>
    <s v="LHCSA"/>
    <s v="MLTC"/>
    <s v="RN Reassessment (NB)"/>
    <m/>
    <x v="3"/>
    <x v="0"/>
    <x v="2"/>
    <x v="1"/>
    <n v="4"/>
    <n v="4"/>
    <n v="4"/>
    <n v="3"/>
    <n v="3"/>
    <n v="3"/>
  </r>
  <r>
    <n v="1358"/>
    <x v="43"/>
    <x v="1"/>
    <s v="MLTC"/>
    <s v="CDPAP"/>
    <s v="PA Hourly - Nassau/Suffolk/Westchester:"/>
    <s v="T1019:U6"/>
    <x v="1"/>
    <x v="1"/>
    <x v="1"/>
    <x v="1"/>
    <n v="3"/>
    <n v="828"/>
    <n v="2863.5"/>
    <n v="3"/>
    <n v="828"/>
    <n v="2863.5"/>
  </r>
  <r>
    <n v="1359"/>
    <x v="43"/>
    <x v="1"/>
    <s v="MLTC"/>
    <s v="CDPAP"/>
    <s v="PA Hourly - Rockland"/>
    <s v="T1019:U6"/>
    <x v="1"/>
    <x v="1"/>
    <x v="1"/>
    <x v="1"/>
    <n v="5"/>
    <n v="774"/>
    <n v="3324.5"/>
    <n v="5"/>
    <n v="774"/>
    <n v="3324.5"/>
  </r>
  <r>
    <n v="1361"/>
    <x v="43"/>
    <x v="30"/>
    <s v="MLTC"/>
    <s v="CDPAP"/>
    <s v="T1019:U6"/>
    <s v="T1019:U6"/>
    <x v="1"/>
    <x v="1"/>
    <x v="1"/>
    <x v="1"/>
    <n v="2"/>
    <n v="225"/>
    <n v="2043.75"/>
    <n v="2"/>
    <n v="225"/>
    <n v="2043.75"/>
  </r>
  <r>
    <n v="1363"/>
    <x v="43"/>
    <x v="7"/>
    <s v="LHCSA"/>
    <s v="CDPAP"/>
    <s v="T1019:U6"/>
    <s v="T1019:U6"/>
    <x v="1"/>
    <x v="1"/>
    <x v="1"/>
    <x v="1"/>
    <n v="9"/>
    <n v="1070"/>
    <n v="4178.25"/>
    <n v="9"/>
    <n v="1070"/>
    <n v="4178.25"/>
  </r>
  <r>
    <n v="1365"/>
    <x v="43"/>
    <x v="33"/>
    <s v="MCO"/>
    <s v="CDPAP"/>
    <s v="PA Hourly NYC , Nassau, Westchester"/>
    <s v="T1019:U6"/>
    <x v="1"/>
    <x v="1"/>
    <x v="1"/>
    <x v="1"/>
    <n v="1"/>
    <n v="127"/>
    <n v="1102.25"/>
    <n v="1"/>
    <n v="127"/>
    <n v="1102.25"/>
  </r>
  <r>
    <n v="1366"/>
    <x v="43"/>
    <x v="33"/>
    <s v="MCO"/>
    <s v="CDPAP"/>
    <s v="PA Hourly Upstate"/>
    <s v="T1019:U6"/>
    <x v="1"/>
    <x v="1"/>
    <x v="1"/>
    <x v="1"/>
    <n v="2"/>
    <n v="524"/>
    <n v="2088"/>
    <n v="2"/>
    <n v="524"/>
    <n v="2088"/>
  </r>
  <r>
    <n v="1369"/>
    <x v="43"/>
    <x v="38"/>
    <s v="CHHA"/>
    <s v="CDPAP"/>
    <s v="T1019:U6"/>
    <s v="T1019:U6"/>
    <x v="1"/>
    <x v="1"/>
    <x v="1"/>
    <x v="1"/>
    <n v="1"/>
    <n v="230"/>
    <n v="1422.5"/>
    <n v="1"/>
    <n v="230"/>
    <n v="1422.5"/>
  </r>
  <r>
    <n v="1372"/>
    <x v="43"/>
    <x v="19"/>
    <s v="MLTC"/>
    <s v="CDPAP"/>
    <s v="T1019U6 RKL"/>
    <s v="T1019:U6"/>
    <x v="1"/>
    <x v="1"/>
    <x v="1"/>
    <x v="1"/>
    <n v="11"/>
    <n v="3066"/>
    <n v="17324.75"/>
    <n v="10"/>
    <n v="2888"/>
    <n v="16612.75"/>
  </r>
  <r>
    <n v="1374"/>
    <x v="44"/>
    <x v="7"/>
    <s v="LHCSA"/>
    <s v="CDPAP"/>
    <s v="T1019:U6"/>
    <s v="T1019:U6"/>
    <x v="1"/>
    <x v="1"/>
    <x v="1"/>
    <x v="1"/>
    <n v="10"/>
    <n v="1206"/>
    <n v="5194.25"/>
    <n v="10"/>
    <n v="1206"/>
    <n v="5194.25"/>
  </r>
  <r>
    <n v="1377"/>
    <x v="44"/>
    <x v="14"/>
    <s v="MLTC"/>
    <s v="CDPAP"/>
    <s v="PA Hourly"/>
    <s v="T1019:U6"/>
    <x v="1"/>
    <x v="1"/>
    <x v="1"/>
    <x v="1"/>
    <n v="2"/>
    <n v="650"/>
    <n v="4618.75"/>
    <n v="2"/>
    <n v="650"/>
    <n v="4618.75"/>
  </r>
  <r>
    <n v="1378"/>
    <x v="45"/>
    <x v="6"/>
    <s v="LHCSA"/>
    <s v="MLTC"/>
    <s v="RN Initial (NB)"/>
    <m/>
    <x v="3"/>
    <x v="0"/>
    <x v="2"/>
    <x v="1"/>
    <n v="1"/>
    <n v="1"/>
    <n v="1"/>
    <n v="1"/>
    <n v="1"/>
    <n v="1"/>
  </r>
  <r>
    <n v="1379"/>
    <x v="45"/>
    <x v="6"/>
    <s v="LHCSA"/>
    <s v="MLTC"/>
    <s v="T1019:U1"/>
    <s v="T1019:U1"/>
    <x v="2"/>
    <x v="0"/>
    <x v="2"/>
    <x v="1"/>
    <n v="2"/>
    <n v="36"/>
    <n v="162.75"/>
    <n v="2"/>
    <n v="36"/>
    <n v="162.75"/>
  </r>
  <r>
    <n v="1380"/>
    <x v="45"/>
    <x v="6"/>
    <s v="LHCSA"/>
    <s v="MLTC"/>
    <s v="T1019:U6"/>
    <s v="T1019:U6"/>
    <x v="1"/>
    <x v="1"/>
    <x v="1"/>
    <x v="1"/>
    <n v="1"/>
    <n v="17"/>
    <n v="69"/>
    <n v="1"/>
    <n v="17"/>
    <n v="69"/>
  </r>
  <r>
    <n v="1383"/>
    <x v="45"/>
    <x v="7"/>
    <s v="LHCSA"/>
    <s v="CDPAP"/>
    <s v="RN Initial (NB)"/>
    <m/>
    <x v="3"/>
    <x v="0"/>
    <x v="2"/>
    <x v="1"/>
    <n v="1"/>
    <n v="1"/>
    <n v="1"/>
    <n v="1"/>
    <n v="1"/>
    <n v="1"/>
  </r>
  <r>
    <n v="1384"/>
    <x v="45"/>
    <x v="7"/>
    <s v="LHCSA"/>
    <s v="CDPAP"/>
    <s v="T1019:U1"/>
    <s v="T1019:U1"/>
    <x v="2"/>
    <x v="0"/>
    <x v="2"/>
    <x v="1"/>
    <n v="1"/>
    <n v="27"/>
    <n v="107"/>
    <n v="1"/>
    <n v="27"/>
    <n v="107"/>
  </r>
  <r>
    <n v="1385"/>
    <x v="45"/>
    <x v="7"/>
    <s v="LHCSA"/>
    <s v="CDPAP"/>
    <s v="T1019:U6"/>
    <s v="T1019:U6"/>
    <x v="1"/>
    <x v="1"/>
    <x v="1"/>
    <x v="1"/>
    <n v="13"/>
    <n v="1181"/>
    <n v="6850.25"/>
    <n v="11"/>
    <n v="1162"/>
    <n v="6759.5"/>
  </r>
  <r>
    <n v="1388"/>
    <x v="45"/>
    <x v="14"/>
    <s v="MLTC"/>
    <s v="CDPAP"/>
    <s v="PA Hourly"/>
    <s v="T1019:U6"/>
    <x v="1"/>
    <x v="1"/>
    <x v="1"/>
    <x v="1"/>
    <n v="2"/>
    <n v="1162"/>
    <n v="3813.5"/>
    <n v="2"/>
    <n v="1162"/>
    <n v="3813.5"/>
  </r>
  <r>
    <n v="1389"/>
    <x v="45"/>
    <x v="18"/>
    <s v="MLTC"/>
    <s v="MLTC"/>
    <s v="RN Initial (NB)"/>
    <m/>
    <x v="3"/>
    <x v="0"/>
    <x v="2"/>
    <x v="1"/>
    <n v="3"/>
    <n v="3"/>
    <n v="3"/>
    <n v="3"/>
    <n v="3"/>
    <n v="3"/>
  </r>
  <r>
    <n v="1390"/>
    <x v="45"/>
    <x v="18"/>
    <s v="MLTC"/>
    <s v="MLTC"/>
    <s v="RN Reassessment (NB)"/>
    <m/>
    <x v="3"/>
    <x v="0"/>
    <x v="2"/>
    <x v="1"/>
    <n v="2"/>
    <n v="2"/>
    <n v="2"/>
    <n v="2"/>
    <n v="2"/>
    <n v="2"/>
  </r>
  <r>
    <n v="1391"/>
    <x v="45"/>
    <x v="18"/>
    <s v="MLTC"/>
    <s v="MLTC"/>
    <s v="T1019U1 SAR"/>
    <s v="T1019:U1"/>
    <x v="2"/>
    <x v="0"/>
    <x v="2"/>
    <x v="1"/>
    <n v="3"/>
    <n v="195"/>
    <n v="1034.75"/>
    <n v="3"/>
    <n v="195"/>
    <n v="1034.75"/>
  </r>
  <r>
    <n v="1394"/>
    <x v="45"/>
    <x v="19"/>
    <s v="MLTC"/>
    <s v="CDPAP"/>
    <s v="T1019U6 SAR"/>
    <s v="T1019:U6"/>
    <x v="1"/>
    <x v="1"/>
    <x v="1"/>
    <x v="1"/>
    <n v="16"/>
    <n v="3063"/>
    <n v="13927"/>
    <n v="16"/>
    <n v="3063"/>
    <n v="13927"/>
  </r>
  <r>
    <n v="1395"/>
    <x v="45"/>
    <x v="19"/>
    <s v="MLTC"/>
    <s v="CDPAP"/>
    <s v="T1019U6 SAR MAP"/>
    <s v="T1019:U6"/>
    <x v="1"/>
    <x v="1"/>
    <x v="1"/>
    <x v="1"/>
    <n v="1"/>
    <n v="24"/>
    <n v="120"/>
    <n v="1"/>
    <n v="24"/>
    <n v="120"/>
  </r>
  <r>
    <n v="1396"/>
    <x v="46"/>
    <x v="12"/>
    <s v="MCO"/>
    <s v="MCO"/>
    <s v="PCA Hourly Weekday"/>
    <s v="T1019:U1"/>
    <x v="4"/>
    <x v="0"/>
    <x v="0"/>
    <x v="1"/>
    <n v="1"/>
    <n v="38"/>
    <n v="185"/>
    <n v="1"/>
    <n v="38"/>
    <n v="185"/>
  </r>
  <r>
    <n v="1397"/>
    <x v="46"/>
    <x v="12"/>
    <s v="MCO"/>
    <s v="MCO"/>
    <s v="RN Reassessment-NB"/>
    <s v="T1019:U1"/>
    <x v="4"/>
    <x v="0"/>
    <x v="0"/>
    <x v="1"/>
    <n v="1"/>
    <n v="1"/>
    <n v="1"/>
    <n v="1"/>
    <n v="1"/>
    <n v="1"/>
  </r>
  <r>
    <n v="1398"/>
    <x v="46"/>
    <x v="6"/>
    <s v="LHCSA"/>
    <s v="MLTC"/>
    <s v="RN Initial (NB)"/>
    <m/>
    <x v="3"/>
    <x v="0"/>
    <x v="2"/>
    <x v="1"/>
    <n v="15"/>
    <n v="15"/>
    <n v="15"/>
    <n v="15"/>
    <n v="15"/>
    <n v="15"/>
  </r>
  <r>
    <n v="1399"/>
    <x v="46"/>
    <x v="6"/>
    <s v="LHCSA"/>
    <s v="MLTC"/>
    <s v="RN Initial Assement"/>
    <s v="T2024"/>
    <x v="3"/>
    <x v="0"/>
    <x v="2"/>
    <x v="1"/>
    <n v="6"/>
    <n v="6"/>
    <n v="6"/>
    <n v="6"/>
    <n v="6"/>
    <n v="6"/>
  </r>
  <r>
    <n v="1400"/>
    <x v="46"/>
    <x v="6"/>
    <s v="LHCSA"/>
    <s v="MLTC"/>
    <s v="RN Reassessment (NB)"/>
    <m/>
    <x v="3"/>
    <x v="0"/>
    <x v="2"/>
    <x v="1"/>
    <n v="11"/>
    <n v="13"/>
    <n v="13"/>
    <n v="11"/>
    <n v="13"/>
    <n v="13"/>
  </r>
  <r>
    <n v="1401"/>
    <x v="46"/>
    <x v="6"/>
    <s v="LHCSA"/>
    <s v="MLTC"/>
    <s v="T1019:U1"/>
    <s v="T1019:U1"/>
    <x v="2"/>
    <x v="0"/>
    <x v="2"/>
    <x v="1"/>
    <n v="31"/>
    <n v="2252"/>
    <n v="10117.25"/>
    <n v="30"/>
    <n v="2245"/>
    <n v="10103"/>
  </r>
  <r>
    <n v="1402"/>
    <x v="46"/>
    <x v="6"/>
    <s v="LHCSA"/>
    <s v="MLTC"/>
    <s v="T1019:U6"/>
    <s v="T1019:U6"/>
    <x v="1"/>
    <x v="1"/>
    <x v="1"/>
    <x v="1"/>
    <n v="1"/>
    <n v="63"/>
    <n v="250.75"/>
    <n v="1"/>
    <n v="63"/>
    <n v="250.75"/>
  </r>
  <r>
    <n v="1406"/>
    <x v="46"/>
    <x v="7"/>
    <s v="LHCSA"/>
    <s v="CDPAP"/>
    <s v="T1019:U6"/>
    <s v="T1019:U6"/>
    <x v="1"/>
    <x v="1"/>
    <x v="1"/>
    <x v="1"/>
    <n v="79"/>
    <n v="12153"/>
    <n v="54295.25"/>
    <n v="76"/>
    <n v="11992"/>
    <n v="53160.25"/>
  </r>
  <r>
    <n v="1407"/>
    <x v="46"/>
    <x v="13"/>
    <s v="MLTC"/>
    <s v="MLTC"/>
    <s v="PCA Hourly"/>
    <s v="T1019:U1"/>
    <x v="2"/>
    <x v="0"/>
    <x v="2"/>
    <x v="1"/>
    <n v="2"/>
    <n v="3"/>
    <n v="6"/>
    <n v="2"/>
    <n v="3"/>
    <n v="6"/>
  </r>
  <r>
    <n v="1408"/>
    <x v="46"/>
    <x v="13"/>
    <s v="MLTC"/>
    <s v="MLTC"/>
    <s v="Rn initial assement"/>
    <s v="G0162"/>
    <x v="3"/>
    <x v="0"/>
    <x v="2"/>
    <x v="1"/>
    <n v="5"/>
    <n v="5"/>
    <n v="5"/>
    <n v="4"/>
    <n v="4"/>
    <n v="4"/>
  </r>
  <r>
    <n v="1410"/>
    <x v="46"/>
    <x v="14"/>
    <s v="MLTC"/>
    <s v="CDPAP"/>
    <s v="PA Hourly"/>
    <s v="T1019:U6"/>
    <x v="1"/>
    <x v="1"/>
    <x v="1"/>
    <x v="1"/>
    <n v="4"/>
    <n v="603"/>
    <n v="3138.75"/>
    <n v="4"/>
    <n v="603"/>
    <n v="3138.75"/>
  </r>
  <r>
    <n v="1411"/>
    <x v="46"/>
    <x v="15"/>
    <s v="MLTC"/>
    <s v="MLTC"/>
    <s v="PCA Hourly"/>
    <s v="T1019:U1"/>
    <x v="2"/>
    <x v="0"/>
    <x v="2"/>
    <x v="1"/>
    <n v="2"/>
    <n v="53"/>
    <n v="136"/>
    <n v="1"/>
    <n v="38"/>
    <n v="70"/>
  </r>
  <r>
    <n v="1412"/>
    <x v="46"/>
    <x v="15"/>
    <s v="MLTC"/>
    <s v="MLTC"/>
    <s v="Rn initial assesment non billable"/>
    <m/>
    <x v="3"/>
    <x v="0"/>
    <x v="2"/>
    <x v="1"/>
    <n v="2"/>
    <n v="2"/>
    <n v="2"/>
    <n v="1"/>
    <n v="1"/>
    <n v="1"/>
  </r>
  <r>
    <n v="1413"/>
    <x v="46"/>
    <x v="16"/>
    <s v="Other"/>
    <s v="Insurance"/>
    <s v="PA Hourly"/>
    <m/>
    <x v="5"/>
    <x v="0"/>
    <x v="3"/>
    <x v="1"/>
    <n v="1"/>
    <n v="11"/>
    <n v="40.25"/>
    <n v="1"/>
    <n v="11"/>
    <n v="40.25"/>
  </r>
  <r>
    <n v="1414"/>
    <x v="46"/>
    <x v="17"/>
    <s v="Other"/>
    <s v="Private"/>
    <s v="PCA Hourly"/>
    <m/>
    <x v="5"/>
    <x v="0"/>
    <x v="3"/>
    <x v="1"/>
    <n v="1"/>
    <n v="4"/>
    <n v="7.25"/>
    <n v="1"/>
    <n v="4"/>
    <n v="7.25"/>
  </r>
  <r>
    <n v="1415"/>
    <x v="46"/>
    <x v="17"/>
    <s v="Other"/>
    <s v="Private"/>
    <s v="RN Initial (NB)"/>
    <m/>
    <x v="5"/>
    <x v="0"/>
    <x v="3"/>
    <x v="1"/>
    <n v="1"/>
    <n v="1"/>
    <n v="0.5"/>
    <n v="1"/>
    <n v="1"/>
    <n v="1"/>
  </r>
  <r>
    <n v="1416"/>
    <x v="46"/>
    <x v="18"/>
    <s v="MLTC"/>
    <s v="MLTC"/>
    <s v="RN Initial (NB)"/>
    <m/>
    <x v="3"/>
    <x v="0"/>
    <x v="2"/>
    <x v="1"/>
    <n v="23"/>
    <n v="23"/>
    <n v="23"/>
    <n v="21"/>
    <n v="21"/>
    <n v="21"/>
  </r>
  <r>
    <n v="1417"/>
    <x v="46"/>
    <x v="18"/>
    <s v="MLTC"/>
    <s v="MLTC"/>
    <s v="RN Reassessment (NB)"/>
    <m/>
    <x v="3"/>
    <x v="0"/>
    <x v="2"/>
    <x v="1"/>
    <n v="11"/>
    <n v="16"/>
    <n v="16"/>
    <n v="11"/>
    <n v="16"/>
    <n v="16"/>
  </r>
  <r>
    <n v="1418"/>
    <x v="46"/>
    <x v="18"/>
    <s v="MLTC"/>
    <s v="MLTC"/>
    <s v="T1019U1 SCH"/>
    <s v="T1019:U1"/>
    <x v="2"/>
    <x v="0"/>
    <x v="2"/>
    <x v="1"/>
    <n v="34"/>
    <n v="2720"/>
    <n v="14287.75"/>
    <n v="29"/>
    <n v="2652"/>
    <n v="14018.25"/>
  </r>
  <r>
    <n v="1419"/>
    <x v="46"/>
    <x v="18"/>
    <s v="MLTC"/>
    <s v="MLTC"/>
    <s v="T1020 SCH"/>
    <s v="T1020"/>
    <x v="8"/>
    <x v="0"/>
    <x v="2"/>
    <x v="1"/>
    <n v="1"/>
    <n v="36"/>
    <n v="468"/>
    <n v="1"/>
    <n v="36"/>
    <n v="468"/>
  </r>
  <r>
    <n v="1424"/>
    <x v="46"/>
    <x v="19"/>
    <s v="MLTC"/>
    <s v="CDPAP"/>
    <s v="RN Initial (NB)"/>
    <m/>
    <x v="3"/>
    <x v="0"/>
    <x v="2"/>
    <x v="1"/>
    <n v="1"/>
    <n v="1"/>
    <n v="1"/>
    <n v="1"/>
    <n v="1"/>
    <n v="1"/>
  </r>
  <r>
    <n v="1425"/>
    <x v="46"/>
    <x v="19"/>
    <s v="MLTC"/>
    <s v="CDPAP"/>
    <s v="T1019U1 SCH"/>
    <s v="T1019:U1"/>
    <x v="2"/>
    <x v="0"/>
    <x v="2"/>
    <x v="1"/>
    <n v="1"/>
    <n v="36"/>
    <n v="136.5"/>
    <n v="1"/>
    <n v="36"/>
    <n v="136.5"/>
  </r>
  <r>
    <n v="1426"/>
    <x v="46"/>
    <x v="19"/>
    <s v="MLTC"/>
    <s v="CDPAP"/>
    <s v="T1019U6 ALB"/>
    <s v="T1019:U6"/>
    <x v="1"/>
    <x v="1"/>
    <x v="1"/>
    <x v="1"/>
    <n v="2"/>
    <n v="219"/>
    <n v="778.25"/>
    <n v="2"/>
    <n v="219"/>
    <n v="778.25"/>
  </r>
  <r>
    <n v="1427"/>
    <x v="46"/>
    <x v="19"/>
    <s v="MLTC"/>
    <s v="CDPAP"/>
    <s v="T1019U6 QNS"/>
    <s v="T1019:U6"/>
    <x v="1"/>
    <x v="1"/>
    <x v="1"/>
    <x v="1"/>
    <n v="1"/>
    <n v="82"/>
    <n v="656"/>
    <n v="1"/>
    <n v="82"/>
    <n v="656"/>
  </r>
  <r>
    <n v="1428"/>
    <x v="46"/>
    <x v="19"/>
    <s v="MLTC"/>
    <s v="CDPAP"/>
    <s v="T1019U6 REN"/>
    <s v="T1019:U6"/>
    <x v="1"/>
    <x v="1"/>
    <x v="1"/>
    <x v="1"/>
    <n v="1"/>
    <n v="57"/>
    <n v="252.25"/>
    <n v="1"/>
    <n v="57"/>
    <n v="252.25"/>
  </r>
  <r>
    <n v="1429"/>
    <x v="46"/>
    <x v="19"/>
    <s v="MLTC"/>
    <s v="CDPAP"/>
    <s v="T1019U6 SCH"/>
    <s v="T1019:U6"/>
    <x v="1"/>
    <x v="1"/>
    <x v="1"/>
    <x v="1"/>
    <n v="82"/>
    <n v="17154"/>
    <n v="84821"/>
    <n v="76"/>
    <n v="16871"/>
    <n v="82993.25"/>
  </r>
  <r>
    <n v="1430"/>
    <x v="46"/>
    <x v="19"/>
    <s v="MLTC"/>
    <s v="CDPAP"/>
    <s v="T1019U7 SCH"/>
    <s v="T1019:U7"/>
    <x v="10"/>
    <x v="1"/>
    <x v="1"/>
    <x v="1"/>
    <n v="2"/>
    <n v="134"/>
    <n v="1217.75"/>
    <n v="2"/>
    <n v="134"/>
    <n v="1217.75"/>
  </r>
  <r>
    <n v="1431"/>
    <x v="46"/>
    <x v="20"/>
    <s v="LHCSA"/>
    <s v="MLTC"/>
    <s v="PCA Hourly"/>
    <s v="T1019:U1"/>
    <x v="2"/>
    <x v="0"/>
    <x v="2"/>
    <x v="1"/>
    <n v="1"/>
    <n v="1"/>
    <n v="6"/>
    <n v="1"/>
    <n v="1"/>
    <n v="6"/>
  </r>
  <r>
    <n v="1434"/>
    <x v="47"/>
    <x v="7"/>
    <s v="LHCSA"/>
    <s v="CDPAP"/>
    <s v="T1019:U6"/>
    <s v="T1019:U6"/>
    <x v="1"/>
    <x v="1"/>
    <x v="1"/>
    <x v="1"/>
    <n v="4"/>
    <n v="571"/>
    <n v="2573.75"/>
    <n v="4"/>
    <n v="571"/>
    <n v="2573.75"/>
  </r>
  <r>
    <n v="1437"/>
    <x v="47"/>
    <x v="19"/>
    <s v="MLTC"/>
    <s v="CDPAP"/>
    <s v="T1019U6 SCHO"/>
    <s v="T1019:U6"/>
    <x v="1"/>
    <x v="1"/>
    <x v="1"/>
    <x v="1"/>
    <n v="7"/>
    <n v="1371"/>
    <n v="6695.25"/>
    <n v="7"/>
    <n v="1371"/>
    <n v="6695.25"/>
  </r>
  <r>
    <n v="1439"/>
    <x v="48"/>
    <x v="7"/>
    <s v="LHCSA"/>
    <s v="CDPAP"/>
    <s v="T1019:U6"/>
    <s v="T1019:U6"/>
    <x v="1"/>
    <x v="1"/>
    <x v="1"/>
    <x v="1"/>
    <n v="3"/>
    <n v="335"/>
    <n v="1640.5"/>
    <n v="3"/>
    <n v="335"/>
    <n v="1640.5"/>
  </r>
  <r>
    <n v="1441"/>
    <x v="48"/>
    <x v="14"/>
    <s v="MLTC"/>
    <s v="CDPAP"/>
    <s v="PA Hourly"/>
    <s v="T1019:U6"/>
    <x v="1"/>
    <x v="1"/>
    <x v="1"/>
    <x v="1"/>
    <n v="3"/>
    <n v="147"/>
    <n v="786.25"/>
    <n v="3"/>
    <n v="147"/>
    <n v="786.25"/>
  </r>
  <r>
    <n v="1443"/>
    <x v="49"/>
    <x v="7"/>
    <s v="LHCSA"/>
    <s v="CDPAP"/>
    <s v="T1019:U6"/>
    <s v="T1019:U6"/>
    <x v="1"/>
    <x v="1"/>
    <x v="1"/>
    <x v="1"/>
    <n v="1"/>
    <n v="84"/>
    <n v="349.5"/>
    <n v="1"/>
    <n v="84"/>
    <n v="349.5"/>
  </r>
  <r>
    <n v="1445"/>
    <x v="49"/>
    <x v="14"/>
    <s v="MLTC"/>
    <s v="CDPAP"/>
    <s v="PA Hourly"/>
    <s v="T1019:U6"/>
    <x v="1"/>
    <x v="1"/>
    <x v="1"/>
    <x v="1"/>
    <n v="2"/>
    <n v="273"/>
    <n v="1631.5"/>
    <n v="2"/>
    <n v="273"/>
    <n v="1631.5"/>
  </r>
  <r>
    <n v="1447"/>
    <x v="50"/>
    <x v="7"/>
    <s v="LHCSA"/>
    <s v="CDPAP"/>
    <s v="T1019:U6"/>
    <s v="T1019:U6"/>
    <x v="1"/>
    <x v="1"/>
    <x v="1"/>
    <x v="1"/>
    <n v="10"/>
    <n v="1280"/>
    <n v="5225.5"/>
    <n v="10"/>
    <n v="1280"/>
    <n v="5225.5"/>
  </r>
  <r>
    <n v="1449"/>
    <x v="50"/>
    <x v="14"/>
    <s v="MLTC"/>
    <s v="CDPAP"/>
    <s v="PA Hourly"/>
    <s v="T1019:U6"/>
    <x v="1"/>
    <x v="1"/>
    <x v="1"/>
    <x v="1"/>
    <n v="8"/>
    <n v="1242"/>
    <n v="5560.25"/>
    <n v="8"/>
    <n v="1242"/>
    <n v="5560.25"/>
  </r>
  <r>
    <n v="1450"/>
    <x v="51"/>
    <x v="0"/>
    <s v="CHHA"/>
    <s v="CHHA"/>
    <s v="HHAPEDSV"/>
    <s v="S9122"/>
    <x v="0"/>
    <x v="0"/>
    <x v="0"/>
    <x v="0"/>
    <n v="2"/>
    <n v="50"/>
    <n v="327.5"/>
    <n v="1"/>
    <n v="45"/>
    <n v="312.5"/>
  </r>
  <r>
    <n v="1452"/>
    <x v="51"/>
    <x v="55"/>
    <s v="MLTC"/>
    <s v="CDPAP"/>
    <s v="PA HOURLY"/>
    <s v="T1019:U6"/>
    <x v="1"/>
    <x v="1"/>
    <x v="1"/>
    <x v="1"/>
    <n v="1"/>
    <n v="87"/>
    <n v="261"/>
    <n v="1"/>
    <n v="87"/>
    <n v="261"/>
  </r>
  <r>
    <n v="1458"/>
    <x v="51"/>
    <x v="1"/>
    <s v="MLTC"/>
    <s v="CDPAP"/>
    <s v="PA Hourly - 5 Boroughs"/>
    <s v="T1019:U6"/>
    <x v="1"/>
    <x v="1"/>
    <x v="1"/>
    <x v="1"/>
    <n v="4"/>
    <n v="691"/>
    <n v="2719"/>
    <n v="4"/>
    <n v="691"/>
    <n v="2719"/>
  </r>
  <r>
    <n v="1459"/>
    <x v="51"/>
    <x v="1"/>
    <s v="MLTC"/>
    <s v="CDPAP"/>
    <s v="PA Hourly - Nassau/Suffolk/Westchester:"/>
    <s v="T1019:U6"/>
    <x v="1"/>
    <x v="1"/>
    <x v="1"/>
    <x v="1"/>
    <n v="53"/>
    <n v="10780"/>
    <n v="43678.25"/>
    <n v="53"/>
    <n v="10780"/>
    <n v="43678.25"/>
  </r>
  <r>
    <n v="1460"/>
    <x v="51"/>
    <x v="1"/>
    <s v="MLTC"/>
    <s v="CDPAP"/>
    <s v="PA Live-In -  Nassau/Suffolk/Westchester:"/>
    <s v="T1020:U6"/>
    <x v="9"/>
    <x v="1"/>
    <x v="1"/>
    <x v="1"/>
    <n v="1"/>
    <n v="358"/>
    <n v="4654"/>
    <n v="1"/>
    <n v="358"/>
    <n v="4654"/>
  </r>
  <r>
    <n v="1463"/>
    <x v="51"/>
    <x v="31"/>
    <s v="MLTC"/>
    <s v="CDPAP"/>
    <s v="PA Hourly - Long Island &amp; Westchester"/>
    <s v="T1019:U6:U4"/>
    <x v="12"/>
    <x v="1"/>
    <x v="1"/>
    <x v="1"/>
    <n v="1"/>
    <n v="262"/>
    <n v="1990.5"/>
    <n v="1"/>
    <n v="262"/>
    <n v="1990.5"/>
  </r>
  <r>
    <n v="1466"/>
    <x v="51"/>
    <x v="2"/>
    <s v="Other"/>
    <s v="CDPAP"/>
    <s v="PA Hourly (New)"/>
    <s v="T1019:U6"/>
    <x v="1"/>
    <x v="1"/>
    <x v="1"/>
    <x v="1"/>
    <n v="3"/>
    <n v="771"/>
    <n v="4021.75"/>
    <n v="3"/>
    <n v="771"/>
    <n v="4021.75"/>
  </r>
  <r>
    <n v="1467"/>
    <x v="51"/>
    <x v="2"/>
    <s v="Other"/>
    <s v="CDPAP"/>
    <s v="PA Hourly - Long Island &amp; Westchester"/>
    <s v="T1019:U6"/>
    <x v="1"/>
    <x v="1"/>
    <x v="1"/>
    <x v="1"/>
    <n v="10"/>
    <n v="2111"/>
    <n v="11207"/>
    <n v="10"/>
    <n v="2111"/>
    <n v="11207"/>
  </r>
  <r>
    <n v="1468"/>
    <x v="51"/>
    <x v="3"/>
    <s v="Other"/>
    <s v="MLTC"/>
    <s v="PCA Hourly NYC"/>
    <s v="T1019:U1"/>
    <x v="2"/>
    <x v="0"/>
    <x v="2"/>
    <x v="1"/>
    <n v="1"/>
    <n v="26"/>
    <n v="76.75"/>
    <n v="1"/>
    <n v="26"/>
    <n v="76.75"/>
  </r>
  <r>
    <n v="1469"/>
    <x v="51"/>
    <x v="3"/>
    <s v="Other"/>
    <s v="MLTC"/>
    <s v="RN Initial (NB)"/>
    <m/>
    <x v="3"/>
    <x v="0"/>
    <x v="2"/>
    <x v="1"/>
    <n v="1"/>
    <n v="1"/>
    <n v="1"/>
    <n v="0"/>
    <n v="0"/>
    <n v="0"/>
  </r>
  <r>
    <n v="1470"/>
    <x v="51"/>
    <x v="5"/>
    <s v="CHHA"/>
    <s v="CHHA"/>
    <s v="Rate1"/>
    <m/>
    <x v="0"/>
    <x v="0"/>
    <x v="0"/>
    <x v="0"/>
    <n v="1"/>
    <n v="131"/>
    <n v="514.25"/>
    <n v="1"/>
    <n v="131"/>
    <n v="514.25"/>
  </r>
  <r>
    <n v="1473"/>
    <x v="51"/>
    <x v="7"/>
    <s v="LHCSA"/>
    <s v="CDPAP"/>
    <s v="T1019:U6"/>
    <s v="T1019:U6"/>
    <x v="1"/>
    <x v="1"/>
    <x v="1"/>
    <x v="1"/>
    <n v="40"/>
    <n v="5204"/>
    <n v="26658.5"/>
    <n v="40"/>
    <n v="5204"/>
    <n v="26658.5"/>
  </r>
  <r>
    <n v="1474"/>
    <x v="51"/>
    <x v="7"/>
    <s v="LHCSA"/>
    <s v="CDPAP"/>
    <s v="T1019:U7"/>
    <s v="T1019:U7"/>
    <x v="10"/>
    <x v="1"/>
    <x v="1"/>
    <x v="1"/>
    <n v="2"/>
    <n v="68"/>
    <n v="629"/>
    <n v="2"/>
    <n v="68"/>
    <n v="629"/>
  </r>
  <r>
    <n v="1476"/>
    <x v="51"/>
    <x v="33"/>
    <s v="MCO"/>
    <s v="CDPAP"/>
    <s v="PA Hourly NYC , Nassau, Westchester"/>
    <s v="T1019:U6"/>
    <x v="1"/>
    <x v="1"/>
    <x v="1"/>
    <x v="1"/>
    <n v="1"/>
    <n v="332"/>
    <n v="966.75"/>
    <n v="1"/>
    <n v="332"/>
    <n v="966.75"/>
  </r>
  <r>
    <n v="1480"/>
    <x v="51"/>
    <x v="38"/>
    <s v="CHHA"/>
    <s v="CDPAP"/>
    <s v="T1019:U6"/>
    <s v="T1019:U6"/>
    <x v="1"/>
    <x v="1"/>
    <x v="1"/>
    <x v="1"/>
    <n v="11"/>
    <n v="1101"/>
    <n v="5662.5"/>
    <n v="11"/>
    <n v="1101"/>
    <n v="5662.5"/>
  </r>
  <r>
    <n v="1483"/>
    <x v="51"/>
    <x v="44"/>
    <s v="Other"/>
    <s v="CDPAP"/>
    <s v="T1019:U6"/>
    <s v="T1019:U6"/>
    <x v="1"/>
    <x v="1"/>
    <x v="1"/>
    <x v="1"/>
    <n v="3"/>
    <n v="657"/>
    <n v="3931.5"/>
    <n v="3"/>
    <n v="657"/>
    <n v="3931.5"/>
  </r>
  <r>
    <n v="1489"/>
    <x v="51"/>
    <x v="19"/>
    <s v="MLTC"/>
    <s v="CDPAP"/>
    <s v="T1019U6 SUF"/>
    <s v="T1019:U6"/>
    <x v="1"/>
    <x v="1"/>
    <x v="1"/>
    <x v="1"/>
    <n v="69"/>
    <n v="13385"/>
    <n v="69494.75"/>
    <n v="65"/>
    <n v="13089"/>
    <n v="67666.25"/>
  </r>
  <r>
    <n v="1490"/>
    <x v="51"/>
    <x v="19"/>
    <s v="MLTC"/>
    <s v="CDPAP"/>
    <s v="T1019U7 SUF"/>
    <s v="T1019:U7"/>
    <x v="10"/>
    <x v="1"/>
    <x v="1"/>
    <x v="1"/>
    <n v="6"/>
    <n v="1140"/>
    <n v="8534.5"/>
    <n v="6"/>
    <n v="1140"/>
    <n v="8534.5"/>
  </r>
  <r>
    <n v="1491"/>
    <x v="51"/>
    <x v="19"/>
    <s v="MLTC"/>
    <s v="CDPAP"/>
    <s v="T1020U6 SUF"/>
    <s v="T1020:U6"/>
    <x v="9"/>
    <x v="1"/>
    <x v="1"/>
    <x v="1"/>
    <n v="1"/>
    <n v="75"/>
    <n v="975"/>
    <n v="1"/>
    <n v="75"/>
    <n v="975"/>
  </r>
  <r>
    <n v="1493"/>
    <x v="52"/>
    <x v="30"/>
    <s v="MLTC"/>
    <s v="CDPAP"/>
    <s v="T1019:U6"/>
    <s v="T1019:U6"/>
    <x v="1"/>
    <x v="1"/>
    <x v="1"/>
    <x v="1"/>
    <n v="2"/>
    <n v="375"/>
    <n v="2131.25"/>
    <n v="2"/>
    <n v="375"/>
    <n v="2131.25"/>
  </r>
  <r>
    <n v="1495"/>
    <x v="52"/>
    <x v="7"/>
    <s v="LHCSA"/>
    <s v="CDPAP"/>
    <s v="T1019:U6"/>
    <s v="T1019:U6"/>
    <x v="1"/>
    <x v="1"/>
    <x v="1"/>
    <x v="1"/>
    <n v="5"/>
    <n v="389"/>
    <n v="1851"/>
    <n v="5"/>
    <n v="389"/>
    <n v="1851"/>
  </r>
  <r>
    <n v="1497"/>
    <x v="52"/>
    <x v="19"/>
    <s v="MLTC"/>
    <s v="CDPAP"/>
    <s v="T1019U6 SUL"/>
    <s v="T1019:U6"/>
    <x v="1"/>
    <x v="1"/>
    <x v="1"/>
    <x v="1"/>
    <n v="6"/>
    <n v="1352"/>
    <n v="6097.75"/>
    <n v="6"/>
    <n v="1352"/>
    <n v="6097.75"/>
  </r>
  <r>
    <n v="1499"/>
    <x v="53"/>
    <x v="7"/>
    <s v="LHCSA"/>
    <s v="CDPAP"/>
    <s v="T1019:U6"/>
    <s v="T1019:U6"/>
    <x v="1"/>
    <x v="1"/>
    <x v="1"/>
    <x v="1"/>
    <n v="7"/>
    <n v="713"/>
    <n v="2323"/>
    <n v="7"/>
    <n v="713"/>
    <n v="2323"/>
  </r>
  <r>
    <n v="1501"/>
    <x v="53"/>
    <x v="14"/>
    <s v="MLTC"/>
    <s v="CDPAP"/>
    <s v="PA Hourly"/>
    <s v="T1019:U6"/>
    <x v="1"/>
    <x v="1"/>
    <x v="1"/>
    <x v="1"/>
    <n v="6"/>
    <n v="769"/>
    <n v="3538.5"/>
    <n v="5"/>
    <n v="729"/>
    <n v="3258.5"/>
  </r>
  <r>
    <n v="1503"/>
    <x v="54"/>
    <x v="7"/>
    <s v="LHCSA"/>
    <s v="CDPAP"/>
    <s v="T1019:U6"/>
    <s v="T1019:U6"/>
    <x v="1"/>
    <x v="1"/>
    <x v="1"/>
    <x v="1"/>
    <n v="3"/>
    <n v="361"/>
    <n v="1335.5"/>
    <n v="3"/>
    <n v="361"/>
    <n v="1335.5"/>
  </r>
  <r>
    <n v="1505"/>
    <x v="54"/>
    <x v="14"/>
    <s v="MLTC"/>
    <s v="CDPAP"/>
    <s v="PA Hourly"/>
    <s v="T1019:U6"/>
    <x v="1"/>
    <x v="1"/>
    <x v="1"/>
    <x v="1"/>
    <n v="7"/>
    <n v="583"/>
    <n v="2697"/>
    <n v="7"/>
    <n v="583"/>
    <n v="2697"/>
  </r>
  <r>
    <n v="1507"/>
    <x v="55"/>
    <x v="30"/>
    <s v="MLTC"/>
    <s v="CDPAP"/>
    <s v="T1019:U6"/>
    <s v="T1019:U6"/>
    <x v="1"/>
    <x v="1"/>
    <x v="1"/>
    <x v="1"/>
    <n v="2"/>
    <n v="312"/>
    <n v="1611.5"/>
    <n v="2"/>
    <n v="312"/>
    <n v="1611.5"/>
  </r>
  <r>
    <n v="1512"/>
    <x v="55"/>
    <x v="7"/>
    <s v="LHCSA"/>
    <s v="CDPAP"/>
    <s v="T1019:U6"/>
    <s v="T1019:U6"/>
    <x v="1"/>
    <x v="1"/>
    <x v="1"/>
    <x v="1"/>
    <n v="11"/>
    <n v="1916"/>
    <n v="13764"/>
    <n v="11"/>
    <n v="1916"/>
    <n v="13764"/>
  </r>
  <r>
    <n v="1515"/>
    <x v="55"/>
    <x v="33"/>
    <s v="MCO"/>
    <s v="CDPAP"/>
    <s v="PA Hourly NYC , Nassau, Westchester"/>
    <s v="T1019:U6"/>
    <x v="1"/>
    <x v="1"/>
    <x v="1"/>
    <x v="1"/>
    <n v="2"/>
    <n v="339"/>
    <n v="1061.25"/>
    <n v="2"/>
    <n v="339"/>
    <n v="1061.25"/>
  </r>
  <r>
    <n v="1516"/>
    <x v="55"/>
    <x v="33"/>
    <s v="MCO"/>
    <s v="CDPAP"/>
    <s v="PA Hourly Upstate"/>
    <s v="T1019:U6"/>
    <x v="1"/>
    <x v="1"/>
    <x v="1"/>
    <x v="1"/>
    <n v="2"/>
    <n v="407"/>
    <n v="1520.25"/>
    <n v="2"/>
    <n v="407"/>
    <n v="1520.25"/>
  </r>
  <r>
    <n v="1520"/>
    <x v="55"/>
    <x v="35"/>
    <s v="MCO"/>
    <s v="CDPAP"/>
    <s v="PA Hourly Upstate"/>
    <s v="T1019:U6"/>
    <x v="1"/>
    <x v="1"/>
    <x v="1"/>
    <x v="1"/>
    <n v="1"/>
    <n v="313"/>
    <n v="1564.5"/>
    <n v="1"/>
    <n v="313"/>
    <n v="1564.5"/>
  </r>
  <r>
    <n v="1524"/>
    <x v="55"/>
    <x v="19"/>
    <s v="MLTC"/>
    <s v="CDPAP"/>
    <s v="T1019U6 ULS"/>
    <s v="T1019:U6"/>
    <x v="1"/>
    <x v="1"/>
    <x v="1"/>
    <x v="1"/>
    <n v="13"/>
    <n v="3089"/>
    <n v="14408"/>
    <n v="12"/>
    <n v="2948"/>
    <n v="13602"/>
  </r>
  <r>
    <n v="1525"/>
    <x v="55"/>
    <x v="19"/>
    <s v="MLTC"/>
    <s v="CDPAP"/>
    <s v="T1019U6 ULS MAP"/>
    <s v="T1019:U6"/>
    <x v="1"/>
    <x v="1"/>
    <x v="1"/>
    <x v="1"/>
    <n v="1"/>
    <n v="14"/>
    <n v="56"/>
    <n v="1"/>
    <n v="14"/>
    <n v="56"/>
  </r>
  <r>
    <n v="1527"/>
    <x v="56"/>
    <x v="7"/>
    <s v="LHCSA"/>
    <s v="CDPAP"/>
    <s v="T1019:U6"/>
    <s v="T1019:U6"/>
    <x v="1"/>
    <x v="1"/>
    <x v="1"/>
    <x v="1"/>
    <n v="6"/>
    <n v="636"/>
    <n v="3315"/>
    <n v="6"/>
    <n v="636"/>
    <n v="3315"/>
  </r>
  <r>
    <n v="1529"/>
    <x v="56"/>
    <x v="14"/>
    <s v="MLTC"/>
    <s v="CDPAP"/>
    <s v="PA Hourly"/>
    <s v="T1019:U6"/>
    <x v="1"/>
    <x v="1"/>
    <x v="1"/>
    <x v="1"/>
    <n v="2"/>
    <n v="61"/>
    <n v="251.25"/>
    <n v="2"/>
    <n v="61"/>
    <n v="251.25"/>
  </r>
  <r>
    <n v="1531"/>
    <x v="56"/>
    <x v="19"/>
    <s v="MLTC"/>
    <s v="CDPAP"/>
    <s v="T1019U6 SAR"/>
    <s v="T1019:U6"/>
    <x v="1"/>
    <x v="1"/>
    <x v="1"/>
    <x v="1"/>
    <n v="1"/>
    <n v="215"/>
    <n v="1408"/>
    <n v="1"/>
    <n v="215"/>
    <n v="1408"/>
  </r>
  <r>
    <n v="1532"/>
    <x v="56"/>
    <x v="19"/>
    <s v="MLTC"/>
    <s v="CDPAP"/>
    <s v="T1019U6 WAR"/>
    <s v="T1019:U6"/>
    <x v="1"/>
    <x v="1"/>
    <x v="1"/>
    <x v="1"/>
    <n v="2"/>
    <n v="177"/>
    <n v="583"/>
    <n v="2"/>
    <n v="177"/>
    <n v="583"/>
  </r>
  <r>
    <n v="1534"/>
    <x v="57"/>
    <x v="7"/>
    <s v="LHCSA"/>
    <s v="CDPAP"/>
    <s v="T1019:U6"/>
    <s v="T1019:U6"/>
    <x v="1"/>
    <x v="1"/>
    <x v="1"/>
    <x v="1"/>
    <n v="5"/>
    <n v="553"/>
    <n v="2346.5"/>
    <n v="5"/>
    <n v="553"/>
    <n v="2346.5"/>
  </r>
  <r>
    <n v="1536"/>
    <x v="57"/>
    <x v="14"/>
    <s v="MLTC"/>
    <s v="CDPAP"/>
    <s v="PA Hourly"/>
    <s v="T1019:U6"/>
    <x v="1"/>
    <x v="1"/>
    <x v="1"/>
    <x v="1"/>
    <n v="1"/>
    <n v="250"/>
    <n v="1551.5"/>
    <n v="1"/>
    <n v="250"/>
    <n v="1551.5"/>
  </r>
  <r>
    <n v="1539"/>
    <x v="57"/>
    <x v="19"/>
    <s v="MLTC"/>
    <s v="CDPAP"/>
    <s v="T1019U6 WAS"/>
    <s v="T1019:U6"/>
    <x v="1"/>
    <x v="1"/>
    <x v="1"/>
    <x v="1"/>
    <n v="7"/>
    <n v="1139"/>
    <n v="4870.75"/>
    <n v="7"/>
    <n v="1139"/>
    <n v="4870.75"/>
  </r>
  <r>
    <n v="1541"/>
    <x v="58"/>
    <x v="7"/>
    <s v="LHCSA"/>
    <s v="CDPAP"/>
    <s v="T1019:U6"/>
    <s v="T1019:U6"/>
    <x v="1"/>
    <x v="1"/>
    <x v="1"/>
    <x v="1"/>
    <n v="4"/>
    <n v="439"/>
    <n v="1778.25"/>
    <n v="4"/>
    <n v="439"/>
    <n v="1778.25"/>
  </r>
  <r>
    <n v="1543"/>
    <x v="58"/>
    <x v="14"/>
    <s v="MLTC"/>
    <s v="CDPAP"/>
    <s v="PA Hourly"/>
    <s v="T1019:U6"/>
    <x v="1"/>
    <x v="1"/>
    <x v="1"/>
    <x v="1"/>
    <n v="2"/>
    <n v="284"/>
    <n v="1623"/>
    <n v="2"/>
    <n v="284"/>
    <n v="1623"/>
  </r>
  <r>
    <n v="1544"/>
    <x v="59"/>
    <x v="0"/>
    <s v="CHHA"/>
    <s v="CHHA"/>
    <s v="HHA1"/>
    <s v="S9122"/>
    <x v="0"/>
    <x v="0"/>
    <x v="0"/>
    <x v="0"/>
    <n v="8"/>
    <n v="97"/>
    <n v="378.5"/>
    <n v="7"/>
    <n v="80"/>
    <n v="311.75"/>
  </r>
  <r>
    <n v="1545"/>
    <x v="59"/>
    <x v="0"/>
    <s v="CHHA"/>
    <s v="CHHA"/>
    <s v="HHAPEDSV"/>
    <s v="S9122"/>
    <x v="0"/>
    <x v="0"/>
    <x v="0"/>
    <x v="0"/>
    <n v="47"/>
    <n v="5870"/>
    <n v="33030.75"/>
    <n v="46"/>
    <n v="5857"/>
    <n v="32956.75"/>
  </r>
  <r>
    <n v="1546"/>
    <x v="59"/>
    <x v="55"/>
    <s v="MLTC"/>
    <s v="CDPAP"/>
    <s v="PA HOURLY"/>
    <s v="T1019:U6"/>
    <x v="1"/>
    <x v="1"/>
    <x v="1"/>
    <x v="1"/>
    <n v="1"/>
    <n v="192"/>
    <n v="725.25"/>
    <n v="1"/>
    <n v="192"/>
    <n v="725.25"/>
  </r>
  <r>
    <n v="1547"/>
    <x v="59"/>
    <x v="21"/>
    <s v="MCO"/>
    <s v="Medicaid"/>
    <s v="PCA HOURLY"/>
    <s v="T1019:U1"/>
    <x v="2"/>
    <x v="0"/>
    <x v="2"/>
    <x v="1"/>
    <n v="1"/>
    <n v="12"/>
    <n v="59.5"/>
    <n v="0"/>
    <n v="0"/>
    <m/>
  </r>
  <r>
    <n v="1548"/>
    <x v="59"/>
    <x v="23"/>
    <s v="MCO"/>
    <s v="MLTC"/>
    <s v="PCA Hourly"/>
    <s v="T1019:U1"/>
    <x v="2"/>
    <x v="0"/>
    <x v="2"/>
    <x v="1"/>
    <n v="2"/>
    <n v="63"/>
    <n v="412"/>
    <n v="2"/>
    <n v="63"/>
    <n v="412"/>
  </r>
  <r>
    <n v="1549"/>
    <x v="59"/>
    <x v="23"/>
    <s v="MCO"/>
    <s v="MLTC"/>
    <s v="RN Initial (NB)"/>
    <m/>
    <x v="3"/>
    <x v="0"/>
    <x v="2"/>
    <x v="1"/>
    <n v="2"/>
    <n v="2"/>
    <n v="2"/>
    <n v="2"/>
    <n v="2"/>
    <n v="2"/>
  </r>
  <r>
    <n v="1550"/>
    <x v="59"/>
    <x v="28"/>
    <s v="MLTC"/>
    <s v="MLTC"/>
    <s v="PCA Hourly"/>
    <s v="T1019:U1"/>
    <x v="2"/>
    <x v="0"/>
    <x v="2"/>
    <x v="1"/>
    <n v="6"/>
    <n v="969"/>
    <n v="4002"/>
    <n v="6"/>
    <n v="969"/>
    <n v="4002"/>
  </r>
  <r>
    <n v="1551"/>
    <x v="59"/>
    <x v="28"/>
    <s v="MLTC"/>
    <s v="MLTC"/>
    <s v="PCA Hourly LI &amp; Westchester"/>
    <s v="T1019:U1"/>
    <x v="2"/>
    <x v="0"/>
    <x v="2"/>
    <x v="1"/>
    <n v="2"/>
    <n v="101"/>
    <n v="215.75"/>
    <n v="2"/>
    <n v="101"/>
    <n v="215.75"/>
  </r>
  <r>
    <n v="1552"/>
    <x v="59"/>
    <x v="28"/>
    <s v="MLTC"/>
    <s v="MLTC"/>
    <s v="RN Initial (NB)"/>
    <m/>
    <x v="3"/>
    <x v="0"/>
    <x v="2"/>
    <x v="1"/>
    <n v="7"/>
    <n v="7"/>
    <n v="7"/>
    <n v="7"/>
    <n v="7"/>
    <n v="7"/>
  </r>
  <r>
    <n v="1553"/>
    <x v="59"/>
    <x v="28"/>
    <s v="MLTC"/>
    <s v="MLTC"/>
    <s v="RN Reassessment (NB)"/>
    <m/>
    <x v="3"/>
    <x v="0"/>
    <x v="2"/>
    <x v="1"/>
    <n v="6"/>
    <n v="8"/>
    <n v="8"/>
    <n v="6"/>
    <n v="8"/>
    <n v="8"/>
  </r>
  <r>
    <n v="1555"/>
    <x v="59"/>
    <x v="1"/>
    <s v="MLTC"/>
    <s v="CDPAP"/>
    <s v="PA Hourly - 5 Boroughs"/>
    <s v="T1019:U6"/>
    <x v="1"/>
    <x v="1"/>
    <x v="1"/>
    <x v="1"/>
    <n v="2"/>
    <n v="335"/>
    <n v="1233.25"/>
    <n v="2"/>
    <n v="335"/>
    <n v="1233.25"/>
  </r>
  <r>
    <n v="1556"/>
    <x v="59"/>
    <x v="1"/>
    <s v="MLTC"/>
    <s v="CDPAP"/>
    <s v="PA Hourly - Nassau/Suffolk/Westchester:"/>
    <s v="T1019:U6"/>
    <x v="1"/>
    <x v="1"/>
    <x v="1"/>
    <x v="1"/>
    <n v="13"/>
    <n v="2338"/>
    <n v="9569"/>
    <n v="12"/>
    <n v="2303"/>
    <n v="9394.25"/>
  </r>
  <r>
    <n v="1557"/>
    <x v="59"/>
    <x v="29"/>
    <s v="MLTC"/>
    <s v="MLTC"/>
    <s v="RN Initial (NB)"/>
    <m/>
    <x v="3"/>
    <x v="0"/>
    <x v="2"/>
    <x v="1"/>
    <n v="12"/>
    <n v="13"/>
    <n v="13"/>
    <n v="11"/>
    <n v="12"/>
    <n v="12"/>
  </r>
  <r>
    <n v="1558"/>
    <x v="59"/>
    <x v="29"/>
    <s v="MLTC"/>
    <s v="MLTC"/>
    <s v="RN Reassessment (NB)"/>
    <m/>
    <x v="3"/>
    <x v="0"/>
    <x v="2"/>
    <x v="1"/>
    <n v="3"/>
    <n v="4"/>
    <n v="4"/>
    <n v="3"/>
    <n v="4"/>
    <n v="4"/>
  </r>
  <r>
    <n v="1559"/>
    <x v="59"/>
    <x v="29"/>
    <s v="MLTC"/>
    <s v="MLTC"/>
    <s v="T1019:U1"/>
    <s v="T1019:U1"/>
    <x v="2"/>
    <x v="0"/>
    <x v="2"/>
    <x v="1"/>
    <n v="13"/>
    <n v="1220"/>
    <n v="5728"/>
    <n v="12"/>
    <n v="1193"/>
    <n v="5620"/>
  </r>
  <r>
    <n v="1561"/>
    <x v="59"/>
    <x v="30"/>
    <s v="MLTC"/>
    <s v="CDPAP"/>
    <s v="T1019:U6"/>
    <s v="T1019:U6"/>
    <x v="1"/>
    <x v="1"/>
    <x v="1"/>
    <x v="1"/>
    <n v="9"/>
    <n v="1269"/>
    <n v="6298.75"/>
    <n v="6"/>
    <n v="1101"/>
    <n v="5125.5"/>
  </r>
  <r>
    <n v="1564"/>
    <x v="59"/>
    <x v="31"/>
    <s v="MLTC"/>
    <s v="CDPAP"/>
    <s v="PA Hourly"/>
    <s v="T1019:U6"/>
    <x v="1"/>
    <x v="1"/>
    <x v="1"/>
    <x v="1"/>
    <n v="1"/>
    <n v="3"/>
    <n v="21"/>
    <n v="1"/>
    <n v="3"/>
    <n v="21"/>
  </r>
  <r>
    <n v="1565"/>
    <x v="59"/>
    <x v="31"/>
    <s v="MLTC"/>
    <s v="CDPAP"/>
    <s v="PA Hourly - Long Island &amp; Westchester"/>
    <s v="T1019:U6:U4"/>
    <x v="12"/>
    <x v="1"/>
    <x v="1"/>
    <x v="1"/>
    <n v="6"/>
    <n v="323"/>
    <n v="2828.25"/>
    <n v="5"/>
    <n v="315"/>
    <n v="2776.25"/>
  </r>
  <r>
    <n v="1566"/>
    <x v="59"/>
    <x v="32"/>
    <s v="MLTC"/>
    <s v="MLTC"/>
    <s v="PCA Hourly - LI Westchester"/>
    <s v="T1019:U4"/>
    <x v="14"/>
    <x v="0"/>
    <x v="2"/>
    <x v="1"/>
    <n v="7"/>
    <n v="275"/>
    <n v="1184.75"/>
    <n v="6"/>
    <n v="270"/>
    <n v="1171"/>
  </r>
  <r>
    <n v="1567"/>
    <x v="59"/>
    <x v="32"/>
    <s v="MLTC"/>
    <s v="MLTC"/>
    <s v="RN Initial (NB)"/>
    <m/>
    <x v="3"/>
    <x v="0"/>
    <x v="2"/>
    <x v="1"/>
    <n v="7"/>
    <n v="7"/>
    <n v="7"/>
    <n v="6"/>
    <n v="6"/>
    <n v="6"/>
  </r>
  <r>
    <n v="1568"/>
    <x v="59"/>
    <x v="32"/>
    <s v="MLTC"/>
    <s v="MLTC"/>
    <s v="RN Reassessment (NB)"/>
    <m/>
    <x v="3"/>
    <x v="0"/>
    <x v="2"/>
    <x v="1"/>
    <n v="1"/>
    <n v="1"/>
    <n v="1"/>
    <n v="1"/>
    <n v="1"/>
    <n v="1"/>
  </r>
  <r>
    <n v="1571"/>
    <x v="59"/>
    <x v="2"/>
    <s v="Other"/>
    <s v="CDPAP"/>
    <s v="PA Hourly (New)"/>
    <s v="T1019:U6"/>
    <x v="1"/>
    <x v="1"/>
    <x v="1"/>
    <x v="1"/>
    <n v="4"/>
    <n v="814"/>
    <n v="4595.75"/>
    <n v="4"/>
    <n v="814"/>
    <n v="4595.75"/>
  </r>
  <r>
    <n v="1572"/>
    <x v="59"/>
    <x v="2"/>
    <s v="Other"/>
    <s v="CDPAP"/>
    <s v="PA Hourly - Long Island &amp; Westchester"/>
    <s v="T1019:U6"/>
    <x v="1"/>
    <x v="1"/>
    <x v="1"/>
    <x v="1"/>
    <n v="6"/>
    <n v="642"/>
    <n v="2686.5"/>
    <n v="6"/>
    <n v="642"/>
    <n v="2686.5"/>
  </r>
  <r>
    <n v="1573"/>
    <x v="59"/>
    <x v="3"/>
    <s v="Other"/>
    <s v="MLTC"/>
    <s v="PCA Hourly LI &amp; Westchester"/>
    <s v="T1019:U1"/>
    <x v="2"/>
    <x v="0"/>
    <x v="2"/>
    <x v="1"/>
    <n v="4"/>
    <n v="246"/>
    <n v="1445.75"/>
    <n v="3"/>
    <n v="163"/>
    <n v="872.75"/>
  </r>
  <r>
    <n v="1574"/>
    <x v="59"/>
    <x v="3"/>
    <s v="Other"/>
    <s v="MLTC"/>
    <s v="PCA Hourly NYC"/>
    <s v="T1019:U1"/>
    <x v="2"/>
    <x v="0"/>
    <x v="2"/>
    <x v="1"/>
    <n v="1"/>
    <n v="129"/>
    <n v="924"/>
    <n v="1"/>
    <n v="129"/>
    <n v="924"/>
  </r>
  <r>
    <n v="1575"/>
    <x v="59"/>
    <x v="3"/>
    <s v="Other"/>
    <s v="MLTC"/>
    <s v="PCA Live In"/>
    <s v="T1020"/>
    <x v="8"/>
    <x v="0"/>
    <x v="2"/>
    <x v="1"/>
    <n v="1"/>
    <n v="346"/>
    <n v="4498"/>
    <n v="1"/>
    <n v="346"/>
    <n v="4498"/>
  </r>
  <r>
    <n v="1576"/>
    <x v="59"/>
    <x v="3"/>
    <s v="Other"/>
    <s v="MLTC"/>
    <s v="PRN (NB)"/>
    <m/>
    <x v="3"/>
    <x v="0"/>
    <x v="2"/>
    <x v="1"/>
    <n v="1"/>
    <n v="1"/>
    <n v="1"/>
    <n v="1"/>
    <n v="1"/>
    <n v="1"/>
  </r>
  <r>
    <n v="1577"/>
    <x v="59"/>
    <x v="3"/>
    <s v="Other"/>
    <s v="MLTC"/>
    <s v="RN Initial (NB)"/>
    <m/>
    <x v="3"/>
    <x v="0"/>
    <x v="2"/>
    <x v="1"/>
    <n v="5"/>
    <n v="5"/>
    <n v="5"/>
    <n v="3"/>
    <n v="3"/>
    <n v="3"/>
  </r>
  <r>
    <n v="1578"/>
    <x v="59"/>
    <x v="3"/>
    <s v="Other"/>
    <s v="MLTC"/>
    <s v="RN Reassessment (NB)"/>
    <m/>
    <x v="3"/>
    <x v="0"/>
    <x v="2"/>
    <x v="1"/>
    <n v="2"/>
    <n v="3"/>
    <n v="3"/>
    <n v="2"/>
    <n v="3"/>
    <n v="3"/>
  </r>
  <r>
    <n v="1579"/>
    <x v="59"/>
    <x v="6"/>
    <s v="LHCSA"/>
    <s v="MLTC"/>
    <s v="PRN (NB)"/>
    <m/>
    <x v="3"/>
    <x v="0"/>
    <x v="2"/>
    <x v="1"/>
    <n v="2"/>
    <n v="2"/>
    <n v="2"/>
    <n v="2"/>
    <n v="2"/>
    <n v="2"/>
  </r>
  <r>
    <n v="1580"/>
    <x v="59"/>
    <x v="6"/>
    <s v="LHCSA"/>
    <s v="MLTC"/>
    <s v="RN Initial (NB)"/>
    <m/>
    <x v="3"/>
    <x v="0"/>
    <x v="2"/>
    <x v="1"/>
    <n v="16"/>
    <n v="16"/>
    <n v="16"/>
    <n v="16"/>
    <n v="16"/>
    <n v="16"/>
  </r>
  <r>
    <n v="1581"/>
    <x v="59"/>
    <x v="6"/>
    <s v="LHCSA"/>
    <s v="MLTC"/>
    <s v="RN Initial Assement"/>
    <s v="T2024"/>
    <x v="3"/>
    <x v="0"/>
    <x v="2"/>
    <x v="1"/>
    <n v="11"/>
    <n v="11"/>
    <n v="11"/>
    <n v="11"/>
    <n v="11"/>
    <n v="11"/>
  </r>
  <r>
    <n v="1582"/>
    <x v="59"/>
    <x v="6"/>
    <s v="LHCSA"/>
    <s v="MLTC"/>
    <s v="RN Reassessment (NB)"/>
    <m/>
    <x v="3"/>
    <x v="0"/>
    <x v="2"/>
    <x v="1"/>
    <n v="10"/>
    <n v="13"/>
    <n v="13"/>
    <n v="10"/>
    <n v="13"/>
    <n v="13"/>
  </r>
  <r>
    <n v="1583"/>
    <x v="59"/>
    <x v="6"/>
    <s v="LHCSA"/>
    <s v="MLTC"/>
    <s v="S5130:U1"/>
    <s v="S5130:U1::::Homemaker"/>
    <x v="6"/>
    <x v="0"/>
    <x v="2"/>
    <x v="1"/>
    <n v="1"/>
    <n v="4"/>
    <n v="13.25"/>
    <n v="1"/>
    <n v="4"/>
    <n v="13.25"/>
  </r>
  <r>
    <n v="1584"/>
    <x v="59"/>
    <x v="6"/>
    <s v="LHCSA"/>
    <s v="MLTC"/>
    <s v="T1019:U1"/>
    <s v="T1019:U1"/>
    <x v="2"/>
    <x v="0"/>
    <x v="2"/>
    <x v="1"/>
    <n v="34"/>
    <n v="2646"/>
    <n v="12426.75"/>
    <n v="33"/>
    <n v="2583"/>
    <n v="12043.5"/>
  </r>
  <r>
    <n v="1585"/>
    <x v="59"/>
    <x v="6"/>
    <s v="LHCSA"/>
    <s v="MLTC"/>
    <s v="T1020"/>
    <s v="T1020"/>
    <x v="8"/>
    <x v="0"/>
    <x v="2"/>
    <x v="1"/>
    <n v="1"/>
    <n v="236"/>
    <n v="3068"/>
    <n v="1"/>
    <n v="236"/>
    <n v="3068"/>
  </r>
  <r>
    <n v="1588"/>
    <x v="59"/>
    <x v="7"/>
    <s v="LHCSA"/>
    <s v="CDPAP"/>
    <s v="T1019:U6"/>
    <s v="T1019:U6"/>
    <x v="1"/>
    <x v="1"/>
    <x v="1"/>
    <x v="1"/>
    <n v="35"/>
    <n v="4609"/>
    <n v="24043"/>
    <n v="34"/>
    <n v="4539"/>
    <n v="23214"/>
  </r>
  <r>
    <n v="1589"/>
    <x v="59"/>
    <x v="13"/>
    <s v="MLTC"/>
    <s v="MLTC"/>
    <s v="RN Initial (NB)"/>
    <s v="G0162"/>
    <x v="3"/>
    <x v="0"/>
    <x v="2"/>
    <x v="1"/>
    <n v="2"/>
    <n v="2"/>
    <n v="2"/>
    <n v="2"/>
    <n v="2"/>
    <n v="2"/>
  </r>
  <r>
    <n v="1590"/>
    <x v="59"/>
    <x v="13"/>
    <s v="MLTC"/>
    <s v="MLTC"/>
    <s v="Rn initial assement"/>
    <s v="G0162"/>
    <x v="3"/>
    <x v="0"/>
    <x v="2"/>
    <x v="1"/>
    <n v="2"/>
    <n v="2"/>
    <n v="2"/>
    <n v="2"/>
    <n v="2"/>
    <n v="2"/>
  </r>
  <r>
    <n v="1592"/>
    <x v="59"/>
    <x v="35"/>
    <s v="MCO"/>
    <s v="CDPAP"/>
    <s v="PA Hourly (NYC, LI, &amp; Westchester)"/>
    <s v="T1019:U6"/>
    <x v="1"/>
    <x v="1"/>
    <x v="1"/>
    <x v="1"/>
    <n v="5"/>
    <n v="674"/>
    <n v="2361.25"/>
    <n v="4"/>
    <n v="659"/>
    <n v="2256.25"/>
  </r>
  <r>
    <n v="1594"/>
    <x v="59"/>
    <x v="36"/>
    <s v="MCO"/>
    <s v="MLTC"/>
    <s v="PCA Hourly"/>
    <s v="T1019:U1"/>
    <x v="2"/>
    <x v="0"/>
    <x v="2"/>
    <x v="1"/>
    <n v="1"/>
    <n v="7"/>
    <n v="35"/>
    <n v="1"/>
    <n v="7"/>
    <n v="35"/>
  </r>
  <r>
    <n v="1595"/>
    <x v="59"/>
    <x v="36"/>
    <s v="MCO"/>
    <s v="MLTC"/>
    <s v="RN Initial (NB)"/>
    <m/>
    <x v="3"/>
    <x v="0"/>
    <x v="2"/>
    <x v="1"/>
    <n v="1"/>
    <n v="1"/>
    <n v="1"/>
    <n v="1"/>
    <n v="1"/>
    <n v="1"/>
  </r>
  <r>
    <n v="1596"/>
    <x v="59"/>
    <x v="37"/>
    <s v="CHHA"/>
    <s v="MLTC"/>
    <s v="PRN (NB)"/>
    <m/>
    <x v="3"/>
    <x v="0"/>
    <x v="2"/>
    <x v="1"/>
    <n v="1"/>
    <n v="1"/>
    <n v="1"/>
    <n v="1"/>
    <n v="1"/>
    <n v="1"/>
  </r>
  <r>
    <n v="1597"/>
    <x v="59"/>
    <x v="37"/>
    <s v="CHHA"/>
    <s v="MLTC"/>
    <s v="RN Initial (NB)"/>
    <m/>
    <x v="3"/>
    <x v="0"/>
    <x v="2"/>
    <x v="1"/>
    <n v="9"/>
    <n v="9"/>
    <n v="9"/>
    <n v="9"/>
    <n v="9"/>
    <n v="9"/>
  </r>
  <r>
    <n v="1598"/>
    <x v="59"/>
    <x v="37"/>
    <s v="CHHA"/>
    <s v="MLTC"/>
    <s v="RN Reassessment (NB)"/>
    <m/>
    <x v="3"/>
    <x v="0"/>
    <x v="2"/>
    <x v="1"/>
    <n v="9"/>
    <n v="14"/>
    <n v="14"/>
    <n v="9"/>
    <n v="14"/>
    <n v="14"/>
  </r>
  <r>
    <n v="1599"/>
    <x v="59"/>
    <x v="37"/>
    <s v="CHHA"/>
    <s v="MLTC"/>
    <s v="T1019:U1"/>
    <s v="T1019:U1"/>
    <x v="2"/>
    <x v="0"/>
    <x v="2"/>
    <x v="1"/>
    <n v="18"/>
    <n v="1642"/>
    <n v="10152.25"/>
    <n v="18"/>
    <n v="1642"/>
    <n v="10152.25"/>
  </r>
  <r>
    <n v="1600"/>
    <x v="59"/>
    <x v="37"/>
    <s v="CHHA"/>
    <s v="MLTC"/>
    <s v="T1020"/>
    <s v="T1020"/>
    <x v="8"/>
    <x v="0"/>
    <x v="2"/>
    <x v="1"/>
    <n v="1"/>
    <n v="99"/>
    <n v="1287"/>
    <n v="1"/>
    <n v="99"/>
    <n v="1287"/>
  </r>
  <r>
    <n v="1602"/>
    <x v="59"/>
    <x v="38"/>
    <s v="CHHA"/>
    <s v="CDPAP"/>
    <s v="T1019:U6"/>
    <s v="T1019:U6"/>
    <x v="1"/>
    <x v="1"/>
    <x v="1"/>
    <x v="1"/>
    <n v="9"/>
    <n v="1028"/>
    <n v="5369.5"/>
    <n v="7"/>
    <n v="982"/>
    <n v="5155.5"/>
  </r>
  <r>
    <n v="1603"/>
    <x v="59"/>
    <x v="9"/>
    <s v="LHCSA"/>
    <s v="Medicaid"/>
    <s v="HCSS 9795 LI Nassau Westchester Suffolk"/>
    <s v="9795"/>
    <x v="4"/>
    <x v="0"/>
    <x v="0"/>
    <x v="1"/>
    <n v="32"/>
    <n v="7654"/>
    <n v="85574.5"/>
    <n v="30"/>
    <n v="7607"/>
    <n v="85153.75"/>
  </r>
  <r>
    <n v="1604"/>
    <x v="59"/>
    <x v="9"/>
    <s v="LHCSA"/>
    <s v="Medicaid"/>
    <s v="HCSS 9795 NYC"/>
    <s v="9795"/>
    <x v="4"/>
    <x v="0"/>
    <x v="0"/>
    <x v="1"/>
    <n v="18"/>
    <n v="2290"/>
    <n v="26288.5"/>
    <n v="18"/>
    <n v="2290"/>
    <n v="26288.5"/>
  </r>
  <r>
    <n v="1605"/>
    <x v="59"/>
    <x v="9"/>
    <s v="LHCSA"/>
    <s v="Medicaid"/>
    <s v="Initial RN Visit 9799 (Hourly)"/>
    <s v="9799"/>
    <x v="4"/>
    <x v="0"/>
    <x v="0"/>
    <x v="1"/>
    <n v="24"/>
    <n v="24"/>
    <n v="23.5"/>
    <n v="22"/>
    <n v="22"/>
    <n v="22"/>
  </r>
  <r>
    <n v="1606"/>
    <x v="59"/>
    <x v="9"/>
    <s v="LHCSA"/>
    <s v="Medicaid"/>
    <s v="PRN (NB)"/>
    <m/>
    <x v="4"/>
    <x v="0"/>
    <x v="0"/>
    <x v="1"/>
    <n v="2"/>
    <n v="2"/>
    <n v="1"/>
    <n v="2"/>
    <n v="2"/>
    <n v="2"/>
  </r>
  <r>
    <n v="1607"/>
    <x v="59"/>
    <x v="9"/>
    <s v="LHCSA"/>
    <s v="Medicaid"/>
    <s v="RN Initial (NB)"/>
    <m/>
    <x v="4"/>
    <x v="0"/>
    <x v="0"/>
    <x v="1"/>
    <n v="3"/>
    <n v="3"/>
    <n v="3"/>
    <n v="3"/>
    <n v="3"/>
    <n v="3"/>
  </r>
  <r>
    <n v="1608"/>
    <x v="59"/>
    <x v="9"/>
    <s v="LHCSA"/>
    <s v="Medicaid"/>
    <s v="RN Visit 9799 (Hourly)"/>
    <s v="9799"/>
    <x v="4"/>
    <x v="0"/>
    <x v="0"/>
    <x v="1"/>
    <n v="21"/>
    <n v="28"/>
    <n v="27.5"/>
    <n v="21"/>
    <n v="28"/>
    <n v="28"/>
  </r>
  <r>
    <n v="1609"/>
    <x v="59"/>
    <x v="16"/>
    <s v="Other"/>
    <s v="Insurance"/>
    <s v="PCA Hourly"/>
    <m/>
    <x v="5"/>
    <x v="0"/>
    <x v="3"/>
    <x v="1"/>
    <n v="5"/>
    <n v="17"/>
    <n v="55.75"/>
    <n v="4"/>
    <n v="16"/>
    <n v="50.75"/>
  </r>
  <r>
    <n v="1610"/>
    <x v="59"/>
    <x v="63"/>
    <s v="MCO"/>
    <s v="Insurance"/>
    <s v="HHA hourly"/>
    <m/>
    <x v="0"/>
    <x v="0"/>
    <x v="0"/>
    <x v="0"/>
    <n v="1"/>
    <n v="10"/>
    <n v="29.5"/>
    <n v="1"/>
    <n v="10"/>
    <n v="29.5"/>
  </r>
  <r>
    <n v="1611"/>
    <x v="59"/>
    <x v="63"/>
    <s v="MCO"/>
    <s v="Insurance"/>
    <s v="PCA Hourly"/>
    <m/>
    <x v="0"/>
    <x v="0"/>
    <x v="0"/>
    <x v="0"/>
    <n v="1"/>
    <n v="2"/>
    <n v="5.5"/>
    <n v="1"/>
    <n v="2"/>
    <n v="5.5"/>
  </r>
  <r>
    <n v="1612"/>
    <x v="59"/>
    <x v="63"/>
    <s v="MCO"/>
    <s v="Insurance"/>
    <s v="RN Initial Visit-NB"/>
    <s v="T2024"/>
    <x v="0"/>
    <x v="0"/>
    <x v="0"/>
    <x v="0"/>
    <n v="1"/>
    <n v="1"/>
    <n v="0.5"/>
    <n v="1"/>
    <n v="1"/>
    <n v="0.5"/>
  </r>
  <r>
    <n v="1613"/>
    <x v="59"/>
    <x v="41"/>
    <s v="CHHA"/>
    <s v="CHHA"/>
    <s v="HHAHOUR"/>
    <m/>
    <x v="0"/>
    <x v="0"/>
    <x v="0"/>
    <x v="0"/>
    <n v="9"/>
    <n v="335"/>
    <n v="2070.75"/>
    <n v="7"/>
    <n v="299"/>
    <n v="1914"/>
  </r>
  <r>
    <n v="1614"/>
    <x v="59"/>
    <x v="41"/>
    <s v="CHHA"/>
    <s v="CHHA"/>
    <s v="HHAHRPED"/>
    <s v="99999"/>
    <x v="0"/>
    <x v="0"/>
    <x v="0"/>
    <x v="0"/>
    <n v="1"/>
    <n v="276"/>
    <n v="1359.25"/>
    <n v="1"/>
    <n v="276"/>
    <n v="1359.25"/>
  </r>
  <r>
    <n v="1615"/>
    <x v="59"/>
    <x v="10"/>
    <s v="Other"/>
    <s v="Private"/>
    <s v="PCA Hourly"/>
    <m/>
    <x v="5"/>
    <x v="0"/>
    <x v="3"/>
    <x v="1"/>
    <n v="2"/>
    <n v="16"/>
    <n v="66"/>
    <n v="2"/>
    <n v="16"/>
    <n v="66"/>
  </r>
  <r>
    <n v="1616"/>
    <x v="59"/>
    <x v="11"/>
    <s v="CHHA"/>
    <s v="CHHA"/>
    <s v="Rate1"/>
    <s v="S9122"/>
    <x v="0"/>
    <x v="0"/>
    <x v="0"/>
    <x v="0"/>
    <n v="9"/>
    <n v="62"/>
    <n v="236.75"/>
    <n v="7"/>
    <n v="52"/>
    <n v="197.75"/>
  </r>
  <r>
    <n v="1617"/>
    <x v="59"/>
    <x v="42"/>
    <s v="Other"/>
    <m/>
    <s v="Rate 1"/>
    <s v="na"/>
    <x v="0"/>
    <x v="0"/>
    <x v="0"/>
    <x v="0"/>
    <n v="1"/>
    <n v="1"/>
    <n v="4"/>
    <n v="1"/>
    <n v="1"/>
    <n v="4"/>
  </r>
  <r>
    <n v="1618"/>
    <x v="59"/>
    <x v="43"/>
    <s v="Other"/>
    <s v="MLTC"/>
    <s v="T1019:U1"/>
    <s v="T1019:U1"/>
    <x v="2"/>
    <x v="0"/>
    <x v="2"/>
    <x v="1"/>
    <n v="1"/>
    <n v="114"/>
    <n v="1312.5"/>
    <n v="1"/>
    <n v="114"/>
    <n v="1312.5"/>
  </r>
  <r>
    <n v="1621"/>
    <x v="59"/>
    <x v="44"/>
    <s v="Other"/>
    <s v="CDPAP"/>
    <s v="T1019:U6"/>
    <s v="T1019:U6"/>
    <x v="1"/>
    <x v="1"/>
    <x v="1"/>
    <x v="1"/>
    <n v="3"/>
    <n v="478"/>
    <n v="3086.5"/>
    <n v="3"/>
    <n v="478"/>
    <n v="3086.5"/>
  </r>
  <r>
    <n v="1623"/>
    <x v="59"/>
    <x v="45"/>
    <s v="MCO"/>
    <s v="CDPAP"/>
    <s v="PA Hourly"/>
    <s v="T1019:U6"/>
    <x v="1"/>
    <x v="1"/>
    <x v="1"/>
    <x v="1"/>
    <n v="7"/>
    <n v="351"/>
    <n v="1683.5"/>
    <n v="7"/>
    <n v="351"/>
    <n v="1683.5"/>
  </r>
  <r>
    <n v="1624"/>
    <x v="59"/>
    <x v="45"/>
    <s v="MCO"/>
    <s v="CDPAP"/>
    <s v="PA Hourly Mutual"/>
    <s v="T1019:U7"/>
    <x v="10"/>
    <x v="1"/>
    <x v="1"/>
    <x v="1"/>
    <n v="2"/>
    <n v="28"/>
    <n v="224"/>
    <n v="2"/>
    <n v="28"/>
    <n v="224"/>
  </r>
  <r>
    <n v="1625"/>
    <x v="59"/>
    <x v="46"/>
    <s v="MLTC"/>
    <s v="MLTC"/>
    <s v="PCA Hourly"/>
    <s v="T1019:U1"/>
    <x v="2"/>
    <x v="0"/>
    <x v="2"/>
    <x v="1"/>
    <n v="13"/>
    <n v="520"/>
    <n v="2340.25"/>
    <n v="13"/>
    <n v="520"/>
    <n v="2340.25"/>
  </r>
  <r>
    <n v="1626"/>
    <x v="59"/>
    <x v="46"/>
    <s v="MLTC"/>
    <s v="MLTC"/>
    <s v="PCA Hourly"/>
    <s v="T1019:U1:TV"/>
    <x v="2"/>
    <x v="0"/>
    <x v="2"/>
    <x v="1"/>
    <n v="3"/>
    <n v="46"/>
    <n v="231"/>
    <n v="3"/>
    <n v="46"/>
    <n v="231"/>
  </r>
  <r>
    <n v="1627"/>
    <x v="59"/>
    <x v="46"/>
    <s v="MLTC"/>
    <s v="MLTC"/>
    <s v="PCA Hourly TV"/>
    <s v="T1019:U1:TV"/>
    <x v="2"/>
    <x v="0"/>
    <x v="2"/>
    <x v="1"/>
    <n v="5"/>
    <n v="70"/>
    <n v="318.75"/>
    <n v="5"/>
    <n v="70"/>
    <n v="318.75"/>
  </r>
  <r>
    <n v="1628"/>
    <x v="59"/>
    <x v="46"/>
    <s v="MLTC"/>
    <s v="MLTC"/>
    <s v="PRN (NB)"/>
    <m/>
    <x v="3"/>
    <x v="0"/>
    <x v="2"/>
    <x v="1"/>
    <n v="1"/>
    <n v="1"/>
    <n v="1"/>
    <n v="1"/>
    <n v="1"/>
    <n v="1"/>
  </r>
  <r>
    <n v="1629"/>
    <x v="59"/>
    <x v="46"/>
    <s v="MLTC"/>
    <s v="MLTC"/>
    <s v="RN Initial Visit"/>
    <s v="T1030"/>
    <x v="7"/>
    <x v="0"/>
    <x v="2"/>
    <x v="1"/>
    <n v="10"/>
    <n v="10"/>
    <n v="10"/>
    <n v="10"/>
    <n v="10"/>
    <n v="10"/>
  </r>
  <r>
    <n v="1630"/>
    <x v="59"/>
    <x v="18"/>
    <s v="MLTC"/>
    <s v="MLTC"/>
    <s v="PRN (NB)"/>
    <m/>
    <x v="3"/>
    <x v="0"/>
    <x v="2"/>
    <x v="1"/>
    <n v="5"/>
    <n v="6"/>
    <n v="6"/>
    <n v="5"/>
    <n v="6"/>
    <n v="6"/>
  </r>
  <r>
    <n v="1631"/>
    <x v="59"/>
    <x v="18"/>
    <s v="MLTC"/>
    <s v="MLTC"/>
    <s v="RN Initial (NB)"/>
    <m/>
    <x v="3"/>
    <x v="0"/>
    <x v="2"/>
    <x v="1"/>
    <n v="30"/>
    <n v="30"/>
    <n v="30"/>
    <n v="24"/>
    <n v="24"/>
    <n v="24"/>
  </r>
  <r>
    <n v="1632"/>
    <x v="59"/>
    <x v="18"/>
    <s v="MLTC"/>
    <s v="MLTC"/>
    <s v="RN Reassessment (NB)"/>
    <m/>
    <x v="3"/>
    <x v="0"/>
    <x v="2"/>
    <x v="1"/>
    <n v="12"/>
    <n v="16"/>
    <n v="16"/>
    <n v="12"/>
    <n v="16"/>
    <n v="16"/>
  </r>
  <r>
    <n v="1633"/>
    <x v="59"/>
    <x v="18"/>
    <s v="MLTC"/>
    <s v="MLTC"/>
    <s v="T1019U1 BX"/>
    <s v="T1019:U1"/>
    <x v="2"/>
    <x v="0"/>
    <x v="2"/>
    <x v="1"/>
    <n v="1"/>
    <n v="53"/>
    <n v="220"/>
    <n v="1"/>
    <n v="53"/>
    <n v="220"/>
  </r>
  <r>
    <n v="1634"/>
    <x v="59"/>
    <x v="18"/>
    <s v="MLTC"/>
    <s v="MLTC"/>
    <s v="T1019U1 WES"/>
    <s v="T1019:U1"/>
    <x v="2"/>
    <x v="0"/>
    <x v="2"/>
    <x v="1"/>
    <n v="35"/>
    <n v="2045"/>
    <n v="14270.5"/>
    <n v="30"/>
    <n v="1986"/>
    <n v="13964.5"/>
  </r>
  <r>
    <n v="1635"/>
    <x v="59"/>
    <x v="18"/>
    <s v="MLTC"/>
    <s v="MLTC"/>
    <s v="T1019U2 WES"/>
    <s v="T1019:U2"/>
    <x v="11"/>
    <x v="0"/>
    <x v="2"/>
    <x v="1"/>
    <n v="4"/>
    <n v="116"/>
    <n v="441"/>
    <n v="4"/>
    <n v="116"/>
    <n v="441"/>
  </r>
  <r>
    <n v="1636"/>
    <x v="59"/>
    <x v="18"/>
    <s v="MLTC"/>
    <s v="MLTC"/>
    <s v="T1020 WES"/>
    <s v="T1020"/>
    <x v="8"/>
    <x v="0"/>
    <x v="2"/>
    <x v="1"/>
    <n v="2"/>
    <n v="407"/>
    <n v="5291"/>
    <n v="2"/>
    <n v="407"/>
    <n v="5291"/>
  </r>
  <r>
    <n v="1641"/>
    <x v="59"/>
    <x v="19"/>
    <s v="MLTC"/>
    <s v="CDPAP"/>
    <s v="T1019U6 WES"/>
    <s v="T1019:U6"/>
    <x v="1"/>
    <x v="1"/>
    <x v="1"/>
    <x v="1"/>
    <n v="33"/>
    <n v="6227"/>
    <n v="31780"/>
    <n v="31"/>
    <n v="6137"/>
    <n v="31368.5"/>
  </r>
  <r>
    <n v="1642"/>
    <x v="59"/>
    <x v="19"/>
    <s v="MLTC"/>
    <s v="CDPAP"/>
    <s v="T1019U6 WES MAP"/>
    <s v="T1019:U6"/>
    <x v="1"/>
    <x v="1"/>
    <x v="1"/>
    <x v="1"/>
    <n v="1"/>
    <n v="40"/>
    <n v="159.5"/>
    <n v="1"/>
    <n v="40"/>
    <n v="159.5"/>
  </r>
  <r>
    <n v="1644"/>
    <x v="60"/>
    <x v="7"/>
    <s v="LHCSA"/>
    <s v="CDPAP"/>
    <s v="T1019:U6"/>
    <s v="T1019:U6"/>
    <x v="1"/>
    <x v="1"/>
    <x v="1"/>
    <x v="1"/>
    <n v="3"/>
    <n v="477"/>
    <n v="2342.25"/>
    <n v="3"/>
    <n v="477"/>
    <n v="2342.25"/>
  </r>
  <r>
    <n v="1646"/>
    <x v="61"/>
    <x v="7"/>
    <s v="LHCSA"/>
    <s v="CDPAP"/>
    <s v="T1019:U6"/>
    <s v="T1019:U6"/>
    <x v="1"/>
    <x v="1"/>
    <x v="1"/>
    <x v="1"/>
    <n v="2"/>
    <n v="369"/>
    <n v="1960.5"/>
    <n v="2"/>
    <n v="369"/>
    <n v="1960.5"/>
  </r>
  <r>
    <n v="1648"/>
    <x v="61"/>
    <x v="14"/>
    <s v="MLTC"/>
    <s v="CDPAP"/>
    <s v="PA Hourly"/>
    <s v="T1019:U6"/>
    <x v="1"/>
    <x v="1"/>
    <x v="1"/>
    <x v="1"/>
    <n v="1"/>
    <n v="252"/>
    <n v="1247.75"/>
    <n v="1"/>
    <n v="252"/>
    <n v="1247.75"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  <r>
    <m/>
    <x v="62"/>
    <x v="64"/>
    <m/>
    <m/>
    <m/>
    <m/>
    <x v="16"/>
    <x v="2"/>
    <x v="4"/>
    <x v="1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12">
  <r>
    <n v="1"/>
    <x v="0"/>
    <s v="Americare"/>
    <s v="CHHA"/>
    <s v="CHHA"/>
    <s v="HHA1"/>
    <s v="S9122"/>
    <x v="0"/>
    <x v="0"/>
    <x v="0"/>
    <s v="CHHA"/>
    <n v="3"/>
    <n v="48"/>
    <n v="179.25"/>
    <n v="2"/>
    <n v="10"/>
    <n v="34"/>
    <x v="0"/>
  </r>
  <r>
    <n v="3"/>
    <x v="1"/>
    <s v="Centers Plan For Healthy Living CDPAP "/>
    <s v="MLTC"/>
    <s v="CDPAP"/>
    <s v="PA Hourly - 5 Boroughs"/>
    <s v="T1019:U6"/>
    <x v="1"/>
    <x v="1"/>
    <x v="1"/>
    <m/>
    <n v="1"/>
    <n v="10"/>
    <n v="40"/>
    <n v="0"/>
    <n v="0"/>
    <m/>
    <x v="0"/>
  </r>
  <r>
    <n v="6"/>
    <x v="2"/>
    <s v="Empire Blue Cross Blue Shield (CDPAP)"/>
    <s v="Other"/>
    <s v="CDPAP"/>
    <s v="PA Hourly (New)"/>
    <s v="T1019:U6"/>
    <x v="1"/>
    <x v="1"/>
    <x v="1"/>
    <m/>
    <n v="1"/>
    <n v="183"/>
    <n v="1528"/>
    <n v="1"/>
    <n v="183"/>
    <n v="1528"/>
    <x v="0"/>
  </r>
  <r>
    <n v="7"/>
    <x v="2"/>
    <s v="Empire Blue Cross Blue Shield (PCA)"/>
    <s v="Other"/>
    <s v="MLTC"/>
    <s v="PCA Hourly NYC"/>
    <s v="T1019:U1"/>
    <x v="2"/>
    <x v="0"/>
    <x v="2"/>
    <m/>
    <n v="1"/>
    <n v="20"/>
    <n v="155"/>
    <n v="1"/>
    <n v="20"/>
    <n v="155"/>
    <x v="0"/>
  </r>
  <r>
    <n v="8"/>
    <x v="2"/>
    <s v="Empire Blue Cross Blue Shield (PCA)"/>
    <s v="Other"/>
    <s v="MLTC"/>
    <s v="RN Initial (NB)"/>
    <m/>
    <x v="3"/>
    <x v="0"/>
    <x v="2"/>
    <m/>
    <n v="1"/>
    <n v="1"/>
    <n v="1"/>
    <n v="1"/>
    <n v="1"/>
    <n v="1"/>
    <x v="1"/>
  </r>
  <r>
    <n v="9"/>
    <x v="3"/>
    <s v="Excellent Home Care Services"/>
    <s v="CHHA"/>
    <s v="CHHA"/>
    <s v="Rate3"/>
    <m/>
    <x v="0"/>
    <x v="0"/>
    <x v="0"/>
    <s v="CHHA"/>
    <n v="1"/>
    <n v="1"/>
    <n v="5"/>
    <n v="1"/>
    <n v="1"/>
    <n v="5"/>
    <x v="0"/>
  </r>
  <r>
    <n v="10"/>
    <x v="0"/>
    <s v="Extended Home Care"/>
    <s v="CHHA"/>
    <s v="CHHA"/>
    <s v="PedCode95"/>
    <s v="-"/>
    <x v="0"/>
    <x v="0"/>
    <x v="0"/>
    <s v="CHHA"/>
    <n v="1"/>
    <n v="158"/>
    <n v="1278"/>
    <n v="1"/>
    <n v="158"/>
    <n v="1278"/>
    <x v="0"/>
  </r>
  <r>
    <n v="11"/>
    <x v="3"/>
    <s v="Fidelis Care (ANT)"/>
    <s v="LHCSA"/>
    <s v="MLTC"/>
    <s v="RN Reassessment (NB)"/>
    <m/>
    <x v="3"/>
    <x v="0"/>
    <x v="2"/>
    <m/>
    <n v="1"/>
    <n v="2"/>
    <n v="2"/>
    <n v="1"/>
    <n v="2"/>
    <n v="2"/>
    <x v="1"/>
  </r>
  <r>
    <n v="12"/>
    <x v="3"/>
    <s v="Fidelis Care (ANT)"/>
    <s v="LHCSA"/>
    <s v="MLTC"/>
    <s v="T1019:U1"/>
    <s v="T1019:U1"/>
    <x v="2"/>
    <x v="0"/>
    <x v="2"/>
    <m/>
    <n v="1"/>
    <n v="171"/>
    <n v="730"/>
    <n v="1"/>
    <n v="171"/>
    <n v="730"/>
    <x v="0"/>
  </r>
  <r>
    <n v="14"/>
    <x v="4"/>
    <s v="Fidelis Care (CDP)"/>
    <s v="LHCSA"/>
    <s v="CDPAP"/>
    <s v="T1019:U6"/>
    <s v="T1019:U6"/>
    <x v="1"/>
    <x v="1"/>
    <x v="1"/>
    <m/>
    <n v="1"/>
    <n v="181"/>
    <n v="734"/>
    <n v="1"/>
    <n v="181"/>
    <n v="734"/>
    <x v="0"/>
  </r>
  <r>
    <n v="15"/>
    <x v="3"/>
    <s v="Girling Health Care Of New York"/>
    <s v="CHHA"/>
    <s v="CHHA"/>
    <s v="Rate1"/>
    <m/>
    <x v="0"/>
    <x v="0"/>
    <x v="0"/>
    <s v="CHHA"/>
    <n v="4"/>
    <n v="128"/>
    <n v="603.25"/>
    <n v="4"/>
    <n v="128"/>
    <n v="603.25"/>
    <x v="0"/>
  </r>
  <r>
    <n v="16"/>
    <x v="3"/>
    <s v="NHTD"/>
    <s v="LHCSA"/>
    <s v="Medicaid"/>
    <s v="HCSS 9795 NYC"/>
    <s v="9795"/>
    <x v="4"/>
    <x v="0"/>
    <x v="0"/>
    <m/>
    <n v="2"/>
    <n v="1033"/>
    <n v="12092.25"/>
    <n v="2"/>
    <n v="1033"/>
    <n v="12092.25"/>
    <x v="0"/>
  </r>
  <r>
    <n v="17"/>
    <x v="5"/>
    <s v="NHTD"/>
    <s v="LHCSA"/>
    <s v="Medicaid"/>
    <s v="Initial RN Visit 9799 (Hourly)"/>
    <s v="9799"/>
    <x v="4"/>
    <x v="0"/>
    <x v="0"/>
    <m/>
    <n v="1"/>
    <n v="1"/>
    <n v="1"/>
    <n v="1"/>
    <n v="1"/>
    <n v="1"/>
    <x v="2"/>
  </r>
  <r>
    <n v="18"/>
    <x v="3"/>
    <s v="NHTD"/>
    <s v="LHCSA"/>
    <s v="Medicaid"/>
    <s v="RN Initial (NB)"/>
    <m/>
    <x v="4"/>
    <x v="0"/>
    <x v="0"/>
    <m/>
    <n v="1"/>
    <n v="1"/>
    <n v="1"/>
    <n v="1"/>
    <n v="1"/>
    <n v="1"/>
    <x v="2"/>
  </r>
  <r>
    <n v="19"/>
    <x v="3"/>
    <s v="NHTD"/>
    <s v="LHCSA"/>
    <s v="Medicaid"/>
    <s v="RN Visit 9799 (Hourly)"/>
    <s v="9799"/>
    <x v="4"/>
    <x v="0"/>
    <x v="0"/>
    <m/>
    <n v="2"/>
    <n v="2"/>
    <n v="2"/>
    <n v="2"/>
    <n v="2"/>
    <n v="2"/>
    <x v="2"/>
  </r>
  <r>
    <n v="20"/>
    <x v="3"/>
    <s v="Private Pay"/>
    <s v="Other"/>
    <s v="Private"/>
    <s v="PCA Hourly"/>
    <m/>
    <x v="5"/>
    <x v="0"/>
    <x v="3"/>
    <m/>
    <n v="1"/>
    <n v="5"/>
    <n v="22"/>
    <n v="1"/>
    <n v="5"/>
    <n v="22"/>
    <x v="0"/>
  </r>
  <r>
    <n v="21"/>
    <x v="0"/>
    <s v="Revival Home Health Care"/>
    <s v="CHHA"/>
    <s v="CHHA"/>
    <s v="Rate1"/>
    <s v="S9122"/>
    <x v="0"/>
    <x v="0"/>
    <x v="0"/>
    <s v="CHHA"/>
    <n v="1"/>
    <n v="3"/>
    <n v="6"/>
    <n v="1"/>
    <n v="3"/>
    <n v="6"/>
    <x v="0"/>
  </r>
  <r>
    <n v="22"/>
    <x v="6"/>
    <s v="EDDY SeniorCare VNA (Pace Plan)"/>
    <s v="MCO"/>
    <s v="MCO"/>
    <s v="PCA Hourly Weekday"/>
    <s v="T1019:U1"/>
    <x v="4"/>
    <x v="0"/>
    <x v="0"/>
    <m/>
    <n v="7"/>
    <n v="42"/>
    <n v="181"/>
    <n v="7"/>
    <n v="42"/>
    <n v="181"/>
    <x v="0"/>
  </r>
  <r>
    <n v="23"/>
    <x v="6"/>
    <s v="EDDY SeniorCare VNA (Pace Plan)"/>
    <s v="MCO"/>
    <s v="MCO"/>
    <s v="RN Initial Visit-NB"/>
    <s v="T1019:U1"/>
    <x v="4"/>
    <x v="0"/>
    <x v="0"/>
    <m/>
    <n v="6"/>
    <n v="6"/>
    <n v="6"/>
    <n v="6"/>
    <n v="6"/>
    <n v="6"/>
    <x v="1"/>
  </r>
  <r>
    <n v="24"/>
    <x v="6"/>
    <s v="Fidelis Care (ANT)"/>
    <s v="LHCSA"/>
    <s v="MLTC"/>
    <s v="PRN (NB)"/>
    <m/>
    <x v="3"/>
    <x v="0"/>
    <x v="2"/>
    <m/>
    <n v="4"/>
    <n v="4"/>
    <n v="4"/>
    <n v="4"/>
    <n v="4"/>
    <n v="4"/>
    <x v="1"/>
  </r>
  <r>
    <n v="25"/>
    <x v="6"/>
    <s v="Fidelis Care (ANT)"/>
    <s v="LHCSA"/>
    <s v="MLTC"/>
    <s v="RN Initial (NB)"/>
    <m/>
    <x v="3"/>
    <x v="0"/>
    <x v="2"/>
    <m/>
    <n v="44"/>
    <n v="44"/>
    <n v="44"/>
    <n v="39"/>
    <n v="39"/>
    <n v="39"/>
    <x v="1"/>
  </r>
  <r>
    <n v="26"/>
    <x v="6"/>
    <s v="Fidelis Care (ANT)"/>
    <s v="LHCSA"/>
    <s v="MLTC"/>
    <s v="RN Initial Assement"/>
    <s v="T2024"/>
    <x v="3"/>
    <x v="0"/>
    <x v="2"/>
    <m/>
    <n v="20"/>
    <n v="20"/>
    <n v="20"/>
    <n v="20"/>
    <n v="20"/>
    <n v="20"/>
    <x v="3"/>
  </r>
  <r>
    <n v="27"/>
    <x v="6"/>
    <s v="Fidelis Care (ANT)"/>
    <s v="LHCSA"/>
    <s v="MLTC"/>
    <s v="RN Reassessment (NB)"/>
    <m/>
    <x v="3"/>
    <x v="0"/>
    <x v="2"/>
    <m/>
    <n v="31"/>
    <n v="39"/>
    <n v="39"/>
    <n v="31"/>
    <n v="39"/>
    <n v="39"/>
    <x v="1"/>
  </r>
  <r>
    <n v="28"/>
    <x v="6"/>
    <s v="Fidelis Care (ANT)"/>
    <s v="LHCSA"/>
    <s v="MLTC"/>
    <s v="S5130:U1"/>
    <s v="S5130:U1::::Homemaker"/>
    <x v="6"/>
    <x v="0"/>
    <x v="2"/>
    <m/>
    <n v="5"/>
    <n v="208"/>
    <n v="609.25"/>
    <n v="5"/>
    <n v="208"/>
    <n v="609.25"/>
    <x v="0"/>
  </r>
  <r>
    <n v="29"/>
    <x v="6"/>
    <s v="Fidelis Care (ANT)"/>
    <s v="LHCSA"/>
    <s v="MLTC"/>
    <s v="T1019:U1"/>
    <s v="T1019:U1"/>
    <x v="2"/>
    <x v="0"/>
    <x v="2"/>
    <m/>
    <n v="78"/>
    <n v="6460"/>
    <n v="26400.25"/>
    <n v="72"/>
    <n v="6345"/>
    <n v="25970"/>
    <x v="0"/>
  </r>
  <r>
    <n v="30"/>
    <x v="6"/>
    <s v="Fidelis Care (ANT)"/>
    <s v="LHCSA"/>
    <s v="MLTC"/>
    <s v="T1019:U6"/>
    <s v="T1019:U6"/>
    <x v="1"/>
    <x v="1"/>
    <x v="1"/>
    <m/>
    <n v="1"/>
    <n v="60"/>
    <n v="315.75"/>
    <n v="1"/>
    <n v="60"/>
    <n v="315.75"/>
    <x v="0"/>
  </r>
  <r>
    <n v="34"/>
    <x v="6"/>
    <s v="Fidelis Care (CDP)"/>
    <s v="LHCSA"/>
    <s v="CDPAP"/>
    <s v="RN Initial (NB)"/>
    <m/>
    <x v="3"/>
    <x v="0"/>
    <x v="2"/>
    <m/>
    <n v="2"/>
    <n v="2"/>
    <n v="2"/>
    <n v="2"/>
    <n v="2"/>
    <n v="2"/>
    <x v="1"/>
  </r>
  <r>
    <n v="35"/>
    <x v="6"/>
    <s v="Fidelis Care (CDP)"/>
    <s v="LHCSA"/>
    <s v="CDPAP"/>
    <s v="T1019:U1"/>
    <s v="T1019:U1"/>
    <x v="2"/>
    <x v="0"/>
    <x v="2"/>
    <m/>
    <n v="2"/>
    <n v="21"/>
    <n v="57.25"/>
    <n v="2"/>
    <n v="21"/>
    <n v="57.25"/>
    <x v="0"/>
  </r>
  <r>
    <n v="36"/>
    <x v="6"/>
    <s v="Fidelis Care (CDP)"/>
    <s v="LHCSA"/>
    <s v="CDPAP"/>
    <s v="T1019:U6"/>
    <s v="T1019:U6"/>
    <x v="1"/>
    <x v="1"/>
    <x v="1"/>
    <m/>
    <n v="69"/>
    <n v="8705"/>
    <n v="43347.75"/>
    <n v="68"/>
    <n v="8669"/>
    <n v="43104.5"/>
    <x v="0"/>
  </r>
  <r>
    <n v="37"/>
    <x v="6"/>
    <s v="Fidelis Care PCA (Non Live)"/>
    <s v="MLTC"/>
    <s v="MLTC"/>
    <s v="RN Initial (NB)"/>
    <s v="G0162"/>
    <x v="3"/>
    <x v="0"/>
    <x v="2"/>
    <m/>
    <n v="1"/>
    <n v="1"/>
    <n v="1"/>
    <n v="1"/>
    <n v="1"/>
    <n v="1"/>
    <x v="1"/>
  </r>
  <r>
    <n v="38"/>
    <x v="6"/>
    <s v="Fidelis Care PCA (Non Live)"/>
    <s v="MLTC"/>
    <s v="MLTC"/>
    <s v="RN Initial Assement"/>
    <s v="G0162"/>
    <x v="3"/>
    <x v="0"/>
    <x v="2"/>
    <m/>
    <n v="1"/>
    <n v="1"/>
    <n v="1"/>
    <n v="1"/>
    <n v="1"/>
    <n v="1"/>
    <x v="3"/>
  </r>
  <r>
    <n v="40"/>
    <x v="6"/>
    <s v="Nascentia Health Options CDPAP"/>
    <s v="MLTC"/>
    <s v="CDPAP"/>
    <s v="PA Hourly"/>
    <s v="T1019:U6"/>
    <x v="1"/>
    <x v="1"/>
    <x v="1"/>
    <m/>
    <n v="19"/>
    <n v="2942"/>
    <n v="14642.5"/>
    <n v="19"/>
    <n v="2942"/>
    <n v="14642.5"/>
    <x v="0"/>
  </r>
  <r>
    <n v="41"/>
    <x v="6"/>
    <s v="Nascentia PCA"/>
    <s v="MLTC"/>
    <s v="MLTC"/>
    <s v="PCA Hourly"/>
    <s v="T1019:U1"/>
    <x v="2"/>
    <x v="0"/>
    <x v="2"/>
    <m/>
    <n v="4"/>
    <n v="244"/>
    <n v="822.5"/>
    <n v="4"/>
    <n v="244"/>
    <n v="822.5"/>
    <x v="0"/>
  </r>
  <r>
    <n v="42"/>
    <x v="6"/>
    <s v="Nascentia PCA"/>
    <s v="MLTC"/>
    <s v="MLTC"/>
    <s v="Rn initial assesment non billable"/>
    <m/>
    <x v="3"/>
    <x v="0"/>
    <x v="2"/>
    <m/>
    <n v="2"/>
    <n v="2"/>
    <n v="2"/>
    <n v="2"/>
    <n v="2"/>
    <n v="2"/>
    <x v="1"/>
  </r>
  <r>
    <n v="43"/>
    <x v="6"/>
    <s v="Nascentia PCA"/>
    <s v="MLTC"/>
    <s v="MLTC"/>
    <s v="Rn re-assessment non billable"/>
    <m/>
    <x v="3"/>
    <x v="0"/>
    <x v="2"/>
    <m/>
    <n v="1"/>
    <n v="1"/>
    <n v="1"/>
    <n v="1"/>
    <n v="1"/>
    <n v="1"/>
    <x v="1"/>
  </r>
  <r>
    <n v="44"/>
    <x v="6"/>
    <s v="Nascentia PCA"/>
    <s v="MLTC"/>
    <s v="MLTC"/>
    <s v="SN Visit Aide Supervision"/>
    <s v="T1030"/>
    <x v="7"/>
    <x v="0"/>
    <x v="2"/>
    <m/>
    <n v="1"/>
    <n v="1"/>
    <n v="1"/>
    <n v="1"/>
    <n v="1"/>
    <n v="1"/>
    <x v="3"/>
  </r>
  <r>
    <n v="45"/>
    <x v="6"/>
    <s v="Nascentia PCA"/>
    <s v="MLTC"/>
    <s v="MLTC"/>
    <s v="SN Visit Aide Supervision (in active)"/>
    <s v="T1030"/>
    <x v="7"/>
    <x v="0"/>
    <x v="2"/>
    <m/>
    <n v="1"/>
    <n v="1"/>
    <n v="1"/>
    <n v="1"/>
    <n v="1"/>
    <n v="1"/>
    <x v="3"/>
  </r>
  <r>
    <n v="46"/>
    <x v="6"/>
    <s v="Non Billable"/>
    <s v="Other"/>
    <s v="Insurance"/>
    <s v="PCA Hourly"/>
    <m/>
    <x v="5"/>
    <x v="0"/>
    <x v="3"/>
    <m/>
    <n v="2"/>
    <n v="3"/>
    <n v="2.5"/>
    <n v="2"/>
    <n v="3"/>
    <n v="2.5"/>
    <x v="0"/>
  </r>
  <r>
    <n v="47"/>
    <x v="6"/>
    <s v="Private Pay"/>
    <s v="Other"/>
    <s v="Private"/>
    <s v="PCA Hourly"/>
    <m/>
    <x v="5"/>
    <x v="0"/>
    <x v="3"/>
    <m/>
    <n v="1"/>
    <n v="4"/>
    <n v="8"/>
    <n v="1"/>
    <n v="4"/>
    <n v="8"/>
    <x v="0"/>
  </r>
  <r>
    <n v="48"/>
    <x v="6"/>
    <s v="Private Pay - Select"/>
    <s v="Other"/>
    <s v="Private"/>
    <s v="PCA Hourly"/>
    <m/>
    <x v="5"/>
    <x v="0"/>
    <x v="3"/>
    <m/>
    <n v="1"/>
    <n v="149"/>
    <n v="301.5"/>
    <n v="1"/>
    <n v="149"/>
    <n v="301.5"/>
    <x v="0"/>
  </r>
  <r>
    <n v="49"/>
    <x v="6"/>
    <s v="Private Pay - Select"/>
    <s v="Other"/>
    <s v="Private"/>
    <s v="RN Initial (NB)"/>
    <m/>
    <x v="5"/>
    <x v="0"/>
    <x v="3"/>
    <m/>
    <n v="1"/>
    <n v="1"/>
    <n v="1"/>
    <n v="1"/>
    <n v="1"/>
    <n v="1"/>
    <x v="0"/>
  </r>
  <r>
    <n v="50"/>
    <x v="6"/>
    <s v="Private Pay - Select"/>
    <s v="Other"/>
    <s v="Private"/>
    <s v="RN Reassessment (NB)"/>
    <m/>
    <x v="5"/>
    <x v="0"/>
    <x v="3"/>
    <m/>
    <n v="1"/>
    <n v="1"/>
    <n v="0.5"/>
    <n v="1"/>
    <n v="1"/>
    <n v="1"/>
    <x v="0"/>
  </r>
  <r>
    <n v="52"/>
    <x v="6"/>
    <s v="VNS Health Health Plans (ANT)"/>
    <s v="MLTC"/>
    <s v="MLTC"/>
    <s v="PRN (NB)"/>
    <m/>
    <x v="3"/>
    <x v="0"/>
    <x v="2"/>
    <m/>
    <n v="3"/>
    <n v="3"/>
    <n v="3"/>
    <n v="3"/>
    <n v="3"/>
    <n v="3"/>
    <x v="1"/>
  </r>
  <r>
    <n v="53"/>
    <x v="6"/>
    <s v="VNS Health Health Plans (ANT)"/>
    <s v="MLTC"/>
    <s v="MLTC"/>
    <s v="RN - Initial Visit"/>
    <m/>
    <x v="3"/>
    <x v="0"/>
    <x v="2"/>
    <m/>
    <n v="1"/>
    <n v="1"/>
    <n v="1"/>
    <n v="1"/>
    <n v="1"/>
    <n v="1"/>
    <x v="3"/>
  </r>
  <r>
    <n v="54"/>
    <x v="6"/>
    <s v="VNS Health Health Plans (ANT)"/>
    <s v="MLTC"/>
    <s v="MLTC"/>
    <s v="RN Initial (NB)"/>
    <m/>
    <x v="3"/>
    <x v="0"/>
    <x v="2"/>
    <m/>
    <n v="58"/>
    <n v="58"/>
    <n v="58"/>
    <n v="51"/>
    <n v="51"/>
    <n v="51"/>
    <x v="1"/>
  </r>
  <r>
    <n v="55"/>
    <x v="6"/>
    <s v="VNS Health Health Plans (ANT)"/>
    <s v="MLTC"/>
    <s v="MLTC"/>
    <s v="RN Reassessment (NB)"/>
    <m/>
    <x v="3"/>
    <x v="0"/>
    <x v="2"/>
    <m/>
    <n v="33"/>
    <n v="39"/>
    <n v="39"/>
    <n v="31"/>
    <n v="37"/>
    <n v="37"/>
    <x v="1"/>
  </r>
  <r>
    <n v="56"/>
    <x v="6"/>
    <s v="VNS Health Health Plans (ANT)"/>
    <s v="MLTC"/>
    <s v="MLTC"/>
    <s v="T1019U1 ALB"/>
    <s v="T1019:U1"/>
    <x v="2"/>
    <x v="0"/>
    <x v="2"/>
    <m/>
    <n v="77"/>
    <n v="6431"/>
    <n v="31750"/>
    <n v="68"/>
    <n v="6042"/>
    <n v="29983"/>
    <x v="0"/>
  </r>
  <r>
    <n v="61"/>
    <x v="6"/>
    <s v="VNS Health Health Plans (CDP)"/>
    <s v="MLTC"/>
    <s v="CDPAP"/>
    <s v="T1019U1 ALB"/>
    <s v="T1019:U1"/>
    <x v="2"/>
    <x v="0"/>
    <x v="2"/>
    <m/>
    <n v="1"/>
    <n v="1"/>
    <n v="1"/>
    <n v="1"/>
    <n v="1"/>
    <n v="1"/>
    <x v="0"/>
  </r>
  <r>
    <n v="62"/>
    <x v="6"/>
    <s v="VNS Health Health Plans (CDP)"/>
    <s v="MLTC"/>
    <s v="CDPAP"/>
    <s v="T1019U6 ALB"/>
    <s v="T1019:U6"/>
    <x v="1"/>
    <x v="1"/>
    <x v="1"/>
    <m/>
    <n v="77"/>
    <n v="12450"/>
    <n v="52281.5"/>
    <n v="75"/>
    <n v="12374"/>
    <n v="52110"/>
    <x v="0"/>
  </r>
  <r>
    <n v="63"/>
    <x v="6"/>
    <s v="VNS Health Health Plans (CDP)"/>
    <s v="MLTC"/>
    <s v="CDPAP"/>
    <s v="T1019U6 ALB MAP"/>
    <s v="T1019:U6"/>
    <x v="1"/>
    <x v="1"/>
    <x v="1"/>
    <m/>
    <n v="1"/>
    <n v="43"/>
    <n v="220.5"/>
    <n v="1"/>
    <n v="43"/>
    <n v="220.5"/>
    <x v="0"/>
  </r>
  <r>
    <n v="64"/>
    <x v="6"/>
    <s v="VNS Health Health Plans (CDP)"/>
    <s v="MLTC"/>
    <s v="CDPAP"/>
    <s v="T1019U6 K"/>
    <s v="T1019:U6"/>
    <x v="1"/>
    <x v="1"/>
    <x v="1"/>
    <m/>
    <n v="1"/>
    <n v="308"/>
    <n v="805.75"/>
    <n v="1"/>
    <n v="308"/>
    <n v="805.75"/>
    <x v="0"/>
  </r>
  <r>
    <n v="65"/>
    <x v="6"/>
    <s v="VNS Health Health Plans (CDP)"/>
    <s v="MLTC"/>
    <s v="CDPAP"/>
    <s v="T1019U6 REN"/>
    <s v="T1019:U6"/>
    <x v="1"/>
    <x v="1"/>
    <x v="1"/>
    <m/>
    <n v="1"/>
    <n v="359"/>
    <n v="1097.25"/>
    <n v="1"/>
    <n v="359"/>
    <n v="1097.25"/>
    <x v="0"/>
  </r>
  <r>
    <n v="66"/>
    <x v="6"/>
    <s v="VNSNY CHOICE PCA"/>
    <s v="LHCSA"/>
    <s v="MLTC"/>
    <s v="PCA Hourly"/>
    <s v="T1019:U1"/>
    <x v="2"/>
    <x v="0"/>
    <x v="2"/>
    <m/>
    <n v="2"/>
    <n v="21"/>
    <n v="85.5"/>
    <n v="1"/>
    <n v="7"/>
    <n v="17.5"/>
    <x v="0"/>
  </r>
  <r>
    <n v="67"/>
    <x v="6"/>
    <s v="VNSNY CHOICE PCA"/>
    <s v="LHCSA"/>
    <s v="MLTC"/>
    <s v="RN Initial (NB)"/>
    <m/>
    <x v="3"/>
    <x v="0"/>
    <x v="2"/>
    <m/>
    <n v="1"/>
    <n v="1"/>
    <n v="1"/>
    <n v="0"/>
    <n v="0"/>
    <n v="0"/>
    <x v="1"/>
  </r>
  <r>
    <n v="69"/>
    <x v="7"/>
    <s v="Fidelis Care (CDP)"/>
    <s v="LHCSA"/>
    <s v="CDPAP"/>
    <s v="T1019:U6"/>
    <s v="T1019:U6"/>
    <x v="1"/>
    <x v="1"/>
    <x v="1"/>
    <m/>
    <n v="3"/>
    <n v="330"/>
    <n v="1833.5"/>
    <n v="3"/>
    <n v="330"/>
    <n v="1833.5"/>
    <x v="0"/>
  </r>
  <r>
    <n v="71"/>
    <x v="7"/>
    <s v="Nascentia Health Options CDPAP"/>
    <s v="MLTC"/>
    <s v="CDPAP"/>
    <s v="PA Hourly"/>
    <s v="T1019:U6"/>
    <x v="1"/>
    <x v="1"/>
    <x v="1"/>
    <m/>
    <n v="1"/>
    <n v="181"/>
    <n v="520.5"/>
    <n v="1"/>
    <n v="181"/>
    <n v="520.5"/>
    <x v="0"/>
  </r>
  <r>
    <n v="72"/>
    <x v="5"/>
    <s v="Americare"/>
    <s v="CHHA"/>
    <s v="CHHA"/>
    <s v="HHA1"/>
    <s v="S9122"/>
    <x v="0"/>
    <x v="0"/>
    <x v="0"/>
    <s v="CHHA"/>
    <n v="16"/>
    <n v="285"/>
    <n v="1098.5"/>
    <n v="11"/>
    <n v="162"/>
    <n v="612.25"/>
    <x v="0"/>
  </r>
  <r>
    <n v="73"/>
    <x v="5"/>
    <s v="Americare"/>
    <s v="CHHA"/>
    <s v="CHHA"/>
    <s v="HHAPEDSV"/>
    <s v="S9122"/>
    <x v="0"/>
    <x v="0"/>
    <x v="0"/>
    <s v="CHHA"/>
    <n v="238"/>
    <n v="33641"/>
    <n v="232792.25"/>
    <n v="218"/>
    <n v="32623"/>
    <n v="226018.5"/>
    <x v="0"/>
  </r>
  <r>
    <n v="74"/>
    <x v="5"/>
    <s v="Amerigroup (Empire) PCA"/>
    <s v="MCO"/>
    <s v="Medicaid"/>
    <s v="PCA HOURLY"/>
    <s v="T1019:U1"/>
    <x v="2"/>
    <x v="0"/>
    <x v="2"/>
    <m/>
    <n v="2"/>
    <n v="127"/>
    <n v="691.75"/>
    <n v="2"/>
    <n v="127"/>
    <n v="691.75"/>
    <x v="0"/>
  </r>
  <r>
    <n v="75"/>
    <x v="5"/>
    <s v="Archcare Community Life CDPAP"/>
    <s v="MCO"/>
    <s v="CDPAP"/>
    <s v="PA Hourly"/>
    <s v="T1019:U6"/>
    <x v="1"/>
    <x v="1"/>
    <x v="1"/>
    <m/>
    <n v="3"/>
    <n v="351"/>
    <n v="2018"/>
    <n v="3"/>
    <n v="351"/>
    <n v="2018"/>
    <x v="0"/>
  </r>
  <r>
    <n v="76"/>
    <x v="5"/>
    <s v="Archcare Community Life PCA"/>
    <s v="MCO"/>
    <s v="MLTC"/>
    <s v="PCA Hourly"/>
    <s v="T1019:U1"/>
    <x v="2"/>
    <x v="0"/>
    <x v="2"/>
    <m/>
    <n v="6"/>
    <n v="830"/>
    <n v="6828.75"/>
    <n v="6"/>
    <n v="830"/>
    <n v="6828.75"/>
    <x v="0"/>
  </r>
  <r>
    <n v="77"/>
    <x v="5"/>
    <s v="Archcare Community Life PCA"/>
    <s v="MCO"/>
    <s v="MLTC"/>
    <s v="PRN (NB)"/>
    <m/>
    <x v="3"/>
    <x v="0"/>
    <x v="2"/>
    <m/>
    <n v="1"/>
    <n v="3"/>
    <n v="3"/>
    <n v="1"/>
    <n v="3"/>
    <n v="3"/>
    <x v="1"/>
  </r>
  <r>
    <n v="78"/>
    <x v="5"/>
    <s v="Archcare Community Life PCA"/>
    <s v="MCO"/>
    <s v="MLTC"/>
    <s v="RN Initial (NB)"/>
    <m/>
    <x v="3"/>
    <x v="0"/>
    <x v="2"/>
    <m/>
    <n v="1"/>
    <n v="1"/>
    <n v="1"/>
    <n v="1"/>
    <n v="1"/>
    <n v="1"/>
    <x v="1"/>
  </r>
  <r>
    <n v="79"/>
    <x v="5"/>
    <s v="Archcare Community Life PCA"/>
    <s v="MCO"/>
    <s v="MLTC"/>
    <s v="RN Reassessment (NB)"/>
    <m/>
    <x v="3"/>
    <x v="0"/>
    <x v="2"/>
    <m/>
    <n v="3"/>
    <n v="3"/>
    <n v="3"/>
    <n v="3"/>
    <n v="3"/>
    <n v="3"/>
    <x v="1"/>
  </r>
  <r>
    <n v="80"/>
    <x v="5"/>
    <s v="AVCC, LLC CDPAP"/>
    <s v="MCO"/>
    <s v="MCO"/>
    <s v="PA Hourly"/>
    <s v="T1019:U6"/>
    <x v="1"/>
    <x v="1"/>
    <x v="1"/>
    <m/>
    <n v="1"/>
    <n v="42"/>
    <n v="248.5"/>
    <n v="1"/>
    <n v="42"/>
    <n v="248.5"/>
    <x v="0"/>
  </r>
  <r>
    <n v="81"/>
    <x v="5"/>
    <s v="Centerlight CHHA / Cassena Care At Home"/>
    <s v="CHHA"/>
    <s v="CHHA"/>
    <s v="HHA Hourly"/>
    <s v="HH11"/>
    <x v="0"/>
    <x v="0"/>
    <x v="0"/>
    <s v="CHHA"/>
    <n v="1"/>
    <n v="4"/>
    <n v="15.5"/>
    <n v="1"/>
    <n v="4"/>
    <n v="15.5"/>
    <x v="0"/>
  </r>
  <r>
    <n v="82"/>
    <x v="5"/>
    <s v="CenterLight HealthCare (PACE) (ANT)"/>
    <s v="Other"/>
    <s v="MLTC"/>
    <s v="T1019:U1"/>
    <s v="T1019:U1"/>
    <x v="4"/>
    <x v="0"/>
    <x v="0"/>
    <m/>
    <n v="1"/>
    <n v="1"/>
    <n v="5"/>
    <n v="1"/>
    <n v="1"/>
    <n v="5"/>
    <x v="0"/>
  </r>
  <r>
    <n v="83"/>
    <x v="5"/>
    <s v="CenterLight HealthCare (PACE) (CDP)"/>
    <s v="Other"/>
    <s v="CDPAP"/>
    <s v="T1019:U6"/>
    <s v="T1019:U6"/>
    <x v="4"/>
    <x v="0"/>
    <x v="0"/>
    <m/>
    <n v="2"/>
    <n v="588"/>
    <n v="3076.75"/>
    <n v="2"/>
    <n v="588"/>
    <n v="3076.75"/>
    <x v="0"/>
  </r>
  <r>
    <n v="84"/>
    <x v="5"/>
    <s v="Centers Plan For Health Living PCA"/>
    <s v="MLTC"/>
    <s v="MLTC"/>
    <s v="PCA Hourly"/>
    <s v="T1019:U1"/>
    <x v="2"/>
    <x v="0"/>
    <x v="2"/>
    <m/>
    <n v="45"/>
    <n v="6328"/>
    <n v="31502.75"/>
    <n v="41"/>
    <n v="6182"/>
    <n v="30943.25"/>
    <x v="0"/>
  </r>
  <r>
    <n v="85"/>
    <x v="5"/>
    <s v="Centers Plan For Health Living PCA"/>
    <s v="MLTC"/>
    <s v="MLTC"/>
    <s v="PRN (NB)"/>
    <m/>
    <x v="3"/>
    <x v="0"/>
    <x v="2"/>
    <m/>
    <n v="2"/>
    <n v="2"/>
    <n v="2"/>
    <n v="2"/>
    <n v="2"/>
    <n v="2"/>
    <x v="1"/>
  </r>
  <r>
    <n v="86"/>
    <x v="5"/>
    <s v="Centers Plan For Health Living PCA"/>
    <s v="MLTC"/>
    <s v="MLTC"/>
    <s v="RN Initial (NB)"/>
    <m/>
    <x v="3"/>
    <x v="0"/>
    <x v="2"/>
    <m/>
    <n v="19"/>
    <n v="19"/>
    <n v="19"/>
    <n v="16"/>
    <n v="16"/>
    <n v="16"/>
    <x v="1"/>
  </r>
  <r>
    <n v="87"/>
    <x v="5"/>
    <s v="Centers Plan For Health Living PCA"/>
    <s v="MLTC"/>
    <s v="MLTC"/>
    <s v="RN Reassessment (NB)"/>
    <m/>
    <x v="3"/>
    <x v="0"/>
    <x v="2"/>
    <m/>
    <n v="25"/>
    <n v="39"/>
    <n v="39"/>
    <n v="25"/>
    <n v="39"/>
    <n v="39"/>
    <x v="1"/>
  </r>
  <r>
    <n v="91"/>
    <x v="5"/>
    <s v="Centers Plan For Healthy Living CDPAP "/>
    <s v="MLTC"/>
    <s v="CDPAP"/>
    <s v="PA Hourly - 5 Boroughs"/>
    <s v="T1019:U6"/>
    <x v="1"/>
    <x v="1"/>
    <x v="1"/>
    <m/>
    <n v="52"/>
    <n v="9543"/>
    <n v="36531.5"/>
    <n v="50"/>
    <n v="9437"/>
    <n v="36049.25"/>
    <x v="0"/>
  </r>
  <r>
    <n v="92"/>
    <x v="5"/>
    <s v="Elderplan MJHS (ANT)"/>
    <s v="MLTC"/>
    <s v="MLTC"/>
    <s v="RN Initial (NB)"/>
    <m/>
    <x v="3"/>
    <x v="0"/>
    <x v="2"/>
    <m/>
    <n v="26"/>
    <n v="27"/>
    <n v="27"/>
    <n v="25"/>
    <n v="26"/>
    <n v="26"/>
    <x v="1"/>
  </r>
  <r>
    <n v="93"/>
    <x v="5"/>
    <s v="Elderplan MJHS (ANT)"/>
    <s v="MLTC"/>
    <s v="MLTC"/>
    <s v="RN Reassessment (NB)"/>
    <m/>
    <x v="3"/>
    <x v="0"/>
    <x v="2"/>
    <m/>
    <n v="13"/>
    <n v="15"/>
    <n v="15"/>
    <n v="13"/>
    <n v="15"/>
    <n v="15"/>
    <x v="1"/>
  </r>
  <r>
    <n v="94"/>
    <x v="5"/>
    <s v="Elderplan MJHS (ANT)"/>
    <s v="MLTC"/>
    <s v="MLTC"/>
    <s v="T1019:U1"/>
    <s v="T1019:U1"/>
    <x v="2"/>
    <x v="0"/>
    <x v="2"/>
    <m/>
    <n v="36"/>
    <n v="3731"/>
    <n v="17403.75"/>
    <n v="34"/>
    <n v="3614"/>
    <n v="16368"/>
    <x v="0"/>
  </r>
  <r>
    <n v="97"/>
    <x v="5"/>
    <s v="Elderplan MJHS (CDP)"/>
    <s v="MLTC"/>
    <s v="CDPAP"/>
    <s v="T1019:U6"/>
    <s v="T1019:U6"/>
    <x v="1"/>
    <x v="1"/>
    <x v="1"/>
    <m/>
    <n v="20"/>
    <n v="3354"/>
    <n v="16185.25"/>
    <n v="17"/>
    <n v="3211"/>
    <n v="15546"/>
    <x v="0"/>
  </r>
  <r>
    <n v="98"/>
    <x v="5"/>
    <s v="Elderplan MJHS (CDP)"/>
    <s v="MLTC"/>
    <s v="CDPAP"/>
    <s v="T1019:U6 MAP"/>
    <s v="T1019:U6"/>
    <x v="1"/>
    <x v="1"/>
    <x v="1"/>
    <m/>
    <n v="2"/>
    <n v="83"/>
    <n v="497"/>
    <n v="2"/>
    <n v="83"/>
    <n v="497"/>
    <x v="0"/>
  </r>
  <r>
    <n v="101"/>
    <x v="5"/>
    <s v="ElderServe/Riverspring (CDPAP)"/>
    <s v="MLTC"/>
    <s v="CDPAP"/>
    <s v="PA Hourly"/>
    <s v="T1019:U6"/>
    <x v="1"/>
    <x v="1"/>
    <x v="1"/>
    <m/>
    <n v="8"/>
    <n v="1602"/>
    <n v="10031.25"/>
    <n v="6"/>
    <n v="1347"/>
    <n v="7930.25"/>
    <x v="0"/>
  </r>
  <r>
    <n v="102"/>
    <x v="5"/>
    <s v="ElderServe/Riverspring (PCA)"/>
    <s v="MLTC"/>
    <s v="MLTC"/>
    <s v="PCA Hourly NYC"/>
    <s v="T1019:U1"/>
    <x v="2"/>
    <x v="0"/>
    <x v="2"/>
    <m/>
    <n v="4"/>
    <n v="219"/>
    <n v="1379.75"/>
    <n v="4"/>
    <n v="219"/>
    <n v="1379.75"/>
    <x v="0"/>
  </r>
  <r>
    <n v="103"/>
    <x v="5"/>
    <s v="ElderServe/Riverspring (PCA)"/>
    <s v="MLTC"/>
    <s v="MLTC"/>
    <s v="RN Initial (NB)"/>
    <m/>
    <x v="3"/>
    <x v="0"/>
    <x v="2"/>
    <m/>
    <n v="4"/>
    <n v="4"/>
    <n v="4"/>
    <n v="4"/>
    <n v="4"/>
    <n v="4"/>
    <x v="1"/>
  </r>
  <r>
    <n v="106"/>
    <x v="5"/>
    <s v="Empire Blue Cross Blue Shield (CDPAP)"/>
    <s v="Other"/>
    <s v="CDPAP"/>
    <s v="PA Hourly (New)"/>
    <s v="T1019:U6"/>
    <x v="1"/>
    <x v="1"/>
    <x v="1"/>
    <m/>
    <n v="36"/>
    <n v="6798"/>
    <n v="39980.25"/>
    <n v="35"/>
    <n v="6648"/>
    <n v="39088.25"/>
    <x v="0"/>
  </r>
  <r>
    <n v="107"/>
    <x v="5"/>
    <s v="Empire Blue Cross Blue Shield (PCA)"/>
    <s v="Other"/>
    <s v="MLTC"/>
    <s v="PCA Hourly NYC"/>
    <s v="T1019:U1"/>
    <x v="2"/>
    <x v="0"/>
    <x v="2"/>
    <m/>
    <n v="28"/>
    <n v="3400"/>
    <n v="20283.5"/>
    <n v="28"/>
    <n v="3400"/>
    <n v="20283.5"/>
    <x v="0"/>
  </r>
  <r>
    <n v="108"/>
    <x v="5"/>
    <s v="Empire Blue Cross Blue Shield (PCA)"/>
    <s v="Other"/>
    <s v="MLTC"/>
    <s v="PCA Live In"/>
    <s v="T1020"/>
    <x v="8"/>
    <x v="0"/>
    <x v="2"/>
    <m/>
    <n v="2"/>
    <n v="594"/>
    <n v="7722"/>
    <n v="2"/>
    <n v="594"/>
    <n v="7722"/>
    <x v="0"/>
  </r>
  <r>
    <n v="109"/>
    <x v="5"/>
    <s v="Empire Blue Cross Blue Shield (PCA)"/>
    <s v="Other"/>
    <s v="MLTC"/>
    <s v="RN Initial (NB)"/>
    <m/>
    <x v="3"/>
    <x v="0"/>
    <x v="2"/>
    <m/>
    <n v="16"/>
    <n v="17"/>
    <n v="17"/>
    <n v="16"/>
    <n v="17"/>
    <n v="17"/>
    <x v="1"/>
  </r>
  <r>
    <n v="110"/>
    <x v="5"/>
    <s v="Empire Blue Cross Blue Shield (PCA)"/>
    <s v="Other"/>
    <s v="MLTC"/>
    <s v="RN Reassessment (NB)"/>
    <m/>
    <x v="3"/>
    <x v="0"/>
    <x v="2"/>
    <m/>
    <n v="20"/>
    <n v="28"/>
    <n v="28"/>
    <n v="20"/>
    <n v="28"/>
    <n v="28"/>
    <x v="1"/>
  </r>
  <r>
    <n v="111"/>
    <x v="5"/>
    <s v="Excellent Home Care Services"/>
    <s v="CHHA"/>
    <s v="CHHA"/>
    <s v="Rate3"/>
    <m/>
    <x v="0"/>
    <x v="0"/>
    <x v="0"/>
    <s v="CHHA"/>
    <n v="44"/>
    <n v="6417"/>
    <n v="35497.25"/>
    <n v="43"/>
    <n v="6346"/>
    <n v="35020.25"/>
    <x v="0"/>
  </r>
  <r>
    <n v="112"/>
    <x v="5"/>
    <s v="Extended Home Care"/>
    <s v="CHHA"/>
    <s v="CHHA"/>
    <s v="PedCode95"/>
    <s v="-"/>
    <x v="0"/>
    <x v="0"/>
    <x v="0"/>
    <s v="CHHA"/>
    <n v="44"/>
    <n v="4731"/>
    <n v="29662.25"/>
    <n v="42"/>
    <n v="4692"/>
    <n v="29494.5"/>
    <x v="0"/>
  </r>
  <r>
    <n v="113"/>
    <x v="5"/>
    <s v="Extended Home Care"/>
    <s v="CHHA"/>
    <s v="CHHA"/>
    <s v="Rate1"/>
    <m/>
    <x v="0"/>
    <x v="0"/>
    <x v="0"/>
    <s v="CHHA"/>
    <n v="76"/>
    <n v="5561"/>
    <n v="24434.25"/>
    <n v="66"/>
    <n v="5304"/>
    <n v="23444"/>
    <x v="0"/>
  </r>
  <r>
    <n v="115"/>
    <x v="5"/>
    <s v="Fidelis Care (ANT)"/>
    <s v="LHCSA"/>
    <s v="MLTC"/>
    <s v="PRN (NB)"/>
    <m/>
    <x v="3"/>
    <x v="0"/>
    <x v="2"/>
    <m/>
    <n v="2"/>
    <n v="2"/>
    <n v="2"/>
    <n v="1"/>
    <n v="1"/>
    <n v="1"/>
    <x v="1"/>
  </r>
  <r>
    <n v="116"/>
    <x v="5"/>
    <s v="Fidelis Care (ANT)"/>
    <s v="LHCSA"/>
    <s v="MLTC"/>
    <s v="RN Initial (NB)"/>
    <m/>
    <x v="3"/>
    <x v="0"/>
    <x v="2"/>
    <m/>
    <n v="50"/>
    <n v="50"/>
    <n v="50"/>
    <n v="42"/>
    <n v="42"/>
    <n v="42"/>
    <x v="1"/>
  </r>
  <r>
    <n v="117"/>
    <x v="5"/>
    <s v="Fidelis Care (ANT)"/>
    <s v="LHCSA"/>
    <s v="MLTC"/>
    <s v="RN Initial Assement"/>
    <s v="T2024"/>
    <x v="3"/>
    <x v="0"/>
    <x v="2"/>
    <m/>
    <n v="14"/>
    <n v="14"/>
    <n v="14"/>
    <n v="13"/>
    <n v="13"/>
    <n v="13"/>
    <x v="3"/>
  </r>
  <r>
    <n v="118"/>
    <x v="5"/>
    <s v="Fidelis Care (ANT)"/>
    <s v="LHCSA"/>
    <s v="MLTC"/>
    <s v="RN Reassessment (NB)"/>
    <m/>
    <x v="3"/>
    <x v="0"/>
    <x v="2"/>
    <m/>
    <n v="35"/>
    <n v="47"/>
    <n v="47"/>
    <n v="35"/>
    <n v="47"/>
    <n v="47"/>
    <x v="1"/>
  </r>
  <r>
    <n v="119"/>
    <x v="5"/>
    <s v="Fidelis Care (ANT)"/>
    <s v="LHCSA"/>
    <s v="MLTC"/>
    <s v="S5130:U1"/>
    <s v="S5130:U1::::Homemaker"/>
    <x v="6"/>
    <x v="0"/>
    <x v="2"/>
    <m/>
    <n v="2"/>
    <n v="47"/>
    <n v="169.75"/>
    <n v="2"/>
    <n v="47"/>
    <n v="169.75"/>
    <x v="0"/>
  </r>
  <r>
    <n v="120"/>
    <x v="5"/>
    <s v="Fidelis Care (ANT)"/>
    <s v="LHCSA"/>
    <s v="MLTC"/>
    <s v="T1019:U1"/>
    <s v="T1019:U1"/>
    <x v="2"/>
    <x v="0"/>
    <x v="2"/>
    <m/>
    <n v="96"/>
    <n v="7180"/>
    <n v="34459"/>
    <n v="81"/>
    <n v="6736"/>
    <n v="32102.5"/>
    <x v="0"/>
  </r>
  <r>
    <n v="121"/>
    <x v="5"/>
    <s v="Fidelis Care (ANT)"/>
    <s v="LHCSA"/>
    <s v="MLTC"/>
    <s v="T1019:U6"/>
    <s v="T1019:U6"/>
    <x v="1"/>
    <x v="1"/>
    <x v="1"/>
    <m/>
    <n v="1"/>
    <n v="8"/>
    <n v="40"/>
    <n v="1"/>
    <n v="8"/>
    <n v="40"/>
    <x v="0"/>
  </r>
  <r>
    <n v="122"/>
    <x v="5"/>
    <s v="Fidelis Care (ANT)"/>
    <s v="LHCSA"/>
    <s v="MLTC"/>
    <s v="T1020"/>
    <s v="T1020"/>
    <x v="8"/>
    <x v="0"/>
    <x v="2"/>
    <m/>
    <n v="3"/>
    <n v="348"/>
    <n v="4524"/>
    <n v="3"/>
    <n v="348"/>
    <n v="4524"/>
    <x v="0"/>
  </r>
  <r>
    <n v="127"/>
    <x v="5"/>
    <s v="Fidelis Care (CDP)"/>
    <s v="LHCSA"/>
    <s v="CDPAP"/>
    <s v="RN Initial Assement"/>
    <m/>
    <x v="3"/>
    <x v="0"/>
    <x v="2"/>
    <m/>
    <n v="1"/>
    <n v="1"/>
    <n v="1"/>
    <n v="1"/>
    <n v="1"/>
    <n v="1"/>
    <x v="3"/>
  </r>
  <r>
    <n v="128"/>
    <x v="5"/>
    <s v="Fidelis Care (CDP)"/>
    <s v="LHCSA"/>
    <s v="CDPAP"/>
    <s v="T1019:U1"/>
    <s v="T1019:U1"/>
    <x v="2"/>
    <x v="0"/>
    <x v="2"/>
    <m/>
    <n v="1"/>
    <n v="6"/>
    <n v="22"/>
    <n v="1"/>
    <n v="6"/>
    <n v="22"/>
    <x v="0"/>
  </r>
  <r>
    <n v="129"/>
    <x v="5"/>
    <s v="Fidelis Care (CDP)"/>
    <s v="LHCSA"/>
    <s v="CDPAP"/>
    <s v="T1019:U6"/>
    <s v="T1019:U6"/>
    <x v="1"/>
    <x v="1"/>
    <x v="1"/>
    <m/>
    <n v="91"/>
    <n v="12522"/>
    <n v="56128.25"/>
    <n v="88"/>
    <n v="12213"/>
    <n v="54710.75"/>
    <x v="0"/>
  </r>
  <r>
    <n v="130"/>
    <x v="5"/>
    <s v="Fidelis Care (CDP)"/>
    <s v="LHCSA"/>
    <s v="CDPAP"/>
    <s v="T1020:U6"/>
    <s v="T1020:U6"/>
    <x v="9"/>
    <x v="1"/>
    <x v="1"/>
    <m/>
    <n v="1"/>
    <n v="365"/>
    <n v="4745"/>
    <n v="1"/>
    <n v="365"/>
    <n v="4745"/>
    <x v="0"/>
  </r>
  <r>
    <n v="131"/>
    <x v="5"/>
    <s v="Fidelis Care PCA (Non Live)"/>
    <s v="MLTC"/>
    <s v="MLTC"/>
    <s v="PCA Hourly"/>
    <s v="T1019:U1"/>
    <x v="2"/>
    <x v="0"/>
    <x v="2"/>
    <m/>
    <n v="2"/>
    <n v="14"/>
    <n v="53"/>
    <n v="1"/>
    <n v="1"/>
    <n v="1"/>
    <x v="0"/>
  </r>
  <r>
    <n v="132"/>
    <x v="5"/>
    <s v="Fidelis Care PCA (Non Live)"/>
    <s v="MLTC"/>
    <s v="MLTC"/>
    <s v="RN Initial (NB)"/>
    <s v="G0162"/>
    <x v="3"/>
    <x v="0"/>
    <x v="2"/>
    <m/>
    <n v="2"/>
    <n v="2"/>
    <n v="2"/>
    <n v="1"/>
    <n v="1"/>
    <n v="1"/>
    <x v="1"/>
  </r>
  <r>
    <n v="133"/>
    <x v="5"/>
    <s v="Fidelis Care PCA (Non Live)"/>
    <s v="MLTC"/>
    <s v="MLTC"/>
    <s v="Rn initial assement"/>
    <s v="G0162"/>
    <x v="3"/>
    <x v="0"/>
    <x v="2"/>
    <m/>
    <n v="7"/>
    <n v="7"/>
    <n v="7"/>
    <n v="7"/>
    <n v="7"/>
    <n v="7"/>
    <x v="3"/>
  </r>
  <r>
    <n v="134"/>
    <x v="5"/>
    <s v="Fidelis Care PCA (Non Live)"/>
    <s v="MLTC"/>
    <s v="MLTC"/>
    <s v="RN Reassessment (NB)"/>
    <m/>
    <x v="3"/>
    <x v="0"/>
    <x v="2"/>
    <m/>
    <n v="1"/>
    <n v="1"/>
    <n v="1"/>
    <n v="1"/>
    <n v="1"/>
    <n v="1"/>
    <x v="1"/>
  </r>
  <r>
    <n v="137"/>
    <x v="5"/>
    <s v="Hamaspik Choice (MLTC) CDPAP"/>
    <s v="MCO"/>
    <s v="CDPAP"/>
    <s v="PA Hourly NYC , Nassau, Westchester"/>
    <s v="T1019:U6"/>
    <x v="1"/>
    <x v="1"/>
    <x v="1"/>
    <m/>
    <n v="4"/>
    <n v="1065"/>
    <n v="4956.75"/>
    <n v="4"/>
    <n v="1065"/>
    <n v="4956.75"/>
    <x v="0"/>
  </r>
  <r>
    <n v="140"/>
    <x v="5"/>
    <s v="Hamaspik Choice MLTC (PCA)"/>
    <s v="MLTC"/>
    <s v="MLTC"/>
    <s v="PCA Hourly"/>
    <s v="T1019:U1"/>
    <x v="2"/>
    <x v="0"/>
    <x v="2"/>
    <m/>
    <n v="4"/>
    <n v="628"/>
    <n v="2389.25"/>
    <n v="4"/>
    <n v="628"/>
    <n v="2389.25"/>
    <x v="0"/>
  </r>
  <r>
    <n v="141"/>
    <x v="5"/>
    <s v="Hamaspik Choice MLTC (PCA)"/>
    <s v="MLTC"/>
    <s v="MLTC"/>
    <s v="PCA Live In"/>
    <s v="T1020"/>
    <x v="8"/>
    <x v="0"/>
    <x v="2"/>
    <m/>
    <n v="1"/>
    <n v="10"/>
    <n v="130"/>
    <n v="1"/>
    <n v="10"/>
    <n v="130"/>
    <x v="0"/>
  </r>
  <r>
    <n v="142"/>
    <x v="5"/>
    <s v="Hamaspik Choice MLTC (PCA)"/>
    <s v="MLTC"/>
    <s v="MLTC"/>
    <s v="RN Initial (NB)"/>
    <m/>
    <x v="3"/>
    <x v="0"/>
    <x v="2"/>
    <m/>
    <n v="4"/>
    <n v="4"/>
    <n v="4"/>
    <n v="4"/>
    <n v="4"/>
    <n v="4"/>
    <x v="1"/>
  </r>
  <r>
    <n v="143"/>
    <x v="5"/>
    <s v="Hamaspik Choice MLTC (PCA)"/>
    <s v="MLTC"/>
    <s v="MLTC"/>
    <s v="RN Reassessment (NB)"/>
    <m/>
    <x v="3"/>
    <x v="0"/>
    <x v="2"/>
    <m/>
    <n v="2"/>
    <n v="2"/>
    <n v="2"/>
    <n v="2"/>
    <n v="2"/>
    <n v="2"/>
    <x v="1"/>
  </r>
  <r>
    <n v="146"/>
    <x v="5"/>
    <s v="Hamaspik MAP CDPAP"/>
    <s v="MCO"/>
    <s v="CDPAP"/>
    <s v="PA Hourly (NYC, LI, &amp; Westchester)"/>
    <s v="T1019:U6"/>
    <x v="1"/>
    <x v="1"/>
    <x v="1"/>
    <m/>
    <n v="4"/>
    <n v="731"/>
    <n v="3622.25"/>
    <n v="4"/>
    <n v="731"/>
    <n v="3622.25"/>
    <x v="0"/>
  </r>
  <r>
    <n v="149"/>
    <x v="5"/>
    <s v="Hamaspik MAP PCA"/>
    <s v="MCO"/>
    <s v="MLTC"/>
    <s v="PCA Hourly"/>
    <s v="T1019:U1"/>
    <x v="2"/>
    <x v="0"/>
    <x v="2"/>
    <m/>
    <n v="9"/>
    <n v="711"/>
    <n v="3766.25"/>
    <n v="9"/>
    <n v="711"/>
    <n v="3766.25"/>
    <x v="0"/>
  </r>
  <r>
    <n v="150"/>
    <x v="5"/>
    <s v="Hamaspik MAP PCA"/>
    <s v="MCO"/>
    <s v="MLTC"/>
    <s v="PRN (NB)"/>
    <m/>
    <x v="3"/>
    <x v="0"/>
    <x v="2"/>
    <m/>
    <n v="1"/>
    <n v="2"/>
    <n v="2"/>
    <n v="1"/>
    <n v="2"/>
    <n v="2"/>
    <x v="1"/>
  </r>
  <r>
    <n v="151"/>
    <x v="5"/>
    <s v="Hamaspik MAP PCA"/>
    <s v="MCO"/>
    <s v="MLTC"/>
    <s v="RN Initial (NB)"/>
    <m/>
    <x v="3"/>
    <x v="0"/>
    <x v="2"/>
    <m/>
    <n v="7"/>
    <n v="7"/>
    <n v="7"/>
    <n v="7"/>
    <n v="7"/>
    <n v="7"/>
    <x v="1"/>
  </r>
  <r>
    <n v="152"/>
    <x v="5"/>
    <s v="Hamaspik MAP PCA"/>
    <s v="MCO"/>
    <s v="MLTC"/>
    <s v="RN Reassessment (NB)"/>
    <m/>
    <x v="3"/>
    <x v="0"/>
    <x v="2"/>
    <m/>
    <n v="1"/>
    <n v="1"/>
    <n v="1"/>
    <n v="1"/>
    <n v="1"/>
    <n v="1"/>
    <x v="1"/>
  </r>
  <r>
    <n v="154"/>
    <x v="5"/>
    <s v="Healthfirst (ANT)"/>
    <s v="CHHA"/>
    <s v="MLTC"/>
    <s v="PRN (NB)"/>
    <m/>
    <x v="3"/>
    <x v="0"/>
    <x v="2"/>
    <m/>
    <n v="4"/>
    <n v="5"/>
    <n v="5"/>
    <n v="4"/>
    <n v="5"/>
    <n v="5"/>
    <x v="1"/>
  </r>
  <r>
    <n v="155"/>
    <x v="5"/>
    <s v="Healthfirst (ANT)"/>
    <s v="CHHA"/>
    <s v="MLTC"/>
    <s v="RN Initial (NB)"/>
    <m/>
    <x v="3"/>
    <x v="0"/>
    <x v="2"/>
    <m/>
    <n v="32"/>
    <n v="32"/>
    <n v="32"/>
    <n v="25"/>
    <n v="25"/>
    <n v="25"/>
    <x v="1"/>
  </r>
  <r>
    <n v="156"/>
    <x v="5"/>
    <s v="Healthfirst (ANT)"/>
    <s v="CHHA"/>
    <s v="MLTC"/>
    <s v="RN Reassessment (NB)"/>
    <m/>
    <x v="3"/>
    <x v="0"/>
    <x v="2"/>
    <m/>
    <n v="29"/>
    <n v="44"/>
    <n v="44"/>
    <n v="28"/>
    <n v="43"/>
    <n v="43"/>
    <x v="1"/>
  </r>
  <r>
    <n v="157"/>
    <x v="5"/>
    <s v="Healthfirst (ANT)"/>
    <s v="CHHA"/>
    <s v="MLTC"/>
    <s v="T1019:U1"/>
    <s v="T1019:U1"/>
    <x v="2"/>
    <x v="0"/>
    <x v="2"/>
    <m/>
    <n v="67"/>
    <n v="6630"/>
    <n v="39056"/>
    <n v="57"/>
    <n v="6349"/>
    <n v="37650.5"/>
    <x v="0"/>
  </r>
  <r>
    <n v="158"/>
    <x v="5"/>
    <s v="Healthfirst (ANT)"/>
    <s v="CHHA"/>
    <s v="MLTC"/>
    <s v="T1019:U1:CC"/>
    <s v="T1019:U1"/>
    <x v="2"/>
    <x v="0"/>
    <x v="2"/>
    <m/>
    <n v="1"/>
    <n v="8"/>
    <n v="62.5"/>
    <n v="1"/>
    <n v="8"/>
    <n v="62.5"/>
    <x v="0"/>
  </r>
  <r>
    <n v="159"/>
    <x v="5"/>
    <s v="Healthfirst (ANT)"/>
    <s v="CHHA"/>
    <s v="MLTC"/>
    <s v="T1019:U6"/>
    <s v="T1019:U6"/>
    <x v="1"/>
    <x v="1"/>
    <x v="1"/>
    <m/>
    <n v="1"/>
    <n v="39"/>
    <n v="175.5"/>
    <n v="1"/>
    <n v="39"/>
    <n v="175.5"/>
    <x v="0"/>
  </r>
  <r>
    <n v="160"/>
    <x v="5"/>
    <s v="Healthfirst (ANT)"/>
    <s v="CHHA"/>
    <s v="MLTC"/>
    <s v="T1020"/>
    <s v="T1020"/>
    <x v="8"/>
    <x v="0"/>
    <x v="2"/>
    <m/>
    <n v="1"/>
    <n v="31"/>
    <n v="403"/>
    <n v="1"/>
    <n v="31"/>
    <n v="403"/>
    <x v="0"/>
  </r>
  <r>
    <n v="164"/>
    <x v="5"/>
    <s v="Healthfirst (CDP)"/>
    <s v="CHHA"/>
    <s v="CDPAP"/>
    <s v="T1019:U6"/>
    <s v="T1019:U6"/>
    <x v="1"/>
    <x v="1"/>
    <x v="1"/>
    <m/>
    <n v="81"/>
    <n v="8998"/>
    <n v="47170.75"/>
    <n v="77"/>
    <n v="8803"/>
    <n v="46284"/>
    <x v="0"/>
  </r>
  <r>
    <n v="165"/>
    <x v="5"/>
    <s v="Healthfirst (CDP)"/>
    <s v="CHHA"/>
    <s v="CDPAP"/>
    <s v="T1019:U6:CC"/>
    <s v="T1019:U6"/>
    <x v="1"/>
    <x v="1"/>
    <x v="1"/>
    <m/>
    <n v="1"/>
    <n v="262"/>
    <n v="1362"/>
    <n v="1"/>
    <n v="262"/>
    <n v="1362"/>
    <x v="0"/>
  </r>
  <r>
    <n v="166"/>
    <x v="5"/>
    <s v="Healthfirst PCA MAP (Complete Care) (Non Live)"/>
    <s v="MCO"/>
    <s v="MLTC"/>
    <s v="RN Reassessment (NB)"/>
    <m/>
    <x v="3"/>
    <x v="0"/>
    <x v="2"/>
    <m/>
    <n v="1"/>
    <n v="1"/>
    <n v="1"/>
    <n v="1"/>
    <n v="1"/>
    <n v="1"/>
    <x v="1"/>
  </r>
  <r>
    <n v="167"/>
    <x v="5"/>
    <s v="HEALTHFIRST PHSP (Medicaid) (Non Live)"/>
    <s v="CHHA"/>
    <s v="MCO"/>
    <s v="PCA Hourly"/>
    <s v="T1019:U1"/>
    <x v="2"/>
    <x v="0"/>
    <x v="2"/>
    <m/>
    <n v="1"/>
    <n v="1"/>
    <n v="1"/>
    <n v="1"/>
    <n v="1"/>
    <n v="1"/>
    <x v="0"/>
  </r>
  <r>
    <n v="168"/>
    <x v="5"/>
    <s v="HEALTHFIRST PHSP (Medicaid) (Non Live)"/>
    <s v="CHHA"/>
    <s v="MCO"/>
    <s v="RN Initial (NB)"/>
    <m/>
    <x v="3"/>
    <x v="0"/>
    <x v="2"/>
    <m/>
    <n v="1"/>
    <n v="1"/>
    <n v="1"/>
    <n v="1"/>
    <n v="1"/>
    <n v="1"/>
    <x v="1"/>
  </r>
  <r>
    <n v="169"/>
    <x v="5"/>
    <s v="NHTD"/>
    <s v="LHCSA"/>
    <s v="Medicaid"/>
    <s v="HCSS 9795 NYC"/>
    <s v="9795"/>
    <x v="4"/>
    <x v="0"/>
    <x v="0"/>
    <m/>
    <n v="68"/>
    <n v="23886"/>
    <n v="268079.25"/>
    <n v="68"/>
    <n v="23886"/>
    <n v="268079.25"/>
    <x v="0"/>
  </r>
  <r>
    <n v="170"/>
    <x v="5"/>
    <s v="NHTD"/>
    <s v="LHCSA"/>
    <s v="Medicaid"/>
    <s v="Initial RN Visit 9799 (Hourly)"/>
    <s v="9799"/>
    <x v="4"/>
    <x v="0"/>
    <x v="0"/>
    <m/>
    <n v="39"/>
    <n v="39"/>
    <n v="38"/>
    <n v="39"/>
    <n v="39"/>
    <n v="39"/>
    <x v="2"/>
  </r>
  <r>
    <n v="171"/>
    <x v="5"/>
    <s v="NHTD"/>
    <s v="LHCSA"/>
    <s v="Medicaid"/>
    <s v="Non billable Hourly"/>
    <m/>
    <x v="4"/>
    <x v="0"/>
    <x v="0"/>
    <m/>
    <n v="1"/>
    <n v="4"/>
    <n v="48"/>
    <n v="1"/>
    <n v="4"/>
    <n v="48"/>
    <x v="0"/>
  </r>
  <r>
    <n v="172"/>
    <x v="5"/>
    <s v="NHTD"/>
    <s v="LHCSA"/>
    <s v="Medicaid"/>
    <s v="PRN (NB)"/>
    <m/>
    <x v="4"/>
    <x v="0"/>
    <x v="0"/>
    <m/>
    <n v="2"/>
    <n v="2"/>
    <n v="2"/>
    <n v="2"/>
    <n v="2"/>
    <n v="2"/>
    <x v="2"/>
  </r>
  <r>
    <n v="173"/>
    <x v="5"/>
    <s v="NHTD"/>
    <s v="LHCSA"/>
    <s v="Medicaid"/>
    <s v="RN Initial (NB)"/>
    <m/>
    <x v="4"/>
    <x v="0"/>
    <x v="0"/>
    <m/>
    <n v="5"/>
    <n v="5"/>
    <n v="5"/>
    <n v="5"/>
    <n v="5"/>
    <n v="5"/>
    <x v="2"/>
  </r>
  <r>
    <n v="174"/>
    <x v="5"/>
    <s v="NHTD"/>
    <s v="LHCSA"/>
    <s v="Medicaid"/>
    <s v="RN Reassessment (NB)"/>
    <m/>
    <x v="4"/>
    <x v="0"/>
    <x v="0"/>
    <m/>
    <n v="2"/>
    <n v="2"/>
    <n v="2"/>
    <n v="2"/>
    <n v="2"/>
    <n v="2"/>
    <x v="2"/>
  </r>
  <r>
    <n v="175"/>
    <x v="5"/>
    <s v="NHTD"/>
    <s v="LHCSA"/>
    <s v="Medicaid"/>
    <s v="RN Visit 9799 (Hourly)"/>
    <s v="9799"/>
    <x v="4"/>
    <x v="0"/>
    <x v="0"/>
    <m/>
    <n v="44"/>
    <n v="70"/>
    <n v="67.5"/>
    <n v="44"/>
    <n v="70"/>
    <n v="70"/>
    <x v="2"/>
  </r>
  <r>
    <n v="176"/>
    <x v="5"/>
    <s v="Non Billable"/>
    <s v="Other"/>
    <s v="Insurance"/>
    <s v="PA Hourly"/>
    <m/>
    <x v="5"/>
    <x v="0"/>
    <x v="3"/>
    <m/>
    <n v="2"/>
    <n v="8"/>
    <n v="38"/>
    <n v="2"/>
    <n v="8"/>
    <n v="38"/>
    <x v="0"/>
  </r>
  <r>
    <n v="177"/>
    <x v="5"/>
    <s v="Non Billable"/>
    <s v="Other"/>
    <s v="Insurance"/>
    <s v="PCA Hourly"/>
    <m/>
    <x v="5"/>
    <x v="0"/>
    <x v="3"/>
    <m/>
    <n v="21"/>
    <n v="33"/>
    <n v="97.75"/>
    <n v="21"/>
    <n v="33"/>
    <n v="97.75"/>
    <x v="0"/>
  </r>
  <r>
    <n v="178"/>
    <x v="5"/>
    <s v="Prime Home Health Services"/>
    <s v="CHHA"/>
    <s v="CHHA"/>
    <s v="HHAHRPED"/>
    <s v="99999"/>
    <x v="0"/>
    <x v="0"/>
    <x v="0"/>
    <s v="CHHA"/>
    <n v="6"/>
    <n v="271"/>
    <n v="2013.5"/>
    <n v="6"/>
    <n v="271"/>
    <n v="2013.5"/>
    <x v="0"/>
  </r>
  <r>
    <n v="179"/>
    <x v="5"/>
    <s v="Private Pay"/>
    <s v="Other"/>
    <s v="Private"/>
    <s v="PCA Hourly"/>
    <m/>
    <x v="5"/>
    <x v="0"/>
    <x v="3"/>
    <m/>
    <n v="9"/>
    <n v="17"/>
    <n v="60.25"/>
    <n v="7"/>
    <n v="10"/>
    <n v="34.25"/>
    <x v="0"/>
  </r>
  <r>
    <n v="180"/>
    <x v="5"/>
    <s v="Private Pay - Select"/>
    <s v="Other"/>
    <s v="Private"/>
    <s v="PCA Hourly"/>
    <m/>
    <x v="5"/>
    <x v="0"/>
    <x v="3"/>
    <m/>
    <n v="2"/>
    <n v="210"/>
    <n v="1126.5"/>
    <n v="2"/>
    <n v="210"/>
    <n v="1126.5"/>
    <x v="0"/>
  </r>
  <r>
    <n v="181"/>
    <x v="5"/>
    <s v="Private Pay - Select"/>
    <s v="Other"/>
    <s v="Private"/>
    <s v="RN Initial (NB)"/>
    <m/>
    <x v="5"/>
    <x v="0"/>
    <x v="3"/>
    <m/>
    <n v="1"/>
    <n v="1"/>
    <n v="0.5"/>
    <n v="1"/>
    <n v="1"/>
    <n v="1"/>
    <x v="0"/>
  </r>
  <r>
    <n v="182"/>
    <x v="5"/>
    <s v="Private Pay - Select"/>
    <s v="Other"/>
    <s v="Private"/>
    <s v="RN Reassessment (NB)"/>
    <m/>
    <x v="5"/>
    <x v="0"/>
    <x v="3"/>
    <m/>
    <n v="1"/>
    <n v="2"/>
    <n v="1"/>
    <n v="1"/>
    <n v="2"/>
    <n v="2"/>
    <x v="0"/>
  </r>
  <r>
    <n v="183"/>
    <x v="5"/>
    <s v="Revival Home Health Care"/>
    <s v="CHHA"/>
    <s v="CHHA"/>
    <s v="Rate1"/>
    <s v="S9122"/>
    <x v="0"/>
    <x v="0"/>
    <x v="0"/>
    <s v="CHHA"/>
    <n v="1"/>
    <n v="1"/>
    <n v="4"/>
    <n v="1"/>
    <n v="1"/>
    <n v="4"/>
    <x v="0"/>
  </r>
  <r>
    <n v="184"/>
    <x v="5"/>
    <s v="Royal Care Certified of NY"/>
    <s v="Other"/>
    <m/>
    <s v="Rate 1"/>
    <s v="na"/>
    <x v="0"/>
    <x v="0"/>
    <x v="0"/>
    <s v="CHHA"/>
    <n v="2"/>
    <n v="6"/>
    <n v="23"/>
    <n v="1"/>
    <n v="4"/>
    <n v="15"/>
    <x v="0"/>
  </r>
  <r>
    <n v="185"/>
    <x v="5"/>
    <s v="SWHNY-MLTC (ANT)"/>
    <s v="Other"/>
    <s v="MLTC"/>
    <s v="PRN (NB)"/>
    <m/>
    <x v="3"/>
    <x v="0"/>
    <x v="2"/>
    <m/>
    <n v="2"/>
    <n v="2"/>
    <n v="2"/>
    <n v="2"/>
    <n v="2"/>
    <n v="2"/>
    <x v="1"/>
  </r>
  <r>
    <n v="186"/>
    <x v="5"/>
    <s v="SWHNY-MLTC (ANT)"/>
    <s v="Other"/>
    <s v="MLTC"/>
    <s v="RN Initial (NB)"/>
    <m/>
    <x v="3"/>
    <x v="0"/>
    <x v="2"/>
    <m/>
    <n v="1"/>
    <n v="1"/>
    <n v="1"/>
    <n v="1"/>
    <n v="1"/>
    <n v="1"/>
    <x v="1"/>
  </r>
  <r>
    <n v="187"/>
    <x v="5"/>
    <s v="SWHNY-MLTC (ANT)"/>
    <s v="Other"/>
    <s v="MLTC"/>
    <s v="RN Reassessment (NB)"/>
    <m/>
    <x v="3"/>
    <x v="0"/>
    <x v="2"/>
    <m/>
    <n v="5"/>
    <n v="9"/>
    <n v="9"/>
    <n v="5"/>
    <n v="9"/>
    <n v="9"/>
    <x v="1"/>
  </r>
  <r>
    <n v="188"/>
    <x v="5"/>
    <s v="SWHNY-MLTC (ANT)"/>
    <s v="Other"/>
    <s v="MLTC"/>
    <s v="T1019:U1"/>
    <s v="T1019:U1"/>
    <x v="2"/>
    <x v="0"/>
    <x v="2"/>
    <m/>
    <n v="10"/>
    <n v="1412"/>
    <n v="11659.75"/>
    <n v="10"/>
    <n v="1412"/>
    <n v="11659.75"/>
    <x v="0"/>
  </r>
  <r>
    <n v="193"/>
    <x v="5"/>
    <s v="SWHNY-MLTC (CDP)"/>
    <s v="Other"/>
    <s v="CDPAP"/>
    <s v="T1019:U6"/>
    <s v="T1019:U6"/>
    <x v="1"/>
    <x v="1"/>
    <x v="1"/>
    <m/>
    <n v="28"/>
    <n v="6681"/>
    <n v="37952.5"/>
    <n v="26"/>
    <n v="6584"/>
    <n v="37068.5"/>
    <x v="0"/>
  </r>
  <r>
    <n v="194"/>
    <x v="5"/>
    <s v="SWHNY-MLTC (CDP)"/>
    <s v="Other"/>
    <s v="CDPAP"/>
    <s v="T1020:U6"/>
    <s v="T1020:U6"/>
    <x v="9"/>
    <x v="1"/>
    <x v="1"/>
    <m/>
    <n v="1"/>
    <n v="366"/>
    <n v="4758"/>
    <n v="1"/>
    <n v="366"/>
    <n v="4758"/>
    <x v="0"/>
  </r>
  <r>
    <n v="197"/>
    <x v="5"/>
    <s v="VillageCare CDPAP"/>
    <s v="MCO"/>
    <s v="CDPAP"/>
    <s v="PA Hourly"/>
    <s v="T1019:U6"/>
    <x v="1"/>
    <x v="1"/>
    <x v="1"/>
    <m/>
    <n v="124"/>
    <n v="15367"/>
    <n v="81625.25"/>
    <n v="113"/>
    <n v="15017"/>
    <n v="79356.75"/>
    <x v="0"/>
  </r>
  <r>
    <n v="198"/>
    <x v="5"/>
    <s v="VillageCare CDPAP"/>
    <s v="MCO"/>
    <s v="CDPAP"/>
    <s v="PA Hourly Mutual"/>
    <s v="T1019:U7"/>
    <x v="10"/>
    <x v="1"/>
    <x v="1"/>
    <m/>
    <n v="3"/>
    <n v="326"/>
    <n v="1002.75"/>
    <n v="3"/>
    <n v="326"/>
    <n v="1002.75"/>
    <x v="0"/>
  </r>
  <r>
    <n v="199"/>
    <x v="5"/>
    <s v="VillageCare PCA"/>
    <s v="MLTC"/>
    <s v="MLTC"/>
    <s v="Aide Supervision (NB)"/>
    <m/>
    <x v="7"/>
    <x v="0"/>
    <x v="2"/>
    <m/>
    <n v="2"/>
    <n v="2"/>
    <n v="2"/>
    <n v="2"/>
    <n v="2"/>
    <n v="2"/>
    <x v="1"/>
  </r>
  <r>
    <n v="200"/>
    <x v="5"/>
    <s v="VillageCare PCA"/>
    <s v="MLTC"/>
    <s v="MLTC"/>
    <s v="PCA - Live In"/>
    <s v="T1020"/>
    <x v="8"/>
    <x v="0"/>
    <x v="2"/>
    <m/>
    <n v="3"/>
    <n v="134"/>
    <n v="1742"/>
    <n v="3"/>
    <n v="134"/>
    <n v="1742"/>
    <x v="0"/>
  </r>
  <r>
    <n v="201"/>
    <x v="5"/>
    <s v="VillageCare PCA"/>
    <s v="MLTC"/>
    <s v="MLTC"/>
    <s v="PCA - Live In TV"/>
    <s v="T1020:TV"/>
    <x v="8"/>
    <x v="0"/>
    <x v="2"/>
    <m/>
    <n v="2"/>
    <n v="16"/>
    <n v="208"/>
    <n v="2"/>
    <n v="16"/>
    <n v="208"/>
    <x v="0"/>
  </r>
  <r>
    <n v="202"/>
    <x v="5"/>
    <s v="VillageCare PCA"/>
    <s v="MLTC"/>
    <s v="MLTC"/>
    <s v="PCA Cluster Care"/>
    <s v="T1019:U3"/>
    <x v="11"/>
    <x v="0"/>
    <x v="2"/>
    <m/>
    <n v="63"/>
    <n v="6809"/>
    <n v="11883.25"/>
    <n v="63"/>
    <n v="6809"/>
    <n v="11883.25"/>
    <x v="0"/>
  </r>
  <r>
    <n v="203"/>
    <x v="5"/>
    <s v="VillageCare PCA"/>
    <s v="MLTC"/>
    <s v="MLTC"/>
    <s v="PCA Hourly"/>
    <s v="T1019:U1"/>
    <x v="2"/>
    <x v="0"/>
    <x v="2"/>
    <m/>
    <n v="185"/>
    <n v="15754"/>
    <n v="79717.25"/>
    <n v="179"/>
    <n v="15592"/>
    <n v="78632.25"/>
    <x v="0"/>
  </r>
  <r>
    <n v="204"/>
    <x v="5"/>
    <s v="VillageCare PCA"/>
    <s v="MLTC"/>
    <s v="MLTC"/>
    <s v="PCA Hourly"/>
    <s v="T1019:U1:TV"/>
    <x v="2"/>
    <x v="0"/>
    <x v="2"/>
    <m/>
    <n v="75"/>
    <n v="2448"/>
    <n v="14957.75"/>
    <n v="71"/>
    <n v="2395"/>
    <n v="14615.25"/>
    <x v="0"/>
  </r>
  <r>
    <n v="205"/>
    <x v="5"/>
    <s v="VillageCare PCA"/>
    <s v="MLTC"/>
    <s v="MLTC"/>
    <s v="PCA Hourly Mutual"/>
    <s v="T1019:U2"/>
    <x v="11"/>
    <x v="0"/>
    <x v="2"/>
    <m/>
    <n v="2"/>
    <n v="264"/>
    <n v="786.5"/>
    <n v="2"/>
    <n v="264"/>
    <n v="786.5"/>
    <x v="0"/>
  </r>
  <r>
    <n v="206"/>
    <x v="5"/>
    <s v="VillageCare PCA"/>
    <s v="MLTC"/>
    <s v="MLTC"/>
    <s v="PCA Hourly Mutual TV"/>
    <s v="T1019:U2:TV"/>
    <x v="11"/>
    <x v="0"/>
    <x v="2"/>
    <m/>
    <n v="1"/>
    <n v="6"/>
    <n v="16.75"/>
    <n v="1"/>
    <n v="6"/>
    <n v="16.75"/>
    <x v="0"/>
  </r>
  <r>
    <n v="207"/>
    <x v="5"/>
    <s v="VillageCare PCA"/>
    <s v="MLTC"/>
    <s v="MLTC"/>
    <s v="PCA Hourly TV"/>
    <s v="T1019:U1:TV"/>
    <x v="2"/>
    <x v="0"/>
    <x v="2"/>
    <m/>
    <n v="37"/>
    <n v="382"/>
    <n v="2057.75"/>
    <n v="36"/>
    <n v="380"/>
    <n v="2044.75"/>
    <x v="0"/>
  </r>
  <r>
    <n v="208"/>
    <x v="5"/>
    <s v="VillageCare PCA"/>
    <s v="MLTC"/>
    <s v="MLTC"/>
    <s v="PRN (NB)"/>
    <m/>
    <x v="3"/>
    <x v="0"/>
    <x v="2"/>
    <m/>
    <n v="7"/>
    <n v="8"/>
    <n v="8"/>
    <n v="6"/>
    <n v="7"/>
    <n v="7"/>
    <x v="1"/>
  </r>
  <r>
    <n v="209"/>
    <x v="5"/>
    <s v="VillageCare PCA"/>
    <s v="MLTC"/>
    <s v="MLTC"/>
    <s v="RN Initial (NB)"/>
    <m/>
    <x v="3"/>
    <x v="0"/>
    <x v="2"/>
    <m/>
    <n v="6"/>
    <n v="6"/>
    <n v="6"/>
    <n v="6"/>
    <n v="6"/>
    <n v="6"/>
    <x v="1"/>
  </r>
  <r>
    <n v="210"/>
    <x v="5"/>
    <s v="VillageCare PCA"/>
    <s v="MLTC"/>
    <s v="MLTC"/>
    <s v="RN Initial Visit"/>
    <s v="T1030"/>
    <x v="7"/>
    <x v="0"/>
    <x v="2"/>
    <m/>
    <n v="174"/>
    <n v="177"/>
    <n v="177"/>
    <n v="170"/>
    <n v="173"/>
    <n v="173"/>
    <x v="3"/>
  </r>
  <r>
    <n v="211"/>
    <x v="5"/>
    <s v="VillageCare PCA"/>
    <s v="MLTC"/>
    <s v="MLTC"/>
    <s v="RN Reassessment (NB)"/>
    <m/>
    <x v="3"/>
    <x v="0"/>
    <x v="2"/>
    <m/>
    <n v="91"/>
    <n v="127"/>
    <n v="127"/>
    <n v="90"/>
    <n v="126"/>
    <n v="126"/>
    <x v="1"/>
  </r>
  <r>
    <n v="212"/>
    <x v="5"/>
    <s v="VNS Health Health Plans (ANT)"/>
    <s v="MLTC"/>
    <s v="MLTC"/>
    <s v="PRN (NB)"/>
    <m/>
    <x v="3"/>
    <x v="0"/>
    <x v="2"/>
    <m/>
    <n v="7"/>
    <n v="7"/>
    <n v="7"/>
    <n v="7"/>
    <n v="7"/>
    <n v="7"/>
    <x v="1"/>
  </r>
  <r>
    <n v="213"/>
    <x v="5"/>
    <s v="VNS Health Health Plans (ANT)"/>
    <s v="MLTC"/>
    <s v="MLTC"/>
    <s v="RN Initial (NB)"/>
    <m/>
    <x v="3"/>
    <x v="0"/>
    <x v="2"/>
    <m/>
    <n v="35"/>
    <n v="35"/>
    <n v="35"/>
    <n v="32"/>
    <n v="32"/>
    <n v="32"/>
    <x v="1"/>
  </r>
  <r>
    <n v="214"/>
    <x v="5"/>
    <s v="VNS Health Health Plans (ANT)"/>
    <s v="MLTC"/>
    <s v="MLTC"/>
    <s v="RN Reassessment (NB)"/>
    <m/>
    <x v="3"/>
    <x v="0"/>
    <x v="2"/>
    <m/>
    <n v="38"/>
    <n v="53"/>
    <n v="53"/>
    <n v="38"/>
    <n v="53"/>
    <n v="53"/>
    <x v="1"/>
  </r>
  <r>
    <n v="215"/>
    <x v="5"/>
    <s v="VNS Health Health Plans (ANT)"/>
    <s v="MLTC"/>
    <s v="MLTC"/>
    <s v="T1019U1 BX"/>
    <s v="T1019:U1"/>
    <x v="2"/>
    <x v="0"/>
    <x v="2"/>
    <m/>
    <n v="69"/>
    <n v="8194"/>
    <n v="51805"/>
    <n v="65"/>
    <n v="8077"/>
    <n v="51465.25"/>
    <x v="0"/>
  </r>
  <r>
    <n v="216"/>
    <x v="5"/>
    <s v="VNS Health Health Plans (ANT)"/>
    <s v="MLTC"/>
    <s v="MLTC"/>
    <s v="T1019U1 BX MAP"/>
    <s v="T1019:U1"/>
    <x v="2"/>
    <x v="0"/>
    <x v="2"/>
    <m/>
    <n v="1"/>
    <n v="1"/>
    <n v="7.25"/>
    <n v="1"/>
    <n v="1"/>
    <n v="7.25"/>
    <x v="0"/>
  </r>
  <r>
    <n v="217"/>
    <x v="5"/>
    <s v="VNS Health Health Plans (ANT)"/>
    <s v="MLTC"/>
    <s v="MLTC"/>
    <s v="T1019U1 K"/>
    <s v="T1019:U1"/>
    <x v="2"/>
    <x v="0"/>
    <x v="2"/>
    <m/>
    <n v="1"/>
    <n v="220"/>
    <n v="1368"/>
    <n v="1"/>
    <n v="220"/>
    <n v="1368"/>
    <x v="0"/>
  </r>
  <r>
    <n v="218"/>
    <x v="5"/>
    <s v="VNS Health Health Plans (ANT)"/>
    <s v="MLTC"/>
    <s v="MLTC"/>
    <s v="T1019U2 BX"/>
    <s v="T1019:U2"/>
    <x v="11"/>
    <x v="0"/>
    <x v="2"/>
    <m/>
    <n v="2"/>
    <n v="100"/>
    <n v="1072"/>
    <n v="2"/>
    <n v="100"/>
    <n v="1072"/>
    <x v="0"/>
  </r>
  <r>
    <n v="219"/>
    <x v="5"/>
    <s v="VNS Health Health Plans (ANT)"/>
    <s v="MLTC"/>
    <s v="MLTC"/>
    <s v="T1020 BX"/>
    <s v="T1020"/>
    <x v="8"/>
    <x v="0"/>
    <x v="2"/>
    <m/>
    <n v="3"/>
    <n v="488"/>
    <n v="6344"/>
    <n v="3"/>
    <n v="488"/>
    <n v="6344"/>
    <x v="0"/>
  </r>
  <r>
    <n v="220"/>
    <x v="5"/>
    <s v="VNS Health Health Plans (ANT)"/>
    <s v="MLTC"/>
    <s v="MLTC"/>
    <s v="T1020U2 BX"/>
    <s v="T1020:U2"/>
    <x v="8"/>
    <x v="0"/>
    <x v="2"/>
    <m/>
    <n v="1"/>
    <n v="1"/>
    <n v="13"/>
    <n v="1"/>
    <n v="1"/>
    <n v="13"/>
    <x v="0"/>
  </r>
  <r>
    <n v="223"/>
    <x v="5"/>
    <s v="VNS Health Health Plans (CDP)"/>
    <s v="MLTC"/>
    <s v="CDPAP"/>
    <s v="T1019U6 BX"/>
    <s v="T1019:U6"/>
    <x v="1"/>
    <x v="1"/>
    <x v="1"/>
    <m/>
    <n v="60"/>
    <n v="11217"/>
    <n v="48716"/>
    <n v="53"/>
    <n v="10730"/>
    <n v="46549.25"/>
    <x v="0"/>
  </r>
  <r>
    <n v="224"/>
    <x v="5"/>
    <s v="VNS Health Health Plans (CDP)"/>
    <s v="MLTC"/>
    <s v="CDPAP"/>
    <s v="T1019U6 BX MAP"/>
    <s v="T1019:U6"/>
    <x v="1"/>
    <x v="1"/>
    <x v="1"/>
    <m/>
    <n v="1"/>
    <n v="262"/>
    <n v="1154.5"/>
    <n v="1"/>
    <n v="262"/>
    <n v="1154.5"/>
    <x v="0"/>
  </r>
  <r>
    <n v="225"/>
    <x v="5"/>
    <s v="VNS Health Health Plans (CDP)"/>
    <s v="MLTC"/>
    <s v="CDPAP"/>
    <s v="T1019U6 K"/>
    <s v="T1019:U6"/>
    <x v="1"/>
    <x v="1"/>
    <x v="1"/>
    <m/>
    <n v="1"/>
    <n v="67"/>
    <n v="201"/>
    <n v="1"/>
    <n v="67"/>
    <n v="201"/>
    <x v="0"/>
  </r>
  <r>
    <n v="226"/>
    <x v="5"/>
    <s v="VNS Health Health Plans (CDP)"/>
    <s v="MLTC"/>
    <s v="CDPAP"/>
    <s v="T1019U6 NYC"/>
    <s v="T1019:U6"/>
    <x v="1"/>
    <x v="1"/>
    <x v="1"/>
    <m/>
    <n v="2"/>
    <n v="613"/>
    <n v="2232.5"/>
    <n v="2"/>
    <n v="613"/>
    <n v="2232.5"/>
    <x v="0"/>
  </r>
  <r>
    <n v="227"/>
    <x v="5"/>
    <s v="VNS Health Health Plans (CDP)"/>
    <s v="MLTC"/>
    <s v="CDPAP"/>
    <s v="T1019U7 NYC"/>
    <s v="T1019:U7"/>
    <x v="10"/>
    <x v="1"/>
    <x v="1"/>
    <m/>
    <n v="2"/>
    <n v="552"/>
    <n v="3284.5"/>
    <n v="2"/>
    <n v="552"/>
    <n v="3284.5"/>
    <x v="0"/>
  </r>
  <r>
    <n v="228"/>
    <x v="5"/>
    <s v="VNSNY CHOICE PCA"/>
    <s v="LHCSA"/>
    <s v="MLTC"/>
    <s v="PCA Hourly"/>
    <s v="T1019:U1"/>
    <x v="2"/>
    <x v="0"/>
    <x v="2"/>
    <m/>
    <n v="1"/>
    <n v="9"/>
    <n v="16.25"/>
    <n v="1"/>
    <n v="9"/>
    <n v="16.25"/>
    <x v="0"/>
  </r>
  <r>
    <n v="229"/>
    <x v="5"/>
    <s v="VNSNY CHOICE PCA"/>
    <s v="LHCSA"/>
    <s v="MLTC"/>
    <s v="PCA Hourly Housekeeping"/>
    <s v="S5130:U1::::S5130"/>
    <x v="6"/>
    <x v="0"/>
    <x v="2"/>
    <m/>
    <n v="1"/>
    <n v="114"/>
    <n v="222"/>
    <n v="1"/>
    <n v="114"/>
    <n v="222"/>
    <x v="0"/>
  </r>
  <r>
    <n v="230"/>
    <x v="5"/>
    <s v="VNSNY CHOICE PCA"/>
    <s v="LHCSA"/>
    <s v="MLTC"/>
    <s v="RN Initial (NB)"/>
    <m/>
    <x v="3"/>
    <x v="0"/>
    <x v="2"/>
    <m/>
    <n v="1"/>
    <n v="1"/>
    <n v="1"/>
    <n v="1"/>
    <n v="1"/>
    <n v="1"/>
    <x v="1"/>
  </r>
  <r>
    <n v="231"/>
    <x v="5"/>
    <s v="VNSNY CHOICE PCA"/>
    <s v="LHCSA"/>
    <s v="MLTC"/>
    <s v="RN Reassessment (NB)"/>
    <m/>
    <x v="3"/>
    <x v="0"/>
    <x v="2"/>
    <m/>
    <n v="2"/>
    <n v="2"/>
    <n v="2"/>
    <n v="2"/>
    <n v="2"/>
    <n v="2"/>
    <x v="1"/>
  </r>
  <r>
    <n v="236"/>
    <x v="8"/>
    <s v="Fidelis Care (CDP)"/>
    <s v="LHCSA"/>
    <s v="CDPAP"/>
    <s v="T1019:U6"/>
    <s v="T1019:U6"/>
    <x v="1"/>
    <x v="1"/>
    <x v="1"/>
    <m/>
    <n v="32"/>
    <n v="4448"/>
    <n v="22299.75"/>
    <n v="32"/>
    <n v="4448"/>
    <n v="22299.75"/>
    <x v="0"/>
  </r>
  <r>
    <n v="240"/>
    <x v="8"/>
    <s v="Nascentia Health Options CDPAP"/>
    <s v="MLTC"/>
    <s v="CDPAP"/>
    <s v="PA Hourly"/>
    <s v="T1019:U6"/>
    <x v="1"/>
    <x v="1"/>
    <x v="1"/>
    <m/>
    <n v="31"/>
    <n v="4482"/>
    <n v="26558"/>
    <n v="31"/>
    <n v="4482"/>
    <n v="26558"/>
    <x v="0"/>
  </r>
  <r>
    <n v="242"/>
    <x v="8"/>
    <s v="VNS Health Health Plans (CDP)"/>
    <s v="MLTC"/>
    <s v="CDPAP"/>
    <s v="T1019U6 SCH"/>
    <s v="T1019:U6"/>
    <x v="1"/>
    <x v="1"/>
    <x v="1"/>
    <m/>
    <n v="1"/>
    <n v="215"/>
    <n v="1895.5"/>
    <n v="1"/>
    <n v="215"/>
    <n v="1895.5"/>
    <x v="0"/>
  </r>
  <r>
    <n v="244"/>
    <x v="9"/>
    <s v="Fidelis Care (CDP)"/>
    <s v="LHCSA"/>
    <s v="CDPAP"/>
    <s v="T1019:U6"/>
    <s v="T1019:U6"/>
    <x v="1"/>
    <x v="1"/>
    <x v="1"/>
    <m/>
    <n v="10"/>
    <n v="804"/>
    <n v="3629.5"/>
    <n v="10"/>
    <n v="804"/>
    <n v="3629.5"/>
    <x v="0"/>
  </r>
  <r>
    <n v="246"/>
    <x v="9"/>
    <s v="Nascentia Health Options CDPAP"/>
    <s v="MLTC"/>
    <s v="CDPAP"/>
    <s v="PA Hourly"/>
    <s v="T1019:U6"/>
    <x v="1"/>
    <x v="1"/>
    <x v="1"/>
    <m/>
    <n v="6"/>
    <n v="1160"/>
    <n v="5803.5"/>
    <n v="6"/>
    <n v="1160"/>
    <n v="5803.5"/>
    <x v="0"/>
  </r>
  <r>
    <n v="249"/>
    <x v="10"/>
    <s v="Fidelis Care (CDP)"/>
    <s v="LHCSA"/>
    <s v="CDPAP"/>
    <s v="T1019:U6"/>
    <s v="T1019:U6"/>
    <x v="1"/>
    <x v="1"/>
    <x v="1"/>
    <m/>
    <n v="7"/>
    <n v="1079"/>
    <n v="5755"/>
    <n v="7"/>
    <n v="1079"/>
    <n v="5755"/>
    <x v="0"/>
  </r>
  <r>
    <n v="252"/>
    <x v="10"/>
    <s v="Nascentia Health Options CDPAP"/>
    <s v="MLTC"/>
    <s v="CDPAP"/>
    <s v="PA Hourly"/>
    <s v="T1019:U6"/>
    <x v="1"/>
    <x v="1"/>
    <x v="1"/>
    <m/>
    <n v="3"/>
    <n v="504"/>
    <n v="3102"/>
    <n v="3"/>
    <n v="504"/>
    <n v="3102"/>
    <x v="0"/>
  </r>
  <r>
    <n v="254"/>
    <x v="11"/>
    <s v="Fidelis Care (CDP)"/>
    <s v="LHCSA"/>
    <s v="CDPAP"/>
    <s v="T1019:U6"/>
    <s v="T1019:U6"/>
    <x v="1"/>
    <x v="1"/>
    <x v="1"/>
    <m/>
    <n v="23"/>
    <n v="3280"/>
    <n v="12913.75"/>
    <n v="23"/>
    <n v="3280"/>
    <n v="12913.75"/>
    <x v="0"/>
  </r>
  <r>
    <n v="256"/>
    <x v="11"/>
    <s v="Nascentia Health Options CDPAP"/>
    <s v="MLTC"/>
    <s v="CDPAP"/>
    <s v="PA Hourly"/>
    <s v="T1019:U6"/>
    <x v="1"/>
    <x v="1"/>
    <x v="1"/>
    <m/>
    <n v="11"/>
    <n v="910"/>
    <n v="4498"/>
    <n v="11"/>
    <n v="910"/>
    <n v="4498"/>
    <x v="0"/>
  </r>
  <r>
    <n v="257"/>
    <x v="11"/>
    <s v="Nascentia Health Options CDPAP"/>
    <s v="MLTC"/>
    <s v="CDPAP"/>
    <s v="PA Hourly - Mutual"/>
    <s v="T1019:U7"/>
    <x v="10"/>
    <x v="1"/>
    <x v="1"/>
    <m/>
    <n v="2"/>
    <n v="425"/>
    <n v="1430.25"/>
    <n v="2"/>
    <n v="425"/>
    <n v="1430.25"/>
    <x v="0"/>
  </r>
  <r>
    <n v="260"/>
    <x v="12"/>
    <s v="Fidelis Care (CDP)"/>
    <s v="LHCSA"/>
    <s v="CDPAP"/>
    <s v="T1019:U6"/>
    <s v="T1019:U6"/>
    <x v="1"/>
    <x v="1"/>
    <x v="1"/>
    <m/>
    <n v="13"/>
    <n v="1927"/>
    <n v="10513.25"/>
    <n v="13"/>
    <n v="1927"/>
    <n v="10513.25"/>
    <x v="0"/>
  </r>
  <r>
    <n v="262"/>
    <x v="12"/>
    <s v="Nascentia Health Options CDPAP"/>
    <s v="MLTC"/>
    <s v="CDPAP"/>
    <s v="PA Hourly"/>
    <s v="T1019:U6"/>
    <x v="1"/>
    <x v="1"/>
    <x v="1"/>
    <m/>
    <n v="11"/>
    <n v="1633"/>
    <n v="7196.25"/>
    <n v="11"/>
    <n v="1633"/>
    <n v="7196.25"/>
    <x v="0"/>
  </r>
  <r>
    <n v="265"/>
    <x v="13"/>
    <s v="Fidelis Care (CDP)"/>
    <s v="LHCSA"/>
    <s v="CDPAP"/>
    <s v="T1019:U6"/>
    <s v="T1019:U6"/>
    <x v="1"/>
    <x v="1"/>
    <x v="1"/>
    <m/>
    <n v="11"/>
    <n v="900"/>
    <n v="5514.75"/>
    <n v="11"/>
    <n v="900"/>
    <n v="5514.75"/>
    <x v="0"/>
  </r>
  <r>
    <n v="267"/>
    <x v="13"/>
    <s v="Nascentia Health Options CDPAP"/>
    <s v="MLTC"/>
    <s v="CDPAP"/>
    <s v="PA Hourly"/>
    <s v="T1019:U6"/>
    <x v="1"/>
    <x v="1"/>
    <x v="1"/>
    <m/>
    <n v="6"/>
    <n v="771"/>
    <n v="3591.25"/>
    <n v="6"/>
    <n v="771"/>
    <n v="3591.25"/>
    <x v="0"/>
  </r>
  <r>
    <n v="269"/>
    <x v="14"/>
    <s v="Fidelis Care (CDP)"/>
    <s v="LHCSA"/>
    <s v="CDPAP"/>
    <s v="T1019:U6"/>
    <s v="T1019:U6"/>
    <x v="1"/>
    <x v="1"/>
    <x v="1"/>
    <m/>
    <n v="1"/>
    <n v="84"/>
    <n v="353"/>
    <n v="1"/>
    <n v="84"/>
    <n v="353"/>
    <x v="0"/>
  </r>
  <r>
    <n v="271"/>
    <x v="14"/>
    <s v="Fidelis Care (CDP)"/>
    <s v="LHCSA"/>
    <s v="CDPAP"/>
    <s v="T1019:U6"/>
    <s v="T1019:U6"/>
    <x v="1"/>
    <x v="1"/>
    <x v="1"/>
    <m/>
    <n v="4"/>
    <n v="268"/>
    <n v="1347.75"/>
    <n v="4"/>
    <n v="268"/>
    <n v="1347.75"/>
    <x v="0"/>
  </r>
  <r>
    <n v="274"/>
    <x v="14"/>
    <s v="Nascentia Health Options CDPAP"/>
    <s v="MLTC"/>
    <s v="CDPAP"/>
    <s v="PA Hourly"/>
    <s v="T1019:U6"/>
    <x v="1"/>
    <x v="1"/>
    <x v="1"/>
    <m/>
    <n v="6"/>
    <n v="1347"/>
    <n v="5884.5"/>
    <n v="6"/>
    <n v="1347"/>
    <n v="5884.5"/>
    <x v="0"/>
  </r>
  <r>
    <n v="275"/>
    <x v="15"/>
    <s v="VNS Health Health Plans (ANT)"/>
    <s v="MLTC"/>
    <s v="MLTC"/>
    <s v="RN Initial (NB)"/>
    <m/>
    <x v="3"/>
    <x v="0"/>
    <x v="2"/>
    <m/>
    <n v="1"/>
    <n v="1"/>
    <n v="1"/>
    <n v="1"/>
    <n v="1"/>
    <n v="1"/>
    <x v="1"/>
  </r>
  <r>
    <n v="276"/>
    <x v="15"/>
    <s v="VNS Health Health Plans (ANT)"/>
    <s v="MLTC"/>
    <s v="MLTC"/>
    <s v="RN Reassessment (NB)"/>
    <m/>
    <x v="3"/>
    <x v="0"/>
    <x v="2"/>
    <m/>
    <n v="1"/>
    <n v="1"/>
    <n v="1"/>
    <n v="1"/>
    <n v="1"/>
    <n v="1"/>
    <x v="1"/>
  </r>
  <r>
    <n v="277"/>
    <x v="15"/>
    <s v="VNS Health Health Plans (ANT)"/>
    <s v="MLTC"/>
    <s v="MLTC"/>
    <s v="T1019U1 ALB"/>
    <s v="T1019:U1"/>
    <x v="2"/>
    <x v="0"/>
    <x v="2"/>
    <m/>
    <n v="1"/>
    <n v="145"/>
    <n v="613.25"/>
    <n v="1"/>
    <n v="145"/>
    <n v="613.25"/>
    <x v="0"/>
  </r>
  <r>
    <n v="280"/>
    <x v="15"/>
    <s v="VNS Health Health Plans (CDP)"/>
    <s v="MLTC"/>
    <s v="CDPAP"/>
    <s v="T1019U6 COL"/>
    <s v="T1019:U6"/>
    <x v="1"/>
    <x v="1"/>
    <x v="1"/>
    <m/>
    <n v="5"/>
    <n v="624"/>
    <n v="1958.75"/>
    <n v="5"/>
    <n v="624"/>
    <n v="1958.75"/>
    <x v="0"/>
  </r>
  <r>
    <n v="282"/>
    <x v="16"/>
    <s v="Fidelis Care (CDP)"/>
    <s v="LHCSA"/>
    <s v="CDPAP"/>
    <s v="T1019:U6"/>
    <s v="T1019:U6"/>
    <x v="1"/>
    <x v="1"/>
    <x v="1"/>
    <m/>
    <n v="5"/>
    <n v="510"/>
    <n v="2569.75"/>
    <n v="5"/>
    <n v="510"/>
    <n v="2569.75"/>
    <x v="0"/>
  </r>
  <r>
    <n v="285"/>
    <x v="16"/>
    <s v="Nascentia Health Options CDPAP"/>
    <s v="MLTC"/>
    <s v="CDPAP"/>
    <s v="PA Hourly"/>
    <s v="T1019:U6"/>
    <x v="1"/>
    <x v="1"/>
    <x v="1"/>
    <m/>
    <n v="3"/>
    <n v="317"/>
    <n v="1835.25"/>
    <n v="3"/>
    <n v="317"/>
    <n v="1835.25"/>
    <x v="0"/>
  </r>
  <r>
    <n v="287"/>
    <x v="17"/>
    <s v="Fidelis Care (CDP)"/>
    <s v="LHCSA"/>
    <s v="CDPAP"/>
    <s v="T1019:U6"/>
    <s v="T1019:U6"/>
    <x v="1"/>
    <x v="1"/>
    <x v="1"/>
    <m/>
    <n v="3"/>
    <n v="326"/>
    <n v="1932.25"/>
    <n v="3"/>
    <n v="326"/>
    <n v="1932.25"/>
    <x v="0"/>
  </r>
  <r>
    <n v="289"/>
    <x v="17"/>
    <s v="Nascentia Health Options CDPAP"/>
    <s v="MLTC"/>
    <s v="CDPAP"/>
    <s v="PA Hourly"/>
    <s v="T1019:U6"/>
    <x v="1"/>
    <x v="1"/>
    <x v="1"/>
    <m/>
    <n v="2"/>
    <n v="87"/>
    <n v="292.75"/>
    <n v="2"/>
    <n v="87"/>
    <n v="292.75"/>
    <x v="0"/>
  </r>
  <r>
    <n v="291"/>
    <x v="17"/>
    <s v="VNS Health Health Plans (CDP)"/>
    <s v="MLTC"/>
    <s v="CDPAP"/>
    <s v="T1019U6 DEL"/>
    <s v="T1019:U6"/>
    <x v="1"/>
    <x v="1"/>
    <x v="1"/>
    <m/>
    <n v="4"/>
    <n v="392"/>
    <n v="1919"/>
    <n v="4"/>
    <n v="392"/>
    <n v="1919"/>
    <x v="0"/>
  </r>
  <r>
    <n v="294"/>
    <x v="18"/>
    <s v="Elderplan MJHS (CDP)"/>
    <s v="MLTC"/>
    <s v="CDPAP"/>
    <s v="T1019:U6"/>
    <s v="T1019:U6"/>
    <x v="1"/>
    <x v="1"/>
    <x v="1"/>
    <m/>
    <n v="3"/>
    <n v="819"/>
    <n v="4285.5"/>
    <n v="3"/>
    <n v="819"/>
    <n v="4285.5"/>
    <x v="0"/>
  </r>
  <r>
    <n v="297"/>
    <x v="18"/>
    <s v="Fidelis Care (CDP)"/>
    <s v="LHCSA"/>
    <s v="CDPAP"/>
    <s v="T1019:U6"/>
    <s v="T1019:U6"/>
    <x v="1"/>
    <x v="1"/>
    <x v="1"/>
    <m/>
    <n v="8"/>
    <n v="1076"/>
    <n v="5770.5"/>
    <n v="8"/>
    <n v="1076"/>
    <n v="5770.5"/>
    <x v="0"/>
  </r>
  <r>
    <n v="299"/>
    <x v="18"/>
    <s v="Hamaspik Choice (MLTC) CDPAP"/>
    <s v="MCO"/>
    <s v="CDPAP"/>
    <s v="PA Hourly Upstate"/>
    <s v="T1019:U6"/>
    <x v="1"/>
    <x v="1"/>
    <x v="1"/>
    <m/>
    <n v="2"/>
    <n v="535"/>
    <n v="2621.75"/>
    <n v="2"/>
    <n v="535"/>
    <n v="2621.75"/>
    <x v="0"/>
  </r>
  <r>
    <n v="303"/>
    <x v="18"/>
    <s v="VNS Health Health Plans (CDP)"/>
    <s v="MLTC"/>
    <s v="CDPAP"/>
    <s v="T1019U6 DUT"/>
    <s v="T1019:U6"/>
    <x v="1"/>
    <x v="1"/>
    <x v="1"/>
    <m/>
    <n v="18"/>
    <n v="3908"/>
    <n v="19829.5"/>
    <n v="18"/>
    <n v="3908"/>
    <n v="19829.5"/>
    <x v="0"/>
  </r>
  <r>
    <n v="304"/>
    <x v="18"/>
    <s v="VNS Health Health Plans (CDP)"/>
    <s v="MLTC"/>
    <s v="CDPAP"/>
    <s v="T1019U6 SCH"/>
    <s v="T1019:U6"/>
    <x v="1"/>
    <x v="1"/>
    <x v="1"/>
    <m/>
    <n v="1"/>
    <n v="60"/>
    <n v="335.75"/>
    <n v="1"/>
    <n v="60"/>
    <n v="335.75"/>
    <x v="0"/>
  </r>
  <r>
    <n v="307"/>
    <x v="19"/>
    <s v="Centers Plan For Healthy Living CDPAP "/>
    <s v="MLTC"/>
    <s v="CDPAP"/>
    <s v="PA Hourly - 5 Boroughs"/>
    <s v="T1019:U6"/>
    <x v="1"/>
    <x v="1"/>
    <x v="1"/>
    <m/>
    <n v="3"/>
    <n v="338"/>
    <n v="1260.5"/>
    <n v="3"/>
    <n v="338"/>
    <n v="1260.5"/>
    <x v="0"/>
  </r>
  <r>
    <n v="308"/>
    <x v="19"/>
    <s v="Centers Plan For Healthy Living CDPAP "/>
    <s v="MLTC"/>
    <s v="CDPAP"/>
    <s v="PA Hourly - Erie/Niagara"/>
    <s v="T1019:U6"/>
    <x v="1"/>
    <x v="1"/>
    <x v="1"/>
    <m/>
    <n v="37"/>
    <n v="6981"/>
    <n v="27761"/>
    <n v="37"/>
    <n v="6981"/>
    <n v="27761"/>
    <x v="0"/>
  </r>
  <r>
    <n v="309"/>
    <x v="19"/>
    <s v="Centers Plan For Healthy Living CDPAP "/>
    <s v="MLTC"/>
    <s v="CDPAP"/>
    <s v="PA Hourly - Nassau/Suffolk/Westchester:"/>
    <s v="T1019:U6"/>
    <x v="1"/>
    <x v="1"/>
    <x v="1"/>
    <m/>
    <n v="3"/>
    <n v="446"/>
    <n v="1189.75"/>
    <n v="3"/>
    <n v="446"/>
    <n v="1189.75"/>
    <x v="0"/>
  </r>
  <r>
    <n v="310"/>
    <x v="19"/>
    <s v="Centers Plan For Healthy Living CDPAP "/>
    <s v="MLTC"/>
    <s v="CDPAP"/>
    <s v="PA Hourly - Rockland"/>
    <s v="T1019:U6"/>
    <x v="1"/>
    <x v="1"/>
    <x v="1"/>
    <m/>
    <n v="1"/>
    <n v="361"/>
    <n v="1623"/>
    <n v="1"/>
    <n v="361"/>
    <n v="1623"/>
    <x v="0"/>
  </r>
  <r>
    <n v="311"/>
    <x v="19"/>
    <s v="Elderwood Health Plan"/>
    <s v="MCO"/>
    <s v="CDPAP"/>
    <s v="PA Hourly"/>
    <s v="T1019:U6"/>
    <x v="1"/>
    <x v="1"/>
    <x v="1"/>
    <m/>
    <n v="3"/>
    <n v="136"/>
    <n v="888"/>
    <n v="3"/>
    <n v="136"/>
    <n v="888"/>
    <x v="0"/>
  </r>
  <r>
    <n v="315"/>
    <x v="19"/>
    <s v="Fidelis Care (CDP)"/>
    <s v="LHCSA"/>
    <s v="CDPAP"/>
    <s v="T1019:U6"/>
    <s v="T1019:U6"/>
    <x v="1"/>
    <x v="1"/>
    <x v="1"/>
    <m/>
    <n v="42"/>
    <n v="4930"/>
    <n v="26436.5"/>
    <n v="42"/>
    <n v="4930"/>
    <n v="26436.5"/>
    <x v="0"/>
  </r>
  <r>
    <n v="317"/>
    <x v="19"/>
    <s v="Nascentia Health Options CDPAP"/>
    <s v="MLTC"/>
    <s v="CDPAP"/>
    <s v="PA Hourly"/>
    <s v="T1019:U6"/>
    <x v="1"/>
    <x v="1"/>
    <x v="1"/>
    <m/>
    <n v="5"/>
    <n v="473"/>
    <n v="2637"/>
    <n v="5"/>
    <n v="473"/>
    <n v="2637"/>
    <x v="0"/>
  </r>
  <r>
    <n v="320"/>
    <x v="19"/>
    <s v="VNS Health Health Plans (CDP)"/>
    <s v="MLTC"/>
    <s v="CDPAP"/>
    <s v="T1019U6 EDD"/>
    <s v="T1019:U6"/>
    <x v="1"/>
    <x v="1"/>
    <x v="1"/>
    <m/>
    <n v="51"/>
    <n v="7756"/>
    <n v="35944.25"/>
    <n v="51"/>
    <n v="7756"/>
    <n v="35944.25"/>
    <x v="0"/>
  </r>
  <r>
    <n v="321"/>
    <x v="19"/>
    <s v="VNS Health Health Plans (CDP)"/>
    <s v="MLTC"/>
    <s v="CDPAP"/>
    <s v="T1019U7 EDD"/>
    <s v="T1019:U7"/>
    <x v="10"/>
    <x v="1"/>
    <x v="1"/>
    <m/>
    <n v="4"/>
    <n v="903"/>
    <n v="4606"/>
    <n v="4"/>
    <n v="903"/>
    <n v="4606"/>
    <x v="0"/>
  </r>
  <r>
    <n v="323"/>
    <x v="20"/>
    <s v="Fidelis Care (CDP)"/>
    <s v="LHCSA"/>
    <s v="CDPAP"/>
    <s v="T1019:U6"/>
    <s v="T1019:U6"/>
    <x v="1"/>
    <x v="1"/>
    <x v="1"/>
    <m/>
    <n v="2"/>
    <n v="212"/>
    <n v="787"/>
    <n v="2"/>
    <n v="212"/>
    <n v="787"/>
    <x v="0"/>
  </r>
  <r>
    <n v="325"/>
    <x v="21"/>
    <s v="Fidelis Care (CDP)"/>
    <s v="LHCSA"/>
    <s v="CDPAP"/>
    <s v="T1019:U6"/>
    <s v="T1019:U6"/>
    <x v="1"/>
    <x v="1"/>
    <x v="1"/>
    <m/>
    <n v="3"/>
    <n v="393"/>
    <n v="1429.5"/>
    <n v="3"/>
    <n v="393"/>
    <n v="1429.5"/>
    <x v="0"/>
  </r>
  <r>
    <n v="327"/>
    <x v="21"/>
    <s v="Nascentia Health Options CDPAP"/>
    <s v="MLTC"/>
    <s v="CDPAP"/>
    <s v="PA Hourly"/>
    <s v="T1019:U6"/>
    <x v="1"/>
    <x v="1"/>
    <x v="1"/>
    <m/>
    <n v="3"/>
    <n v="286"/>
    <n v="1884.5"/>
    <n v="3"/>
    <n v="286"/>
    <n v="1884.5"/>
    <x v="0"/>
  </r>
  <r>
    <n v="328"/>
    <x v="21"/>
    <s v="VNS Health Health Plans (CDP)"/>
    <s v="MLTC"/>
    <s v="CDPAP"/>
    <s v="T1019U6 NAS"/>
    <s v="T1019:U6"/>
    <x v="1"/>
    <x v="1"/>
    <x v="1"/>
    <m/>
    <n v="1"/>
    <n v="51"/>
    <n v="327.75"/>
    <n v="1"/>
    <n v="51"/>
    <n v="327.75"/>
    <x v="0"/>
  </r>
  <r>
    <n v="331"/>
    <x v="22"/>
    <s v="Fidelis Care (CDP)"/>
    <s v="LHCSA"/>
    <s v="CDPAP"/>
    <s v="T1019:U6"/>
    <s v="T1019:U6"/>
    <x v="1"/>
    <x v="1"/>
    <x v="1"/>
    <m/>
    <n v="19"/>
    <n v="2574"/>
    <n v="9744.75"/>
    <n v="18"/>
    <n v="2567"/>
    <n v="9729.25"/>
    <x v="0"/>
  </r>
  <r>
    <n v="334"/>
    <x v="22"/>
    <s v="VNS Health Health Plans (CDP)"/>
    <s v="MLTC"/>
    <s v="CDPAP"/>
    <s v="T1019U6 FUL"/>
    <s v="T1019:U6"/>
    <x v="1"/>
    <x v="1"/>
    <x v="1"/>
    <m/>
    <n v="7"/>
    <n v="1391"/>
    <n v="6478.75"/>
    <n v="7"/>
    <n v="1391"/>
    <n v="6478.75"/>
    <x v="0"/>
  </r>
  <r>
    <n v="336"/>
    <x v="23"/>
    <s v="Fidelis Care (CDP)"/>
    <s v="LHCSA"/>
    <s v="CDPAP"/>
    <s v="T1019:U6"/>
    <s v="T1019:U6"/>
    <x v="1"/>
    <x v="1"/>
    <x v="1"/>
    <m/>
    <n v="4"/>
    <n v="438"/>
    <n v="2526"/>
    <n v="4"/>
    <n v="438"/>
    <n v="2526"/>
    <x v="0"/>
  </r>
  <r>
    <n v="338"/>
    <x v="23"/>
    <s v="Nascentia Health Options CDPAP"/>
    <s v="MLTC"/>
    <s v="CDPAP"/>
    <s v="PA Hourly"/>
    <s v="T1019:U6"/>
    <x v="1"/>
    <x v="1"/>
    <x v="1"/>
    <m/>
    <n v="5"/>
    <n v="1022"/>
    <n v="3807.25"/>
    <n v="5"/>
    <n v="1022"/>
    <n v="3807.25"/>
    <x v="0"/>
  </r>
  <r>
    <n v="340"/>
    <x v="23"/>
    <s v="VNS Health Health Plans (CDP)"/>
    <s v="MLTC"/>
    <s v="CDPAP"/>
    <s v="T1019U6 GEN"/>
    <s v="T1019:U6"/>
    <x v="1"/>
    <x v="1"/>
    <x v="1"/>
    <m/>
    <n v="2"/>
    <n v="44"/>
    <n v="342"/>
    <n v="2"/>
    <n v="44"/>
    <n v="342"/>
    <x v="0"/>
  </r>
  <r>
    <n v="341"/>
    <x v="23"/>
    <s v="VNSNY CHOICE CDPAP"/>
    <s v="MLTC"/>
    <s v="CDPAP"/>
    <s v="PA Hourly"/>
    <s v="T1019:U6"/>
    <x v="1"/>
    <x v="1"/>
    <x v="1"/>
    <m/>
    <n v="1"/>
    <n v="17"/>
    <n v="49"/>
    <n v="1"/>
    <n v="17"/>
    <n v="49"/>
    <x v="0"/>
  </r>
  <r>
    <n v="343"/>
    <x v="24"/>
    <s v="Fidelis Care (CDP)"/>
    <s v="LHCSA"/>
    <s v="CDPAP"/>
    <s v="T1019:U6"/>
    <s v="T1019:U6"/>
    <x v="1"/>
    <x v="1"/>
    <x v="1"/>
    <m/>
    <n v="5"/>
    <n v="398"/>
    <n v="1205"/>
    <n v="5"/>
    <n v="398"/>
    <n v="1205"/>
    <x v="0"/>
  </r>
  <r>
    <n v="346"/>
    <x v="24"/>
    <s v="Nascentia Health Options CDPAP"/>
    <s v="MLTC"/>
    <s v="CDPAP"/>
    <s v="PA Hourly"/>
    <s v="T1019:U6"/>
    <x v="1"/>
    <x v="1"/>
    <x v="1"/>
    <m/>
    <n v="1"/>
    <n v="169"/>
    <n v="1136.5"/>
    <n v="1"/>
    <n v="169"/>
    <n v="1136.5"/>
    <x v="0"/>
  </r>
  <r>
    <n v="348"/>
    <x v="24"/>
    <s v="VNS Health Health Plans (CDP)"/>
    <s v="MLTC"/>
    <s v="CDPAP"/>
    <s v="T1019U6 GRE"/>
    <s v="T1019:U6"/>
    <x v="1"/>
    <x v="1"/>
    <x v="1"/>
    <m/>
    <n v="5"/>
    <n v="1104"/>
    <n v="4790.25"/>
    <n v="5"/>
    <n v="1104"/>
    <n v="4790.25"/>
    <x v="0"/>
  </r>
  <r>
    <n v="350"/>
    <x v="25"/>
    <s v="Nascentia Health Options CDPAP"/>
    <s v="MLTC"/>
    <s v="CDPAP"/>
    <s v="PA Hourly"/>
    <s v="T1019:U6"/>
    <x v="1"/>
    <x v="1"/>
    <x v="1"/>
    <m/>
    <n v="1"/>
    <n v="66"/>
    <n v="419.5"/>
    <n v="1"/>
    <n v="66"/>
    <n v="419.5"/>
    <x v="0"/>
  </r>
  <r>
    <n v="352"/>
    <x v="26"/>
    <s v="Fidelis Care (CDP)"/>
    <s v="LHCSA"/>
    <s v="CDPAP"/>
    <s v="T1019:U6"/>
    <s v="T1019:U6"/>
    <x v="1"/>
    <x v="1"/>
    <x v="1"/>
    <m/>
    <n v="7"/>
    <n v="565"/>
    <n v="2795.25"/>
    <n v="7"/>
    <n v="565"/>
    <n v="2795.25"/>
    <x v="0"/>
  </r>
  <r>
    <n v="354"/>
    <x v="26"/>
    <s v="Nascentia Health Options CDPAP"/>
    <s v="MLTC"/>
    <s v="CDPAP"/>
    <s v="PA Hourly"/>
    <s v="T1019:U6"/>
    <x v="1"/>
    <x v="1"/>
    <x v="1"/>
    <m/>
    <n v="2"/>
    <n v="322"/>
    <n v="1505.75"/>
    <n v="2"/>
    <n v="322"/>
    <n v="1505.75"/>
    <x v="0"/>
  </r>
  <r>
    <n v="357"/>
    <x v="26"/>
    <s v="VNS Health Health Plans (CDP)"/>
    <s v="MLTC"/>
    <s v="CDPAP"/>
    <s v="T1019U6 HER"/>
    <s v="T1019:U6"/>
    <x v="1"/>
    <x v="1"/>
    <x v="1"/>
    <m/>
    <n v="4"/>
    <n v="172"/>
    <n v="603.75"/>
    <n v="4"/>
    <n v="172"/>
    <n v="603.75"/>
    <x v="0"/>
  </r>
  <r>
    <n v="358"/>
    <x v="26"/>
    <s v="VNS Health Health Plans (CDP)"/>
    <s v="MLTC"/>
    <s v="CDPAP"/>
    <s v="T1019U6 ONE"/>
    <s v="T1019:U6"/>
    <x v="1"/>
    <x v="1"/>
    <x v="1"/>
    <m/>
    <n v="1"/>
    <n v="212"/>
    <n v="1559"/>
    <n v="1"/>
    <n v="212"/>
    <n v="1559"/>
    <x v="0"/>
  </r>
  <r>
    <n v="363"/>
    <x v="27"/>
    <s v="Fidelis Care (CDP)"/>
    <s v="LHCSA"/>
    <s v="CDPAP"/>
    <s v="T1019:U6"/>
    <s v="T1019:U6"/>
    <x v="1"/>
    <x v="1"/>
    <x v="1"/>
    <m/>
    <n v="14"/>
    <n v="2135"/>
    <n v="11503.5"/>
    <n v="14"/>
    <n v="2135"/>
    <n v="11503.5"/>
    <x v="0"/>
  </r>
  <r>
    <n v="364"/>
    <x v="27"/>
    <s v="Fidelis Care (CDP)"/>
    <s v="LHCSA"/>
    <s v="CDPAP"/>
    <s v="T1020:U6"/>
    <s v="T1020:U6"/>
    <x v="9"/>
    <x v="1"/>
    <x v="1"/>
    <m/>
    <n v="1"/>
    <n v="48"/>
    <n v="624"/>
    <n v="1"/>
    <n v="48"/>
    <n v="624"/>
    <x v="0"/>
  </r>
  <r>
    <n v="369"/>
    <x v="27"/>
    <s v="Nascentia Health Options CDPAP"/>
    <s v="MLTC"/>
    <s v="CDPAP"/>
    <s v="PA Hourly"/>
    <s v="T1019:U6"/>
    <x v="1"/>
    <x v="1"/>
    <x v="1"/>
    <m/>
    <n v="16"/>
    <n v="2203"/>
    <n v="13388.25"/>
    <n v="16"/>
    <n v="2203"/>
    <n v="13388.25"/>
    <x v="0"/>
  </r>
  <r>
    <n v="370"/>
    <x v="1"/>
    <s v="Americare"/>
    <s v="CHHA"/>
    <s v="CHHA"/>
    <s v="HHA1"/>
    <s v="S9122"/>
    <x v="0"/>
    <x v="0"/>
    <x v="0"/>
    <s v="CHHA"/>
    <n v="27"/>
    <n v="656"/>
    <n v="2552.25"/>
    <n v="18"/>
    <n v="484"/>
    <n v="1919.75"/>
    <x v="0"/>
  </r>
  <r>
    <n v="371"/>
    <x v="1"/>
    <s v="Americare"/>
    <s v="CHHA"/>
    <s v="CHHA"/>
    <s v="HHAPEDSV"/>
    <s v="S9122"/>
    <x v="0"/>
    <x v="0"/>
    <x v="0"/>
    <s v="CHHA"/>
    <n v="243"/>
    <n v="34402"/>
    <n v="226951.25"/>
    <n v="232"/>
    <n v="33352"/>
    <n v="219182.25"/>
    <x v="0"/>
  </r>
  <r>
    <n v="372"/>
    <x v="1"/>
    <s v="Amerigroup (Empire) PCA"/>
    <s v="MCO"/>
    <s v="Medicaid"/>
    <s v="PCA HOURLY"/>
    <s v="T1019:U1"/>
    <x v="2"/>
    <x v="0"/>
    <x v="2"/>
    <m/>
    <n v="2"/>
    <n v="182"/>
    <n v="723.75"/>
    <n v="2"/>
    <n v="182"/>
    <n v="723.75"/>
    <x v="0"/>
  </r>
  <r>
    <n v="373"/>
    <x v="1"/>
    <s v="Amerigroup (Empire) PCA"/>
    <s v="MCO"/>
    <s v="Medicaid"/>
    <s v="RN Initial-NB"/>
    <s v="T1019"/>
    <x v="3"/>
    <x v="0"/>
    <x v="2"/>
    <m/>
    <n v="1"/>
    <n v="1"/>
    <n v="1"/>
    <n v="1"/>
    <n v="1"/>
    <n v="1"/>
    <x v="1"/>
  </r>
  <r>
    <n v="374"/>
    <x v="1"/>
    <s v="Amerigroup (Empire) PCA"/>
    <s v="MCO"/>
    <s v="Medicaid"/>
    <s v="RN Reassessment-NB"/>
    <s v="T1019"/>
    <x v="3"/>
    <x v="0"/>
    <x v="2"/>
    <m/>
    <n v="1"/>
    <n v="1"/>
    <n v="1"/>
    <n v="1"/>
    <n v="1"/>
    <n v="1"/>
    <x v="1"/>
  </r>
  <r>
    <n v="375"/>
    <x v="1"/>
    <s v="Anchor select"/>
    <s v="Other"/>
    <s v="Private"/>
    <s v="Non billable"/>
    <m/>
    <x v="5"/>
    <x v="0"/>
    <x v="3"/>
    <m/>
    <n v="1"/>
    <n v="396"/>
    <n v="4709.25"/>
    <n v="1"/>
    <n v="396"/>
    <n v="4709.25"/>
    <x v="0"/>
  </r>
  <r>
    <n v="376"/>
    <x v="1"/>
    <s v="Archcare Community Life CDPAP"/>
    <s v="MCO"/>
    <s v="CDPAP"/>
    <s v="PA Hourly"/>
    <s v="T1019:U6"/>
    <x v="1"/>
    <x v="1"/>
    <x v="1"/>
    <m/>
    <n v="15"/>
    <n v="1629"/>
    <n v="8563.5"/>
    <n v="13"/>
    <n v="1509"/>
    <n v="7666.5"/>
    <x v="0"/>
  </r>
  <r>
    <n v="377"/>
    <x v="1"/>
    <s v="Archcare Community Life PCA"/>
    <s v="MCO"/>
    <s v="MLTC"/>
    <s v="LPN (T1003)"/>
    <s v="T1003"/>
    <x v="4"/>
    <x v="0"/>
    <x v="0"/>
    <m/>
    <n v="1"/>
    <n v="79"/>
    <n v="934.75"/>
    <n v="1"/>
    <n v="79"/>
    <n v="934.75"/>
    <x v="0"/>
  </r>
  <r>
    <n v="378"/>
    <x v="1"/>
    <s v="Archcare Community Life PCA"/>
    <s v="MCO"/>
    <s v="MLTC"/>
    <s v="PCA - Live In"/>
    <s v="T1020"/>
    <x v="8"/>
    <x v="0"/>
    <x v="2"/>
    <m/>
    <n v="2"/>
    <n v="205"/>
    <n v="2665"/>
    <n v="2"/>
    <n v="205"/>
    <n v="2665"/>
    <x v="0"/>
  </r>
  <r>
    <n v="379"/>
    <x v="1"/>
    <s v="Archcare Community Life PCA"/>
    <s v="MCO"/>
    <s v="MLTC"/>
    <s v="PCA Hourly"/>
    <s v="T1019:U1"/>
    <x v="2"/>
    <x v="0"/>
    <x v="2"/>
    <m/>
    <n v="17"/>
    <n v="1974"/>
    <n v="16731.75"/>
    <n v="16"/>
    <n v="1906"/>
    <n v="16368"/>
    <x v="0"/>
  </r>
  <r>
    <n v="380"/>
    <x v="1"/>
    <s v="Archcare Community Life PCA"/>
    <s v="MCO"/>
    <s v="MLTC"/>
    <s v="PRN (NB)"/>
    <m/>
    <x v="3"/>
    <x v="0"/>
    <x v="2"/>
    <m/>
    <n v="2"/>
    <n v="2"/>
    <n v="2"/>
    <n v="2"/>
    <n v="2"/>
    <n v="2"/>
    <x v="1"/>
  </r>
  <r>
    <n v="381"/>
    <x v="1"/>
    <s v="Archcare Community Life PCA"/>
    <s v="MCO"/>
    <s v="MLTC"/>
    <s v="RN Initial (NB)"/>
    <m/>
    <x v="3"/>
    <x v="0"/>
    <x v="2"/>
    <m/>
    <n v="2"/>
    <n v="2"/>
    <n v="2"/>
    <n v="2"/>
    <n v="2"/>
    <n v="2"/>
    <x v="1"/>
  </r>
  <r>
    <n v="382"/>
    <x v="1"/>
    <s v="Archcare Community Life PCA"/>
    <s v="MCO"/>
    <s v="MLTC"/>
    <s v="RN Reassessment (NB)"/>
    <m/>
    <x v="3"/>
    <x v="0"/>
    <x v="2"/>
    <m/>
    <n v="15"/>
    <n v="15"/>
    <n v="15"/>
    <n v="15"/>
    <n v="15"/>
    <n v="15"/>
    <x v="1"/>
  </r>
  <r>
    <n v="383"/>
    <x v="1"/>
    <s v="Centerlight CHHA / Cassena Care At Home"/>
    <s v="CHHA"/>
    <s v="CHHA"/>
    <s v="HHA Hourly"/>
    <s v="HH11"/>
    <x v="0"/>
    <x v="0"/>
    <x v="0"/>
    <s v="CHHA"/>
    <n v="1"/>
    <n v="8"/>
    <n v="32"/>
    <n v="0"/>
    <n v="0"/>
    <m/>
    <x v="0"/>
  </r>
  <r>
    <n v="384"/>
    <x v="1"/>
    <s v="CenterLight HealthCare (PACE) (CDP)"/>
    <s v="Other"/>
    <s v="CDPAP"/>
    <s v="T1019:U6"/>
    <s v="T1019:U6"/>
    <x v="4"/>
    <x v="0"/>
    <x v="0"/>
    <m/>
    <n v="1"/>
    <n v="17"/>
    <n v="136"/>
    <n v="0"/>
    <n v="0"/>
    <m/>
    <x v="0"/>
  </r>
  <r>
    <n v="385"/>
    <x v="1"/>
    <s v="Centers Plan For Health Living PCA"/>
    <s v="MLTC"/>
    <s v="MLTC"/>
    <s v="PCA Hourly"/>
    <s v="T1019:U1"/>
    <x v="2"/>
    <x v="0"/>
    <x v="2"/>
    <m/>
    <n v="145"/>
    <n v="19364"/>
    <n v="97945"/>
    <n v="125"/>
    <n v="18271"/>
    <n v="93202.75"/>
    <x v="0"/>
  </r>
  <r>
    <n v="386"/>
    <x v="1"/>
    <s v="Centers Plan For Health Living PCA"/>
    <s v="MLTC"/>
    <s v="MLTC"/>
    <s v="PCA Live-In"/>
    <s v="T1020"/>
    <x v="8"/>
    <x v="0"/>
    <x v="2"/>
    <m/>
    <n v="1"/>
    <n v="149"/>
    <n v="1937"/>
    <n v="1"/>
    <n v="149"/>
    <n v="1937"/>
    <x v="0"/>
  </r>
  <r>
    <n v="387"/>
    <x v="1"/>
    <s v="Centers Plan For Health Living PCA"/>
    <s v="MLTC"/>
    <s v="MLTC"/>
    <s v="PRN (NB)"/>
    <m/>
    <x v="3"/>
    <x v="0"/>
    <x v="2"/>
    <m/>
    <n v="9"/>
    <n v="10"/>
    <n v="10"/>
    <n v="9"/>
    <n v="10"/>
    <n v="10"/>
    <x v="1"/>
  </r>
  <r>
    <n v="388"/>
    <x v="1"/>
    <s v="Centers Plan For Health Living PCA"/>
    <s v="MLTC"/>
    <s v="MLTC"/>
    <s v="RN Initial (NB)"/>
    <m/>
    <x v="3"/>
    <x v="0"/>
    <x v="2"/>
    <m/>
    <n v="62"/>
    <n v="62"/>
    <n v="62"/>
    <n v="48"/>
    <n v="48"/>
    <n v="48"/>
    <x v="1"/>
  </r>
  <r>
    <n v="389"/>
    <x v="1"/>
    <s v="Centers Plan For Health Living PCA"/>
    <s v="MLTC"/>
    <s v="MLTC"/>
    <s v="RN Reassessment (NB)"/>
    <m/>
    <x v="3"/>
    <x v="0"/>
    <x v="2"/>
    <m/>
    <n v="84"/>
    <n v="136"/>
    <n v="136"/>
    <n v="79"/>
    <n v="130"/>
    <n v="130"/>
    <x v="1"/>
  </r>
  <r>
    <n v="395"/>
    <x v="1"/>
    <s v="Centers Plan For Healthy Living CDPAP "/>
    <s v="MLTC"/>
    <s v="CDPAP"/>
    <s v="PA Hourly - 5 Boroughs"/>
    <s v="T1019:U6"/>
    <x v="1"/>
    <x v="1"/>
    <x v="1"/>
    <m/>
    <n v="138"/>
    <n v="28743"/>
    <n v="130928.75"/>
    <n v="132"/>
    <n v="28577"/>
    <n v="130213.5"/>
    <x v="0"/>
  </r>
  <r>
    <n v="396"/>
    <x v="1"/>
    <s v="Centers Plan For Healthy Living CDPAP "/>
    <s v="MLTC"/>
    <s v="CDPAP"/>
    <s v="PA Live-In - 5 Boroughs"/>
    <s v="T1020:U6"/>
    <x v="9"/>
    <x v="1"/>
    <x v="1"/>
    <m/>
    <n v="1"/>
    <n v="358"/>
    <n v="4654"/>
    <n v="1"/>
    <n v="358"/>
    <n v="4654"/>
    <x v="0"/>
  </r>
  <r>
    <n v="398"/>
    <x v="1"/>
    <s v="Elderplan MJHS (ANT)"/>
    <s v="MLTC"/>
    <s v="MLTC"/>
    <s v="PRN (NB)"/>
    <m/>
    <x v="3"/>
    <x v="0"/>
    <x v="2"/>
    <m/>
    <n v="4"/>
    <n v="4"/>
    <n v="4"/>
    <n v="4"/>
    <n v="4"/>
    <n v="4"/>
    <x v="1"/>
  </r>
  <r>
    <n v="399"/>
    <x v="1"/>
    <s v="Elderplan MJHS (ANT)"/>
    <s v="MLTC"/>
    <s v="MLTC"/>
    <s v="RN Initial (NB)"/>
    <m/>
    <x v="3"/>
    <x v="0"/>
    <x v="2"/>
    <m/>
    <n v="47"/>
    <n v="47"/>
    <n v="47"/>
    <n v="47"/>
    <n v="47"/>
    <n v="47"/>
    <x v="1"/>
  </r>
  <r>
    <n v="400"/>
    <x v="1"/>
    <s v="Elderplan MJHS (ANT)"/>
    <s v="MLTC"/>
    <s v="MLTC"/>
    <s v="RN Reassessment (NB)"/>
    <m/>
    <x v="3"/>
    <x v="0"/>
    <x v="2"/>
    <m/>
    <n v="25"/>
    <n v="31"/>
    <n v="31"/>
    <n v="25"/>
    <n v="31"/>
    <n v="31"/>
    <x v="1"/>
  </r>
  <r>
    <n v="401"/>
    <x v="1"/>
    <s v="Elderplan MJHS (ANT)"/>
    <s v="MLTC"/>
    <s v="MLTC"/>
    <s v="T1019:U1"/>
    <s v="T1019:U1"/>
    <x v="2"/>
    <x v="0"/>
    <x v="2"/>
    <m/>
    <n v="59"/>
    <n v="6394"/>
    <n v="33835.75"/>
    <n v="57"/>
    <n v="6385"/>
    <n v="33801.25"/>
    <x v="0"/>
  </r>
  <r>
    <n v="402"/>
    <x v="1"/>
    <s v="Elderplan MJHS (ANT)"/>
    <s v="MLTC"/>
    <s v="MLTC"/>
    <s v="T1020"/>
    <s v="T1020"/>
    <x v="8"/>
    <x v="0"/>
    <x v="2"/>
    <m/>
    <n v="7"/>
    <n v="1017"/>
    <n v="13221"/>
    <n v="7"/>
    <n v="1017"/>
    <n v="13221"/>
    <x v="0"/>
  </r>
  <r>
    <n v="405"/>
    <x v="1"/>
    <s v="Elderplan MJHS (CDP)"/>
    <s v="MLTC"/>
    <s v="CDPAP"/>
    <s v="T1019:U6"/>
    <s v="T1019:U6"/>
    <x v="1"/>
    <x v="1"/>
    <x v="1"/>
    <m/>
    <n v="38"/>
    <n v="6616"/>
    <n v="32043.5"/>
    <n v="34"/>
    <n v="6360"/>
    <n v="30234"/>
    <x v="0"/>
  </r>
  <r>
    <n v="406"/>
    <x v="1"/>
    <s v="Elderplan MJHS (CDP)"/>
    <s v="MLTC"/>
    <s v="CDPAP"/>
    <s v="T1019:U6 MAP"/>
    <s v="T1019:U6"/>
    <x v="1"/>
    <x v="1"/>
    <x v="1"/>
    <m/>
    <n v="3"/>
    <n v="115"/>
    <n v="524"/>
    <n v="1"/>
    <n v="60"/>
    <n v="239"/>
    <x v="0"/>
  </r>
  <r>
    <n v="408"/>
    <x v="1"/>
    <s v="ElderServe/Riverspring (CDPAP)"/>
    <s v="MLTC"/>
    <s v="CDPAP"/>
    <s v="PA Hourly"/>
    <s v="T1019:U6"/>
    <x v="1"/>
    <x v="1"/>
    <x v="1"/>
    <m/>
    <n v="4"/>
    <n v="529"/>
    <n v="3126.75"/>
    <n v="4"/>
    <n v="529"/>
    <n v="3126.75"/>
    <x v="0"/>
  </r>
  <r>
    <n v="409"/>
    <x v="1"/>
    <s v="ElderServe/Riverspring (PCA)"/>
    <s v="MLTC"/>
    <s v="MLTC"/>
    <s v="PCA Hourly NYC"/>
    <s v="T1019:U1"/>
    <x v="2"/>
    <x v="0"/>
    <x v="2"/>
    <m/>
    <n v="9"/>
    <n v="1588"/>
    <n v="7341"/>
    <n v="9"/>
    <n v="1588"/>
    <n v="7341"/>
    <x v="0"/>
  </r>
  <r>
    <n v="410"/>
    <x v="1"/>
    <s v="ElderServe/Riverspring (PCA)"/>
    <s v="MLTC"/>
    <s v="MLTC"/>
    <s v="RN Initial (NB)"/>
    <m/>
    <x v="3"/>
    <x v="0"/>
    <x v="2"/>
    <m/>
    <n v="5"/>
    <n v="5"/>
    <n v="5"/>
    <n v="5"/>
    <n v="5"/>
    <n v="5"/>
    <x v="1"/>
  </r>
  <r>
    <n v="411"/>
    <x v="1"/>
    <s v="ElderServe/Riverspring (PCA)"/>
    <s v="MLTC"/>
    <s v="MLTC"/>
    <s v="RN Reassessment (NB)"/>
    <m/>
    <x v="3"/>
    <x v="0"/>
    <x v="2"/>
    <m/>
    <n v="7"/>
    <n v="10"/>
    <n v="10"/>
    <n v="7"/>
    <n v="10"/>
    <n v="10"/>
    <x v="1"/>
  </r>
  <r>
    <n v="416"/>
    <x v="1"/>
    <s v="Empire Blue Cross Blue Shield (CDPAP)"/>
    <s v="Other"/>
    <s v="CDPAP"/>
    <s v="PA Hourly (New)"/>
    <s v="T1019:U6"/>
    <x v="1"/>
    <x v="1"/>
    <x v="1"/>
    <m/>
    <n v="56"/>
    <n v="11903"/>
    <n v="70933.75"/>
    <n v="56"/>
    <n v="11903"/>
    <n v="70933.75"/>
    <x v="0"/>
  </r>
  <r>
    <n v="417"/>
    <x v="1"/>
    <s v="Empire Blue Cross Blue Shield (CDPAP)"/>
    <s v="Other"/>
    <s v="CDPAP"/>
    <s v="PA Live-In"/>
    <s v="T1020:U6"/>
    <x v="9"/>
    <x v="1"/>
    <x v="1"/>
    <m/>
    <n v="3"/>
    <n v="818"/>
    <n v="10634"/>
    <n v="3"/>
    <n v="818"/>
    <n v="10634"/>
    <x v="0"/>
  </r>
  <r>
    <n v="418"/>
    <x v="1"/>
    <s v="Empire Blue Cross Blue Shield (PCA)"/>
    <s v="Other"/>
    <s v="MLTC"/>
    <s v="PCA Hourly NYC"/>
    <s v="T1019:U1"/>
    <x v="2"/>
    <x v="0"/>
    <x v="2"/>
    <m/>
    <n v="42"/>
    <n v="5250"/>
    <n v="34057.25"/>
    <n v="40"/>
    <n v="5101"/>
    <n v="33302.25"/>
    <x v="0"/>
  </r>
  <r>
    <n v="419"/>
    <x v="1"/>
    <s v="Empire Blue Cross Blue Shield (PCA)"/>
    <s v="Other"/>
    <s v="MLTC"/>
    <s v="PCA Live In"/>
    <s v="T1020"/>
    <x v="8"/>
    <x v="0"/>
    <x v="2"/>
    <m/>
    <n v="10"/>
    <n v="1308"/>
    <n v="17004"/>
    <n v="8"/>
    <n v="1267"/>
    <n v="16471"/>
    <x v="0"/>
  </r>
  <r>
    <n v="420"/>
    <x v="1"/>
    <s v="Empire Blue Cross Blue Shield (PCA)"/>
    <s v="Other"/>
    <s v="MLTC"/>
    <s v="PRN (NB)"/>
    <m/>
    <x v="3"/>
    <x v="0"/>
    <x v="2"/>
    <m/>
    <n v="6"/>
    <n v="9"/>
    <n v="9"/>
    <n v="6"/>
    <n v="9"/>
    <n v="9"/>
    <x v="1"/>
  </r>
  <r>
    <n v="421"/>
    <x v="1"/>
    <s v="Empire Blue Cross Blue Shield (PCA)"/>
    <s v="Other"/>
    <s v="MLTC"/>
    <s v="RN Initial (NB)"/>
    <m/>
    <x v="3"/>
    <x v="0"/>
    <x v="2"/>
    <m/>
    <n v="24"/>
    <n v="25"/>
    <n v="25"/>
    <n v="22"/>
    <n v="23"/>
    <n v="23"/>
    <x v="1"/>
  </r>
  <r>
    <n v="422"/>
    <x v="1"/>
    <s v="Empire Blue Cross Blue Shield (PCA)"/>
    <s v="Other"/>
    <s v="MLTC"/>
    <s v="RN Reassessment (NB)"/>
    <m/>
    <x v="3"/>
    <x v="0"/>
    <x v="2"/>
    <m/>
    <n v="23"/>
    <n v="38"/>
    <n v="38"/>
    <n v="23"/>
    <n v="38"/>
    <n v="38"/>
    <x v="1"/>
  </r>
  <r>
    <n v="423"/>
    <x v="1"/>
    <s v="Excellent Home Care Services"/>
    <s v="CHHA"/>
    <s v="CHHA"/>
    <s v="Rate3"/>
    <m/>
    <x v="0"/>
    <x v="0"/>
    <x v="0"/>
    <s v="CHHA"/>
    <n v="125"/>
    <n v="17340"/>
    <n v="106359.25"/>
    <n v="121"/>
    <n v="17193"/>
    <n v="105072.25"/>
    <x v="0"/>
  </r>
  <r>
    <n v="424"/>
    <x v="1"/>
    <s v="Extended Home Care"/>
    <s v="CHHA"/>
    <s v="CHHA"/>
    <s v="PedCode95"/>
    <s v="-"/>
    <x v="0"/>
    <x v="0"/>
    <x v="0"/>
    <s v="CHHA"/>
    <n v="31"/>
    <n v="3196"/>
    <n v="19007.5"/>
    <n v="25"/>
    <n v="3045"/>
    <n v="18336"/>
    <x v="0"/>
  </r>
  <r>
    <n v="425"/>
    <x v="1"/>
    <s v="Extended Home Care"/>
    <s v="CHHA"/>
    <s v="CHHA"/>
    <s v="Rate1"/>
    <m/>
    <x v="0"/>
    <x v="0"/>
    <x v="0"/>
    <s v="CHHA"/>
    <n v="73"/>
    <n v="5108"/>
    <n v="22542"/>
    <n v="61"/>
    <n v="4705"/>
    <n v="20781"/>
    <x v="0"/>
  </r>
  <r>
    <n v="426"/>
    <x v="1"/>
    <s v="Extended Home Care"/>
    <s v="CHHA"/>
    <s v="CHHA"/>
    <s v="Rate4HMO"/>
    <s v="0"/>
    <x v="0"/>
    <x v="0"/>
    <x v="0"/>
    <s v="CHHA"/>
    <n v="2"/>
    <n v="46"/>
    <n v="187.25"/>
    <n v="2"/>
    <n v="46"/>
    <n v="187.25"/>
    <x v="0"/>
  </r>
  <r>
    <n v="427"/>
    <x v="1"/>
    <s v="Fidelis Care (ANT)"/>
    <s v="LHCSA"/>
    <s v="MLTC"/>
    <s v="PRN (NB)"/>
    <m/>
    <x v="3"/>
    <x v="0"/>
    <x v="2"/>
    <m/>
    <n v="4"/>
    <n v="4"/>
    <n v="4"/>
    <n v="4"/>
    <n v="4"/>
    <n v="4"/>
    <x v="1"/>
  </r>
  <r>
    <n v="428"/>
    <x v="1"/>
    <s v="Fidelis Care (ANT)"/>
    <s v="LHCSA"/>
    <s v="MLTC"/>
    <s v="RN Initial (NB)"/>
    <m/>
    <x v="3"/>
    <x v="0"/>
    <x v="2"/>
    <m/>
    <n v="58"/>
    <n v="58"/>
    <n v="58"/>
    <n v="55"/>
    <n v="55"/>
    <n v="55"/>
    <x v="1"/>
  </r>
  <r>
    <n v="429"/>
    <x v="1"/>
    <s v="Fidelis Care (ANT)"/>
    <s v="LHCSA"/>
    <s v="MLTC"/>
    <s v="RN Initial Assement"/>
    <s v="T2024"/>
    <x v="3"/>
    <x v="0"/>
    <x v="2"/>
    <m/>
    <n v="38"/>
    <n v="38"/>
    <n v="38"/>
    <n v="34"/>
    <n v="34"/>
    <n v="34"/>
    <x v="3"/>
  </r>
  <r>
    <n v="430"/>
    <x v="1"/>
    <s v="Fidelis Care (ANT)"/>
    <s v="LHCSA"/>
    <s v="MLTC"/>
    <s v="RN Reassessment (NB)"/>
    <m/>
    <x v="3"/>
    <x v="0"/>
    <x v="2"/>
    <m/>
    <n v="69"/>
    <n v="95"/>
    <n v="95"/>
    <n v="67"/>
    <n v="93"/>
    <n v="93"/>
    <x v="1"/>
  </r>
  <r>
    <n v="431"/>
    <x v="1"/>
    <s v="Fidelis Care (ANT)"/>
    <s v="LHCSA"/>
    <s v="MLTC"/>
    <s v="S5130:U1"/>
    <s v="S5130:U1::::Homemaker"/>
    <x v="6"/>
    <x v="0"/>
    <x v="2"/>
    <m/>
    <n v="3"/>
    <n v="59"/>
    <n v="231.75"/>
    <n v="3"/>
    <n v="59"/>
    <n v="231.75"/>
    <x v="0"/>
  </r>
  <r>
    <n v="432"/>
    <x v="1"/>
    <s v="Fidelis Care (ANT)"/>
    <s v="LHCSA"/>
    <s v="MLTC"/>
    <s v="T1019:U1"/>
    <s v="T1019:U1"/>
    <x v="2"/>
    <x v="0"/>
    <x v="2"/>
    <m/>
    <n v="143"/>
    <n v="16920"/>
    <n v="90925.5"/>
    <n v="134"/>
    <n v="16453"/>
    <n v="87911"/>
    <x v="0"/>
  </r>
  <r>
    <n v="433"/>
    <x v="1"/>
    <s v="Fidelis Care (ANT)"/>
    <s v="LHCSA"/>
    <s v="MLTC"/>
    <s v="T1020"/>
    <s v="T1020"/>
    <x v="8"/>
    <x v="0"/>
    <x v="2"/>
    <m/>
    <n v="4"/>
    <n v="490"/>
    <n v="6370"/>
    <n v="4"/>
    <n v="490"/>
    <n v="6370"/>
    <x v="0"/>
  </r>
  <r>
    <n v="438"/>
    <x v="1"/>
    <s v="Fidelis Care (CDP)"/>
    <s v="LHCSA"/>
    <s v="CDPAP"/>
    <s v="T1019:U6"/>
    <s v="T1019:U6"/>
    <x v="1"/>
    <x v="1"/>
    <x v="1"/>
    <m/>
    <n v="116"/>
    <n v="13281"/>
    <n v="73517"/>
    <n v="109"/>
    <n v="12958"/>
    <n v="70960"/>
    <x v="0"/>
  </r>
  <r>
    <n v="439"/>
    <x v="1"/>
    <s v="Fidelis Care (CDP)"/>
    <s v="LHCSA"/>
    <s v="CDPAP"/>
    <s v="T1019:U7"/>
    <s v="T1019:U7"/>
    <x v="10"/>
    <x v="1"/>
    <x v="1"/>
    <m/>
    <n v="2"/>
    <n v="496"/>
    <n v="3458.75"/>
    <n v="2"/>
    <n v="496"/>
    <n v="3458.75"/>
    <x v="0"/>
  </r>
  <r>
    <n v="440"/>
    <x v="1"/>
    <s v="Fidelis Care PCA (Non Live)"/>
    <s v="MLTC"/>
    <s v="MLTC"/>
    <s v="PCA Hourly"/>
    <s v="T1019:U1"/>
    <x v="2"/>
    <x v="0"/>
    <x v="2"/>
    <m/>
    <n v="1"/>
    <n v="2"/>
    <n v="2"/>
    <n v="1"/>
    <n v="2"/>
    <n v="2"/>
    <x v="0"/>
  </r>
  <r>
    <n v="441"/>
    <x v="1"/>
    <s v="Fidelis Care PCA (Non Live)"/>
    <s v="MLTC"/>
    <s v="MLTC"/>
    <s v="RN Initial (NB)"/>
    <s v="G0162"/>
    <x v="3"/>
    <x v="0"/>
    <x v="2"/>
    <m/>
    <n v="12"/>
    <n v="12"/>
    <n v="12"/>
    <n v="12"/>
    <n v="12"/>
    <n v="12"/>
    <x v="1"/>
  </r>
  <r>
    <n v="442"/>
    <x v="1"/>
    <s v="Fidelis Care PCA (Non Live)"/>
    <s v="MLTC"/>
    <s v="MLTC"/>
    <s v="Rn initial assement"/>
    <s v="G0162"/>
    <x v="3"/>
    <x v="0"/>
    <x v="2"/>
    <m/>
    <n v="4"/>
    <n v="4"/>
    <n v="4"/>
    <n v="4"/>
    <n v="4"/>
    <n v="4"/>
    <x v="3"/>
  </r>
  <r>
    <n v="443"/>
    <x v="1"/>
    <s v="Fidelis Care PCA (Non Live)"/>
    <s v="MLTC"/>
    <s v="MLTC"/>
    <s v="RN Reassessment (NB)"/>
    <m/>
    <x v="3"/>
    <x v="0"/>
    <x v="2"/>
    <m/>
    <n v="2"/>
    <n v="2"/>
    <n v="2"/>
    <n v="2"/>
    <n v="2"/>
    <n v="2"/>
    <x v="1"/>
  </r>
  <r>
    <n v="444"/>
    <x v="1"/>
    <s v="Girling Health Care Of New York"/>
    <s v="CHHA"/>
    <s v="CHHA"/>
    <s v="Rate1"/>
    <m/>
    <x v="0"/>
    <x v="0"/>
    <x v="0"/>
    <s v="CHHA"/>
    <n v="24"/>
    <n v="865"/>
    <n v="4049"/>
    <n v="13"/>
    <n v="656"/>
    <n v="3183"/>
    <x v="0"/>
  </r>
  <r>
    <n v="445"/>
    <x v="1"/>
    <s v="Girling Health Care Of New York"/>
    <s v="CHHA"/>
    <s v="CHHA"/>
    <s v="Rate4"/>
    <m/>
    <x v="0"/>
    <x v="0"/>
    <x v="0"/>
    <s v="CHHA"/>
    <n v="3"/>
    <n v="27"/>
    <n v="104"/>
    <n v="3"/>
    <n v="27"/>
    <n v="104"/>
    <x v="0"/>
  </r>
  <r>
    <n v="448"/>
    <x v="1"/>
    <s v="Hamaspik Choice (MLTC) CDPAP"/>
    <s v="MCO"/>
    <s v="CDPAP"/>
    <s v="PA Hourly NYC , Nassau, Westchester"/>
    <s v="T1019:U6"/>
    <x v="1"/>
    <x v="1"/>
    <x v="1"/>
    <m/>
    <n v="4"/>
    <n v="505"/>
    <n v="3657.75"/>
    <n v="4"/>
    <n v="505"/>
    <n v="3657.75"/>
    <x v="0"/>
  </r>
  <r>
    <n v="451"/>
    <x v="1"/>
    <s v="Hamaspik Choice MLTC (PCA)"/>
    <s v="MLTC"/>
    <s v="MLTC"/>
    <s v="PCA Hourly"/>
    <s v="T1019:U1"/>
    <x v="2"/>
    <x v="0"/>
    <x v="2"/>
    <m/>
    <n v="7"/>
    <n v="743"/>
    <n v="4336.5"/>
    <n v="6"/>
    <n v="614"/>
    <n v="3208.75"/>
    <x v="0"/>
  </r>
  <r>
    <n v="452"/>
    <x v="1"/>
    <s v="Hamaspik Choice MLTC (PCA)"/>
    <s v="MLTC"/>
    <s v="MLTC"/>
    <s v="PCA Live In"/>
    <s v="T1020"/>
    <x v="8"/>
    <x v="0"/>
    <x v="2"/>
    <m/>
    <n v="1"/>
    <n v="7"/>
    <n v="91"/>
    <n v="1"/>
    <n v="7"/>
    <n v="91"/>
    <x v="0"/>
  </r>
  <r>
    <n v="453"/>
    <x v="1"/>
    <s v="Hamaspik Choice MLTC (PCA)"/>
    <s v="MLTC"/>
    <s v="MLTC"/>
    <s v="RN Initial (NB)"/>
    <m/>
    <x v="3"/>
    <x v="0"/>
    <x v="2"/>
    <m/>
    <n v="5"/>
    <n v="5"/>
    <n v="5"/>
    <n v="4"/>
    <n v="4"/>
    <n v="4"/>
    <x v="1"/>
  </r>
  <r>
    <n v="454"/>
    <x v="1"/>
    <s v="Hamaspik Choice MLTC (PCA)"/>
    <s v="MLTC"/>
    <s v="MLTC"/>
    <s v="RN Reassessment (NB)"/>
    <m/>
    <x v="3"/>
    <x v="0"/>
    <x v="2"/>
    <m/>
    <n v="2"/>
    <n v="2"/>
    <n v="2"/>
    <n v="1"/>
    <n v="1"/>
    <n v="1"/>
    <x v="1"/>
  </r>
  <r>
    <n v="457"/>
    <x v="1"/>
    <s v="Hamaspik MAP CDPAP"/>
    <s v="MCO"/>
    <s v="CDPAP"/>
    <s v="PA Hourly (NYC, LI, &amp; Westchester)"/>
    <s v="T1019:U6"/>
    <x v="1"/>
    <x v="1"/>
    <x v="1"/>
    <m/>
    <n v="13"/>
    <n v="2460"/>
    <n v="13339.25"/>
    <n v="13"/>
    <n v="2460"/>
    <n v="13339.25"/>
    <x v="0"/>
  </r>
  <r>
    <n v="460"/>
    <x v="1"/>
    <s v="Hamaspik MAP PCA"/>
    <s v="MCO"/>
    <s v="MLTC"/>
    <s v="PCA Hourly"/>
    <s v="T1019:U1"/>
    <x v="2"/>
    <x v="0"/>
    <x v="2"/>
    <m/>
    <n v="7"/>
    <n v="1396"/>
    <n v="8367.25"/>
    <n v="6"/>
    <n v="1289"/>
    <n v="7621"/>
    <x v="0"/>
  </r>
  <r>
    <n v="461"/>
    <x v="1"/>
    <s v="Hamaspik MAP PCA"/>
    <s v="MCO"/>
    <s v="MLTC"/>
    <s v="PRN (NB)"/>
    <m/>
    <x v="3"/>
    <x v="0"/>
    <x v="2"/>
    <m/>
    <n v="1"/>
    <n v="1"/>
    <n v="1"/>
    <n v="0"/>
    <n v="0"/>
    <n v="0"/>
    <x v="1"/>
  </r>
  <r>
    <n v="462"/>
    <x v="1"/>
    <s v="Hamaspik MAP PCA"/>
    <s v="MCO"/>
    <s v="MLTC"/>
    <s v="RN Initial (NB)"/>
    <m/>
    <x v="3"/>
    <x v="0"/>
    <x v="2"/>
    <m/>
    <n v="3"/>
    <n v="3"/>
    <n v="3"/>
    <n v="2"/>
    <n v="2"/>
    <n v="2"/>
    <x v="1"/>
  </r>
  <r>
    <n v="463"/>
    <x v="1"/>
    <s v="Hamaspik MAP PCA"/>
    <s v="MCO"/>
    <s v="MLTC"/>
    <s v="RN Reassessment (NB)"/>
    <m/>
    <x v="3"/>
    <x v="0"/>
    <x v="2"/>
    <m/>
    <n v="4"/>
    <n v="8"/>
    <n v="8"/>
    <n v="4"/>
    <n v="8"/>
    <n v="8"/>
    <x v="1"/>
  </r>
  <r>
    <n v="465"/>
    <x v="1"/>
    <s v="Healthfirst (ANT)"/>
    <s v="CHHA"/>
    <s v="MLTC"/>
    <s v="PRN (NB)"/>
    <m/>
    <x v="3"/>
    <x v="0"/>
    <x v="2"/>
    <m/>
    <n v="3"/>
    <n v="3"/>
    <n v="3"/>
    <n v="3"/>
    <n v="3"/>
    <n v="3"/>
    <x v="1"/>
  </r>
  <r>
    <n v="466"/>
    <x v="1"/>
    <s v="Healthfirst (ANT)"/>
    <s v="CHHA"/>
    <s v="MLTC"/>
    <s v="RN Initial (NB)"/>
    <m/>
    <x v="3"/>
    <x v="0"/>
    <x v="2"/>
    <m/>
    <n v="62"/>
    <n v="62"/>
    <n v="62"/>
    <n v="56"/>
    <n v="56"/>
    <n v="56"/>
    <x v="1"/>
  </r>
  <r>
    <n v="467"/>
    <x v="1"/>
    <s v="Healthfirst (ANT)"/>
    <s v="CHHA"/>
    <s v="MLTC"/>
    <s v="RN Reassessment (NB)"/>
    <m/>
    <x v="3"/>
    <x v="0"/>
    <x v="2"/>
    <m/>
    <n v="50"/>
    <n v="70"/>
    <n v="70"/>
    <n v="47"/>
    <n v="67"/>
    <n v="67"/>
    <x v="1"/>
  </r>
  <r>
    <n v="468"/>
    <x v="1"/>
    <s v="Healthfirst (ANT)"/>
    <s v="CHHA"/>
    <s v="MLTC"/>
    <s v="T1019:U1"/>
    <s v="T1019:U1"/>
    <x v="2"/>
    <x v="0"/>
    <x v="2"/>
    <m/>
    <n v="104"/>
    <n v="9286"/>
    <n v="48545.75"/>
    <n v="91"/>
    <n v="8782"/>
    <n v="45824"/>
    <x v="0"/>
  </r>
  <r>
    <n v="469"/>
    <x v="1"/>
    <s v="Healthfirst (ANT)"/>
    <s v="CHHA"/>
    <s v="MLTC"/>
    <s v="T1019:U1:CC"/>
    <s v="T1019:U1"/>
    <x v="2"/>
    <x v="0"/>
    <x v="2"/>
    <m/>
    <n v="2"/>
    <n v="17"/>
    <n v="75.25"/>
    <n v="2"/>
    <n v="17"/>
    <n v="75.25"/>
    <x v="0"/>
  </r>
  <r>
    <n v="470"/>
    <x v="1"/>
    <s v="Healthfirst (ANT)"/>
    <s v="CHHA"/>
    <s v="MLTC"/>
    <s v="T1019:U2"/>
    <s v="T1019:U2"/>
    <x v="11"/>
    <x v="0"/>
    <x v="2"/>
    <m/>
    <n v="2"/>
    <n v="399"/>
    <n v="993.5"/>
    <n v="2"/>
    <n v="399"/>
    <n v="993.5"/>
    <x v="0"/>
  </r>
  <r>
    <n v="471"/>
    <x v="1"/>
    <s v="Healthfirst (ANT)"/>
    <s v="CHHA"/>
    <s v="MLTC"/>
    <s v="T1019:U6"/>
    <s v="T1019:U6"/>
    <x v="1"/>
    <x v="1"/>
    <x v="1"/>
    <m/>
    <n v="1"/>
    <n v="24"/>
    <n v="80.5"/>
    <n v="1"/>
    <n v="24"/>
    <n v="80.5"/>
    <x v="0"/>
  </r>
  <r>
    <n v="472"/>
    <x v="1"/>
    <s v="Healthfirst (ANT)"/>
    <s v="CHHA"/>
    <s v="MLTC"/>
    <s v="T1020"/>
    <s v="T1020"/>
    <x v="8"/>
    <x v="0"/>
    <x v="2"/>
    <m/>
    <n v="2"/>
    <n v="141"/>
    <n v="1833"/>
    <n v="2"/>
    <n v="141"/>
    <n v="1833"/>
    <x v="0"/>
  </r>
  <r>
    <n v="473"/>
    <x v="1"/>
    <s v="Healthfirst (ANT)"/>
    <s v="CHHA"/>
    <s v="MLTC"/>
    <s v="T1020:CC"/>
    <s v="T1020"/>
    <x v="8"/>
    <x v="0"/>
    <x v="2"/>
    <m/>
    <n v="1"/>
    <n v="360"/>
    <n v="4680"/>
    <n v="1"/>
    <n v="360"/>
    <n v="4680"/>
    <x v="0"/>
  </r>
  <r>
    <n v="477"/>
    <x v="1"/>
    <s v="Healthfirst (CDP)"/>
    <s v="CHHA"/>
    <s v="CDPAP"/>
    <s v="T1019:U1"/>
    <s v="T1019:U1"/>
    <x v="2"/>
    <x v="0"/>
    <x v="2"/>
    <m/>
    <n v="1"/>
    <n v="3"/>
    <n v="6"/>
    <n v="1"/>
    <n v="3"/>
    <n v="6"/>
    <x v="0"/>
  </r>
  <r>
    <n v="478"/>
    <x v="1"/>
    <s v="Healthfirst (CDP)"/>
    <s v="CHHA"/>
    <s v="CDPAP"/>
    <s v="T1019:U6"/>
    <s v="T1019:U6"/>
    <x v="1"/>
    <x v="1"/>
    <x v="1"/>
    <m/>
    <n v="99"/>
    <n v="11908"/>
    <n v="66120.75"/>
    <n v="94"/>
    <n v="11609"/>
    <n v="64160.75"/>
    <x v="0"/>
  </r>
  <r>
    <n v="479"/>
    <x v="1"/>
    <s v="Healthfirst (CDP)"/>
    <s v="CHHA"/>
    <s v="CDPAP"/>
    <s v="T1019:U6:CC"/>
    <s v="T1019:U6"/>
    <x v="1"/>
    <x v="1"/>
    <x v="1"/>
    <m/>
    <n v="3"/>
    <n v="614"/>
    <n v="5647.75"/>
    <n v="3"/>
    <n v="614"/>
    <n v="5647.75"/>
    <x v="0"/>
  </r>
  <r>
    <n v="480"/>
    <x v="1"/>
    <s v="Healthfirst (CDP)"/>
    <s v="CHHA"/>
    <s v="CDPAP"/>
    <s v="T1019:U6:SHP"/>
    <s v="T1019:U6"/>
    <x v="1"/>
    <x v="1"/>
    <x v="1"/>
    <m/>
    <n v="1"/>
    <n v="250"/>
    <n v="744.25"/>
    <n v="1"/>
    <n v="250"/>
    <n v="744.25"/>
    <x v="0"/>
  </r>
  <r>
    <n v="481"/>
    <x v="1"/>
    <s v="Healthfirst PCA MAP (Complete Care) (Non Live)"/>
    <s v="MCO"/>
    <s v="MLTC"/>
    <s v="PCA Hourly"/>
    <s v="T1019:U1"/>
    <x v="2"/>
    <x v="0"/>
    <x v="2"/>
    <m/>
    <n v="2"/>
    <n v="2"/>
    <n v="4.5"/>
    <n v="1"/>
    <n v="1"/>
    <n v="3.5"/>
    <x v="0"/>
  </r>
  <r>
    <n v="482"/>
    <x v="1"/>
    <s v="Healthfirst PCA MAP (Complete Care) (Non Live)"/>
    <s v="MCO"/>
    <s v="MLTC"/>
    <s v="RN Initial (NB)"/>
    <m/>
    <x v="3"/>
    <x v="0"/>
    <x v="2"/>
    <m/>
    <n v="2"/>
    <n v="2"/>
    <n v="2"/>
    <n v="1"/>
    <n v="1"/>
    <n v="1"/>
    <x v="1"/>
  </r>
  <r>
    <n v="483"/>
    <x v="1"/>
    <s v="Healthfirst PCA MAP (Complete Care) (Non Live)"/>
    <s v="MCO"/>
    <s v="MLTC"/>
    <s v="RN Reassessment (NB)"/>
    <m/>
    <x v="3"/>
    <x v="0"/>
    <x v="2"/>
    <m/>
    <n v="1"/>
    <n v="1"/>
    <n v="1"/>
    <n v="1"/>
    <n v="1"/>
    <n v="1"/>
    <x v="1"/>
  </r>
  <r>
    <n v="484"/>
    <x v="1"/>
    <s v="HEALTHFIRST PHSP (Medicaid) (Non Live)"/>
    <s v="CHHA"/>
    <s v="MCO"/>
    <s v="RN Reassessment (NB)"/>
    <m/>
    <x v="3"/>
    <x v="0"/>
    <x v="2"/>
    <m/>
    <n v="1"/>
    <n v="2"/>
    <n v="2"/>
    <n v="1"/>
    <n v="2"/>
    <n v="2"/>
    <x v="1"/>
  </r>
  <r>
    <n v="486"/>
    <x v="1"/>
    <s v="Nascentia Health Options CDPAP"/>
    <s v="MLTC"/>
    <s v="CDPAP"/>
    <s v="PA Hourly"/>
    <s v="T1019:U6"/>
    <x v="1"/>
    <x v="1"/>
    <x v="1"/>
    <m/>
    <n v="1"/>
    <n v="313"/>
    <n v="667.75"/>
    <n v="1"/>
    <n v="313"/>
    <n v="667.75"/>
    <x v="0"/>
  </r>
  <r>
    <n v="487"/>
    <x v="1"/>
    <s v="NHTD"/>
    <s v="LHCSA"/>
    <s v="Medicaid"/>
    <s v="HCSS 9795 LI Nassau Westchester Suffolk"/>
    <s v="9795"/>
    <x v="4"/>
    <x v="0"/>
    <x v="0"/>
    <m/>
    <n v="1"/>
    <n v="1"/>
    <n v="2.5"/>
    <n v="1"/>
    <n v="1"/>
    <n v="2.5"/>
    <x v="0"/>
  </r>
  <r>
    <n v="488"/>
    <x v="1"/>
    <s v="NHTD"/>
    <s v="LHCSA"/>
    <s v="Medicaid"/>
    <s v="HCSS 9795 NYC"/>
    <s v="9795"/>
    <x v="4"/>
    <x v="0"/>
    <x v="0"/>
    <m/>
    <n v="153"/>
    <n v="63628"/>
    <n v="730345.25"/>
    <n v="151"/>
    <n v="63478"/>
    <n v="729054.25"/>
    <x v="0"/>
  </r>
  <r>
    <n v="489"/>
    <x v="1"/>
    <s v="NHTD"/>
    <s v="LHCSA"/>
    <s v="Medicaid"/>
    <s v="HCSS 9795 Rest of State"/>
    <s v="9795"/>
    <x v="4"/>
    <x v="0"/>
    <x v="0"/>
    <m/>
    <n v="1"/>
    <n v="68"/>
    <n v="693.75"/>
    <n v="1"/>
    <n v="68"/>
    <n v="693.75"/>
    <x v="0"/>
  </r>
  <r>
    <n v="490"/>
    <x v="1"/>
    <s v="NHTD"/>
    <s v="LHCSA"/>
    <s v="Medicaid"/>
    <s v="Initial RN Visit 9799 (Hourly)"/>
    <s v="9799"/>
    <x v="4"/>
    <x v="0"/>
    <x v="0"/>
    <m/>
    <n v="58"/>
    <n v="59"/>
    <n v="59"/>
    <n v="58"/>
    <n v="59"/>
    <n v="59"/>
    <x v="2"/>
  </r>
  <r>
    <n v="491"/>
    <x v="1"/>
    <s v="NHTD"/>
    <s v="LHCSA"/>
    <s v="Medicaid"/>
    <s v="PRN (NB)"/>
    <m/>
    <x v="4"/>
    <x v="0"/>
    <x v="0"/>
    <m/>
    <n v="9"/>
    <n v="9"/>
    <n v="8.5"/>
    <n v="9"/>
    <n v="9"/>
    <n v="9"/>
    <x v="2"/>
  </r>
  <r>
    <n v="492"/>
    <x v="1"/>
    <s v="NHTD"/>
    <s v="LHCSA"/>
    <s v="Medicaid"/>
    <s v="RN Initial (NB)"/>
    <m/>
    <x v="4"/>
    <x v="0"/>
    <x v="0"/>
    <m/>
    <n v="3"/>
    <n v="3"/>
    <n v="3"/>
    <n v="3"/>
    <n v="3"/>
    <n v="3"/>
    <x v="2"/>
  </r>
  <r>
    <n v="493"/>
    <x v="1"/>
    <s v="NHTD"/>
    <s v="LHCSA"/>
    <s v="Medicaid"/>
    <s v="RN Reassessment (NB)"/>
    <m/>
    <x v="4"/>
    <x v="0"/>
    <x v="0"/>
    <m/>
    <n v="7"/>
    <n v="7"/>
    <n v="7"/>
    <n v="7"/>
    <n v="7"/>
    <n v="7"/>
    <x v="2"/>
  </r>
  <r>
    <n v="494"/>
    <x v="1"/>
    <s v="NHTD"/>
    <s v="LHCSA"/>
    <s v="Medicaid"/>
    <s v="RN Visit 9799 (Hourly)"/>
    <s v="9799"/>
    <x v="4"/>
    <x v="0"/>
    <x v="0"/>
    <m/>
    <n v="122"/>
    <n v="191"/>
    <n v="188.5"/>
    <n v="120"/>
    <n v="189"/>
    <n v="189"/>
    <x v="2"/>
  </r>
  <r>
    <n v="495"/>
    <x v="1"/>
    <s v="Non Billable"/>
    <s v="Other"/>
    <s v="Insurance"/>
    <s v="PA Hourly"/>
    <m/>
    <x v="5"/>
    <x v="0"/>
    <x v="3"/>
    <m/>
    <n v="1"/>
    <n v="14"/>
    <n v="170.5"/>
    <n v="1"/>
    <n v="14"/>
    <n v="170.5"/>
    <x v="0"/>
  </r>
  <r>
    <n v="496"/>
    <x v="1"/>
    <s v="Non Billable"/>
    <s v="Other"/>
    <s v="Insurance"/>
    <s v="PCA Hourly"/>
    <m/>
    <x v="5"/>
    <x v="0"/>
    <x v="3"/>
    <m/>
    <n v="68"/>
    <n v="749"/>
    <n v="2326.25"/>
    <n v="64"/>
    <n v="744"/>
    <n v="2312"/>
    <x v="0"/>
  </r>
  <r>
    <n v="497"/>
    <x v="1"/>
    <s v="Non Billable"/>
    <s v="Other"/>
    <s v="Insurance"/>
    <s v="PCA Live In"/>
    <m/>
    <x v="5"/>
    <x v="0"/>
    <x v="3"/>
    <m/>
    <n v="1"/>
    <n v="5"/>
    <n v="24"/>
    <n v="1"/>
    <n v="5"/>
    <n v="24"/>
    <x v="0"/>
  </r>
  <r>
    <n v="498"/>
    <x v="1"/>
    <s v="Non Billable"/>
    <s v="Other"/>
    <s v="Insurance"/>
    <s v="RN Supervision"/>
    <m/>
    <x v="7"/>
    <x v="0"/>
    <x v="2"/>
    <m/>
    <n v="2"/>
    <n v="604"/>
    <n v="604"/>
    <n v="2"/>
    <n v="604"/>
    <n v="604"/>
    <x v="1"/>
  </r>
  <r>
    <n v="499"/>
    <x v="1"/>
    <s v="Partners Health Plan"/>
    <s v="MLTC"/>
    <s v="MLTC"/>
    <s v="HHA Hourly"/>
    <s v="S5130:U1::::S5130"/>
    <x v="6"/>
    <x v="0"/>
    <x v="2"/>
    <m/>
    <n v="1"/>
    <n v="3"/>
    <n v="12"/>
    <n v="0"/>
    <n v="0"/>
    <m/>
    <x v="0"/>
  </r>
  <r>
    <n v="500"/>
    <x v="1"/>
    <s v="Partners Health Plan"/>
    <s v="MLTC"/>
    <s v="MLTC"/>
    <s v="PCA Hourly"/>
    <s v="T1019:U1"/>
    <x v="2"/>
    <x v="0"/>
    <x v="2"/>
    <m/>
    <n v="1"/>
    <n v="20"/>
    <n v="80"/>
    <n v="0"/>
    <n v="0"/>
    <m/>
    <x v="0"/>
  </r>
  <r>
    <n v="501"/>
    <x v="1"/>
    <s v="Partners Health Plan"/>
    <s v="MLTC"/>
    <s v="MLTC"/>
    <s v="RN Initial Visit NB"/>
    <s v="T1019"/>
    <x v="3"/>
    <x v="0"/>
    <x v="2"/>
    <m/>
    <n v="1"/>
    <n v="1"/>
    <n v="1"/>
    <n v="0"/>
    <n v="0"/>
    <n v="0"/>
    <x v="1"/>
  </r>
  <r>
    <n v="502"/>
    <x v="1"/>
    <s v="Prime Home Health Services"/>
    <s v="CHHA"/>
    <s v="CHHA"/>
    <s v="HHAHOUR"/>
    <m/>
    <x v="0"/>
    <x v="0"/>
    <x v="0"/>
    <s v="CHHA"/>
    <n v="1"/>
    <n v="9"/>
    <n v="34.25"/>
    <n v="1"/>
    <n v="9"/>
    <n v="34.25"/>
    <x v="0"/>
  </r>
  <r>
    <n v="503"/>
    <x v="1"/>
    <s v="Prime Home Health Services"/>
    <s v="CHHA"/>
    <s v="CHHA"/>
    <s v="HHAHRPED"/>
    <s v="99999"/>
    <x v="0"/>
    <x v="0"/>
    <x v="0"/>
    <s v="CHHA"/>
    <n v="7"/>
    <n v="1329"/>
    <n v="9605.5"/>
    <n v="6"/>
    <n v="1307"/>
    <n v="9417"/>
    <x v="0"/>
  </r>
  <r>
    <n v="504"/>
    <x v="1"/>
    <s v="Private Pay"/>
    <s v="Other"/>
    <s v="Private"/>
    <s v="HHA supervision"/>
    <m/>
    <x v="5"/>
    <x v="0"/>
    <x v="3"/>
    <m/>
    <n v="1"/>
    <n v="1568"/>
    <n v="393"/>
    <n v="1"/>
    <n v="1568"/>
    <n v="393"/>
    <x v="0"/>
  </r>
  <r>
    <n v="505"/>
    <x v="1"/>
    <s v="Private Pay"/>
    <s v="Other"/>
    <s v="Private"/>
    <s v="Live In - 1 Hour"/>
    <m/>
    <x v="5"/>
    <x v="0"/>
    <x v="3"/>
    <m/>
    <n v="1"/>
    <n v="119"/>
    <n v="119"/>
    <n v="1"/>
    <n v="119"/>
    <n v="119"/>
    <x v="0"/>
  </r>
  <r>
    <n v="506"/>
    <x v="1"/>
    <s v="Private Pay"/>
    <s v="Other"/>
    <s v="Private"/>
    <s v="Live In - 4 Hours"/>
    <m/>
    <x v="5"/>
    <x v="0"/>
    <x v="3"/>
    <m/>
    <n v="1"/>
    <n v="243"/>
    <n v="972"/>
    <n v="1"/>
    <n v="243"/>
    <n v="972"/>
    <x v="0"/>
  </r>
  <r>
    <n v="507"/>
    <x v="1"/>
    <s v="Private Pay"/>
    <s v="Other"/>
    <s v="Private"/>
    <s v="Live In - 7 Hours"/>
    <m/>
    <x v="5"/>
    <x v="0"/>
    <x v="3"/>
    <m/>
    <n v="1"/>
    <n v="37"/>
    <n v="259"/>
    <n v="1"/>
    <n v="37"/>
    <n v="259"/>
    <x v="0"/>
  </r>
  <r>
    <n v="508"/>
    <x v="1"/>
    <s v="Private Pay"/>
    <s v="Other"/>
    <s v="Private"/>
    <s v="Live In - 8 Hours"/>
    <m/>
    <x v="5"/>
    <x v="0"/>
    <x v="3"/>
    <m/>
    <n v="1"/>
    <n v="25"/>
    <n v="200"/>
    <n v="1"/>
    <n v="25"/>
    <n v="200"/>
    <x v="0"/>
  </r>
  <r>
    <n v="509"/>
    <x v="1"/>
    <s v="Private Pay"/>
    <s v="Other"/>
    <s v="Private"/>
    <s v="PA Hourly"/>
    <m/>
    <x v="5"/>
    <x v="0"/>
    <x v="3"/>
    <m/>
    <n v="1"/>
    <n v="5"/>
    <n v="24.75"/>
    <n v="1"/>
    <n v="5"/>
    <n v="24.75"/>
    <x v="0"/>
  </r>
  <r>
    <n v="510"/>
    <x v="1"/>
    <s v="Private Pay"/>
    <s v="Other"/>
    <s v="Private"/>
    <s v="PCA Hourly"/>
    <m/>
    <x v="5"/>
    <x v="0"/>
    <x v="3"/>
    <m/>
    <n v="26"/>
    <n v="510"/>
    <n v="2271.25"/>
    <n v="23"/>
    <n v="507"/>
    <n v="2262.5"/>
    <x v="0"/>
  </r>
  <r>
    <n v="511"/>
    <x v="1"/>
    <s v="Private Pay"/>
    <s v="Other"/>
    <s v="Private"/>
    <s v="RN Initial (NB)"/>
    <m/>
    <x v="5"/>
    <x v="0"/>
    <x v="3"/>
    <m/>
    <n v="1"/>
    <n v="8"/>
    <n v="3.75"/>
    <n v="1"/>
    <n v="8"/>
    <n v="8"/>
    <x v="0"/>
  </r>
  <r>
    <n v="512"/>
    <x v="1"/>
    <s v="Private Pay"/>
    <s v="Other"/>
    <s v="Private"/>
    <s v="RN Initial Visit"/>
    <m/>
    <x v="5"/>
    <x v="0"/>
    <x v="3"/>
    <m/>
    <n v="1"/>
    <n v="24"/>
    <n v="11.25"/>
    <n v="1"/>
    <n v="24"/>
    <n v="24"/>
    <x v="0"/>
  </r>
  <r>
    <n v="513"/>
    <x v="1"/>
    <s v="Private Pay"/>
    <s v="Other"/>
    <s v="Private"/>
    <s v="RN Re-Assessment"/>
    <m/>
    <x v="5"/>
    <x v="0"/>
    <x v="3"/>
    <m/>
    <n v="1"/>
    <n v="1"/>
    <n v="1"/>
    <n v="1"/>
    <n v="1"/>
    <n v="1"/>
    <x v="0"/>
  </r>
  <r>
    <n v="514"/>
    <x v="1"/>
    <s v="Private Pay"/>
    <s v="Other"/>
    <s v="Private"/>
    <s v="RN Reassessment (NB)"/>
    <m/>
    <x v="5"/>
    <x v="0"/>
    <x v="3"/>
    <m/>
    <n v="1"/>
    <n v="1"/>
    <n v="0.25"/>
    <n v="1"/>
    <n v="1"/>
    <n v="1"/>
    <x v="0"/>
  </r>
  <r>
    <n v="515"/>
    <x v="1"/>
    <s v="Private Pay - Select"/>
    <s v="Other"/>
    <s v="Private"/>
    <s v="PA hourly"/>
    <m/>
    <x v="5"/>
    <x v="0"/>
    <x v="3"/>
    <m/>
    <n v="1"/>
    <n v="202"/>
    <n v="2398"/>
    <n v="1"/>
    <n v="202"/>
    <n v="2398"/>
    <x v="0"/>
  </r>
  <r>
    <n v="516"/>
    <x v="1"/>
    <s v="Private Pay - Select"/>
    <s v="Other"/>
    <s v="Private"/>
    <s v="PCA Hourly"/>
    <m/>
    <x v="5"/>
    <x v="0"/>
    <x v="3"/>
    <m/>
    <n v="17"/>
    <n v="793"/>
    <n v="5283.25"/>
    <n v="15"/>
    <n v="769"/>
    <n v="5189.75"/>
    <x v="0"/>
  </r>
  <r>
    <n v="517"/>
    <x v="1"/>
    <s v="Private Pay - Select"/>
    <s v="Other"/>
    <s v="Private"/>
    <s v="PCA Live-in"/>
    <m/>
    <x v="5"/>
    <x v="0"/>
    <x v="3"/>
    <m/>
    <n v="1"/>
    <n v="65"/>
    <n v="1538"/>
    <n v="1"/>
    <n v="65"/>
    <n v="845"/>
    <x v="0"/>
  </r>
  <r>
    <n v="518"/>
    <x v="1"/>
    <s v="Private Pay - Select"/>
    <s v="Other"/>
    <s v="Private"/>
    <s v="PRN (NB)"/>
    <m/>
    <x v="5"/>
    <x v="0"/>
    <x v="3"/>
    <m/>
    <n v="1"/>
    <n v="1"/>
    <n v="0.5"/>
    <n v="1"/>
    <n v="1"/>
    <n v="1"/>
    <x v="0"/>
  </r>
  <r>
    <n v="519"/>
    <x v="1"/>
    <s v="Private Pay - Select"/>
    <s v="Other"/>
    <s v="Private"/>
    <s v="RN Initial (NB)"/>
    <m/>
    <x v="5"/>
    <x v="0"/>
    <x v="3"/>
    <m/>
    <n v="13"/>
    <n v="13"/>
    <n v="6.5"/>
    <n v="12"/>
    <n v="12"/>
    <n v="12"/>
    <x v="0"/>
  </r>
  <r>
    <n v="520"/>
    <x v="1"/>
    <s v="Private Pay - Select"/>
    <s v="Other"/>
    <s v="Private"/>
    <s v="RN Reassessment (NB)"/>
    <m/>
    <x v="5"/>
    <x v="0"/>
    <x v="3"/>
    <m/>
    <n v="3"/>
    <n v="3"/>
    <n v="1.5"/>
    <n v="3"/>
    <n v="3"/>
    <n v="3"/>
    <x v="0"/>
  </r>
  <r>
    <n v="521"/>
    <x v="1"/>
    <s v="Revival Home Health Care"/>
    <s v="CHHA"/>
    <s v="CHHA"/>
    <s v="Rate1"/>
    <s v="S9122"/>
    <x v="0"/>
    <x v="0"/>
    <x v="0"/>
    <s v="CHHA"/>
    <n v="7"/>
    <n v="105"/>
    <n v="417"/>
    <n v="6"/>
    <n v="95"/>
    <n v="377"/>
    <x v="0"/>
  </r>
  <r>
    <n v="522"/>
    <x v="1"/>
    <s v="Senior Whole Health PCA (Non Live)"/>
    <s v="Other"/>
    <s v="MLTC"/>
    <s v="PCA Hourly"/>
    <s v="T1019:U1"/>
    <x v="2"/>
    <x v="0"/>
    <x v="2"/>
    <m/>
    <n v="1"/>
    <n v="94"/>
    <n v="1119"/>
    <n v="0"/>
    <n v="0"/>
    <m/>
    <x v="0"/>
  </r>
  <r>
    <n v="523"/>
    <x v="1"/>
    <s v="Senior Whole Health PCA (Non Live)"/>
    <s v="Other"/>
    <s v="MLTC"/>
    <s v="RN Reassessment (NB)"/>
    <m/>
    <x v="3"/>
    <x v="0"/>
    <x v="2"/>
    <m/>
    <n v="1"/>
    <n v="1"/>
    <n v="1"/>
    <n v="1"/>
    <n v="1"/>
    <n v="1"/>
    <x v="1"/>
  </r>
  <r>
    <n v="524"/>
    <x v="1"/>
    <s v="Shining Star Home Care CHHA"/>
    <s v="CHHA"/>
    <s v="CHHA"/>
    <s v="Rate1"/>
    <s v="xxxx"/>
    <x v="0"/>
    <x v="0"/>
    <x v="0"/>
    <s v="CHHA"/>
    <n v="4"/>
    <n v="414"/>
    <n v="2768.5"/>
    <n v="2"/>
    <n v="364"/>
    <n v="2430.5"/>
    <x v="0"/>
  </r>
  <r>
    <n v="525"/>
    <x v="1"/>
    <s v="SWHNY-MLTC (ANT)"/>
    <s v="Other"/>
    <s v="MLTC"/>
    <s v="PRN (NB)"/>
    <m/>
    <x v="3"/>
    <x v="0"/>
    <x v="2"/>
    <m/>
    <n v="3"/>
    <n v="4"/>
    <n v="4"/>
    <n v="3"/>
    <n v="4"/>
    <n v="4"/>
    <x v="1"/>
  </r>
  <r>
    <n v="526"/>
    <x v="1"/>
    <s v="SWHNY-MLTC (ANT)"/>
    <s v="Other"/>
    <s v="MLTC"/>
    <s v="RN Initial (NB)"/>
    <m/>
    <x v="3"/>
    <x v="0"/>
    <x v="2"/>
    <m/>
    <n v="9"/>
    <n v="9"/>
    <n v="9"/>
    <n v="7"/>
    <n v="7"/>
    <n v="7"/>
    <x v="1"/>
  </r>
  <r>
    <n v="527"/>
    <x v="1"/>
    <s v="SWHNY-MLTC (ANT)"/>
    <s v="Other"/>
    <s v="MLTC"/>
    <s v="RN Reassessment (NB)"/>
    <m/>
    <x v="3"/>
    <x v="0"/>
    <x v="2"/>
    <m/>
    <n v="22"/>
    <n v="37"/>
    <n v="37"/>
    <n v="22"/>
    <n v="37"/>
    <n v="37"/>
    <x v="1"/>
  </r>
  <r>
    <n v="528"/>
    <x v="1"/>
    <s v="SWHNY-MLTC (ANT)"/>
    <s v="Other"/>
    <s v="MLTC"/>
    <s v="T1019:U1"/>
    <s v="T1019:U1"/>
    <x v="2"/>
    <x v="0"/>
    <x v="2"/>
    <m/>
    <n v="35"/>
    <n v="6182"/>
    <n v="44875"/>
    <n v="32"/>
    <n v="6041"/>
    <n v="44132"/>
    <x v="0"/>
  </r>
  <r>
    <n v="529"/>
    <x v="1"/>
    <s v="SWHNY-MLTC (ANT)"/>
    <s v="Other"/>
    <s v="MLTC"/>
    <s v="T1020"/>
    <s v="T1020"/>
    <x v="8"/>
    <x v="0"/>
    <x v="2"/>
    <m/>
    <n v="2"/>
    <n v="482"/>
    <n v="6266"/>
    <n v="2"/>
    <n v="482"/>
    <n v="6266"/>
    <x v="0"/>
  </r>
  <r>
    <n v="533"/>
    <x v="1"/>
    <s v="SWHNY-MLTC (CDP)"/>
    <s v="Other"/>
    <s v="CDPAP"/>
    <s v="PRN (NB)"/>
    <m/>
    <x v="3"/>
    <x v="0"/>
    <x v="2"/>
    <m/>
    <n v="1"/>
    <n v="1"/>
    <n v="1"/>
    <n v="1"/>
    <n v="1"/>
    <n v="1"/>
    <x v="1"/>
  </r>
  <r>
    <n v="534"/>
    <x v="1"/>
    <s v="SWHNY-MLTC (CDP)"/>
    <s v="Other"/>
    <s v="CDPAP"/>
    <s v="RN Visit"/>
    <m/>
    <x v="3"/>
    <x v="0"/>
    <x v="2"/>
    <m/>
    <n v="1"/>
    <n v="1"/>
    <n v="1"/>
    <n v="1"/>
    <n v="1"/>
    <n v="1"/>
    <x v="3"/>
  </r>
  <r>
    <n v="535"/>
    <x v="1"/>
    <s v="SWHNY-MLTC (CDP)"/>
    <s v="Other"/>
    <s v="CDPAP"/>
    <s v="T1019:U1"/>
    <s v="T1019:U1"/>
    <x v="2"/>
    <x v="0"/>
    <x v="2"/>
    <m/>
    <n v="2"/>
    <n v="133"/>
    <n v="1079.25"/>
    <n v="2"/>
    <n v="133"/>
    <n v="1079.25"/>
    <x v="0"/>
  </r>
  <r>
    <n v="536"/>
    <x v="1"/>
    <s v="SWHNY-MLTC (CDP)"/>
    <s v="Other"/>
    <s v="CDPAP"/>
    <s v="T1019:U6"/>
    <s v="T1019:U6"/>
    <x v="1"/>
    <x v="1"/>
    <x v="1"/>
    <m/>
    <n v="36"/>
    <n v="8135"/>
    <n v="53003.25"/>
    <n v="32"/>
    <n v="7682"/>
    <n v="50486.25"/>
    <x v="0"/>
  </r>
  <r>
    <n v="537"/>
    <x v="1"/>
    <s v="TBI"/>
    <s v="LHCSA"/>
    <s v="Medicaid"/>
    <s v="HCSS 9879"/>
    <s v="9879"/>
    <x v="4"/>
    <x v="0"/>
    <x v="0"/>
    <m/>
    <n v="2"/>
    <n v="1318"/>
    <n v="15487.5"/>
    <n v="2"/>
    <n v="1318"/>
    <n v="15487.5"/>
    <x v="0"/>
  </r>
  <r>
    <n v="538"/>
    <x v="1"/>
    <s v="TBI"/>
    <s v="LHCSA"/>
    <s v="Medicaid"/>
    <s v="PRN (NB)"/>
    <m/>
    <x v="4"/>
    <x v="0"/>
    <x v="0"/>
    <m/>
    <n v="1"/>
    <n v="2"/>
    <n v="1.5"/>
    <n v="1"/>
    <n v="2"/>
    <n v="2"/>
    <x v="2"/>
  </r>
  <r>
    <n v="539"/>
    <x v="1"/>
    <s v="TBI"/>
    <s v="LHCSA"/>
    <s v="Medicaid"/>
    <s v="RN Reassessment (NB)"/>
    <m/>
    <x v="4"/>
    <x v="0"/>
    <x v="0"/>
    <m/>
    <n v="2"/>
    <n v="4"/>
    <n v="4"/>
    <n v="2"/>
    <n v="4"/>
    <n v="4"/>
    <x v="2"/>
  </r>
  <r>
    <n v="540"/>
    <x v="1"/>
    <s v="TBI"/>
    <s v="LHCSA"/>
    <s v="Medicaid"/>
    <s v="Service Coordination (monthly)"/>
    <s v="9851"/>
    <x v="4"/>
    <x v="0"/>
    <x v="0"/>
    <m/>
    <n v="2"/>
    <n v="14"/>
    <n v="3.5"/>
    <n v="2"/>
    <n v="14"/>
    <n v="3.5"/>
    <x v="2"/>
  </r>
  <r>
    <n v="546"/>
    <x v="1"/>
    <s v="VillageCare CDPAP"/>
    <s v="MCO"/>
    <s v="CDPAP"/>
    <s v="Live In"/>
    <s v="T1020:U6"/>
    <x v="9"/>
    <x v="1"/>
    <x v="1"/>
    <m/>
    <n v="2"/>
    <n v="95"/>
    <n v="1235"/>
    <n v="1"/>
    <n v="20"/>
    <n v="260"/>
    <x v="0"/>
  </r>
  <r>
    <n v="547"/>
    <x v="1"/>
    <s v="VillageCare CDPAP"/>
    <s v="MCO"/>
    <s v="CDPAP"/>
    <s v="PA Hourly"/>
    <s v="T1019:U6"/>
    <x v="1"/>
    <x v="1"/>
    <x v="1"/>
    <m/>
    <n v="245"/>
    <n v="33692"/>
    <n v="170595.5"/>
    <n v="229"/>
    <n v="33052"/>
    <n v="166843.25"/>
    <x v="0"/>
  </r>
  <r>
    <n v="548"/>
    <x v="1"/>
    <s v="VillageCare CDPAP"/>
    <s v="MCO"/>
    <s v="CDPAP"/>
    <s v="PA Hourly Mutual"/>
    <s v="T1019:U7"/>
    <x v="10"/>
    <x v="1"/>
    <x v="1"/>
    <m/>
    <n v="7"/>
    <n v="496"/>
    <n v="3430.5"/>
    <n v="7"/>
    <n v="496"/>
    <n v="3430.5"/>
    <x v="0"/>
  </r>
  <r>
    <n v="549"/>
    <x v="1"/>
    <s v="VillageCare PCA"/>
    <s v="MLTC"/>
    <s v="MLTC"/>
    <s v="HHA Hourly - S5125"/>
    <s v="S5125"/>
    <x v="6"/>
    <x v="0"/>
    <x v="2"/>
    <m/>
    <n v="1"/>
    <n v="8"/>
    <n v="46"/>
    <n v="1"/>
    <n v="8"/>
    <n v="46"/>
    <x v="0"/>
  </r>
  <r>
    <n v="550"/>
    <x v="1"/>
    <s v="VillageCare PCA"/>
    <s v="MLTC"/>
    <s v="MLTC"/>
    <s v="LPN"/>
    <s v="T1003"/>
    <x v="4"/>
    <x v="0"/>
    <x v="0"/>
    <m/>
    <n v="1"/>
    <n v="82"/>
    <n v="959.75"/>
    <n v="1"/>
    <n v="82"/>
    <n v="959.75"/>
    <x v="0"/>
  </r>
  <r>
    <n v="551"/>
    <x v="1"/>
    <s v="VillageCare PCA"/>
    <s v="MLTC"/>
    <s v="MLTC"/>
    <s v="PCA - Live In"/>
    <s v="T1020"/>
    <x v="8"/>
    <x v="0"/>
    <x v="2"/>
    <m/>
    <n v="16"/>
    <n v="3106"/>
    <n v="40378"/>
    <n v="14"/>
    <n v="3075"/>
    <n v="39975"/>
    <x v="0"/>
  </r>
  <r>
    <n v="552"/>
    <x v="1"/>
    <s v="VillageCare PCA"/>
    <s v="MLTC"/>
    <s v="MLTC"/>
    <s v="PCA - Live In TV"/>
    <s v="T1020:TV"/>
    <x v="8"/>
    <x v="0"/>
    <x v="2"/>
    <m/>
    <n v="11"/>
    <n v="349"/>
    <n v="4537"/>
    <n v="11"/>
    <n v="349"/>
    <n v="4537"/>
    <x v="0"/>
  </r>
  <r>
    <n v="553"/>
    <x v="1"/>
    <s v="VillageCare PCA"/>
    <s v="MLTC"/>
    <s v="MLTC"/>
    <s v="PCA Cluster Care"/>
    <s v="T1019:U3"/>
    <x v="11"/>
    <x v="0"/>
    <x v="2"/>
    <m/>
    <n v="22"/>
    <n v="1175"/>
    <n v="2644.5"/>
    <n v="22"/>
    <n v="1175"/>
    <n v="2644.5"/>
    <x v="0"/>
  </r>
  <r>
    <n v="554"/>
    <x v="1"/>
    <s v="VillageCare PCA"/>
    <s v="MLTC"/>
    <s v="MLTC"/>
    <s v="PCA Hourly"/>
    <s v="T1019:U1"/>
    <x v="2"/>
    <x v="0"/>
    <x v="2"/>
    <m/>
    <n v="289"/>
    <n v="31061"/>
    <n v="161033.25"/>
    <n v="279"/>
    <n v="30761"/>
    <n v="159517.5"/>
    <x v="0"/>
  </r>
  <r>
    <n v="555"/>
    <x v="1"/>
    <s v="VillageCare PCA"/>
    <s v="MLTC"/>
    <s v="MLTC"/>
    <s v="PCA Hourly"/>
    <s v="T1019:U1:TV"/>
    <x v="2"/>
    <x v="0"/>
    <x v="2"/>
    <m/>
    <n v="107"/>
    <n v="4691"/>
    <n v="28459.75"/>
    <n v="104"/>
    <n v="4633"/>
    <n v="28205"/>
    <x v="0"/>
  </r>
  <r>
    <n v="556"/>
    <x v="1"/>
    <s v="VillageCare PCA"/>
    <s v="MLTC"/>
    <s v="MLTC"/>
    <s v="PCA Hourly TV"/>
    <s v="T1019:U1:TV"/>
    <x v="2"/>
    <x v="0"/>
    <x v="2"/>
    <m/>
    <n v="57"/>
    <n v="699"/>
    <n v="4078.75"/>
    <n v="55"/>
    <n v="675"/>
    <n v="3916.75"/>
    <x v="0"/>
  </r>
  <r>
    <n v="557"/>
    <x v="1"/>
    <s v="VillageCare PCA"/>
    <s v="MLTC"/>
    <s v="MLTC"/>
    <s v="PRN (NB)"/>
    <m/>
    <x v="3"/>
    <x v="0"/>
    <x v="2"/>
    <m/>
    <n v="22"/>
    <n v="24"/>
    <n v="24"/>
    <n v="22"/>
    <n v="24"/>
    <n v="24"/>
    <x v="1"/>
  </r>
  <r>
    <n v="558"/>
    <x v="1"/>
    <s v="VillageCare PCA"/>
    <s v="MLTC"/>
    <s v="MLTC"/>
    <s v="RN Initial (NB)"/>
    <m/>
    <x v="3"/>
    <x v="0"/>
    <x v="2"/>
    <m/>
    <n v="1"/>
    <n v="1"/>
    <n v="1"/>
    <n v="1"/>
    <n v="1"/>
    <n v="1"/>
    <x v="1"/>
  </r>
  <r>
    <n v="559"/>
    <x v="1"/>
    <s v="VillageCare PCA"/>
    <s v="MLTC"/>
    <s v="MLTC"/>
    <s v="RN Initial Visit"/>
    <s v="T1030"/>
    <x v="7"/>
    <x v="0"/>
    <x v="2"/>
    <m/>
    <n v="179"/>
    <n v="179"/>
    <n v="179"/>
    <n v="172"/>
    <n v="172"/>
    <n v="172"/>
    <x v="3"/>
  </r>
  <r>
    <n v="560"/>
    <x v="1"/>
    <s v="VillageCare PCA"/>
    <s v="MLTC"/>
    <s v="MLTC"/>
    <s v="RN Reassessment (NB)"/>
    <m/>
    <x v="3"/>
    <x v="0"/>
    <x v="2"/>
    <m/>
    <n v="173"/>
    <n v="259"/>
    <n v="259"/>
    <n v="173"/>
    <n v="259"/>
    <n v="259"/>
    <x v="1"/>
  </r>
  <r>
    <n v="561"/>
    <x v="1"/>
    <s v="VNS Health Health Plans (ANT)"/>
    <s v="MLTC"/>
    <s v="MLTC"/>
    <s v="PRN (NB)"/>
    <m/>
    <x v="3"/>
    <x v="0"/>
    <x v="2"/>
    <m/>
    <n v="14"/>
    <n v="16"/>
    <n v="16"/>
    <n v="14"/>
    <n v="16"/>
    <n v="16"/>
    <x v="1"/>
  </r>
  <r>
    <n v="562"/>
    <x v="1"/>
    <s v="VNS Health Health Plans (ANT)"/>
    <s v="MLTC"/>
    <s v="MLTC"/>
    <s v="RN Initial (NB)"/>
    <m/>
    <x v="3"/>
    <x v="0"/>
    <x v="2"/>
    <m/>
    <n v="61"/>
    <n v="61"/>
    <n v="61"/>
    <n v="54"/>
    <n v="54"/>
    <n v="54"/>
    <x v="1"/>
  </r>
  <r>
    <n v="563"/>
    <x v="1"/>
    <s v="VNS Health Health Plans (ANT)"/>
    <s v="MLTC"/>
    <s v="MLTC"/>
    <s v="RN Reassessment (NB)"/>
    <m/>
    <x v="3"/>
    <x v="0"/>
    <x v="2"/>
    <m/>
    <n v="110"/>
    <n v="165"/>
    <n v="165"/>
    <n v="107"/>
    <n v="161"/>
    <n v="161"/>
    <x v="1"/>
  </r>
  <r>
    <n v="564"/>
    <x v="1"/>
    <s v="VNS Health Health Plans (ANT)"/>
    <s v="MLTC"/>
    <s v="MLTC"/>
    <s v="T1019U1 BX"/>
    <s v="T1019:U1"/>
    <x v="2"/>
    <x v="0"/>
    <x v="2"/>
    <m/>
    <n v="2"/>
    <n v="152"/>
    <n v="956.25"/>
    <n v="2"/>
    <n v="152"/>
    <n v="956.25"/>
    <x v="0"/>
  </r>
  <r>
    <n v="565"/>
    <x v="1"/>
    <s v="VNS Health Health Plans (ANT)"/>
    <s v="MLTC"/>
    <s v="MLTC"/>
    <s v="T1019U1 K"/>
    <s v="T1019:U1"/>
    <x v="2"/>
    <x v="0"/>
    <x v="2"/>
    <m/>
    <n v="160"/>
    <n v="24250"/>
    <n v="149856.75"/>
    <n v="142"/>
    <n v="23456"/>
    <n v="145401"/>
    <x v="0"/>
  </r>
  <r>
    <n v="566"/>
    <x v="1"/>
    <s v="VNS Health Health Plans (ANT)"/>
    <s v="MLTC"/>
    <s v="MLTC"/>
    <s v="T1019U1 K MAP"/>
    <s v="T1019:U1"/>
    <x v="2"/>
    <x v="0"/>
    <x v="2"/>
    <m/>
    <n v="1"/>
    <n v="1"/>
    <n v="5"/>
    <n v="1"/>
    <n v="1"/>
    <n v="5"/>
    <x v="0"/>
  </r>
  <r>
    <n v="567"/>
    <x v="1"/>
    <s v="VNS Health Health Plans (ANT)"/>
    <s v="MLTC"/>
    <s v="MLTC"/>
    <s v="T1019U1 NYC"/>
    <s v="T1019:U1"/>
    <x v="2"/>
    <x v="0"/>
    <x v="2"/>
    <m/>
    <n v="1"/>
    <n v="66"/>
    <n v="205.75"/>
    <n v="1"/>
    <n v="66"/>
    <n v="205.75"/>
    <x v="0"/>
  </r>
  <r>
    <n v="568"/>
    <x v="1"/>
    <s v="VNS Health Health Plans (ANT)"/>
    <s v="MLTC"/>
    <s v="MLTC"/>
    <s v="T1019U1 QNS"/>
    <s v="T1019:U1"/>
    <x v="2"/>
    <x v="0"/>
    <x v="2"/>
    <m/>
    <n v="1"/>
    <n v="127"/>
    <n v="1365"/>
    <n v="1"/>
    <n v="127"/>
    <n v="1365"/>
    <x v="0"/>
  </r>
  <r>
    <n v="569"/>
    <x v="1"/>
    <s v="VNS Health Health Plans (ANT)"/>
    <s v="MLTC"/>
    <s v="MLTC"/>
    <s v="T1019U2 K"/>
    <s v="T1019:U2"/>
    <x v="11"/>
    <x v="0"/>
    <x v="2"/>
    <m/>
    <n v="2"/>
    <n v="100"/>
    <n v="485.5"/>
    <n v="2"/>
    <n v="100"/>
    <n v="485.5"/>
    <x v="0"/>
  </r>
  <r>
    <n v="570"/>
    <x v="1"/>
    <s v="VNS Health Health Plans (ANT)"/>
    <s v="MLTC"/>
    <s v="MLTC"/>
    <s v="T1020 K"/>
    <s v="T1020"/>
    <x v="8"/>
    <x v="0"/>
    <x v="2"/>
    <m/>
    <n v="14"/>
    <n v="3410"/>
    <n v="44330"/>
    <n v="14"/>
    <n v="3410"/>
    <n v="44330"/>
    <x v="0"/>
  </r>
  <r>
    <n v="575"/>
    <x v="1"/>
    <s v="VNS Health Health Plans (CDP)"/>
    <s v="MLTC"/>
    <s v="CDPAP"/>
    <s v="T1019U6 K"/>
    <s v="T1019:U6"/>
    <x v="1"/>
    <x v="1"/>
    <x v="1"/>
    <m/>
    <n v="102"/>
    <n v="22510"/>
    <n v="128151.5"/>
    <n v="96"/>
    <n v="22041"/>
    <n v="124961"/>
    <x v="0"/>
  </r>
  <r>
    <n v="576"/>
    <x v="1"/>
    <s v="VNS Health Health Plans (CDP)"/>
    <s v="MLTC"/>
    <s v="CDPAP"/>
    <s v="T1019U6 NYC"/>
    <s v="T1019:U6"/>
    <x v="1"/>
    <x v="1"/>
    <x v="1"/>
    <m/>
    <n v="1"/>
    <n v="31"/>
    <n v="159"/>
    <n v="0"/>
    <n v="0"/>
    <m/>
    <x v="0"/>
  </r>
  <r>
    <n v="577"/>
    <x v="1"/>
    <s v="VNS Health Health Plans (CDP)"/>
    <s v="MLTC"/>
    <s v="CDPAP"/>
    <s v="T1019U7 K"/>
    <s v="T1019:U7"/>
    <x v="10"/>
    <x v="1"/>
    <x v="1"/>
    <m/>
    <n v="2"/>
    <n v="944"/>
    <n v="5621.5"/>
    <n v="2"/>
    <n v="944"/>
    <n v="5621.5"/>
    <x v="0"/>
  </r>
  <r>
    <n v="578"/>
    <x v="1"/>
    <s v="VNS Health Health Plans (CDP)"/>
    <s v="MLTC"/>
    <s v="CDPAP"/>
    <s v="T1020U6 K"/>
    <s v="T1020:U6"/>
    <x v="9"/>
    <x v="1"/>
    <x v="1"/>
    <m/>
    <n v="2"/>
    <n v="161"/>
    <n v="2093"/>
    <n v="1"/>
    <n v="17"/>
    <n v="221"/>
    <x v="0"/>
  </r>
  <r>
    <n v="579"/>
    <x v="1"/>
    <s v="VNSNY CHOICE CDPAP"/>
    <s v="MLTC"/>
    <s v="CDPAP"/>
    <s v="PA Hourly"/>
    <s v="T1019:U6"/>
    <x v="1"/>
    <x v="1"/>
    <x v="1"/>
    <m/>
    <n v="1"/>
    <n v="3"/>
    <n v="16.25"/>
    <n v="1"/>
    <n v="3"/>
    <n v="16.25"/>
    <x v="0"/>
  </r>
  <r>
    <n v="580"/>
    <x v="1"/>
    <s v="VNSNY CHOICE PCA"/>
    <s v="LHCSA"/>
    <s v="MLTC"/>
    <s v="PCA Hourly"/>
    <s v="T1019:U1"/>
    <x v="2"/>
    <x v="0"/>
    <x v="2"/>
    <m/>
    <n v="1"/>
    <n v="51"/>
    <n v="301"/>
    <n v="0"/>
    <n v="0"/>
    <m/>
    <x v="0"/>
  </r>
  <r>
    <n v="581"/>
    <x v="1"/>
    <s v="VNSNY CHOICE PCA"/>
    <s v="LHCSA"/>
    <s v="MLTC"/>
    <s v="PCA Hourly Housekeeping"/>
    <s v="S5130:U1::::S5130"/>
    <x v="6"/>
    <x v="0"/>
    <x v="2"/>
    <m/>
    <n v="1"/>
    <n v="14"/>
    <n v="52"/>
    <n v="1"/>
    <n v="14"/>
    <n v="52"/>
    <x v="0"/>
  </r>
  <r>
    <n v="582"/>
    <x v="1"/>
    <s v="VNSNY CHOICE PCA"/>
    <s v="LHCSA"/>
    <s v="MLTC"/>
    <s v="RN Initial (NB)"/>
    <m/>
    <x v="3"/>
    <x v="0"/>
    <x v="2"/>
    <m/>
    <n v="3"/>
    <n v="3"/>
    <n v="3"/>
    <n v="2"/>
    <n v="2"/>
    <n v="2"/>
    <x v="1"/>
  </r>
  <r>
    <n v="583"/>
    <x v="1"/>
    <s v="VNSNY CHOICE PCA"/>
    <s v="LHCSA"/>
    <s v="MLTC"/>
    <s v="RN Reassessment (NB)"/>
    <m/>
    <x v="3"/>
    <x v="0"/>
    <x v="2"/>
    <m/>
    <n v="2"/>
    <n v="2"/>
    <n v="2"/>
    <n v="1"/>
    <n v="1"/>
    <n v="1"/>
    <x v="1"/>
  </r>
  <r>
    <n v="584"/>
    <x v="1"/>
    <s v="Your Choice at Home"/>
    <s v="CHHA"/>
    <s v="CHHA"/>
    <s v="2610"/>
    <s v="2610"/>
    <x v="0"/>
    <x v="0"/>
    <x v="0"/>
    <s v="CHHA"/>
    <n v="283"/>
    <n v="42349"/>
    <n v="374553.75"/>
    <n v="275"/>
    <n v="41993"/>
    <n v="371287.25"/>
    <x v="0"/>
  </r>
  <r>
    <n v="585"/>
    <x v="1"/>
    <s v="Your Choice at Home"/>
    <s v="CHHA"/>
    <s v="CHHA"/>
    <s v="S9122"/>
    <s v="S9122"/>
    <x v="0"/>
    <x v="0"/>
    <x v="0"/>
    <s v="CHHA"/>
    <n v="2"/>
    <n v="6"/>
    <n v="22"/>
    <n v="2"/>
    <n v="6"/>
    <n v="22"/>
    <x v="0"/>
  </r>
  <r>
    <n v="587"/>
    <x v="28"/>
    <s v="Fidelis Care (CDP)"/>
    <s v="LHCSA"/>
    <s v="CDPAP"/>
    <s v="T1019:U6"/>
    <s v="T1019:U6"/>
    <x v="1"/>
    <x v="1"/>
    <x v="1"/>
    <m/>
    <n v="2"/>
    <n v="500"/>
    <n v="2522"/>
    <n v="2"/>
    <n v="500"/>
    <n v="2522"/>
    <x v="0"/>
  </r>
  <r>
    <n v="590"/>
    <x v="28"/>
    <s v="Nascentia Health Options CDPAP"/>
    <s v="MLTC"/>
    <s v="CDPAP"/>
    <s v="PA Hourly"/>
    <s v="T1019:U6"/>
    <x v="1"/>
    <x v="1"/>
    <x v="1"/>
    <m/>
    <n v="2"/>
    <n v="415"/>
    <n v="3584.75"/>
    <n v="2"/>
    <n v="415"/>
    <n v="3584.75"/>
    <x v="0"/>
  </r>
  <r>
    <n v="592"/>
    <x v="29"/>
    <s v="Fidelis Care (CDP)"/>
    <s v="LHCSA"/>
    <s v="CDPAP"/>
    <s v="T1019:U6"/>
    <s v="T1019:U6"/>
    <x v="1"/>
    <x v="1"/>
    <x v="1"/>
    <m/>
    <n v="5"/>
    <n v="684"/>
    <n v="3477"/>
    <n v="5"/>
    <n v="684"/>
    <n v="3477"/>
    <x v="0"/>
  </r>
  <r>
    <n v="594"/>
    <x v="29"/>
    <s v="Nascentia Health Options CDPAP"/>
    <s v="MLTC"/>
    <s v="CDPAP"/>
    <s v="PA Hourly"/>
    <s v="T1019:U6"/>
    <x v="1"/>
    <x v="1"/>
    <x v="1"/>
    <m/>
    <n v="1"/>
    <n v="277"/>
    <n v="873"/>
    <n v="1"/>
    <n v="277"/>
    <n v="873"/>
    <x v="0"/>
  </r>
  <r>
    <n v="596"/>
    <x v="30"/>
    <s v="Fidelis Care (CDP)"/>
    <s v="LHCSA"/>
    <s v="CDPAP"/>
    <s v="T1019:U6"/>
    <s v="T1019:U6"/>
    <x v="1"/>
    <x v="1"/>
    <x v="1"/>
    <m/>
    <n v="3"/>
    <n v="301"/>
    <n v="1280.5"/>
    <n v="3"/>
    <n v="301"/>
    <n v="1280.5"/>
    <x v="0"/>
  </r>
  <r>
    <n v="600"/>
    <x v="30"/>
    <s v="VNS Health Health Plans (CDP)"/>
    <s v="MLTC"/>
    <s v="CDPAP"/>
    <s v="T1019U6 MAD"/>
    <s v="T1019:U6"/>
    <x v="1"/>
    <x v="1"/>
    <x v="1"/>
    <m/>
    <n v="5"/>
    <n v="1076"/>
    <n v="6161.25"/>
    <n v="5"/>
    <n v="1076"/>
    <n v="6161.25"/>
    <x v="0"/>
  </r>
  <r>
    <n v="601"/>
    <x v="4"/>
    <s v="Elderwood Health Plan"/>
    <s v="MCO"/>
    <s v="CDPAP"/>
    <s v="PA Hourly"/>
    <s v="T1019:U6"/>
    <x v="1"/>
    <x v="1"/>
    <x v="1"/>
    <m/>
    <n v="10"/>
    <n v="771"/>
    <n v="3447.75"/>
    <n v="9"/>
    <n v="684"/>
    <n v="3189.5"/>
    <x v="0"/>
  </r>
  <r>
    <n v="604"/>
    <x v="4"/>
    <s v="Fidelis Care (CDP)"/>
    <s v="LHCSA"/>
    <s v="CDPAP"/>
    <s v="T1019:U6"/>
    <s v="T1019:U6"/>
    <x v="1"/>
    <x v="1"/>
    <x v="1"/>
    <m/>
    <n v="34"/>
    <n v="5438"/>
    <n v="24882.25"/>
    <n v="34"/>
    <n v="5438"/>
    <n v="24882.25"/>
    <x v="0"/>
  </r>
  <r>
    <n v="607"/>
    <x v="4"/>
    <s v="Nascentia Health Options CDPAP"/>
    <s v="MLTC"/>
    <s v="CDPAP"/>
    <s v="PA Hourly"/>
    <s v="T1019:U6"/>
    <x v="1"/>
    <x v="1"/>
    <x v="1"/>
    <m/>
    <n v="9"/>
    <n v="1779"/>
    <n v="11779.75"/>
    <n v="9"/>
    <n v="1779"/>
    <n v="11779.75"/>
    <x v="0"/>
  </r>
  <r>
    <n v="612"/>
    <x v="4"/>
    <s v="VNS Health Health Plans (CDP)"/>
    <s v="MLTC"/>
    <s v="CDPAP"/>
    <s v="T1019U6 MRE"/>
    <s v="T1019:U6"/>
    <x v="1"/>
    <x v="1"/>
    <x v="1"/>
    <m/>
    <n v="98"/>
    <n v="19459"/>
    <n v="82692.5"/>
    <n v="97"/>
    <n v="19423"/>
    <n v="82512.5"/>
    <x v="0"/>
  </r>
  <r>
    <n v="613"/>
    <x v="4"/>
    <s v="VNS Health Health Plans (CDP)"/>
    <s v="MLTC"/>
    <s v="CDPAP"/>
    <s v="T1019U6 MRE MAP"/>
    <s v="T1019:U6"/>
    <x v="1"/>
    <x v="1"/>
    <x v="1"/>
    <m/>
    <n v="1"/>
    <n v="6"/>
    <n v="17"/>
    <n v="1"/>
    <n v="6"/>
    <n v="17"/>
    <x v="0"/>
  </r>
  <r>
    <n v="614"/>
    <x v="4"/>
    <s v="VNS Health Health Plans (CDP)"/>
    <s v="MLTC"/>
    <s v="CDPAP"/>
    <s v="T1019U6 SUF"/>
    <s v="T1019:U6"/>
    <x v="1"/>
    <x v="1"/>
    <x v="1"/>
    <m/>
    <n v="1"/>
    <n v="305"/>
    <n v="1216.75"/>
    <n v="1"/>
    <n v="305"/>
    <n v="1216.75"/>
    <x v="0"/>
  </r>
  <r>
    <n v="615"/>
    <x v="31"/>
    <s v="Fidelis Care (ANT)"/>
    <s v="LHCSA"/>
    <s v="MLTC"/>
    <s v="RN Initial (NB)"/>
    <m/>
    <x v="3"/>
    <x v="0"/>
    <x v="2"/>
    <m/>
    <n v="2"/>
    <n v="2"/>
    <n v="2"/>
    <n v="2"/>
    <n v="2"/>
    <n v="2"/>
    <x v="1"/>
  </r>
  <r>
    <n v="616"/>
    <x v="31"/>
    <s v="Fidelis Care (ANT)"/>
    <s v="LHCSA"/>
    <s v="MLTC"/>
    <s v="RN Initial Assement"/>
    <s v="T2024"/>
    <x v="3"/>
    <x v="0"/>
    <x v="2"/>
    <m/>
    <n v="2"/>
    <n v="2"/>
    <n v="2"/>
    <n v="2"/>
    <n v="2"/>
    <n v="2"/>
    <x v="3"/>
  </r>
  <r>
    <n v="617"/>
    <x v="31"/>
    <s v="Fidelis Care (ANT)"/>
    <s v="LHCSA"/>
    <s v="MLTC"/>
    <s v="RN Reassessment (NB)"/>
    <m/>
    <x v="3"/>
    <x v="0"/>
    <x v="2"/>
    <m/>
    <n v="2"/>
    <n v="2"/>
    <n v="2"/>
    <n v="2"/>
    <n v="2"/>
    <n v="2"/>
    <x v="1"/>
  </r>
  <r>
    <n v="618"/>
    <x v="31"/>
    <s v="Fidelis Care (ANT)"/>
    <s v="LHCSA"/>
    <s v="MLTC"/>
    <s v="T1019:U1"/>
    <s v="T1019:U1"/>
    <x v="2"/>
    <x v="0"/>
    <x v="2"/>
    <m/>
    <n v="4"/>
    <n v="247"/>
    <n v="952.25"/>
    <n v="4"/>
    <n v="247"/>
    <n v="952.25"/>
    <x v="0"/>
  </r>
  <r>
    <n v="621"/>
    <x v="31"/>
    <s v="Fidelis Care (CDP)"/>
    <s v="LHCSA"/>
    <s v="CDPAP"/>
    <s v="T1019:U6"/>
    <s v="T1019:U6"/>
    <x v="1"/>
    <x v="1"/>
    <x v="1"/>
    <m/>
    <n v="18"/>
    <n v="2484"/>
    <n v="12301.75"/>
    <n v="18"/>
    <n v="2484"/>
    <n v="12301.75"/>
    <x v="0"/>
  </r>
  <r>
    <n v="622"/>
    <x v="31"/>
    <s v="Fidelis Care PCA (Non Live)"/>
    <s v="MLTC"/>
    <s v="MLTC"/>
    <s v="RN Initial (NB)"/>
    <s v="G0162"/>
    <x v="3"/>
    <x v="0"/>
    <x v="2"/>
    <m/>
    <n v="1"/>
    <n v="1"/>
    <n v="1"/>
    <n v="1"/>
    <n v="1"/>
    <n v="1"/>
    <x v="1"/>
  </r>
  <r>
    <n v="623"/>
    <x v="31"/>
    <s v="Nascentia Health Options CDPAP"/>
    <s v="MLTC"/>
    <s v="CDPAP"/>
    <s v="PA Hourly"/>
    <s v="T1019:U6"/>
    <x v="1"/>
    <x v="1"/>
    <x v="1"/>
    <m/>
    <n v="1"/>
    <n v="84"/>
    <n v="334.75"/>
    <n v="1"/>
    <n v="84"/>
    <n v="334.75"/>
    <x v="0"/>
  </r>
  <r>
    <n v="626"/>
    <x v="31"/>
    <s v="VNS Health Health Plans (CDP)"/>
    <s v="MLTC"/>
    <s v="CDPAP"/>
    <s v="T1019U6 MGY"/>
    <s v="T1019:U6"/>
    <x v="1"/>
    <x v="1"/>
    <x v="1"/>
    <m/>
    <n v="9"/>
    <n v="1975"/>
    <n v="8225.75"/>
    <n v="9"/>
    <n v="1975"/>
    <n v="8225.75"/>
    <x v="0"/>
  </r>
  <r>
    <n v="627"/>
    <x v="31"/>
    <s v="VNS Health Health Plans (CDP)"/>
    <s v="MLTC"/>
    <s v="CDPAP"/>
    <s v="T1019U6 MGY MAP"/>
    <s v="T1019:U6"/>
    <x v="1"/>
    <x v="1"/>
    <x v="1"/>
    <m/>
    <n v="1"/>
    <n v="72"/>
    <n v="413.25"/>
    <n v="1"/>
    <n v="72"/>
    <n v="413.25"/>
    <x v="0"/>
  </r>
  <r>
    <n v="628"/>
    <x v="0"/>
    <s v="Americare"/>
    <s v="CHHA"/>
    <s v="CHHA"/>
    <s v="HHA1"/>
    <s v="S9122"/>
    <x v="0"/>
    <x v="0"/>
    <x v="0"/>
    <s v="CHHA"/>
    <n v="38"/>
    <n v="879"/>
    <n v="3383.25"/>
    <n v="28"/>
    <n v="583"/>
    <n v="2260.75"/>
    <x v="0"/>
  </r>
  <r>
    <n v="629"/>
    <x v="0"/>
    <s v="Americare"/>
    <s v="CHHA"/>
    <s v="CHHA"/>
    <s v="HHAPEDSV"/>
    <s v="S9122"/>
    <x v="0"/>
    <x v="0"/>
    <x v="0"/>
    <s v="CHHA"/>
    <n v="54"/>
    <n v="6841"/>
    <n v="40890"/>
    <n v="50"/>
    <n v="6663"/>
    <n v="39749.5"/>
    <x v="0"/>
  </r>
  <r>
    <n v="631"/>
    <x v="0"/>
    <s v="Amerigroup (Empire) CDPAP"/>
    <s v="MLTC"/>
    <s v="CDPAP"/>
    <s v="PA HOURLY"/>
    <s v="T1019:U6"/>
    <x v="1"/>
    <x v="1"/>
    <x v="1"/>
    <m/>
    <n v="1"/>
    <n v="96"/>
    <n v="592"/>
    <n v="0"/>
    <n v="0"/>
    <m/>
    <x v="0"/>
  </r>
  <r>
    <n v="632"/>
    <x v="0"/>
    <s v="Amerigroup (Empire) PCA"/>
    <s v="MCO"/>
    <s v="Medicaid"/>
    <s v="PCA HOURLY"/>
    <s v="T1019:U1"/>
    <x v="2"/>
    <x v="0"/>
    <x v="2"/>
    <m/>
    <n v="2"/>
    <n v="57"/>
    <n v="235.5"/>
    <n v="2"/>
    <n v="57"/>
    <n v="235.5"/>
    <x v="0"/>
  </r>
  <r>
    <n v="633"/>
    <x v="0"/>
    <s v="Amerigroup (Empire) PCA"/>
    <s v="MCO"/>
    <s v="Medicaid"/>
    <s v="RN Initial (NB)"/>
    <m/>
    <x v="3"/>
    <x v="0"/>
    <x v="2"/>
    <m/>
    <n v="1"/>
    <n v="1"/>
    <n v="1"/>
    <n v="1"/>
    <n v="1"/>
    <n v="1"/>
    <x v="1"/>
  </r>
  <r>
    <n v="634"/>
    <x v="0"/>
    <s v="Amerigroup (Empire) PCA"/>
    <s v="MCO"/>
    <s v="Medicaid"/>
    <s v="RN Initial-NB"/>
    <s v="T1019"/>
    <x v="3"/>
    <x v="0"/>
    <x v="2"/>
    <m/>
    <n v="1"/>
    <n v="1"/>
    <n v="1"/>
    <n v="1"/>
    <n v="1"/>
    <n v="1"/>
    <x v="1"/>
  </r>
  <r>
    <n v="635"/>
    <x v="0"/>
    <s v="CenterLight HealthCare (PACE) (ANT)"/>
    <s v="Other"/>
    <s v="MLTC"/>
    <s v="RN Reassessment (NB)"/>
    <m/>
    <x v="4"/>
    <x v="0"/>
    <x v="0"/>
    <m/>
    <n v="1"/>
    <n v="2"/>
    <n v="2"/>
    <n v="1"/>
    <n v="2"/>
    <n v="2"/>
    <x v="1"/>
  </r>
  <r>
    <n v="636"/>
    <x v="0"/>
    <s v="CenterLight HealthCare (PACE) (ANT)"/>
    <s v="Other"/>
    <s v="MLTC"/>
    <s v="T1019:U1"/>
    <s v="T1019:U1"/>
    <x v="4"/>
    <x v="0"/>
    <x v="0"/>
    <m/>
    <n v="1"/>
    <n v="155"/>
    <n v="929.75"/>
    <n v="1"/>
    <n v="155"/>
    <n v="929.75"/>
    <x v="0"/>
  </r>
  <r>
    <n v="637"/>
    <x v="0"/>
    <s v="CenterLight HealthCare (PACE) (CDP)"/>
    <s v="Other"/>
    <s v="CDPAP"/>
    <s v="T1019:U6"/>
    <s v="T1019:U6"/>
    <x v="4"/>
    <x v="0"/>
    <x v="0"/>
    <m/>
    <n v="2"/>
    <n v="426"/>
    <n v="1725.25"/>
    <n v="2"/>
    <n v="426"/>
    <n v="1725.25"/>
    <x v="0"/>
  </r>
  <r>
    <n v="638"/>
    <x v="0"/>
    <s v="Centers Plan For Health Living PCA"/>
    <s v="MLTC"/>
    <s v="MLTC"/>
    <s v="PCA Hourly"/>
    <s v="T1019:U1"/>
    <x v="2"/>
    <x v="0"/>
    <x v="2"/>
    <m/>
    <n v="40"/>
    <n v="4381"/>
    <n v="22414.5"/>
    <n v="34"/>
    <n v="4012"/>
    <n v="20553.5"/>
    <x v="0"/>
  </r>
  <r>
    <n v="639"/>
    <x v="0"/>
    <s v="Centers Plan For Health Living PCA"/>
    <s v="MLTC"/>
    <s v="MLTC"/>
    <s v="PCA Hourly LI &amp; Westchester"/>
    <s v="T1019:U1"/>
    <x v="2"/>
    <x v="0"/>
    <x v="2"/>
    <m/>
    <n v="16"/>
    <n v="1343"/>
    <n v="7194.75"/>
    <n v="15"/>
    <n v="1341"/>
    <n v="7174"/>
    <x v="0"/>
  </r>
  <r>
    <n v="640"/>
    <x v="0"/>
    <s v="Centers Plan For Health Living PCA"/>
    <s v="MLTC"/>
    <s v="MLTC"/>
    <s v="PRN (NB)"/>
    <m/>
    <x v="3"/>
    <x v="0"/>
    <x v="2"/>
    <m/>
    <n v="2"/>
    <n v="2"/>
    <n v="2"/>
    <n v="1"/>
    <n v="1"/>
    <n v="1"/>
    <x v="1"/>
  </r>
  <r>
    <n v="641"/>
    <x v="0"/>
    <s v="Centers Plan For Health Living PCA"/>
    <s v="MLTC"/>
    <s v="MLTC"/>
    <s v="RN Initial (NB)"/>
    <m/>
    <x v="3"/>
    <x v="0"/>
    <x v="2"/>
    <m/>
    <n v="31"/>
    <n v="31"/>
    <n v="31"/>
    <n v="28"/>
    <n v="28"/>
    <n v="28"/>
    <x v="1"/>
  </r>
  <r>
    <n v="642"/>
    <x v="0"/>
    <s v="Centers Plan For Health Living PCA"/>
    <s v="MLTC"/>
    <s v="MLTC"/>
    <s v="RN Reassessment (NB)"/>
    <m/>
    <x v="3"/>
    <x v="0"/>
    <x v="2"/>
    <m/>
    <n v="21"/>
    <n v="32"/>
    <n v="32"/>
    <n v="19"/>
    <n v="30"/>
    <n v="30"/>
    <x v="1"/>
  </r>
  <r>
    <n v="646"/>
    <x v="0"/>
    <s v="Centers Plan For Healthy Living CDPAP "/>
    <s v="MLTC"/>
    <s v="CDPAP"/>
    <s v="PA Hourly - 5 Boroughs"/>
    <s v="T1019:U6"/>
    <x v="1"/>
    <x v="1"/>
    <x v="1"/>
    <m/>
    <n v="9"/>
    <n v="1333"/>
    <n v="4979.5"/>
    <n v="9"/>
    <n v="1333"/>
    <n v="4979.5"/>
    <x v="0"/>
  </r>
  <r>
    <n v="647"/>
    <x v="0"/>
    <s v="Centers Plan For Healthy Living CDPAP "/>
    <s v="MLTC"/>
    <s v="CDPAP"/>
    <s v="PA Hourly - Nassau/Suffolk/Westchester:"/>
    <s v="T1019:U6"/>
    <x v="1"/>
    <x v="1"/>
    <x v="1"/>
    <m/>
    <n v="51"/>
    <n v="10452"/>
    <n v="47819.25"/>
    <n v="49"/>
    <n v="10269"/>
    <n v="46764.25"/>
    <x v="0"/>
  </r>
  <r>
    <n v="648"/>
    <x v="0"/>
    <s v="Elderplan MJHS (ANT)"/>
    <s v="MLTC"/>
    <s v="MLTC"/>
    <s v="PRN (NB)"/>
    <m/>
    <x v="3"/>
    <x v="0"/>
    <x v="2"/>
    <m/>
    <n v="1"/>
    <n v="1"/>
    <n v="1"/>
    <n v="1"/>
    <n v="1"/>
    <n v="1"/>
    <x v="1"/>
  </r>
  <r>
    <n v="649"/>
    <x v="0"/>
    <s v="Elderplan MJHS (ANT)"/>
    <s v="MLTC"/>
    <s v="MLTC"/>
    <s v="RN Initial (NB)"/>
    <m/>
    <x v="3"/>
    <x v="0"/>
    <x v="2"/>
    <m/>
    <n v="24"/>
    <n v="24"/>
    <n v="24"/>
    <n v="19"/>
    <n v="19"/>
    <n v="19"/>
    <x v="1"/>
  </r>
  <r>
    <n v="650"/>
    <x v="0"/>
    <s v="Elderplan MJHS (ANT)"/>
    <s v="MLTC"/>
    <s v="MLTC"/>
    <s v="RN Reassessment (NB)"/>
    <m/>
    <x v="3"/>
    <x v="0"/>
    <x v="2"/>
    <m/>
    <n v="11"/>
    <n v="15"/>
    <n v="15"/>
    <n v="10"/>
    <n v="14"/>
    <n v="14"/>
    <x v="1"/>
  </r>
  <r>
    <n v="651"/>
    <x v="0"/>
    <s v="Elderplan MJHS (ANT)"/>
    <s v="MLTC"/>
    <s v="MLTC"/>
    <s v="T1019:U1"/>
    <s v="T1019:U1"/>
    <x v="2"/>
    <x v="0"/>
    <x v="2"/>
    <m/>
    <n v="33"/>
    <n v="3772"/>
    <n v="19781.5"/>
    <n v="28"/>
    <n v="3472"/>
    <n v="18041.25"/>
    <x v="0"/>
  </r>
  <r>
    <n v="652"/>
    <x v="0"/>
    <s v="Elderplan MJHS (ANT)"/>
    <s v="MLTC"/>
    <s v="MLTC"/>
    <s v="T1020"/>
    <s v="T1020"/>
    <x v="8"/>
    <x v="0"/>
    <x v="2"/>
    <m/>
    <n v="2"/>
    <n v="298"/>
    <n v="3874"/>
    <n v="2"/>
    <n v="298"/>
    <n v="3874"/>
    <x v="0"/>
  </r>
  <r>
    <n v="655"/>
    <x v="0"/>
    <s v="Elderplan MJHS (CDP)"/>
    <s v="MLTC"/>
    <s v="CDPAP"/>
    <s v="T1019:U6"/>
    <s v="T1019:U6"/>
    <x v="1"/>
    <x v="1"/>
    <x v="1"/>
    <m/>
    <n v="17"/>
    <n v="2211"/>
    <n v="10487.75"/>
    <n v="13"/>
    <n v="1835"/>
    <n v="8508.25"/>
    <x v="0"/>
  </r>
  <r>
    <n v="657"/>
    <x v="0"/>
    <s v="ElderServe/Riverspring (CDPAP)"/>
    <s v="MLTC"/>
    <s v="CDPAP"/>
    <s v="PA Hourly - Long Island &amp; Westchester"/>
    <s v="T1019:U6:U4"/>
    <x v="12"/>
    <x v="1"/>
    <x v="1"/>
    <m/>
    <n v="1"/>
    <n v="97"/>
    <n v="418"/>
    <n v="1"/>
    <n v="97"/>
    <n v="418"/>
    <x v="0"/>
  </r>
  <r>
    <n v="658"/>
    <x v="0"/>
    <s v="ElderServe/Riverspring (CDPAP)"/>
    <s v="MLTC"/>
    <s v="CDPAP"/>
    <s v="PA Hourly Mutual Long Island &amp; Westchester"/>
    <s v="T1019:U7:U4"/>
    <x v="13"/>
    <x v="1"/>
    <x v="1"/>
    <m/>
    <n v="2"/>
    <n v="522"/>
    <n v="3131.75"/>
    <n v="2"/>
    <n v="522"/>
    <n v="3131.75"/>
    <x v="0"/>
  </r>
  <r>
    <n v="659"/>
    <x v="0"/>
    <s v="ElderServe/Riverspring (PCA)"/>
    <s v="MLTC"/>
    <s v="MLTC"/>
    <s v="PCA Hourly - LI Westchester"/>
    <s v="T1019:U4"/>
    <x v="14"/>
    <x v="0"/>
    <x v="2"/>
    <m/>
    <n v="2"/>
    <n v="73"/>
    <n v="600"/>
    <n v="2"/>
    <n v="73"/>
    <n v="600"/>
    <x v="0"/>
  </r>
  <r>
    <n v="660"/>
    <x v="0"/>
    <s v="ElderServe/Riverspring (PCA)"/>
    <s v="MLTC"/>
    <s v="MLTC"/>
    <s v="PCA Hourly Mutual - LI Westchester"/>
    <s v="T1019 U5"/>
    <x v="11"/>
    <x v="0"/>
    <x v="2"/>
    <m/>
    <n v="2"/>
    <n v="311"/>
    <n v="2174"/>
    <n v="2"/>
    <n v="311"/>
    <n v="2174"/>
    <x v="0"/>
  </r>
  <r>
    <n v="661"/>
    <x v="0"/>
    <s v="ElderServe/Riverspring (PCA)"/>
    <s v="MLTC"/>
    <s v="MLTC"/>
    <s v="RN Initial (NB)"/>
    <m/>
    <x v="3"/>
    <x v="0"/>
    <x v="2"/>
    <m/>
    <n v="1"/>
    <n v="1"/>
    <n v="1"/>
    <n v="1"/>
    <n v="1"/>
    <n v="1"/>
    <x v="1"/>
  </r>
  <r>
    <n v="662"/>
    <x v="0"/>
    <s v="ElderServe/Riverspring (PCA)"/>
    <s v="MLTC"/>
    <s v="MLTC"/>
    <s v="RN Reassessment (NB)"/>
    <m/>
    <x v="3"/>
    <x v="0"/>
    <x v="2"/>
    <m/>
    <n v="2"/>
    <n v="2"/>
    <n v="2"/>
    <n v="2"/>
    <n v="2"/>
    <n v="2"/>
    <x v="1"/>
  </r>
  <r>
    <n v="665"/>
    <x v="0"/>
    <s v="Empire Blue Cross Blue Shield (CDPAP)"/>
    <s v="Other"/>
    <s v="CDPAP"/>
    <s v="PA Hourly (New)"/>
    <s v="T1019:U6"/>
    <x v="1"/>
    <x v="1"/>
    <x v="1"/>
    <m/>
    <n v="7"/>
    <n v="1195"/>
    <n v="7862.25"/>
    <n v="6"/>
    <n v="1074"/>
    <n v="7204.25"/>
    <x v="0"/>
  </r>
  <r>
    <n v="666"/>
    <x v="0"/>
    <s v="Empire Blue Cross Blue Shield (CDPAP)"/>
    <s v="Other"/>
    <s v="CDPAP"/>
    <s v="PA Hourly - Long Island &amp; Westchester"/>
    <s v="T1019:U6"/>
    <x v="1"/>
    <x v="1"/>
    <x v="1"/>
    <m/>
    <n v="11"/>
    <n v="1886"/>
    <n v="12479"/>
    <n v="11"/>
    <n v="1886"/>
    <n v="12479"/>
    <x v="0"/>
  </r>
  <r>
    <n v="667"/>
    <x v="0"/>
    <s v="Empire Blue Cross Blue Shield (PCA)"/>
    <s v="Other"/>
    <s v="MLTC"/>
    <s v="PCA Hourly - Mutual Long Island"/>
    <s v="T1019:U2"/>
    <x v="11"/>
    <x v="0"/>
    <x v="2"/>
    <m/>
    <n v="2"/>
    <n v="215"/>
    <n v="2513.75"/>
    <n v="2"/>
    <n v="215"/>
    <n v="2513.75"/>
    <x v="0"/>
  </r>
  <r>
    <n v="668"/>
    <x v="0"/>
    <s v="Empire Blue Cross Blue Shield (PCA)"/>
    <s v="Other"/>
    <s v="MLTC"/>
    <s v="PCA Hourly LI &amp; Westchester"/>
    <s v="T1019:U1"/>
    <x v="2"/>
    <x v="0"/>
    <x v="2"/>
    <m/>
    <n v="22"/>
    <n v="2506"/>
    <n v="18950"/>
    <n v="22"/>
    <n v="2506"/>
    <n v="18950"/>
    <x v="0"/>
  </r>
  <r>
    <n v="669"/>
    <x v="0"/>
    <s v="Empire Blue Cross Blue Shield (PCA)"/>
    <s v="Other"/>
    <s v="MLTC"/>
    <s v="PCA Hourly NYC"/>
    <s v="T1019:U1"/>
    <x v="2"/>
    <x v="0"/>
    <x v="2"/>
    <m/>
    <n v="6"/>
    <n v="635"/>
    <n v="4191.5"/>
    <n v="6"/>
    <n v="635"/>
    <n v="4191.5"/>
    <x v="0"/>
  </r>
  <r>
    <n v="670"/>
    <x v="0"/>
    <s v="Empire Blue Cross Blue Shield (PCA)"/>
    <s v="Other"/>
    <s v="MLTC"/>
    <s v="PCA Live In"/>
    <s v="T1020"/>
    <x v="8"/>
    <x v="0"/>
    <x v="2"/>
    <m/>
    <n v="2"/>
    <n v="17"/>
    <n v="221"/>
    <n v="2"/>
    <n v="17"/>
    <n v="221"/>
    <x v="0"/>
  </r>
  <r>
    <n v="671"/>
    <x v="0"/>
    <s v="Empire Blue Cross Blue Shield (PCA)"/>
    <s v="Other"/>
    <s v="MLTC"/>
    <s v="PRN (NB)"/>
    <m/>
    <x v="3"/>
    <x v="0"/>
    <x v="2"/>
    <m/>
    <n v="3"/>
    <n v="3"/>
    <n v="3"/>
    <n v="3"/>
    <n v="3"/>
    <n v="3"/>
    <x v="1"/>
  </r>
  <r>
    <n v="672"/>
    <x v="0"/>
    <s v="Empire Blue Cross Blue Shield (PCA)"/>
    <s v="Other"/>
    <s v="MLTC"/>
    <s v="RN Initial (NB)"/>
    <m/>
    <x v="3"/>
    <x v="0"/>
    <x v="2"/>
    <m/>
    <n v="16"/>
    <n v="16"/>
    <n v="16"/>
    <n v="16"/>
    <n v="16"/>
    <n v="16"/>
    <x v="1"/>
  </r>
  <r>
    <n v="673"/>
    <x v="0"/>
    <s v="Empire Blue Cross Blue Shield (PCA)"/>
    <s v="Other"/>
    <s v="MLTC"/>
    <s v="RN Reassessment (NB)"/>
    <m/>
    <x v="3"/>
    <x v="0"/>
    <x v="2"/>
    <m/>
    <n v="9"/>
    <n v="16"/>
    <n v="16"/>
    <n v="9"/>
    <n v="16"/>
    <n v="16"/>
    <x v="1"/>
  </r>
  <r>
    <n v="674"/>
    <x v="0"/>
    <s v="Excellent Home Care Services"/>
    <s v="CHHA"/>
    <s v="CHHA"/>
    <s v="Rate3"/>
    <m/>
    <x v="0"/>
    <x v="0"/>
    <x v="0"/>
    <s v="CHHA"/>
    <n v="12"/>
    <n v="1322"/>
    <n v="7343.75"/>
    <n v="11"/>
    <n v="1288"/>
    <n v="7152.75"/>
    <x v="0"/>
  </r>
  <r>
    <n v="675"/>
    <x v="0"/>
    <s v="Extended Home Care"/>
    <s v="CHHA"/>
    <s v="CHHA"/>
    <s v="PedCode95"/>
    <s v="-"/>
    <x v="0"/>
    <x v="0"/>
    <x v="0"/>
    <s v="CHHA"/>
    <n v="13"/>
    <n v="1222"/>
    <n v="7853.5"/>
    <n v="12"/>
    <n v="1208"/>
    <n v="7735"/>
    <x v="0"/>
  </r>
  <r>
    <n v="676"/>
    <x v="0"/>
    <s v="Extended Home Care"/>
    <s v="CHHA"/>
    <s v="CHHA"/>
    <s v="Rate1"/>
    <m/>
    <x v="0"/>
    <x v="0"/>
    <x v="0"/>
    <s v="CHHA"/>
    <n v="33"/>
    <n v="1078"/>
    <n v="5136.25"/>
    <n v="27"/>
    <n v="1029"/>
    <n v="4940.75"/>
    <x v="0"/>
  </r>
  <r>
    <n v="677"/>
    <x v="0"/>
    <s v="Extended Home Care"/>
    <s v="CHHA"/>
    <s v="CHHA"/>
    <s v="Rate4HMO"/>
    <s v="0"/>
    <x v="0"/>
    <x v="0"/>
    <x v="0"/>
    <s v="CHHA"/>
    <n v="1"/>
    <n v="7"/>
    <n v="26"/>
    <n v="0"/>
    <n v="0"/>
    <m/>
    <x v="0"/>
  </r>
  <r>
    <n v="678"/>
    <x v="0"/>
    <s v="Fidelis Care (ANT)"/>
    <s v="LHCSA"/>
    <s v="MLTC"/>
    <s v="PRN (NB)"/>
    <m/>
    <x v="3"/>
    <x v="0"/>
    <x v="2"/>
    <m/>
    <n v="4"/>
    <n v="4"/>
    <n v="4"/>
    <n v="4"/>
    <n v="4"/>
    <n v="4"/>
    <x v="1"/>
  </r>
  <r>
    <n v="679"/>
    <x v="0"/>
    <s v="Fidelis Care (ANT)"/>
    <s v="LHCSA"/>
    <s v="MLTC"/>
    <s v="RN Initial (NB)"/>
    <m/>
    <x v="3"/>
    <x v="0"/>
    <x v="2"/>
    <m/>
    <n v="27"/>
    <n v="27"/>
    <n v="27"/>
    <n v="25"/>
    <n v="25"/>
    <n v="25"/>
    <x v="1"/>
  </r>
  <r>
    <n v="680"/>
    <x v="0"/>
    <s v="Fidelis Care (ANT)"/>
    <s v="LHCSA"/>
    <s v="MLTC"/>
    <s v="RN Initial Assement"/>
    <s v="T2024"/>
    <x v="3"/>
    <x v="0"/>
    <x v="2"/>
    <m/>
    <n v="22"/>
    <n v="22"/>
    <n v="22"/>
    <n v="22"/>
    <n v="22"/>
    <n v="22"/>
    <x v="3"/>
  </r>
  <r>
    <n v="681"/>
    <x v="0"/>
    <s v="Fidelis Care (ANT)"/>
    <s v="LHCSA"/>
    <s v="MLTC"/>
    <s v="RN Reassessment (NB)"/>
    <m/>
    <x v="3"/>
    <x v="0"/>
    <x v="2"/>
    <m/>
    <n v="27"/>
    <n v="34"/>
    <n v="34"/>
    <n v="27"/>
    <n v="34"/>
    <n v="34"/>
    <x v="1"/>
  </r>
  <r>
    <n v="682"/>
    <x v="0"/>
    <s v="Fidelis Care (ANT)"/>
    <s v="LHCSA"/>
    <s v="MLTC"/>
    <s v="T1019:U1"/>
    <s v="T1019:U1"/>
    <x v="2"/>
    <x v="0"/>
    <x v="2"/>
    <m/>
    <n v="64"/>
    <n v="7102"/>
    <n v="44546.25"/>
    <n v="62"/>
    <n v="7039"/>
    <n v="44228.5"/>
    <x v="0"/>
  </r>
  <r>
    <n v="683"/>
    <x v="0"/>
    <s v="Fidelis Care (ANT)"/>
    <s v="LHCSA"/>
    <s v="MLTC"/>
    <s v="T1019:U3"/>
    <s v="T1019:U3"/>
    <x v="11"/>
    <x v="0"/>
    <x v="2"/>
    <m/>
    <n v="4"/>
    <n v="457"/>
    <n v="809.25"/>
    <n v="4"/>
    <n v="457"/>
    <n v="809.25"/>
    <x v="0"/>
  </r>
  <r>
    <n v="684"/>
    <x v="0"/>
    <s v="Fidelis Care (ANT)"/>
    <s v="LHCSA"/>
    <s v="MLTC"/>
    <s v="T1020"/>
    <s v="T1020"/>
    <x v="8"/>
    <x v="0"/>
    <x v="2"/>
    <m/>
    <n v="1"/>
    <n v="370"/>
    <n v="4810"/>
    <n v="1"/>
    <n v="370"/>
    <n v="4810"/>
    <x v="0"/>
  </r>
  <r>
    <n v="687"/>
    <x v="0"/>
    <s v="Fidelis Care (CDP)"/>
    <s v="LHCSA"/>
    <s v="CDPAP"/>
    <s v="T1019:U6"/>
    <s v="T1019:U6"/>
    <x v="1"/>
    <x v="1"/>
    <x v="1"/>
    <m/>
    <n v="30"/>
    <n v="5023"/>
    <n v="25671.25"/>
    <n v="29"/>
    <n v="4983"/>
    <n v="25334.25"/>
    <x v="0"/>
  </r>
  <r>
    <n v="688"/>
    <x v="0"/>
    <s v="Fidelis Care PCA (Non Live)"/>
    <s v="MLTC"/>
    <s v="MLTC"/>
    <s v="PCA Hourly"/>
    <s v="T1019:U1"/>
    <x v="2"/>
    <x v="0"/>
    <x v="2"/>
    <m/>
    <n v="3"/>
    <n v="58"/>
    <n v="578.75"/>
    <n v="3"/>
    <n v="58"/>
    <n v="578.75"/>
    <x v="0"/>
  </r>
  <r>
    <n v="689"/>
    <x v="0"/>
    <s v="Fidelis Care PCA (Non Live)"/>
    <s v="MLTC"/>
    <s v="MLTC"/>
    <s v="RN Initial (NB)"/>
    <s v="G0162"/>
    <x v="3"/>
    <x v="0"/>
    <x v="2"/>
    <m/>
    <n v="2"/>
    <n v="2"/>
    <n v="2"/>
    <n v="2"/>
    <n v="2"/>
    <n v="2"/>
    <x v="1"/>
  </r>
  <r>
    <n v="690"/>
    <x v="0"/>
    <s v="Fidelis Care PCA (Non Live)"/>
    <s v="MLTC"/>
    <s v="MLTC"/>
    <s v="Rn initial assement"/>
    <s v="G0162"/>
    <x v="3"/>
    <x v="0"/>
    <x v="2"/>
    <m/>
    <n v="2"/>
    <n v="2"/>
    <n v="2"/>
    <n v="2"/>
    <n v="2"/>
    <n v="2"/>
    <x v="3"/>
  </r>
  <r>
    <n v="692"/>
    <x v="0"/>
    <s v="Hamaspik Choice (MLTC) CDPAP"/>
    <s v="MCO"/>
    <s v="CDPAP"/>
    <s v="PA Hourly NYC , Nassau, Westchester"/>
    <s v="T1019:U6"/>
    <x v="1"/>
    <x v="1"/>
    <x v="1"/>
    <m/>
    <n v="1"/>
    <n v="233"/>
    <n v="1431.75"/>
    <n v="1"/>
    <n v="233"/>
    <n v="1431.75"/>
    <x v="0"/>
  </r>
  <r>
    <n v="694"/>
    <x v="0"/>
    <s v="Hamaspik Choice MLTC (PCA)"/>
    <s v="MLTC"/>
    <s v="MLTC"/>
    <s v="PCA Hourly"/>
    <s v="T1019:U1"/>
    <x v="2"/>
    <x v="0"/>
    <x v="2"/>
    <m/>
    <n v="3"/>
    <n v="190"/>
    <n v="1032.25"/>
    <n v="3"/>
    <n v="190"/>
    <n v="1032.25"/>
    <x v="0"/>
  </r>
  <r>
    <n v="695"/>
    <x v="0"/>
    <s v="Hamaspik Choice MLTC (PCA)"/>
    <s v="MLTC"/>
    <s v="MLTC"/>
    <s v="RN Initial (NB)"/>
    <m/>
    <x v="3"/>
    <x v="0"/>
    <x v="2"/>
    <m/>
    <n v="2"/>
    <n v="2"/>
    <n v="2"/>
    <n v="2"/>
    <n v="2"/>
    <n v="2"/>
    <x v="1"/>
  </r>
  <r>
    <n v="696"/>
    <x v="0"/>
    <s v="Hamaspik Choice MLTC (PCA)"/>
    <s v="MLTC"/>
    <s v="MLTC"/>
    <s v="RN Reassessment (NB)"/>
    <m/>
    <x v="3"/>
    <x v="0"/>
    <x v="2"/>
    <m/>
    <n v="1"/>
    <n v="2"/>
    <n v="2"/>
    <n v="1"/>
    <n v="2"/>
    <n v="2"/>
    <x v="1"/>
  </r>
  <r>
    <n v="699"/>
    <x v="0"/>
    <s v="Hamaspik MAP CDPAP"/>
    <s v="MCO"/>
    <s v="CDPAP"/>
    <s v="PA Hourly (NYC, LI, &amp; Westchester)"/>
    <s v="T1019:U6"/>
    <x v="1"/>
    <x v="1"/>
    <x v="1"/>
    <m/>
    <n v="4"/>
    <n v="814"/>
    <n v="5200"/>
    <n v="4"/>
    <n v="814"/>
    <n v="5200"/>
    <x v="0"/>
  </r>
  <r>
    <n v="701"/>
    <x v="0"/>
    <s v="Hamaspik MAP PCA"/>
    <s v="MCO"/>
    <s v="MLTC"/>
    <s v="PCA Hourly"/>
    <s v="T1019:U1"/>
    <x v="2"/>
    <x v="0"/>
    <x v="2"/>
    <m/>
    <n v="1"/>
    <n v="52"/>
    <n v="194.25"/>
    <n v="1"/>
    <n v="52"/>
    <n v="194.25"/>
    <x v="0"/>
  </r>
  <r>
    <n v="702"/>
    <x v="0"/>
    <s v="Hamaspik MAP PCA"/>
    <s v="MCO"/>
    <s v="MLTC"/>
    <s v="RN Initial (NB)"/>
    <m/>
    <x v="3"/>
    <x v="0"/>
    <x v="2"/>
    <m/>
    <n v="1"/>
    <n v="1"/>
    <n v="1"/>
    <n v="1"/>
    <n v="1"/>
    <n v="1"/>
    <x v="1"/>
  </r>
  <r>
    <n v="704"/>
    <x v="0"/>
    <s v="Healthfirst (ANT)"/>
    <s v="CHHA"/>
    <s v="MLTC"/>
    <s v="PRN (NB)"/>
    <m/>
    <x v="3"/>
    <x v="0"/>
    <x v="2"/>
    <m/>
    <n v="2"/>
    <n v="2"/>
    <n v="2"/>
    <n v="2"/>
    <n v="2"/>
    <n v="2"/>
    <x v="1"/>
  </r>
  <r>
    <n v="705"/>
    <x v="0"/>
    <s v="Healthfirst (ANT)"/>
    <s v="CHHA"/>
    <s v="MLTC"/>
    <s v="RN Initial (NB)"/>
    <m/>
    <x v="3"/>
    <x v="0"/>
    <x v="2"/>
    <m/>
    <n v="16"/>
    <n v="16"/>
    <n v="16"/>
    <n v="16"/>
    <n v="16"/>
    <n v="16"/>
    <x v="1"/>
  </r>
  <r>
    <n v="706"/>
    <x v="0"/>
    <s v="Healthfirst (ANT)"/>
    <s v="CHHA"/>
    <s v="MLTC"/>
    <s v="RN Reassessment (NB)"/>
    <m/>
    <x v="3"/>
    <x v="0"/>
    <x v="2"/>
    <m/>
    <n v="15"/>
    <n v="22"/>
    <n v="22"/>
    <n v="15"/>
    <n v="22"/>
    <n v="22"/>
    <x v="1"/>
  </r>
  <r>
    <n v="707"/>
    <x v="0"/>
    <s v="Healthfirst (ANT)"/>
    <s v="CHHA"/>
    <s v="MLTC"/>
    <s v="S5130:U1"/>
    <s v="S5130:U1"/>
    <x v="6"/>
    <x v="0"/>
    <x v="2"/>
    <m/>
    <n v="2"/>
    <n v="7"/>
    <n v="24"/>
    <n v="2"/>
    <n v="7"/>
    <n v="24"/>
    <x v="0"/>
  </r>
  <r>
    <n v="708"/>
    <x v="0"/>
    <s v="Healthfirst (ANT)"/>
    <s v="CHHA"/>
    <s v="MLTC"/>
    <s v="T1019:U1"/>
    <s v="T1019:U1"/>
    <x v="2"/>
    <x v="0"/>
    <x v="2"/>
    <m/>
    <n v="25"/>
    <n v="3330"/>
    <n v="21243.75"/>
    <n v="25"/>
    <n v="3330"/>
    <n v="21243.75"/>
    <x v="0"/>
  </r>
  <r>
    <n v="709"/>
    <x v="0"/>
    <s v="Healthfirst (ANT)"/>
    <s v="CHHA"/>
    <s v="MLTC"/>
    <s v="T1019:U6"/>
    <s v="T1019:U6"/>
    <x v="1"/>
    <x v="1"/>
    <x v="1"/>
    <m/>
    <n v="2"/>
    <n v="46"/>
    <n v="276.5"/>
    <n v="2"/>
    <n v="46"/>
    <n v="276.5"/>
    <x v="0"/>
  </r>
  <r>
    <n v="713"/>
    <x v="0"/>
    <s v="Healthfirst (CDP)"/>
    <s v="CHHA"/>
    <s v="CDPAP"/>
    <s v="PRN (NB)"/>
    <m/>
    <x v="3"/>
    <x v="0"/>
    <x v="2"/>
    <m/>
    <n v="1"/>
    <n v="1"/>
    <n v="1"/>
    <n v="1"/>
    <n v="1"/>
    <n v="1"/>
    <x v="1"/>
  </r>
  <r>
    <n v="714"/>
    <x v="0"/>
    <s v="Healthfirst (CDP)"/>
    <s v="CHHA"/>
    <s v="CDPAP"/>
    <s v="RN Initial (NB)"/>
    <m/>
    <x v="3"/>
    <x v="0"/>
    <x v="2"/>
    <m/>
    <n v="1"/>
    <n v="1"/>
    <n v="1"/>
    <n v="1"/>
    <n v="1"/>
    <n v="1"/>
    <x v="1"/>
  </r>
  <r>
    <n v="715"/>
    <x v="0"/>
    <s v="Healthfirst (CDP)"/>
    <s v="CHHA"/>
    <s v="CDPAP"/>
    <s v="T1019:U1"/>
    <s v="T1019:U1"/>
    <x v="2"/>
    <x v="0"/>
    <x v="2"/>
    <m/>
    <n v="2"/>
    <n v="119"/>
    <n v="705.25"/>
    <n v="2"/>
    <n v="119"/>
    <n v="705.25"/>
    <x v="0"/>
  </r>
  <r>
    <n v="716"/>
    <x v="0"/>
    <s v="Healthfirst (CDP)"/>
    <s v="CHHA"/>
    <s v="CDPAP"/>
    <s v="T1019:U6"/>
    <s v="T1019:U6"/>
    <x v="1"/>
    <x v="1"/>
    <x v="1"/>
    <m/>
    <n v="23"/>
    <n v="3038"/>
    <n v="17597.25"/>
    <n v="23"/>
    <n v="3038"/>
    <n v="17597.25"/>
    <x v="0"/>
  </r>
  <r>
    <n v="717"/>
    <x v="0"/>
    <s v="NHTD"/>
    <s v="LHCSA"/>
    <s v="Medicaid"/>
    <s v="HCSS 9795 LI Nassau Westchester Suffolk"/>
    <s v="9795"/>
    <x v="4"/>
    <x v="0"/>
    <x v="0"/>
    <m/>
    <n v="96"/>
    <n v="29431"/>
    <n v="336529.25"/>
    <n v="96"/>
    <n v="29431"/>
    <n v="336529.25"/>
    <x v="0"/>
  </r>
  <r>
    <n v="718"/>
    <x v="0"/>
    <s v="NHTD"/>
    <s v="LHCSA"/>
    <s v="Medicaid"/>
    <s v="HCSS 9795 NYC"/>
    <s v="9795"/>
    <x v="4"/>
    <x v="0"/>
    <x v="0"/>
    <m/>
    <n v="56"/>
    <n v="9498"/>
    <n v="105855"/>
    <n v="56"/>
    <n v="9498"/>
    <n v="105855"/>
    <x v="0"/>
  </r>
  <r>
    <n v="719"/>
    <x v="0"/>
    <s v="NHTD"/>
    <s v="LHCSA"/>
    <s v="Medicaid"/>
    <s v="Initial RN Visit 9799 (Hourly)"/>
    <s v="9799"/>
    <x v="4"/>
    <x v="0"/>
    <x v="0"/>
    <m/>
    <n v="53"/>
    <n v="53"/>
    <n v="52.75"/>
    <n v="53"/>
    <n v="53"/>
    <n v="53"/>
    <x v="2"/>
  </r>
  <r>
    <n v="720"/>
    <x v="0"/>
    <s v="NHTD"/>
    <s v="LHCSA"/>
    <s v="Medicaid"/>
    <s v="PRN (NB)"/>
    <m/>
    <x v="4"/>
    <x v="0"/>
    <x v="0"/>
    <m/>
    <n v="6"/>
    <n v="6"/>
    <n v="4.75"/>
    <n v="6"/>
    <n v="6"/>
    <n v="6"/>
    <x v="2"/>
  </r>
  <r>
    <n v="721"/>
    <x v="0"/>
    <s v="NHTD"/>
    <s v="LHCSA"/>
    <s v="Medicaid"/>
    <s v="RN Initial (NB)"/>
    <m/>
    <x v="4"/>
    <x v="0"/>
    <x v="0"/>
    <m/>
    <n v="5"/>
    <n v="5"/>
    <n v="5"/>
    <n v="5"/>
    <n v="5"/>
    <n v="5"/>
    <x v="2"/>
  </r>
  <r>
    <n v="722"/>
    <x v="0"/>
    <s v="NHTD"/>
    <s v="LHCSA"/>
    <s v="Medicaid"/>
    <s v="RN Reassessment (NB)"/>
    <m/>
    <x v="4"/>
    <x v="0"/>
    <x v="0"/>
    <m/>
    <n v="1"/>
    <n v="1"/>
    <n v="1"/>
    <n v="1"/>
    <n v="1"/>
    <n v="1"/>
    <x v="2"/>
  </r>
  <r>
    <n v="723"/>
    <x v="0"/>
    <s v="NHTD"/>
    <s v="LHCSA"/>
    <s v="Medicaid"/>
    <s v="RN Visit 9799 (Hourly)"/>
    <s v="9799"/>
    <x v="4"/>
    <x v="0"/>
    <x v="0"/>
    <m/>
    <n v="74"/>
    <n v="114"/>
    <n v="108.75"/>
    <n v="74"/>
    <n v="114"/>
    <n v="114"/>
    <x v="2"/>
  </r>
  <r>
    <n v="724"/>
    <x v="0"/>
    <s v="Non Billable"/>
    <s v="Other"/>
    <s v="Insurance"/>
    <s v="PCA Hourly"/>
    <m/>
    <x v="5"/>
    <x v="0"/>
    <x v="3"/>
    <m/>
    <n v="5"/>
    <n v="5"/>
    <n v="14"/>
    <n v="5"/>
    <n v="5"/>
    <n v="14"/>
    <x v="0"/>
  </r>
  <r>
    <n v="725"/>
    <x v="0"/>
    <s v="Private Pay"/>
    <s v="Other"/>
    <s v="Private"/>
    <s v="PCA Hourly"/>
    <m/>
    <x v="5"/>
    <x v="0"/>
    <x v="3"/>
    <m/>
    <n v="6"/>
    <n v="84"/>
    <n v="221.75"/>
    <n v="6"/>
    <n v="84"/>
    <n v="221.75"/>
    <x v="0"/>
  </r>
  <r>
    <n v="726"/>
    <x v="0"/>
    <s v="Private Pay - Select"/>
    <s v="Other"/>
    <s v="Private"/>
    <s v="HHA Hourly"/>
    <m/>
    <x v="5"/>
    <x v="0"/>
    <x v="3"/>
    <m/>
    <n v="1"/>
    <n v="366"/>
    <n v="366"/>
    <n v="1"/>
    <n v="366"/>
    <n v="366"/>
    <x v="0"/>
  </r>
  <r>
    <n v="727"/>
    <x v="0"/>
    <s v="Private Pay - Select"/>
    <s v="Other"/>
    <s v="Private"/>
    <s v="PCA Hourly"/>
    <m/>
    <x v="5"/>
    <x v="0"/>
    <x v="3"/>
    <m/>
    <n v="8"/>
    <n v="926"/>
    <n v="6193.25"/>
    <n v="7"/>
    <n v="910"/>
    <n v="6086.25"/>
    <x v="0"/>
  </r>
  <r>
    <n v="728"/>
    <x v="0"/>
    <s v="Private Pay - Select"/>
    <s v="Other"/>
    <s v="Private"/>
    <s v="PCA Live-in"/>
    <m/>
    <x v="5"/>
    <x v="0"/>
    <x v="3"/>
    <m/>
    <n v="1"/>
    <n v="373"/>
    <n v="8767.75"/>
    <n v="1"/>
    <n v="373"/>
    <n v="4849"/>
    <x v="0"/>
  </r>
  <r>
    <n v="729"/>
    <x v="0"/>
    <s v="Private Pay - Select"/>
    <s v="Other"/>
    <s v="Private"/>
    <s v="RN Initial (NB)"/>
    <m/>
    <x v="5"/>
    <x v="0"/>
    <x v="3"/>
    <m/>
    <n v="4"/>
    <n v="4"/>
    <n v="2.5"/>
    <n v="3"/>
    <n v="3"/>
    <n v="3"/>
    <x v="0"/>
  </r>
  <r>
    <n v="730"/>
    <x v="0"/>
    <s v="Private Pay - Select"/>
    <s v="Other"/>
    <s v="Private"/>
    <s v="RN Reassessment (NB)"/>
    <m/>
    <x v="5"/>
    <x v="0"/>
    <x v="3"/>
    <m/>
    <n v="4"/>
    <n v="8"/>
    <n v="5.5"/>
    <n v="4"/>
    <n v="8"/>
    <n v="8"/>
    <x v="0"/>
  </r>
  <r>
    <n v="731"/>
    <x v="0"/>
    <s v="Revival Home Health Care"/>
    <s v="CHHA"/>
    <s v="CHHA"/>
    <s v="Rate1"/>
    <s v="S9122"/>
    <x v="0"/>
    <x v="0"/>
    <x v="0"/>
    <s v="CHHA"/>
    <n v="6"/>
    <n v="22"/>
    <n v="85"/>
    <n v="6"/>
    <n v="22"/>
    <n v="85"/>
    <x v="0"/>
  </r>
  <r>
    <n v="732"/>
    <x v="0"/>
    <s v="Royal Care Certified"/>
    <s v="Other"/>
    <s v="CHHA"/>
    <s v="Rate1"/>
    <m/>
    <x v="0"/>
    <x v="0"/>
    <x v="0"/>
    <s v="CHHA"/>
    <n v="39"/>
    <n v="575"/>
    <n v="2228.75"/>
    <n v="35"/>
    <n v="561"/>
    <n v="2182"/>
    <x v="0"/>
  </r>
  <r>
    <n v="733"/>
    <x v="0"/>
    <s v="Royal Care Certified"/>
    <s v="Other"/>
    <s v="CHHA"/>
    <s v="Rate2"/>
    <m/>
    <x v="0"/>
    <x v="0"/>
    <x v="0"/>
    <s v="CHHA"/>
    <n v="15"/>
    <n v="1403"/>
    <n v="7718.75"/>
    <n v="14"/>
    <n v="1376"/>
    <n v="7610.75"/>
    <x v="0"/>
  </r>
  <r>
    <n v="734"/>
    <x v="0"/>
    <s v="Senior Whole Health PCA (Non Live)"/>
    <s v="Other"/>
    <s v="MLTC"/>
    <s v="RN Initial (NB)"/>
    <m/>
    <x v="3"/>
    <x v="0"/>
    <x v="2"/>
    <m/>
    <n v="1"/>
    <n v="1"/>
    <n v="1"/>
    <n v="1"/>
    <n v="1"/>
    <n v="1"/>
    <x v="1"/>
  </r>
  <r>
    <n v="735"/>
    <x v="0"/>
    <s v="SWHNY-MLTC (ANT)"/>
    <s v="Other"/>
    <s v="MLTC"/>
    <s v="RN Initial (NB)"/>
    <m/>
    <x v="3"/>
    <x v="0"/>
    <x v="2"/>
    <m/>
    <n v="2"/>
    <n v="2"/>
    <n v="2"/>
    <n v="2"/>
    <n v="2"/>
    <n v="2"/>
    <x v="1"/>
  </r>
  <r>
    <n v="736"/>
    <x v="0"/>
    <s v="SWHNY-MLTC (ANT)"/>
    <s v="Other"/>
    <s v="MLTC"/>
    <s v="RN Reassessment (NB)"/>
    <m/>
    <x v="3"/>
    <x v="0"/>
    <x v="2"/>
    <m/>
    <n v="2"/>
    <n v="2"/>
    <n v="2"/>
    <n v="2"/>
    <n v="2"/>
    <n v="2"/>
    <x v="1"/>
  </r>
  <r>
    <n v="737"/>
    <x v="0"/>
    <s v="SWHNY-MLTC (ANT)"/>
    <s v="Other"/>
    <s v="MLTC"/>
    <s v="T1019:U1"/>
    <s v="T1019:U1"/>
    <x v="2"/>
    <x v="0"/>
    <x v="2"/>
    <m/>
    <n v="3"/>
    <n v="380"/>
    <n v="2587.25"/>
    <n v="3"/>
    <n v="380"/>
    <n v="2587.25"/>
    <x v="0"/>
  </r>
  <r>
    <n v="740"/>
    <x v="0"/>
    <s v="SWHNY-MLTC (CDP)"/>
    <s v="Other"/>
    <s v="CDPAP"/>
    <s v="T1019:U6"/>
    <s v="T1019:U6"/>
    <x v="1"/>
    <x v="1"/>
    <x v="1"/>
    <m/>
    <n v="9"/>
    <n v="1084"/>
    <n v="6233"/>
    <n v="8"/>
    <n v="1070"/>
    <n v="6177"/>
    <x v="0"/>
  </r>
  <r>
    <n v="741"/>
    <x v="0"/>
    <s v="SWHNY-MLTC (CDP)"/>
    <s v="Other"/>
    <s v="CDPAP"/>
    <s v="T1019:U7"/>
    <s v="T1019:U7"/>
    <x v="10"/>
    <x v="1"/>
    <x v="1"/>
    <m/>
    <n v="2"/>
    <n v="58"/>
    <n v="227.25"/>
    <n v="2"/>
    <n v="58"/>
    <n v="227.25"/>
    <x v="0"/>
  </r>
  <r>
    <n v="743"/>
    <x v="0"/>
    <s v="VillageCare CDPAP"/>
    <s v="MCO"/>
    <s v="CDPAP"/>
    <s v="PA Hourly"/>
    <s v="T1019:U6"/>
    <x v="1"/>
    <x v="1"/>
    <x v="1"/>
    <m/>
    <n v="1"/>
    <n v="366"/>
    <n v="1360"/>
    <n v="1"/>
    <n v="366"/>
    <n v="1360"/>
    <x v="0"/>
  </r>
  <r>
    <n v="744"/>
    <x v="0"/>
    <s v="VillageCare PCA"/>
    <s v="MLTC"/>
    <s v="MLTC"/>
    <s v="PCA Hourly"/>
    <s v="T1019:U1"/>
    <x v="2"/>
    <x v="0"/>
    <x v="2"/>
    <m/>
    <n v="1"/>
    <n v="9"/>
    <n v="32.75"/>
    <n v="1"/>
    <n v="9"/>
    <n v="32.75"/>
    <x v="0"/>
  </r>
  <r>
    <n v="746"/>
    <x v="0"/>
    <s v="VNS Health Health Plans (ANT)"/>
    <s v="MLTC"/>
    <s v="MLTC"/>
    <s v="PRN (NB)"/>
    <m/>
    <x v="3"/>
    <x v="0"/>
    <x v="2"/>
    <m/>
    <n v="7"/>
    <n v="7"/>
    <n v="7"/>
    <n v="7"/>
    <n v="7"/>
    <n v="7"/>
    <x v="1"/>
  </r>
  <r>
    <n v="747"/>
    <x v="0"/>
    <s v="VNS Health Health Plans (ANT)"/>
    <s v="MLTC"/>
    <s v="MLTC"/>
    <s v="RN - Initial Visit"/>
    <m/>
    <x v="3"/>
    <x v="0"/>
    <x v="2"/>
    <m/>
    <n v="1"/>
    <n v="1"/>
    <n v="1"/>
    <n v="1"/>
    <n v="1"/>
    <n v="1"/>
    <x v="3"/>
  </r>
  <r>
    <n v="748"/>
    <x v="0"/>
    <s v="VNS Health Health Plans (ANT)"/>
    <s v="MLTC"/>
    <s v="MLTC"/>
    <s v="RN Initial (NB)"/>
    <m/>
    <x v="3"/>
    <x v="0"/>
    <x v="2"/>
    <m/>
    <n v="83"/>
    <n v="83"/>
    <n v="83"/>
    <n v="77"/>
    <n v="77"/>
    <n v="77"/>
    <x v="1"/>
  </r>
  <r>
    <n v="749"/>
    <x v="0"/>
    <s v="VNS Health Health Plans (ANT)"/>
    <s v="MLTC"/>
    <s v="MLTC"/>
    <s v="RN Reassessment (NB)"/>
    <m/>
    <x v="3"/>
    <x v="0"/>
    <x v="2"/>
    <m/>
    <n v="56"/>
    <n v="87"/>
    <n v="87"/>
    <n v="55"/>
    <n v="86"/>
    <n v="86"/>
    <x v="1"/>
  </r>
  <r>
    <n v="750"/>
    <x v="0"/>
    <s v="VNS Health Health Plans (ANT)"/>
    <s v="MLTC"/>
    <s v="MLTC"/>
    <s v="T1019U1 NAS"/>
    <s v="T1019:U1"/>
    <x v="2"/>
    <x v="0"/>
    <x v="2"/>
    <m/>
    <n v="126"/>
    <n v="14610"/>
    <n v="92550.75"/>
    <n v="116"/>
    <n v="14215"/>
    <n v="89731"/>
    <x v="0"/>
  </r>
  <r>
    <n v="751"/>
    <x v="0"/>
    <s v="VNS Health Health Plans (ANT)"/>
    <s v="MLTC"/>
    <s v="MLTC"/>
    <s v="T1019U1 NAS MAP"/>
    <s v="T1019:U1"/>
    <x v="2"/>
    <x v="0"/>
    <x v="2"/>
    <m/>
    <n v="2"/>
    <n v="128"/>
    <n v="577.5"/>
    <n v="2"/>
    <n v="128"/>
    <n v="577.5"/>
    <x v="0"/>
  </r>
  <r>
    <n v="752"/>
    <x v="0"/>
    <s v="VNS Health Health Plans (ANT)"/>
    <s v="MLTC"/>
    <s v="MLTC"/>
    <s v="T1019U2 NAS"/>
    <s v="T1019:U2"/>
    <x v="11"/>
    <x v="0"/>
    <x v="2"/>
    <m/>
    <n v="6"/>
    <n v="918"/>
    <n v="6944"/>
    <n v="6"/>
    <n v="918"/>
    <n v="6944"/>
    <x v="0"/>
  </r>
  <r>
    <n v="753"/>
    <x v="0"/>
    <s v="VNS Health Health Plans (ANT)"/>
    <s v="MLTC"/>
    <s v="MLTC"/>
    <s v="T1019U6 NAS"/>
    <s v="T1019:U6"/>
    <x v="1"/>
    <x v="1"/>
    <x v="1"/>
    <m/>
    <n v="1"/>
    <n v="354"/>
    <n v="1210"/>
    <n v="1"/>
    <n v="354"/>
    <n v="1210"/>
    <x v="0"/>
  </r>
  <r>
    <n v="754"/>
    <x v="0"/>
    <s v="VNS Health Health Plans (ANT)"/>
    <s v="MLTC"/>
    <s v="MLTC"/>
    <s v="T1020 NAS"/>
    <s v="T1020"/>
    <x v="8"/>
    <x v="0"/>
    <x v="2"/>
    <m/>
    <n v="3"/>
    <n v="133"/>
    <n v="1729"/>
    <n v="3"/>
    <n v="133"/>
    <n v="1729"/>
    <x v="0"/>
  </r>
  <r>
    <n v="760"/>
    <x v="0"/>
    <s v="VNS Health Health Plans (CDP)"/>
    <s v="MLTC"/>
    <s v="CDPAP"/>
    <s v="T1019U6 K"/>
    <s v="T1019:U6"/>
    <x v="1"/>
    <x v="1"/>
    <x v="1"/>
    <m/>
    <n v="1"/>
    <n v="99"/>
    <n v="541.75"/>
    <n v="1"/>
    <n v="99"/>
    <n v="541.75"/>
    <x v="0"/>
  </r>
  <r>
    <n v="761"/>
    <x v="0"/>
    <s v="VNS Health Health Plans (CDP)"/>
    <s v="MLTC"/>
    <s v="CDPAP"/>
    <s v="T1019U6 NAS"/>
    <s v="T1019:U6"/>
    <x v="1"/>
    <x v="1"/>
    <x v="1"/>
    <m/>
    <n v="54"/>
    <n v="10018"/>
    <n v="54422.75"/>
    <n v="49"/>
    <n v="9587"/>
    <n v="51789.75"/>
    <x v="0"/>
  </r>
  <r>
    <n v="762"/>
    <x v="0"/>
    <s v="VNS Health Health Plans (CDP)"/>
    <s v="MLTC"/>
    <s v="CDPAP"/>
    <s v="T1019U6 NAS MAP"/>
    <s v="T1019:U6"/>
    <x v="1"/>
    <x v="1"/>
    <x v="1"/>
    <m/>
    <n v="1"/>
    <n v="345"/>
    <n v="1278.25"/>
    <n v="1"/>
    <n v="345"/>
    <n v="1278.25"/>
    <x v="0"/>
  </r>
  <r>
    <n v="763"/>
    <x v="0"/>
    <s v="VNS Health Health Plans (CDP)"/>
    <s v="MLTC"/>
    <s v="CDPAP"/>
    <s v="T1019U7 NAS"/>
    <s v="T1019:U7"/>
    <x v="10"/>
    <x v="1"/>
    <x v="1"/>
    <m/>
    <n v="2"/>
    <n v="53"/>
    <n v="571.25"/>
    <n v="2"/>
    <n v="53"/>
    <n v="571.25"/>
    <x v="0"/>
  </r>
  <r>
    <n v="764"/>
    <x v="0"/>
    <s v="VNS Health Health Plans (CDP)"/>
    <s v="MLTC"/>
    <s v="CDPAP"/>
    <s v="T1020U6 NAS"/>
    <s v="T1020:U6"/>
    <x v="9"/>
    <x v="1"/>
    <x v="1"/>
    <m/>
    <n v="1"/>
    <n v="357"/>
    <n v="4641"/>
    <n v="1"/>
    <n v="357"/>
    <n v="4641"/>
    <x v="0"/>
  </r>
  <r>
    <n v="765"/>
    <x v="0"/>
    <s v="VNSNY CHOICE PCA"/>
    <s v="LHCSA"/>
    <s v="MLTC"/>
    <s v="PCA Hourly"/>
    <s v="T1019:U1"/>
    <x v="2"/>
    <x v="0"/>
    <x v="2"/>
    <m/>
    <n v="2"/>
    <n v="30"/>
    <n v="202.75"/>
    <n v="1"/>
    <n v="29"/>
    <n v="201.75"/>
    <x v="0"/>
  </r>
  <r>
    <n v="766"/>
    <x v="0"/>
    <s v="VNSNY CHOICE PCA"/>
    <s v="LHCSA"/>
    <s v="MLTC"/>
    <s v="RN Reassessment (NB)"/>
    <m/>
    <x v="3"/>
    <x v="0"/>
    <x v="2"/>
    <m/>
    <n v="1"/>
    <n v="2"/>
    <n v="2"/>
    <n v="1"/>
    <n v="2"/>
    <n v="2"/>
    <x v="1"/>
  </r>
  <r>
    <n v="767"/>
    <x v="32"/>
    <s v="Americare"/>
    <s v="CHHA"/>
    <s v="CHHA"/>
    <s v="HHA1"/>
    <s v="S9122"/>
    <x v="0"/>
    <x v="0"/>
    <x v="0"/>
    <s v="CHHA"/>
    <n v="8"/>
    <n v="149"/>
    <n v="578.25"/>
    <n v="5"/>
    <n v="84"/>
    <n v="328"/>
    <x v="0"/>
  </r>
  <r>
    <n v="768"/>
    <x v="32"/>
    <s v="Americare"/>
    <s v="CHHA"/>
    <s v="CHHA"/>
    <s v="HHAPEDSV"/>
    <s v="S9122"/>
    <x v="0"/>
    <x v="0"/>
    <x v="0"/>
    <s v="CHHA"/>
    <n v="100"/>
    <n v="12556"/>
    <n v="86039.25"/>
    <n v="90"/>
    <n v="12355"/>
    <n v="84591.5"/>
    <x v="0"/>
  </r>
  <r>
    <n v="770"/>
    <x v="32"/>
    <s v="Amerigroup (Empire) CDPAP"/>
    <s v="MLTC"/>
    <s v="CDPAP"/>
    <s v="PA HOURLY"/>
    <s v="T1019:U6"/>
    <x v="1"/>
    <x v="1"/>
    <x v="1"/>
    <m/>
    <n v="1"/>
    <n v="54"/>
    <n v="279.5"/>
    <n v="1"/>
    <n v="54"/>
    <n v="279.5"/>
    <x v="0"/>
  </r>
  <r>
    <n v="771"/>
    <x v="32"/>
    <s v="Archcare Community Life CDPAP"/>
    <s v="MCO"/>
    <s v="CDPAP"/>
    <s v="PA Hourly"/>
    <s v="T1019:U6"/>
    <x v="1"/>
    <x v="1"/>
    <x v="1"/>
    <m/>
    <n v="3"/>
    <n v="285"/>
    <n v="1658.25"/>
    <n v="3"/>
    <n v="285"/>
    <n v="1658.25"/>
    <x v="0"/>
  </r>
  <r>
    <n v="772"/>
    <x v="32"/>
    <s v="Archcare Community Life PCA"/>
    <s v="MCO"/>
    <s v="MLTC"/>
    <s v="PCA Hourly"/>
    <s v="T1019:U1"/>
    <x v="2"/>
    <x v="0"/>
    <x v="2"/>
    <m/>
    <n v="7"/>
    <n v="410"/>
    <n v="2395"/>
    <n v="7"/>
    <n v="410"/>
    <n v="2395"/>
    <x v="0"/>
  </r>
  <r>
    <n v="773"/>
    <x v="32"/>
    <s v="Archcare Community Life PCA"/>
    <s v="MCO"/>
    <s v="MLTC"/>
    <s v="RN Initial (NB)"/>
    <m/>
    <x v="3"/>
    <x v="0"/>
    <x v="2"/>
    <m/>
    <n v="3"/>
    <n v="3"/>
    <n v="3"/>
    <n v="3"/>
    <n v="3"/>
    <n v="3"/>
    <x v="1"/>
  </r>
  <r>
    <n v="774"/>
    <x v="32"/>
    <s v="Archcare Community Life PCA"/>
    <s v="MCO"/>
    <s v="MLTC"/>
    <s v="RN Reassessment (NB)"/>
    <m/>
    <x v="3"/>
    <x v="0"/>
    <x v="2"/>
    <m/>
    <n v="3"/>
    <n v="3"/>
    <n v="3"/>
    <n v="3"/>
    <n v="3"/>
    <n v="3"/>
    <x v="1"/>
  </r>
  <r>
    <n v="775"/>
    <x v="32"/>
    <s v="CenterLight HealthCare (PACE) (ANT)"/>
    <s v="Other"/>
    <s v="MLTC"/>
    <s v="RN Initial (NB)"/>
    <m/>
    <x v="4"/>
    <x v="0"/>
    <x v="0"/>
    <m/>
    <n v="1"/>
    <n v="1"/>
    <n v="1"/>
    <n v="1"/>
    <n v="1"/>
    <n v="1"/>
    <x v="1"/>
  </r>
  <r>
    <n v="776"/>
    <x v="32"/>
    <s v="CenterLight HealthCare (PACE) (ANT)"/>
    <s v="Other"/>
    <s v="MLTC"/>
    <s v="T1019:U1"/>
    <s v="T1019:U1"/>
    <x v="4"/>
    <x v="0"/>
    <x v="0"/>
    <m/>
    <n v="1"/>
    <n v="46"/>
    <n v="138"/>
    <n v="1"/>
    <n v="46"/>
    <n v="138"/>
    <x v="0"/>
  </r>
  <r>
    <n v="777"/>
    <x v="32"/>
    <s v="Centers Plan For Health Living PCA"/>
    <s v="MLTC"/>
    <s v="MLTC"/>
    <s v="PCA Hourly"/>
    <s v="T1019:U1"/>
    <x v="2"/>
    <x v="0"/>
    <x v="2"/>
    <m/>
    <n v="32"/>
    <n v="4168"/>
    <n v="22241"/>
    <n v="29"/>
    <n v="4025"/>
    <n v="21471"/>
    <x v="0"/>
  </r>
  <r>
    <n v="778"/>
    <x v="32"/>
    <s v="Centers Plan For Health Living PCA"/>
    <s v="MLTC"/>
    <s v="MLTC"/>
    <s v="PRN (NB)"/>
    <m/>
    <x v="3"/>
    <x v="0"/>
    <x v="2"/>
    <m/>
    <n v="3"/>
    <n v="3"/>
    <n v="3"/>
    <n v="3"/>
    <n v="3"/>
    <n v="3"/>
    <x v="1"/>
  </r>
  <r>
    <n v="779"/>
    <x v="32"/>
    <s v="Centers Plan For Health Living PCA"/>
    <s v="MLTC"/>
    <s v="MLTC"/>
    <s v="RN Initial (NB)"/>
    <m/>
    <x v="3"/>
    <x v="0"/>
    <x v="2"/>
    <m/>
    <n v="13"/>
    <n v="13"/>
    <n v="13"/>
    <n v="11"/>
    <n v="11"/>
    <n v="11"/>
    <x v="1"/>
  </r>
  <r>
    <n v="780"/>
    <x v="32"/>
    <s v="Centers Plan For Health Living PCA"/>
    <s v="MLTC"/>
    <s v="MLTC"/>
    <s v="RN Reassessment (NB)"/>
    <m/>
    <x v="3"/>
    <x v="0"/>
    <x v="2"/>
    <m/>
    <n v="18"/>
    <n v="30"/>
    <n v="30"/>
    <n v="18"/>
    <n v="30"/>
    <n v="30"/>
    <x v="1"/>
  </r>
  <r>
    <n v="784"/>
    <x v="32"/>
    <s v="Centers Plan For Healthy Living CDPAP "/>
    <s v="MLTC"/>
    <s v="CDPAP"/>
    <s v="PA Hourly - 5 Boroughs"/>
    <s v="T1019:U6"/>
    <x v="1"/>
    <x v="1"/>
    <x v="1"/>
    <m/>
    <n v="37"/>
    <n v="7308"/>
    <n v="34690.5"/>
    <n v="37"/>
    <n v="7308"/>
    <n v="34690.5"/>
    <x v="0"/>
  </r>
  <r>
    <n v="785"/>
    <x v="32"/>
    <s v="Centers Plan For Healthy Living CDPAP "/>
    <s v="MLTC"/>
    <s v="CDPAP"/>
    <s v="PA Live-In - 5 Boroughs"/>
    <s v="T1020:U6"/>
    <x v="9"/>
    <x v="1"/>
    <x v="1"/>
    <m/>
    <n v="1"/>
    <n v="169"/>
    <n v="2197"/>
    <n v="1"/>
    <n v="169"/>
    <n v="2197"/>
    <x v="0"/>
  </r>
  <r>
    <n v="786"/>
    <x v="32"/>
    <s v="Elderplan MJHS (ANT)"/>
    <s v="MLTC"/>
    <s v="MLTC"/>
    <s v="PRN (NB)"/>
    <m/>
    <x v="3"/>
    <x v="0"/>
    <x v="2"/>
    <m/>
    <n v="2"/>
    <n v="2"/>
    <n v="2"/>
    <n v="1"/>
    <n v="1"/>
    <n v="1"/>
    <x v="1"/>
  </r>
  <r>
    <n v="787"/>
    <x v="32"/>
    <s v="Elderplan MJHS (ANT)"/>
    <s v="MLTC"/>
    <s v="MLTC"/>
    <s v="RN Initial (NB)"/>
    <m/>
    <x v="3"/>
    <x v="0"/>
    <x v="2"/>
    <m/>
    <n v="22"/>
    <n v="22"/>
    <n v="22"/>
    <n v="21"/>
    <n v="21"/>
    <n v="21"/>
    <x v="1"/>
  </r>
  <r>
    <n v="788"/>
    <x v="32"/>
    <s v="Elderplan MJHS (ANT)"/>
    <s v="MLTC"/>
    <s v="MLTC"/>
    <s v="RN Reassessment (NB)"/>
    <m/>
    <x v="3"/>
    <x v="0"/>
    <x v="2"/>
    <m/>
    <n v="12"/>
    <n v="14"/>
    <n v="14"/>
    <n v="10"/>
    <n v="12"/>
    <n v="12"/>
    <x v="1"/>
  </r>
  <r>
    <n v="789"/>
    <x v="32"/>
    <s v="Elderplan MJHS (ANT)"/>
    <s v="MLTC"/>
    <s v="MLTC"/>
    <s v="T1019:U1"/>
    <s v="T1019:U1"/>
    <x v="2"/>
    <x v="0"/>
    <x v="2"/>
    <m/>
    <n v="31"/>
    <n v="2887"/>
    <n v="15511"/>
    <n v="28"/>
    <n v="2583"/>
    <n v="13851.5"/>
    <x v="0"/>
  </r>
  <r>
    <n v="792"/>
    <x v="32"/>
    <s v="Elderplan MJHS (CDP)"/>
    <s v="MLTC"/>
    <s v="CDPAP"/>
    <s v="T1019:U6"/>
    <s v="T1019:U6"/>
    <x v="1"/>
    <x v="1"/>
    <x v="1"/>
    <m/>
    <n v="9"/>
    <n v="1307"/>
    <n v="7117.5"/>
    <n v="9"/>
    <n v="1307"/>
    <n v="7117.5"/>
    <x v="0"/>
  </r>
  <r>
    <n v="795"/>
    <x v="32"/>
    <s v="ElderServe/Riverspring (CDPAP)"/>
    <s v="MLTC"/>
    <s v="CDPAP"/>
    <s v="PA Hourly"/>
    <s v="T1019:U6"/>
    <x v="1"/>
    <x v="1"/>
    <x v="1"/>
    <m/>
    <n v="6"/>
    <n v="1125"/>
    <n v="6846.25"/>
    <n v="6"/>
    <n v="1125"/>
    <n v="6846.25"/>
    <x v="0"/>
  </r>
  <r>
    <n v="796"/>
    <x v="32"/>
    <s v="ElderServe/Riverspring (PCA)"/>
    <s v="MLTC"/>
    <s v="MLTC"/>
    <s v="PCA Hourly - Mutual NYC"/>
    <s v="T1019:U2"/>
    <x v="11"/>
    <x v="0"/>
    <x v="2"/>
    <m/>
    <n v="2"/>
    <n v="306"/>
    <n v="1223.75"/>
    <n v="2"/>
    <n v="306"/>
    <n v="1223.75"/>
    <x v="0"/>
  </r>
  <r>
    <n v="797"/>
    <x v="32"/>
    <s v="ElderServe/Riverspring (PCA)"/>
    <s v="MLTC"/>
    <s v="MLTC"/>
    <s v="PCA Hourly NYC"/>
    <s v="T1019:U1"/>
    <x v="2"/>
    <x v="0"/>
    <x v="2"/>
    <m/>
    <n v="18"/>
    <n v="2871"/>
    <n v="17080.75"/>
    <n v="17"/>
    <n v="2842"/>
    <n v="16936"/>
    <x v="0"/>
  </r>
  <r>
    <n v="798"/>
    <x v="32"/>
    <s v="ElderServe/Riverspring (PCA)"/>
    <s v="MLTC"/>
    <s v="MLTC"/>
    <s v="RN Initial (NB)"/>
    <m/>
    <x v="3"/>
    <x v="0"/>
    <x v="2"/>
    <m/>
    <n v="18"/>
    <n v="18"/>
    <n v="18"/>
    <n v="18"/>
    <n v="18"/>
    <n v="18"/>
    <x v="1"/>
  </r>
  <r>
    <n v="799"/>
    <x v="32"/>
    <s v="ElderServe/Riverspring (PCA)"/>
    <s v="MLTC"/>
    <s v="MLTC"/>
    <s v="RN Reassessment (NB)"/>
    <m/>
    <x v="3"/>
    <x v="0"/>
    <x v="2"/>
    <m/>
    <n v="15"/>
    <n v="15"/>
    <n v="15"/>
    <n v="15"/>
    <n v="15"/>
    <n v="15"/>
    <x v="1"/>
  </r>
  <r>
    <n v="802"/>
    <x v="32"/>
    <s v="Empire Blue Cross Blue Shield (CDPAP)"/>
    <s v="Other"/>
    <s v="CDPAP"/>
    <s v="PA Hourly (New)"/>
    <s v="T1019:U6"/>
    <x v="1"/>
    <x v="1"/>
    <x v="1"/>
    <m/>
    <n v="20"/>
    <n v="3549"/>
    <n v="22341.75"/>
    <n v="18"/>
    <n v="3386"/>
    <n v="20958"/>
    <x v="0"/>
  </r>
  <r>
    <n v="803"/>
    <x v="32"/>
    <s v="Empire Blue Cross Blue Shield (PCA)"/>
    <s v="Other"/>
    <s v="MLTC"/>
    <s v="PCA Hourly NYC"/>
    <s v="T1019:U1"/>
    <x v="2"/>
    <x v="0"/>
    <x v="2"/>
    <m/>
    <n v="32"/>
    <n v="4854"/>
    <n v="33244.5"/>
    <n v="31"/>
    <n v="4766"/>
    <n v="32552.5"/>
    <x v="0"/>
  </r>
  <r>
    <n v="804"/>
    <x v="32"/>
    <s v="Empire Blue Cross Blue Shield (PCA)"/>
    <s v="Other"/>
    <s v="MLTC"/>
    <s v="PCA Live In"/>
    <s v="T1020"/>
    <x v="8"/>
    <x v="0"/>
    <x v="2"/>
    <m/>
    <n v="1"/>
    <n v="351"/>
    <n v="4563"/>
    <n v="1"/>
    <n v="351"/>
    <n v="4563"/>
    <x v="0"/>
  </r>
  <r>
    <n v="805"/>
    <x v="32"/>
    <s v="Empire Blue Cross Blue Shield (PCA)"/>
    <s v="Other"/>
    <s v="MLTC"/>
    <s v="PRN (NB)"/>
    <m/>
    <x v="3"/>
    <x v="0"/>
    <x v="2"/>
    <m/>
    <n v="8"/>
    <n v="8"/>
    <n v="8"/>
    <n v="8"/>
    <n v="8"/>
    <n v="8"/>
    <x v="1"/>
  </r>
  <r>
    <n v="806"/>
    <x v="32"/>
    <s v="Empire Blue Cross Blue Shield (PCA)"/>
    <s v="Other"/>
    <s v="MLTC"/>
    <s v="RN Initial (NB)"/>
    <m/>
    <x v="3"/>
    <x v="0"/>
    <x v="2"/>
    <m/>
    <n v="10"/>
    <n v="10"/>
    <n v="10"/>
    <n v="10"/>
    <n v="10"/>
    <n v="10"/>
    <x v="1"/>
  </r>
  <r>
    <n v="807"/>
    <x v="32"/>
    <s v="Empire Blue Cross Blue Shield (PCA)"/>
    <s v="Other"/>
    <s v="MLTC"/>
    <s v="RN Reassessment (NB)"/>
    <m/>
    <x v="3"/>
    <x v="0"/>
    <x v="2"/>
    <m/>
    <n v="23"/>
    <n v="38"/>
    <n v="38"/>
    <n v="22"/>
    <n v="37"/>
    <n v="37"/>
    <x v="1"/>
  </r>
  <r>
    <n v="808"/>
    <x v="32"/>
    <s v="Excellent Home Care Services"/>
    <s v="CHHA"/>
    <s v="CHHA"/>
    <s v="Rate3"/>
    <m/>
    <x v="0"/>
    <x v="0"/>
    <x v="0"/>
    <s v="CHHA"/>
    <n v="22"/>
    <n v="4187"/>
    <n v="19684.75"/>
    <n v="22"/>
    <n v="4187"/>
    <n v="19684.75"/>
    <x v="0"/>
  </r>
  <r>
    <n v="809"/>
    <x v="32"/>
    <s v="Extended Home Care"/>
    <s v="CHHA"/>
    <s v="CHHA"/>
    <s v="PedCode95"/>
    <s v="-"/>
    <x v="0"/>
    <x v="0"/>
    <x v="0"/>
    <s v="CHHA"/>
    <n v="18"/>
    <n v="1644"/>
    <n v="9439"/>
    <n v="18"/>
    <n v="1644"/>
    <n v="9439"/>
    <x v="0"/>
  </r>
  <r>
    <n v="810"/>
    <x v="32"/>
    <s v="Extended Home Care"/>
    <s v="CHHA"/>
    <s v="CHHA"/>
    <s v="Rate1"/>
    <m/>
    <x v="0"/>
    <x v="0"/>
    <x v="0"/>
    <s v="CHHA"/>
    <n v="36"/>
    <n v="2908"/>
    <n v="12447.25"/>
    <n v="34"/>
    <n v="2892"/>
    <n v="12353.5"/>
    <x v="0"/>
  </r>
  <r>
    <n v="811"/>
    <x v="32"/>
    <s v="Extended Home Care"/>
    <s v="CHHA"/>
    <s v="CHHA"/>
    <s v="Rate4HMO"/>
    <s v="0"/>
    <x v="0"/>
    <x v="0"/>
    <x v="0"/>
    <s v="CHHA"/>
    <n v="2"/>
    <n v="46"/>
    <n v="215.5"/>
    <n v="2"/>
    <n v="46"/>
    <n v="215.5"/>
    <x v="0"/>
  </r>
  <r>
    <n v="812"/>
    <x v="32"/>
    <s v="Fidelis Care (ANT)"/>
    <s v="LHCSA"/>
    <s v="MLTC"/>
    <s v="PRN (NB)"/>
    <m/>
    <x v="3"/>
    <x v="0"/>
    <x v="2"/>
    <m/>
    <n v="5"/>
    <n v="5"/>
    <n v="5"/>
    <n v="5"/>
    <n v="5"/>
    <n v="5"/>
    <x v="1"/>
  </r>
  <r>
    <n v="813"/>
    <x v="32"/>
    <s v="Fidelis Care (ANT)"/>
    <s v="LHCSA"/>
    <s v="MLTC"/>
    <s v="RN Initial (NB)"/>
    <m/>
    <x v="3"/>
    <x v="0"/>
    <x v="2"/>
    <m/>
    <n v="27"/>
    <n v="27"/>
    <n v="27"/>
    <n v="26"/>
    <n v="26"/>
    <n v="26"/>
    <x v="1"/>
  </r>
  <r>
    <n v="814"/>
    <x v="32"/>
    <s v="Fidelis Care (ANT)"/>
    <s v="LHCSA"/>
    <s v="MLTC"/>
    <s v="RN Initial Assement"/>
    <s v="T2024"/>
    <x v="3"/>
    <x v="0"/>
    <x v="2"/>
    <m/>
    <n v="13"/>
    <n v="13"/>
    <n v="13"/>
    <n v="13"/>
    <n v="13"/>
    <n v="13"/>
    <x v="3"/>
  </r>
  <r>
    <n v="815"/>
    <x v="32"/>
    <s v="Fidelis Care (ANT)"/>
    <s v="LHCSA"/>
    <s v="MLTC"/>
    <s v="RN Reassessment (NB)"/>
    <m/>
    <x v="3"/>
    <x v="0"/>
    <x v="2"/>
    <m/>
    <n v="31"/>
    <n v="43"/>
    <n v="43"/>
    <n v="31"/>
    <n v="43"/>
    <n v="43"/>
    <x v="1"/>
  </r>
  <r>
    <n v="816"/>
    <x v="32"/>
    <s v="Fidelis Care (ANT)"/>
    <s v="LHCSA"/>
    <s v="MLTC"/>
    <s v="S5130:U1"/>
    <s v="S5130:U1::::Homemaker"/>
    <x v="6"/>
    <x v="0"/>
    <x v="2"/>
    <m/>
    <n v="1"/>
    <n v="1"/>
    <n v="1"/>
    <n v="1"/>
    <n v="1"/>
    <n v="1"/>
    <x v="0"/>
  </r>
  <r>
    <n v="817"/>
    <x v="32"/>
    <s v="Fidelis Care (ANT)"/>
    <s v="LHCSA"/>
    <s v="MLTC"/>
    <s v="T1019:U1"/>
    <s v="T1019:U1"/>
    <x v="2"/>
    <x v="0"/>
    <x v="2"/>
    <m/>
    <n v="68"/>
    <n v="7803"/>
    <n v="43597.75"/>
    <n v="66"/>
    <n v="7787"/>
    <n v="43510"/>
    <x v="0"/>
  </r>
  <r>
    <n v="818"/>
    <x v="32"/>
    <s v="Fidelis Care (ANT)"/>
    <s v="LHCSA"/>
    <s v="MLTC"/>
    <s v="T1020"/>
    <s v="T1020"/>
    <x v="8"/>
    <x v="0"/>
    <x v="2"/>
    <m/>
    <n v="3"/>
    <n v="149"/>
    <n v="1937"/>
    <n v="3"/>
    <n v="149"/>
    <n v="1937"/>
    <x v="0"/>
  </r>
  <r>
    <n v="822"/>
    <x v="32"/>
    <s v="Fidelis Care (CDP)"/>
    <s v="LHCSA"/>
    <s v="CDPAP"/>
    <s v="T1019:U6"/>
    <s v="T1019:U6"/>
    <x v="1"/>
    <x v="1"/>
    <x v="1"/>
    <m/>
    <n v="45"/>
    <n v="6593"/>
    <n v="35128.75"/>
    <n v="42"/>
    <n v="6527"/>
    <n v="34629.25"/>
    <x v="0"/>
  </r>
  <r>
    <n v="823"/>
    <x v="32"/>
    <s v="Fidelis Care PCA (Non Live)"/>
    <s v="MLTC"/>
    <s v="MLTC"/>
    <s v="PCA Hourly"/>
    <s v="T1019:U1"/>
    <x v="2"/>
    <x v="0"/>
    <x v="2"/>
    <m/>
    <n v="3"/>
    <n v="8"/>
    <n v="35.75"/>
    <n v="3"/>
    <n v="8"/>
    <n v="35.75"/>
    <x v="0"/>
  </r>
  <r>
    <n v="824"/>
    <x v="32"/>
    <s v="Fidelis Care PCA (Non Live)"/>
    <s v="MLTC"/>
    <s v="MLTC"/>
    <s v="RN Initial (NB)"/>
    <s v="G0162"/>
    <x v="3"/>
    <x v="0"/>
    <x v="2"/>
    <m/>
    <n v="1"/>
    <n v="1"/>
    <n v="1"/>
    <n v="1"/>
    <n v="1"/>
    <n v="1"/>
    <x v="1"/>
  </r>
  <r>
    <n v="825"/>
    <x v="32"/>
    <s v="Fidelis Care PCA (Non Live)"/>
    <s v="MLTC"/>
    <s v="MLTC"/>
    <s v="Rn initial assement"/>
    <s v="G0162"/>
    <x v="3"/>
    <x v="0"/>
    <x v="2"/>
    <m/>
    <n v="4"/>
    <n v="4"/>
    <n v="4"/>
    <n v="4"/>
    <n v="4"/>
    <n v="4"/>
    <x v="3"/>
  </r>
  <r>
    <n v="826"/>
    <x v="32"/>
    <s v="Fidelis Care PCA (Non Live)"/>
    <s v="MLTC"/>
    <s v="MLTC"/>
    <s v="RN Reassessment (NB)"/>
    <m/>
    <x v="3"/>
    <x v="0"/>
    <x v="2"/>
    <m/>
    <n v="1"/>
    <n v="1"/>
    <n v="1"/>
    <n v="1"/>
    <n v="1"/>
    <n v="1"/>
    <x v="1"/>
  </r>
  <r>
    <n v="827"/>
    <x v="32"/>
    <s v="Girling Health Care Of New York"/>
    <s v="CHHA"/>
    <s v="CHHA"/>
    <s v="Rate1"/>
    <m/>
    <x v="0"/>
    <x v="0"/>
    <x v="0"/>
    <s v="CHHA"/>
    <n v="6"/>
    <n v="331"/>
    <n v="1452.75"/>
    <n v="5"/>
    <n v="322"/>
    <n v="1434.75"/>
    <x v="0"/>
  </r>
  <r>
    <n v="828"/>
    <x v="32"/>
    <s v="Girling Health Care Of New York"/>
    <s v="CHHA"/>
    <s v="CHHA"/>
    <s v="Rate4"/>
    <m/>
    <x v="0"/>
    <x v="0"/>
    <x v="0"/>
    <s v="CHHA"/>
    <n v="2"/>
    <n v="20"/>
    <n v="80"/>
    <n v="1"/>
    <n v="10"/>
    <n v="40"/>
    <x v="0"/>
  </r>
  <r>
    <n v="829"/>
    <x v="32"/>
    <s v="Hamaspik Choice (MLTC) CDPAP"/>
    <s v="MCO"/>
    <s v="CDPAP"/>
    <s v="PA Hourly NYC , Nassau, Westchester"/>
    <s v="T1019:U6"/>
    <x v="1"/>
    <x v="1"/>
    <x v="1"/>
    <m/>
    <n v="1"/>
    <n v="131"/>
    <n v="524"/>
    <n v="1"/>
    <n v="131"/>
    <n v="524"/>
    <x v="0"/>
  </r>
  <r>
    <n v="831"/>
    <x v="32"/>
    <s v="Hamaspik Choice MLTC (PCA)"/>
    <s v="MLTC"/>
    <s v="MLTC"/>
    <s v="PCA Hourly"/>
    <s v="T1019:U1"/>
    <x v="2"/>
    <x v="0"/>
    <x v="2"/>
    <m/>
    <n v="2"/>
    <n v="393"/>
    <n v="2860.25"/>
    <n v="2"/>
    <n v="393"/>
    <n v="2860.25"/>
    <x v="0"/>
  </r>
  <r>
    <n v="832"/>
    <x v="32"/>
    <s v="Hamaspik Choice MLTC (PCA)"/>
    <s v="MLTC"/>
    <s v="MLTC"/>
    <s v="RN Initial (NB)"/>
    <m/>
    <x v="3"/>
    <x v="0"/>
    <x v="2"/>
    <m/>
    <n v="1"/>
    <n v="2"/>
    <n v="2"/>
    <n v="1"/>
    <n v="2"/>
    <n v="2"/>
    <x v="1"/>
  </r>
  <r>
    <n v="833"/>
    <x v="32"/>
    <s v="Hamaspik Choice MLTC (PCA)"/>
    <s v="MLTC"/>
    <s v="MLTC"/>
    <s v="RN Reassessment (NB)"/>
    <m/>
    <x v="3"/>
    <x v="0"/>
    <x v="2"/>
    <m/>
    <n v="1"/>
    <n v="2"/>
    <n v="2"/>
    <n v="1"/>
    <n v="2"/>
    <n v="2"/>
    <x v="1"/>
  </r>
  <r>
    <n v="836"/>
    <x v="32"/>
    <s v="Hamaspik MAP CDPAP"/>
    <s v="MCO"/>
    <s v="CDPAP"/>
    <s v="PA Hourly (NYC, LI, &amp; Westchester)"/>
    <s v="T1019:U6"/>
    <x v="1"/>
    <x v="1"/>
    <x v="1"/>
    <m/>
    <n v="5"/>
    <n v="996"/>
    <n v="4957.25"/>
    <n v="5"/>
    <n v="996"/>
    <n v="4957.25"/>
    <x v="0"/>
  </r>
  <r>
    <n v="839"/>
    <x v="32"/>
    <s v="Hamaspik MAP PCA"/>
    <s v="MCO"/>
    <s v="MLTC"/>
    <s v="PCA Hourly"/>
    <s v="T1019:U1"/>
    <x v="2"/>
    <x v="0"/>
    <x v="2"/>
    <m/>
    <n v="12"/>
    <n v="942"/>
    <n v="3817.5"/>
    <n v="8"/>
    <n v="817"/>
    <n v="3114.5"/>
    <x v="0"/>
  </r>
  <r>
    <n v="840"/>
    <x v="32"/>
    <s v="Hamaspik MAP PCA"/>
    <s v="MCO"/>
    <s v="MLTC"/>
    <s v="RN Initial (NB)"/>
    <m/>
    <x v="3"/>
    <x v="0"/>
    <x v="2"/>
    <m/>
    <n v="7"/>
    <n v="7"/>
    <n v="7"/>
    <n v="5"/>
    <n v="5"/>
    <n v="5"/>
    <x v="1"/>
  </r>
  <r>
    <n v="841"/>
    <x v="32"/>
    <s v="Hamaspik MAP PCA"/>
    <s v="MCO"/>
    <s v="MLTC"/>
    <s v="RN Reassessment (NB)"/>
    <m/>
    <x v="3"/>
    <x v="0"/>
    <x v="2"/>
    <m/>
    <n v="4"/>
    <n v="6"/>
    <n v="6"/>
    <n v="4"/>
    <n v="6"/>
    <n v="6"/>
    <x v="1"/>
  </r>
  <r>
    <n v="842"/>
    <x v="32"/>
    <s v="Healthfirst (ANT)"/>
    <s v="CHHA"/>
    <s v="MLTC"/>
    <s v="RN Initial (NB)"/>
    <m/>
    <x v="3"/>
    <x v="0"/>
    <x v="2"/>
    <m/>
    <n v="27"/>
    <n v="27"/>
    <n v="27"/>
    <n v="27"/>
    <n v="27"/>
    <n v="27"/>
    <x v="1"/>
  </r>
  <r>
    <n v="843"/>
    <x v="32"/>
    <s v="Healthfirst (ANT)"/>
    <s v="CHHA"/>
    <s v="MLTC"/>
    <s v="RN Reassessment (NB)"/>
    <m/>
    <x v="3"/>
    <x v="0"/>
    <x v="2"/>
    <m/>
    <n v="27"/>
    <n v="40"/>
    <n v="40"/>
    <n v="26"/>
    <n v="39"/>
    <n v="39"/>
    <x v="1"/>
  </r>
  <r>
    <n v="844"/>
    <x v="32"/>
    <s v="Healthfirst (ANT)"/>
    <s v="CHHA"/>
    <s v="MLTC"/>
    <s v="S5130:U1"/>
    <s v="S5130:U1"/>
    <x v="6"/>
    <x v="0"/>
    <x v="2"/>
    <m/>
    <n v="1"/>
    <n v="24"/>
    <n v="70"/>
    <n v="1"/>
    <n v="24"/>
    <n v="70"/>
    <x v="0"/>
  </r>
  <r>
    <n v="845"/>
    <x v="32"/>
    <s v="Healthfirst (ANT)"/>
    <s v="CHHA"/>
    <s v="MLTC"/>
    <s v="T1019:U1"/>
    <s v="T1019:U1"/>
    <x v="2"/>
    <x v="0"/>
    <x v="2"/>
    <m/>
    <n v="57"/>
    <n v="5319"/>
    <n v="30935.75"/>
    <n v="54"/>
    <n v="5144"/>
    <n v="30015"/>
    <x v="0"/>
  </r>
  <r>
    <n v="848"/>
    <x v="32"/>
    <s v="Healthfirst (CDP)"/>
    <s v="CHHA"/>
    <s v="CDPAP"/>
    <s v="T1019:U6"/>
    <s v="T1019:U6"/>
    <x v="1"/>
    <x v="1"/>
    <x v="1"/>
    <m/>
    <n v="40"/>
    <n v="4058"/>
    <n v="22544.5"/>
    <n v="40"/>
    <n v="4058"/>
    <n v="22544.5"/>
    <x v="0"/>
  </r>
  <r>
    <n v="849"/>
    <x v="32"/>
    <s v="Healthfirst PCA MAP (Complete Care) (Non Live)"/>
    <s v="MCO"/>
    <s v="MLTC"/>
    <s v="RN Initial (NB)"/>
    <m/>
    <x v="3"/>
    <x v="0"/>
    <x v="2"/>
    <m/>
    <n v="1"/>
    <n v="1"/>
    <n v="1"/>
    <n v="0"/>
    <n v="0"/>
    <n v="0"/>
    <x v="1"/>
  </r>
  <r>
    <n v="850"/>
    <x v="32"/>
    <s v="NHTD"/>
    <s v="LHCSA"/>
    <s v="Medicaid"/>
    <s v="HCSS 9795 LI Nassau Westchester Suffolk"/>
    <s v="9795"/>
    <x v="4"/>
    <x v="0"/>
    <x v="0"/>
    <m/>
    <n v="1"/>
    <n v="1"/>
    <n v="0.5"/>
    <n v="1"/>
    <n v="1"/>
    <n v="0.5"/>
    <x v="0"/>
  </r>
  <r>
    <n v="851"/>
    <x v="32"/>
    <s v="NHTD"/>
    <s v="LHCSA"/>
    <s v="Medicaid"/>
    <s v="HCSS 9795 NYC"/>
    <s v="9795"/>
    <x v="4"/>
    <x v="0"/>
    <x v="0"/>
    <m/>
    <n v="55"/>
    <n v="22079"/>
    <n v="248862.5"/>
    <n v="54"/>
    <n v="22016"/>
    <n v="248122"/>
    <x v="0"/>
  </r>
  <r>
    <n v="852"/>
    <x v="32"/>
    <s v="NHTD"/>
    <s v="LHCSA"/>
    <s v="Medicaid"/>
    <s v="HCSS 9795 Rest of State"/>
    <s v="9795"/>
    <x v="4"/>
    <x v="0"/>
    <x v="0"/>
    <m/>
    <n v="1"/>
    <n v="107"/>
    <n v="1261.5"/>
    <n v="1"/>
    <n v="107"/>
    <n v="1261.5"/>
    <x v="0"/>
  </r>
  <r>
    <n v="853"/>
    <x v="32"/>
    <s v="NHTD"/>
    <s v="LHCSA"/>
    <s v="Medicaid"/>
    <s v="Initial RN Visit 9799 (Hourly)"/>
    <s v="9799"/>
    <x v="4"/>
    <x v="0"/>
    <x v="0"/>
    <m/>
    <n v="31"/>
    <n v="31"/>
    <n v="30"/>
    <n v="31"/>
    <n v="31"/>
    <n v="31"/>
    <x v="2"/>
  </r>
  <r>
    <n v="854"/>
    <x v="32"/>
    <s v="NHTD"/>
    <s v="LHCSA"/>
    <s v="Medicaid"/>
    <s v="PRN (NB)"/>
    <m/>
    <x v="4"/>
    <x v="0"/>
    <x v="0"/>
    <m/>
    <n v="3"/>
    <n v="3"/>
    <n v="3"/>
    <n v="3"/>
    <n v="3"/>
    <n v="3"/>
    <x v="2"/>
  </r>
  <r>
    <n v="855"/>
    <x v="32"/>
    <s v="NHTD"/>
    <s v="LHCSA"/>
    <s v="Medicaid"/>
    <s v="RN Initial (NB)"/>
    <m/>
    <x v="4"/>
    <x v="0"/>
    <x v="0"/>
    <m/>
    <n v="3"/>
    <n v="3"/>
    <n v="2.5"/>
    <n v="3"/>
    <n v="3"/>
    <n v="3"/>
    <x v="2"/>
  </r>
  <r>
    <n v="856"/>
    <x v="32"/>
    <s v="NHTD"/>
    <s v="LHCSA"/>
    <s v="Medicaid"/>
    <s v="RN Reassessment (NB)"/>
    <m/>
    <x v="4"/>
    <x v="0"/>
    <x v="0"/>
    <m/>
    <n v="2"/>
    <n v="2"/>
    <n v="2"/>
    <n v="2"/>
    <n v="2"/>
    <n v="2"/>
    <x v="2"/>
  </r>
  <r>
    <n v="857"/>
    <x v="32"/>
    <s v="NHTD"/>
    <s v="LHCSA"/>
    <s v="Medicaid"/>
    <s v="RN Visit 9799 (Hourly)"/>
    <s v="9799"/>
    <x v="4"/>
    <x v="0"/>
    <x v="0"/>
    <m/>
    <n v="48"/>
    <n v="70"/>
    <n v="68.5"/>
    <n v="47"/>
    <n v="69"/>
    <n v="69"/>
    <x v="2"/>
  </r>
  <r>
    <n v="858"/>
    <x v="32"/>
    <s v="Non Billable"/>
    <s v="Other"/>
    <s v="Insurance"/>
    <s v="PCA Hourly"/>
    <m/>
    <x v="5"/>
    <x v="0"/>
    <x v="3"/>
    <m/>
    <n v="30"/>
    <n v="60"/>
    <n v="233.5"/>
    <n v="30"/>
    <n v="60"/>
    <n v="233.5"/>
    <x v="0"/>
  </r>
  <r>
    <n v="860"/>
    <x v="32"/>
    <s v="Partners Health Plan CDPAP"/>
    <s v="MLTC"/>
    <s v="CDPAP"/>
    <s v="PA Hourly"/>
    <s v="T1019:U6"/>
    <x v="1"/>
    <x v="1"/>
    <x v="1"/>
    <m/>
    <n v="1"/>
    <n v="218"/>
    <n v="646.5"/>
    <n v="1"/>
    <n v="218"/>
    <n v="646.5"/>
    <x v="0"/>
  </r>
  <r>
    <n v="861"/>
    <x v="32"/>
    <s v="Prime Home Health Services"/>
    <s v="CHHA"/>
    <s v="CHHA"/>
    <s v="HHAHRPED"/>
    <s v="99999"/>
    <x v="0"/>
    <x v="0"/>
    <x v="0"/>
    <s v="CHHA"/>
    <n v="2"/>
    <n v="331"/>
    <n v="2495.25"/>
    <n v="2"/>
    <n v="331"/>
    <n v="2495.25"/>
    <x v="0"/>
  </r>
  <r>
    <n v="862"/>
    <x v="32"/>
    <s v="Private Pay"/>
    <s v="Other"/>
    <s v="Private"/>
    <s v="PCA Hourly"/>
    <m/>
    <x v="5"/>
    <x v="0"/>
    <x v="3"/>
    <m/>
    <n v="3"/>
    <n v="63"/>
    <n v="571.5"/>
    <n v="2"/>
    <n v="2"/>
    <n v="2.5"/>
    <x v="0"/>
  </r>
  <r>
    <n v="863"/>
    <x v="32"/>
    <s v="Private Pay - Select"/>
    <s v="Other"/>
    <s v="Private"/>
    <s v="HHA Hourly"/>
    <m/>
    <x v="5"/>
    <x v="0"/>
    <x v="3"/>
    <m/>
    <n v="1"/>
    <n v="362"/>
    <n v="4275.75"/>
    <n v="1"/>
    <n v="362"/>
    <n v="4275.75"/>
    <x v="0"/>
  </r>
  <r>
    <n v="864"/>
    <x v="32"/>
    <s v="Private Pay - Select"/>
    <s v="Other"/>
    <s v="Private"/>
    <s v="PCA Hourly"/>
    <m/>
    <x v="5"/>
    <x v="0"/>
    <x v="3"/>
    <m/>
    <n v="9"/>
    <n v="794"/>
    <n v="8377.25"/>
    <n v="8"/>
    <n v="792"/>
    <n v="8358.25"/>
    <x v="0"/>
  </r>
  <r>
    <n v="865"/>
    <x v="32"/>
    <s v="Private Pay - Select"/>
    <s v="Other"/>
    <s v="Private"/>
    <s v="PCA Live-in"/>
    <m/>
    <x v="5"/>
    <x v="0"/>
    <x v="3"/>
    <m/>
    <n v="1"/>
    <n v="106"/>
    <n v="2356.25"/>
    <n v="1"/>
    <n v="106"/>
    <n v="1378"/>
    <x v="0"/>
  </r>
  <r>
    <n v="866"/>
    <x v="32"/>
    <s v="Private Pay - Select"/>
    <s v="Other"/>
    <s v="Private"/>
    <s v="PRN (NB)"/>
    <m/>
    <x v="5"/>
    <x v="0"/>
    <x v="3"/>
    <m/>
    <n v="2"/>
    <n v="2"/>
    <n v="1"/>
    <n v="2"/>
    <n v="2"/>
    <n v="2"/>
    <x v="0"/>
  </r>
  <r>
    <n v="867"/>
    <x v="32"/>
    <s v="Private Pay - Select"/>
    <s v="Other"/>
    <s v="Private"/>
    <s v="RN Initial (NB)"/>
    <m/>
    <x v="5"/>
    <x v="0"/>
    <x v="3"/>
    <m/>
    <n v="3"/>
    <n v="3"/>
    <n v="2.5"/>
    <n v="3"/>
    <n v="3"/>
    <n v="3"/>
    <x v="0"/>
  </r>
  <r>
    <n v="868"/>
    <x v="32"/>
    <s v="Private Pay - Select"/>
    <s v="Other"/>
    <s v="Private"/>
    <s v="RN Reassessment (NB)"/>
    <m/>
    <x v="5"/>
    <x v="0"/>
    <x v="3"/>
    <m/>
    <n v="2"/>
    <n v="3"/>
    <n v="1.5"/>
    <n v="1"/>
    <n v="2"/>
    <n v="2"/>
    <x v="0"/>
  </r>
  <r>
    <n v="869"/>
    <x v="32"/>
    <s v="Royal Care Certified of NY"/>
    <s v="Other"/>
    <m/>
    <s v="Rate 1"/>
    <s v="na"/>
    <x v="0"/>
    <x v="0"/>
    <x v="0"/>
    <s v="CHHA"/>
    <n v="1"/>
    <n v="9"/>
    <n v="28.75"/>
    <n v="1"/>
    <n v="9"/>
    <n v="28.75"/>
    <x v="0"/>
  </r>
  <r>
    <n v="870"/>
    <x v="32"/>
    <s v="SWHNY-MLTC (ANT)"/>
    <s v="Other"/>
    <s v="MLTC"/>
    <s v="PRN (NB)"/>
    <m/>
    <x v="3"/>
    <x v="0"/>
    <x v="2"/>
    <m/>
    <n v="1"/>
    <n v="4"/>
    <n v="4"/>
    <n v="1"/>
    <n v="4"/>
    <n v="4"/>
    <x v="1"/>
  </r>
  <r>
    <n v="871"/>
    <x v="32"/>
    <s v="SWHNY-MLTC (ANT)"/>
    <s v="Other"/>
    <s v="MLTC"/>
    <s v="RN Initial (NB)"/>
    <m/>
    <x v="3"/>
    <x v="0"/>
    <x v="2"/>
    <m/>
    <n v="3"/>
    <n v="3"/>
    <n v="3"/>
    <n v="3"/>
    <n v="3"/>
    <n v="3"/>
    <x v="1"/>
  </r>
  <r>
    <n v="872"/>
    <x v="32"/>
    <s v="SWHNY-MLTC (ANT)"/>
    <s v="Other"/>
    <s v="MLTC"/>
    <s v="RN Reassessment (NB)"/>
    <m/>
    <x v="3"/>
    <x v="0"/>
    <x v="2"/>
    <m/>
    <n v="11"/>
    <n v="20"/>
    <n v="20"/>
    <n v="11"/>
    <n v="20"/>
    <n v="20"/>
    <x v="1"/>
  </r>
  <r>
    <n v="873"/>
    <x v="32"/>
    <s v="SWHNY-MLTC (ANT)"/>
    <s v="Other"/>
    <s v="MLTC"/>
    <s v="T1019:U1"/>
    <s v="T1019:U1"/>
    <x v="2"/>
    <x v="0"/>
    <x v="2"/>
    <m/>
    <n v="13"/>
    <n v="2759"/>
    <n v="19922"/>
    <n v="13"/>
    <n v="2759"/>
    <n v="19922"/>
    <x v="0"/>
  </r>
  <r>
    <n v="877"/>
    <x v="32"/>
    <s v="SWHNY-MLTC (CDP)"/>
    <s v="Other"/>
    <s v="CDPAP"/>
    <s v="T1019:U1"/>
    <s v="T1019:U1"/>
    <x v="2"/>
    <x v="0"/>
    <x v="2"/>
    <m/>
    <n v="1"/>
    <n v="20"/>
    <n v="89.75"/>
    <n v="1"/>
    <n v="20"/>
    <n v="89.75"/>
    <x v="0"/>
  </r>
  <r>
    <n v="878"/>
    <x v="32"/>
    <s v="SWHNY-MLTC (CDP)"/>
    <s v="Other"/>
    <s v="CDPAP"/>
    <s v="T1019:U6"/>
    <s v="T1019:U6"/>
    <x v="1"/>
    <x v="1"/>
    <x v="1"/>
    <m/>
    <n v="16"/>
    <n v="4447"/>
    <n v="33989"/>
    <n v="15"/>
    <n v="4345"/>
    <n v="33320"/>
    <x v="0"/>
  </r>
  <r>
    <n v="879"/>
    <x v="32"/>
    <s v="TBI"/>
    <s v="LHCSA"/>
    <s v="Medicaid"/>
    <s v="HCSS 9879"/>
    <s v="9879"/>
    <x v="4"/>
    <x v="0"/>
    <x v="0"/>
    <m/>
    <n v="2"/>
    <n v="415"/>
    <n v="4797.75"/>
    <n v="2"/>
    <n v="415"/>
    <n v="4797.75"/>
    <x v="0"/>
  </r>
  <r>
    <n v="880"/>
    <x v="32"/>
    <s v="TBI"/>
    <s v="LHCSA"/>
    <s v="Medicaid"/>
    <s v="PRN (NB)"/>
    <m/>
    <x v="4"/>
    <x v="0"/>
    <x v="0"/>
    <m/>
    <n v="1"/>
    <n v="2"/>
    <n v="2"/>
    <n v="1"/>
    <n v="2"/>
    <n v="2"/>
    <x v="2"/>
  </r>
  <r>
    <n v="881"/>
    <x v="32"/>
    <s v="TBI"/>
    <s v="LHCSA"/>
    <s v="Medicaid"/>
    <s v="RN Initial (NB)"/>
    <m/>
    <x v="4"/>
    <x v="0"/>
    <x v="0"/>
    <m/>
    <n v="1"/>
    <n v="1"/>
    <n v="0.75"/>
    <n v="1"/>
    <n v="1"/>
    <n v="1"/>
    <x v="2"/>
  </r>
  <r>
    <n v="882"/>
    <x v="32"/>
    <s v="TBI"/>
    <s v="LHCSA"/>
    <s v="Medicaid"/>
    <s v="RN Reassessment (NB)"/>
    <m/>
    <x v="4"/>
    <x v="0"/>
    <x v="0"/>
    <m/>
    <n v="1"/>
    <n v="1"/>
    <n v="1"/>
    <n v="1"/>
    <n v="1"/>
    <n v="1"/>
    <x v="2"/>
  </r>
  <r>
    <n v="883"/>
    <x v="32"/>
    <s v="UAS-VCM"/>
    <s v="Other"/>
    <s v="MLTC"/>
    <s v="UAS Enrollment Assessment"/>
    <m/>
    <x v="3"/>
    <x v="0"/>
    <x v="2"/>
    <m/>
    <n v="1"/>
    <n v="339"/>
    <n v="339"/>
    <n v="1"/>
    <n v="339"/>
    <n v="339"/>
    <x v="3"/>
  </r>
  <r>
    <n v="886"/>
    <x v="32"/>
    <s v="VillageCare CDPAP"/>
    <s v="MCO"/>
    <s v="CDPAP"/>
    <s v="Live In"/>
    <s v="T1020:U6"/>
    <x v="9"/>
    <x v="1"/>
    <x v="1"/>
    <m/>
    <n v="1"/>
    <n v="28"/>
    <n v="364"/>
    <n v="1"/>
    <n v="28"/>
    <n v="364"/>
    <x v="0"/>
  </r>
  <r>
    <n v="887"/>
    <x v="32"/>
    <s v="VillageCare CDPAP"/>
    <s v="MCO"/>
    <s v="CDPAP"/>
    <s v="PA Hourly"/>
    <s v="T1019:U6"/>
    <x v="1"/>
    <x v="1"/>
    <x v="1"/>
    <m/>
    <n v="82"/>
    <n v="10482"/>
    <n v="58274.25"/>
    <n v="77"/>
    <n v="10227"/>
    <n v="56842.5"/>
    <x v="0"/>
  </r>
  <r>
    <n v="888"/>
    <x v="32"/>
    <s v="VillageCare CDPAP"/>
    <s v="MCO"/>
    <s v="CDPAP"/>
    <s v="PA Hourly Mutual"/>
    <s v="T1019:U7"/>
    <x v="10"/>
    <x v="1"/>
    <x v="1"/>
    <m/>
    <n v="5"/>
    <n v="94"/>
    <n v="711.75"/>
    <n v="5"/>
    <n v="94"/>
    <n v="711.75"/>
    <x v="0"/>
  </r>
  <r>
    <n v="889"/>
    <x v="32"/>
    <s v="VillageCare PCA"/>
    <s v="MLTC"/>
    <s v="MLTC"/>
    <s v="HHA Live In - S5126"/>
    <s v="S5126"/>
    <x v="8"/>
    <x v="0"/>
    <x v="2"/>
    <m/>
    <n v="1"/>
    <n v="98"/>
    <n v="1274"/>
    <n v="1"/>
    <n v="98"/>
    <n v="1274"/>
    <x v="0"/>
  </r>
  <r>
    <n v="890"/>
    <x v="32"/>
    <s v="VillageCare PCA"/>
    <s v="MLTC"/>
    <s v="MLTC"/>
    <s v="PCA - Live In"/>
    <s v="T1020"/>
    <x v="8"/>
    <x v="0"/>
    <x v="2"/>
    <m/>
    <n v="7"/>
    <n v="782"/>
    <n v="10166"/>
    <n v="7"/>
    <n v="782"/>
    <n v="10166"/>
    <x v="0"/>
  </r>
  <r>
    <n v="891"/>
    <x v="32"/>
    <s v="VillageCare PCA"/>
    <s v="MLTC"/>
    <s v="MLTC"/>
    <s v="PCA - Live In TV"/>
    <s v="T1020:TV"/>
    <x v="8"/>
    <x v="0"/>
    <x v="2"/>
    <m/>
    <n v="1"/>
    <n v="29"/>
    <n v="377"/>
    <n v="1"/>
    <n v="29"/>
    <n v="377"/>
    <x v="0"/>
  </r>
  <r>
    <n v="892"/>
    <x v="32"/>
    <s v="VillageCare PCA"/>
    <s v="MLTC"/>
    <s v="MLTC"/>
    <s v="PCA Cluster Care"/>
    <s v="T1019:U3"/>
    <x v="11"/>
    <x v="0"/>
    <x v="2"/>
    <m/>
    <n v="26"/>
    <n v="1366"/>
    <n v="3015.25"/>
    <n v="25"/>
    <n v="1364"/>
    <n v="3013.25"/>
    <x v="0"/>
  </r>
  <r>
    <n v="893"/>
    <x v="32"/>
    <s v="VillageCare PCA"/>
    <s v="MLTC"/>
    <s v="MLTC"/>
    <s v="PCA Hourly"/>
    <s v="T1019:U1"/>
    <x v="2"/>
    <x v="0"/>
    <x v="2"/>
    <m/>
    <n v="175"/>
    <n v="17892"/>
    <n v="102573.75"/>
    <n v="167"/>
    <n v="17616"/>
    <n v="101409.25"/>
    <x v="0"/>
  </r>
  <r>
    <n v="894"/>
    <x v="32"/>
    <s v="VillageCare PCA"/>
    <s v="MLTC"/>
    <s v="MLTC"/>
    <s v="PCA Hourly"/>
    <s v="T1019:U1:TV"/>
    <x v="2"/>
    <x v="0"/>
    <x v="2"/>
    <m/>
    <n v="59"/>
    <n v="2541"/>
    <n v="20202.75"/>
    <n v="57"/>
    <n v="2501"/>
    <n v="20031.75"/>
    <x v="0"/>
  </r>
  <r>
    <n v="895"/>
    <x v="32"/>
    <s v="VillageCare PCA"/>
    <s v="MLTC"/>
    <s v="MLTC"/>
    <s v="PCA Hourly TV"/>
    <s v="T1019:U1:TV"/>
    <x v="2"/>
    <x v="0"/>
    <x v="2"/>
    <m/>
    <n v="25"/>
    <n v="286"/>
    <n v="2015.25"/>
    <n v="23"/>
    <n v="275"/>
    <n v="1954.25"/>
    <x v="0"/>
  </r>
  <r>
    <n v="896"/>
    <x v="32"/>
    <s v="VillageCare PCA"/>
    <s v="MLTC"/>
    <s v="MLTC"/>
    <s v="PRN (NB)"/>
    <m/>
    <x v="3"/>
    <x v="0"/>
    <x v="2"/>
    <m/>
    <n v="8"/>
    <n v="10"/>
    <n v="10"/>
    <n v="8"/>
    <n v="10"/>
    <n v="10"/>
    <x v="1"/>
  </r>
  <r>
    <n v="897"/>
    <x v="32"/>
    <s v="VillageCare PCA"/>
    <s v="MLTC"/>
    <s v="MLTC"/>
    <s v="RN Initial (NB)"/>
    <m/>
    <x v="3"/>
    <x v="0"/>
    <x v="2"/>
    <m/>
    <n v="1"/>
    <n v="1"/>
    <n v="1"/>
    <n v="1"/>
    <n v="1"/>
    <n v="1"/>
    <x v="1"/>
  </r>
  <r>
    <n v="898"/>
    <x v="32"/>
    <s v="VillageCare PCA"/>
    <s v="MLTC"/>
    <s v="MLTC"/>
    <s v="RN Initial Visit"/>
    <s v="T1030"/>
    <x v="7"/>
    <x v="0"/>
    <x v="2"/>
    <m/>
    <n v="97"/>
    <n v="97"/>
    <n v="97"/>
    <n v="95"/>
    <n v="95"/>
    <n v="95"/>
    <x v="3"/>
  </r>
  <r>
    <n v="899"/>
    <x v="32"/>
    <s v="VillageCare PCA"/>
    <s v="MLTC"/>
    <s v="MLTC"/>
    <s v="RN Reassessment (NB)"/>
    <m/>
    <x v="3"/>
    <x v="0"/>
    <x v="2"/>
    <m/>
    <n v="90"/>
    <n v="141"/>
    <n v="141"/>
    <n v="88"/>
    <n v="139"/>
    <n v="139"/>
    <x v="1"/>
  </r>
  <r>
    <n v="900"/>
    <x v="32"/>
    <s v="VNS Health Health Plans (ANT)"/>
    <s v="MLTC"/>
    <s v="MLTC"/>
    <s v="PRN (NB)"/>
    <m/>
    <x v="3"/>
    <x v="0"/>
    <x v="2"/>
    <m/>
    <n v="7"/>
    <n v="8"/>
    <n v="8"/>
    <n v="7"/>
    <n v="8"/>
    <n v="8"/>
    <x v="1"/>
  </r>
  <r>
    <n v="901"/>
    <x v="32"/>
    <s v="VNS Health Health Plans (ANT)"/>
    <s v="MLTC"/>
    <s v="MLTC"/>
    <s v="RN - Initial Visit"/>
    <m/>
    <x v="3"/>
    <x v="0"/>
    <x v="2"/>
    <m/>
    <n v="1"/>
    <n v="1"/>
    <n v="1"/>
    <n v="1"/>
    <n v="1"/>
    <n v="1"/>
    <x v="3"/>
  </r>
  <r>
    <n v="902"/>
    <x v="32"/>
    <s v="VNS Health Health Plans (ANT)"/>
    <s v="MLTC"/>
    <s v="MLTC"/>
    <s v="RN Initial (NB)"/>
    <m/>
    <x v="3"/>
    <x v="0"/>
    <x v="2"/>
    <m/>
    <n v="33"/>
    <n v="33"/>
    <n v="33"/>
    <n v="30"/>
    <n v="30"/>
    <n v="30"/>
    <x v="1"/>
  </r>
  <r>
    <n v="903"/>
    <x v="32"/>
    <s v="VNS Health Health Plans (ANT)"/>
    <s v="MLTC"/>
    <s v="MLTC"/>
    <s v="RN Reassessment (NB)"/>
    <m/>
    <x v="3"/>
    <x v="0"/>
    <x v="2"/>
    <m/>
    <n v="44"/>
    <n v="76"/>
    <n v="76"/>
    <n v="43"/>
    <n v="74"/>
    <n v="74"/>
    <x v="1"/>
  </r>
  <r>
    <n v="904"/>
    <x v="32"/>
    <s v="VNS Health Health Plans (ANT)"/>
    <s v="MLTC"/>
    <s v="MLTC"/>
    <s v="T1019U1 BX"/>
    <s v="T1019:U1"/>
    <x v="2"/>
    <x v="0"/>
    <x v="2"/>
    <m/>
    <n v="2"/>
    <n v="141"/>
    <n v="1221.25"/>
    <n v="2"/>
    <n v="141"/>
    <n v="1221.25"/>
    <x v="0"/>
  </r>
  <r>
    <n v="905"/>
    <x v="32"/>
    <s v="VNS Health Health Plans (ANT)"/>
    <s v="MLTC"/>
    <s v="MLTC"/>
    <s v="T1019U1 NYC"/>
    <s v="T1019:U1"/>
    <x v="2"/>
    <x v="0"/>
    <x v="2"/>
    <m/>
    <n v="76"/>
    <n v="8940"/>
    <n v="53451.25"/>
    <n v="70"/>
    <n v="8528"/>
    <n v="50109.5"/>
    <x v="0"/>
  </r>
  <r>
    <n v="906"/>
    <x v="32"/>
    <s v="VNS Health Health Plans (ANT)"/>
    <s v="MLTC"/>
    <s v="MLTC"/>
    <s v="T1020 NYC"/>
    <s v="T1020"/>
    <x v="8"/>
    <x v="0"/>
    <x v="2"/>
    <m/>
    <n v="6"/>
    <n v="565"/>
    <n v="7345"/>
    <n v="6"/>
    <n v="565"/>
    <n v="7345"/>
    <x v="0"/>
  </r>
  <r>
    <n v="909"/>
    <x v="32"/>
    <s v="VNS Health Health Plans (CDP)"/>
    <s v="MLTC"/>
    <s v="CDPAP"/>
    <s v="T1019U6 BX"/>
    <s v="T1019:U6"/>
    <x v="1"/>
    <x v="1"/>
    <x v="1"/>
    <m/>
    <n v="1"/>
    <n v="26"/>
    <n v="208"/>
    <n v="1"/>
    <n v="26"/>
    <n v="208"/>
    <x v="0"/>
  </r>
  <r>
    <n v="910"/>
    <x v="32"/>
    <s v="VNS Health Health Plans (CDP)"/>
    <s v="MLTC"/>
    <s v="CDPAP"/>
    <s v="T1019U6 EDD"/>
    <s v="T1019:U6"/>
    <x v="1"/>
    <x v="1"/>
    <x v="1"/>
    <m/>
    <n v="1"/>
    <n v="366"/>
    <n v="1203.5"/>
    <n v="1"/>
    <n v="366"/>
    <n v="1203.5"/>
    <x v="0"/>
  </r>
  <r>
    <n v="911"/>
    <x v="32"/>
    <s v="VNS Health Health Plans (CDP)"/>
    <s v="MLTC"/>
    <s v="CDPAP"/>
    <s v="T1019U6 NYC"/>
    <s v="T1019:U6"/>
    <x v="1"/>
    <x v="1"/>
    <x v="1"/>
    <m/>
    <n v="37"/>
    <n v="6739"/>
    <n v="38329.75"/>
    <n v="31"/>
    <n v="6355"/>
    <n v="35543.75"/>
    <x v="0"/>
  </r>
  <r>
    <n v="912"/>
    <x v="32"/>
    <s v="VNS Health Health Plans (CDP)"/>
    <s v="MLTC"/>
    <s v="CDPAP"/>
    <s v="T1019U7 NYC"/>
    <s v="T1019:U7"/>
    <x v="10"/>
    <x v="1"/>
    <x v="1"/>
    <m/>
    <n v="4"/>
    <n v="293"/>
    <n v="2029.75"/>
    <n v="4"/>
    <n v="293"/>
    <n v="2029.75"/>
    <x v="0"/>
  </r>
  <r>
    <n v="913"/>
    <x v="32"/>
    <s v="Your Choice at Home"/>
    <s v="CHHA"/>
    <s v="CHHA"/>
    <s v="2610"/>
    <s v="2610"/>
    <x v="0"/>
    <x v="0"/>
    <x v="0"/>
    <s v="CHHA"/>
    <n v="3"/>
    <n v="92"/>
    <n v="717"/>
    <n v="3"/>
    <n v="92"/>
    <n v="717"/>
    <x v="0"/>
  </r>
  <r>
    <n v="917"/>
    <x v="33"/>
    <s v="Centers Plan For Healthy Living CDPAP "/>
    <s v="MLTC"/>
    <s v="CDPAP"/>
    <s v="PA Hourly - Erie/Niagara"/>
    <s v="T1019:U6"/>
    <x v="1"/>
    <x v="1"/>
    <x v="1"/>
    <m/>
    <n v="6"/>
    <n v="1551"/>
    <n v="5425.25"/>
    <n v="6"/>
    <n v="1551"/>
    <n v="5425.25"/>
    <x v="0"/>
  </r>
  <r>
    <n v="918"/>
    <x v="33"/>
    <s v="Elderwood Health Plan"/>
    <s v="MCO"/>
    <s v="CDPAP"/>
    <s v="PA Hourly"/>
    <s v="T1019:U6"/>
    <x v="1"/>
    <x v="1"/>
    <x v="1"/>
    <m/>
    <n v="1"/>
    <n v="36"/>
    <n v="360"/>
    <n v="1"/>
    <n v="36"/>
    <n v="360"/>
    <x v="0"/>
  </r>
  <r>
    <n v="920"/>
    <x v="33"/>
    <s v="Fidelis Care (CDP)"/>
    <s v="LHCSA"/>
    <s v="CDPAP"/>
    <s v="T1019:U6"/>
    <s v="T1019:U6"/>
    <x v="1"/>
    <x v="1"/>
    <x v="1"/>
    <m/>
    <n v="18"/>
    <n v="2221"/>
    <n v="9862"/>
    <n v="18"/>
    <n v="2221"/>
    <n v="9862"/>
    <x v="0"/>
  </r>
  <r>
    <n v="923"/>
    <x v="33"/>
    <s v="Nascentia Health Options CDPAP"/>
    <s v="MLTC"/>
    <s v="CDPAP"/>
    <s v="PA Hourly"/>
    <s v="T1019:U6"/>
    <x v="1"/>
    <x v="1"/>
    <x v="1"/>
    <m/>
    <n v="7"/>
    <n v="1206"/>
    <n v="6175.5"/>
    <n v="7"/>
    <n v="1206"/>
    <n v="6175.5"/>
    <x v="0"/>
  </r>
  <r>
    <n v="925"/>
    <x v="33"/>
    <s v="VNS Health Health Plans (CDP)"/>
    <s v="MLTC"/>
    <s v="CDPAP"/>
    <s v="T1019U6 NIA"/>
    <s v="T1019:U6"/>
    <x v="1"/>
    <x v="1"/>
    <x v="1"/>
    <m/>
    <n v="2"/>
    <n v="78"/>
    <n v="690.75"/>
    <n v="2"/>
    <n v="78"/>
    <n v="690.75"/>
    <x v="0"/>
  </r>
  <r>
    <n v="926"/>
    <x v="33"/>
    <s v="VNSNY CHOICE CDPAP"/>
    <s v="MLTC"/>
    <s v="CDPAP"/>
    <s v="PA Hourly"/>
    <s v="T1019:U6"/>
    <x v="1"/>
    <x v="1"/>
    <x v="1"/>
    <m/>
    <n v="1"/>
    <n v="18"/>
    <n v="180"/>
    <n v="1"/>
    <n v="18"/>
    <n v="180"/>
    <x v="0"/>
  </r>
  <r>
    <n v="928"/>
    <x v="34"/>
    <s v="Fidelis Care (CDP)"/>
    <s v="LHCSA"/>
    <s v="CDPAP"/>
    <s v="T1019:U6"/>
    <s v="T1019:U6"/>
    <x v="1"/>
    <x v="1"/>
    <x v="1"/>
    <m/>
    <n v="18"/>
    <n v="2974"/>
    <n v="10685.5"/>
    <n v="18"/>
    <n v="2974"/>
    <n v="10685.5"/>
    <x v="0"/>
  </r>
  <r>
    <n v="930"/>
    <x v="34"/>
    <s v="Nascentia Health Options CDPAP"/>
    <s v="MLTC"/>
    <s v="CDPAP"/>
    <s v="PA Hourly"/>
    <s v="T1019:U6"/>
    <x v="1"/>
    <x v="1"/>
    <x v="1"/>
    <m/>
    <n v="4"/>
    <n v="489"/>
    <n v="2170.75"/>
    <n v="4"/>
    <n v="489"/>
    <n v="2170.75"/>
    <x v="0"/>
  </r>
  <r>
    <n v="933"/>
    <x v="34"/>
    <s v="VNS Health Health Plans (CDP)"/>
    <s v="MLTC"/>
    <s v="CDPAP"/>
    <s v="T1019U6 ONE"/>
    <s v="T1019:U6"/>
    <x v="1"/>
    <x v="1"/>
    <x v="1"/>
    <m/>
    <n v="20"/>
    <n v="3776"/>
    <n v="14770.75"/>
    <n v="20"/>
    <n v="3776"/>
    <n v="14770.75"/>
    <x v="0"/>
  </r>
  <r>
    <n v="937"/>
    <x v="35"/>
    <s v="Fidelis Care (CDP)"/>
    <s v="LHCSA"/>
    <s v="CDPAP"/>
    <s v="T1019:U6"/>
    <s v="T1019:U6"/>
    <x v="1"/>
    <x v="1"/>
    <x v="1"/>
    <m/>
    <n v="37"/>
    <n v="5356"/>
    <n v="26517.25"/>
    <n v="36"/>
    <n v="5330"/>
    <n v="26407.25"/>
    <x v="0"/>
  </r>
  <r>
    <n v="938"/>
    <x v="35"/>
    <s v="Fidelis Care (CDP)"/>
    <s v="LHCSA"/>
    <s v="CDPAP"/>
    <s v="T1019:U7"/>
    <s v="T1019:U7"/>
    <x v="10"/>
    <x v="1"/>
    <x v="1"/>
    <m/>
    <n v="2"/>
    <n v="76"/>
    <n v="152"/>
    <n v="2"/>
    <n v="76"/>
    <n v="152"/>
    <x v="0"/>
  </r>
  <r>
    <n v="941"/>
    <x v="35"/>
    <s v="Nascentia Health Options CDPAP"/>
    <s v="MLTC"/>
    <s v="CDPAP"/>
    <s v="PA Hourly"/>
    <s v="T1019:U6"/>
    <x v="1"/>
    <x v="1"/>
    <x v="1"/>
    <m/>
    <n v="6"/>
    <n v="1295"/>
    <n v="5090"/>
    <n v="6"/>
    <n v="1295"/>
    <n v="5090"/>
    <x v="0"/>
  </r>
  <r>
    <n v="945"/>
    <x v="35"/>
    <s v="VNS Health Health Plans (CDP)"/>
    <s v="MLTC"/>
    <s v="CDPAP"/>
    <s v="T1019U6 ONO"/>
    <s v="T1019:U6"/>
    <x v="1"/>
    <x v="1"/>
    <x v="1"/>
    <m/>
    <n v="36"/>
    <n v="8423"/>
    <n v="34658.25"/>
    <n v="36"/>
    <n v="8423"/>
    <n v="34658.25"/>
    <x v="0"/>
  </r>
  <r>
    <n v="946"/>
    <x v="35"/>
    <s v="VNS Health Health Plans (CDP)"/>
    <s v="MLTC"/>
    <s v="CDPAP"/>
    <s v="T1019U7 ONO"/>
    <s v="T1019:U7"/>
    <x v="10"/>
    <x v="1"/>
    <x v="1"/>
    <m/>
    <n v="6"/>
    <n v="2178"/>
    <n v="19859"/>
    <n v="6"/>
    <n v="2178"/>
    <n v="19859"/>
    <x v="0"/>
  </r>
  <r>
    <n v="950"/>
    <x v="36"/>
    <s v="Fidelis Care (CDP)"/>
    <s v="LHCSA"/>
    <s v="CDPAP"/>
    <s v="T1019:U6"/>
    <s v="T1019:U6"/>
    <x v="1"/>
    <x v="1"/>
    <x v="1"/>
    <m/>
    <n v="7"/>
    <n v="1393"/>
    <n v="6954.5"/>
    <n v="7"/>
    <n v="1393"/>
    <n v="6954.5"/>
    <x v="0"/>
  </r>
  <r>
    <n v="953"/>
    <x v="36"/>
    <s v="Nascentia Health Options CDPAP"/>
    <s v="MLTC"/>
    <s v="CDPAP"/>
    <s v="PA Hourly"/>
    <s v="T1019:U6"/>
    <x v="1"/>
    <x v="1"/>
    <x v="1"/>
    <m/>
    <n v="4"/>
    <n v="891"/>
    <n v="4934.75"/>
    <n v="4"/>
    <n v="891"/>
    <n v="4934.75"/>
    <x v="0"/>
  </r>
  <r>
    <n v="955"/>
    <x v="37"/>
    <s v="Amerigroup (Empire) CDPAP"/>
    <s v="MLTC"/>
    <s v="CDPAP"/>
    <s v="PA HOURLY"/>
    <s v="T1019:U6"/>
    <x v="1"/>
    <x v="1"/>
    <x v="1"/>
    <m/>
    <n v="1"/>
    <n v="71"/>
    <n v="422.75"/>
    <n v="1"/>
    <n v="71"/>
    <n v="422.75"/>
    <x v="0"/>
  </r>
  <r>
    <n v="958"/>
    <x v="37"/>
    <s v="Elderplan MJHS (CDP)"/>
    <s v="MLTC"/>
    <s v="CDPAP"/>
    <s v="T1019:U6"/>
    <s v="T1019:U6"/>
    <x v="1"/>
    <x v="1"/>
    <x v="1"/>
    <m/>
    <n v="8"/>
    <n v="673"/>
    <n v="3447"/>
    <n v="7"/>
    <n v="644"/>
    <n v="3318.75"/>
    <x v="0"/>
  </r>
  <r>
    <n v="959"/>
    <x v="37"/>
    <s v="Fidelis Care (ANT)"/>
    <s v="LHCSA"/>
    <s v="MLTC"/>
    <s v="T1019:U1"/>
    <s v="T1019:U1"/>
    <x v="2"/>
    <x v="0"/>
    <x v="2"/>
    <m/>
    <n v="1"/>
    <n v="3"/>
    <n v="10.5"/>
    <n v="1"/>
    <n v="3"/>
    <n v="10.5"/>
    <x v="0"/>
  </r>
  <r>
    <n v="962"/>
    <x v="37"/>
    <s v="Fidelis Care (CDP)"/>
    <s v="LHCSA"/>
    <s v="CDPAP"/>
    <s v="T1019:U6"/>
    <s v="T1019:U6"/>
    <x v="1"/>
    <x v="1"/>
    <x v="1"/>
    <m/>
    <n v="9"/>
    <n v="1162"/>
    <n v="4331.75"/>
    <n v="9"/>
    <n v="1162"/>
    <n v="4331.75"/>
    <x v="0"/>
  </r>
  <r>
    <n v="963"/>
    <x v="37"/>
    <s v="Fidelis Care PCA (Non Live)"/>
    <s v="MLTC"/>
    <s v="MLTC"/>
    <s v="Rn initial assement"/>
    <s v="G0162"/>
    <x v="3"/>
    <x v="0"/>
    <x v="2"/>
    <m/>
    <n v="1"/>
    <n v="1"/>
    <n v="1"/>
    <n v="0"/>
    <n v="0"/>
    <n v="0"/>
    <x v="3"/>
  </r>
  <r>
    <n v="965"/>
    <x v="37"/>
    <s v="Hamaspik Choice (MLTC) CDPAP"/>
    <s v="MCO"/>
    <s v="CDPAP"/>
    <s v="PA Hourly - Mutual Upstate"/>
    <s v="T1019:U7"/>
    <x v="10"/>
    <x v="1"/>
    <x v="1"/>
    <m/>
    <n v="2"/>
    <n v="133"/>
    <n v="906.5"/>
    <n v="2"/>
    <n v="133"/>
    <n v="906.5"/>
    <x v="0"/>
  </r>
  <r>
    <n v="966"/>
    <x v="37"/>
    <s v="Hamaspik Choice (MLTC) CDPAP"/>
    <s v="MCO"/>
    <s v="CDPAP"/>
    <s v="PA Hourly Upstate"/>
    <s v="T1019:U6"/>
    <x v="1"/>
    <x v="1"/>
    <x v="1"/>
    <m/>
    <n v="5"/>
    <n v="1110"/>
    <n v="4694.75"/>
    <n v="5"/>
    <n v="1110"/>
    <n v="4694.75"/>
    <x v="0"/>
  </r>
  <r>
    <n v="969"/>
    <x v="37"/>
    <s v="Hamaspik MAP CDPAP"/>
    <s v="MCO"/>
    <s v="CDPAP"/>
    <s v="PA Hourly Upstate"/>
    <s v="T1019:U6"/>
    <x v="1"/>
    <x v="1"/>
    <x v="1"/>
    <m/>
    <n v="1"/>
    <n v="186"/>
    <n v="557"/>
    <n v="1"/>
    <n v="186"/>
    <n v="557"/>
    <x v="0"/>
  </r>
  <r>
    <n v="972"/>
    <x v="37"/>
    <s v="MVP Health Care CDPAP"/>
    <s v="MLTC"/>
    <s v="CDPAP"/>
    <s v="PA Hourly"/>
    <s v="T1019:U6"/>
    <x v="1"/>
    <x v="1"/>
    <x v="1"/>
    <m/>
    <n v="1"/>
    <n v="259"/>
    <n v="985"/>
    <n v="1"/>
    <n v="259"/>
    <n v="985"/>
    <x v="0"/>
  </r>
  <r>
    <n v="975"/>
    <x v="37"/>
    <s v="VNS Health Health Plans (CDP)"/>
    <s v="MLTC"/>
    <s v="CDPAP"/>
    <s v="T1019U6 ORA"/>
    <s v="T1019:U6"/>
    <x v="1"/>
    <x v="1"/>
    <x v="1"/>
    <m/>
    <n v="28"/>
    <n v="6842"/>
    <n v="32486"/>
    <n v="27"/>
    <n v="6826"/>
    <n v="32394"/>
    <x v="0"/>
  </r>
  <r>
    <n v="976"/>
    <x v="37"/>
    <s v="VNS Health Health Plans (CDP)"/>
    <s v="MLTC"/>
    <s v="CDPAP"/>
    <s v="T1019U6 ULS"/>
    <s v="T1019:U6"/>
    <x v="1"/>
    <x v="1"/>
    <x v="1"/>
    <m/>
    <n v="1"/>
    <n v="87"/>
    <n v="221.25"/>
    <n v="1"/>
    <n v="87"/>
    <n v="221.25"/>
    <x v="0"/>
  </r>
  <r>
    <n v="977"/>
    <x v="38"/>
    <s v="Elderwood Health Plan"/>
    <s v="MCO"/>
    <s v="CDPAP"/>
    <s v="PA Hourly"/>
    <s v="T1019:U6"/>
    <x v="1"/>
    <x v="1"/>
    <x v="1"/>
    <m/>
    <n v="2"/>
    <n v="102"/>
    <n v="582.5"/>
    <n v="2"/>
    <n v="102"/>
    <n v="582.5"/>
    <x v="0"/>
  </r>
  <r>
    <n v="979"/>
    <x v="38"/>
    <s v="Fidelis Care (CDP)"/>
    <s v="LHCSA"/>
    <s v="CDPAP"/>
    <s v="T1019:U6"/>
    <s v="T1019:U6"/>
    <x v="1"/>
    <x v="1"/>
    <x v="1"/>
    <m/>
    <n v="3"/>
    <n v="613"/>
    <n v="2834"/>
    <n v="3"/>
    <n v="613"/>
    <n v="2834"/>
    <x v="0"/>
  </r>
  <r>
    <n v="981"/>
    <x v="38"/>
    <s v="Nascentia Health Options CDPAP"/>
    <s v="MLTC"/>
    <s v="CDPAP"/>
    <s v="PA Hourly"/>
    <s v="T1019:U6"/>
    <x v="1"/>
    <x v="1"/>
    <x v="1"/>
    <m/>
    <n v="1"/>
    <n v="75"/>
    <n v="251.25"/>
    <n v="1"/>
    <n v="75"/>
    <n v="251.25"/>
    <x v="0"/>
  </r>
  <r>
    <n v="983"/>
    <x v="38"/>
    <s v="VNS Health Health Plans (CDP)"/>
    <s v="MLTC"/>
    <s v="CDPAP"/>
    <s v="T1019U6 ORL"/>
    <s v="T1019:U6"/>
    <x v="1"/>
    <x v="1"/>
    <x v="1"/>
    <m/>
    <n v="2"/>
    <n v="150"/>
    <n v="938.25"/>
    <n v="1"/>
    <n v="78"/>
    <n v="568.5"/>
    <x v="0"/>
  </r>
  <r>
    <n v="984"/>
    <x v="38"/>
    <s v="VNSNY CHOICE CDPAP"/>
    <s v="MLTC"/>
    <s v="CDPAP"/>
    <s v="PA Hourly"/>
    <s v="T1019:U6"/>
    <x v="1"/>
    <x v="1"/>
    <x v="1"/>
    <m/>
    <n v="2"/>
    <n v="58"/>
    <n v="357"/>
    <n v="2"/>
    <n v="58"/>
    <n v="357"/>
    <x v="0"/>
  </r>
  <r>
    <n v="987"/>
    <x v="39"/>
    <s v="Fidelis Care (CDP)"/>
    <s v="LHCSA"/>
    <s v="CDPAP"/>
    <s v="T1019:U6"/>
    <s v="T1019:U6"/>
    <x v="1"/>
    <x v="1"/>
    <x v="1"/>
    <m/>
    <n v="12"/>
    <n v="1669"/>
    <n v="8234"/>
    <n v="12"/>
    <n v="1669"/>
    <n v="8234"/>
    <x v="0"/>
  </r>
  <r>
    <n v="990"/>
    <x v="39"/>
    <s v="Nascentia Health Options CDPAP"/>
    <s v="MLTC"/>
    <s v="CDPAP"/>
    <s v="PA Hourly"/>
    <s v="T1019:U6"/>
    <x v="1"/>
    <x v="1"/>
    <x v="1"/>
    <m/>
    <n v="7"/>
    <n v="1206"/>
    <n v="6990.5"/>
    <n v="7"/>
    <n v="1206"/>
    <n v="6990.5"/>
    <x v="0"/>
  </r>
  <r>
    <n v="993"/>
    <x v="40"/>
    <s v="Fidelis Care (CDP)"/>
    <s v="LHCSA"/>
    <s v="CDPAP"/>
    <s v="T1019:U6"/>
    <s v="T1019:U6"/>
    <x v="1"/>
    <x v="1"/>
    <x v="1"/>
    <m/>
    <n v="5"/>
    <n v="457"/>
    <n v="2912.75"/>
    <n v="5"/>
    <n v="457"/>
    <n v="2912.75"/>
    <x v="0"/>
  </r>
  <r>
    <n v="995"/>
    <x v="40"/>
    <s v="Nascentia Health Options CDPAP"/>
    <s v="MLTC"/>
    <s v="CDPAP"/>
    <s v="PA Hourly"/>
    <s v="T1019:U6"/>
    <x v="1"/>
    <x v="1"/>
    <x v="1"/>
    <m/>
    <n v="2"/>
    <n v="387"/>
    <n v="1466.75"/>
    <n v="2"/>
    <n v="387"/>
    <n v="1466.75"/>
    <x v="0"/>
  </r>
  <r>
    <n v="998"/>
    <x v="40"/>
    <s v="VNS Health Health Plans (CDP)"/>
    <s v="MLTC"/>
    <s v="CDPAP"/>
    <s v="T1019U6 OTS"/>
    <s v="T1019:U6"/>
    <x v="1"/>
    <x v="1"/>
    <x v="1"/>
    <m/>
    <n v="3"/>
    <n v="548"/>
    <n v="2097.75"/>
    <n v="3"/>
    <n v="548"/>
    <n v="2097.75"/>
    <x v="0"/>
  </r>
  <r>
    <n v="1000"/>
    <x v="41"/>
    <s v="Amerigroup (Empire) CDPAP"/>
    <s v="MLTC"/>
    <s v="CDPAP"/>
    <s v="PA HOURLY"/>
    <s v="T1019:U6"/>
    <x v="1"/>
    <x v="1"/>
    <x v="1"/>
    <m/>
    <n v="1"/>
    <n v="6"/>
    <n v="30"/>
    <n v="1"/>
    <n v="6"/>
    <n v="30"/>
    <x v="0"/>
  </r>
  <r>
    <n v="1003"/>
    <x v="41"/>
    <s v="Elderplan MJHS (CDP)"/>
    <s v="MLTC"/>
    <s v="CDPAP"/>
    <s v="T1019:U6"/>
    <s v="T1019:U6"/>
    <x v="1"/>
    <x v="1"/>
    <x v="1"/>
    <m/>
    <n v="2"/>
    <n v="282"/>
    <n v="1597.5"/>
    <n v="2"/>
    <n v="282"/>
    <n v="1597.5"/>
    <x v="0"/>
  </r>
  <r>
    <n v="1005"/>
    <x v="41"/>
    <s v="Fidelis Care (CDP)"/>
    <s v="LHCSA"/>
    <s v="CDPAP"/>
    <s v="T1019:U6"/>
    <s v="T1019:U6"/>
    <x v="1"/>
    <x v="1"/>
    <x v="1"/>
    <m/>
    <n v="3"/>
    <n v="320"/>
    <n v="1093.75"/>
    <n v="3"/>
    <n v="320"/>
    <n v="1093.75"/>
    <x v="0"/>
  </r>
  <r>
    <n v="1006"/>
    <x v="3"/>
    <s v="Americare"/>
    <s v="CHHA"/>
    <s v="CHHA"/>
    <s v="HHA1"/>
    <s v="S9122"/>
    <x v="0"/>
    <x v="0"/>
    <x v="0"/>
    <s v="CHHA"/>
    <n v="31"/>
    <n v="748"/>
    <n v="2943.75"/>
    <n v="22"/>
    <n v="568"/>
    <n v="2258.5"/>
    <x v="0"/>
  </r>
  <r>
    <n v="1007"/>
    <x v="3"/>
    <s v="Americare"/>
    <s v="CHHA"/>
    <s v="CHHA"/>
    <s v="HHAPEDSV"/>
    <s v="S9122"/>
    <x v="0"/>
    <x v="0"/>
    <x v="0"/>
    <s v="CHHA"/>
    <n v="212"/>
    <n v="26991"/>
    <n v="181303"/>
    <n v="181"/>
    <n v="25501"/>
    <n v="171376"/>
    <x v="0"/>
  </r>
  <r>
    <n v="1009"/>
    <x v="3"/>
    <s v="Amerigroup (Empire) CDPAP"/>
    <s v="MLTC"/>
    <s v="CDPAP"/>
    <s v="PA HOURLY"/>
    <s v="T1019:U6"/>
    <x v="1"/>
    <x v="1"/>
    <x v="1"/>
    <m/>
    <n v="2"/>
    <n v="30"/>
    <n v="119.75"/>
    <n v="2"/>
    <n v="30"/>
    <n v="119.75"/>
    <x v="0"/>
  </r>
  <r>
    <n v="1010"/>
    <x v="3"/>
    <s v="Archcare Community Life CDPAP"/>
    <s v="MCO"/>
    <s v="CDPAP"/>
    <s v="PA Hourly"/>
    <s v="T1019:U6"/>
    <x v="1"/>
    <x v="1"/>
    <x v="1"/>
    <m/>
    <n v="5"/>
    <n v="358"/>
    <n v="1884.25"/>
    <n v="4"/>
    <n v="344"/>
    <n v="1780.25"/>
    <x v="0"/>
  </r>
  <r>
    <n v="1011"/>
    <x v="3"/>
    <s v="Archcare Community Life PCA"/>
    <s v="MCO"/>
    <s v="MLTC"/>
    <s v="PCA Hourly"/>
    <s v="T1019:U1"/>
    <x v="2"/>
    <x v="0"/>
    <x v="2"/>
    <m/>
    <n v="8"/>
    <n v="430"/>
    <n v="2439"/>
    <n v="7"/>
    <n v="387"/>
    <n v="2269.5"/>
    <x v="0"/>
  </r>
  <r>
    <n v="1012"/>
    <x v="3"/>
    <s v="Archcare Community Life PCA"/>
    <s v="MCO"/>
    <s v="MLTC"/>
    <s v="RN Initial (NB)"/>
    <m/>
    <x v="3"/>
    <x v="0"/>
    <x v="2"/>
    <m/>
    <n v="2"/>
    <n v="2"/>
    <n v="2"/>
    <n v="1"/>
    <n v="1"/>
    <n v="1"/>
    <x v="1"/>
  </r>
  <r>
    <n v="1013"/>
    <x v="3"/>
    <s v="Archcare Community Life PCA"/>
    <s v="MCO"/>
    <s v="MLTC"/>
    <s v="RN Reassessment (NB)"/>
    <m/>
    <x v="3"/>
    <x v="0"/>
    <x v="2"/>
    <m/>
    <n v="3"/>
    <n v="3"/>
    <n v="3"/>
    <n v="3"/>
    <n v="3"/>
    <n v="3"/>
    <x v="1"/>
  </r>
  <r>
    <n v="1014"/>
    <x v="3"/>
    <s v="Centerlight CHHA / Cassena Care At Home"/>
    <s v="CHHA"/>
    <s v="CHHA"/>
    <s v="HHA Hourly"/>
    <s v="HH11"/>
    <x v="0"/>
    <x v="0"/>
    <x v="0"/>
    <s v="CHHA"/>
    <n v="7"/>
    <n v="44"/>
    <n v="162.5"/>
    <n v="6"/>
    <n v="34"/>
    <n v="128.5"/>
    <x v="0"/>
  </r>
  <r>
    <n v="1015"/>
    <x v="3"/>
    <s v="CenterLight HealthCare (PACE) (ANT)"/>
    <s v="Other"/>
    <s v="MLTC"/>
    <s v="RN Initial (NB)"/>
    <m/>
    <x v="4"/>
    <x v="0"/>
    <x v="0"/>
    <m/>
    <n v="1"/>
    <n v="1"/>
    <n v="1"/>
    <n v="1"/>
    <n v="1"/>
    <n v="1"/>
    <x v="1"/>
  </r>
  <r>
    <n v="1016"/>
    <x v="3"/>
    <s v="CenterLight HealthCare (PACE) (ANT)"/>
    <s v="Other"/>
    <s v="MLTC"/>
    <s v="T1019:U1"/>
    <s v="T1019:U1"/>
    <x v="4"/>
    <x v="0"/>
    <x v="0"/>
    <m/>
    <n v="1"/>
    <n v="8"/>
    <n v="36.25"/>
    <n v="1"/>
    <n v="8"/>
    <n v="36.25"/>
    <x v="0"/>
  </r>
  <r>
    <n v="1017"/>
    <x v="3"/>
    <s v="CenterLight HealthCare (PACE) (CDP)"/>
    <s v="Other"/>
    <s v="CDPAP"/>
    <s v="T1019:U6"/>
    <s v="T1019:U6"/>
    <x v="4"/>
    <x v="0"/>
    <x v="0"/>
    <m/>
    <n v="2"/>
    <n v="253"/>
    <n v="2034.5"/>
    <n v="2"/>
    <n v="253"/>
    <n v="2034.5"/>
    <x v="0"/>
  </r>
  <r>
    <n v="1018"/>
    <x v="3"/>
    <s v="Centers Plan For Health Living PCA"/>
    <s v="MLTC"/>
    <s v="MLTC"/>
    <s v="PCA Hourly"/>
    <s v="T1019:U1"/>
    <x v="2"/>
    <x v="0"/>
    <x v="2"/>
    <m/>
    <n v="90"/>
    <n v="10993"/>
    <n v="52611"/>
    <n v="87"/>
    <n v="10869"/>
    <n v="51726.75"/>
    <x v="0"/>
  </r>
  <r>
    <n v="1019"/>
    <x v="3"/>
    <s v="Centers Plan For Health Living PCA"/>
    <s v="MLTC"/>
    <s v="MLTC"/>
    <s v="PCA Live-In"/>
    <s v="T1020"/>
    <x v="8"/>
    <x v="0"/>
    <x v="2"/>
    <m/>
    <n v="1"/>
    <n v="23"/>
    <n v="299"/>
    <n v="1"/>
    <n v="23"/>
    <n v="299"/>
    <x v="0"/>
  </r>
  <r>
    <n v="1020"/>
    <x v="3"/>
    <s v="Centers Plan For Health Living PCA"/>
    <s v="MLTC"/>
    <s v="MLTC"/>
    <s v="PRN (NB)"/>
    <m/>
    <x v="3"/>
    <x v="0"/>
    <x v="2"/>
    <m/>
    <n v="2"/>
    <n v="2"/>
    <n v="2"/>
    <n v="2"/>
    <n v="2"/>
    <n v="2"/>
    <x v="1"/>
  </r>
  <r>
    <n v="1021"/>
    <x v="3"/>
    <s v="Centers Plan For Health Living PCA"/>
    <s v="MLTC"/>
    <s v="MLTC"/>
    <s v="RN Initial (NB)"/>
    <m/>
    <x v="3"/>
    <x v="0"/>
    <x v="2"/>
    <m/>
    <n v="49"/>
    <n v="49"/>
    <n v="49"/>
    <n v="48"/>
    <n v="48"/>
    <n v="48"/>
    <x v="1"/>
  </r>
  <r>
    <n v="1022"/>
    <x v="3"/>
    <s v="Centers Plan For Health Living PCA"/>
    <s v="MLTC"/>
    <s v="MLTC"/>
    <s v="RN Reassessment (NB)"/>
    <m/>
    <x v="3"/>
    <x v="0"/>
    <x v="2"/>
    <m/>
    <n v="41"/>
    <n v="61"/>
    <n v="61"/>
    <n v="41"/>
    <n v="61"/>
    <n v="61"/>
    <x v="1"/>
  </r>
  <r>
    <n v="1025"/>
    <x v="3"/>
    <s v="Centers Plan For Healthy Living CDPAP "/>
    <s v="MLTC"/>
    <s v="CDPAP"/>
    <s v="PA Hourly - 5 Boroughs"/>
    <s v="T1019:U6"/>
    <x v="1"/>
    <x v="1"/>
    <x v="1"/>
    <m/>
    <n v="85"/>
    <n v="16110"/>
    <n v="66145.5"/>
    <n v="80"/>
    <n v="15847"/>
    <n v="64895"/>
    <x v="0"/>
  </r>
  <r>
    <n v="1026"/>
    <x v="3"/>
    <s v="Centers Plan For Healthy Living CDPAP "/>
    <s v="MLTC"/>
    <s v="CDPAP"/>
    <s v="PA Hourly - Nassau/Suffolk/Westchester:"/>
    <s v="T1019:U6"/>
    <x v="1"/>
    <x v="1"/>
    <x v="1"/>
    <m/>
    <n v="2"/>
    <n v="253"/>
    <n v="1462.5"/>
    <n v="2"/>
    <n v="253"/>
    <n v="1462.5"/>
    <x v="0"/>
  </r>
  <r>
    <n v="1027"/>
    <x v="3"/>
    <s v="Elderplan MJHS (ANT)"/>
    <s v="MLTC"/>
    <s v="MLTC"/>
    <s v="PRN (NB)"/>
    <m/>
    <x v="3"/>
    <x v="0"/>
    <x v="2"/>
    <m/>
    <n v="3"/>
    <n v="3"/>
    <n v="3"/>
    <n v="3"/>
    <n v="3"/>
    <n v="3"/>
    <x v="1"/>
  </r>
  <r>
    <n v="1028"/>
    <x v="3"/>
    <s v="Elderplan MJHS (ANT)"/>
    <s v="MLTC"/>
    <s v="MLTC"/>
    <s v="RN Initial (NB)"/>
    <m/>
    <x v="3"/>
    <x v="0"/>
    <x v="2"/>
    <m/>
    <n v="16"/>
    <n v="16"/>
    <n v="16"/>
    <n v="14"/>
    <n v="14"/>
    <n v="14"/>
    <x v="1"/>
  </r>
  <r>
    <n v="1029"/>
    <x v="3"/>
    <s v="Elderplan MJHS (ANT)"/>
    <s v="MLTC"/>
    <s v="MLTC"/>
    <s v="RN Reassessment (NB)"/>
    <m/>
    <x v="3"/>
    <x v="0"/>
    <x v="2"/>
    <m/>
    <n v="11"/>
    <n v="17"/>
    <n v="17"/>
    <n v="11"/>
    <n v="17"/>
    <n v="17"/>
    <x v="1"/>
  </r>
  <r>
    <n v="1030"/>
    <x v="3"/>
    <s v="Elderplan MJHS (ANT)"/>
    <s v="MLTC"/>
    <s v="MLTC"/>
    <s v="T1019:U1"/>
    <s v="T1019:U1"/>
    <x v="2"/>
    <x v="0"/>
    <x v="2"/>
    <m/>
    <n v="30"/>
    <n v="2971"/>
    <n v="13954.25"/>
    <n v="27"/>
    <n v="2808"/>
    <n v="13007"/>
    <x v="0"/>
  </r>
  <r>
    <n v="1031"/>
    <x v="3"/>
    <s v="Elderplan MJHS (ANT)"/>
    <s v="MLTC"/>
    <s v="MLTC"/>
    <s v="T1020"/>
    <s v="T1020"/>
    <x v="8"/>
    <x v="0"/>
    <x v="2"/>
    <m/>
    <n v="1"/>
    <n v="25"/>
    <n v="325"/>
    <n v="1"/>
    <n v="25"/>
    <n v="325"/>
    <x v="0"/>
  </r>
  <r>
    <n v="1034"/>
    <x v="3"/>
    <s v="Elderplan MJHS (CDP)"/>
    <s v="MLTC"/>
    <s v="CDPAP"/>
    <s v="RN Initial (NB)"/>
    <m/>
    <x v="3"/>
    <x v="0"/>
    <x v="2"/>
    <m/>
    <n v="1"/>
    <n v="1"/>
    <n v="1"/>
    <n v="1"/>
    <n v="1"/>
    <n v="1"/>
    <x v="1"/>
  </r>
  <r>
    <n v="1035"/>
    <x v="3"/>
    <s v="Elderplan MJHS (CDP)"/>
    <s v="MLTC"/>
    <s v="CDPAP"/>
    <s v="T1019:U6"/>
    <s v="T1019:U6"/>
    <x v="1"/>
    <x v="1"/>
    <x v="1"/>
    <m/>
    <n v="22"/>
    <n v="3135"/>
    <n v="15123.75"/>
    <n v="22"/>
    <n v="3135"/>
    <n v="15123.75"/>
    <x v="0"/>
  </r>
  <r>
    <n v="1038"/>
    <x v="3"/>
    <s v="ElderServe/Riverspring (CDPAP)"/>
    <s v="MLTC"/>
    <s v="CDPAP"/>
    <s v="PA Hourly"/>
    <s v="T1019:U6"/>
    <x v="1"/>
    <x v="1"/>
    <x v="1"/>
    <m/>
    <n v="10"/>
    <n v="1798"/>
    <n v="10335.5"/>
    <n v="10"/>
    <n v="1798"/>
    <n v="10335.5"/>
    <x v="0"/>
  </r>
  <r>
    <n v="1039"/>
    <x v="3"/>
    <s v="ElderServe/Riverspring (CDPAP)"/>
    <s v="MLTC"/>
    <s v="CDPAP"/>
    <s v="PA Hourly Mutual"/>
    <s v="T1019:U7"/>
    <x v="10"/>
    <x v="1"/>
    <x v="1"/>
    <m/>
    <n v="2"/>
    <n v="476"/>
    <n v="1888.75"/>
    <n v="2"/>
    <n v="476"/>
    <n v="1888.75"/>
    <x v="0"/>
  </r>
  <r>
    <n v="1040"/>
    <x v="3"/>
    <s v="ElderServe/Riverspring (PCA)"/>
    <s v="MLTC"/>
    <s v="MLTC"/>
    <s v="PCA Hourly NYC"/>
    <s v="T1019:U1"/>
    <x v="2"/>
    <x v="0"/>
    <x v="2"/>
    <m/>
    <n v="6"/>
    <n v="323"/>
    <n v="1309.25"/>
    <n v="6"/>
    <n v="323"/>
    <n v="1309.25"/>
    <x v="0"/>
  </r>
  <r>
    <n v="1041"/>
    <x v="3"/>
    <s v="ElderServe/Riverspring (PCA)"/>
    <s v="MLTC"/>
    <s v="MLTC"/>
    <s v="PCA Live-In NYC"/>
    <s v="T1020"/>
    <x v="8"/>
    <x v="0"/>
    <x v="2"/>
    <m/>
    <n v="1"/>
    <n v="4"/>
    <n v="52"/>
    <n v="1"/>
    <n v="4"/>
    <n v="52"/>
    <x v="0"/>
  </r>
  <r>
    <n v="1042"/>
    <x v="3"/>
    <s v="ElderServe/Riverspring (PCA)"/>
    <s v="MLTC"/>
    <s v="MLTC"/>
    <s v="RN Initial (NB)"/>
    <m/>
    <x v="3"/>
    <x v="0"/>
    <x v="2"/>
    <m/>
    <n v="3"/>
    <n v="3"/>
    <n v="3"/>
    <n v="3"/>
    <n v="3"/>
    <n v="3"/>
    <x v="1"/>
  </r>
  <r>
    <n v="1043"/>
    <x v="3"/>
    <s v="ElderServe/Riverspring (PCA)"/>
    <s v="MLTC"/>
    <s v="MLTC"/>
    <s v="RN Reassessment (NB)"/>
    <m/>
    <x v="3"/>
    <x v="0"/>
    <x v="2"/>
    <m/>
    <n v="1"/>
    <n v="2"/>
    <n v="2"/>
    <n v="1"/>
    <n v="2"/>
    <n v="2"/>
    <x v="1"/>
  </r>
  <r>
    <n v="1046"/>
    <x v="3"/>
    <s v="Empire Blue Cross Blue Shield (CDPAP)"/>
    <s v="Other"/>
    <s v="CDPAP"/>
    <s v="PA Hourly (New)"/>
    <s v="T1019:U6"/>
    <x v="1"/>
    <x v="1"/>
    <x v="1"/>
    <m/>
    <n v="47"/>
    <n v="10212"/>
    <n v="64790.5"/>
    <n v="46"/>
    <n v="10148"/>
    <n v="64410.5"/>
    <x v="0"/>
  </r>
  <r>
    <n v="1047"/>
    <x v="3"/>
    <s v="Empire Blue Cross Blue Shield (PCA)"/>
    <s v="Other"/>
    <s v="MLTC"/>
    <s v="PCA Hourly NYC"/>
    <s v="T1019:U1"/>
    <x v="2"/>
    <x v="0"/>
    <x v="2"/>
    <m/>
    <n v="31"/>
    <n v="3736"/>
    <n v="26311.25"/>
    <n v="30"/>
    <n v="3659"/>
    <n v="25853.75"/>
    <x v="0"/>
  </r>
  <r>
    <n v="1048"/>
    <x v="3"/>
    <s v="Empire Blue Cross Blue Shield (PCA)"/>
    <s v="Other"/>
    <s v="MLTC"/>
    <s v="PCA Live In"/>
    <s v="T1020"/>
    <x v="8"/>
    <x v="0"/>
    <x v="2"/>
    <m/>
    <n v="4"/>
    <n v="420"/>
    <n v="5460"/>
    <n v="4"/>
    <n v="420"/>
    <n v="5460"/>
    <x v="0"/>
  </r>
  <r>
    <n v="1049"/>
    <x v="3"/>
    <s v="Empire Blue Cross Blue Shield (PCA)"/>
    <s v="Other"/>
    <s v="MLTC"/>
    <s v="PRN (NB)"/>
    <m/>
    <x v="3"/>
    <x v="0"/>
    <x v="2"/>
    <m/>
    <n v="3"/>
    <n v="4"/>
    <n v="4"/>
    <n v="3"/>
    <n v="4"/>
    <n v="4"/>
    <x v="1"/>
  </r>
  <r>
    <n v="1050"/>
    <x v="3"/>
    <s v="Empire Blue Cross Blue Shield (PCA)"/>
    <s v="Other"/>
    <s v="MLTC"/>
    <s v="RN Initial (NB)"/>
    <m/>
    <x v="3"/>
    <x v="0"/>
    <x v="2"/>
    <m/>
    <n v="18"/>
    <n v="19"/>
    <n v="19"/>
    <n v="18"/>
    <n v="19"/>
    <n v="19"/>
    <x v="1"/>
  </r>
  <r>
    <n v="1051"/>
    <x v="3"/>
    <s v="Empire Blue Cross Blue Shield (PCA)"/>
    <s v="Other"/>
    <s v="MLTC"/>
    <s v="RN Reassessment (NB)"/>
    <m/>
    <x v="3"/>
    <x v="0"/>
    <x v="2"/>
    <m/>
    <n v="16"/>
    <n v="22"/>
    <n v="22"/>
    <n v="16"/>
    <n v="22"/>
    <n v="22"/>
    <x v="1"/>
  </r>
  <r>
    <n v="1052"/>
    <x v="3"/>
    <s v="Excellent Home Care Services"/>
    <s v="CHHA"/>
    <s v="CHHA"/>
    <s v="Rate3"/>
    <m/>
    <x v="0"/>
    <x v="0"/>
    <x v="0"/>
    <s v="CHHA"/>
    <n v="42"/>
    <n v="5305"/>
    <n v="25873.25"/>
    <n v="38"/>
    <n v="5174"/>
    <n v="25339.25"/>
    <x v="0"/>
  </r>
  <r>
    <n v="1053"/>
    <x v="3"/>
    <s v="Extended Home Care"/>
    <s v="CHHA"/>
    <s v="CHHA"/>
    <s v="PedCode95"/>
    <s v="-"/>
    <x v="0"/>
    <x v="0"/>
    <x v="0"/>
    <s v="CHHA"/>
    <n v="25"/>
    <n v="1370"/>
    <n v="9517"/>
    <n v="21"/>
    <n v="1187"/>
    <n v="8372.75"/>
    <x v="0"/>
  </r>
  <r>
    <n v="1054"/>
    <x v="3"/>
    <s v="Extended Home Care"/>
    <s v="CHHA"/>
    <s v="CHHA"/>
    <s v="Rate1"/>
    <m/>
    <x v="0"/>
    <x v="0"/>
    <x v="0"/>
    <s v="CHHA"/>
    <n v="78"/>
    <n v="5090"/>
    <n v="24045.5"/>
    <n v="68"/>
    <n v="4940"/>
    <n v="23298.75"/>
    <x v="0"/>
  </r>
  <r>
    <n v="1055"/>
    <x v="3"/>
    <s v="Extended Home Care"/>
    <s v="CHHA"/>
    <s v="CHHA"/>
    <s v="Rate4HMO"/>
    <s v="0"/>
    <x v="0"/>
    <x v="0"/>
    <x v="0"/>
    <s v="CHHA"/>
    <n v="1"/>
    <n v="70"/>
    <n v="279.25"/>
    <n v="1"/>
    <n v="70"/>
    <n v="279.25"/>
    <x v="0"/>
  </r>
  <r>
    <n v="1057"/>
    <x v="3"/>
    <s v="Fidelis Care (ANT)"/>
    <s v="LHCSA"/>
    <s v="MLTC"/>
    <s v="PRN (NB)"/>
    <m/>
    <x v="3"/>
    <x v="0"/>
    <x v="2"/>
    <m/>
    <n v="10"/>
    <n v="12"/>
    <n v="12"/>
    <n v="10"/>
    <n v="12"/>
    <n v="12"/>
    <x v="1"/>
  </r>
  <r>
    <n v="1058"/>
    <x v="3"/>
    <s v="Fidelis Care (ANT)"/>
    <s v="LHCSA"/>
    <s v="MLTC"/>
    <s v="RN Initial (NB)"/>
    <m/>
    <x v="3"/>
    <x v="0"/>
    <x v="2"/>
    <m/>
    <n v="60"/>
    <n v="60"/>
    <n v="60"/>
    <n v="58"/>
    <n v="58"/>
    <n v="58"/>
    <x v="1"/>
  </r>
  <r>
    <n v="1059"/>
    <x v="3"/>
    <s v="Fidelis Care (ANT)"/>
    <s v="LHCSA"/>
    <s v="MLTC"/>
    <s v="RN Initial Assement"/>
    <s v="T2024"/>
    <x v="3"/>
    <x v="0"/>
    <x v="2"/>
    <m/>
    <n v="29"/>
    <n v="29"/>
    <n v="29"/>
    <n v="26"/>
    <n v="26"/>
    <n v="26"/>
    <x v="3"/>
  </r>
  <r>
    <n v="1060"/>
    <x v="3"/>
    <s v="Fidelis Care (ANT)"/>
    <s v="LHCSA"/>
    <s v="MLTC"/>
    <s v="Rn re-assessment"/>
    <m/>
    <x v="3"/>
    <x v="0"/>
    <x v="2"/>
    <m/>
    <n v="1"/>
    <n v="1"/>
    <n v="1"/>
    <n v="1"/>
    <n v="1"/>
    <n v="1"/>
    <x v="3"/>
  </r>
  <r>
    <n v="1061"/>
    <x v="3"/>
    <s v="Fidelis Care (ANT)"/>
    <s v="LHCSA"/>
    <s v="MLTC"/>
    <s v="RN Reassessment (NB)"/>
    <m/>
    <x v="3"/>
    <x v="0"/>
    <x v="2"/>
    <m/>
    <n v="61"/>
    <n v="77"/>
    <n v="77"/>
    <n v="59"/>
    <n v="75"/>
    <n v="75"/>
    <x v="1"/>
  </r>
  <r>
    <n v="1062"/>
    <x v="3"/>
    <s v="Fidelis Care (ANT)"/>
    <s v="LHCSA"/>
    <s v="MLTC"/>
    <s v="S5130:U1"/>
    <s v="S5130:U1::::Homemaker"/>
    <x v="6"/>
    <x v="0"/>
    <x v="2"/>
    <m/>
    <n v="4"/>
    <n v="52"/>
    <n v="306.75"/>
    <n v="3"/>
    <n v="31"/>
    <n v="138.75"/>
    <x v="0"/>
  </r>
  <r>
    <n v="1063"/>
    <x v="3"/>
    <s v="Fidelis Care (ANT)"/>
    <s v="LHCSA"/>
    <s v="MLTC"/>
    <s v="T1019:U1"/>
    <s v="T1019:U1"/>
    <x v="2"/>
    <x v="0"/>
    <x v="2"/>
    <m/>
    <n v="142"/>
    <n v="14733"/>
    <n v="79489"/>
    <n v="133"/>
    <n v="14314"/>
    <n v="77412.25"/>
    <x v="0"/>
  </r>
  <r>
    <n v="1064"/>
    <x v="3"/>
    <s v="Fidelis Care (ANT)"/>
    <s v="LHCSA"/>
    <s v="MLTC"/>
    <s v="T1019:U6"/>
    <s v="T1019:U6"/>
    <x v="1"/>
    <x v="1"/>
    <x v="1"/>
    <m/>
    <n v="3"/>
    <n v="157"/>
    <n v="703.5"/>
    <n v="3"/>
    <n v="157"/>
    <n v="703.5"/>
    <x v="0"/>
  </r>
  <r>
    <n v="1065"/>
    <x v="3"/>
    <s v="Fidelis Care (ANT)"/>
    <s v="LHCSA"/>
    <s v="MLTC"/>
    <s v="T1020"/>
    <s v="T1020"/>
    <x v="8"/>
    <x v="0"/>
    <x v="2"/>
    <m/>
    <n v="3"/>
    <n v="303"/>
    <n v="3939"/>
    <n v="3"/>
    <n v="303"/>
    <n v="3939"/>
    <x v="0"/>
  </r>
  <r>
    <n v="1070"/>
    <x v="3"/>
    <s v="Fidelis Care (CDP)"/>
    <s v="LHCSA"/>
    <s v="CDPAP"/>
    <s v="T1019:U1"/>
    <s v="T1019:U1"/>
    <x v="2"/>
    <x v="0"/>
    <x v="2"/>
    <m/>
    <n v="1"/>
    <n v="1"/>
    <n v="1"/>
    <n v="1"/>
    <n v="1"/>
    <n v="1"/>
    <x v="0"/>
  </r>
  <r>
    <n v="1071"/>
    <x v="3"/>
    <s v="Fidelis Care (CDP)"/>
    <s v="LHCSA"/>
    <s v="CDPAP"/>
    <s v="T1019:U6"/>
    <s v="T1019:U6"/>
    <x v="1"/>
    <x v="1"/>
    <x v="1"/>
    <m/>
    <n v="99"/>
    <n v="13026"/>
    <n v="72370.5"/>
    <n v="94"/>
    <n v="12839"/>
    <n v="71248"/>
    <x v="0"/>
  </r>
  <r>
    <n v="1072"/>
    <x v="3"/>
    <s v="Fidelis Care PCA (Non Live)"/>
    <s v="MLTC"/>
    <s v="MLTC"/>
    <s v="RN Initial (NB)"/>
    <s v="G0162"/>
    <x v="3"/>
    <x v="0"/>
    <x v="2"/>
    <m/>
    <n v="8"/>
    <n v="8"/>
    <n v="8"/>
    <n v="8"/>
    <n v="8"/>
    <n v="8"/>
    <x v="1"/>
  </r>
  <r>
    <n v="1073"/>
    <x v="3"/>
    <s v="Fidelis Care PCA (Non Live)"/>
    <s v="MLTC"/>
    <s v="MLTC"/>
    <s v="Rn initial assement"/>
    <s v="G0162"/>
    <x v="3"/>
    <x v="0"/>
    <x v="2"/>
    <m/>
    <n v="3"/>
    <n v="3"/>
    <n v="3"/>
    <n v="3"/>
    <n v="3"/>
    <n v="3"/>
    <x v="3"/>
  </r>
  <r>
    <n v="1074"/>
    <x v="3"/>
    <s v="Fidelis Care PCA (Non Live)"/>
    <s v="MLTC"/>
    <s v="MLTC"/>
    <s v="RN Reassessment (NB)"/>
    <m/>
    <x v="3"/>
    <x v="0"/>
    <x v="2"/>
    <m/>
    <n v="2"/>
    <n v="2"/>
    <n v="2"/>
    <n v="2"/>
    <n v="2"/>
    <n v="2"/>
    <x v="1"/>
  </r>
  <r>
    <n v="1075"/>
    <x v="3"/>
    <s v="Girling Health Care Of New York"/>
    <s v="CHHA"/>
    <s v="CHHA"/>
    <s v="Rate1"/>
    <m/>
    <x v="0"/>
    <x v="0"/>
    <x v="0"/>
    <s v="CHHA"/>
    <n v="37"/>
    <n v="1303"/>
    <n v="6074.25"/>
    <n v="29"/>
    <n v="1168"/>
    <n v="5534.75"/>
    <x v="0"/>
  </r>
  <r>
    <n v="1076"/>
    <x v="3"/>
    <s v="Girling Health Care Of New York"/>
    <s v="CHHA"/>
    <s v="CHHA"/>
    <s v="Rate4"/>
    <m/>
    <x v="0"/>
    <x v="0"/>
    <x v="0"/>
    <s v="CHHA"/>
    <n v="7"/>
    <n v="34"/>
    <n v="126"/>
    <n v="5"/>
    <n v="20"/>
    <n v="70.25"/>
    <x v="0"/>
  </r>
  <r>
    <n v="1078"/>
    <x v="3"/>
    <s v="Hamaspik Choice (MLTC) CDPAP"/>
    <s v="MCO"/>
    <s v="CDPAP"/>
    <s v="PA Hourly NYC , Nassau, Westchester"/>
    <s v="T1019:U6"/>
    <x v="1"/>
    <x v="1"/>
    <x v="1"/>
    <m/>
    <n v="2"/>
    <n v="143"/>
    <n v="834.75"/>
    <n v="2"/>
    <n v="143"/>
    <n v="834.75"/>
    <x v="0"/>
  </r>
  <r>
    <n v="1080"/>
    <x v="3"/>
    <s v="Hamaspik Choice MLTC (PCA)"/>
    <s v="MLTC"/>
    <s v="MLTC"/>
    <s v="PCA Hourly"/>
    <s v="T1019:U1"/>
    <x v="2"/>
    <x v="0"/>
    <x v="2"/>
    <m/>
    <n v="8"/>
    <n v="472"/>
    <n v="1950"/>
    <n v="8"/>
    <n v="472"/>
    <n v="1950"/>
    <x v="0"/>
  </r>
  <r>
    <n v="1081"/>
    <x v="3"/>
    <s v="Hamaspik Choice MLTC (PCA)"/>
    <s v="MLTC"/>
    <s v="MLTC"/>
    <s v="RN Initial (NB)"/>
    <m/>
    <x v="3"/>
    <x v="0"/>
    <x v="2"/>
    <m/>
    <n v="4"/>
    <n v="4"/>
    <n v="4"/>
    <n v="4"/>
    <n v="4"/>
    <n v="4"/>
    <x v="1"/>
  </r>
  <r>
    <n v="1082"/>
    <x v="3"/>
    <s v="Hamaspik Choice MLTC (PCA)"/>
    <s v="MLTC"/>
    <s v="MLTC"/>
    <s v="RN Reassessment (NB)"/>
    <m/>
    <x v="3"/>
    <x v="0"/>
    <x v="2"/>
    <m/>
    <n v="1"/>
    <n v="1"/>
    <n v="1"/>
    <n v="1"/>
    <n v="1"/>
    <n v="1"/>
    <x v="1"/>
  </r>
  <r>
    <n v="1085"/>
    <x v="3"/>
    <s v="Hamaspik MAP CDPAP"/>
    <s v="MCO"/>
    <s v="CDPAP"/>
    <s v="PA Hourly (NYC, LI, &amp; Westchester)"/>
    <s v="T1019:U6"/>
    <x v="1"/>
    <x v="1"/>
    <x v="1"/>
    <m/>
    <n v="5"/>
    <n v="941"/>
    <n v="5867.5"/>
    <n v="4"/>
    <n v="876"/>
    <n v="5259.75"/>
    <x v="0"/>
  </r>
  <r>
    <n v="1088"/>
    <x v="3"/>
    <s v="Hamaspik MAP PCA"/>
    <s v="MCO"/>
    <s v="MLTC"/>
    <s v="PCA Hourly"/>
    <s v="T1019:U1"/>
    <x v="2"/>
    <x v="0"/>
    <x v="2"/>
    <m/>
    <n v="8"/>
    <n v="715"/>
    <n v="3723.5"/>
    <n v="8"/>
    <n v="715"/>
    <n v="3723.5"/>
    <x v="0"/>
  </r>
  <r>
    <n v="1089"/>
    <x v="3"/>
    <s v="Hamaspik MAP PCA"/>
    <s v="MCO"/>
    <s v="MLTC"/>
    <s v="RN Initial (NB)"/>
    <m/>
    <x v="3"/>
    <x v="0"/>
    <x v="2"/>
    <m/>
    <n v="3"/>
    <n v="3"/>
    <n v="3"/>
    <n v="3"/>
    <n v="3"/>
    <n v="3"/>
    <x v="1"/>
  </r>
  <r>
    <n v="1090"/>
    <x v="3"/>
    <s v="Hamaspik MAP PCA"/>
    <s v="MCO"/>
    <s v="MLTC"/>
    <s v="RN Reassessment (NB)"/>
    <m/>
    <x v="3"/>
    <x v="0"/>
    <x v="2"/>
    <m/>
    <n v="2"/>
    <n v="4"/>
    <n v="4"/>
    <n v="2"/>
    <n v="4"/>
    <n v="4"/>
    <x v="1"/>
  </r>
  <r>
    <n v="1091"/>
    <x v="3"/>
    <s v="Healthfirst (ANT)"/>
    <s v="CHHA"/>
    <s v="MLTC"/>
    <s v="PRN (NB)"/>
    <m/>
    <x v="3"/>
    <x v="0"/>
    <x v="2"/>
    <m/>
    <n v="2"/>
    <n v="2"/>
    <n v="2"/>
    <n v="2"/>
    <n v="2"/>
    <n v="2"/>
    <x v="1"/>
  </r>
  <r>
    <n v="1092"/>
    <x v="3"/>
    <s v="Healthfirst (ANT)"/>
    <s v="CHHA"/>
    <s v="MLTC"/>
    <s v="RN Initial (NB)"/>
    <m/>
    <x v="3"/>
    <x v="0"/>
    <x v="2"/>
    <m/>
    <n v="36"/>
    <n v="36"/>
    <n v="36"/>
    <n v="36"/>
    <n v="36"/>
    <n v="36"/>
    <x v="1"/>
  </r>
  <r>
    <n v="1093"/>
    <x v="3"/>
    <s v="Healthfirst (ANT)"/>
    <s v="CHHA"/>
    <s v="MLTC"/>
    <s v="RN Reassessment (NB)"/>
    <m/>
    <x v="3"/>
    <x v="0"/>
    <x v="2"/>
    <m/>
    <n v="37"/>
    <n v="53"/>
    <n v="53"/>
    <n v="36"/>
    <n v="52"/>
    <n v="52"/>
    <x v="1"/>
  </r>
  <r>
    <n v="1094"/>
    <x v="3"/>
    <s v="Healthfirst (ANT)"/>
    <s v="CHHA"/>
    <s v="MLTC"/>
    <s v="T1019:U1"/>
    <s v="T1019:U1"/>
    <x v="2"/>
    <x v="0"/>
    <x v="2"/>
    <m/>
    <n v="67"/>
    <n v="6938"/>
    <n v="41620.5"/>
    <n v="64"/>
    <n v="6743"/>
    <n v="40415.5"/>
    <x v="0"/>
  </r>
  <r>
    <n v="1095"/>
    <x v="3"/>
    <s v="Healthfirst (ANT)"/>
    <s v="CHHA"/>
    <s v="MLTC"/>
    <s v="T1020"/>
    <s v="T1020"/>
    <x v="8"/>
    <x v="0"/>
    <x v="2"/>
    <m/>
    <n v="1"/>
    <n v="86"/>
    <n v="1118"/>
    <n v="1"/>
    <n v="86"/>
    <n v="1118"/>
    <x v="0"/>
  </r>
  <r>
    <n v="1098"/>
    <x v="3"/>
    <s v="Healthfirst (CDP)"/>
    <s v="CHHA"/>
    <s v="CDPAP"/>
    <s v="RN Initial (NB)"/>
    <m/>
    <x v="3"/>
    <x v="0"/>
    <x v="2"/>
    <m/>
    <n v="1"/>
    <n v="1"/>
    <n v="1"/>
    <n v="1"/>
    <n v="1"/>
    <n v="1"/>
    <x v="1"/>
  </r>
  <r>
    <n v="1099"/>
    <x v="3"/>
    <s v="Healthfirst (CDP)"/>
    <s v="CHHA"/>
    <s v="CDPAP"/>
    <s v="T1019:U6"/>
    <s v="T1019:U6"/>
    <x v="1"/>
    <x v="1"/>
    <x v="1"/>
    <m/>
    <n v="67"/>
    <n v="7953"/>
    <n v="36322.5"/>
    <n v="65"/>
    <n v="7814"/>
    <n v="35751"/>
    <x v="0"/>
  </r>
  <r>
    <n v="1100"/>
    <x v="3"/>
    <s v="Healthfirst (CDP)"/>
    <s v="CHHA"/>
    <s v="CDPAP"/>
    <s v="T1019:U6:CC"/>
    <s v="T1019:U6"/>
    <x v="1"/>
    <x v="1"/>
    <x v="1"/>
    <m/>
    <n v="1"/>
    <n v="71"/>
    <n v="354.75"/>
    <n v="1"/>
    <n v="71"/>
    <n v="354.75"/>
    <x v="0"/>
  </r>
  <r>
    <n v="1101"/>
    <x v="3"/>
    <s v="Healthfirst PCA MAP (Complete Care) (Non Live)"/>
    <s v="MCO"/>
    <s v="MLTC"/>
    <s v="RN Initial (NB)"/>
    <m/>
    <x v="3"/>
    <x v="0"/>
    <x v="2"/>
    <m/>
    <n v="1"/>
    <n v="1"/>
    <n v="1"/>
    <n v="1"/>
    <n v="1"/>
    <n v="1"/>
    <x v="1"/>
  </r>
  <r>
    <n v="1102"/>
    <x v="3"/>
    <s v="NHTD"/>
    <s v="LHCSA"/>
    <s v="Medicaid"/>
    <s v="HCSS 9795 LI Nassau Westchester Suffolk"/>
    <s v="9795"/>
    <x v="4"/>
    <x v="0"/>
    <x v="0"/>
    <m/>
    <n v="2"/>
    <n v="277"/>
    <n v="3262.5"/>
    <n v="2"/>
    <n v="277"/>
    <n v="3262.5"/>
    <x v="0"/>
  </r>
  <r>
    <n v="1103"/>
    <x v="3"/>
    <s v="NHTD"/>
    <s v="LHCSA"/>
    <s v="Medicaid"/>
    <s v="HCSS 9795 NYC"/>
    <s v="9795"/>
    <x v="4"/>
    <x v="0"/>
    <x v="0"/>
    <m/>
    <n v="124"/>
    <n v="46157"/>
    <n v="522702.5"/>
    <n v="121"/>
    <n v="45913"/>
    <n v="519880.75"/>
    <x v="0"/>
  </r>
  <r>
    <n v="1104"/>
    <x v="3"/>
    <s v="NHTD"/>
    <s v="LHCSA"/>
    <s v="Medicaid"/>
    <s v="HCSS 9795 Rest of State"/>
    <s v="9795"/>
    <x v="4"/>
    <x v="0"/>
    <x v="0"/>
    <m/>
    <n v="2"/>
    <n v="159"/>
    <n v="1763"/>
    <n v="2"/>
    <n v="159"/>
    <n v="1763"/>
    <x v="0"/>
  </r>
  <r>
    <n v="1105"/>
    <x v="3"/>
    <s v="NHTD"/>
    <s v="LHCSA"/>
    <s v="Medicaid"/>
    <s v="Initial RN Visit 9799 (Hourly)"/>
    <s v="9799"/>
    <x v="4"/>
    <x v="0"/>
    <x v="0"/>
    <m/>
    <n v="53"/>
    <n v="53"/>
    <n v="52.25"/>
    <n v="51"/>
    <n v="51"/>
    <n v="51"/>
    <x v="2"/>
  </r>
  <r>
    <n v="1106"/>
    <x v="3"/>
    <s v="NHTD"/>
    <s v="LHCSA"/>
    <s v="Medicaid"/>
    <s v="PRN (NB)"/>
    <m/>
    <x v="4"/>
    <x v="0"/>
    <x v="0"/>
    <m/>
    <n v="8"/>
    <n v="10"/>
    <n v="10"/>
    <n v="8"/>
    <n v="10"/>
    <n v="10"/>
    <x v="2"/>
  </r>
  <r>
    <n v="1107"/>
    <x v="3"/>
    <s v="NHTD"/>
    <s v="LHCSA"/>
    <s v="Medicaid"/>
    <s v="RN Initial (NB)"/>
    <m/>
    <x v="4"/>
    <x v="0"/>
    <x v="0"/>
    <m/>
    <n v="4"/>
    <n v="4"/>
    <n v="4"/>
    <n v="4"/>
    <n v="4"/>
    <n v="4"/>
    <x v="2"/>
  </r>
  <r>
    <n v="1108"/>
    <x v="3"/>
    <s v="NHTD"/>
    <s v="LHCSA"/>
    <s v="Medicaid"/>
    <s v="RN Reassessment (NB)"/>
    <m/>
    <x v="4"/>
    <x v="0"/>
    <x v="0"/>
    <m/>
    <n v="2"/>
    <n v="2"/>
    <n v="2"/>
    <n v="2"/>
    <n v="2"/>
    <n v="2"/>
    <x v="2"/>
  </r>
  <r>
    <n v="1109"/>
    <x v="3"/>
    <s v="NHTD"/>
    <s v="LHCSA"/>
    <s v="Medicaid"/>
    <s v="RN Visit 9799 (Hourly)"/>
    <s v="9799"/>
    <x v="4"/>
    <x v="0"/>
    <x v="0"/>
    <m/>
    <n v="94"/>
    <n v="143"/>
    <n v="141.5"/>
    <n v="93"/>
    <n v="142"/>
    <n v="142"/>
    <x v="2"/>
  </r>
  <r>
    <n v="1110"/>
    <x v="3"/>
    <s v="Non Billable"/>
    <s v="Other"/>
    <s v="Insurance"/>
    <s v="PCA Hourly"/>
    <m/>
    <x v="5"/>
    <x v="0"/>
    <x v="3"/>
    <m/>
    <n v="33"/>
    <n v="65"/>
    <n v="247.25"/>
    <n v="32"/>
    <n v="64"/>
    <n v="246"/>
    <x v="0"/>
  </r>
  <r>
    <n v="1111"/>
    <x v="3"/>
    <s v="Prime Home Health Services"/>
    <s v="CHHA"/>
    <s v="CHHA"/>
    <s v="HHAHRPED"/>
    <s v="99999"/>
    <x v="0"/>
    <x v="0"/>
    <x v="0"/>
    <s v="CHHA"/>
    <n v="5"/>
    <n v="659"/>
    <n v="4803.75"/>
    <n v="5"/>
    <n v="659"/>
    <n v="4803.75"/>
    <x v="0"/>
  </r>
  <r>
    <n v="1112"/>
    <x v="3"/>
    <s v="Private Pay"/>
    <s v="Other"/>
    <s v="Private"/>
    <s v="Live In (H)"/>
    <m/>
    <x v="5"/>
    <x v="0"/>
    <x v="3"/>
    <m/>
    <n v="1"/>
    <n v="25"/>
    <n v="24.75"/>
    <n v="1"/>
    <n v="25"/>
    <n v="24.75"/>
    <x v="0"/>
  </r>
  <r>
    <n v="1113"/>
    <x v="3"/>
    <s v="Private Pay"/>
    <s v="Other"/>
    <s v="Private"/>
    <s v="Live In - 1 Hour"/>
    <m/>
    <x v="5"/>
    <x v="0"/>
    <x v="3"/>
    <m/>
    <n v="1"/>
    <n v="335"/>
    <n v="332"/>
    <n v="1"/>
    <n v="335"/>
    <n v="332"/>
    <x v="0"/>
  </r>
  <r>
    <n v="1114"/>
    <x v="3"/>
    <s v="Private Pay"/>
    <s v="Other"/>
    <s v="Private"/>
    <s v="Live In - 4 Hours"/>
    <m/>
    <x v="5"/>
    <x v="0"/>
    <x v="3"/>
    <m/>
    <n v="1"/>
    <n v="213"/>
    <n v="844.5"/>
    <n v="1"/>
    <n v="213"/>
    <n v="844.5"/>
    <x v="0"/>
  </r>
  <r>
    <n v="1115"/>
    <x v="3"/>
    <s v="Private Pay"/>
    <s v="Other"/>
    <s v="Private"/>
    <s v="Live-In"/>
    <m/>
    <x v="5"/>
    <x v="0"/>
    <x v="3"/>
    <m/>
    <n v="1"/>
    <n v="3"/>
    <n v="69.75"/>
    <n v="1"/>
    <n v="3"/>
    <n v="39"/>
    <x v="0"/>
  </r>
  <r>
    <n v="1116"/>
    <x v="3"/>
    <s v="Private Pay"/>
    <s v="Other"/>
    <s v="Private"/>
    <s v="PCA Hourly"/>
    <m/>
    <x v="5"/>
    <x v="0"/>
    <x v="3"/>
    <m/>
    <n v="20"/>
    <n v="56"/>
    <n v="281"/>
    <n v="19"/>
    <n v="50"/>
    <n v="221"/>
    <x v="0"/>
  </r>
  <r>
    <n v="1117"/>
    <x v="3"/>
    <s v="Private Pay"/>
    <s v="Other"/>
    <s v="Private"/>
    <s v="RN Initial (NB)"/>
    <m/>
    <x v="5"/>
    <x v="0"/>
    <x v="3"/>
    <m/>
    <n v="1"/>
    <n v="1"/>
    <n v="0.5"/>
    <n v="1"/>
    <n v="1"/>
    <n v="1"/>
    <x v="0"/>
  </r>
  <r>
    <n v="1118"/>
    <x v="3"/>
    <s v="Private Pay"/>
    <s v="Other"/>
    <s v="Private"/>
    <s v="RN Re-Assessment"/>
    <m/>
    <x v="5"/>
    <x v="0"/>
    <x v="3"/>
    <m/>
    <n v="1"/>
    <n v="1"/>
    <n v="1"/>
    <n v="1"/>
    <n v="1"/>
    <n v="1"/>
    <x v="0"/>
  </r>
  <r>
    <n v="1119"/>
    <x v="3"/>
    <s v="Private Pay"/>
    <s v="Other"/>
    <s v="Private"/>
    <s v="RN Reassessment (NB)"/>
    <m/>
    <x v="5"/>
    <x v="0"/>
    <x v="3"/>
    <m/>
    <n v="1"/>
    <n v="1"/>
    <n v="0.5"/>
    <n v="1"/>
    <n v="1"/>
    <n v="1"/>
    <x v="0"/>
  </r>
  <r>
    <n v="1120"/>
    <x v="3"/>
    <s v="Private Pay - Select"/>
    <s v="Other"/>
    <s v="Private"/>
    <s v="HHA Hourly"/>
    <m/>
    <x v="5"/>
    <x v="0"/>
    <x v="3"/>
    <m/>
    <n v="1"/>
    <n v="2"/>
    <n v="8"/>
    <n v="1"/>
    <n v="2"/>
    <n v="8"/>
    <x v="0"/>
  </r>
  <r>
    <n v="1121"/>
    <x v="3"/>
    <s v="Private Pay - Select"/>
    <s v="Other"/>
    <s v="Private"/>
    <s v="PCA Hourly"/>
    <m/>
    <x v="5"/>
    <x v="0"/>
    <x v="3"/>
    <m/>
    <n v="14"/>
    <n v="1479"/>
    <n v="11598.25"/>
    <n v="11"/>
    <n v="1445"/>
    <n v="11301.5"/>
    <x v="0"/>
  </r>
  <r>
    <n v="1122"/>
    <x v="3"/>
    <s v="Private Pay - Select"/>
    <s v="Other"/>
    <s v="Private"/>
    <s v="PCA Hourly Mutual"/>
    <m/>
    <x v="5"/>
    <x v="0"/>
    <x v="3"/>
    <m/>
    <n v="2"/>
    <n v="2"/>
    <n v="6"/>
    <n v="2"/>
    <n v="2"/>
    <n v="6"/>
    <x v="0"/>
  </r>
  <r>
    <n v="1123"/>
    <x v="3"/>
    <s v="Private Pay - Select"/>
    <s v="Other"/>
    <s v="Private"/>
    <s v="PCA Live-in"/>
    <m/>
    <x v="5"/>
    <x v="0"/>
    <x v="3"/>
    <m/>
    <n v="1"/>
    <n v="30"/>
    <n v="716.75"/>
    <n v="1"/>
    <n v="30"/>
    <n v="390"/>
    <x v="0"/>
  </r>
  <r>
    <n v="1124"/>
    <x v="3"/>
    <s v="Private Pay - Select"/>
    <s v="Other"/>
    <s v="Private"/>
    <s v="RN Initial (NB)"/>
    <m/>
    <x v="5"/>
    <x v="0"/>
    <x v="3"/>
    <m/>
    <n v="13"/>
    <n v="13"/>
    <n v="7"/>
    <n v="11"/>
    <n v="11"/>
    <n v="11"/>
    <x v="0"/>
  </r>
  <r>
    <n v="1125"/>
    <x v="3"/>
    <s v="Private Pay - Select"/>
    <s v="Other"/>
    <s v="Private"/>
    <s v="RN Reassessment (NB)"/>
    <m/>
    <x v="5"/>
    <x v="0"/>
    <x v="3"/>
    <m/>
    <n v="6"/>
    <n v="7"/>
    <n v="5"/>
    <n v="6"/>
    <n v="7"/>
    <n v="7"/>
    <x v="0"/>
  </r>
  <r>
    <n v="1126"/>
    <x v="3"/>
    <s v="Private Pay - Select"/>
    <s v="Other"/>
    <s v="Private"/>
    <s v="RN skilled visit"/>
    <m/>
    <x v="5"/>
    <x v="0"/>
    <x v="3"/>
    <m/>
    <n v="1"/>
    <n v="4"/>
    <n v="2"/>
    <n v="1"/>
    <n v="4"/>
    <n v="4"/>
    <x v="0"/>
  </r>
  <r>
    <n v="1127"/>
    <x v="3"/>
    <s v="Revival Home Health Care"/>
    <s v="CHHA"/>
    <s v="CHHA"/>
    <s v="Rate1"/>
    <s v="S9122"/>
    <x v="0"/>
    <x v="0"/>
    <x v="0"/>
    <s v="CHHA"/>
    <n v="5"/>
    <n v="42"/>
    <n v="157"/>
    <n v="4"/>
    <n v="32"/>
    <n v="117.25"/>
    <x v="0"/>
  </r>
  <r>
    <n v="1128"/>
    <x v="3"/>
    <s v="Royal Care Certified"/>
    <s v="Other"/>
    <s v="CHHA"/>
    <s v="Rate1"/>
    <m/>
    <x v="0"/>
    <x v="0"/>
    <x v="0"/>
    <s v="CHHA"/>
    <n v="40"/>
    <n v="606"/>
    <n v="2550.25"/>
    <n v="30"/>
    <n v="471"/>
    <n v="2022"/>
    <x v="0"/>
  </r>
  <r>
    <n v="1129"/>
    <x v="3"/>
    <s v="Royal Care Certified"/>
    <s v="Other"/>
    <s v="CHHA"/>
    <s v="Rate2"/>
    <m/>
    <x v="0"/>
    <x v="0"/>
    <x v="0"/>
    <s v="CHHA"/>
    <n v="34"/>
    <n v="4869"/>
    <n v="28750.5"/>
    <n v="34"/>
    <n v="4869"/>
    <n v="28750.5"/>
    <x v="0"/>
  </r>
  <r>
    <n v="1130"/>
    <x v="3"/>
    <s v="SWHNY-MLTC (ANT)"/>
    <s v="Other"/>
    <s v="MLTC"/>
    <s v="RN Initial (NB)"/>
    <m/>
    <x v="3"/>
    <x v="0"/>
    <x v="2"/>
    <m/>
    <n v="4"/>
    <n v="4"/>
    <n v="4"/>
    <n v="4"/>
    <n v="4"/>
    <n v="4"/>
    <x v="1"/>
  </r>
  <r>
    <n v="1131"/>
    <x v="3"/>
    <s v="SWHNY-MLTC (ANT)"/>
    <s v="Other"/>
    <s v="MLTC"/>
    <s v="RN Reassessment (NB)"/>
    <m/>
    <x v="3"/>
    <x v="0"/>
    <x v="2"/>
    <m/>
    <n v="11"/>
    <n v="16"/>
    <n v="16"/>
    <n v="11"/>
    <n v="16"/>
    <n v="16"/>
    <x v="1"/>
  </r>
  <r>
    <n v="1132"/>
    <x v="3"/>
    <s v="SWHNY-MLTC (ANT)"/>
    <s v="Other"/>
    <s v="MLTC"/>
    <s v="T1019:U1"/>
    <s v="T1019:U1"/>
    <x v="2"/>
    <x v="0"/>
    <x v="2"/>
    <m/>
    <n v="13"/>
    <n v="1569"/>
    <n v="10322.75"/>
    <n v="13"/>
    <n v="1569"/>
    <n v="10322.75"/>
    <x v="0"/>
  </r>
  <r>
    <n v="1133"/>
    <x v="3"/>
    <s v="SWHNY-MLTC (ANT)"/>
    <s v="Other"/>
    <s v="MLTC"/>
    <s v="T1020"/>
    <s v="T1020"/>
    <x v="8"/>
    <x v="0"/>
    <x v="2"/>
    <m/>
    <n v="4"/>
    <n v="650"/>
    <n v="8450"/>
    <n v="4"/>
    <n v="650"/>
    <n v="8450"/>
    <x v="0"/>
  </r>
  <r>
    <n v="1137"/>
    <x v="3"/>
    <s v="SWHNY-MLTC (CDP)"/>
    <s v="Other"/>
    <s v="CDPAP"/>
    <s v="T1019:U6"/>
    <s v="T1019:U6"/>
    <x v="1"/>
    <x v="1"/>
    <x v="1"/>
    <m/>
    <n v="23"/>
    <n v="6036"/>
    <n v="38724.75"/>
    <n v="22"/>
    <n v="5995"/>
    <n v="38439.75"/>
    <x v="0"/>
  </r>
  <r>
    <n v="1138"/>
    <x v="3"/>
    <s v="TBI"/>
    <s v="LHCSA"/>
    <s v="Medicaid"/>
    <s v="HCSS 9879"/>
    <s v="9879"/>
    <x v="4"/>
    <x v="0"/>
    <x v="0"/>
    <m/>
    <n v="3"/>
    <n v="1205"/>
    <n v="13519.5"/>
    <n v="3"/>
    <n v="1205"/>
    <n v="13519.5"/>
    <x v="0"/>
  </r>
  <r>
    <n v="1139"/>
    <x v="3"/>
    <s v="TBI"/>
    <s v="LHCSA"/>
    <s v="Medicaid"/>
    <s v="RN Initial (NB)"/>
    <m/>
    <x v="4"/>
    <x v="0"/>
    <x v="0"/>
    <m/>
    <n v="1"/>
    <n v="1"/>
    <n v="1"/>
    <n v="1"/>
    <n v="1"/>
    <n v="1"/>
    <x v="2"/>
  </r>
  <r>
    <n v="1140"/>
    <x v="3"/>
    <s v="TBI"/>
    <s v="LHCSA"/>
    <s v="Medicaid"/>
    <s v="RN Reassessment (NB)"/>
    <m/>
    <x v="4"/>
    <x v="0"/>
    <x v="0"/>
    <m/>
    <n v="2"/>
    <n v="3"/>
    <n v="2.5"/>
    <n v="2"/>
    <n v="3"/>
    <n v="3"/>
    <x v="2"/>
  </r>
  <r>
    <n v="1141"/>
    <x v="3"/>
    <s v="United Healthcare CDPAP"/>
    <s v="MCO"/>
    <s v="CDPAP"/>
    <s v="PA Hourly"/>
    <s v="T1019:U6"/>
    <x v="1"/>
    <x v="1"/>
    <x v="1"/>
    <m/>
    <n v="1"/>
    <n v="58"/>
    <n v="330"/>
    <n v="1"/>
    <n v="58"/>
    <n v="330"/>
    <x v="0"/>
  </r>
  <r>
    <n v="1146"/>
    <x v="3"/>
    <s v="VillageCare CDPAP"/>
    <s v="MCO"/>
    <s v="CDPAP"/>
    <s v="PA Hourly"/>
    <s v="T1019:U6"/>
    <x v="1"/>
    <x v="1"/>
    <x v="1"/>
    <m/>
    <n v="173"/>
    <n v="25202"/>
    <n v="135337.25"/>
    <n v="167"/>
    <n v="24782"/>
    <n v="131403"/>
    <x v="0"/>
  </r>
  <r>
    <n v="1147"/>
    <x v="3"/>
    <s v="VillageCare CDPAP"/>
    <s v="MCO"/>
    <s v="CDPAP"/>
    <s v="PA Hourly Mutual"/>
    <s v="T1019:U7"/>
    <x v="10"/>
    <x v="1"/>
    <x v="1"/>
    <m/>
    <n v="2"/>
    <n v="63"/>
    <n v="318.75"/>
    <n v="2"/>
    <n v="63"/>
    <n v="318.75"/>
    <x v="0"/>
  </r>
  <r>
    <n v="1148"/>
    <x v="3"/>
    <s v="VillageCare PCA"/>
    <s v="MLTC"/>
    <s v="MLTC"/>
    <s v="HHA Hourly - S5125"/>
    <s v="S5125"/>
    <x v="6"/>
    <x v="0"/>
    <x v="2"/>
    <m/>
    <n v="1"/>
    <n v="142"/>
    <n v="695.5"/>
    <n v="1"/>
    <n v="142"/>
    <n v="695.5"/>
    <x v="0"/>
  </r>
  <r>
    <n v="1149"/>
    <x v="3"/>
    <s v="VillageCare PCA"/>
    <s v="MLTC"/>
    <s v="MLTC"/>
    <s v="PCA - Live In"/>
    <s v="T1020"/>
    <x v="8"/>
    <x v="0"/>
    <x v="2"/>
    <m/>
    <n v="1"/>
    <n v="3"/>
    <n v="39"/>
    <n v="1"/>
    <n v="3"/>
    <n v="39"/>
    <x v="0"/>
  </r>
  <r>
    <n v="1150"/>
    <x v="3"/>
    <s v="VillageCare PCA"/>
    <s v="MLTC"/>
    <s v="MLTC"/>
    <s v="PCA - Live In TV"/>
    <s v="T1020:TV"/>
    <x v="8"/>
    <x v="0"/>
    <x v="2"/>
    <m/>
    <n v="1"/>
    <n v="14"/>
    <n v="182"/>
    <n v="1"/>
    <n v="14"/>
    <n v="182"/>
    <x v="0"/>
  </r>
  <r>
    <n v="1151"/>
    <x v="3"/>
    <s v="VillageCare PCA"/>
    <s v="MLTC"/>
    <s v="MLTC"/>
    <s v="PCA Cluster Care"/>
    <s v="T1019:U3"/>
    <x v="11"/>
    <x v="0"/>
    <x v="2"/>
    <m/>
    <n v="7"/>
    <n v="284"/>
    <n v="587"/>
    <n v="7"/>
    <n v="284"/>
    <n v="587"/>
    <x v="0"/>
  </r>
  <r>
    <n v="1152"/>
    <x v="3"/>
    <s v="VillageCare PCA"/>
    <s v="MLTC"/>
    <s v="MLTC"/>
    <s v="PCA Hourly"/>
    <s v="T1019:U1"/>
    <x v="2"/>
    <x v="0"/>
    <x v="2"/>
    <m/>
    <n v="211"/>
    <n v="17866"/>
    <n v="98131"/>
    <n v="193"/>
    <n v="17176"/>
    <n v="95331.75"/>
    <x v="0"/>
  </r>
  <r>
    <n v="1153"/>
    <x v="3"/>
    <s v="VillageCare PCA"/>
    <s v="MLTC"/>
    <s v="MLTC"/>
    <s v="PCA Hourly"/>
    <s v="T1019:U1:TV"/>
    <x v="2"/>
    <x v="0"/>
    <x v="2"/>
    <m/>
    <n v="90"/>
    <n v="3607"/>
    <n v="23806.5"/>
    <n v="79"/>
    <n v="3323"/>
    <n v="21690"/>
    <x v="0"/>
  </r>
  <r>
    <n v="1154"/>
    <x v="3"/>
    <s v="VillageCare PCA"/>
    <s v="MLTC"/>
    <s v="MLTC"/>
    <s v="PCA Hourly Mutual"/>
    <s v="T1019:U2"/>
    <x v="11"/>
    <x v="0"/>
    <x v="2"/>
    <m/>
    <n v="6"/>
    <n v="312"/>
    <n v="1229.75"/>
    <n v="4"/>
    <n v="273"/>
    <n v="1088.5"/>
    <x v="0"/>
  </r>
  <r>
    <n v="1155"/>
    <x v="3"/>
    <s v="VillageCare PCA"/>
    <s v="MLTC"/>
    <s v="MLTC"/>
    <s v="PCA Hourly Mutual TV"/>
    <s v="T1019:U2:TV"/>
    <x v="11"/>
    <x v="0"/>
    <x v="2"/>
    <m/>
    <n v="3"/>
    <n v="28"/>
    <n v="111.25"/>
    <n v="2"/>
    <n v="27"/>
    <n v="108.25"/>
    <x v="0"/>
  </r>
  <r>
    <n v="1156"/>
    <x v="3"/>
    <s v="VillageCare PCA"/>
    <s v="MLTC"/>
    <s v="MLTC"/>
    <s v="PCA Hourly TV"/>
    <s v="T1019:U1:TV"/>
    <x v="2"/>
    <x v="0"/>
    <x v="2"/>
    <m/>
    <n v="43"/>
    <n v="487"/>
    <n v="2799.5"/>
    <n v="42"/>
    <n v="485"/>
    <n v="2791.5"/>
    <x v="0"/>
  </r>
  <r>
    <n v="1157"/>
    <x v="3"/>
    <s v="VillageCare PCA"/>
    <s v="MLTC"/>
    <s v="MLTC"/>
    <s v="PRN (NB)"/>
    <m/>
    <x v="3"/>
    <x v="0"/>
    <x v="2"/>
    <m/>
    <n v="21"/>
    <n v="22"/>
    <n v="22"/>
    <n v="20"/>
    <n v="21"/>
    <n v="21"/>
    <x v="1"/>
  </r>
  <r>
    <n v="1158"/>
    <x v="3"/>
    <s v="VillageCare PCA"/>
    <s v="MLTC"/>
    <s v="MLTC"/>
    <s v="RN Initial (NB)"/>
    <m/>
    <x v="3"/>
    <x v="0"/>
    <x v="2"/>
    <m/>
    <n v="2"/>
    <n v="2"/>
    <n v="2"/>
    <n v="2"/>
    <n v="2"/>
    <n v="2"/>
    <x v="1"/>
  </r>
  <r>
    <n v="1159"/>
    <x v="3"/>
    <s v="VillageCare PCA"/>
    <s v="MLTC"/>
    <s v="MLTC"/>
    <s v="RN Initial Visit"/>
    <s v="T1030"/>
    <x v="7"/>
    <x v="0"/>
    <x v="2"/>
    <m/>
    <n v="132"/>
    <n v="132"/>
    <n v="132"/>
    <n v="119"/>
    <n v="119"/>
    <n v="119"/>
    <x v="3"/>
  </r>
  <r>
    <n v="1160"/>
    <x v="3"/>
    <s v="VillageCare PCA"/>
    <s v="MLTC"/>
    <s v="MLTC"/>
    <s v="RN Reassessment (NB)"/>
    <m/>
    <x v="3"/>
    <x v="0"/>
    <x v="2"/>
    <m/>
    <n v="87"/>
    <n v="131"/>
    <n v="131"/>
    <n v="83"/>
    <n v="125"/>
    <n v="125"/>
    <x v="1"/>
  </r>
  <r>
    <n v="1161"/>
    <x v="3"/>
    <s v="VNS Health Health Plans (ANT)"/>
    <s v="MLTC"/>
    <s v="MLTC"/>
    <s v="PRN (NB)"/>
    <m/>
    <x v="3"/>
    <x v="0"/>
    <x v="2"/>
    <m/>
    <n v="9"/>
    <n v="11"/>
    <n v="11"/>
    <n v="7"/>
    <n v="8"/>
    <n v="8"/>
    <x v="1"/>
  </r>
  <r>
    <n v="1162"/>
    <x v="3"/>
    <s v="VNS Health Health Plans (ANT)"/>
    <s v="MLTC"/>
    <s v="MLTC"/>
    <s v="RN Initial (NB)"/>
    <m/>
    <x v="3"/>
    <x v="0"/>
    <x v="2"/>
    <m/>
    <n v="37"/>
    <n v="38"/>
    <n v="38"/>
    <n v="35"/>
    <n v="36"/>
    <n v="36"/>
    <x v="1"/>
  </r>
  <r>
    <n v="1163"/>
    <x v="3"/>
    <s v="VNS Health Health Plans (ANT)"/>
    <s v="MLTC"/>
    <s v="MLTC"/>
    <s v="RN Reassessment (NB)"/>
    <m/>
    <x v="3"/>
    <x v="0"/>
    <x v="2"/>
    <m/>
    <n v="48"/>
    <n v="75"/>
    <n v="75"/>
    <n v="47"/>
    <n v="74"/>
    <n v="74"/>
    <x v="1"/>
  </r>
  <r>
    <n v="1164"/>
    <x v="3"/>
    <s v="VNS Health Health Plans (ANT)"/>
    <s v="MLTC"/>
    <s v="MLTC"/>
    <s v="T1019U1 NAS"/>
    <s v="T1019:U1"/>
    <x v="2"/>
    <x v="0"/>
    <x v="2"/>
    <m/>
    <n v="2"/>
    <n v="232"/>
    <n v="987.75"/>
    <n v="2"/>
    <n v="232"/>
    <n v="987.75"/>
    <x v="0"/>
  </r>
  <r>
    <n v="1165"/>
    <x v="3"/>
    <s v="VNS Health Health Plans (ANT)"/>
    <s v="MLTC"/>
    <s v="MLTC"/>
    <s v="T1019U1 QNS"/>
    <s v="T1019:U1"/>
    <x v="2"/>
    <x v="0"/>
    <x v="2"/>
    <m/>
    <n v="87"/>
    <n v="10833"/>
    <n v="73922.75"/>
    <n v="79"/>
    <n v="10390"/>
    <n v="71124"/>
    <x v="0"/>
  </r>
  <r>
    <n v="1166"/>
    <x v="3"/>
    <s v="VNS Health Health Plans (ANT)"/>
    <s v="MLTC"/>
    <s v="MLTC"/>
    <s v="T1019U1 QNS MAP"/>
    <s v="T1019:U1"/>
    <x v="2"/>
    <x v="0"/>
    <x v="2"/>
    <m/>
    <n v="4"/>
    <n v="557"/>
    <n v="5296"/>
    <n v="3"/>
    <n v="527"/>
    <n v="5132.5"/>
    <x v="0"/>
  </r>
  <r>
    <n v="1167"/>
    <x v="3"/>
    <s v="VNS Health Health Plans (ANT)"/>
    <s v="MLTC"/>
    <s v="MLTC"/>
    <s v="T1019U2 QNS"/>
    <s v="T1019:U2"/>
    <x v="11"/>
    <x v="0"/>
    <x v="2"/>
    <m/>
    <n v="12"/>
    <n v="1768"/>
    <n v="14877"/>
    <n v="11"/>
    <n v="1709"/>
    <n v="14297"/>
    <x v="0"/>
  </r>
  <r>
    <n v="1168"/>
    <x v="3"/>
    <s v="VNS Health Health Plans (ANT)"/>
    <s v="MLTC"/>
    <s v="MLTC"/>
    <s v="T1020 QNS"/>
    <s v="T1020"/>
    <x v="8"/>
    <x v="0"/>
    <x v="2"/>
    <m/>
    <n v="4"/>
    <n v="563"/>
    <n v="7319"/>
    <n v="4"/>
    <n v="563"/>
    <n v="7319"/>
    <x v="0"/>
  </r>
  <r>
    <n v="1172"/>
    <x v="3"/>
    <s v="VNS Health Health Plans (CDP)"/>
    <s v="MLTC"/>
    <s v="CDPAP"/>
    <s v="T1019U6 K"/>
    <s v="T1019:U6"/>
    <x v="1"/>
    <x v="1"/>
    <x v="1"/>
    <m/>
    <n v="1"/>
    <n v="184"/>
    <n v="1050"/>
    <n v="1"/>
    <n v="184"/>
    <n v="1050"/>
    <x v="0"/>
  </r>
  <r>
    <n v="1173"/>
    <x v="3"/>
    <s v="VNS Health Health Plans (CDP)"/>
    <s v="MLTC"/>
    <s v="CDPAP"/>
    <s v="T1019U6 NAS"/>
    <s v="T1019:U6"/>
    <x v="1"/>
    <x v="1"/>
    <x v="1"/>
    <m/>
    <n v="1"/>
    <n v="249"/>
    <n v="845.5"/>
    <n v="1"/>
    <n v="249"/>
    <n v="845.5"/>
    <x v="0"/>
  </r>
  <r>
    <n v="1174"/>
    <x v="3"/>
    <s v="VNS Health Health Plans (CDP)"/>
    <s v="MLTC"/>
    <s v="CDPAP"/>
    <s v="T1019U6 QNS"/>
    <s v="T1019:U6"/>
    <x v="1"/>
    <x v="1"/>
    <x v="1"/>
    <m/>
    <n v="71"/>
    <n v="14242"/>
    <n v="75838.75"/>
    <n v="68"/>
    <n v="14123"/>
    <n v="75110"/>
    <x v="0"/>
  </r>
  <r>
    <n v="1175"/>
    <x v="3"/>
    <s v="VNS Health Health Plans (CDP)"/>
    <s v="MLTC"/>
    <s v="CDPAP"/>
    <s v="T1019U6 SCH"/>
    <s v="T1019:U6"/>
    <x v="1"/>
    <x v="1"/>
    <x v="1"/>
    <m/>
    <n v="1"/>
    <n v="158"/>
    <n v="588.75"/>
    <n v="1"/>
    <n v="158"/>
    <n v="588.75"/>
    <x v="0"/>
  </r>
  <r>
    <n v="1176"/>
    <x v="3"/>
    <s v="VNS Health Health Plans (CDP)"/>
    <s v="MLTC"/>
    <s v="CDPAP"/>
    <s v="T1019U6 SI"/>
    <s v="T1019:U6"/>
    <x v="1"/>
    <x v="1"/>
    <x v="1"/>
    <m/>
    <n v="1"/>
    <n v="207"/>
    <n v="1241.25"/>
    <n v="1"/>
    <n v="207"/>
    <n v="1241.25"/>
    <x v="0"/>
  </r>
  <r>
    <n v="1177"/>
    <x v="3"/>
    <s v="VNS Health Health Plans (CDP)"/>
    <s v="MLTC"/>
    <s v="CDPAP"/>
    <s v="T1019U7 QNS"/>
    <s v="T1019:U7"/>
    <x v="10"/>
    <x v="1"/>
    <x v="1"/>
    <m/>
    <n v="2"/>
    <n v="341"/>
    <n v="3675.75"/>
    <n v="0"/>
    <n v="0"/>
    <m/>
    <x v="0"/>
  </r>
  <r>
    <n v="1178"/>
    <x v="3"/>
    <s v="VNSNY CHOICE PCA"/>
    <s v="LHCSA"/>
    <s v="MLTC"/>
    <s v="PCA Hourly"/>
    <s v="T1019:U1"/>
    <x v="2"/>
    <x v="0"/>
    <x v="2"/>
    <m/>
    <n v="1"/>
    <n v="2"/>
    <n v="6"/>
    <n v="1"/>
    <n v="2"/>
    <n v="6"/>
    <x v="0"/>
  </r>
  <r>
    <n v="1179"/>
    <x v="3"/>
    <s v="VNSNY CHOICE PCA"/>
    <s v="LHCSA"/>
    <s v="MLTC"/>
    <s v="RN Reassessment (NB)"/>
    <m/>
    <x v="3"/>
    <x v="0"/>
    <x v="2"/>
    <m/>
    <n v="1"/>
    <n v="2"/>
    <n v="2"/>
    <n v="1"/>
    <n v="2"/>
    <n v="2"/>
    <x v="1"/>
  </r>
  <r>
    <n v="1180"/>
    <x v="3"/>
    <s v="Your Choice at Home"/>
    <s v="CHHA"/>
    <s v="CHHA"/>
    <s v="2610"/>
    <s v="2610"/>
    <x v="0"/>
    <x v="0"/>
    <x v="0"/>
    <s v="CHHA"/>
    <n v="23"/>
    <n v="1418"/>
    <n v="13736.25"/>
    <n v="23"/>
    <n v="1418"/>
    <n v="13736.25"/>
    <x v="0"/>
  </r>
  <r>
    <n v="1181"/>
    <x v="3"/>
    <s v="Your Choice at Home"/>
    <s v="CHHA"/>
    <s v="CHHA"/>
    <s v="G0156"/>
    <s v="G0156"/>
    <x v="0"/>
    <x v="0"/>
    <x v="0"/>
    <s v="CHHA"/>
    <n v="1"/>
    <n v="13"/>
    <n v="51.75"/>
    <n v="1"/>
    <n v="13"/>
    <n v="51.75"/>
    <x v="0"/>
  </r>
  <r>
    <n v="1182"/>
    <x v="3"/>
    <s v="Your Choice at Home"/>
    <s v="CHHA"/>
    <s v="CHHA"/>
    <s v="S9122"/>
    <s v="S9122"/>
    <x v="0"/>
    <x v="0"/>
    <x v="0"/>
    <s v="CHHA"/>
    <n v="1"/>
    <n v="6"/>
    <n v="23.75"/>
    <n v="0"/>
    <n v="0"/>
    <m/>
    <x v="0"/>
  </r>
  <r>
    <n v="1183"/>
    <x v="42"/>
    <s v="EDDY SeniorCare VNA (Pace Plan)"/>
    <s v="MCO"/>
    <s v="MCO"/>
    <s v="PCA Hourly Weekday"/>
    <s v="T1019:U1"/>
    <x v="4"/>
    <x v="0"/>
    <x v="0"/>
    <m/>
    <n v="3"/>
    <n v="31"/>
    <n v="153"/>
    <n v="3"/>
    <n v="31"/>
    <n v="153"/>
    <x v="0"/>
  </r>
  <r>
    <n v="1184"/>
    <x v="42"/>
    <s v="EDDY SeniorCare VNA (Pace Plan)"/>
    <s v="MCO"/>
    <s v="MCO"/>
    <s v="RN Initial Visit-NB"/>
    <s v="T1019:U1"/>
    <x v="4"/>
    <x v="0"/>
    <x v="0"/>
    <m/>
    <n v="3"/>
    <n v="3"/>
    <n v="3"/>
    <n v="3"/>
    <n v="3"/>
    <n v="3"/>
    <x v="1"/>
  </r>
  <r>
    <n v="1185"/>
    <x v="42"/>
    <s v="Fidelis Care (ANT)"/>
    <s v="LHCSA"/>
    <s v="MLTC"/>
    <s v="PRN (NB)"/>
    <m/>
    <x v="3"/>
    <x v="0"/>
    <x v="2"/>
    <m/>
    <n v="1"/>
    <n v="1"/>
    <n v="1"/>
    <n v="0"/>
    <n v="0"/>
    <n v="0"/>
    <x v="1"/>
  </r>
  <r>
    <n v="1186"/>
    <x v="42"/>
    <s v="Fidelis Care (ANT)"/>
    <s v="LHCSA"/>
    <s v="MLTC"/>
    <s v="RN Initial (NB)"/>
    <m/>
    <x v="3"/>
    <x v="0"/>
    <x v="2"/>
    <m/>
    <n v="8"/>
    <n v="9"/>
    <n v="9"/>
    <n v="7"/>
    <n v="8"/>
    <n v="8"/>
    <x v="1"/>
  </r>
  <r>
    <n v="1187"/>
    <x v="42"/>
    <s v="Fidelis Care (ANT)"/>
    <s v="LHCSA"/>
    <s v="MLTC"/>
    <s v="RN Initial Assement"/>
    <s v="T2024"/>
    <x v="3"/>
    <x v="0"/>
    <x v="2"/>
    <m/>
    <n v="2"/>
    <n v="2"/>
    <n v="2"/>
    <n v="2"/>
    <n v="2"/>
    <n v="2"/>
    <x v="3"/>
  </r>
  <r>
    <n v="1188"/>
    <x v="42"/>
    <s v="Fidelis Care (ANT)"/>
    <s v="LHCSA"/>
    <s v="MLTC"/>
    <s v="RN Reassessment (NB)"/>
    <m/>
    <x v="3"/>
    <x v="0"/>
    <x v="2"/>
    <m/>
    <n v="5"/>
    <n v="6"/>
    <n v="6"/>
    <n v="4"/>
    <n v="4"/>
    <n v="4"/>
    <x v="1"/>
  </r>
  <r>
    <n v="1189"/>
    <x v="42"/>
    <s v="Fidelis Care (ANT)"/>
    <s v="LHCSA"/>
    <s v="MLTC"/>
    <s v="T1019:U1"/>
    <s v="T1019:U1"/>
    <x v="2"/>
    <x v="0"/>
    <x v="2"/>
    <m/>
    <n v="14"/>
    <n v="1165"/>
    <n v="4647.5"/>
    <n v="12"/>
    <n v="971"/>
    <n v="3659.75"/>
    <x v="0"/>
  </r>
  <r>
    <n v="1196"/>
    <x v="42"/>
    <s v="Fidelis Care (CDP)"/>
    <s v="LHCSA"/>
    <s v="CDPAP"/>
    <s v="T1019:U6"/>
    <s v="T1019:U6"/>
    <x v="1"/>
    <x v="1"/>
    <x v="1"/>
    <m/>
    <n v="31"/>
    <n v="5117"/>
    <n v="25749.5"/>
    <n v="29"/>
    <n v="4999"/>
    <n v="24930.25"/>
    <x v="0"/>
  </r>
  <r>
    <n v="1197"/>
    <x v="42"/>
    <s v="Fidelis Care (CDP)"/>
    <s v="LHCSA"/>
    <s v="CDPAP"/>
    <s v="T1020:U6"/>
    <s v="T1020:U6"/>
    <x v="9"/>
    <x v="1"/>
    <x v="1"/>
    <m/>
    <n v="1"/>
    <n v="6"/>
    <n v="78"/>
    <n v="1"/>
    <n v="6"/>
    <n v="78"/>
    <x v="0"/>
  </r>
  <r>
    <n v="1199"/>
    <x v="42"/>
    <s v="Nascentia Health Options CDPAP"/>
    <s v="MLTC"/>
    <s v="CDPAP"/>
    <s v="PA Hourly"/>
    <s v="T1019:U6"/>
    <x v="1"/>
    <x v="1"/>
    <x v="1"/>
    <m/>
    <n v="4"/>
    <n v="273"/>
    <n v="1547.5"/>
    <n v="3"/>
    <n v="271"/>
    <n v="1542.5"/>
    <x v="0"/>
  </r>
  <r>
    <n v="1200"/>
    <x v="42"/>
    <s v="Nascentia PCA"/>
    <s v="MLTC"/>
    <s v="MLTC"/>
    <s v="PCA Hourly"/>
    <s v="T1019:U1"/>
    <x v="2"/>
    <x v="0"/>
    <x v="2"/>
    <m/>
    <n v="4"/>
    <n v="75"/>
    <n v="387.25"/>
    <n v="3"/>
    <n v="47"/>
    <n v="233.25"/>
    <x v="0"/>
  </r>
  <r>
    <n v="1201"/>
    <x v="42"/>
    <s v="Nascentia PCA"/>
    <s v="MLTC"/>
    <s v="MLTC"/>
    <s v="Rn initial assesment non billable"/>
    <m/>
    <x v="3"/>
    <x v="0"/>
    <x v="2"/>
    <m/>
    <n v="4"/>
    <n v="4"/>
    <n v="4"/>
    <n v="3"/>
    <n v="3"/>
    <n v="3"/>
    <x v="1"/>
  </r>
  <r>
    <n v="1202"/>
    <x v="42"/>
    <s v="Private Pay"/>
    <s v="Other"/>
    <s v="Private"/>
    <s v="PCA Hourly"/>
    <m/>
    <x v="5"/>
    <x v="0"/>
    <x v="3"/>
    <m/>
    <n v="1"/>
    <n v="7"/>
    <n v="84"/>
    <n v="1"/>
    <n v="7"/>
    <n v="84"/>
    <x v="0"/>
  </r>
  <r>
    <n v="1203"/>
    <x v="42"/>
    <s v="VNS Health Health Plans (ANT)"/>
    <s v="MLTC"/>
    <s v="MLTC"/>
    <s v="PRN (NB)"/>
    <m/>
    <x v="3"/>
    <x v="0"/>
    <x v="2"/>
    <m/>
    <n v="2"/>
    <n v="2"/>
    <n v="2"/>
    <n v="1"/>
    <n v="1"/>
    <n v="1"/>
    <x v="1"/>
  </r>
  <r>
    <n v="1204"/>
    <x v="42"/>
    <s v="VNS Health Health Plans (ANT)"/>
    <s v="MLTC"/>
    <s v="MLTC"/>
    <s v="RN Initial (NB)"/>
    <m/>
    <x v="3"/>
    <x v="0"/>
    <x v="2"/>
    <m/>
    <n v="11"/>
    <n v="12"/>
    <n v="12"/>
    <n v="9"/>
    <n v="9"/>
    <n v="9"/>
    <x v="1"/>
  </r>
  <r>
    <n v="1205"/>
    <x v="42"/>
    <s v="VNS Health Health Plans (ANT)"/>
    <s v="MLTC"/>
    <s v="MLTC"/>
    <s v="RN Reassessment (NB)"/>
    <m/>
    <x v="3"/>
    <x v="0"/>
    <x v="2"/>
    <m/>
    <n v="7"/>
    <n v="10"/>
    <n v="10"/>
    <n v="7"/>
    <n v="10"/>
    <n v="10"/>
    <x v="1"/>
  </r>
  <r>
    <n v="1206"/>
    <x v="42"/>
    <s v="VNS Health Health Plans (ANT)"/>
    <s v="MLTC"/>
    <s v="MLTC"/>
    <s v="T1019U1 REN"/>
    <s v="T1019:U1"/>
    <x v="2"/>
    <x v="0"/>
    <x v="2"/>
    <m/>
    <n v="18"/>
    <n v="1282"/>
    <n v="5186.5"/>
    <n v="15"/>
    <n v="1107"/>
    <n v="4529"/>
    <x v="0"/>
  </r>
  <r>
    <n v="1207"/>
    <x v="42"/>
    <s v="VNS Health Health Plans (ANT)"/>
    <s v="MLTC"/>
    <s v="MLTC"/>
    <s v="T1019U6 REN"/>
    <s v="T1019:U6"/>
    <x v="1"/>
    <x v="1"/>
    <x v="1"/>
    <m/>
    <n v="1"/>
    <n v="96"/>
    <n v="467"/>
    <n v="1"/>
    <n v="96"/>
    <n v="467"/>
    <x v="0"/>
  </r>
  <r>
    <n v="1210"/>
    <x v="42"/>
    <s v="VNS Health Health Plans (CDP)"/>
    <s v="MLTC"/>
    <s v="CDPAP"/>
    <s v="T1019U6 REN"/>
    <s v="T1019:U6"/>
    <x v="1"/>
    <x v="1"/>
    <x v="1"/>
    <m/>
    <n v="31"/>
    <n v="4740"/>
    <n v="20321.75"/>
    <n v="28"/>
    <n v="4421"/>
    <n v="19199.75"/>
    <x v="0"/>
  </r>
  <r>
    <n v="1211"/>
    <x v="2"/>
    <s v="Americare"/>
    <s v="CHHA"/>
    <s v="CHHA"/>
    <s v="HHA1"/>
    <s v="S9122"/>
    <x v="0"/>
    <x v="0"/>
    <x v="0"/>
    <s v="CHHA"/>
    <n v="10"/>
    <n v="148"/>
    <n v="572.75"/>
    <n v="5"/>
    <n v="58"/>
    <n v="223"/>
    <x v="0"/>
  </r>
  <r>
    <n v="1212"/>
    <x v="2"/>
    <s v="Americare"/>
    <s v="CHHA"/>
    <s v="CHHA"/>
    <s v="HHAPEDSV"/>
    <s v="S9122"/>
    <x v="0"/>
    <x v="0"/>
    <x v="0"/>
    <s v="CHHA"/>
    <n v="40"/>
    <n v="4964"/>
    <n v="33164.5"/>
    <n v="36"/>
    <n v="4798"/>
    <n v="32267.25"/>
    <x v="0"/>
  </r>
  <r>
    <n v="1213"/>
    <x v="2"/>
    <s v="Anchor Health"/>
    <s v="Other"/>
    <s v="Private"/>
    <s v="Non Billable"/>
    <m/>
    <x v="5"/>
    <x v="0"/>
    <x v="3"/>
    <m/>
    <n v="1"/>
    <n v="2"/>
    <n v="3.5"/>
    <n v="1"/>
    <n v="2"/>
    <n v="3.5"/>
    <x v="0"/>
  </r>
  <r>
    <n v="1214"/>
    <x v="2"/>
    <s v="Archcare Community Life CDPAP"/>
    <s v="MCO"/>
    <s v="CDPAP"/>
    <s v="PA Hourly"/>
    <s v="T1019:U6"/>
    <x v="1"/>
    <x v="1"/>
    <x v="1"/>
    <m/>
    <n v="8"/>
    <n v="771"/>
    <n v="3758.75"/>
    <n v="8"/>
    <n v="771"/>
    <n v="3758.75"/>
    <x v="0"/>
  </r>
  <r>
    <n v="1215"/>
    <x v="2"/>
    <s v="Archcare Community Life PCA"/>
    <s v="MCO"/>
    <s v="MLTC"/>
    <s v="PCA Hourly"/>
    <s v="T1019:U1"/>
    <x v="2"/>
    <x v="0"/>
    <x v="2"/>
    <m/>
    <n v="8"/>
    <n v="723"/>
    <n v="6020.75"/>
    <n v="8"/>
    <n v="723"/>
    <n v="6020.75"/>
    <x v="0"/>
  </r>
  <r>
    <n v="1216"/>
    <x v="2"/>
    <s v="Archcare Community Life PCA"/>
    <s v="MCO"/>
    <s v="MLTC"/>
    <s v="PRN (NB)"/>
    <m/>
    <x v="3"/>
    <x v="0"/>
    <x v="2"/>
    <m/>
    <n v="1"/>
    <n v="1"/>
    <n v="1"/>
    <n v="1"/>
    <n v="1"/>
    <n v="1"/>
    <x v="1"/>
  </r>
  <r>
    <n v="1217"/>
    <x v="2"/>
    <s v="Archcare Community Life PCA"/>
    <s v="MCO"/>
    <s v="MLTC"/>
    <s v="RN Reassessment (NB)"/>
    <m/>
    <x v="3"/>
    <x v="0"/>
    <x v="2"/>
    <m/>
    <n v="4"/>
    <n v="4"/>
    <n v="4"/>
    <n v="4"/>
    <n v="4"/>
    <n v="4"/>
    <x v="1"/>
  </r>
  <r>
    <n v="1218"/>
    <x v="2"/>
    <s v="Archcare Senior Life PCA &quot;PACE Plan&quot;"/>
    <s v="MCO"/>
    <s v="MLTC"/>
    <s v="HHA Hourly - S5125"/>
    <s v="S5125"/>
    <x v="4"/>
    <x v="0"/>
    <x v="0"/>
    <m/>
    <n v="1"/>
    <n v="550"/>
    <n v="3178.75"/>
    <n v="1"/>
    <n v="550"/>
    <n v="3178.75"/>
    <x v="0"/>
  </r>
  <r>
    <n v="1219"/>
    <x v="2"/>
    <s v="Archcare Senior Life PCA &quot;PACE Plan&quot;"/>
    <s v="MCO"/>
    <s v="MLTC"/>
    <s v="HHA Live IN - S5126"/>
    <s v="S5126"/>
    <x v="4"/>
    <x v="0"/>
    <x v="0"/>
    <m/>
    <n v="1"/>
    <n v="21"/>
    <n v="273"/>
    <n v="1"/>
    <n v="21"/>
    <n v="273"/>
    <x v="0"/>
  </r>
  <r>
    <n v="1220"/>
    <x v="2"/>
    <s v="Archcare Senior Life PCA &quot;PACE Plan&quot;"/>
    <s v="MCO"/>
    <s v="MLTC"/>
    <s v="PCA Hourly"/>
    <s v="T1019:U1"/>
    <x v="4"/>
    <x v="0"/>
    <x v="0"/>
    <m/>
    <n v="2"/>
    <n v="242"/>
    <n v="2016"/>
    <n v="2"/>
    <n v="242"/>
    <n v="2016"/>
    <x v="0"/>
  </r>
  <r>
    <n v="1221"/>
    <x v="2"/>
    <s v="Archcare Senior Life PCA &quot;PACE Plan&quot;"/>
    <s v="MCO"/>
    <s v="MLTC"/>
    <s v="PRN (NB)"/>
    <m/>
    <x v="4"/>
    <x v="0"/>
    <x v="0"/>
    <m/>
    <n v="1"/>
    <n v="1"/>
    <n v="1"/>
    <n v="1"/>
    <n v="1"/>
    <n v="1"/>
    <x v="1"/>
  </r>
  <r>
    <n v="1222"/>
    <x v="2"/>
    <s v="Archcare Senior Life PCA &quot;PACE Plan&quot;"/>
    <s v="MCO"/>
    <s v="MLTC"/>
    <s v="RN Reassessment (NB)"/>
    <m/>
    <x v="4"/>
    <x v="0"/>
    <x v="0"/>
    <m/>
    <n v="2"/>
    <n v="4"/>
    <n v="4"/>
    <n v="2"/>
    <n v="4"/>
    <n v="4"/>
    <x v="1"/>
  </r>
  <r>
    <n v="1223"/>
    <x v="2"/>
    <s v="CenterLight HealthCare (PACE) (ANT)"/>
    <s v="Other"/>
    <s v="MLTC"/>
    <s v="RN Reassessment (NB)"/>
    <m/>
    <x v="4"/>
    <x v="0"/>
    <x v="0"/>
    <m/>
    <n v="1"/>
    <n v="1"/>
    <n v="1"/>
    <n v="1"/>
    <n v="1"/>
    <n v="1"/>
    <x v="1"/>
  </r>
  <r>
    <n v="1224"/>
    <x v="2"/>
    <s v="CenterLight HealthCare (PACE) (ANT)"/>
    <s v="Other"/>
    <s v="MLTC"/>
    <s v="T1019:U1"/>
    <s v="T1019:U1"/>
    <x v="4"/>
    <x v="0"/>
    <x v="0"/>
    <m/>
    <n v="1"/>
    <n v="142"/>
    <n v="609.75"/>
    <n v="1"/>
    <n v="142"/>
    <n v="609.75"/>
    <x v="0"/>
  </r>
  <r>
    <n v="1225"/>
    <x v="2"/>
    <s v="Centers Plan For Health Living PCA"/>
    <s v="MLTC"/>
    <s v="MLTC"/>
    <s v="PCA Hourly"/>
    <s v="T1019:U1"/>
    <x v="2"/>
    <x v="0"/>
    <x v="2"/>
    <m/>
    <n v="94"/>
    <n v="12619"/>
    <n v="71127.5"/>
    <n v="88"/>
    <n v="12338"/>
    <n v="69632.75"/>
    <x v="0"/>
  </r>
  <r>
    <n v="1226"/>
    <x v="2"/>
    <s v="Centers Plan For Health Living PCA"/>
    <s v="MLTC"/>
    <s v="MLTC"/>
    <s v="PCA Live-In"/>
    <s v="T1020"/>
    <x v="8"/>
    <x v="0"/>
    <x v="2"/>
    <m/>
    <n v="5"/>
    <n v="1093"/>
    <n v="14209"/>
    <n v="5"/>
    <n v="1093"/>
    <n v="14209"/>
    <x v="0"/>
  </r>
  <r>
    <n v="1227"/>
    <x v="2"/>
    <s v="Centers Plan For Health Living PCA"/>
    <s v="MLTC"/>
    <s v="MLTC"/>
    <s v="PRN (NB)"/>
    <m/>
    <x v="3"/>
    <x v="0"/>
    <x v="2"/>
    <m/>
    <n v="8"/>
    <n v="8"/>
    <n v="8"/>
    <n v="8"/>
    <n v="8"/>
    <n v="8"/>
    <x v="1"/>
  </r>
  <r>
    <n v="1228"/>
    <x v="2"/>
    <s v="Centers Plan For Health Living PCA"/>
    <s v="MLTC"/>
    <s v="MLTC"/>
    <s v="RN Initial (NB)"/>
    <m/>
    <x v="3"/>
    <x v="0"/>
    <x v="2"/>
    <m/>
    <n v="49"/>
    <n v="49"/>
    <n v="49"/>
    <n v="47"/>
    <n v="47"/>
    <n v="47"/>
    <x v="1"/>
  </r>
  <r>
    <n v="1229"/>
    <x v="2"/>
    <s v="Centers Plan For Health Living PCA"/>
    <s v="MLTC"/>
    <s v="MLTC"/>
    <s v="RN Initial Assessment"/>
    <m/>
    <x v="3"/>
    <x v="0"/>
    <x v="2"/>
    <m/>
    <n v="1"/>
    <n v="1"/>
    <n v="1"/>
    <n v="1"/>
    <n v="1"/>
    <n v="1"/>
    <x v="3"/>
  </r>
  <r>
    <n v="1230"/>
    <x v="2"/>
    <s v="Centers Plan For Health Living PCA"/>
    <s v="MLTC"/>
    <s v="MLTC"/>
    <s v="RN Reassessment (NB)"/>
    <m/>
    <x v="3"/>
    <x v="0"/>
    <x v="2"/>
    <m/>
    <n v="53"/>
    <n v="83"/>
    <n v="83"/>
    <n v="52"/>
    <n v="82"/>
    <n v="82"/>
    <x v="1"/>
  </r>
  <r>
    <n v="1235"/>
    <x v="2"/>
    <s v="Centers Plan For Healthy Living CDPAP "/>
    <s v="MLTC"/>
    <s v="CDPAP"/>
    <s v="PA Hourly - 5 Boroughs"/>
    <s v="T1019:U6"/>
    <x v="1"/>
    <x v="1"/>
    <x v="1"/>
    <m/>
    <n v="49"/>
    <n v="11864"/>
    <n v="54709.75"/>
    <n v="48"/>
    <n v="11840"/>
    <n v="54424"/>
    <x v="0"/>
  </r>
  <r>
    <n v="1236"/>
    <x v="2"/>
    <s v="Elderplan MJHS (ANT)"/>
    <s v="MLTC"/>
    <s v="MLTC"/>
    <s v="RN Initial (NB)"/>
    <m/>
    <x v="3"/>
    <x v="0"/>
    <x v="2"/>
    <m/>
    <n v="12"/>
    <n v="12"/>
    <n v="12"/>
    <n v="11"/>
    <n v="11"/>
    <n v="11"/>
    <x v="1"/>
  </r>
  <r>
    <n v="1237"/>
    <x v="2"/>
    <s v="Elderplan MJHS (ANT)"/>
    <s v="MLTC"/>
    <s v="MLTC"/>
    <s v="RN Reassessment (NB)"/>
    <m/>
    <x v="3"/>
    <x v="0"/>
    <x v="2"/>
    <m/>
    <n v="6"/>
    <n v="9"/>
    <n v="9"/>
    <n v="6"/>
    <n v="9"/>
    <n v="9"/>
    <x v="1"/>
  </r>
  <r>
    <n v="1238"/>
    <x v="2"/>
    <s v="Elderplan MJHS (ANT)"/>
    <s v="MLTC"/>
    <s v="MLTC"/>
    <s v="T1019:U1"/>
    <s v="T1019:U1"/>
    <x v="2"/>
    <x v="0"/>
    <x v="2"/>
    <m/>
    <n v="17"/>
    <n v="1833"/>
    <n v="9339.75"/>
    <n v="14"/>
    <n v="1775"/>
    <n v="8953.5"/>
    <x v="0"/>
  </r>
  <r>
    <n v="1239"/>
    <x v="2"/>
    <s v="Elderplan MJHS (ANT)"/>
    <s v="MLTC"/>
    <s v="MLTC"/>
    <s v="T1020"/>
    <s v="T1020"/>
    <x v="8"/>
    <x v="0"/>
    <x v="2"/>
    <m/>
    <n v="2"/>
    <n v="93"/>
    <n v="1209"/>
    <n v="2"/>
    <n v="93"/>
    <n v="1209"/>
    <x v="0"/>
  </r>
  <r>
    <n v="1242"/>
    <x v="2"/>
    <s v="Elderplan MJHS (CDP)"/>
    <s v="MLTC"/>
    <s v="CDPAP"/>
    <s v="T1019:U6"/>
    <s v="T1019:U6"/>
    <x v="1"/>
    <x v="1"/>
    <x v="1"/>
    <m/>
    <n v="12"/>
    <n v="2473"/>
    <n v="12336"/>
    <n v="12"/>
    <n v="2473"/>
    <n v="12336"/>
    <x v="0"/>
  </r>
  <r>
    <n v="1245"/>
    <x v="2"/>
    <s v="ElderServe/Riverspring (CDPAP)"/>
    <s v="MLTC"/>
    <s v="CDPAP"/>
    <s v="PA Hourly"/>
    <s v="T1019:U6"/>
    <x v="1"/>
    <x v="1"/>
    <x v="1"/>
    <m/>
    <n v="3"/>
    <n v="383"/>
    <n v="2323.25"/>
    <n v="3"/>
    <n v="383"/>
    <n v="2323.25"/>
    <x v="0"/>
  </r>
  <r>
    <n v="1246"/>
    <x v="2"/>
    <s v="ElderServe/Riverspring (PCA)"/>
    <s v="MLTC"/>
    <s v="MLTC"/>
    <s v="PCA Hourly NYC"/>
    <s v="T1019:U1"/>
    <x v="2"/>
    <x v="0"/>
    <x v="2"/>
    <m/>
    <n v="2"/>
    <n v="97"/>
    <n v="543"/>
    <n v="2"/>
    <n v="97"/>
    <n v="543"/>
    <x v="0"/>
  </r>
  <r>
    <n v="1247"/>
    <x v="2"/>
    <s v="ElderServe/Riverspring (PCA)"/>
    <s v="MLTC"/>
    <s v="MLTC"/>
    <s v="RN Initial (NB)"/>
    <m/>
    <x v="3"/>
    <x v="0"/>
    <x v="2"/>
    <m/>
    <n v="2"/>
    <n v="2"/>
    <n v="2"/>
    <n v="2"/>
    <n v="2"/>
    <n v="2"/>
    <x v="1"/>
  </r>
  <r>
    <n v="1252"/>
    <x v="2"/>
    <s v="Empire Blue Cross Blue Shield (CDPAP)"/>
    <s v="Other"/>
    <s v="CDPAP"/>
    <s v="PA Hourly (New)"/>
    <s v="T1019:U6"/>
    <x v="1"/>
    <x v="1"/>
    <x v="1"/>
    <m/>
    <n v="30"/>
    <n v="6190"/>
    <n v="36430.5"/>
    <n v="27"/>
    <n v="6108"/>
    <n v="35667.75"/>
    <x v="0"/>
  </r>
  <r>
    <n v="1253"/>
    <x v="2"/>
    <s v="Empire Blue Cross Blue Shield (CDPAP)"/>
    <s v="Other"/>
    <s v="CDPAP"/>
    <s v="PA Live-In"/>
    <s v="T1020:U6"/>
    <x v="9"/>
    <x v="1"/>
    <x v="1"/>
    <m/>
    <n v="2"/>
    <n v="495"/>
    <n v="6435"/>
    <n v="2"/>
    <n v="495"/>
    <n v="6435"/>
    <x v="0"/>
  </r>
  <r>
    <n v="1254"/>
    <x v="2"/>
    <s v="Empire Blue Cross Blue Shield (PCA)"/>
    <s v="Other"/>
    <s v="MLTC"/>
    <s v="PCA Hourly NYC"/>
    <s v="T1019:U1"/>
    <x v="2"/>
    <x v="0"/>
    <x v="2"/>
    <m/>
    <n v="21"/>
    <n v="3155"/>
    <n v="19337.25"/>
    <n v="19"/>
    <n v="3096"/>
    <n v="18900.25"/>
    <x v="0"/>
  </r>
  <r>
    <n v="1255"/>
    <x v="2"/>
    <s v="Empire Blue Cross Blue Shield (PCA)"/>
    <s v="Other"/>
    <s v="MLTC"/>
    <s v="PCA Live In"/>
    <s v="T1020"/>
    <x v="8"/>
    <x v="0"/>
    <x v="2"/>
    <m/>
    <n v="1"/>
    <n v="98"/>
    <n v="1274"/>
    <n v="0"/>
    <n v="0"/>
    <n v="0"/>
    <x v="0"/>
  </r>
  <r>
    <n v="1256"/>
    <x v="2"/>
    <s v="Empire Blue Cross Blue Shield (PCA)"/>
    <s v="Other"/>
    <s v="MLTC"/>
    <s v="PRN (NB)"/>
    <m/>
    <x v="3"/>
    <x v="0"/>
    <x v="2"/>
    <m/>
    <n v="2"/>
    <n v="2"/>
    <n v="2"/>
    <n v="2"/>
    <n v="2"/>
    <n v="2"/>
    <x v="1"/>
  </r>
  <r>
    <n v="1257"/>
    <x v="2"/>
    <s v="Empire Blue Cross Blue Shield (PCA)"/>
    <s v="Other"/>
    <s v="MLTC"/>
    <s v="RN Initial (NB)"/>
    <m/>
    <x v="3"/>
    <x v="0"/>
    <x v="2"/>
    <m/>
    <n v="9"/>
    <n v="9"/>
    <n v="9"/>
    <n v="7"/>
    <n v="7"/>
    <n v="7"/>
    <x v="1"/>
  </r>
  <r>
    <n v="1258"/>
    <x v="2"/>
    <s v="Empire Blue Cross Blue Shield (PCA)"/>
    <s v="Other"/>
    <s v="MLTC"/>
    <s v="RN Reassessment (NB)"/>
    <m/>
    <x v="3"/>
    <x v="0"/>
    <x v="2"/>
    <m/>
    <n v="11"/>
    <n v="19"/>
    <n v="19"/>
    <n v="11"/>
    <n v="19"/>
    <n v="19"/>
    <x v="1"/>
  </r>
  <r>
    <n v="1259"/>
    <x v="2"/>
    <s v="Extended Home Care"/>
    <s v="CHHA"/>
    <s v="CHHA"/>
    <s v="PedCode95"/>
    <s v="-"/>
    <x v="0"/>
    <x v="0"/>
    <x v="0"/>
    <s v="CHHA"/>
    <n v="9"/>
    <n v="439"/>
    <n v="2399.75"/>
    <n v="8"/>
    <n v="419"/>
    <n v="2288.25"/>
    <x v="0"/>
  </r>
  <r>
    <n v="1260"/>
    <x v="2"/>
    <s v="Extended Home Care"/>
    <s v="CHHA"/>
    <s v="CHHA"/>
    <s v="Rate1"/>
    <m/>
    <x v="0"/>
    <x v="0"/>
    <x v="0"/>
    <s v="CHHA"/>
    <n v="24"/>
    <n v="1364"/>
    <n v="6228.5"/>
    <n v="22"/>
    <n v="1306"/>
    <n v="6019.75"/>
    <x v="0"/>
  </r>
  <r>
    <n v="1261"/>
    <x v="2"/>
    <s v="Extended Home Care"/>
    <s v="CHHA"/>
    <s v="CHHA"/>
    <s v="Rate4HMO"/>
    <s v="0"/>
    <x v="0"/>
    <x v="0"/>
    <x v="0"/>
    <s v="CHHA"/>
    <n v="1"/>
    <n v="4"/>
    <n v="16"/>
    <n v="1"/>
    <n v="4"/>
    <n v="16"/>
    <x v="0"/>
  </r>
  <r>
    <n v="1262"/>
    <x v="2"/>
    <s v="Fidelis Care (ANT)"/>
    <s v="LHCSA"/>
    <s v="MLTC"/>
    <s v="PRN (NB)"/>
    <m/>
    <x v="3"/>
    <x v="0"/>
    <x v="2"/>
    <m/>
    <n v="5"/>
    <n v="6"/>
    <n v="6"/>
    <n v="5"/>
    <n v="6"/>
    <n v="6"/>
    <x v="1"/>
  </r>
  <r>
    <n v="1263"/>
    <x v="2"/>
    <s v="Fidelis Care (ANT)"/>
    <s v="LHCSA"/>
    <s v="MLTC"/>
    <s v="RN Initial (NB)"/>
    <m/>
    <x v="3"/>
    <x v="0"/>
    <x v="2"/>
    <m/>
    <n v="30"/>
    <n v="30"/>
    <n v="30"/>
    <n v="30"/>
    <n v="30"/>
    <n v="30"/>
    <x v="1"/>
  </r>
  <r>
    <n v="1264"/>
    <x v="2"/>
    <s v="Fidelis Care (ANT)"/>
    <s v="LHCSA"/>
    <s v="MLTC"/>
    <s v="RN Initial Assement"/>
    <s v="T2024"/>
    <x v="3"/>
    <x v="0"/>
    <x v="2"/>
    <m/>
    <n v="13"/>
    <n v="13"/>
    <n v="13"/>
    <n v="13"/>
    <n v="13"/>
    <n v="13"/>
    <x v="3"/>
  </r>
  <r>
    <n v="1265"/>
    <x v="2"/>
    <s v="Fidelis Care (ANT)"/>
    <s v="LHCSA"/>
    <s v="MLTC"/>
    <s v="RN Reassessment (NB)"/>
    <m/>
    <x v="3"/>
    <x v="0"/>
    <x v="2"/>
    <m/>
    <n v="33"/>
    <n v="40"/>
    <n v="40"/>
    <n v="33"/>
    <n v="40"/>
    <n v="40"/>
    <x v="1"/>
  </r>
  <r>
    <n v="1266"/>
    <x v="2"/>
    <s v="Fidelis Care (ANT)"/>
    <s v="LHCSA"/>
    <s v="MLTC"/>
    <s v="S5130:U1"/>
    <s v="S5130:U1::::Homemaker"/>
    <x v="6"/>
    <x v="0"/>
    <x v="2"/>
    <m/>
    <n v="1"/>
    <n v="2"/>
    <n v="10"/>
    <n v="1"/>
    <n v="2"/>
    <n v="10"/>
    <x v="0"/>
  </r>
  <r>
    <n v="1267"/>
    <x v="2"/>
    <s v="Fidelis Care (ANT)"/>
    <s v="LHCSA"/>
    <s v="MLTC"/>
    <s v="T1019:U1"/>
    <s v="T1019:U1"/>
    <x v="2"/>
    <x v="0"/>
    <x v="2"/>
    <m/>
    <n v="79"/>
    <n v="8762"/>
    <n v="50727.75"/>
    <n v="76"/>
    <n v="8720"/>
    <n v="50552.25"/>
    <x v="0"/>
  </r>
  <r>
    <n v="1268"/>
    <x v="2"/>
    <s v="Fidelis Care (ANT)"/>
    <s v="LHCSA"/>
    <s v="MLTC"/>
    <s v="T1020"/>
    <s v="T1020"/>
    <x v="8"/>
    <x v="0"/>
    <x v="2"/>
    <m/>
    <n v="2"/>
    <n v="105"/>
    <n v="1365"/>
    <n v="2"/>
    <n v="105"/>
    <n v="1365"/>
    <x v="0"/>
  </r>
  <r>
    <n v="1271"/>
    <x v="2"/>
    <s v="Fidelis Care (CDP)"/>
    <s v="LHCSA"/>
    <s v="CDPAP"/>
    <s v="T1019:U6"/>
    <s v="T1019:U6"/>
    <x v="1"/>
    <x v="1"/>
    <x v="1"/>
    <m/>
    <n v="28"/>
    <n v="4454"/>
    <n v="21993.5"/>
    <n v="27"/>
    <n v="4449"/>
    <n v="21955.5"/>
    <x v="0"/>
  </r>
  <r>
    <n v="1272"/>
    <x v="2"/>
    <s v="Fidelis Care PCA (Non Live)"/>
    <s v="MLTC"/>
    <s v="MLTC"/>
    <s v="PCA Hourly"/>
    <s v="T1019:U1"/>
    <x v="2"/>
    <x v="0"/>
    <x v="2"/>
    <m/>
    <n v="1"/>
    <n v="1"/>
    <n v="1"/>
    <n v="1"/>
    <n v="1"/>
    <n v="1"/>
    <x v="0"/>
  </r>
  <r>
    <n v="1273"/>
    <x v="2"/>
    <s v="Fidelis Care PCA (Non Live)"/>
    <s v="MLTC"/>
    <s v="MLTC"/>
    <s v="RN Initial (NB)"/>
    <s v="G0162"/>
    <x v="3"/>
    <x v="0"/>
    <x v="2"/>
    <m/>
    <n v="4"/>
    <n v="4"/>
    <n v="4"/>
    <n v="3"/>
    <n v="3"/>
    <n v="3"/>
    <x v="1"/>
  </r>
  <r>
    <n v="1274"/>
    <x v="2"/>
    <s v="Fidelis Care PCA (Non Live)"/>
    <s v="MLTC"/>
    <s v="MLTC"/>
    <s v="Rn initial assement"/>
    <s v="G0162"/>
    <x v="3"/>
    <x v="0"/>
    <x v="2"/>
    <m/>
    <n v="12"/>
    <n v="12"/>
    <n v="12"/>
    <n v="11"/>
    <n v="11"/>
    <n v="11"/>
    <x v="3"/>
  </r>
  <r>
    <n v="1276"/>
    <x v="2"/>
    <s v="Hamaspik Choice (MLTC) CDPAP"/>
    <s v="MCO"/>
    <s v="CDPAP"/>
    <s v="PA Hourly NYC , Nassau, Westchester"/>
    <s v="T1019:U6"/>
    <x v="1"/>
    <x v="1"/>
    <x v="1"/>
    <m/>
    <n v="1"/>
    <n v="366"/>
    <n v="1097.75"/>
    <n v="1"/>
    <n v="366"/>
    <n v="1097.75"/>
    <x v="0"/>
  </r>
  <r>
    <n v="1278"/>
    <x v="2"/>
    <s v="Hamaspik Choice MLTC (PCA)"/>
    <s v="MLTC"/>
    <s v="MLTC"/>
    <s v="PCA Hourly"/>
    <s v="T1019:U1"/>
    <x v="2"/>
    <x v="0"/>
    <x v="2"/>
    <m/>
    <n v="8"/>
    <n v="1103"/>
    <n v="7958.25"/>
    <n v="8"/>
    <n v="1103"/>
    <n v="7958.25"/>
    <x v="0"/>
  </r>
  <r>
    <n v="1279"/>
    <x v="2"/>
    <s v="Hamaspik Choice MLTC (PCA)"/>
    <s v="MLTC"/>
    <s v="MLTC"/>
    <s v="PCA Live In"/>
    <s v="T1020"/>
    <x v="8"/>
    <x v="0"/>
    <x v="2"/>
    <m/>
    <n v="2"/>
    <n v="68"/>
    <n v="884"/>
    <n v="2"/>
    <n v="68"/>
    <n v="884"/>
    <x v="0"/>
  </r>
  <r>
    <n v="1280"/>
    <x v="2"/>
    <s v="Hamaspik Choice MLTC (PCA)"/>
    <s v="MLTC"/>
    <s v="MLTC"/>
    <s v="RN Initial (NB)"/>
    <m/>
    <x v="3"/>
    <x v="0"/>
    <x v="2"/>
    <m/>
    <n v="5"/>
    <n v="5"/>
    <n v="5"/>
    <n v="5"/>
    <n v="5"/>
    <n v="5"/>
    <x v="1"/>
  </r>
  <r>
    <n v="1281"/>
    <x v="2"/>
    <s v="Hamaspik Choice MLTC (PCA)"/>
    <s v="MLTC"/>
    <s v="MLTC"/>
    <s v="RN Reassessment (NB)"/>
    <m/>
    <x v="3"/>
    <x v="0"/>
    <x v="2"/>
    <m/>
    <n v="4"/>
    <n v="6"/>
    <n v="6"/>
    <n v="4"/>
    <n v="6"/>
    <n v="6"/>
    <x v="1"/>
  </r>
  <r>
    <n v="1283"/>
    <x v="2"/>
    <s v="Hamaspik MAP CDPAP"/>
    <s v="MCO"/>
    <s v="CDPAP"/>
    <s v="PA Hourly (NYC, LI, &amp; Westchester)"/>
    <s v="T1019:U6"/>
    <x v="1"/>
    <x v="1"/>
    <x v="1"/>
    <m/>
    <n v="1"/>
    <n v="175"/>
    <n v="1529"/>
    <n v="1"/>
    <n v="175"/>
    <n v="1529"/>
    <x v="0"/>
  </r>
  <r>
    <n v="1285"/>
    <x v="2"/>
    <s v="Hamaspik MAP PCA"/>
    <s v="MCO"/>
    <s v="MLTC"/>
    <s v="PCA Hourly"/>
    <s v="T1019:U1"/>
    <x v="2"/>
    <x v="0"/>
    <x v="2"/>
    <m/>
    <n v="5"/>
    <n v="740"/>
    <n v="3494"/>
    <n v="3"/>
    <n v="642"/>
    <n v="3103"/>
    <x v="0"/>
  </r>
  <r>
    <n v="1286"/>
    <x v="2"/>
    <s v="Hamaspik MAP PCA"/>
    <s v="MCO"/>
    <s v="MLTC"/>
    <s v="PRN (NB)"/>
    <m/>
    <x v="3"/>
    <x v="0"/>
    <x v="2"/>
    <m/>
    <n v="2"/>
    <n v="2"/>
    <n v="2"/>
    <n v="2"/>
    <n v="2"/>
    <n v="2"/>
    <x v="1"/>
  </r>
  <r>
    <n v="1287"/>
    <x v="2"/>
    <s v="Hamaspik MAP PCA"/>
    <s v="MCO"/>
    <s v="MLTC"/>
    <s v="RN Initial (NB)"/>
    <m/>
    <x v="3"/>
    <x v="0"/>
    <x v="2"/>
    <m/>
    <n v="2"/>
    <n v="2"/>
    <n v="2"/>
    <n v="1"/>
    <n v="1"/>
    <n v="1"/>
    <x v="1"/>
  </r>
  <r>
    <n v="1288"/>
    <x v="2"/>
    <s v="Hamaspik MAP PCA"/>
    <s v="MCO"/>
    <s v="MLTC"/>
    <s v="RN Reassessment (NB)"/>
    <m/>
    <x v="3"/>
    <x v="0"/>
    <x v="2"/>
    <m/>
    <n v="4"/>
    <n v="4"/>
    <n v="4"/>
    <n v="3"/>
    <n v="3"/>
    <n v="3"/>
    <x v="1"/>
  </r>
  <r>
    <n v="1289"/>
    <x v="2"/>
    <s v="Healthfirst (ANT)"/>
    <s v="CHHA"/>
    <s v="MLTC"/>
    <s v="RN Initial (NB)"/>
    <m/>
    <x v="3"/>
    <x v="0"/>
    <x v="2"/>
    <m/>
    <n v="10"/>
    <n v="10"/>
    <n v="10"/>
    <n v="10"/>
    <n v="10"/>
    <n v="10"/>
    <x v="1"/>
  </r>
  <r>
    <n v="1290"/>
    <x v="2"/>
    <s v="Healthfirst (ANT)"/>
    <s v="CHHA"/>
    <s v="MLTC"/>
    <s v="RN Reassessment (NB)"/>
    <m/>
    <x v="3"/>
    <x v="0"/>
    <x v="2"/>
    <m/>
    <n v="15"/>
    <n v="21"/>
    <n v="21"/>
    <n v="15"/>
    <n v="21"/>
    <n v="21"/>
    <x v="1"/>
  </r>
  <r>
    <n v="1291"/>
    <x v="2"/>
    <s v="Healthfirst (ANT)"/>
    <s v="CHHA"/>
    <s v="MLTC"/>
    <s v="S5130:U1"/>
    <s v="S5130:U1"/>
    <x v="6"/>
    <x v="0"/>
    <x v="2"/>
    <m/>
    <n v="3"/>
    <n v="95"/>
    <n v="589.75"/>
    <n v="3"/>
    <n v="95"/>
    <n v="589.75"/>
    <x v="0"/>
  </r>
  <r>
    <n v="1292"/>
    <x v="2"/>
    <s v="Healthfirst (ANT)"/>
    <s v="CHHA"/>
    <s v="MLTC"/>
    <s v="T1019:U1"/>
    <s v="T1019:U1"/>
    <x v="2"/>
    <x v="0"/>
    <x v="2"/>
    <m/>
    <n v="22"/>
    <n v="1832"/>
    <n v="8942.25"/>
    <n v="21"/>
    <n v="1813"/>
    <n v="8828.5"/>
    <x v="0"/>
  </r>
  <r>
    <n v="1293"/>
    <x v="2"/>
    <s v="Healthfirst (ANT)"/>
    <s v="CHHA"/>
    <s v="MLTC"/>
    <s v="T1020"/>
    <s v="T1020"/>
    <x v="8"/>
    <x v="0"/>
    <x v="2"/>
    <m/>
    <n v="1"/>
    <n v="90"/>
    <n v="1170"/>
    <n v="1"/>
    <n v="90"/>
    <n v="1170"/>
    <x v="0"/>
  </r>
  <r>
    <n v="1295"/>
    <x v="2"/>
    <s v="Healthfirst (CDP)"/>
    <s v="CHHA"/>
    <s v="CDPAP"/>
    <s v="T1019:U6"/>
    <s v="T1019:U6"/>
    <x v="1"/>
    <x v="1"/>
    <x v="1"/>
    <m/>
    <n v="18"/>
    <n v="1724"/>
    <n v="8581.5"/>
    <n v="16"/>
    <n v="1603"/>
    <n v="8065.25"/>
    <x v="0"/>
  </r>
  <r>
    <n v="1296"/>
    <x v="2"/>
    <s v="NHTD"/>
    <s v="LHCSA"/>
    <s v="Medicaid"/>
    <s v="HCSS 9795 NYC"/>
    <s v="9795"/>
    <x v="4"/>
    <x v="0"/>
    <x v="0"/>
    <m/>
    <n v="67"/>
    <n v="27910"/>
    <n v="305613.5"/>
    <n v="64"/>
    <n v="27769"/>
    <n v="303990.5"/>
    <x v="0"/>
  </r>
  <r>
    <n v="1297"/>
    <x v="2"/>
    <s v="NHTD"/>
    <s v="LHCSA"/>
    <s v="Medicaid"/>
    <s v="HCSS 9795 Rest of State"/>
    <s v="9795"/>
    <x v="4"/>
    <x v="0"/>
    <x v="0"/>
    <m/>
    <n v="1"/>
    <n v="128"/>
    <n v="1331.75"/>
    <n v="1"/>
    <n v="128"/>
    <n v="1331.75"/>
    <x v="0"/>
  </r>
  <r>
    <n v="1298"/>
    <x v="2"/>
    <s v="NHTD"/>
    <s v="LHCSA"/>
    <s v="Medicaid"/>
    <s v="Initial RN Visit 9799 (Hourly)"/>
    <s v="9799"/>
    <x v="4"/>
    <x v="0"/>
    <x v="0"/>
    <m/>
    <n v="22"/>
    <n v="22"/>
    <n v="23"/>
    <n v="20"/>
    <n v="20"/>
    <n v="20"/>
    <x v="2"/>
  </r>
  <r>
    <n v="1299"/>
    <x v="2"/>
    <s v="NHTD"/>
    <s v="LHCSA"/>
    <s v="Medicaid"/>
    <s v="PRN (NB)"/>
    <m/>
    <x v="4"/>
    <x v="0"/>
    <x v="0"/>
    <m/>
    <n v="3"/>
    <n v="3"/>
    <n v="3"/>
    <n v="3"/>
    <n v="3"/>
    <n v="3"/>
    <x v="2"/>
  </r>
  <r>
    <n v="1300"/>
    <x v="2"/>
    <s v="NHTD"/>
    <s v="LHCSA"/>
    <s v="Medicaid"/>
    <s v="RN Initial (NB)"/>
    <m/>
    <x v="4"/>
    <x v="0"/>
    <x v="0"/>
    <m/>
    <n v="6"/>
    <n v="6"/>
    <n v="6"/>
    <n v="6"/>
    <n v="6"/>
    <n v="6"/>
    <x v="2"/>
  </r>
  <r>
    <n v="1301"/>
    <x v="2"/>
    <s v="NHTD"/>
    <s v="LHCSA"/>
    <s v="Medicaid"/>
    <s v="RN Reassessment (NB)"/>
    <m/>
    <x v="4"/>
    <x v="0"/>
    <x v="0"/>
    <m/>
    <n v="1"/>
    <n v="1"/>
    <n v="1"/>
    <n v="1"/>
    <n v="1"/>
    <n v="1"/>
    <x v="2"/>
  </r>
  <r>
    <n v="1302"/>
    <x v="2"/>
    <s v="NHTD"/>
    <s v="LHCSA"/>
    <s v="Medicaid"/>
    <s v="RN Visit 9799 (Hourly)"/>
    <s v="9799"/>
    <x v="4"/>
    <x v="0"/>
    <x v="0"/>
    <m/>
    <n v="55"/>
    <n v="92"/>
    <n v="90.5"/>
    <n v="54"/>
    <n v="90"/>
    <n v="90"/>
    <x v="2"/>
  </r>
  <r>
    <n v="1303"/>
    <x v="2"/>
    <s v="Non Billable"/>
    <s v="Other"/>
    <s v="Insurance"/>
    <s v="PCA Hourly"/>
    <m/>
    <x v="5"/>
    <x v="0"/>
    <x v="3"/>
    <m/>
    <n v="13"/>
    <n v="16"/>
    <n v="44.25"/>
    <n v="13"/>
    <n v="16"/>
    <n v="44.25"/>
    <x v="0"/>
  </r>
  <r>
    <n v="1304"/>
    <x v="2"/>
    <s v="Prime Home Health Services"/>
    <s v="CHHA"/>
    <s v="CHHA"/>
    <s v="HHAHOUR"/>
    <m/>
    <x v="0"/>
    <x v="0"/>
    <x v="0"/>
    <s v="CHHA"/>
    <n v="1"/>
    <n v="11"/>
    <n v="42.75"/>
    <n v="1"/>
    <n v="11"/>
    <n v="42.75"/>
    <x v="0"/>
  </r>
  <r>
    <n v="1305"/>
    <x v="2"/>
    <s v="Private Pay"/>
    <s v="Other"/>
    <s v="Private"/>
    <s v="Live In - 3 Hours"/>
    <m/>
    <x v="5"/>
    <x v="0"/>
    <x v="3"/>
    <m/>
    <n v="1"/>
    <n v="22"/>
    <n v="296.5"/>
    <n v="1"/>
    <n v="22"/>
    <n v="286"/>
    <x v="0"/>
  </r>
  <r>
    <n v="1306"/>
    <x v="2"/>
    <s v="Private Pay"/>
    <s v="Other"/>
    <s v="Private"/>
    <s v="PCA Hourly"/>
    <m/>
    <x v="5"/>
    <x v="0"/>
    <x v="3"/>
    <m/>
    <n v="9"/>
    <n v="73"/>
    <n v="217"/>
    <n v="7"/>
    <n v="14"/>
    <n v="48"/>
    <x v="0"/>
  </r>
  <r>
    <n v="1307"/>
    <x v="2"/>
    <s v="Private Pay - Select"/>
    <s v="Other"/>
    <s v="Private"/>
    <s v="HHA Live-in"/>
    <m/>
    <x v="5"/>
    <x v="0"/>
    <x v="3"/>
    <m/>
    <n v="1"/>
    <n v="366"/>
    <n v="8610.25"/>
    <n v="1"/>
    <n v="366"/>
    <n v="4758"/>
    <x v="0"/>
  </r>
  <r>
    <n v="1308"/>
    <x v="2"/>
    <s v="Private Pay - Select"/>
    <s v="Other"/>
    <s v="Private"/>
    <s v="PCA Hourly"/>
    <m/>
    <x v="5"/>
    <x v="0"/>
    <x v="3"/>
    <m/>
    <n v="2"/>
    <n v="217"/>
    <n v="2941.25"/>
    <n v="2"/>
    <n v="217"/>
    <n v="2941.25"/>
    <x v="0"/>
  </r>
  <r>
    <n v="1309"/>
    <x v="2"/>
    <s v="Private Pay - Select"/>
    <s v="Other"/>
    <s v="Private"/>
    <s v="PCA Live-in"/>
    <m/>
    <x v="5"/>
    <x v="0"/>
    <x v="3"/>
    <m/>
    <n v="1"/>
    <n v="6"/>
    <n v="55.5"/>
    <n v="1"/>
    <n v="6"/>
    <n v="55.5"/>
    <x v="0"/>
  </r>
  <r>
    <n v="1310"/>
    <x v="2"/>
    <s v="Private Pay - Select"/>
    <s v="Other"/>
    <s v="Private"/>
    <s v="RN Initial (NB)"/>
    <m/>
    <x v="5"/>
    <x v="0"/>
    <x v="3"/>
    <m/>
    <n v="1"/>
    <n v="1"/>
    <n v="1.5"/>
    <n v="1"/>
    <n v="1"/>
    <n v="1"/>
    <x v="0"/>
  </r>
  <r>
    <n v="1311"/>
    <x v="2"/>
    <s v="Private Pay - Select"/>
    <s v="Other"/>
    <s v="Private"/>
    <s v="RN Reassessment (NB)"/>
    <m/>
    <x v="5"/>
    <x v="0"/>
    <x v="3"/>
    <m/>
    <n v="1"/>
    <n v="2"/>
    <n v="1.5"/>
    <n v="1"/>
    <n v="2"/>
    <n v="2"/>
    <x v="0"/>
  </r>
  <r>
    <n v="1312"/>
    <x v="2"/>
    <s v="Revival Home Health Care"/>
    <s v="CHHA"/>
    <s v="CHHA"/>
    <s v="Rate1"/>
    <s v="S9122"/>
    <x v="0"/>
    <x v="0"/>
    <x v="0"/>
    <s v="CHHA"/>
    <n v="11"/>
    <n v="109"/>
    <n v="414"/>
    <n v="7"/>
    <n v="94"/>
    <n v="365.75"/>
    <x v="0"/>
  </r>
  <r>
    <n v="1313"/>
    <x v="2"/>
    <s v="TBI"/>
    <s v="LHCSA"/>
    <s v="Medicaid"/>
    <s v="HCSS 9879"/>
    <s v="9879"/>
    <x v="4"/>
    <x v="0"/>
    <x v="0"/>
    <m/>
    <n v="1"/>
    <n v="48"/>
    <n v="418"/>
    <n v="1"/>
    <n v="48"/>
    <n v="418"/>
    <x v="0"/>
  </r>
  <r>
    <n v="1319"/>
    <x v="2"/>
    <s v="VillageCare CDPAP"/>
    <s v="MCO"/>
    <s v="CDPAP"/>
    <s v="PA Hourly"/>
    <s v="T1019:U6"/>
    <x v="1"/>
    <x v="1"/>
    <x v="1"/>
    <m/>
    <n v="24"/>
    <n v="2347"/>
    <n v="13476"/>
    <n v="22"/>
    <n v="2286"/>
    <n v="13117"/>
    <x v="0"/>
  </r>
  <r>
    <n v="1320"/>
    <x v="2"/>
    <s v="VillageCare CDPAP"/>
    <s v="MCO"/>
    <s v="CDPAP"/>
    <s v="PA Hourly Mutual"/>
    <s v="T1019:U7"/>
    <x v="10"/>
    <x v="1"/>
    <x v="1"/>
    <m/>
    <n v="3"/>
    <n v="80"/>
    <n v="356.25"/>
    <n v="3"/>
    <n v="80"/>
    <n v="356.25"/>
    <x v="0"/>
  </r>
  <r>
    <n v="1321"/>
    <x v="2"/>
    <s v="VillageCare PCA"/>
    <s v="MLTC"/>
    <s v="MLTC"/>
    <s v="PCA Cluster Care"/>
    <s v="T1019:U3"/>
    <x v="11"/>
    <x v="0"/>
    <x v="2"/>
    <m/>
    <n v="3"/>
    <n v="166"/>
    <n v="407.5"/>
    <n v="3"/>
    <n v="166"/>
    <n v="407.5"/>
    <x v="0"/>
  </r>
  <r>
    <n v="1322"/>
    <x v="2"/>
    <s v="VillageCare PCA"/>
    <s v="MLTC"/>
    <s v="MLTC"/>
    <s v="PCA Hourly"/>
    <s v="T1019:U1"/>
    <x v="2"/>
    <x v="0"/>
    <x v="2"/>
    <m/>
    <n v="36"/>
    <n v="2074"/>
    <n v="13077.75"/>
    <n v="36"/>
    <n v="2074"/>
    <n v="13077.75"/>
    <x v="0"/>
  </r>
  <r>
    <n v="1323"/>
    <x v="2"/>
    <s v="VillageCare PCA"/>
    <s v="MLTC"/>
    <s v="MLTC"/>
    <s v="PCA Hourly"/>
    <s v="T1019:U1:TV"/>
    <x v="2"/>
    <x v="0"/>
    <x v="2"/>
    <m/>
    <n v="8"/>
    <n v="282"/>
    <n v="2676.25"/>
    <n v="8"/>
    <n v="282"/>
    <n v="2676.25"/>
    <x v="0"/>
  </r>
  <r>
    <n v="1324"/>
    <x v="2"/>
    <s v="VillageCare PCA"/>
    <s v="MLTC"/>
    <s v="MLTC"/>
    <s v="PCA Hourly Mutual"/>
    <s v="T1019:U2"/>
    <x v="11"/>
    <x v="0"/>
    <x v="2"/>
    <m/>
    <n v="4"/>
    <n v="102"/>
    <n v="310.75"/>
    <n v="2"/>
    <n v="59"/>
    <n v="180.75"/>
    <x v="0"/>
  </r>
  <r>
    <n v="1325"/>
    <x v="2"/>
    <s v="VillageCare PCA"/>
    <s v="MLTC"/>
    <s v="MLTC"/>
    <s v="PCA Hourly Mutual TV"/>
    <s v="T1019:U2:TV"/>
    <x v="11"/>
    <x v="0"/>
    <x v="2"/>
    <m/>
    <n v="1"/>
    <n v="14"/>
    <n v="40.5"/>
    <n v="1"/>
    <n v="14"/>
    <n v="40.5"/>
    <x v="0"/>
  </r>
  <r>
    <n v="1326"/>
    <x v="2"/>
    <s v="VillageCare PCA"/>
    <s v="MLTC"/>
    <s v="MLTC"/>
    <s v="PCA Hourly TV"/>
    <s v="T1019:U1:TV"/>
    <x v="2"/>
    <x v="0"/>
    <x v="2"/>
    <m/>
    <n v="17"/>
    <n v="183"/>
    <n v="967.5"/>
    <n v="17"/>
    <n v="183"/>
    <n v="967.5"/>
    <x v="0"/>
  </r>
  <r>
    <n v="1327"/>
    <x v="2"/>
    <s v="VillageCare PCA"/>
    <s v="MLTC"/>
    <s v="MLTC"/>
    <s v="PRN (NB)"/>
    <m/>
    <x v="3"/>
    <x v="0"/>
    <x v="2"/>
    <m/>
    <n v="3"/>
    <n v="3"/>
    <n v="3"/>
    <n v="3"/>
    <n v="3"/>
    <n v="3"/>
    <x v="1"/>
  </r>
  <r>
    <n v="1328"/>
    <x v="2"/>
    <s v="VillageCare PCA"/>
    <s v="MLTC"/>
    <s v="MLTC"/>
    <s v="RN Initial Visit"/>
    <s v="T1030"/>
    <x v="7"/>
    <x v="0"/>
    <x v="2"/>
    <m/>
    <n v="34"/>
    <n v="34"/>
    <n v="34"/>
    <n v="32"/>
    <n v="32"/>
    <n v="32"/>
    <x v="3"/>
  </r>
  <r>
    <n v="1329"/>
    <x v="2"/>
    <s v="VillageCare PCA"/>
    <s v="MLTC"/>
    <s v="MLTC"/>
    <s v="RN Reassessment (NB)"/>
    <m/>
    <x v="3"/>
    <x v="0"/>
    <x v="2"/>
    <m/>
    <n v="4"/>
    <n v="5"/>
    <n v="5"/>
    <n v="4"/>
    <n v="5"/>
    <n v="5"/>
    <x v="1"/>
  </r>
  <r>
    <n v="1330"/>
    <x v="2"/>
    <s v="VNS Health Health Plans (ANT)"/>
    <s v="MLTC"/>
    <s v="MLTC"/>
    <s v="Aide Supervision (NB)"/>
    <m/>
    <x v="7"/>
    <x v="0"/>
    <x v="2"/>
    <m/>
    <n v="1"/>
    <n v="1"/>
    <n v="1"/>
    <n v="0"/>
    <n v="0"/>
    <n v="0"/>
    <x v="1"/>
  </r>
  <r>
    <n v="1331"/>
    <x v="2"/>
    <s v="VNS Health Health Plans (ANT)"/>
    <s v="MLTC"/>
    <s v="MLTC"/>
    <s v="PRN (NB)"/>
    <m/>
    <x v="3"/>
    <x v="0"/>
    <x v="2"/>
    <m/>
    <n v="9"/>
    <n v="11"/>
    <n v="11"/>
    <n v="9"/>
    <n v="11"/>
    <n v="11"/>
    <x v="1"/>
  </r>
  <r>
    <n v="1332"/>
    <x v="2"/>
    <s v="VNS Health Health Plans (ANT)"/>
    <s v="MLTC"/>
    <s v="MLTC"/>
    <s v="RN - Initial Visit"/>
    <m/>
    <x v="3"/>
    <x v="0"/>
    <x v="2"/>
    <m/>
    <n v="1"/>
    <n v="1"/>
    <n v="1"/>
    <n v="1"/>
    <n v="1"/>
    <n v="1"/>
    <x v="3"/>
  </r>
  <r>
    <n v="1333"/>
    <x v="2"/>
    <s v="VNS Health Health Plans (ANT)"/>
    <s v="MLTC"/>
    <s v="MLTC"/>
    <s v="RN Initial (NB)"/>
    <m/>
    <x v="3"/>
    <x v="0"/>
    <x v="2"/>
    <m/>
    <n v="33"/>
    <n v="34"/>
    <n v="34"/>
    <n v="27"/>
    <n v="28"/>
    <n v="28"/>
    <x v="1"/>
  </r>
  <r>
    <n v="1334"/>
    <x v="2"/>
    <s v="VNS Health Health Plans (ANT)"/>
    <s v="MLTC"/>
    <s v="MLTC"/>
    <s v="RN Reassessment (NB)"/>
    <m/>
    <x v="3"/>
    <x v="0"/>
    <x v="2"/>
    <m/>
    <n v="73"/>
    <n v="126"/>
    <n v="126"/>
    <n v="68"/>
    <n v="117"/>
    <n v="117"/>
    <x v="1"/>
  </r>
  <r>
    <n v="1335"/>
    <x v="2"/>
    <s v="VNS Health Health Plans (ANT)"/>
    <s v="MLTC"/>
    <s v="MLTC"/>
    <s v="T1019U1 K"/>
    <s v="T1019:U1"/>
    <x v="2"/>
    <x v="0"/>
    <x v="2"/>
    <m/>
    <n v="1"/>
    <n v="304"/>
    <n v="3612.5"/>
    <n v="1"/>
    <n v="304"/>
    <n v="3612.5"/>
    <x v="0"/>
  </r>
  <r>
    <n v="1336"/>
    <x v="2"/>
    <s v="VNS Health Health Plans (ANT)"/>
    <s v="MLTC"/>
    <s v="MLTC"/>
    <s v="T1019U1 SI"/>
    <s v="T1019:U1"/>
    <x v="2"/>
    <x v="0"/>
    <x v="2"/>
    <m/>
    <n v="102"/>
    <n v="14170"/>
    <n v="94715.5"/>
    <n v="89"/>
    <n v="12950"/>
    <n v="86054.25"/>
    <x v="0"/>
  </r>
  <r>
    <n v="1337"/>
    <x v="2"/>
    <s v="VNS Health Health Plans (ANT)"/>
    <s v="MLTC"/>
    <s v="MLTC"/>
    <s v="T1019U1 SI MAP"/>
    <s v="T1019:U1"/>
    <x v="2"/>
    <x v="0"/>
    <x v="2"/>
    <m/>
    <n v="1"/>
    <n v="65"/>
    <n v="327.25"/>
    <n v="1"/>
    <n v="65"/>
    <n v="327.25"/>
    <x v="0"/>
  </r>
  <r>
    <n v="1338"/>
    <x v="2"/>
    <s v="VNS Health Health Plans (ANT)"/>
    <s v="MLTC"/>
    <s v="MLTC"/>
    <s v="T1019U2 SI"/>
    <s v="T1019:U2"/>
    <x v="11"/>
    <x v="0"/>
    <x v="2"/>
    <m/>
    <n v="20"/>
    <n v="1042"/>
    <n v="8445.75"/>
    <n v="20"/>
    <n v="1042"/>
    <n v="8445.75"/>
    <x v="0"/>
  </r>
  <r>
    <n v="1339"/>
    <x v="2"/>
    <s v="VNS Health Health Plans (ANT)"/>
    <s v="MLTC"/>
    <s v="MLTC"/>
    <s v="T1019U3 SI"/>
    <s v="T1019:U3"/>
    <x v="11"/>
    <x v="0"/>
    <x v="2"/>
    <m/>
    <n v="3"/>
    <n v="120"/>
    <n v="469"/>
    <n v="3"/>
    <n v="120"/>
    <n v="469"/>
    <x v="0"/>
  </r>
  <r>
    <n v="1340"/>
    <x v="2"/>
    <s v="VNS Health Health Plans (ANT)"/>
    <s v="MLTC"/>
    <s v="MLTC"/>
    <s v="T1020 SI"/>
    <s v="T1020"/>
    <x v="8"/>
    <x v="0"/>
    <x v="2"/>
    <m/>
    <n v="2"/>
    <n v="12"/>
    <n v="156"/>
    <n v="2"/>
    <n v="12"/>
    <n v="156"/>
    <x v="0"/>
  </r>
  <r>
    <n v="1341"/>
    <x v="2"/>
    <s v="VNS Health Health Plans (ANT)"/>
    <s v="MLTC"/>
    <s v="MLTC"/>
    <s v="T1020 SI MAP"/>
    <s v="T1020"/>
    <x v="8"/>
    <x v="0"/>
    <x v="2"/>
    <m/>
    <n v="1"/>
    <n v="152"/>
    <n v="1976"/>
    <n v="1"/>
    <n v="152"/>
    <n v="1976"/>
    <x v="0"/>
  </r>
  <r>
    <n v="1342"/>
    <x v="2"/>
    <s v="VNS Health Health Plans (ANT)"/>
    <s v="MLTC"/>
    <s v="MLTC"/>
    <s v="T1020U2 SI"/>
    <s v="T1020:U2"/>
    <x v="8"/>
    <x v="0"/>
    <x v="2"/>
    <m/>
    <n v="2"/>
    <n v="205"/>
    <n v="2665"/>
    <n v="2"/>
    <n v="205"/>
    <n v="2665"/>
    <x v="0"/>
  </r>
  <r>
    <n v="1348"/>
    <x v="2"/>
    <s v="VNS Health Health Plans (CDP)"/>
    <s v="MLTC"/>
    <s v="CDPAP"/>
    <s v="T1019U6 NAS"/>
    <s v="T1019:U6"/>
    <x v="1"/>
    <x v="1"/>
    <x v="1"/>
    <m/>
    <n v="1"/>
    <n v="716"/>
    <n v="3881.75"/>
    <n v="1"/>
    <n v="716"/>
    <n v="3881.75"/>
    <x v="0"/>
  </r>
  <r>
    <n v="1349"/>
    <x v="2"/>
    <s v="VNS Health Health Plans (CDP)"/>
    <s v="MLTC"/>
    <s v="CDPAP"/>
    <s v="T1019U6 SI"/>
    <s v="T1019:U6"/>
    <x v="1"/>
    <x v="1"/>
    <x v="1"/>
    <m/>
    <n v="72"/>
    <n v="15218"/>
    <n v="89542.75"/>
    <n v="64"/>
    <n v="14719"/>
    <n v="86699.5"/>
    <x v="0"/>
  </r>
  <r>
    <n v="1350"/>
    <x v="2"/>
    <s v="VNS Health Health Plans (CDP)"/>
    <s v="MLTC"/>
    <s v="CDPAP"/>
    <s v="T1019U6 WES"/>
    <s v="T1019:U6"/>
    <x v="1"/>
    <x v="1"/>
    <x v="1"/>
    <m/>
    <n v="1"/>
    <n v="333"/>
    <n v="1996.75"/>
    <n v="1"/>
    <n v="333"/>
    <n v="1996.75"/>
    <x v="0"/>
  </r>
  <r>
    <n v="1351"/>
    <x v="2"/>
    <s v="VNS Health Health Plans (CDP)"/>
    <s v="MLTC"/>
    <s v="CDPAP"/>
    <s v="T1019U7 SI"/>
    <s v="T1019:U7"/>
    <x v="10"/>
    <x v="1"/>
    <x v="1"/>
    <m/>
    <n v="4"/>
    <n v="503"/>
    <n v="1633.75"/>
    <n v="4"/>
    <n v="503"/>
    <n v="1633.75"/>
    <x v="0"/>
  </r>
  <r>
    <n v="1352"/>
    <x v="2"/>
    <s v="VNS Health Health Plans (CDP)"/>
    <s v="MLTC"/>
    <s v="CDPAP"/>
    <s v="T1020U6 SI"/>
    <s v="T1020:U6"/>
    <x v="9"/>
    <x v="1"/>
    <x v="1"/>
    <m/>
    <n v="1"/>
    <n v="299"/>
    <n v="3887"/>
    <n v="1"/>
    <n v="299"/>
    <n v="3887"/>
    <x v="0"/>
  </r>
  <r>
    <n v="1353"/>
    <x v="2"/>
    <s v="VNS Health Health Plans (CDP)"/>
    <s v="MLTC"/>
    <s v="CDPAP"/>
    <s v="T1020U7 SI MAP"/>
    <s v="T1020:U7"/>
    <x v="15"/>
    <x v="1"/>
    <x v="1"/>
    <m/>
    <n v="1"/>
    <n v="1"/>
    <n v="13"/>
    <n v="1"/>
    <n v="1"/>
    <n v="13"/>
    <x v="0"/>
  </r>
  <r>
    <n v="1354"/>
    <x v="2"/>
    <s v="VNSNY CHOICE PCA"/>
    <s v="LHCSA"/>
    <s v="MLTC"/>
    <s v="PCA Hourly"/>
    <s v="T1019:U1"/>
    <x v="2"/>
    <x v="0"/>
    <x v="2"/>
    <m/>
    <n v="2"/>
    <n v="61"/>
    <n v="216.75"/>
    <n v="1"/>
    <n v="59"/>
    <n v="211.75"/>
    <x v="0"/>
  </r>
  <r>
    <n v="1355"/>
    <x v="2"/>
    <s v="VNSNY CHOICE PCA"/>
    <s v="LHCSA"/>
    <s v="MLTC"/>
    <s v="PCA Hourly Mutual U3"/>
    <s v="T1019:U2"/>
    <x v="11"/>
    <x v="0"/>
    <x v="2"/>
    <m/>
    <n v="3"/>
    <n v="20"/>
    <n v="74.25"/>
    <n v="3"/>
    <n v="20"/>
    <n v="74.25"/>
    <x v="0"/>
  </r>
  <r>
    <n v="1356"/>
    <x v="2"/>
    <s v="VNSNY CHOICE PCA"/>
    <s v="LHCSA"/>
    <s v="MLTC"/>
    <s v="RN Reassessment (NB)"/>
    <m/>
    <x v="3"/>
    <x v="0"/>
    <x v="2"/>
    <m/>
    <n v="4"/>
    <n v="4"/>
    <n v="4"/>
    <n v="3"/>
    <n v="3"/>
    <n v="3"/>
    <x v="1"/>
  </r>
  <r>
    <n v="1358"/>
    <x v="43"/>
    <s v="Centers Plan For Healthy Living CDPAP "/>
    <s v="MLTC"/>
    <s v="CDPAP"/>
    <s v="PA Hourly - Nassau/Suffolk/Westchester:"/>
    <s v="T1019:U6"/>
    <x v="1"/>
    <x v="1"/>
    <x v="1"/>
    <m/>
    <n v="3"/>
    <n v="828"/>
    <n v="2863.5"/>
    <n v="3"/>
    <n v="828"/>
    <n v="2863.5"/>
    <x v="0"/>
  </r>
  <r>
    <n v="1359"/>
    <x v="43"/>
    <s v="Centers Plan For Healthy Living CDPAP "/>
    <s v="MLTC"/>
    <s v="CDPAP"/>
    <s v="PA Hourly - Rockland"/>
    <s v="T1019:U6"/>
    <x v="1"/>
    <x v="1"/>
    <x v="1"/>
    <m/>
    <n v="5"/>
    <n v="774"/>
    <n v="3324.5"/>
    <n v="5"/>
    <n v="774"/>
    <n v="3324.5"/>
    <x v="0"/>
  </r>
  <r>
    <n v="1361"/>
    <x v="43"/>
    <s v="Elderplan MJHS (CDP)"/>
    <s v="MLTC"/>
    <s v="CDPAP"/>
    <s v="T1019:U6"/>
    <s v="T1019:U6"/>
    <x v="1"/>
    <x v="1"/>
    <x v="1"/>
    <m/>
    <n v="2"/>
    <n v="225"/>
    <n v="2043.75"/>
    <n v="2"/>
    <n v="225"/>
    <n v="2043.75"/>
    <x v="0"/>
  </r>
  <r>
    <n v="1363"/>
    <x v="43"/>
    <s v="Fidelis Care (CDP)"/>
    <s v="LHCSA"/>
    <s v="CDPAP"/>
    <s v="T1019:U6"/>
    <s v="T1019:U6"/>
    <x v="1"/>
    <x v="1"/>
    <x v="1"/>
    <m/>
    <n v="9"/>
    <n v="1070"/>
    <n v="4178.25"/>
    <n v="9"/>
    <n v="1070"/>
    <n v="4178.25"/>
    <x v="0"/>
  </r>
  <r>
    <n v="1365"/>
    <x v="43"/>
    <s v="Hamaspik Choice (MLTC) CDPAP"/>
    <s v="MCO"/>
    <s v="CDPAP"/>
    <s v="PA Hourly NYC , Nassau, Westchester"/>
    <s v="T1019:U6"/>
    <x v="1"/>
    <x v="1"/>
    <x v="1"/>
    <m/>
    <n v="1"/>
    <n v="127"/>
    <n v="1102.25"/>
    <n v="1"/>
    <n v="127"/>
    <n v="1102.25"/>
    <x v="0"/>
  </r>
  <r>
    <n v="1366"/>
    <x v="43"/>
    <s v="Hamaspik Choice (MLTC) CDPAP"/>
    <s v="MCO"/>
    <s v="CDPAP"/>
    <s v="PA Hourly Upstate"/>
    <s v="T1019:U6"/>
    <x v="1"/>
    <x v="1"/>
    <x v="1"/>
    <m/>
    <n v="2"/>
    <n v="524"/>
    <n v="2088"/>
    <n v="2"/>
    <n v="524"/>
    <n v="2088"/>
    <x v="0"/>
  </r>
  <r>
    <n v="1369"/>
    <x v="43"/>
    <s v="Healthfirst (CDP)"/>
    <s v="CHHA"/>
    <s v="CDPAP"/>
    <s v="T1019:U6"/>
    <s v="T1019:U6"/>
    <x v="1"/>
    <x v="1"/>
    <x v="1"/>
    <m/>
    <n v="1"/>
    <n v="230"/>
    <n v="1422.5"/>
    <n v="1"/>
    <n v="230"/>
    <n v="1422.5"/>
    <x v="0"/>
  </r>
  <r>
    <n v="1372"/>
    <x v="43"/>
    <s v="VNS Health Health Plans (CDP)"/>
    <s v="MLTC"/>
    <s v="CDPAP"/>
    <s v="T1019U6 RKL"/>
    <s v="T1019:U6"/>
    <x v="1"/>
    <x v="1"/>
    <x v="1"/>
    <m/>
    <n v="11"/>
    <n v="3066"/>
    <n v="17324.75"/>
    <n v="10"/>
    <n v="2888"/>
    <n v="16612.75"/>
    <x v="0"/>
  </r>
  <r>
    <n v="1374"/>
    <x v="44"/>
    <s v="Fidelis Care (CDP)"/>
    <s v="LHCSA"/>
    <s v="CDPAP"/>
    <s v="T1019:U6"/>
    <s v="T1019:U6"/>
    <x v="1"/>
    <x v="1"/>
    <x v="1"/>
    <m/>
    <n v="10"/>
    <n v="1206"/>
    <n v="5194.25"/>
    <n v="10"/>
    <n v="1206"/>
    <n v="5194.25"/>
    <x v="0"/>
  </r>
  <r>
    <n v="1377"/>
    <x v="44"/>
    <s v="Nascentia Health Options CDPAP"/>
    <s v="MLTC"/>
    <s v="CDPAP"/>
    <s v="PA Hourly"/>
    <s v="T1019:U6"/>
    <x v="1"/>
    <x v="1"/>
    <x v="1"/>
    <m/>
    <n v="2"/>
    <n v="650"/>
    <n v="4618.75"/>
    <n v="2"/>
    <n v="650"/>
    <n v="4618.75"/>
    <x v="0"/>
  </r>
  <r>
    <n v="1378"/>
    <x v="45"/>
    <s v="Fidelis Care (ANT)"/>
    <s v="LHCSA"/>
    <s v="MLTC"/>
    <s v="RN Initial (NB)"/>
    <m/>
    <x v="3"/>
    <x v="0"/>
    <x v="2"/>
    <m/>
    <n v="1"/>
    <n v="1"/>
    <n v="1"/>
    <n v="1"/>
    <n v="1"/>
    <n v="1"/>
    <x v="1"/>
  </r>
  <r>
    <n v="1379"/>
    <x v="45"/>
    <s v="Fidelis Care (ANT)"/>
    <s v="LHCSA"/>
    <s v="MLTC"/>
    <s v="T1019:U1"/>
    <s v="T1019:U1"/>
    <x v="2"/>
    <x v="0"/>
    <x v="2"/>
    <m/>
    <n v="2"/>
    <n v="36"/>
    <n v="162.75"/>
    <n v="2"/>
    <n v="36"/>
    <n v="162.75"/>
    <x v="0"/>
  </r>
  <r>
    <n v="1380"/>
    <x v="45"/>
    <s v="Fidelis Care (ANT)"/>
    <s v="LHCSA"/>
    <s v="MLTC"/>
    <s v="T1019:U6"/>
    <s v="T1019:U6"/>
    <x v="1"/>
    <x v="1"/>
    <x v="1"/>
    <m/>
    <n v="1"/>
    <n v="17"/>
    <n v="69"/>
    <n v="1"/>
    <n v="17"/>
    <n v="69"/>
    <x v="0"/>
  </r>
  <r>
    <n v="1383"/>
    <x v="45"/>
    <s v="Fidelis Care (CDP)"/>
    <s v="LHCSA"/>
    <s v="CDPAP"/>
    <s v="RN Initial (NB)"/>
    <m/>
    <x v="3"/>
    <x v="0"/>
    <x v="2"/>
    <m/>
    <n v="1"/>
    <n v="1"/>
    <n v="1"/>
    <n v="1"/>
    <n v="1"/>
    <n v="1"/>
    <x v="1"/>
  </r>
  <r>
    <n v="1384"/>
    <x v="45"/>
    <s v="Fidelis Care (CDP)"/>
    <s v="LHCSA"/>
    <s v="CDPAP"/>
    <s v="T1019:U1"/>
    <s v="T1019:U1"/>
    <x v="2"/>
    <x v="0"/>
    <x v="2"/>
    <m/>
    <n v="1"/>
    <n v="27"/>
    <n v="107"/>
    <n v="1"/>
    <n v="27"/>
    <n v="107"/>
    <x v="0"/>
  </r>
  <r>
    <n v="1385"/>
    <x v="45"/>
    <s v="Fidelis Care (CDP)"/>
    <s v="LHCSA"/>
    <s v="CDPAP"/>
    <s v="T1019:U6"/>
    <s v="T1019:U6"/>
    <x v="1"/>
    <x v="1"/>
    <x v="1"/>
    <m/>
    <n v="13"/>
    <n v="1181"/>
    <n v="6850.25"/>
    <n v="11"/>
    <n v="1162"/>
    <n v="6759.5"/>
    <x v="0"/>
  </r>
  <r>
    <n v="1388"/>
    <x v="45"/>
    <s v="Nascentia Health Options CDPAP"/>
    <s v="MLTC"/>
    <s v="CDPAP"/>
    <s v="PA Hourly"/>
    <s v="T1019:U6"/>
    <x v="1"/>
    <x v="1"/>
    <x v="1"/>
    <m/>
    <n v="2"/>
    <n v="1162"/>
    <n v="3813.5"/>
    <n v="2"/>
    <n v="1162"/>
    <n v="3813.5"/>
    <x v="0"/>
  </r>
  <r>
    <n v="1389"/>
    <x v="45"/>
    <s v="VNS Health Health Plans (ANT)"/>
    <s v="MLTC"/>
    <s v="MLTC"/>
    <s v="RN Initial (NB)"/>
    <m/>
    <x v="3"/>
    <x v="0"/>
    <x v="2"/>
    <m/>
    <n v="3"/>
    <n v="3"/>
    <n v="3"/>
    <n v="3"/>
    <n v="3"/>
    <n v="3"/>
    <x v="1"/>
  </r>
  <r>
    <n v="1390"/>
    <x v="45"/>
    <s v="VNS Health Health Plans (ANT)"/>
    <s v="MLTC"/>
    <s v="MLTC"/>
    <s v="RN Reassessment (NB)"/>
    <m/>
    <x v="3"/>
    <x v="0"/>
    <x v="2"/>
    <m/>
    <n v="2"/>
    <n v="2"/>
    <n v="2"/>
    <n v="2"/>
    <n v="2"/>
    <n v="2"/>
    <x v="1"/>
  </r>
  <r>
    <n v="1391"/>
    <x v="45"/>
    <s v="VNS Health Health Plans (ANT)"/>
    <s v="MLTC"/>
    <s v="MLTC"/>
    <s v="T1019U1 SAR"/>
    <s v="T1019:U1"/>
    <x v="2"/>
    <x v="0"/>
    <x v="2"/>
    <m/>
    <n v="3"/>
    <n v="195"/>
    <n v="1034.75"/>
    <n v="3"/>
    <n v="195"/>
    <n v="1034.75"/>
    <x v="0"/>
  </r>
  <r>
    <n v="1394"/>
    <x v="45"/>
    <s v="VNS Health Health Plans (CDP)"/>
    <s v="MLTC"/>
    <s v="CDPAP"/>
    <s v="T1019U6 SAR"/>
    <s v="T1019:U6"/>
    <x v="1"/>
    <x v="1"/>
    <x v="1"/>
    <m/>
    <n v="16"/>
    <n v="3063"/>
    <n v="13927"/>
    <n v="16"/>
    <n v="3063"/>
    <n v="13927"/>
    <x v="0"/>
  </r>
  <r>
    <n v="1395"/>
    <x v="45"/>
    <s v="VNS Health Health Plans (CDP)"/>
    <s v="MLTC"/>
    <s v="CDPAP"/>
    <s v="T1019U6 SAR MAP"/>
    <s v="T1019:U6"/>
    <x v="1"/>
    <x v="1"/>
    <x v="1"/>
    <m/>
    <n v="1"/>
    <n v="24"/>
    <n v="120"/>
    <n v="1"/>
    <n v="24"/>
    <n v="120"/>
    <x v="0"/>
  </r>
  <r>
    <n v="1396"/>
    <x v="46"/>
    <s v="EDDY SeniorCare VNA (Pace Plan)"/>
    <s v="MCO"/>
    <s v="MCO"/>
    <s v="PCA Hourly Weekday"/>
    <s v="T1019:U1"/>
    <x v="4"/>
    <x v="0"/>
    <x v="0"/>
    <m/>
    <n v="1"/>
    <n v="38"/>
    <n v="185"/>
    <n v="1"/>
    <n v="38"/>
    <n v="185"/>
    <x v="0"/>
  </r>
  <r>
    <n v="1397"/>
    <x v="46"/>
    <s v="EDDY SeniorCare VNA (Pace Plan)"/>
    <s v="MCO"/>
    <s v="MCO"/>
    <s v="RN Reassessment-NB"/>
    <s v="T1019:U1"/>
    <x v="4"/>
    <x v="0"/>
    <x v="0"/>
    <m/>
    <n v="1"/>
    <n v="1"/>
    <n v="1"/>
    <n v="1"/>
    <n v="1"/>
    <n v="1"/>
    <x v="1"/>
  </r>
  <r>
    <n v="1398"/>
    <x v="46"/>
    <s v="Fidelis Care (ANT)"/>
    <s v="LHCSA"/>
    <s v="MLTC"/>
    <s v="RN Initial (NB)"/>
    <m/>
    <x v="3"/>
    <x v="0"/>
    <x v="2"/>
    <m/>
    <n v="15"/>
    <n v="15"/>
    <n v="15"/>
    <n v="15"/>
    <n v="15"/>
    <n v="15"/>
    <x v="1"/>
  </r>
  <r>
    <n v="1399"/>
    <x v="46"/>
    <s v="Fidelis Care (ANT)"/>
    <s v="LHCSA"/>
    <s v="MLTC"/>
    <s v="RN Initial Assement"/>
    <s v="T2024"/>
    <x v="3"/>
    <x v="0"/>
    <x v="2"/>
    <m/>
    <n v="6"/>
    <n v="6"/>
    <n v="6"/>
    <n v="6"/>
    <n v="6"/>
    <n v="6"/>
    <x v="3"/>
  </r>
  <r>
    <n v="1400"/>
    <x v="46"/>
    <s v="Fidelis Care (ANT)"/>
    <s v="LHCSA"/>
    <s v="MLTC"/>
    <s v="RN Reassessment (NB)"/>
    <m/>
    <x v="3"/>
    <x v="0"/>
    <x v="2"/>
    <m/>
    <n v="11"/>
    <n v="13"/>
    <n v="13"/>
    <n v="11"/>
    <n v="13"/>
    <n v="13"/>
    <x v="1"/>
  </r>
  <r>
    <n v="1401"/>
    <x v="46"/>
    <s v="Fidelis Care (ANT)"/>
    <s v="LHCSA"/>
    <s v="MLTC"/>
    <s v="T1019:U1"/>
    <s v="T1019:U1"/>
    <x v="2"/>
    <x v="0"/>
    <x v="2"/>
    <m/>
    <n v="31"/>
    <n v="2252"/>
    <n v="10117.25"/>
    <n v="30"/>
    <n v="2245"/>
    <n v="10103"/>
    <x v="0"/>
  </r>
  <r>
    <n v="1402"/>
    <x v="46"/>
    <s v="Fidelis Care (ANT)"/>
    <s v="LHCSA"/>
    <s v="MLTC"/>
    <s v="T1019:U6"/>
    <s v="T1019:U6"/>
    <x v="1"/>
    <x v="1"/>
    <x v="1"/>
    <m/>
    <n v="1"/>
    <n v="63"/>
    <n v="250.75"/>
    <n v="1"/>
    <n v="63"/>
    <n v="250.75"/>
    <x v="0"/>
  </r>
  <r>
    <n v="1406"/>
    <x v="46"/>
    <s v="Fidelis Care (CDP)"/>
    <s v="LHCSA"/>
    <s v="CDPAP"/>
    <s v="T1019:U6"/>
    <s v="T1019:U6"/>
    <x v="1"/>
    <x v="1"/>
    <x v="1"/>
    <m/>
    <n v="79"/>
    <n v="12153"/>
    <n v="54295.25"/>
    <n v="76"/>
    <n v="11992"/>
    <n v="53160.25"/>
    <x v="0"/>
  </r>
  <r>
    <n v="1407"/>
    <x v="46"/>
    <s v="Fidelis Care PCA (Non Live)"/>
    <s v="MLTC"/>
    <s v="MLTC"/>
    <s v="PCA Hourly"/>
    <s v="T1019:U1"/>
    <x v="2"/>
    <x v="0"/>
    <x v="2"/>
    <m/>
    <n v="2"/>
    <n v="3"/>
    <n v="6"/>
    <n v="2"/>
    <n v="3"/>
    <n v="6"/>
    <x v="0"/>
  </r>
  <r>
    <n v="1408"/>
    <x v="46"/>
    <s v="Fidelis Care PCA (Non Live)"/>
    <s v="MLTC"/>
    <s v="MLTC"/>
    <s v="Rn initial assement"/>
    <s v="G0162"/>
    <x v="3"/>
    <x v="0"/>
    <x v="2"/>
    <m/>
    <n v="5"/>
    <n v="5"/>
    <n v="5"/>
    <n v="4"/>
    <n v="4"/>
    <n v="4"/>
    <x v="3"/>
  </r>
  <r>
    <n v="1410"/>
    <x v="46"/>
    <s v="Nascentia Health Options CDPAP"/>
    <s v="MLTC"/>
    <s v="CDPAP"/>
    <s v="PA Hourly"/>
    <s v="T1019:U6"/>
    <x v="1"/>
    <x v="1"/>
    <x v="1"/>
    <m/>
    <n v="4"/>
    <n v="603"/>
    <n v="3138.75"/>
    <n v="4"/>
    <n v="603"/>
    <n v="3138.75"/>
    <x v="0"/>
  </r>
  <r>
    <n v="1411"/>
    <x v="46"/>
    <s v="Nascentia PCA"/>
    <s v="MLTC"/>
    <s v="MLTC"/>
    <s v="PCA Hourly"/>
    <s v="T1019:U1"/>
    <x v="2"/>
    <x v="0"/>
    <x v="2"/>
    <m/>
    <n v="2"/>
    <n v="53"/>
    <n v="136"/>
    <n v="1"/>
    <n v="38"/>
    <n v="70"/>
    <x v="0"/>
  </r>
  <r>
    <n v="1412"/>
    <x v="46"/>
    <s v="Nascentia PCA"/>
    <s v="MLTC"/>
    <s v="MLTC"/>
    <s v="Rn initial assesment non billable"/>
    <m/>
    <x v="3"/>
    <x v="0"/>
    <x v="2"/>
    <m/>
    <n v="2"/>
    <n v="2"/>
    <n v="2"/>
    <n v="1"/>
    <n v="1"/>
    <n v="1"/>
    <x v="1"/>
  </r>
  <r>
    <n v="1413"/>
    <x v="46"/>
    <s v="Non Billable"/>
    <s v="Other"/>
    <s v="Insurance"/>
    <s v="PA Hourly"/>
    <m/>
    <x v="5"/>
    <x v="0"/>
    <x v="3"/>
    <m/>
    <n v="1"/>
    <n v="11"/>
    <n v="40.25"/>
    <n v="1"/>
    <n v="11"/>
    <n v="40.25"/>
    <x v="0"/>
  </r>
  <r>
    <n v="1414"/>
    <x v="46"/>
    <s v="Private Pay - Select"/>
    <s v="Other"/>
    <s v="Private"/>
    <s v="PCA Hourly"/>
    <m/>
    <x v="5"/>
    <x v="0"/>
    <x v="3"/>
    <m/>
    <n v="1"/>
    <n v="4"/>
    <n v="7.25"/>
    <n v="1"/>
    <n v="4"/>
    <n v="7.25"/>
    <x v="0"/>
  </r>
  <r>
    <n v="1415"/>
    <x v="46"/>
    <s v="Private Pay - Select"/>
    <s v="Other"/>
    <s v="Private"/>
    <s v="RN Initial (NB)"/>
    <m/>
    <x v="5"/>
    <x v="0"/>
    <x v="3"/>
    <m/>
    <n v="1"/>
    <n v="1"/>
    <n v="0.5"/>
    <n v="1"/>
    <n v="1"/>
    <n v="1"/>
    <x v="0"/>
  </r>
  <r>
    <n v="1416"/>
    <x v="46"/>
    <s v="VNS Health Health Plans (ANT)"/>
    <s v="MLTC"/>
    <s v="MLTC"/>
    <s v="RN Initial (NB)"/>
    <m/>
    <x v="3"/>
    <x v="0"/>
    <x v="2"/>
    <m/>
    <n v="23"/>
    <n v="23"/>
    <n v="23"/>
    <n v="21"/>
    <n v="21"/>
    <n v="21"/>
    <x v="1"/>
  </r>
  <r>
    <n v="1417"/>
    <x v="46"/>
    <s v="VNS Health Health Plans (ANT)"/>
    <s v="MLTC"/>
    <s v="MLTC"/>
    <s v="RN Reassessment (NB)"/>
    <m/>
    <x v="3"/>
    <x v="0"/>
    <x v="2"/>
    <m/>
    <n v="11"/>
    <n v="16"/>
    <n v="16"/>
    <n v="11"/>
    <n v="16"/>
    <n v="16"/>
    <x v="1"/>
  </r>
  <r>
    <n v="1418"/>
    <x v="46"/>
    <s v="VNS Health Health Plans (ANT)"/>
    <s v="MLTC"/>
    <s v="MLTC"/>
    <s v="T1019U1 SCH"/>
    <s v="T1019:U1"/>
    <x v="2"/>
    <x v="0"/>
    <x v="2"/>
    <m/>
    <n v="34"/>
    <n v="2720"/>
    <n v="14287.75"/>
    <n v="29"/>
    <n v="2652"/>
    <n v="14018.25"/>
    <x v="0"/>
  </r>
  <r>
    <n v="1419"/>
    <x v="46"/>
    <s v="VNS Health Health Plans (ANT)"/>
    <s v="MLTC"/>
    <s v="MLTC"/>
    <s v="T1020 SCH"/>
    <s v="T1020"/>
    <x v="8"/>
    <x v="0"/>
    <x v="2"/>
    <m/>
    <n v="1"/>
    <n v="36"/>
    <n v="468"/>
    <n v="1"/>
    <n v="36"/>
    <n v="468"/>
    <x v="0"/>
  </r>
  <r>
    <n v="1424"/>
    <x v="46"/>
    <s v="VNS Health Health Plans (CDP)"/>
    <s v="MLTC"/>
    <s v="CDPAP"/>
    <s v="RN Initial (NB)"/>
    <m/>
    <x v="3"/>
    <x v="0"/>
    <x v="2"/>
    <m/>
    <n v="1"/>
    <n v="1"/>
    <n v="1"/>
    <n v="1"/>
    <n v="1"/>
    <n v="1"/>
    <x v="1"/>
  </r>
  <r>
    <n v="1425"/>
    <x v="46"/>
    <s v="VNS Health Health Plans (CDP)"/>
    <s v="MLTC"/>
    <s v="CDPAP"/>
    <s v="T1019U1 SCH"/>
    <s v="T1019:U1"/>
    <x v="2"/>
    <x v="0"/>
    <x v="2"/>
    <m/>
    <n v="1"/>
    <n v="36"/>
    <n v="136.5"/>
    <n v="1"/>
    <n v="36"/>
    <n v="136.5"/>
    <x v="0"/>
  </r>
  <r>
    <n v="1426"/>
    <x v="46"/>
    <s v="VNS Health Health Plans (CDP)"/>
    <s v="MLTC"/>
    <s v="CDPAP"/>
    <s v="T1019U6 ALB"/>
    <s v="T1019:U6"/>
    <x v="1"/>
    <x v="1"/>
    <x v="1"/>
    <m/>
    <n v="2"/>
    <n v="219"/>
    <n v="778.25"/>
    <n v="2"/>
    <n v="219"/>
    <n v="778.25"/>
    <x v="0"/>
  </r>
  <r>
    <n v="1427"/>
    <x v="46"/>
    <s v="VNS Health Health Plans (CDP)"/>
    <s v="MLTC"/>
    <s v="CDPAP"/>
    <s v="T1019U6 QNS"/>
    <s v="T1019:U6"/>
    <x v="1"/>
    <x v="1"/>
    <x v="1"/>
    <m/>
    <n v="1"/>
    <n v="82"/>
    <n v="656"/>
    <n v="1"/>
    <n v="82"/>
    <n v="656"/>
    <x v="0"/>
  </r>
  <r>
    <n v="1428"/>
    <x v="46"/>
    <s v="VNS Health Health Plans (CDP)"/>
    <s v="MLTC"/>
    <s v="CDPAP"/>
    <s v="T1019U6 REN"/>
    <s v="T1019:U6"/>
    <x v="1"/>
    <x v="1"/>
    <x v="1"/>
    <m/>
    <n v="1"/>
    <n v="57"/>
    <n v="252.25"/>
    <n v="1"/>
    <n v="57"/>
    <n v="252.25"/>
    <x v="0"/>
  </r>
  <r>
    <n v="1429"/>
    <x v="46"/>
    <s v="VNS Health Health Plans (CDP)"/>
    <s v="MLTC"/>
    <s v="CDPAP"/>
    <s v="T1019U6 SCH"/>
    <s v="T1019:U6"/>
    <x v="1"/>
    <x v="1"/>
    <x v="1"/>
    <m/>
    <n v="82"/>
    <n v="17154"/>
    <n v="84821"/>
    <n v="76"/>
    <n v="16871"/>
    <n v="82993.25"/>
    <x v="0"/>
  </r>
  <r>
    <n v="1430"/>
    <x v="46"/>
    <s v="VNS Health Health Plans (CDP)"/>
    <s v="MLTC"/>
    <s v="CDPAP"/>
    <s v="T1019U7 SCH"/>
    <s v="T1019:U7"/>
    <x v="10"/>
    <x v="1"/>
    <x v="1"/>
    <m/>
    <n v="2"/>
    <n v="134"/>
    <n v="1217.75"/>
    <n v="2"/>
    <n v="134"/>
    <n v="1217.75"/>
    <x v="0"/>
  </r>
  <r>
    <n v="1431"/>
    <x v="46"/>
    <s v="VNSNY CHOICE PCA"/>
    <s v="LHCSA"/>
    <s v="MLTC"/>
    <s v="PCA Hourly"/>
    <s v="T1019:U1"/>
    <x v="2"/>
    <x v="0"/>
    <x v="2"/>
    <m/>
    <n v="1"/>
    <n v="1"/>
    <n v="6"/>
    <n v="1"/>
    <n v="1"/>
    <n v="6"/>
    <x v="0"/>
  </r>
  <r>
    <n v="1434"/>
    <x v="47"/>
    <s v="Fidelis Care (CDP)"/>
    <s v="LHCSA"/>
    <s v="CDPAP"/>
    <s v="T1019:U6"/>
    <s v="T1019:U6"/>
    <x v="1"/>
    <x v="1"/>
    <x v="1"/>
    <m/>
    <n v="4"/>
    <n v="571"/>
    <n v="2573.75"/>
    <n v="4"/>
    <n v="571"/>
    <n v="2573.75"/>
    <x v="0"/>
  </r>
  <r>
    <n v="1437"/>
    <x v="47"/>
    <s v="VNS Health Health Plans (CDP)"/>
    <s v="MLTC"/>
    <s v="CDPAP"/>
    <s v="T1019U6 SCHO"/>
    <s v="T1019:U6"/>
    <x v="1"/>
    <x v="1"/>
    <x v="1"/>
    <m/>
    <n v="7"/>
    <n v="1371"/>
    <n v="6695.25"/>
    <n v="7"/>
    <n v="1371"/>
    <n v="6695.25"/>
    <x v="0"/>
  </r>
  <r>
    <n v="1439"/>
    <x v="48"/>
    <s v="Fidelis Care (CDP)"/>
    <s v="LHCSA"/>
    <s v="CDPAP"/>
    <s v="T1019:U6"/>
    <s v="T1019:U6"/>
    <x v="1"/>
    <x v="1"/>
    <x v="1"/>
    <m/>
    <n v="3"/>
    <n v="335"/>
    <n v="1640.5"/>
    <n v="3"/>
    <n v="335"/>
    <n v="1640.5"/>
    <x v="0"/>
  </r>
  <r>
    <n v="1441"/>
    <x v="48"/>
    <s v="Nascentia Health Options CDPAP"/>
    <s v="MLTC"/>
    <s v="CDPAP"/>
    <s v="PA Hourly"/>
    <s v="T1019:U6"/>
    <x v="1"/>
    <x v="1"/>
    <x v="1"/>
    <m/>
    <n v="3"/>
    <n v="147"/>
    <n v="786.25"/>
    <n v="3"/>
    <n v="147"/>
    <n v="786.25"/>
    <x v="0"/>
  </r>
  <r>
    <n v="1443"/>
    <x v="49"/>
    <s v="Fidelis Care (CDP)"/>
    <s v="LHCSA"/>
    <s v="CDPAP"/>
    <s v="T1019:U6"/>
    <s v="T1019:U6"/>
    <x v="1"/>
    <x v="1"/>
    <x v="1"/>
    <m/>
    <n v="1"/>
    <n v="84"/>
    <n v="349.5"/>
    <n v="1"/>
    <n v="84"/>
    <n v="349.5"/>
    <x v="0"/>
  </r>
  <r>
    <n v="1445"/>
    <x v="49"/>
    <s v="Nascentia Health Options CDPAP"/>
    <s v="MLTC"/>
    <s v="CDPAP"/>
    <s v="PA Hourly"/>
    <s v="T1019:U6"/>
    <x v="1"/>
    <x v="1"/>
    <x v="1"/>
    <m/>
    <n v="2"/>
    <n v="273"/>
    <n v="1631.5"/>
    <n v="2"/>
    <n v="273"/>
    <n v="1631.5"/>
    <x v="0"/>
  </r>
  <r>
    <n v="1447"/>
    <x v="50"/>
    <s v="Fidelis Care (CDP)"/>
    <s v="LHCSA"/>
    <s v="CDPAP"/>
    <s v="T1019:U6"/>
    <s v="T1019:U6"/>
    <x v="1"/>
    <x v="1"/>
    <x v="1"/>
    <m/>
    <n v="10"/>
    <n v="1280"/>
    <n v="5225.5"/>
    <n v="10"/>
    <n v="1280"/>
    <n v="5225.5"/>
    <x v="0"/>
  </r>
  <r>
    <n v="1449"/>
    <x v="50"/>
    <s v="Nascentia Health Options CDPAP"/>
    <s v="MLTC"/>
    <s v="CDPAP"/>
    <s v="PA Hourly"/>
    <s v="T1019:U6"/>
    <x v="1"/>
    <x v="1"/>
    <x v="1"/>
    <m/>
    <n v="8"/>
    <n v="1242"/>
    <n v="5560.25"/>
    <n v="8"/>
    <n v="1242"/>
    <n v="5560.25"/>
    <x v="0"/>
  </r>
  <r>
    <n v="1450"/>
    <x v="51"/>
    <s v="Americare"/>
    <s v="CHHA"/>
    <s v="CHHA"/>
    <s v="HHAPEDSV"/>
    <s v="S9122"/>
    <x v="0"/>
    <x v="0"/>
    <x v="0"/>
    <s v="CHHA"/>
    <n v="2"/>
    <n v="50"/>
    <n v="327.5"/>
    <n v="1"/>
    <n v="45"/>
    <n v="312.5"/>
    <x v="0"/>
  </r>
  <r>
    <n v="1452"/>
    <x v="51"/>
    <s v="Amerigroup (Empire) CDPAP"/>
    <s v="MLTC"/>
    <s v="CDPAP"/>
    <s v="PA HOURLY"/>
    <s v="T1019:U6"/>
    <x v="1"/>
    <x v="1"/>
    <x v="1"/>
    <m/>
    <n v="1"/>
    <n v="87"/>
    <n v="261"/>
    <n v="1"/>
    <n v="87"/>
    <n v="261"/>
    <x v="0"/>
  </r>
  <r>
    <n v="1458"/>
    <x v="51"/>
    <s v="Centers Plan For Healthy Living CDPAP "/>
    <s v="MLTC"/>
    <s v="CDPAP"/>
    <s v="PA Hourly - 5 Boroughs"/>
    <s v="T1019:U6"/>
    <x v="1"/>
    <x v="1"/>
    <x v="1"/>
    <m/>
    <n v="4"/>
    <n v="691"/>
    <n v="2719"/>
    <n v="4"/>
    <n v="691"/>
    <n v="2719"/>
    <x v="0"/>
  </r>
  <r>
    <n v="1459"/>
    <x v="51"/>
    <s v="Centers Plan For Healthy Living CDPAP "/>
    <s v="MLTC"/>
    <s v="CDPAP"/>
    <s v="PA Hourly - Nassau/Suffolk/Westchester:"/>
    <s v="T1019:U6"/>
    <x v="1"/>
    <x v="1"/>
    <x v="1"/>
    <m/>
    <n v="53"/>
    <n v="10780"/>
    <n v="43678.25"/>
    <n v="53"/>
    <n v="10780"/>
    <n v="43678.25"/>
    <x v="0"/>
  </r>
  <r>
    <n v="1460"/>
    <x v="51"/>
    <s v="Centers Plan For Healthy Living CDPAP "/>
    <s v="MLTC"/>
    <s v="CDPAP"/>
    <s v="PA Live-In -  Nassau/Suffolk/Westchester:"/>
    <s v="T1020:U6"/>
    <x v="9"/>
    <x v="1"/>
    <x v="1"/>
    <m/>
    <n v="1"/>
    <n v="358"/>
    <n v="4654"/>
    <n v="1"/>
    <n v="358"/>
    <n v="4654"/>
    <x v="0"/>
  </r>
  <r>
    <n v="1463"/>
    <x v="51"/>
    <s v="ElderServe/Riverspring (CDPAP)"/>
    <s v="MLTC"/>
    <s v="CDPAP"/>
    <s v="PA Hourly - Long Island &amp; Westchester"/>
    <s v="T1019:U6:U4"/>
    <x v="12"/>
    <x v="1"/>
    <x v="1"/>
    <m/>
    <n v="1"/>
    <n v="262"/>
    <n v="1990.5"/>
    <n v="1"/>
    <n v="262"/>
    <n v="1990.5"/>
    <x v="0"/>
  </r>
  <r>
    <n v="1466"/>
    <x v="51"/>
    <s v="Empire Blue Cross Blue Shield (CDPAP)"/>
    <s v="Other"/>
    <s v="CDPAP"/>
    <s v="PA Hourly (New)"/>
    <s v="T1019:U6"/>
    <x v="1"/>
    <x v="1"/>
    <x v="1"/>
    <m/>
    <n v="3"/>
    <n v="771"/>
    <n v="4021.75"/>
    <n v="3"/>
    <n v="771"/>
    <n v="4021.75"/>
    <x v="0"/>
  </r>
  <r>
    <n v="1467"/>
    <x v="51"/>
    <s v="Empire Blue Cross Blue Shield (CDPAP)"/>
    <s v="Other"/>
    <s v="CDPAP"/>
    <s v="PA Hourly - Long Island &amp; Westchester"/>
    <s v="T1019:U6"/>
    <x v="1"/>
    <x v="1"/>
    <x v="1"/>
    <m/>
    <n v="10"/>
    <n v="2111"/>
    <n v="11207"/>
    <n v="10"/>
    <n v="2111"/>
    <n v="11207"/>
    <x v="0"/>
  </r>
  <r>
    <n v="1468"/>
    <x v="51"/>
    <s v="Empire Blue Cross Blue Shield (PCA)"/>
    <s v="Other"/>
    <s v="MLTC"/>
    <s v="PCA Hourly NYC"/>
    <s v="T1019:U1"/>
    <x v="2"/>
    <x v="0"/>
    <x v="2"/>
    <m/>
    <n v="1"/>
    <n v="26"/>
    <n v="76.75"/>
    <n v="1"/>
    <n v="26"/>
    <n v="76.75"/>
    <x v="0"/>
  </r>
  <r>
    <n v="1469"/>
    <x v="51"/>
    <s v="Empire Blue Cross Blue Shield (PCA)"/>
    <s v="Other"/>
    <s v="MLTC"/>
    <s v="RN Initial (NB)"/>
    <m/>
    <x v="3"/>
    <x v="0"/>
    <x v="2"/>
    <m/>
    <n v="1"/>
    <n v="1"/>
    <n v="1"/>
    <n v="0"/>
    <n v="0"/>
    <n v="0"/>
    <x v="1"/>
  </r>
  <r>
    <n v="1470"/>
    <x v="51"/>
    <s v="Extended Home Care"/>
    <s v="CHHA"/>
    <s v="CHHA"/>
    <s v="Rate1"/>
    <m/>
    <x v="0"/>
    <x v="0"/>
    <x v="0"/>
    <s v="CHHA"/>
    <n v="1"/>
    <n v="131"/>
    <n v="514.25"/>
    <n v="1"/>
    <n v="131"/>
    <n v="514.25"/>
    <x v="0"/>
  </r>
  <r>
    <n v="1473"/>
    <x v="51"/>
    <s v="Fidelis Care (CDP)"/>
    <s v="LHCSA"/>
    <s v="CDPAP"/>
    <s v="T1019:U6"/>
    <s v="T1019:U6"/>
    <x v="1"/>
    <x v="1"/>
    <x v="1"/>
    <m/>
    <n v="40"/>
    <n v="5204"/>
    <n v="26658.5"/>
    <n v="40"/>
    <n v="5204"/>
    <n v="26658.5"/>
    <x v="0"/>
  </r>
  <r>
    <n v="1474"/>
    <x v="51"/>
    <s v="Fidelis Care (CDP)"/>
    <s v="LHCSA"/>
    <s v="CDPAP"/>
    <s v="T1019:U7"/>
    <s v="T1019:U7"/>
    <x v="10"/>
    <x v="1"/>
    <x v="1"/>
    <m/>
    <n v="2"/>
    <n v="68"/>
    <n v="629"/>
    <n v="2"/>
    <n v="68"/>
    <n v="629"/>
    <x v="0"/>
  </r>
  <r>
    <n v="1476"/>
    <x v="51"/>
    <s v="Hamaspik Choice (MLTC) CDPAP"/>
    <s v="MCO"/>
    <s v="CDPAP"/>
    <s v="PA Hourly NYC , Nassau, Westchester"/>
    <s v="T1019:U6"/>
    <x v="1"/>
    <x v="1"/>
    <x v="1"/>
    <m/>
    <n v="1"/>
    <n v="332"/>
    <n v="966.75"/>
    <n v="1"/>
    <n v="332"/>
    <n v="966.75"/>
    <x v="0"/>
  </r>
  <r>
    <n v="1480"/>
    <x v="51"/>
    <s v="Healthfirst (CDP)"/>
    <s v="CHHA"/>
    <s v="CDPAP"/>
    <s v="T1019:U6"/>
    <s v="T1019:U6"/>
    <x v="1"/>
    <x v="1"/>
    <x v="1"/>
    <m/>
    <n v="11"/>
    <n v="1101"/>
    <n v="5662.5"/>
    <n v="11"/>
    <n v="1101"/>
    <n v="5662.5"/>
    <x v="0"/>
  </r>
  <r>
    <n v="1483"/>
    <x v="51"/>
    <s v="SWHNY-MLTC (CDP)"/>
    <s v="Other"/>
    <s v="CDPAP"/>
    <s v="T1019:U6"/>
    <s v="T1019:U6"/>
    <x v="1"/>
    <x v="1"/>
    <x v="1"/>
    <m/>
    <n v="3"/>
    <n v="657"/>
    <n v="3931.5"/>
    <n v="3"/>
    <n v="657"/>
    <n v="3931.5"/>
    <x v="0"/>
  </r>
  <r>
    <n v="1489"/>
    <x v="51"/>
    <s v="VNS Health Health Plans (CDP)"/>
    <s v="MLTC"/>
    <s v="CDPAP"/>
    <s v="T1019U6 SUF"/>
    <s v="T1019:U6"/>
    <x v="1"/>
    <x v="1"/>
    <x v="1"/>
    <m/>
    <n v="69"/>
    <n v="13385"/>
    <n v="69494.75"/>
    <n v="65"/>
    <n v="13089"/>
    <n v="67666.25"/>
    <x v="0"/>
  </r>
  <r>
    <n v="1490"/>
    <x v="51"/>
    <s v="VNS Health Health Plans (CDP)"/>
    <s v="MLTC"/>
    <s v="CDPAP"/>
    <s v="T1019U7 SUF"/>
    <s v="T1019:U7"/>
    <x v="10"/>
    <x v="1"/>
    <x v="1"/>
    <m/>
    <n v="6"/>
    <n v="1140"/>
    <n v="8534.5"/>
    <n v="6"/>
    <n v="1140"/>
    <n v="8534.5"/>
    <x v="0"/>
  </r>
  <r>
    <n v="1491"/>
    <x v="51"/>
    <s v="VNS Health Health Plans (CDP)"/>
    <s v="MLTC"/>
    <s v="CDPAP"/>
    <s v="T1020U6 SUF"/>
    <s v="T1020:U6"/>
    <x v="9"/>
    <x v="1"/>
    <x v="1"/>
    <m/>
    <n v="1"/>
    <n v="75"/>
    <n v="975"/>
    <n v="1"/>
    <n v="75"/>
    <n v="975"/>
    <x v="0"/>
  </r>
  <r>
    <n v="1493"/>
    <x v="52"/>
    <s v="Elderplan MJHS (CDP)"/>
    <s v="MLTC"/>
    <s v="CDPAP"/>
    <s v="T1019:U6"/>
    <s v="T1019:U6"/>
    <x v="1"/>
    <x v="1"/>
    <x v="1"/>
    <m/>
    <n v="2"/>
    <n v="375"/>
    <n v="2131.25"/>
    <n v="2"/>
    <n v="375"/>
    <n v="2131.25"/>
    <x v="0"/>
  </r>
  <r>
    <n v="1495"/>
    <x v="52"/>
    <s v="Fidelis Care (CDP)"/>
    <s v="LHCSA"/>
    <s v="CDPAP"/>
    <s v="T1019:U6"/>
    <s v="T1019:U6"/>
    <x v="1"/>
    <x v="1"/>
    <x v="1"/>
    <m/>
    <n v="5"/>
    <n v="389"/>
    <n v="1851"/>
    <n v="5"/>
    <n v="389"/>
    <n v="1851"/>
    <x v="0"/>
  </r>
  <r>
    <n v="1497"/>
    <x v="52"/>
    <s v="VNS Health Health Plans (CDP)"/>
    <s v="MLTC"/>
    <s v="CDPAP"/>
    <s v="T1019U6 SUL"/>
    <s v="T1019:U6"/>
    <x v="1"/>
    <x v="1"/>
    <x v="1"/>
    <m/>
    <n v="6"/>
    <n v="1352"/>
    <n v="6097.75"/>
    <n v="6"/>
    <n v="1352"/>
    <n v="6097.75"/>
    <x v="0"/>
  </r>
  <r>
    <n v="1499"/>
    <x v="53"/>
    <s v="Fidelis Care (CDP)"/>
    <s v="LHCSA"/>
    <s v="CDPAP"/>
    <s v="T1019:U6"/>
    <s v="T1019:U6"/>
    <x v="1"/>
    <x v="1"/>
    <x v="1"/>
    <m/>
    <n v="7"/>
    <n v="713"/>
    <n v="2323"/>
    <n v="7"/>
    <n v="713"/>
    <n v="2323"/>
    <x v="0"/>
  </r>
  <r>
    <n v="1501"/>
    <x v="53"/>
    <s v="Nascentia Health Options CDPAP"/>
    <s v="MLTC"/>
    <s v="CDPAP"/>
    <s v="PA Hourly"/>
    <s v="T1019:U6"/>
    <x v="1"/>
    <x v="1"/>
    <x v="1"/>
    <m/>
    <n v="6"/>
    <n v="769"/>
    <n v="3538.5"/>
    <n v="5"/>
    <n v="729"/>
    <n v="3258.5"/>
    <x v="0"/>
  </r>
  <r>
    <n v="1503"/>
    <x v="54"/>
    <s v="Fidelis Care (CDP)"/>
    <s v="LHCSA"/>
    <s v="CDPAP"/>
    <s v="T1019:U6"/>
    <s v="T1019:U6"/>
    <x v="1"/>
    <x v="1"/>
    <x v="1"/>
    <m/>
    <n v="3"/>
    <n v="361"/>
    <n v="1335.5"/>
    <n v="3"/>
    <n v="361"/>
    <n v="1335.5"/>
    <x v="0"/>
  </r>
  <r>
    <n v="1505"/>
    <x v="54"/>
    <s v="Nascentia Health Options CDPAP"/>
    <s v="MLTC"/>
    <s v="CDPAP"/>
    <s v="PA Hourly"/>
    <s v="T1019:U6"/>
    <x v="1"/>
    <x v="1"/>
    <x v="1"/>
    <m/>
    <n v="7"/>
    <n v="583"/>
    <n v="2697"/>
    <n v="7"/>
    <n v="583"/>
    <n v="2697"/>
    <x v="0"/>
  </r>
  <r>
    <n v="1507"/>
    <x v="55"/>
    <s v="Elderplan MJHS (CDP)"/>
    <s v="MLTC"/>
    <s v="CDPAP"/>
    <s v="T1019:U6"/>
    <s v="T1019:U6"/>
    <x v="1"/>
    <x v="1"/>
    <x v="1"/>
    <m/>
    <n v="2"/>
    <n v="312"/>
    <n v="1611.5"/>
    <n v="2"/>
    <n v="312"/>
    <n v="1611.5"/>
    <x v="0"/>
  </r>
  <r>
    <n v="1512"/>
    <x v="55"/>
    <s v="Fidelis Care (CDP)"/>
    <s v="LHCSA"/>
    <s v="CDPAP"/>
    <s v="T1019:U6"/>
    <s v="T1019:U6"/>
    <x v="1"/>
    <x v="1"/>
    <x v="1"/>
    <m/>
    <n v="11"/>
    <n v="1916"/>
    <n v="13764"/>
    <n v="11"/>
    <n v="1916"/>
    <n v="13764"/>
    <x v="0"/>
  </r>
  <r>
    <n v="1515"/>
    <x v="55"/>
    <s v="Hamaspik Choice (MLTC) CDPAP"/>
    <s v="MCO"/>
    <s v="CDPAP"/>
    <s v="PA Hourly NYC , Nassau, Westchester"/>
    <s v="T1019:U6"/>
    <x v="1"/>
    <x v="1"/>
    <x v="1"/>
    <m/>
    <n v="2"/>
    <n v="339"/>
    <n v="1061.25"/>
    <n v="2"/>
    <n v="339"/>
    <n v="1061.25"/>
    <x v="0"/>
  </r>
  <r>
    <n v="1516"/>
    <x v="55"/>
    <s v="Hamaspik Choice (MLTC) CDPAP"/>
    <s v="MCO"/>
    <s v="CDPAP"/>
    <s v="PA Hourly Upstate"/>
    <s v="T1019:U6"/>
    <x v="1"/>
    <x v="1"/>
    <x v="1"/>
    <m/>
    <n v="2"/>
    <n v="407"/>
    <n v="1520.25"/>
    <n v="2"/>
    <n v="407"/>
    <n v="1520.25"/>
    <x v="0"/>
  </r>
  <r>
    <n v="1520"/>
    <x v="55"/>
    <s v="Hamaspik MAP CDPAP"/>
    <s v="MCO"/>
    <s v="CDPAP"/>
    <s v="PA Hourly Upstate"/>
    <s v="T1019:U6"/>
    <x v="1"/>
    <x v="1"/>
    <x v="1"/>
    <m/>
    <n v="1"/>
    <n v="313"/>
    <n v="1564.5"/>
    <n v="1"/>
    <n v="313"/>
    <n v="1564.5"/>
    <x v="0"/>
  </r>
  <r>
    <n v="1524"/>
    <x v="55"/>
    <s v="VNS Health Health Plans (CDP)"/>
    <s v="MLTC"/>
    <s v="CDPAP"/>
    <s v="T1019U6 ULS"/>
    <s v="T1019:U6"/>
    <x v="1"/>
    <x v="1"/>
    <x v="1"/>
    <m/>
    <n v="13"/>
    <n v="3089"/>
    <n v="14408"/>
    <n v="12"/>
    <n v="2948"/>
    <n v="13602"/>
    <x v="0"/>
  </r>
  <r>
    <n v="1525"/>
    <x v="55"/>
    <s v="VNS Health Health Plans (CDP)"/>
    <s v="MLTC"/>
    <s v="CDPAP"/>
    <s v="T1019U6 ULS MAP"/>
    <s v="T1019:U6"/>
    <x v="1"/>
    <x v="1"/>
    <x v="1"/>
    <m/>
    <n v="1"/>
    <n v="14"/>
    <n v="56"/>
    <n v="1"/>
    <n v="14"/>
    <n v="56"/>
    <x v="0"/>
  </r>
  <r>
    <n v="1527"/>
    <x v="56"/>
    <s v="Fidelis Care (CDP)"/>
    <s v="LHCSA"/>
    <s v="CDPAP"/>
    <s v="T1019:U6"/>
    <s v="T1019:U6"/>
    <x v="1"/>
    <x v="1"/>
    <x v="1"/>
    <m/>
    <n v="6"/>
    <n v="636"/>
    <n v="3315"/>
    <n v="6"/>
    <n v="636"/>
    <n v="3315"/>
    <x v="0"/>
  </r>
  <r>
    <n v="1529"/>
    <x v="56"/>
    <s v="Nascentia Health Options CDPAP"/>
    <s v="MLTC"/>
    <s v="CDPAP"/>
    <s v="PA Hourly"/>
    <s v="T1019:U6"/>
    <x v="1"/>
    <x v="1"/>
    <x v="1"/>
    <m/>
    <n v="2"/>
    <n v="61"/>
    <n v="251.25"/>
    <n v="2"/>
    <n v="61"/>
    <n v="251.25"/>
    <x v="0"/>
  </r>
  <r>
    <n v="1531"/>
    <x v="56"/>
    <s v="VNS Health Health Plans (CDP)"/>
    <s v="MLTC"/>
    <s v="CDPAP"/>
    <s v="T1019U6 SAR"/>
    <s v="T1019:U6"/>
    <x v="1"/>
    <x v="1"/>
    <x v="1"/>
    <m/>
    <n v="1"/>
    <n v="215"/>
    <n v="1408"/>
    <n v="1"/>
    <n v="215"/>
    <n v="1408"/>
    <x v="0"/>
  </r>
  <r>
    <n v="1532"/>
    <x v="56"/>
    <s v="VNS Health Health Plans (CDP)"/>
    <s v="MLTC"/>
    <s v="CDPAP"/>
    <s v="T1019U6 WAR"/>
    <s v="T1019:U6"/>
    <x v="1"/>
    <x v="1"/>
    <x v="1"/>
    <m/>
    <n v="2"/>
    <n v="177"/>
    <n v="583"/>
    <n v="2"/>
    <n v="177"/>
    <n v="583"/>
    <x v="0"/>
  </r>
  <r>
    <n v="1534"/>
    <x v="57"/>
    <s v="Fidelis Care (CDP)"/>
    <s v="LHCSA"/>
    <s v="CDPAP"/>
    <s v="T1019:U6"/>
    <s v="T1019:U6"/>
    <x v="1"/>
    <x v="1"/>
    <x v="1"/>
    <m/>
    <n v="5"/>
    <n v="553"/>
    <n v="2346.5"/>
    <n v="5"/>
    <n v="553"/>
    <n v="2346.5"/>
    <x v="0"/>
  </r>
  <r>
    <n v="1536"/>
    <x v="57"/>
    <s v="Nascentia Health Options CDPAP"/>
    <s v="MLTC"/>
    <s v="CDPAP"/>
    <s v="PA Hourly"/>
    <s v="T1019:U6"/>
    <x v="1"/>
    <x v="1"/>
    <x v="1"/>
    <m/>
    <n v="1"/>
    <n v="250"/>
    <n v="1551.5"/>
    <n v="1"/>
    <n v="250"/>
    <n v="1551.5"/>
    <x v="0"/>
  </r>
  <r>
    <n v="1539"/>
    <x v="57"/>
    <s v="VNS Health Health Plans (CDP)"/>
    <s v="MLTC"/>
    <s v="CDPAP"/>
    <s v="T1019U6 WAS"/>
    <s v="T1019:U6"/>
    <x v="1"/>
    <x v="1"/>
    <x v="1"/>
    <m/>
    <n v="7"/>
    <n v="1139"/>
    <n v="4870.75"/>
    <n v="7"/>
    <n v="1139"/>
    <n v="4870.75"/>
    <x v="0"/>
  </r>
  <r>
    <n v="1541"/>
    <x v="58"/>
    <s v="Fidelis Care (CDP)"/>
    <s v="LHCSA"/>
    <s v="CDPAP"/>
    <s v="T1019:U6"/>
    <s v="T1019:U6"/>
    <x v="1"/>
    <x v="1"/>
    <x v="1"/>
    <m/>
    <n v="4"/>
    <n v="439"/>
    <n v="1778.25"/>
    <n v="4"/>
    <n v="439"/>
    <n v="1778.25"/>
    <x v="0"/>
  </r>
  <r>
    <n v="1543"/>
    <x v="58"/>
    <s v="Nascentia Health Options CDPAP"/>
    <s v="MLTC"/>
    <s v="CDPAP"/>
    <s v="PA Hourly"/>
    <s v="T1019:U6"/>
    <x v="1"/>
    <x v="1"/>
    <x v="1"/>
    <m/>
    <n v="2"/>
    <n v="284"/>
    <n v="1623"/>
    <n v="2"/>
    <n v="284"/>
    <n v="1623"/>
    <x v="0"/>
  </r>
  <r>
    <n v="1544"/>
    <x v="59"/>
    <s v="Americare"/>
    <s v="CHHA"/>
    <s v="CHHA"/>
    <s v="HHA1"/>
    <s v="S9122"/>
    <x v="0"/>
    <x v="0"/>
    <x v="0"/>
    <s v="CHHA"/>
    <n v="8"/>
    <n v="97"/>
    <n v="378.5"/>
    <n v="7"/>
    <n v="80"/>
    <n v="311.75"/>
    <x v="0"/>
  </r>
  <r>
    <n v="1545"/>
    <x v="59"/>
    <s v="Americare"/>
    <s v="CHHA"/>
    <s v="CHHA"/>
    <s v="HHAPEDSV"/>
    <s v="S9122"/>
    <x v="0"/>
    <x v="0"/>
    <x v="0"/>
    <s v="CHHA"/>
    <n v="47"/>
    <n v="5870"/>
    <n v="33030.75"/>
    <n v="46"/>
    <n v="5857"/>
    <n v="32956.75"/>
    <x v="0"/>
  </r>
  <r>
    <n v="1546"/>
    <x v="59"/>
    <s v="Amerigroup (Empire) CDPAP"/>
    <s v="MLTC"/>
    <s v="CDPAP"/>
    <s v="PA HOURLY"/>
    <s v="T1019:U6"/>
    <x v="1"/>
    <x v="1"/>
    <x v="1"/>
    <m/>
    <n v="1"/>
    <n v="192"/>
    <n v="725.25"/>
    <n v="1"/>
    <n v="192"/>
    <n v="725.25"/>
    <x v="0"/>
  </r>
  <r>
    <n v="1547"/>
    <x v="59"/>
    <s v="Amerigroup (Empire) PCA"/>
    <s v="MCO"/>
    <s v="Medicaid"/>
    <s v="PCA HOURLY"/>
    <s v="T1019:U1"/>
    <x v="2"/>
    <x v="0"/>
    <x v="2"/>
    <m/>
    <n v="1"/>
    <n v="12"/>
    <n v="59.5"/>
    <n v="0"/>
    <n v="0"/>
    <m/>
    <x v="0"/>
  </r>
  <r>
    <n v="1548"/>
    <x v="59"/>
    <s v="Archcare Community Life PCA"/>
    <s v="MCO"/>
    <s v="MLTC"/>
    <s v="PCA Hourly"/>
    <s v="T1019:U1"/>
    <x v="2"/>
    <x v="0"/>
    <x v="2"/>
    <m/>
    <n v="2"/>
    <n v="63"/>
    <n v="412"/>
    <n v="2"/>
    <n v="63"/>
    <n v="412"/>
    <x v="0"/>
  </r>
  <r>
    <n v="1549"/>
    <x v="59"/>
    <s v="Archcare Community Life PCA"/>
    <s v="MCO"/>
    <s v="MLTC"/>
    <s v="RN Initial (NB)"/>
    <m/>
    <x v="3"/>
    <x v="0"/>
    <x v="2"/>
    <m/>
    <n v="2"/>
    <n v="2"/>
    <n v="2"/>
    <n v="2"/>
    <n v="2"/>
    <n v="2"/>
    <x v="1"/>
  </r>
  <r>
    <n v="1550"/>
    <x v="59"/>
    <s v="Centers Plan For Health Living PCA"/>
    <s v="MLTC"/>
    <s v="MLTC"/>
    <s v="PCA Hourly"/>
    <s v="T1019:U1"/>
    <x v="2"/>
    <x v="0"/>
    <x v="2"/>
    <m/>
    <n v="6"/>
    <n v="969"/>
    <n v="4002"/>
    <n v="6"/>
    <n v="969"/>
    <n v="4002"/>
    <x v="0"/>
  </r>
  <r>
    <n v="1551"/>
    <x v="59"/>
    <s v="Centers Plan For Health Living PCA"/>
    <s v="MLTC"/>
    <s v="MLTC"/>
    <s v="PCA Hourly LI &amp; Westchester"/>
    <s v="T1019:U1"/>
    <x v="2"/>
    <x v="0"/>
    <x v="2"/>
    <m/>
    <n v="2"/>
    <n v="101"/>
    <n v="215.75"/>
    <n v="2"/>
    <n v="101"/>
    <n v="215.75"/>
    <x v="0"/>
  </r>
  <r>
    <n v="1552"/>
    <x v="59"/>
    <s v="Centers Plan For Health Living PCA"/>
    <s v="MLTC"/>
    <s v="MLTC"/>
    <s v="RN Initial (NB)"/>
    <m/>
    <x v="3"/>
    <x v="0"/>
    <x v="2"/>
    <m/>
    <n v="7"/>
    <n v="7"/>
    <n v="7"/>
    <n v="7"/>
    <n v="7"/>
    <n v="7"/>
    <x v="1"/>
  </r>
  <r>
    <n v="1553"/>
    <x v="59"/>
    <s v="Centers Plan For Health Living PCA"/>
    <s v="MLTC"/>
    <s v="MLTC"/>
    <s v="RN Reassessment (NB)"/>
    <m/>
    <x v="3"/>
    <x v="0"/>
    <x v="2"/>
    <m/>
    <n v="6"/>
    <n v="8"/>
    <n v="8"/>
    <n v="6"/>
    <n v="8"/>
    <n v="8"/>
    <x v="1"/>
  </r>
  <r>
    <n v="1555"/>
    <x v="59"/>
    <s v="Centers Plan For Healthy Living CDPAP "/>
    <s v="MLTC"/>
    <s v="CDPAP"/>
    <s v="PA Hourly - 5 Boroughs"/>
    <s v="T1019:U6"/>
    <x v="1"/>
    <x v="1"/>
    <x v="1"/>
    <m/>
    <n v="2"/>
    <n v="335"/>
    <n v="1233.25"/>
    <n v="2"/>
    <n v="335"/>
    <n v="1233.25"/>
    <x v="0"/>
  </r>
  <r>
    <n v="1556"/>
    <x v="59"/>
    <s v="Centers Plan For Healthy Living CDPAP "/>
    <s v="MLTC"/>
    <s v="CDPAP"/>
    <s v="PA Hourly - Nassau/Suffolk/Westchester:"/>
    <s v="T1019:U6"/>
    <x v="1"/>
    <x v="1"/>
    <x v="1"/>
    <m/>
    <n v="13"/>
    <n v="2338"/>
    <n v="9569"/>
    <n v="12"/>
    <n v="2303"/>
    <n v="9394.25"/>
    <x v="0"/>
  </r>
  <r>
    <n v="1557"/>
    <x v="59"/>
    <s v="Elderplan MJHS (ANT)"/>
    <s v="MLTC"/>
    <s v="MLTC"/>
    <s v="RN Initial (NB)"/>
    <m/>
    <x v="3"/>
    <x v="0"/>
    <x v="2"/>
    <m/>
    <n v="12"/>
    <n v="13"/>
    <n v="13"/>
    <n v="11"/>
    <n v="12"/>
    <n v="12"/>
    <x v="1"/>
  </r>
  <r>
    <n v="1558"/>
    <x v="59"/>
    <s v="Elderplan MJHS (ANT)"/>
    <s v="MLTC"/>
    <s v="MLTC"/>
    <s v="RN Reassessment (NB)"/>
    <m/>
    <x v="3"/>
    <x v="0"/>
    <x v="2"/>
    <m/>
    <n v="3"/>
    <n v="4"/>
    <n v="4"/>
    <n v="3"/>
    <n v="4"/>
    <n v="4"/>
    <x v="1"/>
  </r>
  <r>
    <n v="1559"/>
    <x v="59"/>
    <s v="Elderplan MJHS (ANT)"/>
    <s v="MLTC"/>
    <s v="MLTC"/>
    <s v="T1019:U1"/>
    <s v="T1019:U1"/>
    <x v="2"/>
    <x v="0"/>
    <x v="2"/>
    <m/>
    <n v="13"/>
    <n v="1220"/>
    <n v="5728"/>
    <n v="12"/>
    <n v="1193"/>
    <n v="5620"/>
    <x v="0"/>
  </r>
  <r>
    <n v="1561"/>
    <x v="59"/>
    <s v="Elderplan MJHS (CDP)"/>
    <s v="MLTC"/>
    <s v="CDPAP"/>
    <s v="T1019:U6"/>
    <s v="T1019:U6"/>
    <x v="1"/>
    <x v="1"/>
    <x v="1"/>
    <m/>
    <n v="9"/>
    <n v="1269"/>
    <n v="6298.75"/>
    <n v="6"/>
    <n v="1101"/>
    <n v="5125.5"/>
    <x v="0"/>
  </r>
  <r>
    <n v="1564"/>
    <x v="59"/>
    <s v="ElderServe/Riverspring (CDPAP)"/>
    <s v="MLTC"/>
    <s v="CDPAP"/>
    <s v="PA Hourly"/>
    <s v="T1019:U6"/>
    <x v="1"/>
    <x v="1"/>
    <x v="1"/>
    <m/>
    <n v="1"/>
    <n v="3"/>
    <n v="21"/>
    <n v="1"/>
    <n v="3"/>
    <n v="21"/>
    <x v="0"/>
  </r>
  <r>
    <n v="1565"/>
    <x v="59"/>
    <s v="ElderServe/Riverspring (CDPAP)"/>
    <s v="MLTC"/>
    <s v="CDPAP"/>
    <s v="PA Hourly - Long Island &amp; Westchester"/>
    <s v="T1019:U6:U4"/>
    <x v="12"/>
    <x v="1"/>
    <x v="1"/>
    <m/>
    <n v="6"/>
    <n v="323"/>
    <n v="2828.25"/>
    <n v="5"/>
    <n v="315"/>
    <n v="2776.25"/>
    <x v="0"/>
  </r>
  <r>
    <n v="1566"/>
    <x v="59"/>
    <s v="ElderServe/Riverspring (PCA)"/>
    <s v="MLTC"/>
    <s v="MLTC"/>
    <s v="PCA Hourly - LI Westchester"/>
    <s v="T1019:U4"/>
    <x v="14"/>
    <x v="0"/>
    <x v="2"/>
    <m/>
    <n v="7"/>
    <n v="275"/>
    <n v="1184.75"/>
    <n v="6"/>
    <n v="270"/>
    <n v="1171"/>
    <x v="0"/>
  </r>
  <r>
    <n v="1567"/>
    <x v="59"/>
    <s v="ElderServe/Riverspring (PCA)"/>
    <s v="MLTC"/>
    <s v="MLTC"/>
    <s v="RN Initial (NB)"/>
    <m/>
    <x v="3"/>
    <x v="0"/>
    <x v="2"/>
    <m/>
    <n v="7"/>
    <n v="7"/>
    <n v="7"/>
    <n v="6"/>
    <n v="6"/>
    <n v="6"/>
    <x v="1"/>
  </r>
  <r>
    <n v="1568"/>
    <x v="59"/>
    <s v="ElderServe/Riverspring (PCA)"/>
    <s v="MLTC"/>
    <s v="MLTC"/>
    <s v="RN Reassessment (NB)"/>
    <m/>
    <x v="3"/>
    <x v="0"/>
    <x v="2"/>
    <m/>
    <n v="1"/>
    <n v="1"/>
    <n v="1"/>
    <n v="1"/>
    <n v="1"/>
    <n v="1"/>
    <x v="1"/>
  </r>
  <r>
    <n v="1571"/>
    <x v="59"/>
    <s v="Empire Blue Cross Blue Shield (CDPAP)"/>
    <s v="Other"/>
    <s v="CDPAP"/>
    <s v="PA Hourly (New)"/>
    <s v="T1019:U6"/>
    <x v="1"/>
    <x v="1"/>
    <x v="1"/>
    <m/>
    <n v="4"/>
    <n v="814"/>
    <n v="4595.75"/>
    <n v="4"/>
    <n v="814"/>
    <n v="4595.75"/>
    <x v="0"/>
  </r>
  <r>
    <n v="1572"/>
    <x v="59"/>
    <s v="Empire Blue Cross Blue Shield (CDPAP)"/>
    <s v="Other"/>
    <s v="CDPAP"/>
    <s v="PA Hourly - Long Island &amp; Westchester"/>
    <s v="T1019:U6"/>
    <x v="1"/>
    <x v="1"/>
    <x v="1"/>
    <m/>
    <n v="6"/>
    <n v="642"/>
    <n v="2686.5"/>
    <n v="6"/>
    <n v="642"/>
    <n v="2686.5"/>
    <x v="0"/>
  </r>
  <r>
    <n v="1573"/>
    <x v="59"/>
    <s v="Empire Blue Cross Blue Shield (PCA)"/>
    <s v="Other"/>
    <s v="MLTC"/>
    <s v="PCA Hourly LI &amp; Westchester"/>
    <s v="T1019:U1"/>
    <x v="2"/>
    <x v="0"/>
    <x v="2"/>
    <m/>
    <n v="4"/>
    <n v="246"/>
    <n v="1445.75"/>
    <n v="3"/>
    <n v="163"/>
    <n v="872.75"/>
    <x v="0"/>
  </r>
  <r>
    <n v="1574"/>
    <x v="59"/>
    <s v="Empire Blue Cross Blue Shield (PCA)"/>
    <s v="Other"/>
    <s v="MLTC"/>
    <s v="PCA Hourly NYC"/>
    <s v="T1019:U1"/>
    <x v="2"/>
    <x v="0"/>
    <x v="2"/>
    <m/>
    <n v="1"/>
    <n v="129"/>
    <n v="924"/>
    <n v="1"/>
    <n v="129"/>
    <n v="924"/>
    <x v="0"/>
  </r>
  <r>
    <n v="1575"/>
    <x v="59"/>
    <s v="Empire Blue Cross Blue Shield (PCA)"/>
    <s v="Other"/>
    <s v="MLTC"/>
    <s v="PCA Live In"/>
    <s v="T1020"/>
    <x v="8"/>
    <x v="0"/>
    <x v="2"/>
    <m/>
    <n v="1"/>
    <n v="346"/>
    <n v="4498"/>
    <n v="1"/>
    <n v="346"/>
    <n v="4498"/>
    <x v="0"/>
  </r>
  <r>
    <n v="1576"/>
    <x v="59"/>
    <s v="Empire Blue Cross Blue Shield (PCA)"/>
    <s v="Other"/>
    <s v="MLTC"/>
    <s v="PRN (NB)"/>
    <m/>
    <x v="3"/>
    <x v="0"/>
    <x v="2"/>
    <m/>
    <n v="1"/>
    <n v="1"/>
    <n v="1"/>
    <n v="1"/>
    <n v="1"/>
    <n v="1"/>
    <x v="1"/>
  </r>
  <r>
    <n v="1577"/>
    <x v="59"/>
    <s v="Empire Blue Cross Blue Shield (PCA)"/>
    <s v="Other"/>
    <s v="MLTC"/>
    <s v="RN Initial (NB)"/>
    <m/>
    <x v="3"/>
    <x v="0"/>
    <x v="2"/>
    <m/>
    <n v="5"/>
    <n v="5"/>
    <n v="5"/>
    <n v="3"/>
    <n v="3"/>
    <n v="3"/>
    <x v="1"/>
  </r>
  <r>
    <n v="1578"/>
    <x v="59"/>
    <s v="Empire Blue Cross Blue Shield (PCA)"/>
    <s v="Other"/>
    <s v="MLTC"/>
    <s v="RN Reassessment (NB)"/>
    <m/>
    <x v="3"/>
    <x v="0"/>
    <x v="2"/>
    <m/>
    <n v="2"/>
    <n v="3"/>
    <n v="3"/>
    <n v="2"/>
    <n v="3"/>
    <n v="3"/>
    <x v="1"/>
  </r>
  <r>
    <n v="1579"/>
    <x v="59"/>
    <s v="Fidelis Care (ANT)"/>
    <s v="LHCSA"/>
    <s v="MLTC"/>
    <s v="PRN (NB)"/>
    <m/>
    <x v="3"/>
    <x v="0"/>
    <x v="2"/>
    <m/>
    <n v="2"/>
    <n v="2"/>
    <n v="2"/>
    <n v="2"/>
    <n v="2"/>
    <n v="2"/>
    <x v="1"/>
  </r>
  <r>
    <n v="1580"/>
    <x v="59"/>
    <s v="Fidelis Care (ANT)"/>
    <s v="LHCSA"/>
    <s v="MLTC"/>
    <s v="RN Initial (NB)"/>
    <m/>
    <x v="3"/>
    <x v="0"/>
    <x v="2"/>
    <m/>
    <n v="16"/>
    <n v="16"/>
    <n v="16"/>
    <n v="16"/>
    <n v="16"/>
    <n v="16"/>
    <x v="1"/>
  </r>
  <r>
    <n v="1581"/>
    <x v="59"/>
    <s v="Fidelis Care (ANT)"/>
    <s v="LHCSA"/>
    <s v="MLTC"/>
    <s v="RN Initial Assement"/>
    <s v="T2024"/>
    <x v="3"/>
    <x v="0"/>
    <x v="2"/>
    <m/>
    <n v="11"/>
    <n v="11"/>
    <n v="11"/>
    <n v="11"/>
    <n v="11"/>
    <n v="11"/>
    <x v="3"/>
  </r>
  <r>
    <n v="1582"/>
    <x v="59"/>
    <s v="Fidelis Care (ANT)"/>
    <s v="LHCSA"/>
    <s v="MLTC"/>
    <s v="RN Reassessment (NB)"/>
    <m/>
    <x v="3"/>
    <x v="0"/>
    <x v="2"/>
    <m/>
    <n v="10"/>
    <n v="13"/>
    <n v="13"/>
    <n v="10"/>
    <n v="13"/>
    <n v="13"/>
    <x v="1"/>
  </r>
  <r>
    <n v="1583"/>
    <x v="59"/>
    <s v="Fidelis Care (ANT)"/>
    <s v="LHCSA"/>
    <s v="MLTC"/>
    <s v="S5130:U1"/>
    <s v="S5130:U1::::Homemaker"/>
    <x v="6"/>
    <x v="0"/>
    <x v="2"/>
    <m/>
    <n v="1"/>
    <n v="4"/>
    <n v="13.25"/>
    <n v="1"/>
    <n v="4"/>
    <n v="13.25"/>
    <x v="0"/>
  </r>
  <r>
    <n v="1584"/>
    <x v="59"/>
    <s v="Fidelis Care (ANT)"/>
    <s v="LHCSA"/>
    <s v="MLTC"/>
    <s v="T1019:U1"/>
    <s v="T1019:U1"/>
    <x v="2"/>
    <x v="0"/>
    <x v="2"/>
    <m/>
    <n v="34"/>
    <n v="2646"/>
    <n v="12426.75"/>
    <n v="33"/>
    <n v="2583"/>
    <n v="12043.5"/>
    <x v="0"/>
  </r>
  <r>
    <n v="1585"/>
    <x v="59"/>
    <s v="Fidelis Care (ANT)"/>
    <s v="LHCSA"/>
    <s v="MLTC"/>
    <s v="T1020"/>
    <s v="T1020"/>
    <x v="8"/>
    <x v="0"/>
    <x v="2"/>
    <m/>
    <n v="1"/>
    <n v="236"/>
    <n v="3068"/>
    <n v="1"/>
    <n v="236"/>
    <n v="3068"/>
    <x v="0"/>
  </r>
  <r>
    <n v="1588"/>
    <x v="59"/>
    <s v="Fidelis Care (CDP)"/>
    <s v="LHCSA"/>
    <s v="CDPAP"/>
    <s v="T1019:U6"/>
    <s v="T1019:U6"/>
    <x v="1"/>
    <x v="1"/>
    <x v="1"/>
    <m/>
    <n v="35"/>
    <n v="4609"/>
    <n v="24043"/>
    <n v="34"/>
    <n v="4539"/>
    <n v="23214"/>
    <x v="0"/>
  </r>
  <r>
    <n v="1589"/>
    <x v="59"/>
    <s v="Fidelis Care PCA (Non Live)"/>
    <s v="MLTC"/>
    <s v="MLTC"/>
    <s v="RN Initial (NB)"/>
    <s v="G0162"/>
    <x v="3"/>
    <x v="0"/>
    <x v="2"/>
    <m/>
    <n v="2"/>
    <n v="2"/>
    <n v="2"/>
    <n v="2"/>
    <n v="2"/>
    <n v="2"/>
    <x v="1"/>
  </r>
  <r>
    <n v="1590"/>
    <x v="59"/>
    <s v="Fidelis Care PCA (Non Live)"/>
    <s v="MLTC"/>
    <s v="MLTC"/>
    <s v="Rn initial assement"/>
    <s v="G0162"/>
    <x v="3"/>
    <x v="0"/>
    <x v="2"/>
    <m/>
    <n v="2"/>
    <n v="2"/>
    <n v="2"/>
    <n v="2"/>
    <n v="2"/>
    <n v="2"/>
    <x v="3"/>
  </r>
  <r>
    <n v="1592"/>
    <x v="59"/>
    <s v="Hamaspik MAP CDPAP"/>
    <s v="MCO"/>
    <s v="CDPAP"/>
    <s v="PA Hourly (NYC, LI, &amp; Westchester)"/>
    <s v="T1019:U6"/>
    <x v="1"/>
    <x v="1"/>
    <x v="1"/>
    <m/>
    <n v="5"/>
    <n v="674"/>
    <n v="2361.25"/>
    <n v="4"/>
    <n v="659"/>
    <n v="2256.25"/>
    <x v="0"/>
  </r>
  <r>
    <n v="1594"/>
    <x v="59"/>
    <s v="Hamaspik MAP PCA"/>
    <s v="MCO"/>
    <s v="MLTC"/>
    <s v="PCA Hourly"/>
    <s v="T1019:U1"/>
    <x v="2"/>
    <x v="0"/>
    <x v="2"/>
    <m/>
    <n v="1"/>
    <n v="7"/>
    <n v="35"/>
    <n v="1"/>
    <n v="7"/>
    <n v="35"/>
    <x v="0"/>
  </r>
  <r>
    <n v="1595"/>
    <x v="59"/>
    <s v="Hamaspik MAP PCA"/>
    <s v="MCO"/>
    <s v="MLTC"/>
    <s v="RN Initial (NB)"/>
    <m/>
    <x v="3"/>
    <x v="0"/>
    <x v="2"/>
    <m/>
    <n v="1"/>
    <n v="1"/>
    <n v="1"/>
    <n v="1"/>
    <n v="1"/>
    <n v="1"/>
    <x v="1"/>
  </r>
  <r>
    <n v="1596"/>
    <x v="59"/>
    <s v="Healthfirst (ANT)"/>
    <s v="CHHA"/>
    <s v="MLTC"/>
    <s v="PRN (NB)"/>
    <m/>
    <x v="3"/>
    <x v="0"/>
    <x v="2"/>
    <m/>
    <n v="1"/>
    <n v="1"/>
    <n v="1"/>
    <n v="1"/>
    <n v="1"/>
    <n v="1"/>
    <x v="1"/>
  </r>
  <r>
    <n v="1597"/>
    <x v="59"/>
    <s v="Healthfirst (ANT)"/>
    <s v="CHHA"/>
    <s v="MLTC"/>
    <s v="RN Initial (NB)"/>
    <m/>
    <x v="3"/>
    <x v="0"/>
    <x v="2"/>
    <m/>
    <n v="9"/>
    <n v="9"/>
    <n v="9"/>
    <n v="9"/>
    <n v="9"/>
    <n v="9"/>
    <x v="1"/>
  </r>
  <r>
    <n v="1598"/>
    <x v="59"/>
    <s v="Healthfirst (ANT)"/>
    <s v="CHHA"/>
    <s v="MLTC"/>
    <s v="RN Reassessment (NB)"/>
    <m/>
    <x v="3"/>
    <x v="0"/>
    <x v="2"/>
    <m/>
    <n v="9"/>
    <n v="14"/>
    <n v="14"/>
    <n v="9"/>
    <n v="14"/>
    <n v="14"/>
    <x v="1"/>
  </r>
  <r>
    <n v="1599"/>
    <x v="59"/>
    <s v="Healthfirst (ANT)"/>
    <s v="CHHA"/>
    <s v="MLTC"/>
    <s v="T1019:U1"/>
    <s v="T1019:U1"/>
    <x v="2"/>
    <x v="0"/>
    <x v="2"/>
    <m/>
    <n v="18"/>
    <n v="1642"/>
    <n v="10152.25"/>
    <n v="18"/>
    <n v="1642"/>
    <n v="10152.25"/>
    <x v="0"/>
  </r>
  <r>
    <n v="1600"/>
    <x v="59"/>
    <s v="Healthfirst (ANT)"/>
    <s v="CHHA"/>
    <s v="MLTC"/>
    <s v="T1020"/>
    <s v="T1020"/>
    <x v="8"/>
    <x v="0"/>
    <x v="2"/>
    <m/>
    <n v="1"/>
    <n v="99"/>
    <n v="1287"/>
    <n v="1"/>
    <n v="99"/>
    <n v="1287"/>
    <x v="0"/>
  </r>
  <r>
    <n v="1602"/>
    <x v="59"/>
    <s v="Healthfirst (CDP)"/>
    <s v="CHHA"/>
    <s v="CDPAP"/>
    <s v="T1019:U6"/>
    <s v="T1019:U6"/>
    <x v="1"/>
    <x v="1"/>
    <x v="1"/>
    <m/>
    <n v="9"/>
    <n v="1028"/>
    <n v="5369.5"/>
    <n v="7"/>
    <n v="982"/>
    <n v="5155.5"/>
    <x v="0"/>
  </r>
  <r>
    <n v="1603"/>
    <x v="59"/>
    <s v="NHTD"/>
    <s v="LHCSA"/>
    <s v="Medicaid"/>
    <s v="HCSS 9795 LI Nassau Westchester Suffolk"/>
    <s v="9795"/>
    <x v="4"/>
    <x v="0"/>
    <x v="0"/>
    <m/>
    <n v="32"/>
    <n v="7654"/>
    <n v="85574.5"/>
    <n v="30"/>
    <n v="7607"/>
    <n v="85153.75"/>
    <x v="0"/>
  </r>
  <r>
    <n v="1604"/>
    <x v="59"/>
    <s v="NHTD"/>
    <s v="LHCSA"/>
    <s v="Medicaid"/>
    <s v="HCSS 9795 NYC"/>
    <s v="9795"/>
    <x v="4"/>
    <x v="0"/>
    <x v="0"/>
    <m/>
    <n v="18"/>
    <n v="2290"/>
    <n v="26288.5"/>
    <n v="18"/>
    <n v="2290"/>
    <n v="26288.5"/>
    <x v="0"/>
  </r>
  <r>
    <n v="1605"/>
    <x v="59"/>
    <s v="NHTD"/>
    <s v="LHCSA"/>
    <s v="Medicaid"/>
    <s v="Initial RN Visit 9799 (Hourly)"/>
    <s v="9799"/>
    <x v="4"/>
    <x v="0"/>
    <x v="0"/>
    <m/>
    <n v="24"/>
    <n v="24"/>
    <n v="23.5"/>
    <n v="22"/>
    <n v="22"/>
    <n v="22"/>
    <x v="2"/>
  </r>
  <r>
    <n v="1606"/>
    <x v="59"/>
    <s v="NHTD"/>
    <s v="LHCSA"/>
    <s v="Medicaid"/>
    <s v="PRN (NB)"/>
    <m/>
    <x v="4"/>
    <x v="0"/>
    <x v="0"/>
    <m/>
    <n v="2"/>
    <n v="2"/>
    <n v="1"/>
    <n v="2"/>
    <n v="2"/>
    <n v="2"/>
    <x v="2"/>
  </r>
  <r>
    <n v="1607"/>
    <x v="59"/>
    <s v="NHTD"/>
    <s v="LHCSA"/>
    <s v="Medicaid"/>
    <s v="RN Initial (NB)"/>
    <m/>
    <x v="4"/>
    <x v="0"/>
    <x v="0"/>
    <m/>
    <n v="3"/>
    <n v="3"/>
    <n v="3"/>
    <n v="3"/>
    <n v="3"/>
    <n v="3"/>
    <x v="2"/>
  </r>
  <r>
    <n v="1608"/>
    <x v="59"/>
    <s v="NHTD"/>
    <s v="LHCSA"/>
    <s v="Medicaid"/>
    <s v="RN Visit 9799 (Hourly)"/>
    <s v="9799"/>
    <x v="4"/>
    <x v="0"/>
    <x v="0"/>
    <m/>
    <n v="21"/>
    <n v="28"/>
    <n v="27.5"/>
    <n v="21"/>
    <n v="28"/>
    <n v="28"/>
    <x v="2"/>
  </r>
  <r>
    <n v="1609"/>
    <x v="59"/>
    <s v="Non Billable"/>
    <s v="Other"/>
    <s v="Insurance"/>
    <s v="PCA Hourly"/>
    <m/>
    <x v="5"/>
    <x v="0"/>
    <x v="3"/>
    <m/>
    <n v="5"/>
    <n v="17"/>
    <n v="55.75"/>
    <n v="4"/>
    <n v="16"/>
    <n v="50.75"/>
    <x v="0"/>
  </r>
  <r>
    <n v="1610"/>
    <x v="59"/>
    <s v="Preferred Certified"/>
    <s v="MCO"/>
    <s v="Insurance"/>
    <s v="HHA hourly"/>
    <m/>
    <x v="0"/>
    <x v="0"/>
    <x v="0"/>
    <s v="CHHA"/>
    <n v="1"/>
    <n v="10"/>
    <n v="29.5"/>
    <n v="1"/>
    <n v="10"/>
    <n v="29.5"/>
    <x v="0"/>
  </r>
  <r>
    <n v="1611"/>
    <x v="59"/>
    <s v="Preferred Certified"/>
    <s v="MCO"/>
    <s v="Insurance"/>
    <s v="PCA Hourly"/>
    <m/>
    <x v="0"/>
    <x v="0"/>
    <x v="0"/>
    <s v="CHHA"/>
    <n v="1"/>
    <n v="2"/>
    <n v="5.5"/>
    <n v="1"/>
    <n v="2"/>
    <n v="5.5"/>
    <x v="0"/>
  </r>
  <r>
    <n v="1612"/>
    <x v="59"/>
    <s v="Preferred Certified"/>
    <s v="MCO"/>
    <s v="Insurance"/>
    <s v="RN Initial Visit-NB"/>
    <s v="T2024"/>
    <x v="0"/>
    <x v="0"/>
    <x v="0"/>
    <s v="CHHA"/>
    <n v="1"/>
    <n v="1"/>
    <n v="0.5"/>
    <n v="1"/>
    <n v="1"/>
    <n v="0.5"/>
    <x v="0"/>
  </r>
  <r>
    <n v="1613"/>
    <x v="59"/>
    <s v="Prime Home Health Services"/>
    <s v="CHHA"/>
    <s v="CHHA"/>
    <s v="HHAHOUR"/>
    <m/>
    <x v="0"/>
    <x v="0"/>
    <x v="0"/>
    <s v="CHHA"/>
    <n v="9"/>
    <n v="335"/>
    <n v="2070.75"/>
    <n v="7"/>
    <n v="299"/>
    <n v="1914"/>
    <x v="0"/>
  </r>
  <r>
    <n v="1614"/>
    <x v="59"/>
    <s v="Prime Home Health Services"/>
    <s v="CHHA"/>
    <s v="CHHA"/>
    <s v="HHAHRPED"/>
    <s v="99999"/>
    <x v="0"/>
    <x v="0"/>
    <x v="0"/>
    <s v="CHHA"/>
    <n v="1"/>
    <n v="276"/>
    <n v="1359.25"/>
    <n v="1"/>
    <n v="276"/>
    <n v="1359.25"/>
    <x v="0"/>
  </r>
  <r>
    <n v="1615"/>
    <x v="59"/>
    <s v="Private Pay"/>
    <s v="Other"/>
    <s v="Private"/>
    <s v="PCA Hourly"/>
    <m/>
    <x v="5"/>
    <x v="0"/>
    <x v="3"/>
    <m/>
    <n v="2"/>
    <n v="16"/>
    <n v="66"/>
    <n v="2"/>
    <n v="16"/>
    <n v="66"/>
    <x v="0"/>
  </r>
  <r>
    <n v="1616"/>
    <x v="59"/>
    <s v="Revival Home Health Care"/>
    <s v="CHHA"/>
    <s v="CHHA"/>
    <s v="Rate1"/>
    <s v="S9122"/>
    <x v="0"/>
    <x v="0"/>
    <x v="0"/>
    <s v="CHHA"/>
    <n v="9"/>
    <n v="62"/>
    <n v="236.75"/>
    <n v="7"/>
    <n v="52"/>
    <n v="197.75"/>
    <x v="0"/>
  </r>
  <r>
    <n v="1617"/>
    <x v="59"/>
    <s v="Royal Care Certified of NY"/>
    <s v="Other"/>
    <m/>
    <s v="Rate 1"/>
    <s v="na"/>
    <x v="0"/>
    <x v="0"/>
    <x v="0"/>
    <s v="CHHA"/>
    <n v="1"/>
    <n v="1"/>
    <n v="4"/>
    <n v="1"/>
    <n v="1"/>
    <n v="4"/>
    <x v="0"/>
  </r>
  <r>
    <n v="1618"/>
    <x v="59"/>
    <s v="SWHNY-MLTC (ANT)"/>
    <s v="Other"/>
    <s v="MLTC"/>
    <s v="T1019:U1"/>
    <s v="T1019:U1"/>
    <x v="2"/>
    <x v="0"/>
    <x v="2"/>
    <m/>
    <n v="1"/>
    <n v="114"/>
    <n v="1312.5"/>
    <n v="1"/>
    <n v="114"/>
    <n v="1312.5"/>
    <x v="0"/>
  </r>
  <r>
    <n v="1621"/>
    <x v="59"/>
    <s v="SWHNY-MLTC (CDP)"/>
    <s v="Other"/>
    <s v="CDPAP"/>
    <s v="T1019:U6"/>
    <s v="T1019:U6"/>
    <x v="1"/>
    <x v="1"/>
    <x v="1"/>
    <m/>
    <n v="3"/>
    <n v="478"/>
    <n v="3086.5"/>
    <n v="3"/>
    <n v="478"/>
    <n v="3086.5"/>
    <x v="0"/>
  </r>
  <r>
    <n v="1623"/>
    <x v="59"/>
    <s v="VillageCare CDPAP"/>
    <s v="MCO"/>
    <s v="CDPAP"/>
    <s v="PA Hourly"/>
    <s v="T1019:U6"/>
    <x v="1"/>
    <x v="1"/>
    <x v="1"/>
    <m/>
    <n v="7"/>
    <n v="351"/>
    <n v="1683.5"/>
    <n v="7"/>
    <n v="351"/>
    <n v="1683.5"/>
    <x v="0"/>
  </r>
  <r>
    <n v="1624"/>
    <x v="59"/>
    <s v="VillageCare CDPAP"/>
    <s v="MCO"/>
    <s v="CDPAP"/>
    <s v="PA Hourly Mutual"/>
    <s v="T1019:U7"/>
    <x v="10"/>
    <x v="1"/>
    <x v="1"/>
    <m/>
    <n v="2"/>
    <n v="28"/>
    <n v="224"/>
    <n v="2"/>
    <n v="28"/>
    <n v="224"/>
    <x v="0"/>
  </r>
  <r>
    <n v="1625"/>
    <x v="59"/>
    <s v="VillageCare PCA"/>
    <s v="MLTC"/>
    <s v="MLTC"/>
    <s v="PCA Hourly"/>
    <s v="T1019:U1"/>
    <x v="2"/>
    <x v="0"/>
    <x v="2"/>
    <m/>
    <n v="13"/>
    <n v="520"/>
    <n v="2340.25"/>
    <n v="13"/>
    <n v="520"/>
    <n v="2340.25"/>
    <x v="0"/>
  </r>
  <r>
    <n v="1626"/>
    <x v="59"/>
    <s v="VillageCare PCA"/>
    <s v="MLTC"/>
    <s v="MLTC"/>
    <s v="PCA Hourly"/>
    <s v="T1019:U1:TV"/>
    <x v="2"/>
    <x v="0"/>
    <x v="2"/>
    <m/>
    <n v="3"/>
    <n v="46"/>
    <n v="231"/>
    <n v="3"/>
    <n v="46"/>
    <n v="231"/>
    <x v="0"/>
  </r>
  <r>
    <n v="1627"/>
    <x v="59"/>
    <s v="VillageCare PCA"/>
    <s v="MLTC"/>
    <s v="MLTC"/>
    <s v="PCA Hourly TV"/>
    <s v="T1019:U1:TV"/>
    <x v="2"/>
    <x v="0"/>
    <x v="2"/>
    <m/>
    <n v="5"/>
    <n v="70"/>
    <n v="318.75"/>
    <n v="5"/>
    <n v="70"/>
    <n v="318.75"/>
    <x v="0"/>
  </r>
  <r>
    <n v="1628"/>
    <x v="59"/>
    <s v="VillageCare PCA"/>
    <s v="MLTC"/>
    <s v="MLTC"/>
    <s v="PRN (NB)"/>
    <m/>
    <x v="3"/>
    <x v="0"/>
    <x v="2"/>
    <m/>
    <n v="1"/>
    <n v="1"/>
    <n v="1"/>
    <n v="1"/>
    <n v="1"/>
    <n v="1"/>
    <x v="1"/>
  </r>
  <r>
    <n v="1629"/>
    <x v="59"/>
    <s v="VillageCare PCA"/>
    <s v="MLTC"/>
    <s v="MLTC"/>
    <s v="RN Initial Visit"/>
    <s v="T1030"/>
    <x v="7"/>
    <x v="0"/>
    <x v="2"/>
    <m/>
    <n v="10"/>
    <n v="10"/>
    <n v="10"/>
    <n v="10"/>
    <n v="10"/>
    <n v="10"/>
    <x v="3"/>
  </r>
  <r>
    <n v="1630"/>
    <x v="59"/>
    <s v="VNS Health Health Plans (ANT)"/>
    <s v="MLTC"/>
    <s v="MLTC"/>
    <s v="PRN (NB)"/>
    <m/>
    <x v="3"/>
    <x v="0"/>
    <x v="2"/>
    <m/>
    <n v="5"/>
    <n v="6"/>
    <n v="6"/>
    <n v="5"/>
    <n v="6"/>
    <n v="6"/>
    <x v="1"/>
  </r>
  <r>
    <n v="1631"/>
    <x v="59"/>
    <s v="VNS Health Health Plans (ANT)"/>
    <s v="MLTC"/>
    <s v="MLTC"/>
    <s v="RN Initial (NB)"/>
    <m/>
    <x v="3"/>
    <x v="0"/>
    <x v="2"/>
    <m/>
    <n v="30"/>
    <n v="30"/>
    <n v="30"/>
    <n v="24"/>
    <n v="24"/>
    <n v="24"/>
    <x v="1"/>
  </r>
  <r>
    <n v="1632"/>
    <x v="59"/>
    <s v="VNS Health Health Plans (ANT)"/>
    <s v="MLTC"/>
    <s v="MLTC"/>
    <s v="RN Reassessment (NB)"/>
    <m/>
    <x v="3"/>
    <x v="0"/>
    <x v="2"/>
    <m/>
    <n v="12"/>
    <n v="16"/>
    <n v="16"/>
    <n v="12"/>
    <n v="16"/>
    <n v="16"/>
    <x v="1"/>
  </r>
  <r>
    <n v="1633"/>
    <x v="59"/>
    <s v="VNS Health Health Plans (ANT)"/>
    <s v="MLTC"/>
    <s v="MLTC"/>
    <s v="T1019U1 BX"/>
    <s v="T1019:U1"/>
    <x v="2"/>
    <x v="0"/>
    <x v="2"/>
    <m/>
    <n v="1"/>
    <n v="53"/>
    <n v="220"/>
    <n v="1"/>
    <n v="53"/>
    <n v="220"/>
    <x v="0"/>
  </r>
  <r>
    <n v="1634"/>
    <x v="59"/>
    <s v="VNS Health Health Plans (ANT)"/>
    <s v="MLTC"/>
    <s v="MLTC"/>
    <s v="T1019U1 WES"/>
    <s v="T1019:U1"/>
    <x v="2"/>
    <x v="0"/>
    <x v="2"/>
    <m/>
    <n v="35"/>
    <n v="2045"/>
    <n v="14270.5"/>
    <n v="30"/>
    <n v="1986"/>
    <n v="13964.5"/>
    <x v="0"/>
  </r>
  <r>
    <n v="1635"/>
    <x v="59"/>
    <s v="VNS Health Health Plans (ANT)"/>
    <s v="MLTC"/>
    <s v="MLTC"/>
    <s v="T1019U2 WES"/>
    <s v="T1019:U2"/>
    <x v="11"/>
    <x v="0"/>
    <x v="2"/>
    <m/>
    <n v="4"/>
    <n v="116"/>
    <n v="441"/>
    <n v="4"/>
    <n v="116"/>
    <n v="441"/>
    <x v="0"/>
  </r>
  <r>
    <n v="1636"/>
    <x v="59"/>
    <s v="VNS Health Health Plans (ANT)"/>
    <s v="MLTC"/>
    <s v="MLTC"/>
    <s v="T1020 WES"/>
    <s v="T1020"/>
    <x v="8"/>
    <x v="0"/>
    <x v="2"/>
    <m/>
    <n v="2"/>
    <n v="407"/>
    <n v="5291"/>
    <n v="2"/>
    <n v="407"/>
    <n v="5291"/>
    <x v="0"/>
  </r>
  <r>
    <n v="1641"/>
    <x v="59"/>
    <s v="VNS Health Health Plans (CDP)"/>
    <s v="MLTC"/>
    <s v="CDPAP"/>
    <s v="T1019U6 WES"/>
    <s v="T1019:U6"/>
    <x v="1"/>
    <x v="1"/>
    <x v="1"/>
    <m/>
    <n v="33"/>
    <n v="6227"/>
    <n v="31780"/>
    <n v="31"/>
    <n v="6137"/>
    <n v="31368.5"/>
    <x v="0"/>
  </r>
  <r>
    <n v="1642"/>
    <x v="59"/>
    <s v="VNS Health Health Plans (CDP)"/>
    <s v="MLTC"/>
    <s v="CDPAP"/>
    <s v="T1019U6 WES MAP"/>
    <s v="T1019:U6"/>
    <x v="1"/>
    <x v="1"/>
    <x v="1"/>
    <m/>
    <n v="1"/>
    <n v="40"/>
    <n v="159.5"/>
    <n v="1"/>
    <n v="40"/>
    <n v="159.5"/>
    <x v="0"/>
  </r>
  <r>
    <n v="1644"/>
    <x v="60"/>
    <s v="Fidelis Care (CDP)"/>
    <s v="LHCSA"/>
    <s v="CDPAP"/>
    <s v="T1019:U6"/>
    <s v="T1019:U6"/>
    <x v="1"/>
    <x v="1"/>
    <x v="1"/>
    <m/>
    <n v="3"/>
    <n v="477"/>
    <n v="2342.25"/>
    <n v="3"/>
    <n v="477"/>
    <n v="2342.25"/>
    <x v="0"/>
  </r>
  <r>
    <n v="1646"/>
    <x v="61"/>
    <s v="Fidelis Care (CDP)"/>
    <s v="LHCSA"/>
    <s v="CDPAP"/>
    <s v="T1019:U6"/>
    <s v="T1019:U6"/>
    <x v="1"/>
    <x v="1"/>
    <x v="1"/>
    <m/>
    <n v="2"/>
    <n v="369"/>
    <n v="1960.5"/>
    <n v="2"/>
    <n v="369"/>
    <n v="1960.5"/>
    <x v="0"/>
  </r>
  <r>
    <n v="1648"/>
    <x v="61"/>
    <s v="Nascentia Health Options CDPAP"/>
    <s v="MLTC"/>
    <s v="CDPAP"/>
    <s v="PA Hourly"/>
    <s v="T1019:U6"/>
    <x v="1"/>
    <x v="1"/>
    <x v="1"/>
    <m/>
    <n v="1"/>
    <n v="252"/>
    <n v="1247.75"/>
    <n v="1"/>
    <n v="252"/>
    <n v="1247.75"/>
    <x v="0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  <r>
    <m/>
    <x v="62"/>
    <m/>
    <m/>
    <m/>
    <m/>
    <m/>
    <x v="16"/>
    <x v="2"/>
    <x v="4"/>
    <m/>
    <m/>
    <m/>
    <m/>
    <m/>
    <m/>
    <m/>
    <x v="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12">
  <r>
    <n v="1"/>
    <s v="Nassau"/>
    <s v="Americare"/>
    <s v="CHHA"/>
    <s v="CHHA"/>
    <s v="HHA1"/>
    <s v="S9122"/>
    <x v="0"/>
    <s v="HHA"/>
    <s v="Other"/>
    <s v="CHHA"/>
    <n v="3"/>
    <n v="48"/>
    <n v="179.25"/>
    <n v="2"/>
    <n v="10"/>
    <n v="34"/>
    <s v=""/>
    <x v="0"/>
  </r>
  <r>
    <n v="3"/>
    <s v="Kings"/>
    <s v="Centers Plan For Healthy Living CDPAP "/>
    <s v="MLTC"/>
    <s v="CDPAP"/>
    <s v="PA Hourly - 5 Boroughs"/>
    <s v="T1019:U6"/>
    <x v="1"/>
    <s v="CDPAP"/>
    <s v="MC Medicaid CDPAP"/>
    <m/>
    <n v="1"/>
    <n v="10"/>
    <n v="40"/>
    <n v="0"/>
    <n v="0"/>
    <m/>
    <s v=""/>
    <x v="0"/>
  </r>
  <r>
    <n v="6"/>
    <s v="Richmond"/>
    <s v="Empire Blue Cross Blue Shield (CDPAP)"/>
    <s v="Other"/>
    <s v="CDPAP"/>
    <s v="PA Hourly (New)"/>
    <s v="T1019:U6"/>
    <x v="1"/>
    <s v="CDPAP"/>
    <s v="MC Medicaid CDPAP"/>
    <m/>
    <n v="1"/>
    <n v="183"/>
    <n v="1528"/>
    <n v="1"/>
    <n v="183"/>
    <n v="1528"/>
    <s v=""/>
    <x v="0"/>
  </r>
  <r>
    <n v="7"/>
    <s v="Richmond"/>
    <s v="Empire Blue Cross Blue Shield (PCA)"/>
    <s v="Other"/>
    <s v="MLTC"/>
    <s v="PCA Hourly NYC"/>
    <s v="T1019:U1"/>
    <x v="2"/>
    <s v="HHA"/>
    <s v="MC Medicaid HHA"/>
    <m/>
    <n v="1"/>
    <n v="20"/>
    <n v="155"/>
    <n v="1"/>
    <n v="20"/>
    <n v="155"/>
    <s v=""/>
    <x v="0"/>
  </r>
  <r>
    <n v="8"/>
    <s v="Richmond"/>
    <s v="Empire Blue Cross Blue Shield (PCA)"/>
    <s v="Other"/>
    <s v="MLTC"/>
    <s v="RN Initial (NB)"/>
    <m/>
    <x v="3"/>
    <s v="HHA"/>
    <s v="MC Medicaid HHA"/>
    <m/>
    <n v="1"/>
    <n v="1"/>
    <n v="1"/>
    <n v="1"/>
    <n v="1"/>
    <n v="1"/>
    <s v="Nursing override"/>
    <x v="0"/>
  </r>
  <r>
    <n v="9"/>
    <s v="Queens"/>
    <s v="Excellent Home Care Services"/>
    <s v="CHHA"/>
    <s v="CHHA"/>
    <s v="Rate3"/>
    <m/>
    <x v="0"/>
    <s v="HHA"/>
    <s v="Other"/>
    <s v="CHHA"/>
    <n v="1"/>
    <n v="1"/>
    <n v="5"/>
    <n v="1"/>
    <n v="1"/>
    <n v="5"/>
    <s v=""/>
    <x v="0"/>
  </r>
  <r>
    <n v="10"/>
    <s v="Nassau"/>
    <s v="Extended Home Care"/>
    <s v="CHHA"/>
    <s v="CHHA"/>
    <s v="PedCode95"/>
    <s v="-"/>
    <x v="0"/>
    <s v="HHA"/>
    <s v="Other"/>
    <s v="CHHA"/>
    <n v="1"/>
    <n v="158"/>
    <n v="1278"/>
    <n v="1"/>
    <n v="158"/>
    <n v="1278"/>
    <s v=""/>
    <x v="0"/>
  </r>
  <r>
    <n v="11"/>
    <s v="Queens"/>
    <s v="Fidelis Care (ANT)"/>
    <s v="LHCSA"/>
    <s v="MLTC"/>
    <s v="RN Reassessment (NB)"/>
    <m/>
    <x v="3"/>
    <s v="HHA"/>
    <s v="MC Medicaid HHA"/>
    <m/>
    <n v="1"/>
    <n v="2"/>
    <n v="2"/>
    <n v="1"/>
    <n v="2"/>
    <n v="2"/>
    <s v="Nursing override"/>
    <x v="0"/>
  </r>
  <r>
    <n v="12"/>
    <s v="Queens"/>
    <s v="Fidelis Care (ANT)"/>
    <s v="LHCSA"/>
    <s v="MLTC"/>
    <s v="T1019:U1"/>
    <s v="T1019:U1"/>
    <x v="2"/>
    <s v="HHA"/>
    <s v="MC Medicaid HHA"/>
    <m/>
    <n v="1"/>
    <n v="171"/>
    <n v="730"/>
    <n v="1"/>
    <n v="171"/>
    <n v="730"/>
    <s v=""/>
    <x v="0"/>
  </r>
  <r>
    <n v="14"/>
    <s v="Monroe"/>
    <s v="Fidelis Care (CDP)"/>
    <s v="LHCSA"/>
    <s v="CDPAP"/>
    <s v="T1019:U6"/>
    <s v="T1019:U6"/>
    <x v="1"/>
    <s v="CDPAP"/>
    <s v="MC Medicaid CDPAP"/>
    <m/>
    <n v="1"/>
    <n v="181"/>
    <n v="734"/>
    <n v="1"/>
    <n v="181"/>
    <n v="734"/>
    <s v=""/>
    <x v="0"/>
  </r>
  <r>
    <n v="15"/>
    <s v="Queens"/>
    <s v="Girling Health Care Of New York"/>
    <s v="CHHA"/>
    <s v="CHHA"/>
    <s v="Rate1"/>
    <m/>
    <x v="0"/>
    <s v="HHA"/>
    <s v="Other"/>
    <s v="CHHA"/>
    <n v="4"/>
    <n v="128"/>
    <n v="603.25"/>
    <n v="4"/>
    <n v="128"/>
    <n v="603.25"/>
    <s v=""/>
    <x v="0"/>
  </r>
  <r>
    <n v="16"/>
    <s v="Queens"/>
    <s v="NHTD"/>
    <s v="LHCSA"/>
    <s v="Medicaid"/>
    <s v="HCSS 9795 NYC"/>
    <s v="9795"/>
    <x v="4"/>
    <s v="HHA"/>
    <s v="Other"/>
    <m/>
    <n v="2"/>
    <n v="1033"/>
    <n v="12092.25"/>
    <n v="2"/>
    <n v="1033"/>
    <n v="12092.25"/>
    <s v=""/>
    <x v="0"/>
  </r>
  <r>
    <n v="17"/>
    <s v="Bronx"/>
    <s v="NHTD"/>
    <s v="LHCSA"/>
    <s v="Medicaid"/>
    <s v="Initial RN Visit 9799 (Hourly)"/>
    <s v="9799"/>
    <x v="4"/>
    <s v="HHA"/>
    <s v="Other"/>
    <m/>
    <n v="1"/>
    <n v="1"/>
    <n v="1"/>
    <n v="1"/>
    <n v="1"/>
    <n v="1"/>
    <m/>
    <x v="0"/>
  </r>
  <r>
    <n v="18"/>
    <s v="Queens"/>
    <s v="NHTD"/>
    <s v="LHCSA"/>
    <s v="Medicaid"/>
    <s v="RN Initial (NB)"/>
    <m/>
    <x v="4"/>
    <s v="HHA"/>
    <s v="Other"/>
    <m/>
    <n v="1"/>
    <n v="1"/>
    <n v="1"/>
    <n v="1"/>
    <n v="1"/>
    <n v="1"/>
    <m/>
    <x v="0"/>
  </r>
  <r>
    <n v="19"/>
    <s v="Queens"/>
    <s v="NHTD"/>
    <s v="LHCSA"/>
    <s v="Medicaid"/>
    <s v="RN Visit 9799 (Hourly)"/>
    <s v="9799"/>
    <x v="4"/>
    <s v="HHA"/>
    <s v="Other"/>
    <m/>
    <n v="2"/>
    <n v="2"/>
    <n v="2"/>
    <n v="2"/>
    <n v="2"/>
    <n v="2"/>
    <m/>
    <x v="0"/>
  </r>
  <r>
    <n v="20"/>
    <s v="Queens"/>
    <s v="Private Pay"/>
    <s v="Other"/>
    <s v="Private"/>
    <s v="PCA Hourly"/>
    <m/>
    <x v="5"/>
    <s v="HHA"/>
    <s v="Private Pay"/>
    <m/>
    <n v="1"/>
    <n v="5"/>
    <n v="22"/>
    <n v="1"/>
    <n v="5"/>
    <n v="22"/>
    <s v=""/>
    <x v="0"/>
  </r>
  <r>
    <n v="21"/>
    <s v="Nassau"/>
    <s v="Revival Home Health Care"/>
    <s v="CHHA"/>
    <s v="CHHA"/>
    <s v="Rate1"/>
    <s v="S9122"/>
    <x v="0"/>
    <s v="HHA"/>
    <s v="Other"/>
    <s v="CHHA"/>
    <n v="1"/>
    <n v="3"/>
    <n v="6"/>
    <n v="1"/>
    <n v="3"/>
    <n v="6"/>
    <s v=""/>
    <x v="0"/>
  </r>
  <r>
    <n v="22"/>
    <s v="Albany"/>
    <s v="EDDY SeniorCare VNA (Pace Plan)"/>
    <s v="MCO"/>
    <s v="MCO"/>
    <s v="PCA Hourly Weekday"/>
    <s v="T1019:U1"/>
    <x v="4"/>
    <s v="HHA"/>
    <s v="Other"/>
    <m/>
    <n v="7"/>
    <n v="42"/>
    <n v="181"/>
    <n v="7"/>
    <n v="42"/>
    <n v="181"/>
    <s v=""/>
    <x v="0"/>
  </r>
  <r>
    <n v="23"/>
    <s v="Albany"/>
    <s v="EDDY SeniorCare VNA (Pace Plan)"/>
    <s v="MCO"/>
    <s v="MCO"/>
    <s v="RN Initial Visit-NB"/>
    <s v="T1019:U1"/>
    <x v="4"/>
    <s v="HHA"/>
    <s v="Other"/>
    <m/>
    <n v="6"/>
    <n v="6"/>
    <n v="6"/>
    <n v="6"/>
    <n v="6"/>
    <n v="6"/>
    <s v="Nursing override"/>
    <x v="0"/>
  </r>
  <r>
    <n v="24"/>
    <s v="Albany"/>
    <s v="Fidelis Care (ANT)"/>
    <s v="LHCSA"/>
    <s v="MLTC"/>
    <s v="PRN (NB)"/>
    <m/>
    <x v="3"/>
    <s v="HHA"/>
    <s v="MC Medicaid HHA"/>
    <m/>
    <n v="4"/>
    <n v="4"/>
    <n v="4"/>
    <n v="4"/>
    <n v="4"/>
    <n v="4"/>
    <s v="Nursing override"/>
    <x v="0"/>
  </r>
  <r>
    <n v="25"/>
    <s v="Albany"/>
    <s v="Fidelis Care (ANT)"/>
    <s v="LHCSA"/>
    <s v="MLTC"/>
    <s v="RN Initial (NB)"/>
    <m/>
    <x v="3"/>
    <s v="HHA"/>
    <s v="MC Medicaid HHA"/>
    <m/>
    <n v="44"/>
    <n v="44"/>
    <n v="44"/>
    <n v="39"/>
    <n v="39"/>
    <n v="39"/>
    <s v="Nursing override"/>
    <x v="0"/>
  </r>
  <r>
    <n v="26"/>
    <s v="Albany"/>
    <s v="Fidelis Care (ANT)"/>
    <s v="LHCSA"/>
    <s v="MLTC"/>
    <s v="RN Initial Assement"/>
    <s v="T2024"/>
    <x v="3"/>
    <s v="HHA"/>
    <s v="MC Medicaid HHA"/>
    <m/>
    <n v="20"/>
    <n v="20"/>
    <n v="20"/>
    <n v="20"/>
    <n v="20"/>
    <n v="20"/>
    <s v="nursing"/>
    <x v="0"/>
  </r>
  <r>
    <n v="27"/>
    <s v="Albany"/>
    <s v="Fidelis Care (ANT)"/>
    <s v="LHCSA"/>
    <s v="MLTC"/>
    <s v="RN Reassessment (NB)"/>
    <m/>
    <x v="3"/>
    <s v="HHA"/>
    <s v="MC Medicaid HHA"/>
    <m/>
    <n v="31"/>
    <n v="39"/>
    <n v="39"/>
    <n v="31"/>
    <n v="39"/>
    <n v="39"/>
    <s v="Nursing override"/>
    <x v="0"/>
  </r>
  <r>
    <n v="28"/>
    <s v="Albany"/>
    <s v="Fidelis Care (ANT)"/>
    <s v="LHCSA"/>
    <s v="MLTC"/>
    <s v="S5130:U1"/>
    <s v="S5130:U1::::Homemaker"/>
    <x v="6"/>
    <s v="HHA"/>
    <s v="MC Medicaid HHA"/>
    <m/>
    <n v="5"/>
    <n v="208"/>
    <n v="609.25"/>
    <n v="5"/>
    <n v="208"/>
    <n v="609.25"/>
    <s v=""/>
    <x v="0"/>
  </r>
  <r>
    <n v="29"/>
    <s v="Albany"/>
    <s v="Fidelis Care (ANT)"/>
    <s v="LHCSA"/>
    <s v="MLTC"/>
    <s v="T1019:U1"/>
    <s v="T1019:U1"/>
    <x v="2"/>
    <s v="HHA"/>
    <s v="MC Medicaid HHA"/>
    <m/>
    <n v="78"/>
    <n v="6460"/>
    <n v="26400.25"/>
    <n v="72"/>
    <n v="6345"/>
    <n v="25970"/>
    <s v=""/>
    <x v="0"/>
  </r>
  <r>
    <n v="30"/>
    <s v="Albany"/>
    <s v="Fidelis Care (ANT)"/>
    <s v="LHCSA"/>
    <s v="MLTC"/>
    <s v="T1019:U6"/>
    <s v="T1019:U6"/>
    <x v="1"/>
    <s v="CDPAP"/>
    <s v="MC Medicaid CDPAP"/>
    <m/>
    <n v="1"/>
    <n v="60"/>
    <n v="315.75"/>
    <n v="1"/>
    <n v="60"/>
    <n v="315.75"/>
    <s v=""/>
    <x v="0"/>
  </r>
  <r>
    <n v="34"/>
    <s v="Albany"/>
    <s v="Fidelis Care (CDP)"/>
    <s v="LHCSA"/>
    <s v="CDPAP"/>
    <s v="RN Initial (NB)"/>
    <m/>
    <x v="3"/>
    <s v="HHA"/>
    <s v="MC Medicaid HHA"/>
    <m/>
    <n v="2"/>
    <n v="2"/>
    <n v="2"/>
    <n v="2"/>
    <n v="2"/>
    <n v="2"/>
    <s v="Nursing override"/>
    <x v="0"/>
  </r>
  <r>
    <n v="35"/>
    <s v="Albany"/>
    <s v="Fidelis Care (CDP)"/>
    <s v="LHCSA"/>
    <s v="CDPAP"/>
    <s v="T1019:U1"/>
    <s v="T1019:U1"/>
    <x v="2"/>
    <s v="HHA"/>
    <s v="MC Medicaid HHA"/>
    <m/>
    <n v="2"/>
    <n v="21"/>
    <n v="57.25"/>
    <n v="2"/>
    <n v="21"/>
    <n v="57.25"/>
    <s v=""/>
    <x v="0"/>
  </r>
  <r>
    <n v="36"/>
    <s v="Albany"/>
    <s v="Fidelis Care (CDP)"/>
    <s v="LHCSA"/>
    <s v="CDPAP"/>
    <s v="T1019:U6"/>
    <s v="T1019:U6"/>
    <x v="1"/>
    <s v="CDPAP"/>
    <s v="MC Medicaid CDPAP"/>
    <m/>
    <n v="69"/>
    <n v="8705"/>
    <n v="43347.75"/>
    <n v="68"/>
    <n v="8669"/>
    <n v="43104.5"/>
    <s v=""/>
    <x v="0"/>
  </r>
  <r>
    <n v="37"/>
    <s v="Albany"/>
    <s v="Fidelis Care PCA (Non Live)"/>
    <s v="MLTC"/>
    <s v="MLTC"/>
    <s v="RN Initial (NB)"/>
    <s v="G0162"/>
    <x v="3"/>
    <s v="HHA"/>
    <s v="MC Medicaid HHA"/>
    <m/>
    <n v="1"/>
    <n v="1"/>
    <n v="1"/>
    <n v="1"/>
    <n v="1"/>
    <n v="1"/>
    <s v="Nursing override"/>
    <x v="0"/>
  </r>
  <r>
    <n v="38"/>
    <s v="Albany"/>
    <s v="Fidelis Care PCA (Non Live)"/>
    <s v="MLTC"/>
    <s v="MLTC"/>
    <s v="RN Initial Assement"/>
    <s v="G0162"/>
    <x v="3"/>
    <s v="HHA"/>
    <s v="MC Medicaid HHA"/>
    <m/>
    <n v="1"/>
    <n v="1"/>
    <n v="1"/>
    <n v="1"/>
    <n v="1"/>
    <n v="1"/>
    <s v="nursing"/>
    <x v="0"/>
  </r>
  <r>
    <n v="40"/>
    <s v="Albany"/>
    <s v="Nascentia Health Options CDPAP"/>
    <s v="MLTC"/>
    <s v="CDPAP"/>
    <s v="PA Hourly"/>
    <s v="T1019:U6"/>
    <x v="1"/>
    <s v="CDPAP"/>
    <s v="MC Medicaid CDPAP"/>
    <m/>
    <n v="19"/>
    <n v="2942"/>
    <n v="14642.5"/>
    <n v="19"/>
    <n v="2942"/>
    <n v="14642.5"/>
    <s v=""/>
    <x v="0"/>
  </r>
  <r>
    <n v="41"/>
    <s v="Albany"/>
    <s v="Nascentia PCA"/>
    <s v="MLTC"/>
    <s v="MLTC"/>
    <s v="PCA Hourly"/>
    <s v="T1019:U1"/>
    <x v="2"/>
    <s v="HHA"/>
    <s v="MC Medicaid HHA"/>
    <m/>
    <n v="4"/>
    <n v="244"/>
    <n v="822.5"/>
    <n v="4"/>
    <n v="244"/>
    <n v="822.5"/>
    <s v=""/>
    <x v="0"/>
  </r>
  <r>
    <n v="42"/>
    <s v="Albany"/>
    <s v="Nascentia PCA"/>
    <s v="MLTC"/>
    <s v="MLTC"/>
    <s v="Rn initial assesment non billable"/>
    <m/>
    <x v="3"/>
    <s v="HHA"/>
    <s v="MC Medicaid HHA"/>
    <m/>
    <n v="2"/>
    <n v="2"/>
    <n v="2"/>
    <n v="2"/>
    <n v="2"/>
    <n v="2"/>
    <s v="Nursing override"/>
    <x v="0"/>
  </r>
  <r>
    <n v="43"/>
    <s v="Albany"/>
    <s v="Nascentia PCA"/>
    <s v="MLTC"/>
    <s v="MLTC"/>
    <s v="Rn re-assessment non billable"/>
    <m/>
    <x v="3"/>
    <s v="HHA"/>
    <s v="MC Medicaid HHA"/>
    <m/>
    <n v="1"/>
    <n v="1"/>
    <n v="1"/>
    <n v="1"/>
    <n v="1"/>
    <n v="1"/>
    <s v="Nursing override"/>
    <x v="0"/>
  </r>
  <r>
    <n v="44"/>
    <s v="Albany"/>
    <s v="Nascentia PCA"/>
    <s v="MLTC"/>
    <s v="MLTC"/>
    <s v="SN Visit Aide Supervision"/>
    <s v="T1030"/>
    <x v="7"/>
    <s v="HHA"/>
    <s v="MC Medicaid HHA"/>
    <m/>
    <n v="1"/>
    <n v="1"/>
    <n v="1"/>
    <n v="1"/>
    <n v="1"/>
    <n v="1"/>
    <s v="nursing"/>
    <x v="0"/>
  </r>
  <r>
    <n v="45"/>
    <s v="Albany"/>
    <s v="Nascentia PCA"/>
    <s v="MLTC"/>
    <s v="MLTC"/>
    <s v="SN Visit Aide Supervision (in active)"/>
    <s v="T1030"/>
    <x v="7"/>
    <s v="HHA"/>
    <s v="MC Medicaid HHA"/>
    <m/>
    <n v="1"/>
    <n v="1"/>
    <n v="1"/>
    <n v="1"/>
    <n v="1"/>
    <n v="1"/>
    <s v="nursing"/>
    <x v="0"/>
  </r>
  <r>
    <n v="46"/>
    <s v="Albany"/>
    <s v="Non Billable"/>
    <s v="Other"/>
    <s v="Insurance"/>
    <s v="PCA Hourly"/>
    <m/>
    <x v="5"/>
    <s v="HHA"/>
    <s v="Private Pay"/>
    <m/>
    <n v="2"/>
    <n v="3"/>
    <n v="2.5"/>
    <n v="2"/>
    <n v="3"/>
    <n v="2.5"/>
    <s v=""/>
    <x v="0"/>
  </r>
  <r>
    <n v="47"/>
    <s v="Albany"/>
    <s v="Private Pay"/>
    <s v="Other"/>
    <s v="Private"/>
    <s v="PCA Hourly"/>
    <m/>
    <x v="5"/>
    <s v="HHA"/>
    <s v="Private Pay"/>
    <m/>
    <n v="1"/>
    <n v="4"/>
    <n v="8"/>
    <n v="1"/>
    <n v="4"/>
    <n v="8"/>
    <s v=""/>
    <x v="0"/>
  </r>
  <r>
    <n v="48"/>
    <s v="Albany"/>
    <s v="Private Pay - Select"/>
    <s v="Other"/>
    <s v="Private"/>
    <s v="PCA Hourly"/>
    <m/>
    <x v="5"/>
    <s v="HHA"/>
    <s v="Private Pay"/>
    <m/>
    <n v="1"/>
    <n v="149"/>
    <n v="301.5"/>
    <n v="1"/>
    <n v="149"/>
    <n v="301.5"/>
    <s v=""/>
    <x v="0"/>
  </r>
  <r>
    <n v="49"/>
    <s v="Albany"/>
    <s v="Private Pay - Select"/>
    <s v="Other"/>
    <s v="Private"/>
    <s v="RN Initial (NB)"/>
    <m/>
    <x v="5"/>
    <s v="HHA"/>
    <s v="Private Pay"/>
    <m/>
    <n v="1"/>
    <n v="1"/>
    <n v="1"/>
    <n v="1"/>
    <n v="1"/>
    <n v="1"/>
    <s v=""/>
    <x v="0"/>
  </r>
  <r>
    <n v="50"/>
    <s v="Albany"/>
    <s v="Private Pay - Select"/>
    <s v="Other"/>
    <s v="Private"/>
    <s v="RN Reassessment (NB)"/>
    <m/>
    <x v="5"/>
    <s v="HHA"/>
    <s v="Private Pay"/>
    <m/>
    <n v="1"/>
    <n v="1"/>
    <n v="0.5"/>
    <n v="1"/>
    <n v="1"/>
    <n v="1"/>
    <s v=""/>
    <x v="0"/>
  </r>
  <r>
    <n v="52"/>
    <s v="Albany"/>
    <s v="VNS Health Health Plans (ANT)"/>
    <s v="MLTC"/>
    <s v="MLTC"/>
    <s v="PRN (NB)"/>
    <m/>
    <x v="3"/>
    <s v="HHA"/>
    <s v="MC Medicaid HHA"/>
    <m/>
    <n v="3"/>
    <n v="3"/>
    <n v="3"/>
    <n v="3"/>
    <n v="3"/>
    <n v="3"/>
    <s v="Nursing override"/>
    <x v="0"/>
  </r>
  <r>
    <n v="53"/>
    <s v="Albany"/>
    <s v="VNS Health Health Plans (ANT)"/>
    <s v="MLTC"/>
    <s v="MLTC"/>
    <s v="RN - Initial Visit"/>
    <m/>
    <x v="3"/>
    <s v="HHA"/>
    <s v="MC Medicaid HHA"/>
    <m/>
    <n v="1"/>
    <n v="1"/>
    <n v="1"/>
    <n v="1"/>
    <n v="1"/>
    <n v="1"/>
    <s v="nursing"/>
    <x v="0"/>
  </r>
  <r>
    <n v="54"/>
    <s v="Albany"/>
    <s v="VNS Health Health Plans (ANT)"/>
    <s v="MLTC"/>
    <s v="MLTC"/>
    <s v="RN Initial (NB)"/>
    <m/>
    <x v="3"/>
    <s v="HHA"/>
    <s v="MC Medicaid HHA"/>
    <m/>
    <n v="58"/>
    <n v="58"/>
    <n v="58"/>
    <n v="51"/>
    <n v="51"/>
    <n v="51"/>
    <s v="Nursing override"/>
    <x v="0"/>
  </r>
  <r>
    <n v="55"/>
    <s v="Albany"/>
    <s v="VNS Health Health Plans (ANT)"/>
    <s v="MLTC"/>
    <s v="MLTC"/>
    <s v="RN Reassessment (NB)"/>
    <m/>
    <x v="3"/>
    <s v="HHA"/>
    <s v="MC Medicaid HHA"/>
    <m/>
    <n v="33"/>
    <n v="39"/>
    <n v="39"/>
    <n v="31"/>
    <n v="37"/>
    <n v="37"/>
    <s v="Nursing override"/>
    <x v="0"/>
  </r>
  <r>
    <n v="56"/>
    <s v="Albany"/>
    <s v="VNS Health Health Plans (ANT)"/>
    <s v="MLTC"/>
    <s v="MLTC"/>
    <s v="T1019U1 ALB"/>
    <s v="T1019:U1"/>
    <x v="2"/>
    <s v="HHA"/>
    <s v="MC Medicaid HHA"/>
    <m/>
    <n v="77"/>
    <n v="6431"/>
    <n v="31750"/>
    <n v="68"/>
    <n v="6042"/>
    <n v="29983"/>
    <s v=""/>
    <x v="0"/>
  </r>
  <r>
    <n v="61"/>
    <s v="Albany"/>
    <s v="VNS Health Health Plans (CDP)"/>
    <s v="MLTC"/>
    <s v="CDPAP"/>
    <s v="T1019U1 ALB"/>
    <s v="T1019:U1"/>
    <x v="2"/>
    <s v="HHA"/>
    <s v="MC Medicaid HHA"/>
    <m/>
    <n v="1"/>
    <n v="1"/>
    <n v="1"/>
    <n v="1"/>
    <n v="1"/>
    <n v="1"/>
    <s v=""/>
    <x v="0"/>
  </r>
  <r>
    <n v="62"/>
    <s v="Albany"/>
    <s v="VNS Health Health Plans (CDP)"/>
    <s v="MLTC"/>
    <s v="CDPAP"/>
    <s v="T1019U6 ALB"/>
    <s v="T1019:U6"/>
    <x v="1"/>
    <s v="CDPAP"/>
    <s v="MC Medicaid CDPAP"/>
    <m/>
    <n v="77"/>
    <n v="12450"/>
    <n v="52281.5"/>
    <n v="75"/>
    <n v="12374"/>
    <n v="52110"/>
    <s v=""/>
    <x v="0"/>
  </r>
  <r>
    <n v="63"/>
    <s v="Albany"/>
    <s v="VNS Health Health Plans (CDP)"/>
    <s v="MLTC"/>
    <s v="CDPAP"/>
    <s v="T1019U6 ALB MAP"/>
    <s v="T1019:U6"/>
    <x v="1"/>
    <s v="CDPAP"/>
    <s v="MC Medicaid CDPAP"/>
    <m/>
    <n v="1"/>
    <n v="43"/>
    <n v="220.5"/>
    <n v="1"/>
    <n v="43"/>
    <n v="220.5"/>
    <s v=""/>
    <x v="0"/>
  </r>
  <r>
    <n v="64"/>
    <s v="Albany"/>
    <s v="VNS Health Health Plans (CDP)"/>
    <s v="MLTC"/>
    <s v="CDPAP"/>
    <s v="T1019U6 K"/>
    <s v="T1019:U6"/>
    <x v="1"/>
    <s v="CDPAP"/>
    <s v="MC Medicaid CDPAP"/>
    <m/>
    <n v="1"/>
    <n v="308"/>
    <n v="805.75"/>
    <n v="1"/>
    <n v="308"/>
    <n v="805.75"/>
    <s v=""/>
    <x v="0"/>
  </r>
  <r>
    <n v="65"/>
    <s v="Albany"/>
    <s v="VNS Health Health Plans (CDP)"/>
    <s v="MLTC"/>
    <s v="CDPAP"/>
    <s v="T1019U6 REN"/>
    <s v="T1019:U6"/>
    <x v="1"/>
    <s v="CDPAP"/>
    <s v="MC Medicaid CDPAP"/>
    <m/>
    <n v="1"/>
    <n v="359"/>
    <n v="1097.25"/>
    <n v="1"/>
    <n v="359"/>
    <n v="1097.25"/>
    <s v=""/>
    <x v="0"/>
  </r>
  <r>
    <n v="66"/>
    <s v="Albany"/>
    <s v="VNSNY CHOICE PCA"/>
    <s v="LHCSA"/>
    <s v="MLTC"/>
    <s v="PCA Hourly"/>
    <s v="T1019:U1"/>
    <x v="2"/>
    <s v="HHA"/>
    <s v="MC Medicaid HHA"/>
    <m/>
    <n v="2"/>
    <n v="21"/>
    <n v="85.5"/>
    <n v="1"/>
    <n v="7"/>
    <n v="17.5"/>
    <s v=""/>
    <x v="0"/>
  </r>
  <r>
    <n v="67"/>
    <s v="Albany"/>
    <s v="VNSNY CHOICE PCA"/>
    <s v="LHCSA"/>
    <s v="MLTC"/>
    <s v="RN Initial (NB)"/>
    <m/>
    <x v="3"/>
    <s v="HHA"/>
    <s v="MC Medicaid HHA"/>
    <m/>
    <n v="1"/>
    <n v="1"/>
    <n v="1"/>
    <n v="0"/>
    <n v="0"/>
    <n v="0"/>
    <s v="Nursing override"/>
    <x v="0"/>
  </r>
  <r>
    <n v="69"/>
    <s v="Allegany"/>
    <s v="Fidelis Care (CDP)"/>
    <s v="LHCSA"/>
    <s v="CDPAP"/>
    <s v="T1019:U6"/>
    <s v="T1019:U6"/>
    <x v="1"/>
    <s v="CDPAP"/>
    <s v="MC Medicaid CDPAP"/>
    <m/>
    <n v="3"/>
    <n v="330"/>
    <n v="1833.5"/>
    <n v="3"/>
    <n v="330"/>
    <n v="1833.5"/>
    <s v=""/>
    <x v="0"/>
  </r>
  <r>
    <n v="71"/>
    <s v="Allegany"/>
    <s v="Nascentia Health Options CDPAP"/>
    <s v="MLTC"/>
    <s v="CDPAP"/>
    <s v="PA Hourly"/>
    <s v="T1019:U6"/>
    <x v="1"/>
    <s v="CDPAP"/>
    <s v="MC Medicaid CDPAP"/>
    <m/>
    <n v="1"/>
    <n v="181"/>
    <n v="520.5"/>
    <n v="1"/>
    <n v="181"/>
    <n v="520.5"/>
    <s v=""/>
    <x v="0"/>
  </r>
  <r>
    <n v="72"/>
    <s v="Bronx"/>
    <s v="Americare"/>
    <s v="CHHA"/>
    <s v="CHHA"/>
    <s v="HHA1"/>
    <s v="S9122"/>
    <x v="0"/>
    <s v="HHA"/>
    <s v="Other"/>
    <s v="CHHA"/>
    <n v="16"/>
    <n v="285"/>
    <n v="1098.5"/>
    <n v="11"/>
    <n v="162"/>
    <n v="612.25"/>
    <s v=""/>
    <x v="0"/>
  </r>
  <r>
    <n v="73"/>
    <s v="Bronx"/>
    <s v="Americare"/>
    <s v="CHHA"/>
    <s v="CHHA"/>
    <s v="HHAPEDSV"/>
    <s v="S9122"/>
    <x v="0"/>
    <s v="HHA"/>
    <s v="Other"/>
    <s v="CHHA"/>
    <n v="238"/>
    <n v="33641"/>
    <n v="232792.25"/>
    <n v="218"/>
    <n v="32623"/>
    <n v="226018.5"/>
    <s v=""/>
    <x v="0"/>
  </r>
  <r>
    <n v="74"/>
    <s v="Bronx"/>
    <s v="Amerigroup (Empire) PCA"/>
    <s v="MCO"/>
    <s v="Medicaid"/>
    <s v="PCA HOURLY"/>
    <s v="T1019:U1"/>
    <x v="2"/>
    <s v="HHA"/>
    <s v="MC Medicaid HHA"/>
    <m/>
    <n v="2"/>
    <n v="127"/>
    <n v="691.75"/>
    <n v="2"/>
    <n v="127"/>
    <n v="691.75"/>
    <s v=""/>
    <x v="0"/>
  </r>
  <r>
    <n v="75"/>
    <s v="Bronx"/>
    <s v="Archcare Community Life CDPAP"/>
    <s v="MCO"/>
    <s v="CDPAP"/>
    <s v="PA Hourly"/>
    <s v="T1019:U6"/>
    <x v="1"/>
    <s v="CDPAP"/>
    <s v="MC Medicaid CDPAP"/>
    <m/>
    <n v="3"/>
    <n v="351"/>
    <n v="2018"/>
    <n v="3"/>
    <n v="351"/>
    <n v="2018"/>
    <s v=""/>
    <x v="0"/>
  </r>
  <r>
    <n v="76"/>
    <s v="Bronx"/>
    <s v="Archcare Community Life PCA"/>
    <s v="MCO"/>
    <s v="MLTC"/>
    <s v="PCA Hourly"/>
    <s v="T1019:U1"/>
    <x v="2"/>
    <s v="HHA"/>
    <s v="MC Medicaid HHA"/>
    <m/>
    <n v="6"/>
    <n v="830"/>
    <n v="6828.75"/>
    <n v="6"/>
    <n v="830"/>
    <n v="6828.75"/>
    <s v=""/>
    <x v="0"/>
  </r>
  <r>
    <n v="77"/>
    <s v="Bronx"/>
    <s v="Archcare Community Life PCA"/>
    <s v="MCO"/>
    <s v="MLTC"/>
    <s v="PRN (NB)"/>
    <m/>
    <x v="3"/>
    <s v="HHA"/>
    <s v="MC Medicaid HHA"/>
    <m/>
    <n v="1"/>
    <n v="3"/>
    <n v="3"/>
    <n v="1"/>
    <n v="3"/>
    <n v="3"/>
    <s v="Nursing override"/>
    <x v="0"/>
  </r>
  <r>
    <n v="78"/>
    <s v="Bronx"/>
    <s v="Archcare Community Life PCA"/>
    <s v="MCO"/>
    <s v="MLTC"/>
    <s v="RN Initial (NB)"/>
    <m/>
    <x v="3"/>
    <s v="HHA"/>
    <s v="MC Medicaid HHA"/>
    <m/>
    <n v="1"/>
    <n v="1"/>
    <n v="1"/>
    <n v="1"/>
    <n v="1"/>
    <n v="1"/>
    <s v="Nursing override"/>
    <x v="0"/>
  </r>
  <r>
    <n v="79"/>
    <s v="Bronx"/>
    <s v="Archcare Community Life PCA"/>
    <s v="MCO"/>
    <s v="MLTC"/>
    <s v="RN Reassessment (NB)"/>
    <m/>
    <x v="3"/>
    <s v="HHA"/>
    <s v="MC Medicaid HHA"/>
    <m/>
    <n v="3"/>
    <n v="3"/>
    <n v="3"/>
    <n v="3"/>
    <n v="3"/>
    <n v="3"/>
    <s v="Nursing override"/>
    <x v="0"/>
  </r>
  <r>
    <n v="80"/>
    <s v="Bronx"/>
    <s v="AVCC, LLC CDPAP"/>
    <s v="MCO"/>
    <s v="MCO"/>
    <s v="PA Hourly"/>
    <s v="T1019:U6"/>
    <x v="1"/>
    <s v="CDPAP"/>
    <s v="MC Medicaid CDPAP"/>
    <m/>
    <n v="1"/>
    <n v="42"/>
    <n v="248.5"/>
    <n v="1"/>
    <n v="42"/>
    <n v="248.5"/>
    <s v=""/>
    <x v="0"/>
  </r>
  <r>
    <n v="81"/>
    <s v="Bronx"/>
    <s v="Centerlight CHHA / Cassena Care At Home"/>
    <s v="CHHA"/>
    <s v="CHHA"/>
    <s v="HHA Hourly"/>
    <s v="HH11"/>
    <x v="0"/>
    <s v="HHA"/>
    <s v="Other"/>
    <s v="CHHA"/>
    <n v="1"/>
    <n v="4"/>
    <n v="15.5"/>
    <n v="1"/>
    <n v="4"/>
    <n v="15.5"/>
    <s v=""/>
    <x v="0"/>
  </r>
  <r>
    <n v="82"/>
    <s v="Bronx"/>
    <s v="CenterLight HealthCare (PACE) (ANT)"/>
    <s v="Other"/>
    <s v="MLTC"/>
    <s v="T1019:U1"/>
    <s v="T1019:U1"/>
    <x v="4"/>
    <s v="HHA"/>
    <s v="Other"/>
    <m/>
    <n v="1"/>
    <n v="1"/>
    <n v="5"/>
    <n v="1"/>
    <n v="1"/>
    <n v="5"/>
    <s v=""/>
    <x v="0"/>
  </r>
  <r>
    <n v="83"/>
    <s v="Bronx"/>
    <s v="CenterLight HealthCare (PACE) (CDP)"/>
    <s v="Other"/>
    <s v="CDPAP"/>
    <s v="T1019:U6"/>
    <s v="T1019:U6"/>
    <x v="4"/>
    <s v="HHA"/>
    <s v="Other"/>
    <m/>
    <n v="2"/>
    <n v="588"/>
    <n v="3076.75"/>
    <n v="2"/>
    <n v="588"/>
    <n v="3076.75"/>
    <s v=""/>
    <x v="0"/>
  </r>
  <r>
    <n v="84"/>
    <s v="Bronx"/>
    <s v="Centers Plan For Health Living PCA"/>
    <s v="MLTC"/>
    <s v="MLTC"/>
    <s v="PCA Hourly"/>
    <s v="T1019:U1"/>
    <x v="2"/>
    <s v="HHA"/>
    <s v="MC Medicaid HHA"/>
    <m/>
    <n v="45"/>
    <n v="6328"/>
    <n v="31502.75"/>
    <n v="41"/>
    <n v="6182"/>
    <n v="30943.25"/>
    <s v=""/>
    <x v="0"/>
  </r>
  <r>
    <n v="85"/>
    <s v="Bronx"/>
    <s v="Centers Plan For Health Living PCA"/>
    <s v="MLTC"/>
    <s v="MLTC"/>
    <s v="PRN (NB)"/>
    <m/>
    <x v="3"/>
    <s v="HHA"/>
    <s v="MC Medicaid HHA"/>
    <m/>
    <n v="2"/>
    <n v="2"/>
    <n v="2"/>
    <n v="2"/>
    <n v="2"/>
    <n v="2"/>
    <s v="Nursing override"/>
    <x v="0"/>
  </r>
  <r>
    <n v="86"/>
    <s v="Bronx"/>
    <s v="Centers Plan For Health Living PCA"/>
    <s v="MLTC"/>
    <s v="MLTC"/>
    <s v="RN Initial (NB)"/>
    <m/>
    <x v="3"/>
    <s v="HHA"/>
    <s v="MC Medicaid HHA"/>
    <m/>
    <n v="19"/>
    <n v="19"/>
    <n v="19"/>
    <n v="16"/>
    <n v="16"/>
    <n v="16"/>
    <s v="Nursing override"/>
    <x v="0"/>
  </r>
  <r>
    <n v="87"/>
    <s v="Bronx"/>
    <s v="Centers Plan For Health Living PCA"/>
    <s v="MLTC"/>
    <s v="MLTC"/>
    <s v="RN Reassessment (NB)"/>
    <m/>
    <x v="3"/>
    <s v="HHA"/>
    <s v="MC Medicaid HHA"/>
    <m/>
    <n v="25"/>
    <n v="39"/>
    <n v="39"/>
    <n v="25"/>
    <n v="39"/>
    <n v="39"/>
    <s v="Nursing override"/>
    <x v="0"/>
  </r>
  <r>
    <n v="91"/>
    <s v="Bronx"/>
    <s v="Centers Plan For Healthy Living CDPAP "/>
    <s v="MLTC"/>
    <s v="CDPAP"/>
    <s v="PA Hourly - 5 Boroughs"/>
    <s v="T1019:U6"/>
    <x v="1"/>
    <s v="CDPAP"/>
    <s v="MC Medicaid CDPAP"/>
    <m/>
    <n v="52"/>
    <n v="9543"/>
    <n v="36531.5"/>
    <n v="50"/>
    <n v="9437"/>
    <n v="36049.25"/>
    <s v=""/>
    <x v="0"/>
  </r>
  <r>
    <n v="92"/>
    <s v="Bronx"/>
    <s v="Elderplan MJHS (ANT)"/>
    <s v="MLTC"/>
    <s v="MLTC"/>
    <s v="RN Initial (NB)"/>
    <m/>
    <x v="3"/>
    <s v="HHA"/>
    <s v="MC Medicaid HHA"/>
    <m/>
    <n v="26"/>
    <n v="27"/>
    <n v="27"/>
    <n v="25"/>
    <n v="26"/>
    <n v="26"/>
    <s v="Nursing override"/>
    <x v="0"/>
  </r>
  <r>
    <n v="93"/>
    <s v="Bronx"/>
    <s v="Elderplan MJHS (ANT)"/>
    <s v="MLTC"/>
    <s v="MLTC"/>
    <s v="RN Reassessment (NB)"/>
    <m/>
    <x v="3"/>
    <s v="HHA"/>
    <s v="MC Medicaid HHA"/>
    <m/>
    <n v="13"/>
    <n v="15"/>
    <n v="15"/>
    <n v="13"/>
    <n v="15"/>
    <n v="15"/>
    <s v="Nursing override"/>
    <x v="0"/>
  </r>
  <r>
    <n v="94"/>
    <s v="Bronx"/>
    <s v="Elderplan MJHS (ANT)"/>
    <s v="MLTC"/>
    <s v="MLTC"/>
    <s v="T1019:U1"/>
    <s v="T1019:U1"/>
    <x v="2"/>
    <s v="HHA"/>
    <s v="MC Medicaid HHA"/>
    <m/>
    <n v="36"/>
    <n v="3731"/>
    <n v="17403.75"/>
    <n v="34"/>
    <n v="3614"/>
    <n v="16368"/>
    <s v=""/>
    <x v="0"/>
  </r>
  <r>
    <n v="97"/>
    <s v="Bronx"/>
    <s v="Elderplan MJHS (CDP)"/>
    <s v="MLTC"/>
    <s v="CDPAP"/>
    <s v="T1019:U6"/>
    <s v="T1019:U6"/>
    <x v="1"/>
    <s v="CDPAP"/>
    <s v="MC Medicaid CDPAP"/>
    <m/>
    <n v="20"/>
    <n v="3354"/>
    <n v="16185.25"/>
    <n v="17"/>
    <n v="3211"/>
    <n v="15546"/>
    <s v=""/>
    <x v="0"/>
  </r>
  <r>
    <n v="98"/>
    <s v="Bronx"/>
    <s v="Elderplan MJHS (CDP)"/>
    <s v="MLTC"/>
    <s v="CDPAP"/>
    <s v="T1019:U6 MAP"/>
    <s v="T1019:U6"/>
    <x v="1"/>
    <s v="CDPAP"/>
    <s v="MC Medicaid CDPAP"/>
    <m/>
    <n v="2"/>
    <n v="83"/>
    <n v="497"/>
    <n v="2"/>
    <n v="83"/>
    <n v="497"/>
    <s v=""/>
    <x v="0"/>
  </r>
  <r>
    <n v="101"/>
    <s v="Bronx"/>
    <s v="ElderServe/Riverspring (CDPAP)"/>
    <s v="MLTC"/>
    <s v="CDPAP"/>
    <s v="PA Hourly"/>
    <s v="T1019:U6"/>
    <x v="1"/>
    <s v="CDPAP"/>
    <s v="MC Medicaid CDPAP"/>
    <m/>
    <n v="8"/>
    <n v="1602"/>
    <n v="10031.25"/>
    <n v="6"/>
    <n v="1347"/>
    <n v="7930.25"/>
    <s v=""/>
    <x v="0"/>
  </r>
  <r>
    <n v="102"/>
    <s v="Bronx"/>
    <s v="ElderServe/Riverspring (PCA)"/>
    <s v="MLTC"/>
    <s v="MLTC"/>
    <s v="PCA Hourly NYC"/>
    <s v="T1019:U1"/>
    <x v="2"/>
    <s v="HHA"/>
    <s v="MC Medicaid HHA"/>
    <m/>
    <n v="4"/>
    <n v="219"/>
    <n v="1379.75"/>
    <n v="4"/>
    <n v="219"/>
    <n v="1379.75"/>
    <s v=""/>
    <x v="0"/>
  </r>
  <r>
    <n v="103"/>
    <s v="Bronx"/>
    <s v="ElderServe/Riverspring (PCA)"/>
    <s v="MLTC"/>
    <s v="MLTC"/>
    <s v="RN Initial (NB)"/>
    <m/>
    <x v="3"/>
    <s v="HHA"/>
    <s v="MC Medicaid HHA"/>
    <m/>
    <n v="4"/>
    <n v="4"/>
    <n v="4"/>
    <n v="4"/>
    <n v="4"/>
    <n v="4"/>
    <s v="Nursing override"/>
    <x v="0"/>
  </r>
  <r>
    <n v="106"/>
    <s v="Bronx"/>
    <s v="Empire Blue Cross Blue Shield (CDPAP)"/>
    <s v="Other"/>
    <s v="CDPAP"/>
    <s v="PA Hourly (New)"/>
    <s v="T1019:U6"/>
    <x v="1"/>
    <s v="CDPAP"/>
    <s v="MC Medicaid CDPAP"/>
    <m/>
    <n v="36"/>
    <n v="6798"/>
    <n v="39980.25"/>
    <n v="35"/>
    <n v="6648"/>
    <n v="39088.25"/>
    <s v=""/>
    <x v="0"/>
  </r>
  <r>
    <n v="107"/>
    <s v="Bronx"/>
    <s v="Empire Blue Cross Blue Shield (PCA)"/>
    <s v="Other"/>
    <s v="MLTC"/>
    <s v="PCA Hourly NYC"/>
    <s v="T1019:U1"/>
    <x v="2"/>
    <s v="HHA"/>
    <s v="MC Medicaid HHA"/>
    <m/>
    <n v="28"/>
    <n v="3400"/>
    <n v="20283.5"/>
    <n v="28"/>
    <n v="3400"/>
    <n v="20283.5"/>
    <s v=""/>
    <x v="0"/>
  </r>
  <r>
    <n v="108"/>
    <s v="Bronx"/>
    <s v="Empire Blue Cross Blue Shield (PCA)"/>
    <s v="Other"/>
    <s v="MLTC"/>
    <s v="PCA Live In"/>
    <s v="T1020"/>
    <x v="8"/>
    <s v="HHA"/>
    <s v="MC Medicaid HHA"/>
    <m/>
    <n v="2"/>
    <n v="594"/>
    <n v="7722"/>
    <n v="2"/>
    <n v="594"/>
    <n v="7722"/>
    <s v=""/>
    <x v="0"/>
  </r>
  <r>
    <n v="109"/>
    <s v="Bronx"/>
    <s v="Empire Blue Cross Blue Shield (PCA)"/>
    <s v="Other"/>
    <s v="MLTC"/>
    <s v="RN Initial (NB)"/>
    <m/>
    <x v="3"/>
    <s v="HHA"/>
    <s v="MC Medicaid HHA"/>
    <m/>
    <n v="16"/>
    <n v="17"/>
    <n v="17"/>
    <n v="16"/>
    <n v="17"/>
    <n v="17"/>
    <s v="Nursing override"/>
    <x v="0"/>
  </r>
  <r>
    <n v="110"/>
    <s v="Bronx"/>
    <s v="Empire Blue Cross Blue Shield (PCA)"/>
    <s v="Other"/>
    <s v="MLTC"/>
    <s v="RN Reassessment (NB)"/>
    <m/>
    <x v="3"/>
    <s v="HHA"/>
    <s v="MC Medicaid HHA"/>
    <m/>
    <n v="20"/>
    <n v="28"/>
    <n v="28"/>
    <n v="20"/>
    <n v="28"/>
    <n v="28"/>
    <s v="Nursing override"/>
    <x v="0"/>
  </r>
  <r>
    <n v="111"/>
    <s v="Bronx"/>
    <s v="Excellent Home Care Services"/>
    <s v="CHHA"/>
    <s v="CHHA"/>
    <s v="Rate3"/>
    <m/>
    <x v="0"/>
    <s v="HHA"/>
    <s v="Other"/>
    <s v="CHHA"/>
    <n v="44"/>
    <n v="6417"/>
    <n v="35497.25"/>
    <n v="43"/>
    <n v="6346"/>
    <n v="35020.25"/>
    <s v=""/>
    <x v="0"/>
  </r>
  <r>
    <n v="112"/>
    <s v="Bronx"/>
    <s v="Extended Home Care"/>
    <s v="CHHA"/>
    <s v="CHHA"/>
    <s v="PedCode95"/>
    <s v="-"/>
    <x v="0"/>
    <s v="HHA"/>
    <s v="Other"/>
    <s v="CHHA"/>
    <n v="44"/>
    <n v="4731"/>
    <n v="29662.25"/>
    <n v="42"/>
    <n v="4692"/>
    <n v="29494.5"/>
    <s v=""/>
    <x v="0"/>
  </r>
  <r>
    <n v="113"/>
    <s v="Bronx"/>
    <s v="Extended Home Care"/>
    <s v="CHHA"/>
    <s v="CHHA"/>
    <s v="Rate1"/>
    <m/>
    <x v="0"/>
    <s v="HHA"/>
    <s v="Other"/>
    <s v="CHHA"/>
    <n v="76"/>
    <n v="5561"/>
    <n v="24434.25"/>
    <n v="66"/>
    <n v="5304"/>
    <n v="23444"/>
    <s v=""/>
    <x v="0"/>
  </r>
  <r>
    <n v="115"/>
    <s v="Bronx"/>
    <s v="Fidelis Care (ANT)"/>
    <s v="LHCSA"/>
    <s v="MLTC"/>
    <s v="PRN (NB)"/>
    <m/>
    <x v="3"/>
    <s v="HHA"/>
    <s v="MC Medicaid HHA"/>
    <m/>
    <n v="2"/>
    <n v="2"/>
    <n v="2"/>
    <n v="1"/>
    <n v="1"/>
    <n v="1"/>
    <s v="Nursing override"/>
    <x v="0"/>
  </r>
  <r>
    <n v="116"/>
    <s v="Bronx"/>
    <s v="Fidelis Care (ANT)"/>
    <s v="LHCSA"/>
    <s v="MLTC"/>
    <s v="RN Initial (NB)"/>
    <m/>
    <x v="3"/>
    <s v="HHA"/>
    <s v="MC Medicaid HHA"/>
    <m/>
    <n v="50"/>
    <n v="50"/>
    <n v="50"/>
    <n v="42"/>
    <n v="42"/>
    <n v="42"/>
    <s v="Nursing override"/>
    <x v="0"/>
  </r>
  <r>
    <n v="117"/>
    <s v="Bronx"/>
    <s v="Fidelis Care (ANT)"/>
    <s v="LHCSA"/>
    <s v="MLTC"/>
    <s v="RN Initial Assement"/>
    <s v="T2024"/>
    <x v="3"/>
    <s v="HHA"/>
    <s v="MC Medicaid HHA"/>
    <m/>
    <n v="14"/>
    <n v="14"/>
    <n v="14"/>
    <n v="13"/>
    <n v="13"/>
    <n v="13"/>
    <s v="nursing"/>
    <x v="0"/>
  </r>
  <r>
    <n v="118"/>
    <s v="Bronx"/>
    <s v="Fidelis Care (ANT)"/>
    <s v="LHCSA"/>
    <s v="MLTC"/>
    <s v="RN Reassessment (NB)"/>
    <m/>
    <x v="3"/>
    <s v="HHA"/>
    <s v="MC Medicaid HHA"/>
    <m/>
    <n v="35"/>
    <n v="47"/>
    <n v="47"/>
    <n v="35"/>
    <n v="47"/>
    <n v="47"/>
    <s v="Nursing override"/>
    <x v="0"/>
  </r>
  <r>
    <n v="119"/>
    <s v="Bronx"/>
    <s v="Fidelis Care (ANT)"/>
    <s v="LHCSA"/>
    <s v="MLTC"/>
    <s v="S5130:U1"/>
    <s v="S5130:U1::::Homemaker"/>
    <x v="6"/>
    <s v="HHA"/>
    <s v="MC Medicaid HHA"/>
    <m/>
    <n v="2"/>
    <n v="47"/>
    <n v="169.75"/>
    <n v="2"/>
    <n v="47"/>
    <n v="169.75"/>
    <s v=""/>
    <x v="0"/>
  </r>
  <r>
    <n v="120"/>
    <s v="Bronx"/>
    <s v="Fidelis Care (ANT)"/>
    <s v="LHCSA"/>
    <s v="MLTC"/>
    <s v="T1019:U1"/>
    <s v="T1019:U1"/>
    <x v="2"/>
    <s v="HHA"/>
    <s v="MC Medicaid HHA"/>
    <m/>
    <n v="96"/>
    <n v="7180"/>
    <n v="34459"/>
    <n v="81"/>
    <n v="6736"/>
    <n v="32102.5"/>
    <s v=""/>
    <x v="0"/>
  </r>
  <r>
    <n v="121"/>
    <s v="Bronx"/>
    <s v="Fidelis Care (ANT)"/>
    <s v="LHCSA"/>
    <s v="MLTC"/>
    <s v="T1019:U6"/>
    <s v="T1019:U6"/>
    <x v="1"/>
    <s v="CDPAP"/>
    <s v="MC Medicaid CDPAP"/>
    <m/>
    <n v="1"/>
    <n v="8"/>
    <n v="40"/>
    <n v="1"/>
    <n v="8"/>
    <n v="40"/>
    <s v=""/>
    <x v="0"/>
  </r>
  <r>
    <n v="122"/>
    <s v="Bronx"/>
    <s v="Fidelis Care (ANT)"/>
    <s v="LHCSA"/>
    <s v="MLTC"/>
    <s v="T1020"/>
    <s v="T1020"/>
    <x v="8"/>
    <s v="HHA"/>
    <s v="MC Medicaid HHA"/>
    <m/>
    <n v="3"/>
    <n v="348"/>
    <n v="4524"/>
    <n v="3"/>
    <n v="348"/>
    <n v="4524"/>
    <s v=""/>
    <x v="0"/>
  </r>
  <r>
    <n v="127"/>
    <s v="Bronx"/>
    <s v="Fidelis Care (CDP)"/>
    <s v="LHCSA"/>
    <s v="CDPAP"/>
    <s v="RN Initial Assement"/>
    <m/>
    <x v="3"/>
    <s v="HHA"/>
    <s v="MC Medicaid HHA"/>
    <m/>
    <n v="1"/>
    <n v="1"/>
    <n v="1"/>
    <n v="1"/>
    <n v="1"/>
    <n v="1"/>
    <s v="nursing"/>
    <x v="0"/>
  </r>
  <r>
    <n v="128"/>
    <s v="Bronx"/>
    <s v="Fidelis Care (CDP)"/>
    <s v="LHCSA"/>
    <s v="CDPAP"/>
    <s v="T1019:U1"/>
    <s v="T1019:U1"/>
    <x v="2"/>
    <s v="HHA"/>
    <s v="MC Medicaid HHA"/>
    <m/>
    <n v="1"/>
    <n v="6"/>
    <n v="22"/>
    <n v="1"/>
    <n v="6"/>
    <n v="22"/>
    <s v=""/>
    <x v="0"/>
  </r>
  <r>
    <n v="129"/>
    <s v="Bronx"/>
    <s v="Fidelis Care (CDP)"/>
    <s v="LHCSA"/>
    <s v="CDPAP"/>
    <s v="T1019:U6"/>
    <s v="T1019:U6"/>
    <x v="1"/>
    <s v="CDPAP"/>
    <s v="MC Medicaid CDPAP"/>
    <m/>
    <n v="91"/>
    <n v="12522"/>
    <n v="56128.25"/>
    <n v="88"/>
    <n v="12213"/>
    <n v="54710.75"/>
    <s v=""/>
    <x v="0"/>
  </r>
  <r>
    <n v="130"/>
    <s v="Bronx"/>
    <s v="Fidelis Care (CDP)"/>
    <s v="LHCSA"/>
    <s v="CDPAP"/>
    <s v="T1020:U6"/>
    <s v="T1020:U6"/>
    <x v="9"/>
    <s v="CDPAP"/>
    <s v="MC Medicaid CDPAP"/>
    <m/>
    <n v="1"/>
    <n v="365"/>
    <n v="4745"/>
    <n v="1"/>
    <n v="365"/>
    <n v="4745"/>
    <s v=""/>
    <x v="0"/>
  </r>
  <r>
    <n v="131"/>
    <s v="Bronx"/>
    <s v="Fidelis Care PCA (Non Live)"/>
    <s v="MLTC"/>
    <s v="MLTC"/>
    <s v="PCA Hourly"/>
    <s v="T1019:U1"/>
    <x v="2"/>
    <s v="HHA"/>
    <s v="MC Medicaid HHA"/>
    <m/>
    <n v="2"/>
    <n v="14"/>
    <n v="53"/>
    <n v="1"/>
    <n v="1"/>
    <n v="1"/>
    <s v=""/>
    <x v="0"/>
  </r>
  <r>
    <n v="132"/>
    <s v="Bronx"/>
    <s v="Fidelis Care PCA (Non Live)"/>
    <s v="MLTC"/>
    <s v="MLTC"/>
    <s v="RN Initial (NB)"/>
    <s v="G0162"/>
    <x v="3"/>
    <s v="HHA"/>
    <s v="MC Medicaid HHA"/>
    <m/>
    <n v="2"/>
    <n v="2"/>
    <n v="2"/>
    <n v="1"/>
    <n v="1"/>
    <n v="1"/>
    <s v="Nursing override"/>
    <x v="0"/>
  </r>
  <r>
    <n v="133"/>
    <s v="Bronx"/>
    <s v="Fidelis Care PCA (Non Live)"/>
    <s v="MLTC"/>
    <s v="MLTC"/>
    <s v="Rn initial assement"/>
    <s v="G0162"/>
    <x v="3"/>
    <s v="HHA"/>
    <s v="MC Medicaid HHA"/>
    <m/>
    <n v="7"/>
    <n v="7"/>
    <n v="7"/>
    <n v="7"/>
    <n v="7"/>
    <n v="7"/>
    <s v="nursing"/>
    <x v="0"/>
  </r>
  <r>
    <n v="134"/>
    <s v="Bronx"/>
    <s v="Fidelis Care PCA (Non Live)"/>
    <s v="MLTC"/>
    <s v="MLTC"/>
    <s v="RN Reassessment (NB)"/>
    <m/>
    <x v="3"/>
    <s v="HHA"/>
    <s v="MC Medicaid HHA"/>
    <m/>
    <n v="1"/>
    <n v="1"/>
    <n v="1"/>
    <n v="1"/>
    <n v="1"/>
    <n v="1"/>
    <s v="Nursing override"/>
    <x v="0"/>
  </r>
  <r>
    <n v="137"/>
    <s v="Bronx"/>
    <s v="Hamaspik Choice (MLTC) CDPAP"/>
    <s v="MCO"/>
    <s v="CDPAP"/>
    <s v="PA Hourly NYC , Nassau, Westchester"/>
    <s v="T1019:U6"/>
    <x v="1"/>
    <s v="CDPAP"/>
    <s v="MC Medicaid CDPAP"/>
    <m/>
    <n v="4"/>
    <n v="1065"/>
    <n v="4956.75"/>
    <n v="4"/>
    <n v="1065"/>
    <n v="4956.75"/>
    <s v=""/>
    <x v="0"/>
  </r>
  <r>
    <n v="140"/>
    <s v="Bronx"/>
    <s v="Hamaspik Choice MLTC (PCA)"/>
    <s v="MLTC"/>
    <s v="MLTC"/>
    <s v="PCA Hourly"/>
    <s v="T1019:U1"/>
    <x v="2"/>
    <s v="HHA"/>
    <s v="MC Medicaid HHA"/>
    <m/>
    <n v="4"/>
    <n v="628"/>
    <n v="2389.25"/>
    <n v="4"/>
    <n v="628"/>
    <n v="2389.25"/>
    <s v=""/>
    <x v="0"/>
  </r>
  <r>
    <n v="141"/>
    <s v="Bronx"/>
    <s v="Hamaspik Choice MLTC (PCA)"/>
    <s v="MLTC"/>
    <s v="MLTC"/>
    <s v="PCA Live In"/>
    <s v="T1020"/>
    <x v="8"/>
    <s v="HHA"/>
    <s v="MC Medicaid HHA"/>
    <m/>
    <n v="1"/>
    <n v="10"/>
    <n v="130"/>
    <n v="1"/>
    <n v="10"/>
    <n v="130"/>
    <s v=""/>
    <x v="0"/>
  </r>
  <r>
    <n v="142"/>
    <s v="Bronx"/>
    <s v="Hamaspik Choice MLTC (PCA)"/>
    <s v="MLTC"/>
    <s v="MLTC"/>
    <s v="RN Initial (NB)"/>
    <m/>
    <x v="3"/>
    <s v="HHA"/>
    <s v="MC Medicaid HHA"/>
    <m/>
    <n v="4"/>
    <n v="4"/>
    <n v="4"/>
    <n v="4"/>
    <n v="4"/>
    <n v="4"/>
    <s v="Nursing override"/>
    <x v="0"/>
  </r>
  <r>
    <n v="143"/>
    <s v="Bronx"/>
    <s v="Hamaspik Choice MLTC (PCA)"/>
    <s v="MLTC"/>
    <s v="MLTC"/>
    <s v="RN Reassessment (NB)"/>
    <m/>
    <x v="3"/>
    <s v="HHA"/>
    <s v="MC Medicaid HHA"/>
    <m/>
    <n v="2"/>
    <n v="2"/>
    <n v="2"/>
    <n v="2"/>
    <n v="2"/>
    <n v="2"/>
    <s v="Nursing override"/>
    <x v="0"/>
  </r>
  <r>
    <n v="146"/>
    <s v="Bronx"/>
    <s v="Hamaspik MAP CDPAP"/>
    <s v="MCO"/>
    <s v="CDPAP"/>
    <s v="PA Hourly (NYC, LI, &amp; Westchester)"/>
    <s v="T1019:U6"/>
    <x v="1"/>
    <s v="CDPAP"/>
    <s v="MC Medicaid CDPAP"/>
    <m/>
    <n v="4"/>
    <n v="731"/>
    <n v="3622.25"/>
    <n v="4"/>
    <n v="731"/>
    <n v="3622.25"/>
    <s v=""/>
    <x v="0"/>
  </r>
  <r>
    <n v="149"/>
    <s v="Bronx"/>
    <s v="Hamaspik MAP PCA"/>
    <s v="MCO"/>
    <s v="MLTC"/>
    <s v="PCA Hourly"/>
    <s v="T1019:U1"/>
    <x v="2"/>
    <s v="HHA"/>
    <s v="MC Medicaid HHA"/>
    <m/>
    <n v="9"/>
    <n v="711"/>
    <n v="3766.25"/>
    <n v="9"/>
    <n v="711"/>
    <n v="3766.25"/>
    <s v=""/>
    <x v="0"/>
  </r>
  <r>
    <n v="150"/>
    <s v="Bronx"/>
    <s v="Hamaspik MAP PCA"/>
    <s v="MCO"/>
    <s v="MLTC"/>
    <s v="PRN (NB)"/>
    <m/>
    <x v="3"/>
    <s v="HHA"/>
    <s v="MC Medicaid HHA"/>
    <m/>
    <n v="1"/>
    <n v="2"/>
    <n v="2"/>
    <n v="1"/>
    <n v="2"/>
    <n v="2"/>
    <s v="Nursing override"/>
    <x v="0"/>
  </r>
  <r>
    <n v="151"/>
    <s v="Bronx"/>
    <s v="Hamaspik MAP PCA"/>
    <s v="MCO"/>
    <s v="MLTC"/>
    <s v="RN Initial (NB)"/>
    <m/>
    <x v="3"/>
    <s v="HHA"/>
    <s v="MC Medicaid HHA"/>
    <m/>
    <n v="7"/>
    <n v="7"/>
    <n v="7"/>
    <n v="7"/>
    <n v="7"/>
    <n v="7"/>
    <s v="Nursing override"/>
    <x v="0"/>
  </r>
  <r>
    <n v="152"/>
    <s v="Bronx"/>
    <s v="Hamaspik MAP PCA"/>
    <s v="MCO"/>
    <s v="MLTC"/>
    <s v="RN Reassessment (NB)"/>
    <m/>
    <x v="3"/>
    <s v="HHA"/>
    <s v="MC Medicaid HHA"/>
    <m/>
    <n v="1"/>
    <n v="1"/>
    <n v="1"/>
    <n v="1"/>
    <n v="1"/>
    <n v="1"/>
    <s v="Nursing override"/>
    <x v="0"/>
  </r>
  <r>
    <n v="154"/>
    <s v="Bronx"/>
    <s v="Healthfirst (ANT)"/>
    <s v="CHHA"/>
    <s v="MLTC"/>
    <s v="PRN (NB)"/>
    <m/>
    <x v="3"/>
    <s v="HHA"/>
    <s v="MC Medicaid HHA"/>
    <m/>
    <n v="4"/>
    <n v="5"/>
    <n v="5"/>
    <n v="4"/>
    <n v="5"/>
    <n v="5"/>
    <s v="Nursing override"/>
    <x v="0"/>
  </r>
  <r>
    <n v="155"/>
    <s v="Bronx"/>
    <s v="Healthfirst (ANT)"/>
    <s v="CHHA"/>
    <s v="MLTC"/>
    <s v="RN Initial (NB)"/>
    <m/>
    <x v="3"/>
    <s v="HHA"/>
    <s v="MC Medicaid HHA"/>
    <m/>
    <n v="32"/>
    <n v="32"/>
    <n v="32"/>
    <n v="25"/>
    <n v="25"/>
    <n v="25"/>
    <s v="Nursing override"/>
    <x v="0"/>
  </r>
  <r>
    <n v="156"/>
    <s v="Bronx"/>
    <s v="Healthfirst (ANT)"/>
    <s v="CHHA"/>
    <s v="MLTC"/>
    <s v="RN Reassessment (NB)"/>
    <m/>
    <x v="3"/>
    <s v="HHA"/>
    <s v="MC Medicaid HHA"/>
    <m/>
    <n v="29"/>
    <n v="44"/>
    <n v="44"/>
    <n v="28"/>
    <n v="43"/>
    <n v="43"/>
    <s v="Nursing override"/>
    <x v="0"/>
  </r>
  <r>
    <n v="157"/>
    <s v="Bronx"/>
    <s v="Healthfirst (ANT)"/>
    <s v="CHHA"/>
    <s v="MLTC"/>
    <s v="T1019:U1"/>
    <s v="T1019:U1"/>
    <x v="2"/>
    <s v="HHA"/>
    <s v="MC Medicaid HHA"/>
    <m/>
    <n v="67"/>
    <n v="6630"/>
    <n v="39056"/>
    <n v="57"/>
    <n v="6349"/>
    <n v="37650.5"/>
    <s v=""/>
    <x v="0"/>
  </r>
  <r>
    <n v="158"/>
    <s v="Bronx"/>
    <s v="Healthfirst (ANT)"/>
    <s v="CHHA"/>
    <s v="MLTC"/>
    <s v="T1019:U1:CC"/>
    <s v="T1019:U1"/>
    <x v="2"/>
    <s v="HHA"/>
    <s v="MC Medicaid HHA"/>
    <m/>
    <n v="1"/>
    <n v="8"/>
    <n v="62.5"/>
    <n v="1"/>
    <n v="8"/>
    <n v="62.5"/>
    <s v=""/>
    <x v="0"/>
  </r>
  <r>
    <n v="159"/>
    <s v="Bronx"/>
    <s v="Healthfirst (ANT)"/>
    <s v="CHHA"/>
    <s v="MLTC"/>
    <s v="T1019:U6"/>
    <s v="T1019:U6"/>
    <x v="1"/>
    <s v="CDPAP"/>
    <s v="MC Medicaid CDPAP"/>
    <m/>
    <n v="1"/>
    <n v="39"/>
    <n v="175.5"/>
    <n v="1"/>
    <n v="39"/>
    <n v="175.5"/>
    <s v=""/>
    <x v="0"/>
  </r>
  <r>
    <n v="160"/>
    <s v="Bronx"/>
    <s v="Healthfirst (ANT)"/>
    <s v="CHHA"/>
    <s v="MLTC"/>
    <s v="T1020"/>
    <s v="T1020"/>
    <x v="8"/>
    <s v="HHA"/>
    <s v="MC Medicaid HHA"/>
    <m/>
    <n v="1"/>
    <n v="31"/>
    <n v="403"/>
    <n v="1"/>
    <n v="31"/>
    <n v="403"/>
    <s v=""/>
    <x v="0"/>
  </r>
  <r>
    <n v="164"/>
    <s v="Bronx"/>
    <s v="Healthfirst (CDP)"/>
    <s v="CHHA"/>
    <s v="CDPAP"/>
    <s v="T1019:U6"/>
    <s v="T1019:U6"/>
    <x v="1"/>
    <s v="CDPAP"/>
    <s v="MC Medicaid CDPAP"/>
    <m/>
    <n v="81"/>
    <n v="8998"/>
    <n v="47170.75"/>
    <n v="77"/>
    <n v="8803"/>
    <n v="46284"/>
    <s v=""/>
    <x v="0"/>
  </r>
  <r>
    <n v="165"/>
    <s v="Bronx"/>
    <s v="Healthfirst (CDP)"/>
    <s v="CHHA"/>
    <s v="CDPAP"/>
    <s v="T1019:U6:CC"/>
    <s v="T1019:U6"/>
    <x v="1"/>
    <s v="CDPAP"/>
    <s v="MC Medicaid CDPAP"/>
    <m/>
    <n v="1"/>
    <n v="262"/>
    <n v="1362"/>
    <n v="1"/>
    <n v="262"/>
    <n v="1362"/>
    <s v=""/>
    <x v="0"/>
  </r>
  <r>
    <n v="166"/>
    <s v="Bronx"/>
    <s v="Healthfirst PCA MAP (Complete Care) (Non Live)"/>
    <s v="MCO"/>
    <s v="MLTC"/>
    <s v="RN Reassessment (NB)"/>
    <m/>
    <x v="3"/>
    <s v="HHA"/>
    <s v="MC Medicaid HHA"/>
    <m/>
    <n v="1"/>
    <n v="1"/>
    <n v="1"/>
    <n v="1"/>
    <n v="1"/>
    <n v="1"/>
    <s v="Nursing override"/>
    <x v="0"/>
  </r>
  <r>
    <n v="167"/>
    <s v="Bronx"/>
    <s v="HEALTHFIRST PHSP (Medicaid) (Non Live)"/>
    <s v="CHHA"/>
    <s v="MCO"/>
    <s v="PCA Hourly"/>
    <s v="T1019:U1"/>
    <x v="2"/>
    <s v="HHA"/>
    <s v="MC Medicaid HHA"/>
    <m/>
    <n v="1"/>
    <n v="1"/>
    <n v="1"/>
    <n v="1"/>
    <n v="1"/>
    <n v="1"/>
    <s v=""/>
    <x v="0"/>
  </r>
  <r>
    <n v="168"/>
    <s v="Bronx"/>
    <s v="HEALTHFIRST PHSP (Medicaid) (Non Live)"/>
    <s v="CHHA"/>
    <s v="MCO"/>
    <s v="RN Initial (NB)"/>
    <m/>
    <x v="3"/>
    <s v="HHA"/>
    <s v="MC Medicaid HHA"/>
    <m/>
    <n v="1"/>
    <n v="1"/>
    <n v="1"/>
    <n v="1"/>
    <n v="1"/>
    <n v="1"/>
    <s v="Nursing override"/>
    <x v="0"/>
  </r>
  <r>
    <n v="169"/>
    <s v="Bronx"/>
    <s v="NHTD"/>
    <s v="LHCSA"/>
    <s v="Medicaid"/>
    <s v="HCSS 9795 NYC"/>
    <s v="9795"/>
    <x v="4"/>
    <s v="HHA"/>
    <s v="Other"/>
    <m/>
    <n v="68"/>
    <n v="23886"/>
    <n v="268079.25"/>
    <n v="68"/>
    <n v="23886"/>
    <n v="268079.25"/>
    <s v=""/>
    <x v="0"/>
  </r>
  <r>
    <n v="170"/>
    <s v="Bronx"/>
    <s v="NHTD"/>
    <s v="LHCSA"/>
    <s v="Medicaid"/>
    <s v="Initial RN Visit 9799 (Hourly)"/>
    <s v="9799"/>
    <x v="4"/>
    <s v="HHA"/>
    <s v="Other"/>
    <m/>
    <n v="39"/>
    <n v="39"/>
    <n v="38"/>
    <n v="39"/>
    <n v="39"/>
    <n v="39"/>
    <m/>
    <x v="0"/>
  </r>
  <r>
    <n v="171"/>
    <s v="Bronx"/>
    <s v="NHTD"/>
    <s v="LHCSA"/>
    <s v="Medicaid"/>
    <s v="Non billable Hourly"/>
    <m/>
    <x v="4"/>
    <s v="HHA"/>
    <s v="Other"/>
    <m/>
    <n v="1"/>
    <n v="4"/>
    <n v="48"/>
    <n v="1"/>
    <n v="4"/>
    <n v="48"/>
    <s v=""/>
    <x v="0"/>
  </r>
  <r>
    <n v="172"/>
    <s v="Bronx"/>
    <s v="NHTD"/>
    <s v="LHCSA"/>
    <s v="Medicaid"/>
    <s v="PRN (NB)"/>
    <m/>
    <x v="4"/>
    <s v="HHA"/>
    <s v="Other"/>
    <m/>
    <n v="2"/>
    <n v="2"/>
    <n v="2"/>
    <n v="2"/>
    <n v="2"/>
    <n v="2"/>
    <m/>
    <x v="0"/>
  </r>
  <r>
    <n v="173"/>
    <s v="Bronx"/>
    <s v="NHTD"/>
    <s v="LHCSA"/>
    <s v="Medicaid"/>
    <s v="RN Initial (NB)"/>
    <m/>
    <x v="4"/>
    <s v="HHA"/>
    <s v="Other"/>
    <m/>
    <n v="5"/>
    <n v="5"/>
    <n v="5"/>
    <n v="5"/>
    <n v="5"/>
    <n v="5"/>
    <m/>
    <x v="0"/>
  </r>
  <r>
    <n v="174"/>
    <s v="Bronx"/>
    <s v="NHTD"/>
    <s v="LHCSA"/>
    <s v="Medicaid"/>
    <s v="RN Reassessment (NB)"/>
    <m/>
    <x v="4"/>
    <s v="HHA"/>
    <s v="Other"/>
    <m/>
    <n v="2"/>
    <n v="2"/>
    <n v="2"/>
    <n v="2"/>
    <n v="2"/>
    <n v="2"/>
    <m/>
    <x v="0"/>
  </r>
  <r>
    <n v="175"/>
    <s v="Bronx"/>
    <s v="NHTD"/>
    <s v="LHCSA"/>
    <s v="Medicaid"/>
    <s v="RN Visit 9799 (Hourly)"/>
    <s v="9799"/>
    <x v="4"/>
    <s v="HHA"/>
    <s v="Other"/>
    <m/>
    <n v="44"/>
    <n v="70"/>
    <n v="67.5"/>
    <n v="44"/>
    <n v="70"/>
    <n v="70"/>
    <m/>
    <x v="0"/>
  </r>
  <r>
    <n v="176"/>
    <s v="Bronx"/>
    <s v="Non Billable"/>
    <s v="Other"/>
    <s v="Insurance"/>
    <s v="PA Hourly"/>
    <m/>
    <x v="5"/>
    <s v="HHA"/>
    <s v="Private Pay"/>
    <m/>
    <n v="2"/>
    <n v="8"/>
    <n v="38"/>
    <n v="2"/>
    <n v="8"/>
    <n v="38"/>
    <s v=""/>
    <x v="0"/>
  </r>
  <r>
    <n v="177"/>
    <s v="Bronx"/>
    <s v="Non Billable"/>
    <s v="Other"/>
    <s v="Insurance"/>
    <s v="PCA Hourly"/>
    <m/>
    <x v="5"/>
    <s v="HHA"/>
    <s v="Private Pay"/>
    <m/>
    <n v="21"/>
    <n v="33"/>
    <n v="97.75"/>
    <n v="21"/>
    <n v="33"/>
    <n v="97.75"/>
    <s v=""/>
    <x v="0"/>
  </r>
  <r>
    <n v="178"/>
    <s v="Bronx"/>
    <s v="Prime Home Health Services"/>
    <s v="CHHA"/>
    <s v="CHHA"/>
    <s v="HHAHRPED"/>
    <s v="99999"/>
    <x v="0"/>
    <s v="HHA"/>
    <s v="Other"/>
    <s v="CHHA"/>
    <n v="6"/>
    <n v="271"/>
    <n v="2013.5"/>
    <n v="6"/>
    <n v="271"/>
    <n v="2013.5"/>
    <s v=""/>
    <x v="0"/>
  </r>
  <r>
    <n v="179"/>
    <s v="Bronx"/>
    <s v="Private Pay"/>
    <s v="Other"/>
    <s v="Private"/>
    <s v="PCA Hourly"/>
    <m/>
    <x v="5"/>
    <s v="HHA"/>
    <s v="Private Pay"/>
    <m/>
    <n v="9"/>
    <n v="17"/>
    <n v="60.25"/>
    <n v="7"/>
    <n v="10"/>
    <n v="34.25"/>
    <s v=""/>
    <x v="0"/>
  </r>
  <r>
    <n v="180"/>
    <s v="Bronx"/>
    <s v="Private Pay - Select"/>
    <s v="Other"/>
    <s v="Private"/>
    <s v="PCA Hourly"/>
    <m/>
    <x v="5"/>
    <s v="HHA"/>
    <s v="Private Pay"/>
    <m/>
    <n v="2"/>
    <n v="210"/>
    <n v="1126.5"/>
    <n v="2"/>
    <n v="210"/>
    <n v="1126.5"/>
    <s v=""/>
    <x v="0"/>
  </r>
  <r>
    <n v="181"/>
    <s v="Bronx"/>
    <s v="Private Pay - Select"/>
    <s v="Other"/>
    <s v="Private"/>
    <s v="RN Initial (NB)"/>
    <m/>
    <x v="5"/>
    <s v="HHA"/>
    <s v="Private Pay"/>
    <m/>
    <n v="1"/>
    <n v="1"/>
    <n v="0.5"/>
    <n v="1"/>
    <n v="1"/>
    <n v="1"/>
    <s v=""/>
    <x v="0"/>
  </r>
  <r>
    <n v="182"/>
    <s v="Bronx"/>
    <s v="Private Pay - Select"/>
    <s v="Other"/>
    <s v="Private"/>
    <s v="RN Reassessment (NB)"/>
    <m/>
    <x v="5"/>
    <s v="HHA"/>
    <s v="Private Pay"/>
    <m/>
    <n v="1"/>
    <n v="2"/>
    <n v="1"/>
    <n v="1"/>
    <n v="2"/>
    <n v="2"/>
    <s v=""/>
    <x v="0"/>
  </r>
  <r>
    <n v="183"/>
    <s v="Bronx"/>
    <s v="Revival Home Health Care"/>
    <s v="CHHA"/>
    <s v="CHHA"/>
    <s v="Rate1"/>
    <s v="S9122"/>
    <x v="0"/>
    <s v="HHA"/>
    <s v="Other"/>
    <s v="CHHA"/>
    <n v="1"/>
    <n v="1"/>
    <n v="4"/>
    <n v="1"/>
    <n v="1"/>
    <n v="4"/>
    <s v=""/>
    <x v="0"/>
  </r>
  <r>
    <n v="184"/>
    <s v="Bronx"/>
    <s v="Royal Care Certified of NY"/>
    <s v="Other"/>
    <m/>
    <s v="Rate 1"/>
    <s v="na"/>
    <x v="0"/>
    <s v="HHA"/>
    <s v="Other"/>
    <s v="CHHA"/>
    <n v="2"/>
    <n v="6"/>
    <n v="23"/>
    <n v="1"/>
    <n v="4"/>
    <n v="15"/>
    <s v=""/>
    <x v="0"/>
  </r>
  <r>
    <n v="185"/>
    <s v="Bronx"/>
    <s v="SWHNY-MLTC (ANT)"/>
    <s v="Other"/>
    <s v="MLTC"/>
    <s v="PRN (NB)"/>
    <m/>
    <x v="3"/>
    <s v="HHA"/>
    <s v="MC Medicaid HHA"/>
    <m/>
    <n v="2"/>
    <n v="2"/>
    <n v="2"/>
    <n v="2"/>
    <n v="2"/>
    <n v="2"/>
    <s v="Nursing override"/>
    <x v="0"/>
  </r>
  <r>
    <n v="186"/>
    <s v="Bronx"/>
    <s v="SWHNY-MLTC (ANT)"/>
    <s v="Other"/>
    <s v="MLTC"/>
    <s v="RN Initial (NB)"/>
    <m/>
    <x v="3"/>
    <s v="HHA"/>
    <s v="MC Medicaid HHA"/>
    <m/>
    <n v="1"/>
    <n v="1"/>
    <n v="1"/>
    <n v="1"/>
    <n v="1"/>
    <n v="1"/>
    <s v="Nursing override"/>
    <x v="0"/>
  </r>
  <r>
    <n v="187"/>
    <s v="Bronx"/>
    <s v="SWHNY-MLTC (ANT)"/>
    <s v="Other"/>
    <s v="MLTC"/>
    <s v="RN Reassessment (NB)"/>
    <m/>
    <x v="3"/>
    <s v="HHA"/>
    <s v="MC Medicaid HHA"/>
    <m/>
    <n v="5"/>
    <n v="9"/>
    <n v="9"/>
    <n v="5"/>
    <n v="9"/>
    <n v="9"/>
    <s v="Nursing override"/>
    <x v="0"/>
  </r>
  <r>
    <n v="188"/>
    <s v="Bronx"/>
    <s v="SWHNY-MLTC (ANT)"/>
    <s v="Other"/>
    <s v="MLTC"/>
    <s v="T1019:U1"/>
    <s v="T1019:U1"/>
    <x v="2"/>
    <s v="HHA"/>
    <s v="MC Medicaid HHA"/>
    <m/>
    <n v="10"/>
    <n v="1412"/>
    <n v="11659.75"/>
    <n v="10"/>
    <n v="1412"/>
    <n v="11659.75"/>
    <s v=""/>
    <x v="0"/>
  </r>
  <r>
    <n v="193"/>
    <s v="Bronx"/>
    <s v="SWHNY-MLTC (CDP)"/>
    <s v="Other"/>
    <s v="CDPAP"/>
    <s v="T1019:U6"/>
    <s v="T1019:U6"/>
    <x v="1"/>
    <s v="CDPAP"/>
    <s v="MC Medicaid CDPAP"/>
    <m/>
    <n v="28"/>
    <n v="6681"/>
    <n v="37952.5"/>
    <n v="26"/>
    <n v="6584"/>
    <n v="37068.5"/>
    <s v=""/>
    <x v="0"/>
  </r>
  <r>
    <n v="194"/>
    <s v="Bronx"/>
    <s v="SWHNY-MLTC (CDP)"/>
    <s v="Other"/>
    <s v="CDPAP"/>
    <s v="T1020:U6"/>
    <s v="T1020:U6"/>
    <x v="9"/>
    <s v="CDPAP"/>
    <s v="MC Medicaid CDPAP"/>
    <m/>
    <n v="1"/>
    <n v="366"/>
    <n v="4758"/>
    <n v="1"/>
    <n v="366"/>
    <n v="4758"/>
    <s v=""/>
    <x v="0"/>
  </r>
  <r>
    <n v="197"/>
    <s v="Bronx"/>
    <s v="VillageCare CDPAP"/>
    <s v="MCO"/>
    <s v="CDPAP"/>
    <s v="PA Hourly"/>
    <s v="T1019:U6"/>
    <x v="1"/>
    <s v="CDPAP"/>
    <s v="MC Medicaid CDPAP"/>
    <m/>
    <n v="124"/>
    <n v="15367"/>
    <n v="81625.25"/>
    <n v="113"/>
    <n v="15017"/>
    <n v="79356.75"/>
    <s v=""/>
    <x v="0"/>
  </r>
  <r>
    <n v="198"/>
    <s v="Bronx"/>
    <s v="VillageCare CDPAP"/>
    <s v="MCO"/>
    <s v="CDPAP"/>
    <s v="PA Hourly Mutual"/>
    <s v="T1019:U7"/>
    <x v="10"/>
    <s v="CDPAP"/>
    <s v="MC Medicaid CDPAP"/>
    <m/>
    <n v="3"/>
    <n v="326"/>
    <n v="1002.75"/>
    <n v="3"/>
    <n v="326"/>
    <n v="1002.75"/>
    <s v=""/>
    <x v="0"/>
  </r>
  <r>
    <n v="199"/>
    <s v="Bronx"/>
    <s v="VillageCare PCA"/>
    <s v="MLTC"/>
    <s v="MLTC"/>
    <s v="Aide Supervision (NB)"/>
    <m/>
    <x v="7"/>
    <s v="HHA"/>
    <s v="MC Medicaid HHA"/>
    <m/>
    <n v="2"/>
    <n v="2"/>
    <n v="2"/>
    <n v="2"/>
    <n v="2"/>
    <n v="2"/>
    <s v="Nursing override"/>
    <x v="0"/>
  </r>
  <r>
    <n v="200"/>
    <s v="Bronx"/>
    <s v="VillageCare PCA"/>
    <s v="MLTC"/>
    <s v="MLTC"/>
    <s v="PCA - Live In"/>
    <s v="T1020"/>
    <x v="8"/>
    <s v="HHA"/>
    <s v="MC Medicaid HHA"/>
    <m/>
    <n v="3"/>
    <n v="134"/>
    <n v="1742"/>
    <n v="3"/>
    <n v="134"/>
    <n v="1742"/>
    <s v=""/>
    <x v="0"/>
  </r>
  <r>
    <n v="201"/>
    <s v="Bronx"/>
    <s v="VillageCare PCA"/>
    <s v="MLTC"/>
    <s v="MLTC"/>
    <s v="PCA - Live In TV"/>
    <s v="T1020:TV"/>
    <x v="8"/>
    <s v="HHA"/>
    <s v="MC Medicaid HHA"/>
    <m/>
    <n v="2"/>
    <n v="16"/>
    <n v="208"/>
    <n v="2"/>
    <n v="16"/>
    <n v="208"/>
    <s v=""/>
    <x v="0"/>
  </r>
  <r>
    <n v="202"/>
    <s v="Bronx"/>
    <s v="VillageCare PCA"/>
    <s v="MLTC"/>
    <s v="MLTC"/>
    <s v="PCA Cluster Care"/>
    <s v="T1019:U3"/>
    <x v="11"/>
    <s v="HHA"/>
    <s v="MC Medicaid HHA"/>
    <m/>
    <n v="63"/>
    <n v="6809"/>
    <n v="11883.25"/>
    <n v="63"/>
    <n v="6809"/>
    <n v="11883.25"/>
    <s v=""/>
    <x v="0"/>
  </r>
  <r>
    <n v="203"/>
    <s v="Bronx"/>
    <s v="VillageCare PCA"/>
    <s v="MLTC"/>
    <s v="MLTC"/>
    <s v="PCA Hourly"/>
    <s v="T1019:U1"/>
    <x v="2"/>
    <s v="HHA"/>
    <s v="MC Medicaid HHA"/>
    <m/>
    <n v="185"/>
    <n v="15754"/>
    <n v="79717.25"/>
    <n v="179"/>
    <n v="15592"/>
    <n v="78632.25"/>
    <s v=""/>
    <x v="0"/>
  </r>
  <r>
    <n v="204"/>
    <s v="Bronx"/>
    <s v="VillageCare PCA"/>
    <s v="MLTC"/>
    <s v="MLTC"/>
    <s v="PCA Hourly"/>
    <s v="T1019:U1:TV"/>
    <x v="2"/>
    <s v="HHA"/>
    <s v="MC Medicaid HHA"/>
    <m/>
    <n v="75"/>
    <n v="2448"/>
    <n v="14957.75"/>
    <n v="71"/>
    <n v="2395"/>
    <n v="14615.25"/>
    <s v=""/>
    <x v="0"/>
  </r>
  <r>
    <n v="205"/>
    <s v="Bronx"/>
    <s v="VillageCare PCA"/>
    <s v="MLTC"/>
    <s v="MLTC"/>
    <s v="PCA Hourly Mutual"/>
    <s v="T1019:U2"/>
    <x v="11"/>
    <s v="HHA"/>
    <s v="MC Medicaid HHA"/>
    <m/>
    <n v="2"/>
    <n v="264"/>
    <n v="786.5"/>
    <n v="2"/>
    <n v="264"/>
    <n v="786.5"/>
    <s v=""/>
    <x v="0"/>
  </r>
  <r>
    <n v="206"/>
    <s v="Bronx"/>
    <s v="VillageCare PCA"/>
    <s v="MLTC"/>
    <s v="MLTC"/>
    <s v="PCA Hourly Mutual TV"/>
    <s v="T1019:U2:TV"/>
    <x v="11"/>
    <s v="HHA"/>
    <s v="MC Medicaid HHA"/>
    <m/>
    <n v="1"/>
    <n v="6"/>
    <n v="16.75"/>
    <n v="1"/>
    <n v="6"/>
    <n v="16.75"/>
    <s v=""/>
    <x v="0"/>
  </r>
  <r>
    <n v="207"/>
    <s v="Bronx"/>
    <s v="VillageCare PCA"/>
    <s v="MLTC"/>
    <s v="MLTC"/>
    <s v="PCA Hourly TV"/>
    <s v="T1019:U1:TV"/>
    <x v="2"/>
    <s v="HHA"/>
    <s v="MC Medicaid HHA"/>
    <m/>
    <n v="37"/>
    <n v="382"/>
    <n v="2057.75"/>
    <n v="36"/>
    <n v="380"/>
    <n v="2044.75"/>
    <s v=""/>
    <x v="0"/>
  </r>
  <r>
    <n v="208"/>
    <s v="Bronx"/>
    <s v="VillageCare PCA"/>
    <s v="MLTC"/>
    <s v="MLTC"/>
    <s v="PRN (NB)"/>
    <m/>
    <x v="3"/>
    <s v="HHA"/>
    <s v="MC Medicaid HHA"/>
    <m/>
    <n v="7"/>
    <n v="8"/>
    <n v="8"/>
    <n v="6"/>
    <n v="7"/>
    <n v="7"/>
    <s v="Nursing override"/>
    <x v="0"/>
  </r>
  <r>
    <n v="209"/>
    <s v="Bronx"/>
    <s v="VillageCare PCA"/>
    <s v="MLTC"/>
    <s v="MLTC"/>
    <s v="RN Initial (NB)"/>
    <m/>
    <x v="3"/>
    <s v="HHA"/>
    <s v="MC Medicaid HHA"/>
    <m/>
    <n v="6"/>
    <n v="6"/>
    <n v="6"/>
    <n v="6"/>
    <n v="6"/>
    <n v="6"/>
    <s v="Nursing override"/>
    <x v="0"/>
  </r>
  <r>
    <n v="210"/>
    <s v="Bronx"/>
    <s v="VillageCare PCA"/>
    <s v="MLTC"/>
    <s v="MLTC"/>
    <s v="RN Initial Visit"/>
    <s v="T1030"/>
    <x v="7"/>
    <s v="HHA"/>
    <s v="MC Medicaid HHA"/>
    <m/>
    <n v="174"/>
    <n v="177"/>
    <n v="177"/>
    <n v="170"/>
    <n v="173"/>
    <n v="173"/>
    <s v="nursing"/>
    <x v="0"/>
  </r>
  <r>
    <n v="211"/>
    <s v="Bronx"/>
    <s v="VillageCare PCA"/>
    <s v="MLTC"/>
    <s v="MLTC"/>
    <s v="RN Reassessment (NB)"/>
    <m/>
    <x v="3"/>
    <s v="HHA"/>
    <s v="MC Medicaid HHA"/>
    <m/>
    <n v="91"/>
    <n v="127"/>
    <n v="127"/>
    <n v="90"/>
    <n v="126"/>
    <n v="126"/>
    <s v="Nursing override"/>
    <x v="0"/>
  </r>
  <r>
    <n v="212"/>
    <s v="Bronx"/>
    <s v="VNS Health Health Plans (ANT)"/>
    <s v="MLTC"/>
    <s v="MLTC"/>
    <s v="PRN (NB)"/>
    <m/>
    <x v="3"/>
    <s v="HHA"/>
    <s v="MC Medicaid HHA"/>
    <m/>
    <n v="7"/>
    <n v="7"/>
    <n v="7"/>
    <n v="7"/>
    <n v="7"/>
    <n v="7"/>
    <s v="Nursing override"/>
    <x v="0"/>
  </r>
  <r>
    <n v="213"/>
    <s v="Bronx"/>
    <s v="VNS Health Health Plans (ANT)"/>
    <s v="MLTC"/>
    <s v="MLTC"/>
    <s v="RN Initial (NB)"/>
    <m/>
    <x v="3"/>
    <s v="HHA"/>
    <s v="MC Medicaid HHA"/>
    <m/>
    <n v="35"/>
    <n v="35"/>
    <n v="35"/>
    <n v="32"/>
    <n v="32"/>
    <n v="32"/>
    <s v="Nursing override"/>
    <x v="0"/>
  </r>
  <r>
    <n v="214"/>
    <s v="Bronx"/>
    <s v="VNS Health Health Plans (ANT)"/>
    <s v="MLTC"/>
    <s v="MLTC"/>
    <s v="RN Reassessment (NB)"/>
    <m/>
    <x v="3"/>
    <s v="HHA"/>
    <s v="MC Medicaid HHA"/>
    <m/>
    <n v="38"/>
    <n v="53"/>
    <n v="53"/>
    <n v="38"/>
    <n v="53"/>
    <n v="53"/>
    <s v="Nursing override"/>
    <x v="0"/>
  </r>
  <r>
    <n v="215"/>
    <s v="Bronx"/>
    <s v="VNS Health Health Plans (ANT)"/>
    <s v="MLTC"/>
    <s v="MLTC"/>
    <s v="T1019U1 BX"/>
    <s v="T1019:U1"/>
    <x v="2"/>
    <s v="HHA"/>
    <s v="MC Medicaid HHA"/>
    <m/>
    <n v="69"/>
    <n v="8194"/>
    <n v="51805"/>
    <n v="65"/>
    <n v="8077"/>
    <n v="51465.25"/>
    <s v=""/>
    <x v="0"/>
  </r>
  <r>
    <n v="216"/>
    <s v="Bronx"/>
    <s v="VNS Health Health Plans (ANT)"/>
    <s v="MLTC"/>
    <s v="MLTC"/>
    <s v="T1019U1 BX MAP"/>
    <s v="T1019:U1"/>
    <x v="2"/>
    <s v="HHA"/>
    <s v="MC Medicaid HHA"/>
    <m/>
    <n v="1"/>
    <n v="1"/>
    <n v="7.25"/>
    <n v="1"/>
    <n v="1"/>
    <n v="7.25"/>
    <s v=""/>
    <x v="0"/>
  </r>
  <r>
    <n v="217"/>
    <s v="Bronx"/>
    <s v="VNS Health Health Plans (ANT)"/>
    <s v="MLTC"/>
    <s v="MLTC"/>
    <s v="T1019U1 K"/>
    <s v="T1019:U1"/>
    <x v="2"/>
    <s v="HHA"/>
    <s v="MC Medicaid HHA"/>
    <m/>
    <n v="1"/>
    <n v="220"/>
    <n v="1368"/>
    <n v="1"/>
    <n v="220"/>
    <n v="1368"/>
    <s v=""/>
    <x v="0"/>
  </r>
  <r>
    <n v="218"/>
    <s v="Bronx"/>
    <s v="VNS Health Health Plans (ANT)"/>
    <s v="MLTC"/>
    <s v="MLTC"/>
    <s v="T1019U2 BX"/>
    <s v="T1019:U2"/>
    <x v="11"/>
    <s v="HHA"/>
    <s v="MC Medicaid HHA"/>
    <m/>
    <n v="2"/>
    <n v="100"/>
    <n v="1072"/>
    <n v="2"/>
    <n v="100"/>
    <n v="1072"/>
    <s v=""/>
    <x v="0"/>
  </r>
  <r>
    <n v="219"/>
    <s v="Bronx"/>
    <s v="VNS Health Health Plans (ANT)"/>
    <s v="MLTC"/>
    <s v="MLTC"/>
    <s v="T1020 BX"/>
    <s v="T1020"/>
    <x v="8"/>
    <s v="HHA"/>
    <s v="MC Medicaid HHA"/>
    <m/>
    <n v="3"/>
    <n v="488"/>
    <n v="6344"/>
    <n v="3"/>
    <n v="488"/>
    <n v="6344"/>
    <s v=""/>
    <x v="0"/>
  </r>
  <r>
    <n v="220"/>
    <s v="Bronx"/>
    <s v="VNS Health Health Plans (ANT)"/>
    <s v="MLTC"/>
    <s v="MLTC"/>
    <s v="T1020U2 BX"/>
    <s v="T1020:U2"/>
    <x v="8"/>
    <s v="HHA"/>
    <s v="MC Medicaid HHA"/>
    <m/>
    <n v="1"/>
    <n v="1"/>
    <n v="13"/>
    <n v="1"/>
    <n v="1"/>
    <n v="13"/>
    <s v=""/>
    <x v="0"/>
  </r>
  <r>
    <n v="223"/>
    <s v="Bronx"/>
    <s v="VNS Health Health Plans (CDP)"/>
    <s v="MLTC"/>
    <s v="CDPAP"/>
    <s v="T1019U6 BX"/>
    <s v="T1019:U6"/>
    <x v="1"/>
    <s v="CDPAP"/>
    <s v="MC Medicaid CDPAP"/>
    <m/>
    <n v="60"/>
    <n v="11217"/>
    <n v="48716"/>
    <n v="53"/>
    <n v="10730"/>
    <n v="46549.25"/>
    <s v=""/>
    <x v="0"/>
  </r>
  <r>
    <n v="224"/>
    <s v="Bronx"/>
    <s v="VNS Health Health Plans (CDP)"/>
    <s v="MLTC"/>
    <s v="CDPAP"/>
    <s v="T1019U6 BX MAP"/>
    <s v="T1019:U6"/>
    <x v="1"/>
    <s v="CDPAP"/>
    <s v="MC Medicaid CDPAP"/>
    <m/>
    <n v="1"/>
    <n v="262"/>
    <n v="1154.5"/>
    <n v="1"/>
    <n v="262"/>
    <n v="1154.5"/>
    <s v=""/>
    <x v="0"/>
  </r>
  <r>
    <n v="225"/>
    <s v="Bronx"/>
    <s v="VNS Health Health Plans (CDP)"/>
    <s v="MLTC"/>
    <s v="CDPAP"/>
    <s v="T1019U6 K"/>
    <s v="T1019:U6"/>
    <x v="1"/>
    <s v="CDPAP"/>
    <s v="MC Medicaid CDPAP"/>
    <m/>
    <n v="1"/>
    <n v="67"/>
    <n v="201"/>
    <n v="1"/>
    <n v="67"/>
    <n v="201"/>
    <s v=""/>
    <x v="0"/>
  </r>
  <r>
    <n v="226"/>
    <s v="Bronx"/>
    <s v="VNS Health Health Plans (CDP)"/>
    <s v="MLTC"/>
    <s v="CDPAP"/>
    <s v="T1019U6 NYC"/>
    <s v="T1019:U6"/>
    <x v="1"/>
    <s v="CDPAP"/>
    <s v="MC Medicaid CDPAP"/>
    <m/>
    <n v="2"/>
    <n v="613"/>
    <n v="2232.5"/>
    <n v="2"/>
    <n v="613"/>
    <n v="2232.5"/>
    <s v=""/>
    <x v="0"/>
  </r>
  <r>
    <n v="227"/>
    <s v="Bronx"/>
    <s v="VNS Health Health Plans (CDP)"/>
    <s v="MLTC"/>
    <s v="CDPAP"/>
    <s v="T1019U7 NYC"/>
    <s v="T1019:U7"/>
    <x v="10"/>
    <s v="CDPAP"/>
    <s v="MC Medicaid CDPAP"/>
    <m/>
    <n v="2"/>
    <n v="552"/>
    <n v="3284.5"/>
    <n v="2"/>
    <n v="552"/>
    <n v="3284.5"/>
    <s v=""/>
    <x v="0"/>
  </r>
  <r>
    <n v="228"/>
    <s v="Bronx"/>
    <s v="VNSNY CHOICE PCA"/>
    <s v="LHCSA"/>
    <s v="MLTC"/>
    <s v="PCA Hourly"/>
    <s v="T1019:U1"/>
    <x v="2"/>
    <s v="HHA"/>
    <s v="MC Medicaid HHA"/>
    <m/>
    <n v="1"/>
    <n v="9"/>
    <n v="16.25"/>
    <n v="1"/>
    <n v="9"/>
    <n v="16.25"/>
    <s v=""/>
    <x v="0"/>
  </r>
  <r>
    <n v="229"/>
    <s v="Bronx"/>
    <s v="VNSNY CHOICE PCA"/>
    <s v="LHCSA"/>
    <s v="MLTC"/>
    <s v="PCA Hourly Housekeeping"/>
    <s v="S5130:U1::::S5130"/>
    <x v="6"/>
    <s v="HHA"/>
    <s v="MC Medicaid HHA"/>
    <m/>
    <n v="1"/>
    <n v="114"/>
    <n v="222"/>
    <n v="1"/>
    <n v="114"/>
    <n v="222"/>
    <s v=""/>
    <x v="0"/>
  </r>
  <r>
    <n v="230"/>
    <s v="Bronx"/>
    <s v="VNSNY CHOICE PCA"/>
    <s v="LHCSA"/>
    <s v="MLTC"/>
    <s v="RN Initial (NB)"/>
    <m/>
    <x v="3"/>
    <s v="HHA"/>
    <s v="MC Medicaid HHA"/>
    <m/>
    <n v="1"/>
    <n v="1"/>
    <n v="1"/>
    <n v="1"/>
    <n v="1"/>
    <n v="1"/>
    <s v="Nursing override"/>
    <x v="0"/>
  </r>
  <r>
    <n v="231"/>
    <s v="Bronx"/>
    <s v="VNSNY CHOICE PCA"/>
    <s v="LHCSA"/>
    <s v="MLTC"/>
    <s v="RN Reassessment (NB)"/>
    <m/>
    <x v="3"/>
    <s v="HHA"/>
    <s v="MC Medicaid HHA"/>
    <m/>
    <n v="2"/>
    <n v="2"/>
    <n v="2"/>
    <n v="2"/>
    <n v="2"/>
    <n v="2"/>
    <s v="Nursing override"/>
    <x v="0"/>
  </r>
  <r>
    <n v="236"/>
    <s v="Broome"/>
    <s v="Fidelis Care (CDP)"/>
    <s v="LHCSA"/>
    <s v="CDPAP"/>
    <s v="T1019:U6"/>
    <s v="T1019:U6"/>
    <x v="1"/>
    <s v="CDPAP"/>
    <s v="MC Medicaid CDPAP"/>
    <m/>
    <n v="32"/>
    <n v="4448"/>
    <n v="22299.75"/>
    <n v="32"/>
    <n v="4448"/>
    <n v="22299.75"/>
    <s v=""/>
    <x v="0"/>
  </r>
  <r>
    <n v="240"/>
    <s v="Broome"/>
    <s v="Nascentia Health Options CDPAP"/>
    <s v="MLTC"/>
    <s v="CDPAP"/>
    <s v="PA Hourly"/>
    <s v="T1019:U6"/>
    <x v="1"/>
    <s v="CDPAP"/>
    <s v="MC Medicaid CDPAP"/>
    <m/>
    <n v="31"/>
    <n v="4482"/>
    <n v="26558"/>
    <n v="31"/>
    <n v="4482"/>
    <n v="26558"/>
    <s v=""/>
    <x v="0"/>
  </r>
  <r>
    <n v="242"/>
    <s v="Broome"/>
    <s v="VNS Health Health Plans (CDP)"/>
    <s v="MLTC"/>
    <s v="CDPAP"/>
    <s v="T1019U6 SCH"/>
    <s v="T1019:U6"/>
    <x v="1"/>
    <s v="CDPAP"/>
    <s v="MC Medicaid CDPAP"/>
    <m/>
    <n v="1"/>
    <n v="215"/>
    <n v="1895.5"/>
    <n v="1"/>
    <n v="215"/>
    <n v="1895.5"/>
    <s v=""/>
    <x v="0"/>
  </r>
  <r>
    <n v="244"/>
    <s v="Cattaraugus"/>
    <s v="Fidelis Care (CDP)"/>
    <s v="LHCSA"/>
    <s v="CDPAP"/>
    <s v="T1019:U6"/>
    <s v="T1019:U6"/>
    <x v="1"/>
    <s v="CDPAP"/>
    <s v="MC Medicaid CDPAP"/>
    <m/>
    <n v="10"/>
    <n v="804"/>
    <n v="3629.5"/>
    <n v="10"/>
    <n v="804"/>
    <n v="3629.5"/>
    <s v=""/>
    <x v="0"/>
  </r>
  <r>
    <n v="246"/>
    <s v="Cattaraugus"/>
    <s v="Nascentia Health Options CDPAP"/>
    <s v="MLTC"/>
    <s v="CDPAP"/>
    <s v="PA Hourly"/>
    <s v="T1019:U6"/>
    <x v="1"/>
    <s v="CDPAP"/>
    <s v="MC Medicaid CDPAP"/>
    <m/>
    <n v="6"/>
    <n v="1160"/>
    <n v="5803.5"/>
    <n v="6"/>
    <n v="1160"/>
    <n v="5803.5"/>
    <s v=""/>
    <x v="0"/>
  </r>
  <r>
    <n v="249"/>
    <s v="Cayuga"/>
    <s v="Fidelis Care (CDP)"/>
    <s v="LHCSA"/>
    <s v="CDPAP"/>
    <s v="T1019:U6"/>
    <s v="T1019:U6"/>
    <x v="1"/>
    <s v="CDPAP"/>
    <s v="MC Medicaid CDPAP"/>
    <m/>
    <n v="7"/>
    <n v="1079"/>
    <n v="5755"/>
    <n v="7"/>
    <n v="1079"/>
    <n v="5755"/>
    <s v=""/>
    <x v="0"/>
  </r>
  <r>
    <n v="252"/>
    <s v="Cayuga"/>
    <s v="Nascentia Health Options CDPAP"/>
    <s v="MLTC"/>
    <s v="CDPAP"/>
    <s v="PA Hourly"/>
    <s v="T1019:U6"/>
    <x v="1"/>
    <s v="CDPAP"/>
    <s v="MC Medicaid CDPAP"/>
    <m/>
    <n v="3"/>
    <n v="504"/>
    <n v="3102"/>
    <n v="3"/>
    <n v="504"/>
    <n v="3102"/>
    <s v=""/>
    <x v="0"/>
  </r>
  <r>
    <n v="254"/>
    <s v="Chautauqua"/>
    <s v="Fidelis Care (CDP)"/>
    <s v="LHCSA"/>
    <s v="CDPAP"/>
    <s v="T1019:U6"/>
    <s v="T1019:U6"/>
    <x v="1"/>
    <s v="CDPAP"/>
    <s v="MC Medicaid CDPAP"/>
    <m/>
    <n v="23"/>
    <n v="3280"/>
    <n v="12913.75"/>
    <n v="23"/>
    <n v="3280"/>
    <n v="12913.75"/>
    <s v=""/>
    <x v="0"/>
  </r>
  <r>
    <n v="256"/>
    <s v="Chautauqua"/>
    <s v="Nascentia Health Options CDPAP"/>
    <s v="MLTC"/>
    <s v="CDPAP"/>
    <s v="PA Hourly"/>
    <s v="T1019:U6"/>
    <x v="1"/>
    <s v="CDPAP"/>
    <s v="MC Medicaid CDPAP"/>
    <m/>
    <n v="11"/>
    <n v="910"/>
    <n v="4498"/>
    <n v="11"/>
    <n v="910"/>
    <n v="4498"/>
    <s v=""/>
    <x v="0"/>
  </r>
  <r>
    <n v="257"/>
    <s v="Chautauqua"/>
    <s v="Nascentia Health Options CDPAP"/>
    <s v="MLTC"/>
    <s v="CDPAP"/>
    <s v="PA Hourly - Mutual"/>
    <s v="T1019:U7"/>
    <x v="10"/>
    <s v="CDPAP"/>
    <s v="MC Medicaid CDPAP"/>
    <m/>
    <n v="2"/>
    <n v="425"/>
    <n v="1430.25"/>
    <n v="2"/>
    <n v="425"/>
    <n v="1430.25"/>
    <s v=""/>
    <x v="0"/>
  </r>
  <r>
    <n v="260"/>
    <s v="Chemung"/>
    <s v="Fidelis Care (CDP)"/>
    <s v="LHCSA"/>
    <s v="CDPAP"/>
    <s v="T1019:U6"/>
    <s v="T1019:U6"/>
    <x v="1"/>
    <s v="CDPAP"/>
    <s v="MC Medicaid CDPAP"/>
    <m/>
    <n v="13"/>
    <n v="1927"/>
    <n v="10513.25"/>
    <n v="13"/>
    <n v="1927"/>
    <n v="10513.25"/>
    <s v=""/>
    <x v="0"/>
  </r>
  <r>
    <n v="262"/>
    <s v="Chemung"/>
    <s v="Nascentia Health Options CDPAP"/>
    <s v="MLTC"/>
    <s v="CDPAP"/>
    <s v="PA Hourly"/>
    <s v="T1019:U6"/>
    <x v="1"/>
    <s v="CDPAP"/>
    <s v="MC Medicaid CDPAP"/>
    <m/>
    <n v="11"/>
    <n v="1633"/>
    <n v="7196.25"/>
    <n v="11"/>
    <n v="1633"/>
    <n v="7196.25"/>
    <s v=""/>
    <x v="0"/>
  </r>
  <r>
    <n v="265"/>
    <s v="Chenango"/>
    <s v="Fidelis Care (CDP)"/>
    <s v="LHCSA"/>
    <s v="CDPAP"/>
    <s v="T1019:U6"/>
    <s v="T1019:U6"/>
    <x v="1"/>
    <s v="CDPAP"/>
    <s v="MC Medicaid CDPAP"/>
    <m/>
    <n v="11"/>
    <n v="900"/>
    <n v="5514.75"/>
    <n v="11"/>
    <n v="900"/>
    <n v="5514.75"/>
    <s v=""/>
    <x v="0"/>
  </r>
  <r>
    <n v="267"/>
    <s v="Chenango"/>
    <s v="Nascentia Health Options CDPAP"/>
    <s v="MLTC"/>
    <s v="CDPAP"/>
    <s v="PA Hourly"/>
    <s v="T1019:U6"/>
    <x v="1"/>
    <s v="CDPAP"/>
    <s v="MC Medicaid CDPAP"/>
    <m/>
    <n v="6"/>
    <n v="771"/>
    <n v="3591.25"/>
    <n v="6"/>
    <n v="771"/>
    <n v="3591.25"/>
    <s v=""/>
    <x v="0"/>
  </r>
  <r>
    <n v="269"/>
    <s v="Clinton"/>
    <s v="Fidelis Care (CDP)"/>
    <s v="LHCSA"/>
    <s v="CDPAP"/>
    <s v="T1019:U6"/>
    <s v="T1019:U6"/>
    <x v="1"/>
    <s v="CDPAP"/>
    <s v="MC Medicaid CDPAP"/>
    <m/>
    <n v="1"/>
    <n v="84"/>
    <n v="353"/>
    <n v="1"/>
    <n v="84"/>
    <n v="353"/>
    <s v=""/>
    <x v="0"/>
  </r>
  <r>
    <n v="271"/>
    <s v="Clinton"/>
    <s v="Fidelis Care (CDP)"/>
    <s v="LHCSA"/>
    <s v="CDPAP"/>
    <s v="T1019:U6"/>
    <s v="T1019:U6"/>
    <x v="1"/>
    <s v="CDPAP"/>
    <s v="MC Medicaid CDPAP"/>
    <m/>
    <n v="4"/>
    <n v="268"/>
    <n v="1347.75"/>
    <n v="4"/>
    <n v="268"/>
    <n v="1347.75"/>
    <s v=""/>
    <x v="0"/>
  </r>
  <r>
    <n v="274"/>
    <s v="Clinton"/>
    <s v="Nascentia Health Options CDPAP"/>
    <s v="MLTC"/>
    <s v="CDPAP"/>
    <s v="PA Hourly"/>
    <s v="T1019:U6"/>
    <x v="1"/>
    <s v="CDPAP"/>
    <s v="MC Medicaid CDPAP"/>
    <m/>
    <n v="6"/>
    <n v="1347"/>
    <n v="5884.5"/>
    <n v="6"/>
    <n v="1347"/>
    <n v="5884.5"/>
    <s v=""/>
    <x v="0"/>
  </r>
  <r>
    <n v="275"/>
    <s v="Columbia"/>
    <s v="VNS Health Health Plans (ANT)"/>
    <s v="MLTC"/>
    <s v="MLTC"/>
    <s v="RN Initial (NB)"/>
    <m/>
    <x v="3"/>
    <s v="HHA"/>
    <s v="MC Medicaid HHA"/>
    <m/>
    <n v="1"/>
    <n v="1"/>
    <n v="1"/>
    <n v="1"/>
    <n v="1"/>
    <n v="1"/>
    <s v="Nursing override"/>
    <x v="0"/>
  </r>
  <r>
    <n v="276"/>
    <s v="Columbia"/>
    <s v="VNS Health Health Plans (ANT)"/>
    <s v="MLTC"/>
    <s v="MLTC"/>
    <s v="RN Reassessment (NB)"/>
    <m/>
    <x v="3"/>
    <s v="HHA"/>
    <s v="MC Medicaid HHA"/>
    <m/>
    <n v="1"/>
    <n v="1"/>
    <n v="1"/>
    <n v="1"/>
    <n v="1"/>
    <n v="1"/>
    <s v="Nursing override"/>
    <x v="0"/>
  </r>
  <r>
    <n v="277"/>
    <s v="Columbia"/>
    <s v="VNS Health Health Plans (ANT)"/>
    <s v="MLTC"/>
    <s v="MLTC"/>
    <s v="T1019U1 ALB"/>
    <s v="T1019:U1"/>
    <x v="2"/>
    <s v="HHA"/>
    <s v="MC Medicaid HHA"/>
    <m/>
    <n v="1"/>
    <n v="145"/>
    <n v="613.25"/>
    <n v="1"/>
    <n v="145"/>
    <n v="613.25"/>
    <s v=""/>
    <x v="0"/>
  </r>
  <r>
    <n v="280"/>
    <s v="Columbia"/>
    <s v="VNS Health Health Plans (CDP)"/>
    <s v="MLTC"/>
    <s v="CDPAP"/>
    <s v="T1019U6 COL"/>
    <s v="T1019:U6"/>
    <x v="1"/>
    <s v="CDPAP"/>
    <s v="MC Medicaid CDPAP"/>
    <m/>
    <n v="5"/>
    <n v="624"/>
    <n v="1958.75"/>
    <n v="5"/>
    <n v="624"/>
    <n v="1958.75"/>
    <s v=""/>
    <x v="0"/>
  </r>
  <r>
    <n v="282"/>
    <s v="Cortland"/>
    <s v="Fidelis Care (CDP)"/>
    <s v="LHCSA"/>
    <s v="CDPAP"/>
    <s v="T1019:U6"/>
    <s v="T1019:U6"/>
    <x v="1"/>
    <s v="CDPAP"/>
    <s v="MC Medicaid CDPAP"/>
    <m/>
    <n v="5"/>
    <n v="510"/>
    <n v="2569.75"/>
    <n v="5"/>
    <n v="510"/>
    <n v="2569.75"/>
    <s v=""/>
    <x v="0"/>
  </r>
  <r>
    <n v="285"/>
    <s v="Cortland"/>
    <s v="Nascentia Health Options CDPAP"/>
    <s v="MLTC"/>
    <s v="CDPAP"/>
    <s v="PA Hourly"/>
    <s v="T1019:U6"/>
    <x v="1"/>
    <s v="CDPAP"/>
    <s v="MC Medicaid CDPAP"/>
    <m/>
    <n v="3"/>
    <n v="317"/>
    <n v="1835.25"/>
    <n v="3"/>
    <n v="317"/>
    <n v="1835.25"/>
    <s v=""/>
    <x v="0"/>
  </r>
  <r>
    <n v="287"/>
    <s v="Delaware"/>
    <s v="Fidelis Care (CDP)"/>
    <s v="LHCSA"/>
    <s v="CDPAP"/>
    <s v="T1019:U6"/>
    <s v="T1019:U6"/>
    <x v="1"/>
    <s v="CDPAP"/>
    <s v="MC Medicaid CDPAP"/>
    <m/>
    <n v="3"/>
    <n v="326"/>
    <n v="1932.25"/>
    <n v="3"/>
    <n v="326"/>
    <n v="1932.25"/>
    <s v=""/>
    <x v="0"/>
  </r>
  <r>
    <n v="289"/>
    <s v="Delaware"/>
    <s v="Nascentia Health Options CDPAP"/>
    <s v="MLTC"/>
    <s v="CDPAP"/>
    <s v="PA Hourly"/>
    <s v="T1019:U6"/>
    <x v="1"/>
    <s v="CDPAP"/>
    <s v="MC Medicaid CDPAP"/>
    <m/>
    <n v="2"/>
    <n v="87"/>
    <n v="292.75"/>
    <n v="2"/>
    <n v="87"/>
    <n v="292.75"/>
    <s v=""/>
    <x v="0"/>
  </r>
  <r>
    <n v="291"/>
    <s v="Delaware"/>
    <s v="VNS Health Health Plans (CDP)"/>
    <s v="MLTC"/>
    <s v="CDPAP"/>
    <s v="T1019U6 DEL"/>
    <s v="T1019:U6"/>
    <x v="1"/>
    <s v="CDPAP"/>
    <s v="MC Medicaid CDPAP"/>
    <m/>
    <n v="4"/>
    <n v="392"/>
    <n v="1919"/>
    <n v="4"/>
    <n v="392"/>
    <n v="1919"/>
    <s v=""/>
    <x v="0"/>
  </r>
  <r>
    <n v="294"/>
    <s v="Dutchess"/>
    <s v="Elderplan MJHS (CDP)"/>
    <s v="MLTC"/>
    <s v="CDPAP"/>
    <s v="T1019:U6"/>
    <s v="T1019:U6"/>
    <x v="1"/>
    <s v="CDPAP"/>
    <s v="MC Medicaid CDPAP"/>
    <m/>
    <n v="3"/>
    <n v="819"/>
    <n v="4285.5"/>
    <n v="3"/>
    <n v="819"/>
    <n v="4285.5"/>
    <s v=""/>
    <x v="0"/>
  </r>
  <r>
    <n v="297"/>
    <s v="Dutchess"/>
    <s v="Fidelis Care (CDP)"/>
    <s v="LHCSA"/>
    <s v="CDPAP"/>
    <s v="T1019:U6"/>
    <s v="T1019:U6"/>
    <x v="1"/>
    <s v="CDPAP"/>
    <s v="MC Medicaid CDPAP"/>
    <m/>
    <n v="8"/>
    <n v="1076"/>
    <n v="5770.5"/>
    <n v="8"/>
    <n v="1076"/>
    <n v="5770.5"/>
    <s v=""/>
    <x v="0"/>
  </r>
  <r>
    <n v="299"/>
    <s v="Dutchess"/>
    <s v="Hamaspik Choice (MLTC) CDPAP"/>
    <s v="MCO"/>
    <s v="CDPAP"/>
    <s v="PA Hourly Upstate"/>
    <s v="T1019:U6"/>
    <x v="1"/>
    <s v="CDPAP"/>
    <s v="MC Medicaid CDPAP"/>
    <m/>
    <n v="2"/>
    <n v="535"/>
    <n v="2621.75"/>
    <n v="2"/>
    <n v="535"/>
    <n v="2621.75"/>
    <s v=""/>
    <x v="0"/>
  </r>
  <r>
    <n v="303"/>
    <s v="Dutchess"/>
    <s v="VNS Health Health Plans (CDP)"/>
    <s v="MLTC"/>
    <s v="CDPAP"/>
    <s v="T1019U6 DUT"/>
    <s v="T1019:U6"/>
    <x v="1"/>
    <s v="CDPAP"/>
    <s v="MC Medicaid CDPAP"/>
    <m/>
    <n v="18"/>
    <n v="3908"/>
    <n v="19829.5"/>
    <n v="18"/>
    <n v="3908"/>
    <n v="19829.5"/>
    <s v=""/>
    <x v="0"/>
  </r>
  <r>
    <n v="304"/>
    <s v="Dutchess"/>
    <s v="VNS Health Health Plans (CDP)"/>
    <s v="MLTC"/>
    <s v="CDPAP"/>
    <s v="T1019U6 SCH"/>
    <s v="T1019:U6"/>
    <x v="1"/>
    <s v="CDPAP"/>
    <s v="MC Medicaid CDPAP"/>
    <m/>
    <n v="1"/>
    <n v="60"/>
    <n v="335.75"/>
    <n v="1"/>
    <n v="60"/>
    <n v="335.75"/>
    <s v=""/>
    <x v="0"/>
  </r>
  <r>
    <n v="307"/>
    <s v="Erie"/>
    <s v="Centers Plan For Healthy Living CDPAP "/>
    <s v="MLTC"/>
    <s v="CDPAP"/>
    <s v="PA Hourly - 5 Boroughs"/>
    <s v="T1019:U6"/>
    <x v="1"/>
    <s v="CDPAP"/>
    <s v="MC Medicaid CDPAP"/>
    <m/>
    <n v="3"/>
    <n v="338"/>
    <n v="1260.5"/>
    <n v="3"/>
    <n v="338"/>
    <n v="1260.5"/>
    <s v=""/>
    <x v="0"/>
  </r>
  <r>
    <n v="308"/>
    <s v="Erie"/>
    <s v="Centers Plan For Healthy Living CDPAP "/>
    <s v="MLTC"/>
    <s v="CDPAP"/>
    <s v="PA Hourly - Erie/Niagara"/>
    <s v="T1019:U6"/>
    <x v="1"/>
    <s v="CDPAP"/>
    <s v="MC Medicaid CDPAP"/>
    <m/>
    <n v="37"/>
    <n v="6981"/>
    <n v="27761"/>
    <n v="37"/>
    <n v="6981"/>
    <n v="27761"/>
    <s v=""/>
    <x v="0"/>
  </r>
  <r>
    <n v="309"/>
    <s v="Erie"/>
    <s v="Centers Plan For Healthy Living CDPAP "/>
    <s v="MLTC"/>
    <s v="CDPAP"/>
    <s v="PA Hourly - Nassau/Suffolk/Westchester:"/>
    <s v="T1019:U6"/>
    <x v="1"/>
    <s v="CDPAP"/>
    <s v="MC Medicaid CDPAP"/>
    <m/>
    <n v="3"/>
    <n v="446"/>
    <n v="1189.75"/>
    <n v="3"/>
    <n v="446"/>
    <n v="1189.75"/>
    <s v=""/>
    <x v="0"/>
  </r>
  <r>
    <n v="310"/>
    <s v="Erie"/>
    <s v="Centers Plan For Healthy Living CDPAP "/>
    <s v="MLTC"/>
    <s v="CDPAP"/>
    <s v="PA Hourly - Rockland"/>
    <s v="T1019:U6"/>
    <x v="1"/>
    <s v="CDPAP"/>
    <s v="MC Medicaid CDPAP"/>
    <m/>
    <n v="1"/>
    <n v="361"/>
    <n v="1623"/>
    <n v="1"/>
    <n v="361"/>
    <n v="1623"/>
    <s v=""/>
    <x v="0"/>
  </r>
  <r>
    <n v="311"/>
    <s v="Erie"/>
    <s v="Elderwood Health Plan"/>
    <s v="MCO"/>
    <s v="CDPAP"/>
    <s v="PA Hourly"/>
    <s v="T1019:U6"/>
    <x v="1"/>
    <s v="CDPAP"/>
    <s v="MC Medicaid CDPAP"/>
    <m/>
    <n v="3"/>
    <n v="136"/>
    <n v="888"/>
    <n v="3"/>
    <n v="136"/>
    <n v="888"/>
    <s v=""/>
    <x v="0"/>
  </r>
  <r>
    <n v="315"/>
    <s v="Erie"/>
    <s v="Fidelis Care (CDP)"/>
    <s v="LHCSA"/>
    <s v="CDPAP"/>
    <s v="T1019:U6"/>
    <s v="T1019:U6"/>
    <x v="1"/>
    <s v="CDPAP"/>
    <s v="MC Medicaid CDPAP"/>
    <m/>
    <n v="42"/>
    <n v="4930"/>
    <n v="26436.5"/>
    <n v="42"/>
    <n v="4930"/>
    <n v="26436.5"/>
    <s v=""/>
    <x v="0"/>
  </r>
  <r>
    <n v="317"/>
    <s v="Erie"/>
    <s v="Nascentia Health Options CDPAP"/>
    <s v="MLTC"/>
    <s v="CDPAP"/>
    <s v="PA Hourly"/>
    <s v="T1019:U6"/>
    <x v="1"/>
    <s v="CDPAP"/>
    <s v="MC Medicaid CDPAP"/>
    <m/>
    <n v="5"/>
    <n v="473"/>
    <n v="2637"/>
    <n v="5"/>
    <n v="473"/>
    <n v="2637"/>
    <s v=""/>
    <x v="0"/>
  </r>
  <r>
    <n v="320"/>
    <s v="Erie"/>
    <s v="VNS Health Health Plans (CDP)"/>
    <s v="MLTC"/>
    <s v="CDPAP"/>
    <s v="T1019U6 EDD"/>
    <s v="T1019:U6"/>
    <x v="1"/>
    <s v="CDPAP"/>
    <s v="MC Medicaid CDPAP"/>
    <m/>
    <n v="51"/>
    <n v="7756"/>
    <n v="35944.25"/>
    <n v="51"/>
    <n v="7756"/>
    <n v="35944.25"/>
    <s v=""/>
    <x v="0"/>
  </r>
  <r>
    <n v="321"/>
    <s v="Erie"/>
    <s v="VNS Health Health Plans (CDP)"/>
    <s v="MLTC"/>
    <s v="CDPAP"/>
    <s v="T1019U7 EDD"/>
    <s v="T1019:U7"/>
    <x v="10"/>
    <s v="CDPAP"/>
    <s v="MC Medicaid CDPAP"/>
    <m/>
    <n v="4"/>
    <n v="903"/>
    <n v="4606"/>
    <n v="4"/>
    <n v="903"/>
    <n v="4606"/>
    <s v=""/>
    <x v="0"/>
  </r>
  <r>
    <n v="323"/>
    <s v="Essex"/>
    <s v="Fidelis Care (CDP)"/>
    <s v="LHCSA"/>
    <s v="CDPAP"/>
    <s v="T1019:U6"/>
    <s v="T1019:U6"/>
    <x v="1"/>
    <s v="CDPAP"/>
    <s v="MC Medicaid CDPAP"/>
    <m/>
    <n v="2"/>
    <n v="212"/>
    <n v="787"/>
    <n v="2"/>
    <n v="212"/>
    <n v="787"/>
    <s v=""/>
    <x v="0"/>
  </r>
  <r>
    <n v="325"/>
    <s v="Franklin"/>
    <s v="Fidelis Care (CDP)"/>
    <s v="LHCSA"/>
    <s v="CDPAP"/>
    <s v="T1019:U6"/>
    <s v="T1019:U6"/>
    <x v="1"/>
    <s v="CDPAP"/>
    <s v="MC Medicaid CDPAP"/>
    <m/>
    <n v="3"/>
    <n v="393"/>
    <n v="1429.5"/>
    <n v="3"/>
    <n v="393"/>
    <n v="1429.5"/>
    <s v=""/>
    <x v="0"/>
  </r>
  <r>
    <n v="327"/>
    <s v="Franklin"/>
    <s v="Nascentia Health Options CDPAP"/>
    <s v="MLTC"/>
    <s v="CDPAP"/>
    <s v="PA Hourly"/>
    <s v="T1019:U6"/>
    <x v="1"/>
    <s v="CDPAP"/>
    <s v="MC Medicaid CDPAP"/>
    <m/>
    <n v="3"/>
    <n v="286"/>
    <n v="1884.5"/>
    <n v="3"/>
    <n v="286"/>
    <n v="1884.5"/>
    <s v=""/>
    <x v="0"/>
  </r>
  <r>
    <n v="328"/>
    <s v="Franklin"/>
    <s v="VNS Health Health Plans (CDP)"/>
    <s v="MLTC"/>
    <s v="CDPAP"/>
    <s v="T1019U6 NAS"/>
    <s v="T1019:U6"/>
    <x v="1"/>
    <s v="CDPAP"/>
    <s v="MC Medicaid CDPAP"/>
    <m/>
    <n v="1"/>
    <n v="51"/>
    <n v="327.75"/>
    <n v="1"/>
    <n v="51"/>
    <n v="327.75"/>
    <s v=""/>
    <x v="0"/>
  </r>
  <r>
    <n v="331"/>
    <s v="Fulton"/>
    <s v="Fidelis Care (CDP)"/>
    <s v="LHCSA"/>
    <s v="CDPAP"/>
    <s v="T1019:U6"/>
    <s v="T1019:U6"/>
    <x v="1"/>
    <s v="CDPAP"/>
    <s v="MC Medicaid CDPAP"/>
    <m/>
    <n v="19"/>
    <n v="2574"/>
    <n v="9744.75"/>
    <n v="18"/>
    <n v="2567"/>
    <n v="9729.25"/>
    <s v=""/>
    <x v="0"/>
  </r>
  <r>
    <n v="334"/>
    <s v="Fulton"/>
    <s v="VNS Health Health Plans (CDP)"/>
    <s v="MLTC"/>
    <s v="CDPAP"/>
    <s v="T1019U6 FUL"/>
    <s v="T1019:U6"/>
    <x v="1"/>
    <s v="CDPAP"/>
    <s v="MC Medicaid CDPAP"/>
    <m/>
    <n v="7"/>
    <n v="1391"/>
    <n v="6478.75"/>
    <n v="7"/>
    <n v="1391"/>
    <n v="6478.75"/>
    <s v=""/>
    <x v="0"/>
  </r>
  <r>
    <n v="336"/>
    <s v="Genesee"/>
    <s v="Fidelis Care (CDP)"/>
    <s v="LHCSA"/>
    <s v="CDPAP"/>
    <s v="T1019:U6"/>
    <s v="T1019:U6"/>
    <x v="1"/>
    <s v="CDPAP"/>
    <s v="MC Medicaid CDPAP"/>
    <m/>
    <n v="4"/>
    <n v="438"/>
    <n v="2526"/>
    <n v="4"/>
    <n v="438"/>
    <n v="2526"/>
    <s v=""/>
    <x v="0"/>
  </r>
  <r>
    <n v="338"/>
    <s v="Genesee"/>
    <s v="Nascentia Health Options CDPAP"/>
    <s v="MLTC"/>
    <s v="CDPAP"/>
    <s v="PA Hourly"/>
    <s v="T1019:U6"/>
    <x v="1"/>
    <s v="CDPAP"/>
    <s v="MC Medicaid CDPAP"/>
    <m/>
    <n v="5"/>
    <n v="1022"/>
    <n v="3807.25"/>
    <n v="5"/>
    <n v="1022"/>
    <n v="3807.25"/>
    <s v=""/>
    <x v="0"/>
  </r>
  <r>
    <n v="340"/>
    <s v="Genesee"/>
    <s v="VNS Health Health Plans (CDP)"/>
    <s v="MLTC"/>
    <s v="CDPAP"/>
    <s v="T1019U6 GEN"/>
    <s v="T1019:U6"/>
    <x v="1"/>
    <s v="CDPAP"/>
    <s v="MC Medicaid CDPAP"/>
    <m/>
    <n v="2"/>
    <n v="44"/>
    <n v="342"/>
    <n v="2"/>
    <n v="44"/>
    <n v="342"/>
    <s v=""/>
    <x v="0"/>
  </r>
  <r>
    <n v="341"/>
    <s v="Genesee"/>
    <s v="VNSNY CHOICE CDPAP"/>
    <s v="MLTC"/>
    <s v="CDPAP"/>
    <s v="PA Hourly"/>
    <s v="T1019:U6"/>
    <x v="1"/>
    <s v="CDPAP"/>
    <s v="MC Medicaid CDPAP"/>
    <m/>
    <n v="1"/>
    <n v="17"/>
    <n v="49"/>
    <n v="1"/>
    <n v="17"/>
    <n v="49"/>
    <s v=""/>
    <x v="0"/>
  </r>
  <r>
    <n v="343"/>
    <s v="Greene"/>
    <s v="Fidelis Care (CDP)"/>
    <s v="LHCSA"/>
    <s v="CDPAP"/>
    <s v="T1019:U6"/>
    <s v="T1019:U6"/>
    <x v="1"/>
    <s v="CDPAP"/>
    <s v="MC Medicaid CDPAP"/>
    <m/>
    <n v="5"/>
    <n v="398"/>
    <n v="1205"/>
    <n v="5"/>
    <n v="398"/>
    <n v="1205"/>
    <s v=""/>
    <x v="0"/>
  </r>
  <r>
    <n v="346"/>
    <s v="Greene"/>
    <s v="Nascentia Health Options CDPAP"/>
    <s v="MLTC"/>
    <s v="CDPAP"/>
    <s v="PA Hourly"/>
    <s v="T1019:U6"/>
    <x v="1"/>
    <s v="CDPAP"/>
    <s v="MC Medicaid CDPAP"/>
    <m/>
    <n v="1"/>
    <n v="169"/>
    <n v="1136.5"/>
    <n v="1"/>
    <n v="169"/>
    <n v="1136.5"/>
    <s v=""/>
    <x v="0"/>
  </r>
  <r>
    <n v="348"/>
    <s v="Greene"/>
    <s v="VNS Health Health Plans (CDP)"/>
    <s v="MLTC"/>
    <s v="CDPAP"/>
    <s v="T1019U6 GRE"/>
    <s v="T1019:U6"/>
    <x v="1"/>
    <s v="CDPAP"/>
    <s v="MC Medicaid CDPAP"/>
    <m/>
    <n v="5"/>
    <n v="1104"/>
    <n v="4790.25"/>
    <n v="5"/>
    <n v="1104"/>
    <n v="4790.25"/>
    <s v=""/>
    <x v="0"/>
  </r>
  <r>
    <n v="350"/>
    <s v="Hamilton"/>
    <s v="Nascentia Health Options CDPAP"/>
    <s v="MLTC"/>
    <s v="CDPAP"/>
    <s v="PA Hourly"/>
    <s v="T1019:U6"/>
    <x v="1"/>
    <s v="CDPAP"/>
    <s v="MC Medicaid CDPAP"/>
    <m/>
    <n v="1"/>
    <n v="66"/>
    <n v="419.5"/>
    <n v="1"/>
    <n v="66"/>
    <n v="419.5"/>
    <s v=""/>
    <x v="0"/>
  </r>
  <r>
    <n v="352"/>
    <s v="Herkimer"/>
    <s v="Fidelis Care (CDP)"/>
    <s v="LHCSA"/>
    <s v="CDPAP"/>
    <s v="T1019:U6"/>
    <s v="T1019:U6"/>
    <x v="1"/>
    <s v="CDPAP"/>
    <s v="MC Medicaid CDPAP"/>
    <m/>
    <n v="7"/>
    <n v="565"/>
    <n v="2795.25"/>
    <n v="7"/>
    <n v="565"/>
    <n v="2795.25"/>
    <s v=""/>
    <x v="0"/>
  </r>
  <r>
    <n v="354"/>
    <s v="Herkimer"/>
    <s v="Nascentia Health Options CDPAP"/>
    <s v="MLTC"/>
    <s v="CDPAP"/>
    <s v="PA Hourly"/>
    <s v="T1019:U6"/>
    <x v="1"/>
    <s v="CDPAP"/>
    <s v="MC Medicaid CDPAP"/>
    <m/>
    <n v="2"/>
    <n v="322"/>
    <n v="1505.75"/>
    <n v="2"/>
    <n v="322"/>
    <n v="1505.75"/>
    <s v=""/>
    <x v="0"/>
  </r>
  <r>
    <n v="357"/>
    <s v="Herkimer"/>
    <s v="VNS Health Health Plans (CDP)"/>
    <s v="MLTC"/>
    <s v="CDPAP"/>
    <s v="T1019U6 HER"/>
    <s v="T1019:U6"/>
    <x v="1"/>
    <s v="CDPAP"/>
    <s v="MC Medicaid CDPAP"/>
    <m/>
    <n v="4"/>
    <n v="172"/>
    <n v="603.75"/>
    <n v="4"/>
    <n v="172"/>
    <n v="603.75"/>
    <s v=""/>
    <x v="0"/>
  </r>
  <r>
    <n v="358"/>
    <s v="Herkimer"/>
    <s v="VNS Health Health Plans (CDP)"/>
    <s v="MLTC"/>
    <s v="CDPAP"/>
    <s v="T1019U6 ONE"/>
    <s v="T1019:U6"/>
    <x v="1"/>
    <s v="CDPAP"/>
    <s v="MC Medicaid CDPAP"/>
    <m/>
    <n v="1"/>
    <n v="212"/>
    <n v="1559"/>
    <n v="1"/>
    <n v="212"/>
    <n v="1559"/>
    <s v=""/>
    <x v="0"/>
  </r>
  <r>
    <n v="363"/>
    <s v="Jefferson"/>
    <s v="Fidelis Care (CDP)"/>
    <s v="LHCSA"/>
    <s v="CDPAP"/>
    <s v="T1019:U6"/>
    <s v="T1019:U6"/>
    <x v="1"/>
    <s v="CDPAP"/>
    <s v="MC Medicaid CDPAP"/>
    <m/>
    <n v="14"/>
    <n v="2135"/>
    <n v="11503.5"/>
    <n v="14"/>
    <n v="2135"/>
    <n v="11503.5"/>
    <s v=""/>
    <x v="0"/>
  </r>
  <r>
    <n v="364"/>
    <s v="Jefferson"/>
    <s v="Fidelis Care (CDP)"/>
    <s v="LHCSA"/>
    <s v="CDPAP"/>
    <s v="T1020:U6"/>
    <s v="T1020:U6"/>
    <x v="9"/>
    <s v="CDPAP"/>
    <s v="MC Medicaid CDPAP"/>
    <m/>
    <n v="1"/>
    <n v="48"/>
    <n v="624"/>
    <n v="1"/>
    <n v="48"/>
    <n v="624"/>
    <s v=""/>
    <x v="0"/>
  </r>
  <r>
    <n v="369"/>
    <s v="Jefferson"/>
    <s v="Nascentia Health Options CDPAP"/>
    <s v="MLTC"/>
    <s v="CDPAP"/>
    <s v="PA Hourly"/>
    <s v="T1019:U6"/>
    <x v="1"/>
    <s v="CDPAP"/>
    <s v="MC Medicaid CDPAP"/>
    <m/>
    <n v="16"/>
    <n v="2203"/>
    <n v="13388.25"/>
    <n v="16"/>
    <n v="2203"/>
    <n v="13388.25"/>
    <s v=""/>
    <x v="0"/>
  </r>
  <r>
    <n v="370"/>
    <s v="Kings"/>
    <s v="Americare"/>
    <s v="CHHA"/>
    <s v="CHHA"/>
    <s v="HHA1"/>
    <s v="S9122"/>
    <x v="0"/>
    <s v="HHA"/>
    <s v="Other"/>
    <s v="CHHA"/>
    <n v="27"/>
    <n v="656"/>
    <n v="2552.25"/>
    <n v="18"/>
    <n v="484"/>
    <n v="1919.75"/>
    <s v=""/>
    <x v="0"/>
  </r>
  <r>
    <n v="371"/>
    <s v="Kings"/>
    <s v="Americare"/>
    <s v="CHHA"/>
    <s v="CHHA"/>
    <s v="HHAPEDSV"/>
    <s v="S9122"/>
    <x v="0"/>
    <s v="HHA"/>
    <s v="Other"/>
    <s v="CHHA"/>
    <n v="243"/>
    <n v="34402"/>
    <n v="226951.25"/>
    <n v="232"/>
    <n v="33352"/>
    <n v="219182.25"/>
    <s v=""/>
    <x v="0"/>
  </r>
  <r>
    <n v="372"/>
    <s v="Kings"/>
    <s v="Amerigroup (Empire) PCA"/>
    <s v="MCO"/>
    <s v="Medicaid"/>
    <s v="PCA HOURLY"/>
    <s v="T1019:U1"/>
    <x v="2"/>
    <s v="HHA"/>
    <s v="MC Medicaid HHA"/>
    <m/>
    <n v="2"/>
    <n v="182"/>
    <n v="723.75"/>
    <n v="2"/>
    <n v="182"/>
    <n v="723.75"/>
    <s v=""/>
    <x v="0"/>
  </r>
  <r>
    <n v="373"/>
    <s v="Kings"/>
    <s v="Amerigroup (Empire) PCA"/>
    <s v="MCO"/>
    <s v="Medicaid"/>
    <s v="RN Initial-NB"/>
    <s v="T1019"/>
    <x v="3"/>
    <s v="HHA"/>
    <s v="MC Medicaid HHA"/>
    <m/>
    <n v="1"/>
    <n v="1"/>
    <n v="1"/>
    <n v="1"/>
    <n v="1"/>
    <n v="1"/>
    <s v="Nursing override"/>
    <x v="0"/>
  </r>
  <r>
    <n v="374"/>
    <s v="Kings"/>
    <s v="Amerigroup (Empire) PCA"/>
    <s v="MCO"/>
    <s v="Medicaid"/>
    <s v="RN Reassessment-NB"/>
    <s v="T1019"/>
    <x v="3"/>
    <s v="HHA"/>
    <s v="MC Medicaid HHA"/>
    <m/>
    <n v="1"/>
    <n v="1"/>
    <n v="1"/>
    <n v="1"/>
    <n v="1"/>
    <n v="1"/>
    <s v="Nursing override"/>
    <x v="0"/>
  </r>
  <r>
    <n v="375"/>
    <s v="Kings"/>
    <s v="Anchor select"/>
    <s v="Other"/>
    <s v="Private"/>
    <s v="Non billable"/>
    <m/>
    <x v="5"/>
    <s v="HHA"/>
    <s v="Private Pay"/>
    <m/>
    <n v="1"/>
    <n v="396"/>
    <n v="4709.25"/>
    <n v="1"/>
    <n v="396"/>
    <n v="4709.25"/>
    <s v=""/>
    <x v="0"/>
  </r>
  <r>
    <n v="376"/>
    <s v="Kings"/>
    <s v="Archcare Community Life CDPAP"/>
    <s v="MCO"/>
    <s v="CDPAP"/>
    <s v="PA Hourly"/>
    <s v="T1019:U6"/>
    <x v="1"/>
    <s v="CDPAP"/>
    <s v="MC Medicaid CDPAP"/>
    <m/>
    <n v="15"/>
    <n v="1629"/>
    <n v="8563.5"/>
    <n v="13"/>
    <n v="1509"/>
    <n v="7666.5"/>
    <s v=""/>
    <x v="0"/>
  </r>
  <r>
    <n v="377"/>
    <s v="Kings"/>
    <s v="Archcare Community Life PCA"/>
    <s v="MCO"/>
    <s v="MLTC"/>
    <s v="LPN (T1003)"/>
    <s v="T1003"/>
    <x v="4"/>
    <s v="HHA"/>
    <s v="Other"/>
    <m/>
    <n v="1"/>
    <n v="79"/>
    <n v="934.75"/>
    <n v="1"/>
    <n v="79"/>
    <n v="934.75"/>
    <s v=""/>
    <x v="1"/>
  </r>
  <r>
    <n v="378"/>
    <s v="Kings"/>
    <s v="Archcare Community Life PCA"/>
    <s v="MCO"/>
    <s v="MLTC"/>
    <s v="PCA - Live In"/>
    <s v="T1020"/>
    <x v="8"/>
    <s v="HHA"/>
    <s v="MC Medicaid HHA"/>
    <m/>
    <n v="2"/>
    <n v="205"/>
    <n v="2665"/>
    <n v="2"/>
    <n v="205"/>
    <n v="2665"/>
    <s v=""/>
    <x v="0"/>
  </r>
  <r>
    <n v="379"/>
    <s v="Kings"/>
    <s v="Archcare Community Life PCA"/>
    <s v="MCO"/>
    <s v="MLTC"/>
    <s v="PCA Hourly"/>
    <s v="T1019:U1"/>
    <x v="2"/>
    <s v="HHA"/>
    <s v="MC Medicaid HHA"/>
    <m/>
    <n v="17"/>
    <n v="1974"/>
    <n v="16731.75"/>
    <n v="16"/>
    <n v="1906"/>
    <n v="16368"/>
    <s v=""/>
    <x v="0"/>
  </r>
  <r>
    <n v="380"/>
    <s v="Kings"/>
    <s v="Archcare Community Life PCA"/>
    <s v="MCO"/>
    <s v="MLTC"/>
    <s v="PRN (NB)"/>
    <m/>
    <x v="3"/>
    <s v="HHA"/>
    <s v="MC Medicaid HHA"/>
    <m/>
    <n v="2"/>
    <n v="2"/>
    <n v="2"/>
    <n v="2"/>
    <n v="2"/>
    <n v="2"/>
    <s v="Nursing override"/>
    <x v="0"/>
  </r>
  <r>
    <n v="381"/>
    <s v="Kings"/>
    <s v="Archcare Community Life PCA"/>
    <s v="MCO"/>
    <s v="MLTC"/>
    <s v="RN Initial (NB)"/>
    <m/>
    <x v="3"/>
    <s v="HHA"/>
    <s v="MC Medicaid HHA"/>
    <m/>
    <n v="2"/>
    <n v="2"/>
    <n v="2"/>
    <n v="2"/>
    <n v="2"/>
    <n v="2"/>
    <s v="Nursing override"/>
    <x v="0"/>
  </r>
  <r>
    <n v="382"/>
    <s v="Kings"/>
    <s v="Archcare Community Life PCA"/>
    <s v="MCO"/>
    <s v="MLTC"/>
    <s v="RN Reassessment (NB)"/>
    <m/>
    <x v="3"/>
    <s v="HHA"/>
    <s v="MC Medicaid HHA"/>
    <m/>
    <n v="15"/>
    <n v="15"/>
    <n v="15"/>
    <n v="15"/>
    <n v="15"/>
    <n v="15"/>
    <s v="Nursing override"/>
    <x v="0"/>
  </r>
  <r>
    <n v="383"/>
    <s v="Kings"/>
    <s v="Centerlight CHHA / Cassena Care At Home"/>
    <s v="CHHA"/>
    <s v="CHHA"/>
    <s v="HHA Hourly"/>
    <s v="HH11"/>
    <x v="0"/>
    <s v="HHA"/>
    <s v="Other"/>
    <s v="CHHA"/>
    <n v="1"/>
    <n v="8"/>
    <n v="32"/>
    <n v="0"/>
    <n v="0"/>
    <m/>
    <s v=""/>
    <x v="0"/>
  </r>
  <r>
    <n v="384"/>
    <s v="Kings"/>
    <s v="CenterLight HealthCare (PACE) (CDP)"/>
    <s v="Other"/>
    <s v="CDPAP"/>
    <s v="T1019:U6"/>
    <s v="T1019:U6"/>
    <x v="4"/>
    <s v="HHA"/>
    <s v="Other"/>
    <m/>
    <n v="1"/>
    <n v="17"/>
    <n v="136"/>
    <n v="0"/>
    <n v="0"/>
    <m/>
    <s v=""/>
    <x v="0"/>
  </r>
  <r>
    <n v="385"/>
    <s v="Kings"/>
    <s v="Centers Plan For Health Living PCA"/>
    <s v="MLTC"/>
    <s v="MLTC"/>
    <s v="PCA Hourly"/>
    <s v="T1019:U1"/>
    <x v="2"/>
    <s v="HHA"/>
    <s v="MC Medicaid HHA"/>
    <m/>
    <n v="145"/>
    <n v="19364"/>
    <n v="97945"/>
    <n v="125"/>
    <n v="18271"/>
    <n v="93202.75"/>
    <s v=""/>
    <x v="0"/>
  </r>
  <r>
    <n v="386"/>
    <s v="Kings"/>
    <s v="Centers Plan For Health Living PCA"/>
    <s v="MLTC"/>
    <s v="MLTC"/>
    <s v="PCA Live-In"/>
    <s v="T1020"/>
    <x v="8"/>
    <s v="HHA"/>
    <s v="MC Medicaid HHA"/>
    <m/>
    <n v="1"/>
    <n v="149"/>
    <n v="1937"/>
    <n v="1"/>
    <n v="149"/>
    <n v="1937"/>
    <s v=""/>
    <x v="0"/>
  </r>
  <r>
    <n v="387"/>
    <s v="Kings"/>
    <s v="Centers Plan For Health Living PCA"/>
    <s v="MLTC"/>
    <s v="MLTC"/>
    <s v="PRN (NB)"/>
    <m/>
    <x v="3"/>
    <s v="HHA"/>
    <s v="MC Medicaid HHA"/>
    <m/>
    <n v="9"/>
    <n v="10"/>
    <n v="10"/>
    <n v="9"/>
    <n v="10"/>
    <n v="10"/>
    <s v="Nursing override"/>
    <x v="0"/>
  </r>
  <r>
    <n v="388"/>
    <s v="Kings"/>
    <s v="Centers Plan For Health Living PCA"/>
    <s v="MLTC"/>
    <s v="MLTC"/>
    <s v="RN Initial (NB)"/>
    <m/>
    <x v="3"/>
    <s v="HHA"/>
    <s v="MC Medicaid HHA"/>
    <m/>
    <n v="62"/>
    <n v="62"/>
    <n v="62"/>
    <n v="48"/>
    <n v="48"/>
    <n v="48"/>
    <s v="Nursing override"/>
    <x v="0"/>
  </r>
  <r>
    <n v="389"/>
    <s v="Kings"/>
    <s v="Centers Plan For Health Living PCA"/>
    <s v="MLTC"/>
    <s v="MLTC"/>
    <s v="RN Reassessment (NB)"/>
    <m/>
    <x v="3"/>
    <s v="HHA"/>
    <s v="MC Medicaid HHA"/>
    <m/>
    <n v="84"/>
    <n v="136"/>
    <n v="136"/>
    <n v="79"/>
    <n v="130"/>
    <n v="130"/>
    <s v="Nursing override"/>
    <x v="0"/>
  </r>
  <r>
    <n v="395"/>
    <s v="Kings"/>
    <s v="Centers Plan For Healthy Living CDPAP "/>
    <s v="MLTC"/>
    <s v="CDPAP"/>
    <s v="PA Hourly - 5 Boroughs"/>
    <s v="T1019:U6"/>
    <x v="1"/>
    <s v="CDPAP"/>
    <s v="MC Medicaid CDPAP"/>
    <m/>
    <n v="138"/>
    <n v="28743"/>
    <n v="130928.75"/>
    <n v="132"/>
    <n v="28577"/>
    <n v="130213.5"/>
    <s v=""/>
    <x v="0"/>
  </r>
  <r>
    <n v="396"/>
    <s v="Kings"/>
    <s v="Centers Plan For Healthy Living CDPAP "/>
    <s v="MLTC"/>
    <s v="CDPAP"/>
    <s v="PA Live-In - 5 Boroughs"/>
    <s v="T1020:U6"/>
    <x v="9"/>
    <s v="CDPAP"/>
    <s v="MC Medicaid CDPAP"/>
    <m/>
    <n v="1"/>
    <n v="358"/>
    <n v="4654"/>
    <n v="1"/>
    <n v="358"/>
    <n v="4654"/>
    <s v=""/>
    <x v="0"/>
  </r>
  <r>
    <n v="398"/>
    <s v="Kings"/>
    <s v="Elderplan MJHS (ANT)"/>
    <s v="MLTC"/>
    <s v="MLTC"/>
    <s v="PRN (NB)"/>
    <m/>
    <x v="3"/>
    <s v="HHA"/>
    <s v="MC Medicaid HHA"/>
    <m/>
    <n v="4"/>
    <n v="4"/>
    <n v="4"/>
    <n v="4"/>
    <n v="4"/>
    <n v="4"/>
    <s v="Nursing override"/>
    <x v="0"/>
  </r>
  <r>
    <n v="399"/>
    <s v="Kings"/>
    <s v="Elderplan MJHS (ANT)"/>
    <s v="MLTC"/>
    <s v="MLTC"/>
    <s v="RN Initial (NB)"/>
    <m/>
    <x v="3"/>
    <s v="HHA"/>
    <s v="MC Medicaid HHA"/>
    <m/>
    <n v="47"/>
    <n v="47"/>
    <n v="47"/>
    <n v="47"/>
    <n v="47"/>
    <n v="47"/>
    <s v="Nursing override"/>
    <x v="0"/>
  </r>
  <r>
    <n v="400"/>
    <s v="Kings"/>
    <s v="Elderplan MJHS (ANT)"/>
    <s v="MLTC"/>
    <s v="MLTC"/>
    <s v="RN Reassessment (NB)"/>
    <m/>
    <x v="3"/>
    <s v="HHA"/>
    <s v="MC Medicaid HHA"/>
    <m/>
    <n v="25"/>
    <n v="31"/>
    <n v="31"/>
    <n v="25"/>
    <n v="31"/>
    <n v="31"/>
    <s v="Nursing override"/>
    <x v="0"/>
  </r>
  <r>
    <n v="401"/>
    <s v="Kings"/>
    <s v="Elderplan MJHS (ANT)"/>
    <s v="MLTC"/>
    <s v="MLTC"/>
    <s v="T1019:U1"/>
    <s v="T1019:U1"/>
    <x v="2"/>
    <s v="HHA"/>
    <s v="MC Medicaid HHA"/>
    <m/>
    <n v="59"/>
    <n v="6394"/>
    <n v="33835.75"/>
    <n v="57"/>
    <n v="6385"/>
    <n v="33801.25"/>
    <s v=""/>
    <x v="0"/>
  </r>
  <r>
    <n v="402"/>
    <s v="Kings"/>
    <s v="Elderplan MJHS (ANT)"/>
    <s v="MLTC"/>
    <s v="MLTC"/>
    <s v="T1020"/>
    <s v="T1020"/>
    <x v="8"/>
    <s v="HHA"/>
    <s v="MC Medicaid HHA"/>
    <m/>
    <n v="7"/>
    <n v="1017"/>
    <n v="13221"/>
    <n v="7"/>
    <n v="1017"/>
    <n v="13221"/>
    <s v=""/>
    <x v="0"/>
  </r>
  <r>
    <n v="405"/>
    <s v="Kings"/>
    <s v="Elderplan MJHS (CDP)"/>
    <s v="MLTC"/>
    <s v="CDPAP"/>
    <s v="T1019:U6"/>
    <s v="T1019:U6"/>
    <x v="1"/>
    <s v="CDPAP"/>
    <s v="MC Medicaid CDPAP"/>
    <m/>
    <n v="38"/>
    <n v="6616"/>
    <n v="32043.5"/>
    <n v="34"/>
    <n v="6360"/>
    <n v="30234"/>
    <s v=""/>
    <x v="0"/>
  </r>
  <r>
    <n v="406"/>
    <s v="Kings"/>
    <s v="Elderplan MJHS (CDP)"/>
    <s v="MLTC"/>
    <s v="CDPAP"/>
    <s v="T1019:U6 MAP"/>
    <s v="T1019:U6"/>
    <x v="1"/>
    <s v="CDPAP"/>
    <s v="MC Medicaid CDPAP"/>
    <m/>
    <n v="3"/>
    <n v="115"/>
    <n v="524"/>
    <n v="1"/>
    <n v="60"/>
    <n v="239"/>
    <s v=""/>
    <x v="0"/>
  </r>
  <r>
    <n v="408"/>
    <s v="Kings"/>
    <s v="ElderServe/Riverspring (CDPAP)"/>
    <s v="MLTC"/>
    <s v="CDPAP"/>
    <s v="PA Hourly"/>
    <s v="T1019:U6"/>
    <x v="1"/>
    <s v="CDPAP"/>
    <s v="MC Medicaid CDPAP"/>
    <m/>
    <n v="4"/>
    <n v="529"/>
    <n v="3126.75"/>
    <n v="4"/>
    <n v="529"/>
    <n v="3126.75"/>
    <s v=""/>
    <x v="0"/>
  </r>
  <r>
    <n v="409"/>
    <s v="Kings"/>
    <s v="ElderServe/Riverspring (PCA)"/>
    <s v="MLTC"/>
    <s v="MLTC"/>
    <s v="PCA Hourly NYC"/>
    <s v="T1019:U1"/>
    <x v="2"/>
    <s v="HHA"/>
    <s v="MC Medicaid HHA"/>
    <m/>
    <n v="9"/>
    <n v="1588"/>
    <n v="7341"/>
    <n v="9"/>
    <n v="1588"/>
    <n v="7341"/>
    <s v=""/>
    <x v="0"/>
  </r>
  <r>
    <n v="410"/>
    <s v="Kings"/>
    <s v="ElderServe/Riverspring (PCA)"/>
    <s v="MLTC"/>
    <s v="MLTC"/>
    <s v="RN Initial (NB)"/>
    <m/>
    <x v="3"/>
    <s v="HHA"/>
    <s v="MC Medicaid HHA"/>
    <m/>
    <n v="5"/>
    <n v="5"/>
    <n v="5"/>
    <n v="5"/>
    <n v="5"/>
    <n v="5"/>
    <s v="Nursing override"/>
    <x v="0"/>
  </r>
  <r>
    <n v="411"/>
    <s v="Kings"/>
    <s v="ElderServe/Riverspring (PCA)"/>
    <s v="MLTC"/>
    <s v="MLTC"/>
    <s v="RN Reassessment (NB)"/>
    <m/>
    <x v="3"/>
    <s v="HHA"/>
    <s v="MC Medicaid HHA"/>
    <m/>
    <n v="7"/>
    <n v="10"/>
    <n v="10"/>
    <n v="7"/>
    <n v="10"/>
    <n v="10"/>
    <s v="Nursing override"/>
    <x v="0"/>
  </r>
  <r>
    <n v="416"/>
    <s v="Kings"/>
    <s v="Empire Blue Cross Blue Shield (CDPAP)"/>
    <s v="Other"/>
    <s v="CDPAP"/>
    <s v="PA Hourly (New)"/>
    <s v="T1019:U6"/>
    <x v="1"/>
    <s v="CDPAP"/>
    <s v="MC Medicaid CDPAP"/>
    <m/>
    <n v="56"/>
    <n v="11903"/>
    <n v="70933.75"/>
    <n v="56"/>
    <n v="11903"/>
    <n v="70933.75"/>
    <s v=""/>
    <x v="0"/>
  </r>
  <r>
    <n v="417"/>
    <s v="Kings"/>
    <s v="Empire Blue Cross Blue Shield (CDPAP)"/>
    <s v="Other"/>
    <s v="CDPAP"/>
    <s v="PA Live-In"/>
    <s v="T1020:U6"/>
    <x v="9"/>
    <s v="CDPAP"/>
    <s v="MC Medicaid CDPAP"/>
    <m/>
    <n v="3"/>
    <n v="818"/>
    <n v="10634"/>
    <n v="3"/>
    <n v="818"/>
    <n v="10634"/>
    <s v=""/>
    <x v="0"/>
  </r>
  <r>
    <n v="418"/>
    <s v="Kings"/>
    <s v="Empire Blue Cross Blue Shield (PCA)"/>
    <s v="Other"/>
    <s v="MLTC"/>
    <s v="PCA Hourly NYC"/>
    <s v="T1019:U1"/>
    <x v="2"/>
    <s v="HHA"/>
    <s v="MC Medicaid HHA"/>
    <m/>
    <n v="42"/>
    <n v="5250"/>
    <n v="34057.25"/>
    <n v="40"/>
    <n v="5101"/>
    <n v="33302.25"/>
    <s v=""/>
    <x v="0"/>
  </r>
  <r>
    <n v="419"/>
    <s v="Kings"/>
    <s v="Empire Blue Cross Blue Shield (PCA)"/>
    <s v="Other"/>
    <s v="MLTC"/>
    <s v="PCA Live In"/>
    <s v="T1020"/>
    <x v="8"/>
    <s v="HHA"/>
    <s v="MC Medicaid HHA"/>
    <m/>
    <n v="10"/>
    <n v="1308"/>
    <n v="17004"/>
    <n v="8"/>
    <n v="1267"/>
    <n v="16471"/>
    <s v=""/>
    <x v="0"/>
  </r>
  <r>
    <n v="420"/>
    <s v="Kings"/>
    <s v="Empire Blue Cross Blue Shield (PCA)"/>
    <s v="Other"/>
    <s v="MLTC"/>
    <s v="PRN (NB)"/>
    <m/>
    <x v="3"/>
    <s v="HHA"/>
    <s v="MC Medicaid HHA"/>
    <m/>
    <n v="6"/>
    <n v="9"/>
    <n v="9"/>
    <n v="6"/>
    <n v="9"/>
    <n v="9"/>
    <s v="Nursing override"/>
    <x v="0"/>
  </r>
  <r>
    <n v="421"/>
    <s v="Kings"/>
    <s v="Empire Blue Cross Blue Shield (PCA)"/>
    <s v="Other"/>
    <s v="MLTC"/>
    <s v="RN Initial (NB)"/>
    <m/>
    <x v="3"/>
    <s v="HHA"/>
    <s v="MC Medicaid HHA"/>
    <m/>
    <n v="24"/>
    <n v="25"/>
    <n v="25"/>
    <n v="22"/>
    <n v="23"/>
    <n v="23"/>
    <s v="Nursing override"/>
    <x v="0"/>
  </r>
  <r>
    <n v="422"/>
    <s v="Kings"/>
    <s v="Empire Blue Cross Blue Shield (PCA)"/>
    <s v="Other"/>
    <s v="MLTC"/>
    <s v="RN Reassessment (NB)"/>
    <m/>
    <x v="3"/>
    <s v="HHA"/>
    <s v="MC Medicaid HHA"/>
    <m/>
    <n v="23"/>
    <n v="38"/>
    <n v="38"/>
    <n v="23"/>
    <n v="38"/>
    <n v="38"/>
    <s v="Nursing override"/>
    <x v="0"/>
  </r>
  <r>
    <n v="423"/>
    <s v="Kings"/>
    <s v="Excellent Home Care Services"/>
    <s v="CHHA"/>
    <s v="CHHA"/>
    <s v="Rate3"/>
    <m/>
    <x v="0"/>
    <s v="HHA"/>
    <s v="Other"/>
    <s v="CHHA"/>
    <n v="125"/>
    <n v="17340"/>
    <n v="106359.25"/>
    <n v="121"/>
    <n v="17193"/>
    <n v="105072.25"/>
    <s v=""/>
    <x v="0"/>
  </r>
  <r>
    <n v="424"/>
    <s v="Kings"/>
    <s v="Extended Home Care"/>
    <s v="CHHA"/>
    <s v="CHHA"/>
    <s v="PedCode95"/>
    <s v="-"/>
    <x v="0"/>
    <s v="HHA"/>
    <s v="Other"/>
    <s v="CHHA"/>
    <n v="31"/>
    <n v="3196"/>
    <n v="19007.5"/>
    <n v="25"/>
    <n v="3045"/>
    <n v="18336"/>
    <s v=""/>
    <x v="0"/>
  </r>
  <r>
    <n v="425"/>
    <s v="Kings"/>
    <s v="Extended Home Care"/>
    <s v="CHHA"/>
    <s v="CHHA"/>
    <s v="Rate1"/>
    <m/>
    <x v="0"/>
    <s v="HHA"/>
    <s v="Other"/>
    <s v="CHHA"/>
    <n v="73"/>
    <n v="5108"/>
    <n v="22542"/>
    <n v="61"/>
    <n v="4705"/>
    <n v="20781"/>
    <s v=""/>
    <x v="0"/>
  </r>
  <r>
    <n v="426"/>
    <s v="Kings"/>
    <s v="Extended Home Care"/>
    <s v="CHHA"/>
    <s v="CHHA"/>
    <s v="Rate4HMO"/>
    <s v="0"/>
    <x v="0"/>
    <s v="HHA"/>
    <s v="Other"/>
    <s v="CHHA"/>
    <n v="2"/>
    <n v="46"/>
    <n v="187.25"/>
    <n v="2"/>
    <n v="46"/>
    <n v="187.25"/>
    <s v=""/>
    <x v="0"/>
  </r>
  <r>
    <n v="427"/>
    <s v="Kings"/>
    <s v="Fidelis Care (ANT)"/>
    <s v="LHCSA"/>
    <s v="MLTC"/>
    <s v="PRN (NB)"/>
    <m/>
    <x v="3"/>
    <s v="HHA"/>
    <s v="MC Medicaid HHA"/>
    <m/>
    <n v="4"/>
    <n v="4"/>
    <n v="4"/>
    <n v="4"/>
    <n v="4"/>
    <n v="4"/>
    <s v="Nursing override"/>
    <x v="0"/>
  </r>
  <r>
    <n v="428"/>
    <s v="Kings"/>
    <s v="Fidelis Care (ANT)"/>
    <s v="LHCSA"/>
    <s v="MLTC"/>
    <s v="RN Initial (NB)"/>
    <m/>
    <x v="3"/>
    <s v="HHA"/>
    <s v="MC Medicaid HHA"/>
    <m/>
    <n v="58"/>
    <n v="58"/>
    <n v="58"/>
    <n v="55"/>
    <n v="55"/>
    <n v="55"/>
    <s v="Nursing override"/>
    <x v="0"/>
  </r>
  <r>
    <n v="429"/>
    <s v="Kings"/>
    <s v="Fidelis Care (ANT)"/>
    <s v="LHCSA"/>
    <s v="MLTC"/>
    <s v="RN Initial Assement"/>
    <s v="T2024"/>
    <x v="3"/>
    <s v="HHA"/>
    <s v="MC Medicaid HHA"/>
    <m/>
    <n v="38"/>
    <n v="38"/>
    <n v="38"/>
    <n v="34"/>
    <n v="34"/>
    <n v="34"/>
    <s v="nursing"/>
    <x v="0"/>
  </r>
  <r>
    <n v="430"/>
    <s v="Kings"/>
    <s v="Fidelis Care (ANT)"/>
    <s v="LHCSA"/>
    <s v="MLTC"/>
    <s v="RN Reassessment (NB)"/>
    <m/>
    <x v="3"/>
    <s v="HHA"/>
    <s v="MC Medicaid HHA"/>
    <m/>
    <n v="69"/>
    <n v="95"/>
    <n v="95"/>
    <n v="67"/>
    <n v="93"/>
    <n v="93"/>
    <s v="Nursing override"/>
    <x v="0"/>
  </r>
  <r>
    <n v="431"/>
    <s v="Kings"/>
    <s v="Fidelis Care (ANT)"/>
    <s v="LHCSA"/>
    <s v="MLTC"/>
    <s v="S5130:U1"/>
    <s v="S5130:U1::::Homemaker"/>
    <x v="6"/>
    <s v="HHA"/>
    <s v="MC Medicaid HHA"/>
    <m/>
    <n v="3"/>
    <n v="59"/>
    <n v="231.75"/>
    <n v="3"/>
    <n v="59"/>
    <n v="231.75"/>
    <s v=""/>
    <x v="0"/>
  </r>
  <r>
    <n v="432"/>
    <s v="Kings"/>
    <s v="Fidelis Care (ANT)"/>
    <s v="LHCSA"/>
    <s v="MLTC"/>
    <s v="T1019:U1"/>
    <s v="T1019:U1"/>
    <x v="2"/>
    <s v="HHA"/>
    <s v="MC Medicaid HHA"/>
    <m/>
    <n v="143"/>
    <n v="16920"/>
    <n v="90925.5"/>
    <n v="134"/>
    <n v="16453"/>
    <n v="87911"/>
    <s v=""/>
    <x v="0"/>
  </r>
  <r>
    <n v="433"/>
    <s v="Kings"/>
    <s v="Fidelis Care (ANT)"/>
    <s v="LHCSA"/>
    <s v="MLTC"/>
    <s v="T1020"/>
    <s v="T1020"/>
    <x v="8"/>
    <s v="HHA"/>
    <s v="MC Medicaid HHA"/>
    <m/>
    <n v="4"/>
    <n v="490"/>
    <n v="6370"/>
    <n v="4"/>
    <n v="490"/>
    <n v="6370"/>
    <s v=""/>
    <x v="0"/>
  </r>
  <r>
    <n v="438"/>
    <s v="Kings"/>
    <s v="Fidelis Care (CDP)"/>
    <s v="LHCSA"/>
    <s v="CDPAP"/>
    <s v="T1019:U6"/>
    <s v="T1019:U6"/>
    <x v="1"/>
    <s v="CDPAP"/>
    <s v="MC Medicaid CDPAP"/>
    <m/>
    <n v="116"/>
    <n v="13281"/>
    <n v="73517"/>
    <n v="109"/>
    <n v="12958"/>
    <n v="70960"/>
    <s v=""/>
    <x v="0"/>
  </r>
  <r>
    <n v="439"/>
    <s v="Kings"/>
    <s v="Fidelis Care (CDP)"/>
    <s v="LHCSA"/>
    <s v="CDPAP"/>
    <s v="T1019:U7"/>
    <s v="T1019:U7"/>
    <x v="10"/>
    <s v="CDPAP"/>
    <s v="MC Medicaid CDPAP"/>
    <m/>
    <n v="2"/>
    <n v="496"/>
    <n v="3458.75"/>
    <n v="2"/>
    <n v="496"/>
    <n v="3458.75"/>
    <s v=""/>
    <x v="0"/>
  </r>
  <r>
    <n v="440"/>
    <s v="Kings"/>
    <s v="Fidelis Care PCA (Non Live)"/>
    <s v="MLTC"/>
    <s v="MLTC"/>
    <s v="PCA Hourly"/>
    <s v="T1019:U1"/>
    <x v="2"/>
    <s v="HHA"/>
    <s v="MC Medicaid HHA"/>
    <m/>
    <n v="1"/>
    <n v="2"/>
    <n v="2"/>
    <n v="1"/>
    <n v="2"/>
    <n v="2"/>
    <s v=""/>
    <x v="0"/>
  </r>
  <r>
    <n v="441"/>
    <s v="Kings"/>
    <s v="Fidelis Care PCA (Non Live)"/>
    <s v="MLTC"/>
    <s v="MLTC"/>
    <s v="RN Initial (NB)"/>
    <s v="G0162"/>
    <x v="3"/>
    <s v="HHA"/>
    <s v="MC Medicaid HHA"/>
    <m/>
    <n v="12"/>
    <n v="12"/>
    <n v="12"/>
    <n v="12"/>
    <n v="12"/>
    <n v="12"/>
    <s v="Nursing override"/>
    <x v="0"/>
  </r>
  <r>
    <n v="442"/>
    <s v="Kings"/>
    <s v="Fidelis Care PCA (Non Live)"/>
    <s v="MLTC"/>
    <s v="MLTC"/>
    <s v="Rn initial assement"/>
    <s v="G0162"/>
    <x v="3"/>
    <s v="HHA"/>
    <s v="MC Medicaid HHA"/>
    <m/>
    <n v="4"/>
    <n v="4"/>
    <n v="4"/>
    <n v="4"/>
    <n v="4"/>
    <n v="4"/>
    <s v="nursing"/>
    <x v="0"/>
  </r>
  <r>
    <n v="443"/>
    <s v="Kings"/>
    <s v="Fidelis Care PCA (Non Live)"/>
    <s v="MLTC"/>
    <s v="MLTC"/>
    <s v="RN Reassessment (NB)"/>
    <m/>
    <x v="3"/>
    <s v="HHA"/>
    <s v="MC Medicaid HHA"/>
    <m/>
    <n v="2"/>
    <n v="2"/>
    <n v="2"/>
    <n v="2"/>
    <n v="2"/>
    <n v="2"/>
    <s v="Nursing override"/>
    <x v="0"/>
  </r>
  <r>
    <n v="444"/>
    <s v="Kings"/>
    <s v="Girling Health Care Of New York"/>
    <s v="CHHA"/>
    <s v="CHHA"/>
    <s v="Rate1"/>
    <m/>
    <x v="0"/>
    <s v="HHA"/>
    <s v="Other"/>
    <s v="CHHA"/>
    <n v="24"/>
    <n v="865"/>
    <n v="4049"/>
    <n v="13"/>
    <n v="656"/>
    <n v="3183"/>
    <s v=""/>
    <x v="0"/>
  </r>
  <r>
    <n v="445"/>
    <s v="Kings"/>
    <s v="Girling Health Care Of New York"/>
    <s v="CHHA"/>
    <s v="CHHA"/>
    <s v="Rate4"/>
    <m/>
    <x v="0"/>
    <s v="HHA"/>
    <s v="Other"/>
    <s v="CHHA"/>
    <n v="3"/>
    <n v="27"/>
    <n v="104"/>
    <n v="3"/>
    <n v="27"/>
    <n v="104"/>
    <s v=""/>
    <x v="0"/>
  </r>
  <r>
    <n v="448"/>
    <s v="Kings"/>
    <s v="Hamaspik Choice (MLTC) CDPAP"/>
    <s v="MCO"/>
    <s v="CDPAP"/>
    <s v="PA Hourly NYC , Nassau, Westchester"/>
    <s v="T1019:U6"/>
    <x v="1"/>
    <s v="CDPAP"/>
    <s v="MC Medicaid CDPAP"/>
    <m/>
    <n v="4"/>
    <n v="505"/>
    <n v="3657.75"/>
    <n v="4"/>
    <n v="505"/>
    <n v="3657.75"/>
    <s v=""/>
    <x v="0"/>
  </r>
  <r>
    <n v="451"/>
    <s v="Kings"/>
    <s v="Hamaspik Choice MLTC (PCA)"/>
    <s v="MLTC"/>
    <s v="MLTC"/>
    <s v="PCA Hourly"/>
    <s v="T1019:U1"/>
    <x v="2"/>
    <s v="HHA"/>
    <s v="MC Medicaid HHA"/>
    <m/>
    <n v="7"/>
    <n v="743"/>
    <n v="4336.5"/>
    <n v="6"/>
    <n v="614"/>
    <n v="3208.75"/>
    <s v=""/>
    <x v="0"/>
  </r>
  <r>
    <n v="452"/>
    <s v="Kings"/>
    <s v="Hamaspik Choice MLTC (PCA)"/>
    <s v="MLTC"/>
    <s v="MLTC"/>
    <s v="PCA Live In"/>
    <s v="T1020"/>
    <x v="8"/>
    <s v="HHA"/>
    <s v="MC Medicaid HHA"/>
    <m/>
    <n v="1"/>
    <n v="7"/>
    <n v="91"/>
    <n v="1"/>
    <n v="7"/>
    <n v="91"/>
    <s v=""/>
    <x v="0"/>
  </r>
  <r>
    <n v="453"/>
    <s v="Kings"/>
    <s v="Hamaspik Choice MLTC (PCA)"/>
    <s v="MLTC"/>
    <s v="MLTC"/>
    <s v="RN Initial (NB)"/>
    <m/>
    <x v="3"/>
    <s v="HHA"/>
    <s v="MC Medicaid HHA"/>
    <m/>
    <n v="5"/>
    <n v="5"/>
    <n v="5"/>
    <n v="4"/>
    <n v="4"/>
    <n v="4"/>
    <s v="Nursing override"/>
    <x v="0"/>
  </r>
  <r>
    <n v="454"/>
    <s v="Kings"/>
    <s v="Hamaspik Choice MLTC (PCA)"/>
    <s v="MLTC"/>
    <s v="MLTC"/>
    <s v="RN Reassessment (NB)"/>
    <m/>
    <x v="3"/>
    <s v="HHA"/>
    <s v="MC Medicaid HHA"/>
    <m/>
    <n v="2"/>
    <n v="2"/>
    <n v="2"/>
    <n v="1"/>
    <n v="1"/>
    <n v="1"/>
    <s v="Nursing override"/>
    <x v="0"/>
  </r>
  <r>
    <n v="457"/>
    <s v="Kings"/>
    <s v="Hamaspik MAP CDPAP"/>
    <s v="MCO"/>
    <s v="CDPAP"/>
    <s v="PA Hourly (NYC, LI, &amp; Westchester)"/>
    <s v="T1019:U6"/>
    <x v="1"/>
    <s v="CDPAP"/>
    <s v="MC Medicaid CDPAP"/>
    <m/>
    <n v="13"/>
    <n v="2460"/>
    <n v="13339.25"/>
    <n v="13"/>
    <n v="2460"/>
    <n v="13339.25"/>
    <s v=""/>
    <x v="0"/>
  </r>
  <r>
    <n v="460"/>
    <s v="Kings"/>
    <s v="Hamaspik MAP PCA"/>
    <s v="MCO"/>
    <s v="MLTC"/>
    <s v="PCA Hourly"/>
    <s v="T1019:U1"/>
    <x v="2"/>
    <s v="HHA"/>
    <s v="MC Medicaid HHA"/>
    <m/>
    <n v="7"/>
    <n v="1396"/>
    <n v="8367.25"/>
    <n v="6"/>
    <n v="1289"/>
    <n v="7621"/>
    <s v=""/>
    <x v="0"/>
  </r>
  <r>
    <n v="461"/>
    <s v="Kings"/>
    <s v="Hamaspik MAP PCA"/>
    <s v="MCO"/>
    <s v="MLTC"/>
    <s v="PRN (NB)"/>
    <m/>
    <x v="3"/>
    <s v="HHA"/>
    <s v="MC Medicaid HHA"/>
    <m/>
    <n v="1"/>
    <n v="1"/>
    <n v="1"/>
    <n v="0"/>
    <n v="0"/>
    <n v="0"/>
    <s v="Nursing override"/>
    <x v="0"/>
  </r>
  <r>
    <n v="462"/>
    <s v="Kings"/>
    <s v="Hamaspik MAP PCA"/>
    <s v="MCO"/>
    <s v="MLTC"/>
    <s v="RN Initial (NB)"/>
    <m/>
    <x v="3"/>
    <s v="HHA"/>
    <s v="MC Medicaid HHA"/>
    <m/>
    <n v="3"/>
    <n v="3"/>
    <n v="3"/>
    <n v="2"/>
    <n v="2"/>
    <n v="2"/>
    <s v="Nursing override"/>
    <x v="0"/>
  </r>
  <r>
    <n v="463"/>
    <s v="Kings"/>
    <s v="Hamaspik MAP PCA"/>
    <s v="MCO"/>
    <s v="MLTC"/>
    <s v="RN Reassessment (NB)"/>
    <m/>
    <x v="3"/>
    <s v="HHA"/>
    <s v="MC Medicaid HHA"/>
    <m/>
    <n v="4"/>
    <n v="8"/>
    <n v="8"/>
    <n v="4"/>
    <n v="8"/>
    <n v="8"/>
    <s v="Nursing override"/>
    <x v="0"/>
  </r>
  <r>
    <n v="465"/>
    <s v="Kings"/>
    <s v="Healthfirst (ANT)"/>
    <s v="CHHA"/>
    <s v="MLTC"/>
    <s v="PRN (NB)"/>
    <m/>
    <x v="3"/>
    <s v="HHA"/>
    <s v="MC Medicaid HHA"/>
    <m/>
    <n v="3"/>
    <n v="3"/>
    <n v="3"/>
    <n v="3"/>
    <n v="3"/>
    <n v="3"/>
    <s v="Nursing override"/>
    <x v="0"/>
  </r>
  <r>
    <n v="466"/>
    <s v="Kings"/>
    <s v="Healthfirst (ANT)"/>
    <s v="CHHA"/>
    <s v="MLTC"/>
    <s v="RN Initial (NB)"/>
    <m/>
    <x v="3"/>
    <s v="HHA"/>
    <s v="MC Medicaid HHA"/>
    <m/>
    <n v="62"/>
    <n v="62"/>
    <n v="62"/>
    <n v="56"/>
    <n v="56"/>
    <n v="56"/>
    <s v="Nursing override"/>
    <x v="0"/>
  </r>
  <r>
    <n v="467"/>
    <s v="Kings"/>
    <s v="Healthfirst (ANT)"/>
    <s v="CHHA"/>
    <s v="MLTC"/>
    <s v="RN Reassessment (NB)"/>
    <m/>
    <x v="3"/>
    <s v="HHA"/>
    <s v="MC Medicaid HHA"/>
    <m/>
    <n v="50"/>
    <n v="70"/>
    <n v="70"/>
    <n v="47"/>
    <n v="67"/>
    <n v="67"/>
    <s v="Nursing override"/>
    <x v="0"/>
  </r>
  <r>
    <n v="468"/>
    <s v="Kings"/>
    <s v="Healthfirst (ANT)"/>
    <s v="CHHA"/>
    <s v="MLTC"/>
    <s v="T1019:U1"/>
    <s v="T1019:U1"/>
    <x v="2"/>
    <s v="HHA"/>
    <s v="MC Medicaid HHA"/>
    <m/>
    <n v="104"/>
    <n v="9286"/>
    <n v="48545.75"/>
    <n v="91"/>
    <n v="8782"/>
    <n v="45824"/>
    <s v=""/>
    <x v="0"/>
  </r>
  <r>
    <n v="469"/>
    <s v="Kings"/>
    <s v="Healthfirst (ANT)"/>
    <s v="CHHA"/>
    <s v="MLTC"/>
    <s v="T1019:U1:CC"/>
    <s v="T1019:U1"/>
    <x v="2"/>
    <s v="HHA"/>
    <s v="MC Medicaid HHA"/>
    <m/>
    <n v="2"/>
    <n v="17"/>
    <n v="75.25"/>
    <n v="2"/>
    <n v="17"/>
    <n v="75.25"/>
    <s v=""/>
    <x v="0"/>
  </r>
  <r>
    <n v="470"/>
    <s v="Kings"/>
    <s v="Healthfirst (ANT)"/>
    <s v="CHHA"/>
    <s v="MLTC"/>
    <s v="T1019:U2"/>
    <s v="T1019:U2"/>
    <x v="11"/>
    <s v="HHA"/>
    <s v="MC Medicaid HHA"/>
    <m/>
    <n v="2"/>
    <n v="399"/>
    <n v="993.5"/>
    <n v="2"/>
    <n v="399"/>
    <n v="993.5"/>
    <s v=""/>
    <x v="0"/>
  </r>
  <r>
    <n v="471"/>
    <s v="Kings"/>
    <s v="Healthfirst (ANT)"/>
    <s v="CHHA"/>
    <s v="MLTC"/>
    <s v="T1019:U6"/>
    <s v="T1019:U6"/>
    <x v="1"/>
    <s v="CDPAP"/>
    <s v="MC Medicaid CDPAP"/>
    <m/>
    <n v="1"/>
    <n v="24"/>
    <n v="80.5"/>
    <n v="1"/>
    <n v="24"/>
    <n v="80.5"/>
    <s v=""/>
    <x v="0"/>
  </r>
  <r>
    <n v="472"/>
    <s v="Kings"/>
    <s v="Healthfirst (ANT)"/>
    <s v="CHHA"/>
    <s v="MLTC"/>
    <s v="T1020"/>
    <s v="T1020"/>
    <x v="8"/>
    <s v="HHA"/>
    <s v="MC Medicaid HHA"/>
    <m/>
    <n v="2"/>
    <n v="141"/>
    <n v="1833"/>
    <n v="2"/>
    <n v="141"/>
    <n v="1833"/>
    <s v=""/>
    <x v="0"/>
  </r>
  <r>
    <n v="473"/>
    <s v="Kings"/>
    <s v="Healthfirst (ANT)"/>
    <s v="CHHA"/>
    <s v="MLTC"/>
    <s v="T1020:CC"/>
    <s v="T1020"/>
    <x v="8"/>
    <s v="HHA"/>
    <s v="MC Medicaid HHA"/>
    <m/>
    <n v="1"/>
    <n v="360"/>
    <n v="4680"/>
    <n v="1"/>
    <n v="360"/>
    <n v="4680"/>
    <s v=""/>
    <x v="0"/>
  </r>
  <r>
    <n v="477"/>
    <s v="Kings"/>
    <s v="Healthfirst (CDP)"/>
    <s v="CHHA"/>
    <s v="CDPAP"/>
    <s v="T1019:U1"/>
    <s v="T1019:U1"/>
    <x v="2"/>
    <s v="HHA"/>
    <s v="MC Medicaid HHA"/>
    <m/>
    <n v="1"/>
    <n v="3"/>
    <n v="6"/>
    <n v="1"/>
    <n v="3"/>
    <n v="6"/>
    <s v=""/>
    <x v="0"/>
  </r>
  <r>
    <n v="478"/>
    <s v="Kings"/>
    <s v="Healthfirst (CDP)"/>
    <s v="CHHA"/>
    <s v="CDPAP"/>
    <s v="T1019:U6"/>
    <s v="T1019:U6"/>
    <x v="1"/>
    <s v="CDPAP"/>
    <s v="MC Medicaid CDPAP"/>
    <m/>
    <n v="99"/>
    <n v="11908"/>
    <n v="66120.75"/>
    <n v="94"/>
    <n v="11609"/>
    <n v="64160.75"/>
    <s v=""/>
    <x v="0"/>
  </r>
  <r>
    <n v="479"/>
    <s v="Kings"/>
    <s v="Healthfirst (CDP)"/>
    <s v="CHHA"/>
    <s v="CDPAP"/>
    <s v="T1019:U6:CC"/>
    <s v="T1019:U6"/>
    <x v="1"/>
    <s v="CDPAP"/>
    <s v="MC Medicaid CDPAP"/>
    <m/>
    <n v="3"/>
    <n v="614"/>
    <n v="5647.75"/>
    <n v="3"/>
    <n v="614"/>
    <n v="5647.75"/>
    <s v=""/>
    <x v="0"/>
  </r>
  <r>
    <n v="480"/>
    <s v="Kings"/>
    <s v="Healthfirst (CDP)"/>
    <s v="CHHA"/>
    <s v="CDPAP"/>
    <s v="T1019:U6:SHP"/>
    <s v="T1019:U6"/>
    <x v="1"/>
    <s v="CDPAP"/>
    <s v="MC Medicaid CDPAP"/>
    <m/>
    <n v="1"/>
    <n v="250"/>
    <n v="744.25"/>
    <n v="1"/>
    <n v="250"/>
    <n v="744.25"/>
    <s v=""/>
    <x v="0"/>
  </r>
  <r>
    <n v="481"/>
    <s v="Kings"/>
    <s v="Healthfirst PCA MAP (Complete Care) (Non Live)"/>
    <s v="MCO"/>
    <s v="MLTC"/>
    <s v="PCA Hourly"/>
    <s v="T1019:U1"/>
    <x v="2"/>
    <s v="HHA"/>
    <s v="MC Medicaid HHA"/>
    <m/>
    <n v="2"/>
    <n v="2"/>
    <n v="4.5"/>
    <n v="1"/>
    <n v="1"/>
    <n v="3.5"/>
    <s v=""/>
    <x v="0"/>
  </r>
  <r>
    <n v="482"/>
    <s v="Kings"/>
    <s v="Healthfirst PCA MAP (Complete Care) (Non Live)"/>
    <s v="MCO"/>
    <s v="MLTC"/>
    <s v="RN Initial (NB)"/>
    <m/>
    <x v="3"/>
    <s v="HHA"/>
    <s v="MC Medicaid HHA"/>
    <m/>
    <n v="2"/>
    <n v="2"/>
    <n v="2"/>
    <n v="1"/>
    <n v="1"/>
    <n v="1"/>
    <s v="Nursing override"/>
    <x v="0"/>
  </r>
  <r>
    <n v="483"/>
    <s v="Kings"/>
    <s v="Healthfirst PCA MAP (Complete Care) (Non Live)"/>
    <s v="MCO"/>
    <s v="MLTC"/>
    <s v="RN Reassessment (NB)"/>
    <m/>
    <x v="3"/>
    <s v="HHA"/>
    <s v="MC Medicaid HHA"/>
    <m/>
    <n v="1"/>
    <n v="1"/>
    <n v="1"/>
    <n v="1"/>
    <n v="1"/>
    <n v="1"/>
    <s v="Nursing override"/>
    <x v="0"/>
  </r>
  <r>
    <n v="484"/>
    <s v="Kings"/>
    <s v="HEALTHFIRST PHSP (Medicaid) (Non Live)"/>
    <s v="CHHA"/>
    <s v="MCO"/>
    <s v="RN Reassessment (NB)"/>
    <m/>
    <x v="3"/>
    <s v="HHA"/>
    <s v="MC Medicaid HHA"/>
    <m/>
    <n v="1"/>
    <n v="2"/>
    <n v="2"/>
    <n v="1"/>
    <n v="2"/>
    <n v="2"/>
    <s v="Nursing override"/>
    <x v="0"/>
  </r>
  <r>
    <n v="486"/>
    <s v="Kings"/>
    <s v="Nascentia Health Options CDPAP"/>
    <s v="MLTC"/>
    <s v="CDPAP"/>
    <s v="PA Hourly"/>
    <s v="T1019:U6"/>
    <x v="1"/>
    <s v="CDPAP"/>
    <s v="MC Medicaid CDPAP"/>
    <m/>
    <n v="1"/>
    <n v="313"/>
    <n v="667.75"/>
    <n v="1"/>
    <n v="313"/>
    <n v="667.75"/>
    <s v=""/>
    <x v="0"/>
  </r>
  <r>
    <n v="487"/>
    <s v="Kings"/>
    <s v="NHTD"/>
    <s v="LHCSA"/>
    <s v="Medicaid"/>
    <s v="HCSS 9795 LI Nassau Westchester Suffolk"/>
    <s v="9795"/>
    <x v="4"/>
    <s v="HHA"/>
    <s v="Other"/>
    <m/>
    <n v="1"/>
    <n v="1"/>
    <n v="2.5"/>
    <n v="1"/>
    <n v="1"/>
    <n v="2.5"/>
    <s v=""/>
    <x v="0"/>
  </r>
  <r>
    <n v="488"/>
    <s v="Kings"/>
    <s v="NHTD"/>
    <s v="LHCSA"/>
    <s v="Medicaid"/>
    <s v="HCSS 9795 NYC"/>
    <s v="9795"/>
    <x v="4"/>
    <s v="HHA"/>
    <s v="Other"/>
    <m/>
    <n v="153"/>
    <n v="63628"/>
    <n v="730345.25"/>
    <n v="151"/>
    <n v="63478"/>
    <n v="729054.25"/>
    <s v=""/>
    <x v="0"/>
  </r>
  <r>
    <n v="489"/>
    <s v="Kings"/>
    <s v="NHTD"/>
    <s v="LHCSA"/>
    <s v="Medicaid"/>
    <s v="HCSS 9795 Rest of State"/>
    <s v="9795"/>
    <x v="4"/>
    <s v="HHA"/>
    <s v="Other"/>
    <m/>
    <n v="1"/>
    <n v="68"/>
    <n v="693.75"/>
    <n v="1"/>
    <n v="68"/>
    <n v="693.75"/>
    <s v=""/>
    <x v="0"/>
  </r>
  <r>
    <n v="490"/>
    <s v="Kings"/>
    <s v="NHTD"/>
    <s v="LHCSA"/>
    <s v="Medicaid"/>
    <s v="Initial RN Visit 9799 (Hourly)"/>
    <s v="9799"/>
    <x v="4"/>
    <s v="HHA"/>
    <s v="Other"/>
    <m/>
    <n v="58"/>
    <n v="59"/>
    <n v="59"/>
    <n v="58"/>
    <n v="59"/>
    <n v="59"/>
    <m/>
    <x v="0"/>
  </r>
  <r>
    <n v="491"/>
    <s v="Kings"/>
    <s v="NHTD"/>
    <s v="LHCSA"/>
    <s v="Medicaid"/>
    <s v="PRN (NB)"/>
    <m/>
    <x v="4"/>
    <s v="HHA"/>
    <s v="Other"/>
    <m/>
    <n v="9"/>
    <n v="9"/>
    <n v="8.5"/>
    <n v="9"/>
    <n v="9"/>
    <n v="9"/>
    <m/>
    <x v="0"/>
  </r>
  <r>
    <n v="492"/>
    <s v="Kings"/>
    <s v="NHTD"/>
    <s v="LHCSA"/>
    <s v="Medicaid"/>
    <s v="RN Initial (NB)"/>
    <m/>
    <x v="4"/>
    <s v="HHA"/>
    <s v="Other"/>
    <m/>
    <n v="3"/>
    <n v="3"/>
    <n v="3"/>
    <n v="3"/>
    <n v="3"/>
    <n v="3"/>
    <m/>
    <x v="0"/>
  </r>
  <r>
    <n v="493"/>
    <s v="Kings"/>
    <s v="NHTD"/>
    <s v="LHCSA"/>
    <s v="Medicaid"/>
    <s v="RN Reassessment (NB)"/>
    <m/>
    <x v="4"/>
    <s v="HHA"/>
    <s v="Other"/>
    <m/>
    <n v="7"/>
    <n v="7"/>
    <n v="7"/>
    <n v="7"/>
    <n v="7"/>
    <n v="7"/>
    <m/>
    <x v="0"/>
  </r>
  <r>
    <n v="494"/>
    <s v="Kings"/>
    <s v="NHTD"/>
    <s v="LHCSA"/>
    <s v="Medicaid"/>
    <s v="RN Visit 9799 (Hourly)"/>
    <s v="9799"/>
    <x v="4"/>
    <s v="HHA"/>
    <s v="Other"/>
    <m/>
    <n v="122"/>
    <n v="191"/>
    <n v="188.5"/>
    <n v="120"/>
    <n v="189"/>
    <n v="189"/>
    <m/>
    <x v="0"/>
  </r>
  <r>
    <n v="495"/>
    <s v="Kings"/>
    <s v="Non Billable"/>
    <s v="Other"/>
    <s v="Insurance"/>
    <s v="PA Hourly"/>
    <m/>
    <x v="5"/>
    <s v="HHA"/>
    <s v="Private Pay"/>
    <m/>
    <n v="1"/>
    <n v="14"/>
    <n v="170.5"/>
    <n v="1"/>
    <n v="14"/>
    <n v="170.5"/>
    <s v=""/>
    <x v="0"/>
  </r>
  <r>
    <n v="496"/>
    <s v="Kings"/>
    <s v="Non Billable"/>
    <s v="Other"/>
    <s v="Insurance"/>
    <s v="PCA Hourly"/>
    <m/>
    <x v="5"/>
    <s v="HHA"/>
    <s v="Private Pay"/>
    <m/>
    <n v="68"/>
    <n v="749"/>
    <n v="2326.25"/>
    <n v="64"/>
    <n v="744"/>
    <n v="2312"/>
    <s v=""/>
    <x v="0"/>
  </r>
  <r>
    <n v="497"/>
    <s v="Kings"/>
    <s v="Non Billable"/>
    <s v="Other"/>
    <s v="Insurance"/>
    <s v="PCA Live In"/>
    <m/>
    <x v="5"/>
    <s v="HHA"/>
    <s v="Private Pay"/>
    <m/>
    <n v="1"/>
    <n v="5"/>
    <n v="24"/>
    <n v="1"/>
    <n v="5"/>
    <n v="24"/>
    <s v=""/>
    <x v="0"/>
  </r>
  <r>
    <n v="498"/>
    <s v="Kings"/>
    <s v="Non Billable"/>
    <s v="Other"/>
    <s v="Insurance"/>
    <s v="RN Supervision"/>
    <m/>
    <x v="7"/>
    <s v="HHA"/>
    <s v="MC Medicaid HHA"/>
    <m/>
    <n v="2"/>
    <n v="604"/>
    <n v="604"/>
    <n v="2"/>
    <n v="604"/>
    <n v="604"/>
    <s v="Nursing override"/>
    <x v="0"/>
  </r>
  <r>
    <n v="499"/>
    <s v="Kings"/>
    <s v="Partners Health Plan"/>
    <s v="MLTC"/>
    <s v="MLTC"/>
    <s v="HHA Hourly"/>
    <s v="S5130:U1::::S5130"/>
    <x v="6"/>
    <s v="HHA"/>
    <s v="MC Medicaid HHA"/>
    <m/>
    <n v="1"/>
    <n v="3"/>
    <n v="12"/>
    <n v="0"/>
    <n v="0"/>
    <m/>
    <s v=""/>
    <x v="0"/>
  </r>
  <r>
    <n v="500"/>
    <s v="Kings"/>
    <s v="Partners Health Plan"/>
    <s v="MLTC"/>
    <s v="MLTC"/>
    <s v="PCA Hourly"/>
    <s v="T1019:U1"/>
    <x v="2"/>
    <s v="HHA"/>
    <s v="MC Medicaid HHA"/>
    <m/>
    <n v="1"/>
    <n v="20"/>
    <n v="80"/>
    <n v="0"/>
    <n v="0"/>
    <m/>
    <s v=""/>
    <x v="0"/>
  </r>
  <r>
    <n v="501"/>
    <s v="Kings"/>
    <s v="Partners Health Plan"/>
    <s v="MLTC"/>
    <s v="MLTC"/>
    <s v="RN Initial Visit NB"/>
    <s v="T1019"/>
    <x v="3"/>
    <s v="HHA"/>
    <s v="MC Medicaid HHA"/>
    <m/>
    <n v="1"/>
    <n v="1"/>
    <n v="1"/>
    <n v="0"/>
    <n v="0"/>
    <n v="0"/>
    <s v="Nursing override"/>
    <x v="0"/>
  </r>
  <r>
    <n v="502"/>
    <s v="Kings"/>
    <s v="Prime Home Health Services"/>
    <s v="CHHA"/>
    <s v="CHHA"/>
    <s v="HHAHOUR"/>
    <m/>
    <x v="0"/>
    <s v="HHA"/>
    <s v="Other"/>
    <s v="CHHA"/>
    <n v="1"/>
    <n v="9"/>
    <n v="34.25"/>
    <n v="1"/>
    <n v="9"/>
    <n v="34.25"/>
    <s v=""/>
    <x v="0"/>
  </r>
  <r>
    <n v="503"/>
    <s v="Kings"/>
    <s v="Prime Home Health Services"/>
    <s v="CHHA"/>
    <s v="CHHA"/>
    <s v="HHAHRPED"/>
    <s v="99999"/>
    <x v="0"/>
    <s v="HHA"/>
    <s v="Other"/>
    <s v="CHHA"/>
    <n v="7"/>
    <n v="1329"/>
    <n v="9605.5"/>
    <n v="6"/>
    <n v="1307"/>
    <n v="9417"/>
    <s v=""/>
    <x v="0"/>
  </r>
  <r>
    <n v="504"/>
    <s v="Kings"/>
    <s v="Private Pay"/>
    <s v="Other"/>
    <s v="Private"/>
    <s v="HHA supervision"/>
    <m/>
    <x v="5"/>
    <s v="HHA"/>
    <s v="Private Pay"/>
    <m/>
    <n v="1"/>
    <n v="1568"/>
    <n v="393"/>
    <n v="1"/>
    <n v="1568"/>
    <n v="393"/>
    <s v=""/>
    <x v="0"/>
  </r>
  <r>
    <n v="505"/>
    <s v="Kings"/>
    <s v="Private Pay"/>
    <s v="Other"/>
    <s v="Private"/>
    <s v="Live In - 1 Hour"/>
    <m/>
    <x v="5"/>
    <s v="HHA"/>
    <s v="Private Pay"/>
    <m/>
    <n v="1"/>
    <n v="119"/>
    <n v="119"/>
    <n v="1"/>
    <n v="119"/>
    <n v="119"/>
    <s v=""/>
    <x v="0"/>
  </r>
  <r>
    <n v="506"/>
    <s v="Kings"/>
    <s v="Private Pay"/>
    <s v="Other"/>
    <s v="Private"/>
    <s v="Live In - 4 Hours"/>
    <m/>
    <x v="5"/>
    <s v="HHA"/>
    <s v="Private Pay"/>
    <m/>
    <n v="1"/>
    <n v="243"/>
    <n v="972"/>
    <n v="1"/>
    <n v="243"/>
    <n v="972"/>
    <s v=""/>
    <x v="0"/>
  </r>
  <r>
    <n v="507"/>
    <s v="Kings"/>
    <s v="Private Pay"/>
    <s v="Other"/>
    <s v="Private"/>
    <s v="Live In - 7 Hours"/>
    <m/>
    <x v="5"/>
    <s v="HHA"/>
    <s v="Private Pay"/>
    <m/>
    <n v="1"/>
    <n v="37"/>
    <n v="259"/>
    <n v="1"/>
    <n v="37"/>
    <n v="259"/>
    <s v=""/>
    <x v="0"/>
  </r>
  <r>
    <n v="508"/>
    <s v="Kings"/>
    <s v="Private Pay"/>
    <s v="Other"/>
    <s v="Private"/>
    <s v="Live In - 8 Hours"/>
    <m/>
    <x v="5"/>
    <s v="HHA"/>
    <s v="Private Pay"/>
    <m/>
    <n v="1"/>
    <n v="25"/>
    <n v="200"/>
    <n v="1"/>
    <n v="25"/>
    <n v="200"/>
    <s v=""/>
    <x v="0"/>
  </r>
  <r>
    <n v="509"/>
    <s v="Kings"/>
    <s v="Private Pay"/>
    <s v="Other"/>
    <s v="Private"/>
    <s v="PA Hourly"/>
    <m/>
    <x v="5"/>
    <s v="HHA"/>
    <s v="Private Pay"/>
    <m/>
    <n v="1"/>
    <n v="5"/>
    <n v="24.75"/>
    <n v="1"/>
    <n v="5"/>
    <n v="24.75"/>
    <s v=""/>
    <x v="0"/>
  </r>
  <r>
    <n v="510"/>
    <s v="Kings"/>
    <s v="Private Pay"/>
    <s v="Other"/>
    <s v="Private"/>
    <s v="PCA Hourly"/>
    <m/>
    <x v="5"/>
    <s v="HHA"/>
    <s v="Private Pay"/>
    <m/>
    <n v="26"/>
    <n v="510"/>
    <n v="2271.25"/>
    <n v="23"/>
    <n v="507"/>
    <n v="2262.5"/>
    <s v=""/>
    <x v="0"/>
  </r>
  <r>
    <n v="511"/>
    <s v="Kings"/>
    <s v="Private Pay"/>
    <s v="Other"/>
    <s v="Private"/>
    <s v="RN Initial (NB)"/>
    <m/>
    <x v="5"/>
    <s v="HHA"/>
    <s v="Private Pay"/>
    <m/>
    <n v="1"/>
    <n v="8"/>
    <n v="3.75"/>
    <n v="1"/>
    <n v="8"/>
    <n v="8"/>
    <s v=""/>
    <x v="0"/>
  </r>
  <r>
    <n v="512"/>
    <s v="Kings"/>
    <s v="Private Pay"/>
    <s v="Other"/>
    <s v="Private"/>
    <s v="RN Initial Visit"/>
    <m/>
    <x v="5"/>
    <s v="HHA"/>
    <s v="Private Pay"/>
    <m/>
    <n v="1"/>
    <n v="24"/>
    <n v="11.25"/>
    <n v="1"/>
    <n v="24"/>
    <n v="24"/>
    <s v=""/>
    <x v="0"/>
  </r>
  <r>
    <n v="513"/>
    <s v="Kings"/>
    <s v="Private Pay"/>
    <s v="Other"/>
    <s v="Private"/>
    <s v="RN Re-Assessment"/>
    <m/>
    <x v="5"/>
    <s v="HHA"/>
    <s v="Private Pay"/>
    <m/>
    <n v="1"/>
    <n v="1"/>
    <n v="1"/>
    <n v="1"/>
    <n v="1"/>
    <n v="1"/>
    <s v=""/>
    <x v="0"/>
  </r>
  <r>
    <n v="514"/>
    <s v="Kings"/>
    <s v="Private Pay"/>
    <s v="Other"/>
    <s v="Private"/>
    <s v="RN Reassessment (NB)"/>
    <m/>
    <x v="5"/>
    <s v="HHA"/>
    <s v="Private Pay"/>
    <m/>
    <n v="1"/>
    <n v="1"/>
    <n v="0.25"/>
    <n v="1"/>
    <n v="1"/>
    <n v="1"/>
    <s v=""/>
    <x v="0"/>
  </r>
  <r>
    <n v="515"/>
    <s v="Kings"/>
    <s v="Private Pay - Select"/>
    <s v="Other"/>
    <s v="Private"/>
    <s v="PA hourly"/>
    <m/>
    <x v="5"/>
    <s v="HHA"/>
    <s v="Private Pay"/>
    <m/>
    <n v="1"/>
    <n v="202"/>
    <n v="2398"/>
    <n v="1"/>
    <n v="202"/>
    <n v="2398"/>
    <s v=""/>
    <x v="0"/>
  </r>
  <r>
    <n v="516"/>
    <s v="Kings"/>
    <s v="Private Pay - Select"/>
    <s v="Other"/>
    <s v="Private"/>
    <s v="PCA Hourly"/>
    <m/>
    <x v="5"/>
    <s v="HHA"/>
    <s v="Private Pay"/>
    <m/>
    <n v="17"/>
    <n v="793"/>
    <n v="5283.25"/>
    <n v="15"/>
    <n v="769"/>
    <n v="5189.75"/>
    <s v=""/>
    <x v="0"/>
  </r>
  <r>
    <n v="517"/>
    <s v="Kings"/>
    <s v="Private Pay - Select"/>
    <s v="Other"/>
    <s v="Private"/>
    <s v="PCA Live-in"/>
    <m/>
    <x v="5"/>
    <s v="HHA"/>
    <s v="Private Pay"/>
    <m/>
    <n v="1"/>
    <n v="65"/>
    <n v="1538"/>
    <n v="1"/>
    <n v="65"/>
    <n v="845"/>
    <s v=""/>
    <x v="0"/>
  </r>
  <r>
    <n v="518"/>
    <s v="Kings"/>
    <s v="Private Pay - Select"/>
    <s v="Other"/>
    <s v="Private"/>
    <s v="PRN (NB)"/>
    <m/>
    <x v="5"/>
    <s v="HHA"/>
    <s v="Private Pay"/>
    <m/>
    <n v="1"/>
    <n v="1"/>
    <n v="0.5"/>
    <n v="1"/>
    <n v="1"/>
    <n v="1"/>
    <s v=""/>
    <x v="0"/>
  </r>
  <r>
    <n v="519"/>
    <s v="Kings"/>
    <s v="Private Pay - Select"/>
    <s v="Other"/>
    <s v="Private"/>
    <s v="RN Initial (NB)"/>
    <m/>
    <x v="5"/>
    <s v="HHA"/>
    <s v="Private Pay"/>
    <m/>
    <n v="13"/>
    <n v="13"/>
    <n v="6.5"/>
    <n v="12"/>
    <n v="12"/>
    <n v="12"/>
    <s v=""/>
    <x v="0"/>
  </r>
  <r>
    <n v="520"/>
    <s v="Kings"/>
    <s v="Private Pay - Select"/>
    <s v="Other"/>
    <s v="Private"/>
    <s v="RN Reassessment (NB)"/>
    <m/>
    <x v="5"/>
    <s v="HHA"/>
    <s v="Private Pay"/>
    <m/>
    <n v="3"/>
    <n v="3"/>
    <n v="1.5"/>
    <n v="3"/>
    <n v="3"/>
    <n v="3"/>
    <s v=""/>
    <x v="0"/>
  </r>
  <r>
    <n v="521"/>
    <s v="Kings"/>
    <s v="Revival Home Health Care"/>
    <s v="CHHA"/>
    <s v="CHHA"/>
    <s v="Rate1"/>
    <s v="S9122"/>
    <x v="0"/>
    <s v="HHA"/>
    <s v="Other"/>
    <s v="CHHA"/>
    <n v="7"/>
    <n v="105"/>
    <n v="417"/>
    <n v="6"/>
    <n v="95"/>
    <n v="377"/>
    <s v=""/>
    <x v="0"/>
  </r>
  <r>
    <n v="522"/>
    <s v="Kings"/>
    <s v="Senior Whole Health PCA (Non Live)"/>
    <s v="Other"/>
    <s v="MLTC"/>
    <s v="PCA Hourly"/>
    <s v="T1019:U1"/>
    <x v="2"/>
    <s v="HHA"/>
    <s v="MC Medicaid HHA"/>
    <m/>
    <n v="1"/>
    <n v="94"/>
    <n v="1119"/>
    <n v="0"/>
    <n v="0"/>
    <m/>
    <s v=""/>
    <x v="0"/>
  </r>
  <r>
    <n v="523"/>
    <s v="Kings"/>
    <s v="Senior Whole Health PCA (Non Live)"/>
    <s v="Other"/>
    <s v="MLTC"/>
    <s v="RN Reassessment (NB)"/>
    <m/>
    <x v="3"/>
    <s v="HHA"/>
    <s v="MC Medicaid HHA"/>
    <m/>
    <n v="1"/>
    <n v="1"/>
    <n v="1"/>
    <n v="1"/>
    <n v="1"/>
    <n v="1"/>
    <s v="Nursing override"/>
    <x v="0"/>
  </r>
  <r>
    <n v="524"/>
    <s v="Kings"/>
    <s v="Shining Star Home Care CHHA"/>
    <s v="CHHA"/>
    <s v="CHHA"/>
    <s v="Rate1"/>
    <s v="xxxx"/>
    <x v="0"/>
    <s v="HHA"/>
    <s v="Other"/>
    <s v="CHHA"/>
    <n v="4"/>
    <n v="414"/>
    <n v="2768.5"/>
    <n v="2"/>
    <n v="364"/>
    <n v="2430.5"/>
    <s v=""/>
    <x v="0"/>
  </r>
  <r>
    <n v="525"/>
    <s v="Kings"/>
    <s v="SWHNY-MLTC (ANT)"/>
    <s v="Other"/>
    <s v="MLTC"/>
    <s v="PRN (NB)"/>
    <m/>
    <x v="3"/>
    <s v="HHA"/>
    <s v="MC Medicaid HHA"/>
    <m/>
    <n v="3"/>
    <n v="4"/>
    <n v="4"/>
    <n v="3"/>
    <n v="4"/>
    <n v="4"/>
    <s v="Nursing override"/>
    <x v="0"/>
  </r>
  <r>
    <n v="526"/>
    <s v="Kings"/>
    <s v="SWHNY-MLTC (ANT)"/>
    <s v="Other"/>
    <s v="MLTC"/>
    <s v="RN Initial (NB)"/>
    <m/>
    <x v="3"/>
    <s v="HHA"/>
    <s v="MC Medicaid HHA"/>
    <m/>
    <n v="9"/>
    <n v="9"/>
    <n v="9"/>
    <n v="7"/>
    <n v="7"/>
    <n v="7"/>
    <s v="Nursing override"/>
    <x v="0"/>
  </r>
  <r>
    <n v="527"/>
    <s v="Kings"/>
    <s v="SWHNY-MLTC (ANT)"/>
    <s v="Other"/>
    <s v="MLTC"/>
    <s v="RN Reassessment (NB)"/>
    <m/>
    <x v="3"/>
    <s v="HHA"/>
    <s v="MC Medicaid HHA"/>
    <m/>
    <n v="22"/>
    <n v="37"/>
    <n v="37"/>
    <n v="22"/>
    <n v="37"/>
    <n v="37"/>
    <s v="Nursing override"/>
    <x v="0"/>
  </r>
  <r>
    <n v="528"/>
    <s v="Kings"/>
    <s v="SWHNY-MLTC (ANT)"/>
    <s v="Other"/>
    <s v="MLTC"/>
    <s v="T1019:U1"/>
    <s v="T1019:U1"/>
    <x v="2"/>
    <s v="HHA"/>
    <s v="MC Medicaid HHA"/>
    <m/>
    <n v="35"/>
    <n v="6182"/>
    <n v="44875"/>
    <n v="32"/>
    <n v="6041"/>
    <n v="44132"/>
    <s v=""/>
    <x v="0"/>
  </r>
  <r>
    <n v="529"/>
    <s v="Kings"/>
    <s v="SWHNY-MLTC (ANT)"/>
    <s v="Other"/>
    <s v="MLTC"/>
    <s v="T1020"/>
    <s v="T1020"/>
    <x v="8"/>
    <s v="HHA"/>
    <s v="MC Medicaid HHA"/>
    <m/>
    <n v="2"/>
    <n v="482"/>
    <n v="6266"/>
    <n v="2"/>
    <n v="482"/>
    <n v="6266"/>
    <s v=""/>
    <x v="0"/>
  </r>
  <r>
    <n v="533"/>
    <s v="Kings"/>
    <s v="SWHNY-MLTC (CDP)"/>
    <s v="Other"/>
    <s v="CDPAP"/>
    <s v="PRN (NB)"/>
    <m/>
    <x v="3"/>
    <s v="HHA"/>
    <s v="MC Medicaid HHA"/>
    <m/>
    <n v="1"/>
    <n v="1"/>
    <n v="1"/>
    <n v="1"/>
    <n v="1"/>
    <n v="1"/>
    <s v="Nursing override"/>
    <x v="0"/>
  </r>
  <r>
    <n v="534"/>
    <s v="Kings"/>
    <s v="SWHNY-MLTC (CDP)"/>
    <s v="Other"/>
    <s v="CDPAP"/>
    <s v="RN Visit"/>
    <m/>
    <x v="3"/>
    <s v="HHA"/>
    <s v="MC Medicaid HHA"/>
    <m/>
    <n v="1"/>
    <n v="1"/>
    <n v="1"/>
    <n v="1"/>
    <n v="1"/>
    <n v="1"/>
    <s v="nursing"/>
    <x v="0"/>
  </r>
  <r>
    <n v="535"/>
    <s v="Kings"/>
    <s v="SWHNY-MLTC (CDP)"/>
    <s v="Other"/>
    <s v="CDPAP"/>
    <s v="T1019:U1"/>
    <s v="T1019:U1"/>
    <x v="2"/>
    <s v="HHA"/>
    <s v="MC Medicaid HHA"/>
    <m/>
    <n v="2"/>
    <n v="133"/>
    <n v="1079.25"/>
    <n v="2"/>
    <n v="133"/>
    <n v="1079.25"/>
    <s v=""/>
    <x v="0"/>
  </r>
  <r>
    <n v="536"/>
    <s v="Kings"/>
    <s v="SWHNY-MLTC (CDP)"/>
    <s v="Other"/>
    <s v="CDPAP"/>
    <s v="T1019:U6"/>
    <s v="T1019:U6"/>
    <x v="1"/>
    <s v="CDPAP"/>
    <s v="MC Medicaid CDPAP"/>
    <m/>
    <n v="36"/>
    <n v="8135"/>
    <n v="53003.25"/>
    <n v="32"/>
    <n v="7682"/>
    <n v="50486.25"/>
    <s v=""/>
    <x v="0"/>
  </r>
  <r>
    <n v="537"/>
    <s v="Kings"/>
    <s v="TBI"/>
    <s v="LHCSA"/>
    <s v="Medicaid"/>
    <s v="HCSS 9879"/>
    <s v="9879"/>
    <x v="4"/>
    <s v="HHA"/>
    <s v="Other"/>
    <m/>
    <n v="2"/>
    <n v="1318"/>
    <n v="15487.5"/>
    <n v="2"/>
    <n v="1318"/>
    <n v="15487.5"/>
    <s v=""/>
    <x v="0"/>
  </r>
  <r>
    <n v="538"/>
    <s v="Kings"/>
    <s v="TBI"/>
    <s v="LHCSA"/>
    <s v="Medicaid"/>
    <s v="PRN (NB)"/>
    <m/>
    <x v="4"/>
    <s v="HHA"/>
    <s v="Other"/>
    <m/>
    <n v="1"/>
    <n v="2"/>
    <n v="1.5"/>
    <n v="1"/>
    <n v="2"/>
    <n v="2"/>
    <m/>
    <x v="0"/>
  </r>
  <r>
    <n v="539"/>
    <s v="Kings"/>
    <s v="TBI"/>
    <s v="LHCSA"/>
    <s v="Medicaid"/>
    <s v="RN Reassessment (NB)"/>
    <m/>
    <x v="4"/>
    <s v="HHA"/>
    <s v="Other"/>
    <m/>
    <n v="2"/>
    <n v="4"/>
    <n v="4"/>
    <n v="2"/>
    <n v="4"/>
    <n v="4"/>
    <m/>
    <x v="0"/>
  </r>
  <r>
    <n v="540"/>
    <s v="Kings"/>
    <s v="TBI"/>
    <s v="LHCSA"/>
    <s v="Medicaid"/>
    <s v="Service Coordination (monthly)"/>
    <s v="9851"/>
    <x v="4"/>
    <s v="HHA"/>
    <s v="Other"/>
    <m/>
    <n v="2"/>
    <n v="14"/>
    <n v="3.5"/>
    <n v="2"/>
    <n v="14"/>
    <n v="3.5"/>
    <m/>
    <x v="0"/>
  </r>
  <r>
    <n v="546"/>
    <s v="Kings"/>
    <s v="VillageCare CDPAP"/>
    <s v="MCO"/>
    <s v="CDPAP"/>
    <s v="Live In"/>
    <s v="T1020:U6"/>
    <x v="9"/>
    <s v="CDPAP"/>
    <s v="MC Medicaid CDPAP"/>
    <m/>
    <n v="2"/>
    <n v="95"/>
    <n v="1235"/>
    <n v="1"/>
    <n v="20"/>
    <n v="260"/>
    <s v=""/>
    <x v="0"/>
  </r>
  <r>
    <n v="547"/>
    <s v="Kings"/>
    <s v="VillageCare CDPAP"/>
    <s v="MCO"/>
    <s v="CDPAP"/>
    <s v="PA Hourly"/>
    <s v="T1019:U6"/>
    <x v="1"/>
    <s v="CDPAP"/>
    <s v="MC Medicaid CDPAP"/>
    <m/>
    <n v="245"/>
    <n v="33692"/>
    <n v="170595.5"/>
    <n v="229"/>
    <n v="33052"/>
    <n v="166843.25"/>
    <s v=""/>
    <x v="0"/>
  </r>
  <r>
    <n v="548"/>
    <s v="Kings"/>
    <s v="VillageCare CDPAP"/>
    <s v="MCO"/>
    <s v="CDPAP"/>
    <s v="PA Hourly Mutual"/>
    <s v="T1019:U7"/>
    <x v="10"/>
    <s v="CDPAP"/>
    <s v="MC Medicaid CDPAP"/>
    <m/>
    <n v="7"/>
    <n v="496"/>
    <n v="3430.5"/>
    <n v="7"/>
    <n v="496"/>
    <n v="3430.5"/>
    <s v=""/>
    <x v="0"/>
  </r>
  <r>
    <n v="549"/>
    <s v="Kings"/>
    <s v="VillageCare PCA"/>
    <s v="MLTC"/>
    <s v="MLTC"/>
    <s v="HHA Hourly - S5125"/>
    <s v="S5125"/>
    <x v="6"/>
    <s v="HHA"/>
    <s v="MC Medicaid HHA"/>
    <m/>
    <n v="1"/>
    <n v="8"/>
    <n v="46"/>
    <n v="1"/>
    <n v="8"/>
    <n v="46"/>
    <s v=""/>
    <x v="0"/>
  </r>
  <r>
    <n v="550"/>
    <s v="Kings"/>
    <s v="VillageCare PCA"/>
    <s v="MLTC"/>
    <s v="MLTC"/>
    <s v="LPN"/>
    <s v="T1003"/>
    <x v="4"/>
    <s v="HHA"/>
    <s v="Other"/>
    <m/>
    <n v="1"/>
    <n v="82"/>
    <n v="959.75"/>
    <n v="1"/>
    <n v="82"/>
    <n v="959.75"/>
    <s v=""/>
    <x v="1"/>
  </r>
  <r>
    <n v="551"/>
    <s v="Kings"/>
    <s v="VillageCare PCA"/>
    <s v="MLTC"/>
    <s v="MLTC"/>
    <s v="PCA - Live In"/>
    <s v="T1020"/>
    <x v="8"/>
    <s v="HHA"/>
    <s v="MC Medicaid HHA"/>
    <m/>
    <n v="16"/>
    <n v="3106"/>
    <n v="40378"/>
    <n v="14"/>
    <n v="3075"/>
    <n v="39975"/>
    <s v=""/>
    <x v="0"/>
  </r>
  <r>
    <n v="552"/>
    <s v="Kings"/>
    <s v="VillageCare PCA"/>
    <s v="MLTC"/>
    <s v="MLTC"/>
    <s v="PCA - Live In TV"/>
    <s v="T1020:TV"/>
    <x v="8"/>
    <s v="HHA"/>
    <s v="MC Medicaid HHA"/>
    <m/>
    <n v="11"/>
    <n v="349"/>
    <n v="4537"/>
    <n v="11"/>
    <n v="349"/>
    <n v="4537"/>
    <s v=""/>
    <x v="0"/>
  </r>
  <r>
    <n v="553"/>
    <s v="Kings"/>
    <s v="VillageCare PCA"/>
    <s v="MLTC"/>
    <s v="MLTC"/>
    <s v="PCA Cluster Care"/>
    <s v="T1019:U3"/>
    <x v="11"/>
    <s v="HHA"/>
    <s v="MC Medicaid HHA"/>
    <m/>
    <n v="22"/>
    <n v="1175"/>
    <n v="2644.5"/>
    <n v="22"/>
    <n v="1175"/>
    <n v="2644.5"/>
    <s v=""/>
    <x v="0"/>
  </r>
  <r>
    <n v="554"/>
    <s v="Kings"/>
    <s v="VillageCare PCA"/>
    <s v="MLTC"/>
    <s v="MLTC"/>
    <s v="PCA Hourly"/>
    <s v="T1019:U1"/>
    <x v="2"/>
    <s v="HHA"/>
    <s v="MC Medicaid HHA"/>
    <m/>
    <n v="289"/>
    <n v="31061"/>
    <n v="161033.25"/>
    <n v="279"/>
    <n v="30761"/>
    <n v="159517.5"/>
    <s v=""/>
    <x v="0"/>
  </r>
  <r>
    <n v="555"/>
    <s v="Kings"/>
    <s v="VillageCare PCA"/>
    <s v="MLTC"/>
    <s v="MLTC"/>
    <s v="PCA Hourly"/>
    <s v="T1019:U1:TV"/>
    <x v="2"/>
    <s v="HHA"/>
    <s v="MC Medicaid HHA"/>
    <m/>
    <n v="107"/>
    <n v="4691"/>
    <n v="28459.75"/>
    <n v="104"/>
    <n v="4633"/>
    <n v="28205"/>
    <s v=""/>
    <x v="0"/>
  </r>
  <r>
    <n v="556"/>
    <s v="Kings"/>
    <s v="VillageCare PCA"/>
    <s v="MLTC"/>
    <s v="MLTC"/>
    <s v="PCA Hourly TV"/>
    <s v="T1019:U1:TV"/>
    <x v="2"/>
    <s v="HHA"/>
    <s v="MC Medicaid HHA"/>
    <m/>
    <n v="57"/>
    <n v="699"/>
    <n v="4078.75"/>
    <n v="55"/>
    <n v="675"/>
    <n v="3916.75"/>
    <s v=""/>
    <x v="0"/>
  </r>
  <r>
    <n v="557"/>
    <s v="Kings"/>
    <s v="VillageCare PCA"/>
    <s v="MLTC"/>
    <s v="MLTC"/>
    <s v="PRN (NB)"/>
    <m/>
    <x v="3"/>
    <s v="HHA"/>
    <s v="MC Medicaid HHA"/>
    <m/>
    <n v="22"/>
    <n v="24"/>
    <n v="24"/>
    <n v="22"/>
    <n v="24"/>
    <n v="24"/>
    <s v="Nursing override"/>
    <x v="0"/>
  </r>
  <r>
    <n v="558"/>
    <s v="Kings"/>
    <s v="VillageCare PCA"/>
    <s v="MLTC"/>
    <s v="MLTC"/>
    <s v="RN Initial (NB)"/>
    <m/>
    <x v="3"/>
    <s v="HHA"/>
    <s v="MC Medicaid HHA"/>
    <m/>
    <n v="1"/>
    <n v="1"/>
    <n v="1"/>
    <n v="1"/>
    <n v="1"/>
    <n v="1"/>
    <s v="Nursing override"/>
    <x v="0"/>
  </r>
  <r>
    <n v="559"/>
    <s v="Kings"/>
    <s v="VillageCare PCA"/>
    <s v="MLTC"/>
    <s v="MLTC"/>
    <s v="RN Initial Visit"/>
    <s v="T1030"/>
    <x v="7"/>
    <s v="HHA"/>
    <s v="MC Medicaid HHA"/>
    <m/>
    <n v="179"/>
    <n v="179"/>
    <n v="179"/>
    <n v="172"/>
    <n v="172"/>
    <n v="172"/>
    <s v="nursing"/>
    <x v="0"/>
  </r>
  <r>
    <n v="560"/>
    <s v="Kings"/>
    <s v="VillageCare PCA"/>
    <s v="MLTC"/>
    <s v="MLTC"/>
    <s v="RN Reassessment (NB)"/>
    <m/>
    <x v="3"/>
    <s v="HHA"/>
    <s v="MC Medicaid HHA"/>
    <m/>
    <n v="173"/>
    <n v="259"/>
    <n v="259"/>
    <n v="173"/>
    <n v="259"/>
    <n v="259"/>
    <s v="Nursing override"/>
    <x v="0"/>
  </r>
  <r>
    <n v="561"/>
    <s v="Kings"/>
    <s v="VNS Health Health Plans (ANT)"/>
    <s v="MLTC"/>
    <s v="MLTC"/>
    <s v="PRN (NB)"/>
    <m/>
    <x v="3"/>
    <s v="HHA"/>
    <s v="MC Medicaid HHA"/>
    <m/>
    <n v="14"/>
    <n v="16"/>
    <n v="16"/>
    <n v="14"/>
    <n v="16"/>
    <n v="16"/>
    <s v="Nursing override"/>
    <x v="0"/>
  </r>
  <r>
    <n v="562"/>
    <s v="Kings"/>
    <s v="VNS Health Health Plans (ANT)"/>
    <s v="MLTC"/>
    <s v="MLTC"/>
    <s v="RN Initial (NB)"/>
    <m/>
    <x v="3"/>
    <s v="HHA"/>
    <s v="MC Medicaid HHA"/>
    <m/>
    <n v="61"/>
    <n v="61"/>
    <n v="61"/>
    <n v="54"/>
    <n v="54"/>
    <n v="54"/>
    <s v="Nursing override"/>
    <x v="0"/>
  </r>
  <r>
    <n v="563"/>
    <s v="Kings"/>
    <s v="VNS Health Health Plans (ANT)"/>
    <s v="MLTC"/>
    <s v="MLTC"/>
    <s v="RN Reassessment (NB)"/>
    <m/>
    <x v="3"/>
    <s v="HHA"/>
    <s v="MC Medicaid HHA"/>
    <m/>
    <n v="110"/>
    <n v="165"/>
    <n v="165"/>
    <n v="107"/>
    <n v="161"/>
    <n v="161"/>
    <s v="Nursing override"/>
    <x v="0"/>
  </r>
  <r>
    <n v="564"/>
    <s v="Kings"/>
    <s v="VNS Health Health Plans (ANT)"/>
    <s v="MLTC"/>
    <s v="MLTC"/>
    <s v="T1019U1 BX"/>
    <s v="T1019:U1"/>
    <x v="2"/>
    <s v="HHA"/>
    <s v="MC Medicaid HHA"/>
    <m/>
    <n v="2"/>
    <n v="152"/>
    <n v="956.25"/>
    <n v="2"/>
    <n v="152"/>
    <n v="956.25"/>
    <s v=""/>
    <x v="0"/>
  </r>
  <r>
    <n v="565"/>
    <s v="Kings"/>
    <s v="VNS Health Health Plans (ANT)"/>
    <s v="MLTC"/>
    <s v="MLTC"/>
    <s v="T1019U1 K"/>
    <s v="T1019:U1"/>
    <x v="2"/>
    <s v="HHA"/>
    <s v="MC Medicaid HHA"/>
    <m/>
    <n v="160"/>
    <n v="24250"/>
    <n v="149856.75"/>
    <n v="142"/>
    <n v="23456"/>
    <n v="145401"/>
    <s v=""/>
    <x v="0"/>
  </r>
  <r>
    <n v="566"/>
    <s v="Kings"/>
    <s v="VNS Health Health Plans (ANT)"/>
    <s v="MLTC"/>
    <s v="MLTC"/>
    <s v="T1019U1 K MAP"/>
    <s v="T1019:U1"/>
    <x v="2"/>
    <s v="HHA"/>
    <s v="MC Medicaid HHA"/>
    <m/>
    <n v="1"/>
    <n v="1"/>
    <n v="5"/>
    <n v="1"/>
    <n v="1"/>
    <n v="5"/>
    <s v=""/>
    <x v="0"/>
  </r>
  <r>
    <n v="567"/>
    <s v="Kings"/>
    <s v="VNS Health Health Plans (ANT)"/>
    <s v="MLTC"/>
    <s v="MLTC"/>
    <s v="T1019U1 NYC"/>
    <s v="T1019:U1"/>
    <x v="2"/>
    <s v="HHA"/>
    <s v="MC Medicaid HHA"/>
    <m/>
    <n v="1"/>
    <n v="66"/>
    <n v="205.75"/>
    <n v="1"/>
    <n v="66"/>
    <n v="205.75"/>
    <s v=""/>
    <x v="0"/>
  </r>
  <r>
    <n v="568"/>
    <s v="Kings"/>
    <s v="VNS Health Health Plans (ANT)"/>
    <s v="MLTC"/>
    <s v="MLTC"/>
    <s v="T1019U1 QNS"/>
    <s v="T1019:U1"/>
    <x v="2"/>
    <s v="HHA"/>
    <s v="MC Medicaid HHA"/>
    <m/>
    <n v="1"/>
    <n v="127"/>
    <n v="1365"/>
    <n v="1"/>
    <n v="127"/>
    <n v="1365"/>
    <s v=""/>
    <x v="0"/>
  </r>
  <r>
    <n v="569"/>
    <s v="Kings"/>
    <s v="VNS Health Health Plans (ANT)"/>
    <s v="MLTC"/>
    <s v="MLTC"/>
    <s v="T1019U2 K"/>
    <s v="T1019:U2"/>
    <x v="11"/>
    <s v="HHA"/>
    <s v="MC Medicaid HHA"/>
    <m/>
    <n v="2"/>
    <n v="100"/>
    <n v="485.5"/>
    <n v="2"/>
    <n v="100"/>
    <n v="485.5"/>
    <s v=""/>
    <x v="0"/>
  </r>
  <r>
    <n v="570"/>
    <s v="Kings"/>
    <s v="VNS Health Health Plans (ANT)"/>
    <s v="MLTC"/>
    <s v="MLTC"/>
    <s v="T1020 K"/>
    <s v="T1020"/>
    <x v="8"/>
    <s v="HHA"/>
    <s v="MC Medicaid HHA"/>
    <m/>
    <n v="14"/>
    <n v="3410"/>
    <n v="44330"/>
    <n v="14"/>
    <n v="3410"/>
    <n v="44330"/>
    <s v=""/>
    <x v="0"/>
  </r>
  <r>
    <n v="575"/>
    <s v="Kings"/>
    <s v="VNS Health Health Plans (CDP)"/>
    <s v="MLTC"/>
    <s v="CDPAP"/>
    <s v="T1019U6 K"/>
    <s v="T1019:U6"/>
    <x v="1"/>
    <s v="CDPAP"/>
    <s v="MC Medicaid CDPAP"/>
    <m/>
    <n v="102"/>
    <n v="22510"/>
    <n v="128151.5"/>
    <n v="96"/>
    <n v="22041"/>
    <n v="124961"/>
    <s v=""/>
    <x v="0"/>
  </r>
  <r>
    <n v="576"/>
    <s v="Kings"/>
    <s v="VNS Health Health Plans (CDP)"/>
    <s v="MLTC"/>
    <s v="CDPAP"/>
    <s v="T1019U6 NYC"/>
    <s v="T1019:U6"/>
    <x v="1"/>
    <s v="CDPAP"/>
    <s v="MC Medicaid CDPAP"/>
    <m/>
    <n v="1"/>
    <n v="31"/>
    <n v="159"/>
    <n v="0"/>
    <n v="0"/>
    <m/>
    <s v=""/>
    <x v="0"/>
  </r>
  <r>
    <n v="577"/>
    <s v="Kings"/>
    <s v="VNS Health Health Plans (CDP)"/>
    <s v="MLTC"/>
    <s v="CDPAP"/>
    <s v="T1019U7 K"/>
    <s v="T1019:U7"/>
    <x v="10"/>
    <s v="CDPAP"/>
    <s v="MC Medicaid CDPAP"/>
    <m/>
    <n v="2"/>
    <n v="944"/>
    <n v="5621.5"/>
    <n v="2"/>
    <n v="944"/>
    <n v="5621.5"/>
    <s v=""/>
    <x v="0"/>
  </r>
  <r>
    <n v="578"/>
    <s v="Kings"/>
    <s v="VNS Health Health Plans (CDP)"/>
    <s v="MLTC"/>
    <s v="CDPAP"/>
    <s v="T1020U6 K"/>
    <s v="T1020:U6"/>
    <x v="9"/>
    <s v="CDPAP"/>
    <s v="MC Medicaid CDPAP"/>
    <m/>
    <n v="2"/>
    <n v="161"/>
    <n v="2093"/>
    <n v="1"/>
    <n v="17"/>
    <n v="221"/>
    <s v=""/>
    <x v="0"/>
  </r>
  <r>
    <n v="579"/>
    <s v="Kings"/>
    <s v="VNSNY CHOICE CDPAP"/>
    <s v="MLTC"/>
    <s v="CDPAP"/>
    <s v="PA Hourly"/>
    <s v="T1019:U6"/>
    <x v="1"/>
    <s v="CDPAP"/>
    <s v="MC Medicaid CDPAP"/>
    <m/>
    <n v="1"/>
    <n v="3"/>
    <n v="16.25"/>
    <n v="1"/>
    <n v="3"/>
    <n v="16.25"/>
    <s v=""/>
    <x v="0"/>
  </r>
  <r>
    <n v="580"/>
    <s v="Kings"/>
    <s v="VNSNY CHOICE PCA"/>
    <s v="LHCSA"/>
    <s v="MLTC"/>
    <s v="PCA Hourly"/>
    <s v="T1019:U1"/>
    <x v="2"/>
    <s v="HHA"/>
    <s v="MC Medicaid HHA"/>
    <m/>
    <n v="1"/>
    <n v="51"/>
    <n v="301"/>
    <n v="0"/>
    <n v="0"/>
    <m/>
    <s v=""/>
    <x v="0"/>
  </r>
  <r>
    <n v="581"/>
    <s v="Kings"/>
    <s v="VNSNY CHOICE PCA"/>
    <s v="LHCSA"/>
    <s v="MLTC"/>
    <s v="PCA Hourly Housekeeping"/>
    <s v="S5130:U1::::S5130"/>
    <x v="6"/>
    <s v="HHA"/>
    <s v="MC Medicaid HHA"/>
    <m/>
    <n v="1"/>
    <n v="14"/>
    <n v="52"/>
    <n v="1"/>
    <n v="14"/>
    <n v="52"/>
    <s v=""/>
    <x v="0"/>
  </r>
  <r>
    <n v="582"/>
    <s v="Kings"/>
    <s v="VNSNY CHOICE PCA"/>
    <s v="LHCSA"/>
    <s v="MLTC"/>
    <s v="RN Initial (NB)"/>
    <m/>
    <x v="3"/>
    <s v="HHA"/>
    <s v="MC Medicaid HHA"/>
    <m/>
    <n v="3"/>
    <n v="3"/>
    <n v="3"/>
    <n v="2"/>
    <n v="2"/>
    <n v="2"/>
    <s v="Nursing override"/>
    <x v="0"/>
  </r>
  <r>
    <n v="583"/>
    <s v="Kings"/>
    <s v="VNSNY CHOICE PCA"/>
    <s v="LHCSA"/>
    <s v="MLTC"/>
    <s v="RN Reassessment (NB)"/>
    <m/>
    <x v="3"/>
    <s v="HHA"/>
    <s v="MC Medicaid HHA"/>
    <m/>
    <n v="2"/>
    <n v="2"/>
    <n v="2"/>
    <n v="1"/>
    <n v="1"/>
    <n v="1"/>
    <s v="Nursing override"/>
    <x v="0"/>
  </r>
  <r>
    <n v="584"/>
    <s v="Kings"/>
    <s v="Your Choice at Home"/>
    <s v="CHHA"/>
    <s v="CHHA"/>
    <s v="2610"/>
    <s v="2610"/>
    <x v="0"/>
    <s v="HHA"/>
    <s v="Other"/>
    <s v="CHHA"/>
    <n v="283"/>
    <n v="42349"/>
    <n v="374553.75"/>
    <n v="275"/>
    <n v="41993"/>
    <n v="371287.25"/>
    <s v=""/>
    <x v="0"/>
  </r>
  <r>
    <n v="585"/>
    <s v="Kings"/>
    <s v="Your Choice at Home"/>
    <s v="CHHA"/>
    <s v="CHHA"/>
    <s v="S9122"/>
    <s v="S9122"/>
    <x v="0"/>
    <s v="HHA"/>
    <s v="Other"/>
    <s v="CHHA"/>
    <n v="2"/>
    <n v="6"/>
    <n v="22"/>
    <n v="2"/>
    <n v="6"/>
    <n v="22"/>
    <s v=""/>
    <x v="0"/>
  </r>
  <r>
    <n v="587"/>
    <s v="Lewis"/>
    <s v="Fidelis Care (CDP)"/>
    <s v="LHCSA"/>
    <s v="CDPAP"/>
    <s v="T1019:U6"/>
    <s v="T1019:U6"/>
    <x v="1"/>
    <s v="CDPAP"/>
    <s v="MC Medicaid CDPAP"/>
    <m/>
    <n v="2"/>
    <n v="500"/>
    <n v="2522"/>
    <n v="2"/>
    <n v="500"/>
    <n v="2522"/>
    <s v=""/>
    <x v="0"/>
  </r>
  <r>
    <n v="590"/>
    <s v="Lewis"/>
    <s v="Nascentia Health Options CDPAP"/>
    <s v="MLTC"/>
    <s v="CDPAP"/>
    <s v="PA Hourly"/>
    <s v="T1019:U6"/>
    <x v="1"/>
    <s v="CDPAP"/>
    <s v="MC Medicaid CDPAP"/>
    <m/>
    <n v="2"/>
    <n v="415"/>
    <n v="3584.75"/>
    <n v="2"/>
    <n v="415"/>
    <n v="3584.75"/>
    <s v=""/>
    <x v="0"/>
  </r>
  <r>
    <n v="592"/>
    <s v="Livingston"/>
    <s v="Fidelis Care (CDP)"/>
    <s v="LHCSA"/>
    <s v="CDPAP"/>
    <s v="T1019:U6"/>
    <s v="T1019:U6"/>
    <x v="1"/>
    <s v="CDPAP"/>
    <s v="MC Medicaid CDPAP"/>
    <m/>
    <n v="5"/>
    <n v="684"/>
    <n v="3477"/>
    <n v="5"/>
    <n v="684"/>
    <n v="3477"/>
    <s v=""/>
    <x v="0"/>
  </r>
  <r>
    <n v="594"/>
    <s v="Livingston"/>
    <s v="Nascentia Health Options CDPAP"/>
    <s v="MLTC"/>
    <s v="CDPAP"/>
    <s v="PA Hourly"/>
    <s v="T1019:U6"/>
    <x v="1"/>
    <s v="CDPAP"/>
    <s v="MC Medicaid CDPAP"/>
    <m/>
    <n v="1"/>
    <n v="277"/>
    <n v="873"/>
    <n v="1"/>
    <n v="277"/>
    <n v="873"/>
    <s v=""/>
    <x v="0"/>
  </r>
  <r>
    <n v="596"/>
    <s v="Madison"/>
    <s v="Fidelis Care (CDP)"/>
    <s v="LHCSA"/>
    <s v="CDPAP"/>
    <s v="T1019:U6"/>
    <s v="T1019:U6"/>
    <x v="1"/>
    <s v="CDPAP"/>
    <s v="MC Medicaid CDPAP"/>
    <m/>
    <n v="3"/>
    <n v="301"/>
    <n v="1280.5"/>
    <n v="3"/>
    <n v="301"/>
    <n v="1280.5"/>
    <s v=""/>
    <x v="0"/>
  </r>
  <r>
    <n v="600"/>
    <s v="Madison"/>
    <s v="VNS Health Health Plans (CDP)"/>
    <s v="MLTC"/>
    <s v="CDPAP"/>
    <s v="T1019U6 MAD"/>
    <s v="T1019:U6"/>
    <x v="1"/>
    <s v="CDPAP"/>
    <s v="MC Medicaid CDPAP"/>
    <m/>
    <n v="5"/>
    <n v="1076"/>
    <n v="6161.25"/>
    <n v="5"/>
    <n v="1076"/>
    <n v="6161.25"/>
    <s v=""/>
    <x v="0"/>
  </r>
  <r>
    <n v="601"/>
    <s v="Monroe"/>
    <s v="Elderwood Health Plan"/>
    <s v="MCO"/>
    <s v="CDPAP"/>
    <s v="PA Hourly"/>
    <s v="T1019:U6"/>
    <x v="1"/>
    <s v="CDPAP"/>
    <s v="MC Medicaid CDPAP"/>
    <m/>
    <n v="10"/>
    <n v="771"/>
    <n v="3447.75"/>
    <n v="9"/>
    <n v="684"/>
    <n v="3189.5"/>
    <s v=""/>
    <x v="0"/>
  </r>
  <r>
    <n v="604"/>
    <s v="Monroe"/>
    <s v="Fidelis Care (CDP)"/>
    <s v="LHCSA"/>
    <s v="CDPAP"/>
    <s v="T1019:U6"/>
    <s v="T1019:U6"/>
    <x v="1"/>
    <s v="CDPAP"/>
    <s v="MC Medicaid CDPAP"/>
    <m/>
    <n v="34"/>
    <n v="5438"/>
    <n v="24882.25"/>
    <n v="34"/>
    <n v="5438"/>
    <n v="24882.25"/>
    <s v=""/>
    <x v="0"/>
  </r>
  <r>
    <n v="607"/>
    <s v="Monroe"/>
    <s v="Nascentia Health Options CDPAP"/>
    <s v="MLTC"/>
    <s v="CDPAP"/>
    <s v="PA Hourly"/>
    <s v="T1019:U6"/>
    <x v="1"/>
    <s v="CDPAP"/>
    <s v="MC Medicaid CDPAP"/>
    <m/>
    <n v="9"/>
    <n v="1779"/>
    <n v="11779.75"/>
    <n v="9"/>
    <n v="1779"/>
    <n v="11779.75"/>
    <s v=""/>
    <x v="0"/>
  </r>
  <r>
    <n v="612"/>
    <s v="Monroe"/>
    <s v="VNS Health Health Plans (CDP)"/>
    <s v="MLTC"/>
    <s v="CDPAP"/>
    <s v="T1019U6 MRE"/>
    <s v="T1019:U6"/>
    <x v="1"/>
    <s v="CDPAP"/>
    <s v="MC Medicaid CDPAP"/>
    <m/>
    <n v="98"/>
    <n v="19459"/>
    <n v="82692.5"/>
    <n v="97"/>
    <n v="19423"/>
    <n v="82512.5"/>
    <s v=""/>
    <x v="0"/>
  </r>
  <r>
    <n v="613"/>
    <s v="Monroe"/>
    <s v="VNS Health Health Plans (CDP)"/>
    <s v="MLTC"/>
    <s v="CDPAP"/>
    <s v="T1019U6 MRE MAP"/>
    <s v="T1019:U6"/>
    <x v="1"/>
    <s v="CDPAP"/>
    <s v="MC Medicaid CDPAP"/>
    <m/>
    <n v="1"/>
    <n v="6"/>
    <n v="17"/>
    <n v="1"/>
    <n v="6"/>
    <n v="17"/>
    <s v=""/>
    <x v="0"/>
  </r>
  <r>
    <n v="614"/>
    <s v="Monroe"/>
    <s v="VNS Health Health Plans (CDP)"/>
    <s v="MLTC"/>
    <s v="CDPAP"/>
    <s v="T1019U6 SUF"/>
    <s v="T1019:U6"/>
    <x v="1"/>
    <s v="CDPAP"/>
    <s v="MC Medicaid CDPAP"/>
    <m/>
    <n v="1"/>
    <n v="305"/>
    <n v="1216.75"/>
    <n v="1"/>
    <n v="305"/>
    <n v="1216.75"/>
    <s v=""/>
    <x v="0"/>
  </r>
  <r>
    <n v="615"/>
    <s v="Montgomery"/>
    <s v="Fidelis Care (ANT)"/>
    <s v="LHCSA"/>
    <s v="MLTC"/>
    <s v="RN Initial (NB)"/>
    <m/>
    <x v="3"/>
    <s v="HHA"/>
    <s v="MC Medicaid HHA"/>
    <m/>
    <n v="2"/>
    <n v="2"/>
    <n v="2"/>
    <n v="2"/>
    <n v="2"/>
    <n v="2"/>
    <s v="Nursing override"/>
    <x v="0"/>
  </r>
  <r>
    <n v="616"/>
    <s v="Montgomery"/>
    <s v="Fidelis Care (ANT)"/>
    <s v="LHCSA"/>
    <s v="MLTC"/>
    <s v="RN Initial Assement"/>
    <s v="T2024"/>
    <x v="3"/>
    <s v="HHA"/>
    <s v="MC Medicaid HHA"/>
    <m/>
    <n v="2"/>
    <n v="2"/>
    <n v="2"/>
    <n v="2"/>
    <n v="2"/>
    <n v="2"/>
    <s v="nursing"/>
    <x v="0"/>
  </r>
  <r>
    <n v="617"/>
    <s v="Montgomery"/>
    <s v="Fidelis Care (ANT)"/>
    <s v="LHCSA"/>
    <s v="MLTC"/>
    <s v="RN Reassessment (NB)"/>
    <m/>
    <x v="3"/>
    <s v="HHA"/>
    <s v="MC Medicaid HHA"/>
    <m/>
    <n v="2"/>
    <n v="2"/>
    <n v="2"/>
    <n v="2"/>
    <n v="2"/>
    <n v="2"/>
    <s v="Nursing override"/>
    <x v="0"/>
  </r>
  <r>
    <n v="618"/>
    <s v="Montgomery"/>
    <s v="Fidelis Care (ANT)"/>
    <s v="LHCSA"/>
    <s v="MLTC"/>
    <s v="T1019:U1"/>
    <s v="T1019:U1"/>
    <x v="2"/>
    <s v="HHA"/>
    <s v="MC Medicaid HHA"/>
    <m/>
    <n v="4"/>
    <n v="247"/>
    <n v="952.25"/>
    <n v="4"/>
    <n v="247"/>
    <n v="952.25"/>
    <s v=""/>
    <x v="0"/>
  </r>
  <r>
    <n v="621"/>
    <s v="Montgomery"/>
    <s v="Fidelis Care (CDP)"/>
    <s v="LHCSA"/>
    <s v="CDPAP"/>
    <s v="T1019:U6"/>
    <s v="T1019:U6"/>
    <x v="1"/>
    <s v="CDPAP"/>
    <s v="MC Medicaid CDPAP"/>
    <m/>
    <n v="18"/>
    <n v="2484"/>
    <n v="12301.75"/>
    <n v="18"/>
    <n v="2484"/>
    <n v="12301.75"/>
    <s v=""/>
    <x v="0"/>
  </r>
  <r>
    <n v="622"/>
    <s v="Montgomery"/>
    <s v="Fidelis Care PCA (Non Live)"/>
    <s v="MLTC"/>
    <s v="MLTC"/>
    <s v="RN Initial (NB)"/>
    <s v="G0162"/>
    <x v="3"/>
    <s v="HHA"/>
    <s v="MC Medicaid HHA"/>
    <m/>
    <n v="1"/>
    <n v="1"/>
    <n v="1"/>
    <n v="1"/>
    <n v="1"/>
    <n v="1"/>
    <s v="Nursing override"/>
    <x v="0"/>
  </r>
  <r>
    <n v="623"/>
    <s v="Montgomery"/>
    <s v="Nascentia Health Options CDPAP"/>
    <s v="MLTC"/>
    <s v="CDPAP"/>
    <s v="PA Hourly"/>
    <s v="T1019:U6"/>
    <x v="1"/>
    <s v="CDPAP"/>
    <s v="MC Medicaid CDPAP"/>
    <m/>
    <n v="1"/>
    <n v="84"/>
    <n v="334.75"/>
    <n v="1"/>
    <n v="84"/>
    <n v="334.75"/>
    <s v=""/>
    <x v="0"/>
  </r>
  <r>
    <n v="626"/>
    <s v="Montgomery"/>
    <s v="VNS Health Health Plans (CDP)"/>
    <s v="MLTC"/>
    <s v="CDPAP"/>
    <s v="T1019U6 MGY"/>
    <s v="T1019:U6"/>
    <x v="1"/>
    <s v="CDPAP"/>
    <s v="MC Medicaid CDPAP"/>
    <m/>
    <n v="9"/>
    <n v="1975"/>
    <n v="8225.75"/>
    <n v="9"/>
    <n v="1975"/>
    <n v="8225.75"/>
    <s v=""/>
    <x v="0"/>
  </r>
  <r>
    <n v="627"/>
    <s v="Montgomery"/>
    <s v="VNS Health Health Plans (CDP)"/>
    <s v="MLTC"/>
    <s v="CDPAP"/>
    <s v="T1019U6 MGY MAP"/>
    <s v="T1019:U6"/>
    <x v="1"/>
    <s v="CDPAP"/>
    <s v="MC Medicaid CDPAP"/>
    <m/>
    <n v="1"/>
    <n v="72"/>
    <n v="413.25"/>
    <n v="1"/>
    <n v="72"/>
    <n v="413.25"/>
    <s v=""/>
    <x v="0"/>
  </r>
  <r>
    <n v="628"/>
    <s v="Nassau"/>
    <s v="Americare"/>
    <s v="CHHA"/>
    <s v="CHHA"/>
    <s v="HHA1"/>
    <s v="S9122"/>
    <x v="0"/>
    <s v="HHA"/>
    <s v="Other"/>
    <s v="CHHA"/>
    <n v="38"/>
    <n v="879"/>
    <n v="3383.25"/>
    <n v="28"/>
    <n v="583"/>
    <n v="2260.75"/>
    <s v=""/>
    <x v="0"/>
  </r>
  <r>
    <n v="629"/>
    <s v="Nassau"/>
    <s v="Americare"/>
    <s v="CHHA"/>
    <s v="CHHA"/>
    <s v="HHAPEDSV"/>
    <s v="S9122"/>
    <x v="0"/>
    <s v="HHA"/>
    <s v="Other"/>
    <s v="CHHA"/>
    <n v="54"/>
    <n v="6841"/>
    <n v="40890"/>
    <n v="50"/>
    <n v="6663"/>
    <n v="39749.5"/>
    <s v=""/>
    <x v="0"/>
  </r>
  <r>
    <n v="631"/>
    <s v="Nassau"/>
    <s v="Amerigroup (Empire) CDPAP"/>
    <s v="MLTC"/>
    <s v="CDPAP"/>
    <s v="PA HOURLY"/>
    <s v="T1019:U6"/>
    <x v="1"/>
    <s v="CDPAP"/>
    <s v="MC Medicaid CDPAP"/>
    <m/>
    <n v="1"/>
    <n v="96"/>
    <n v="592"/>
    <n v="0"/>
    <n v="0"/>
    <m/>
    <s v=""/>
    <x v="0"/>
  </r>
  <r>
    <n v="632"/>
    <s v="Nassau"/>
    <s v="Amerigroup (Empire) PCA"/>
    <s v="MCO"/>
    <s v="Medicaid"/>
    <s v="PCA HOURLY"/>
    <s v="T1019:U1"/>
    <x v="2"/>
    <s v="HHA"/>
    <s v="MC Medicaid HHA"/>
    <m/>
    <n v="2"/>
    <n v="57"/>
    <n v="235.5"/>
    <n v="2"/>
    <n v="57"/>
    <n v="235.5"/>
    <s v=""/>
    <x v="0"/>
  </r>
  <r>
    <n v="633"/>
    <s v="Nassau"/>
    <s v="Amerigroup (Empire) PCA"/>
    <s v="MCO"/>
    <s v="Medicaid"/>
    <s v="RN Initial (NB)"/>
    <m/>
    <x v="3"/>
    <s v="HHA"/>
    <s v="MC Medicaid HHA"/>
    <m/>
    <n v="1"/>
    <n v="1"/>
    <n v="1"/>
    <n v="1"/>
    <n v="1"/>
    <n v="1"/>
    <s v="Nursing override"/>
    <x v="0"/>
  </r>
  <r>
    <n v="634"/>
    <s v="Nassau"/>
    <s v="Amerigroup (Empire) PCA"/>
    <s v="MCO"/>
    <s v="Medicaid"/>
    <s v="RN Initial-NB"/>
    <s v="T1019"/>
    <x v="3"/>
    <s v="HHA"/>
    <s v="MC Medicaid HHA"/>
    <m/>
    <n v="1"/>
    <n v="1"/>
    <n v="1"/>
    <n v="1"/>
    <n v="1"/>
    <n v="1"/>
    <s v="Nursing override"/>
    <x v="0"/>
  </r>
  <r>
    <n v="635"/>
    <s v="Nassau"/>
    <s v="CenterLight HealthCare (PACE) (ANT)"/>
    <s v="Other"/>
    <s v="MLTC"/>
    <s v="RN Reassessment (NB)"/>
    <m/>
    <x v="4"/>
    <s v="HHA"/>
    <s v="Other"/>
    <m/>
    <n v="1"/>
    <n v="2"/>
    <n v="2"/>
    <n v="1"/>
    <n v="2"/>
    <n v="2"/>
    <s v="Nursing override"/>
    <x v="0"/>
  </r>
  <r>
    <n v="636"/>
    <s v="Nassau"/>
    <s v="CenterLight HealthCare (PACE) (ANT)"/>
    <s v="Other"/>
    <s v="MLTC"/>
    <s v="T1019:U1"/>
    <s v="T1019:U1"/>
    <x v="4"/>
    <s v="HHA"/>
    <s v="Other"/>
    <m/>
    <n v="1"/>
    <n v="155"/>
    <n v="929.75"/>
    <n v="1"/>
    <n v="155"/>
    <n v="929.75"/>
    <s v=""/>
    <x v="0"/>
  </r>
  <r>
    <n v="637"/>
    <s v="Nassau"/>
    <s v="CenterLight HealthCare (PACE) (CDP)"/>
    <s v="Other"/>
    <s v="CDPAP"/>
    <s v="T1019:U6"/>
    <s v="T1019:U6"/>
    <x v="4"/>
    <s v="HHA"/>
    <s v="Other"/>
    <m/>
    <n v="2"/>
    <n v="426"/>
    <n v="1725.25"/>
    <n v="2"/>
    <n v="426"/>
    <n v="1725.25"/>
    <s v=""/>
    <x v="0"/>
  </r>
  <r>
    <n v="638"/>
    <s v="Nassau"/>
    <s v="Centers Plan For Health Living PCA"/>
    <s v="MLTC"/>
    <s v="MLTC"/>
    <s v="PCA Hourly"/>
    <s v="T1019:U1"/>
    <x v="2"/>
    <s v="HHA"/>
    <s v="MC Medicaid HHA"/>
    <m/>
    <n v="40"/>
    <n v="4381"/>
    <n v="22414.5"/>
    <n v="34"/>
    <n v="4012"/>
    <n v="20553.5"/>
    <s v=""/>
    <x v="0"/>
  </r>
  <r>
    <n v="639"/>
    <s v="Nassau"/>
    <s v="Centers Plan For Health Living PCA"/>
    <s v="MLTC"/>
    <s v="MLTC"/>
    <s v="PCA Hourly LI &amp; Westchester"/>
    <s v="T1019:U1"/>
    <x v="2"/>
    <s v="HHA"/>
    <s v="MC Medicaid HHA"/>
    <m/>
    <n v="16"/>
    <n v="1343"/>
    <n v="7194.75"/>
    <n v="15"/>
    <n v="1341"/>
    <n v="7174"/>
    <s v=""/>
    <x v="0"/>
  </r>
  <r>
    <n v="640"/>
    <s v="Nassau"/>
    <s v="Centers Plan For Health Living PCA"/>
    <s v="MLTC"/>
    <s v="MLTC"/>
    <s v="PRN (NB)"/>
    <m/>
    <x v="3"/>
    <s v="HHA"/>
    <s v="MC Medicaid HHA"/>
    <m/>
    <n v="2"/>
    <n v="2"/>
    <n v="2"/>
    <n v="1"/>
    <n v="1"/>
    <n v="1"/>
    <s v="Nursing override"/>
    <x v="0"/>
  </r>
  <r>
    <n v="641"/>
    <s v="Nassau"/>
    <s v="Centers Plan For Health Living PCA"/>
    <s v="MLTC"/>
    <s v="MLTC"/>
    <s v="RN Initial (NB)"/>
    <m/>
    <x v="3"/>
    <s v="HHA"/>
    <s v="MC Medicaid HHA"/>
    <m/>
    <n v="31"/>
    <n v="31"/>
    <n v="31"/>
    <n v="28"/>
    <n v="28"/>
    <n v="28"/>
    <s v="Nursing override"/>
    <x v="0"/>
  </r>
  <r>
    <n v="642"/>
    <s v="Nassau"/>
    <s v="Centers Plan For Health Living PCA"/>
    <s v="MLTC"/>
    <s v="MLTC"/>
    <s v="RN Reassessment (NB)"/>
    <m/>
    <x v="3"/>
    <s v="HHA"/>
    <s v="MC Medicaid HHA"/>
    <m/>
    <n v="21"/>
    <n v="32"/>
    <n v="32"/>
    <n v="19"/>
    <n v="30"/>
    <n v="30"/>
    <s v="Nursing override"/>
    <x v="0"/>
  </r>
  <r>
    <n v="646"/>
    <s v="Nassau"/>
    <s v="Centers Plan For Healthy Living CDPAP "/>
    <s v="MLTC"/>
    <s v="CDPAP"/>
    <s v="PA Hourly - 5 Boroughs"/>
    <s v="T1019:U6"/>
    <x v="1"/>
    <s v="CDPAP"/>
    <s v="MC Medicaid CDPAP"/>
    <m/>
    <n v="9"/>
    <n v="1333"/>
    <n v="4979.5"/>
    <n v="9"/>
    <n v="1333"/>
    <n v="4979.5"/>
    <s v=""/>
    <x v="0"/>
  </r>
  <r>
    <n v="647"/>
    <s v="Nassau"/>
    <s v="Centers Plan For Healthy Living CDPAP "/>
    <s v="MLTC"/>
    <s v="CDPAP"/>
    <s v="PA Hourly - Nassau/Suffolk/Westchester:"/>
    <s v="T1019:U6"/>
    <x v="1"/>
    <s v="CDPAP"/>
    <s v="MC Medicaid CDPAP"/>
    <m/>
    <n v="51"/>
    <n v="10452"/>
    <n v="47819.25"/>
    <n v="49"/>
    <n v="10269"/>
    <n v="46764.25"/>
    <s v=""/>
    <x v="0"/>
  </r>
  <r>
    <n v="648"/>
    <s v="Nassau"/>
    <s v="Elderplan MJHS (ANT)"/>
    <s v="MLTC"/>
    <s v="MLTC"/>
    <s v="PRN (NB)"/>
    <m/>
    <x v="3"/>
    <s v="HHA"/>
    <s v="MC Medicaid HHA"/>
    <m/>
    <n v="1"/>
    <n v="1"/>
    <n v="1"/>
    <n v="1"/>
    <n v="1"/>
    <n v="1"/>
    <s v="Nursing override"/>
    <x v="0"/>
  </r>
  <r>
    <n v="649"/>
    <s v="Nassau"/>
    <s v="Elderplan MJHS (ANT)"/>
    <s v="MLTC"/>
    <s v="MLTC"/>
    <s v="RN Initial (NB)"/>
    <m/>
    <x v="3"/>
    <s v="HHA"/>
    <s v="MC Medicaid HHA"/>
    <m/>
    <n v="24"/>
    <n v="24"/>
    <n v="24"/>
    <n v="19"/>
    <n v="19"/>
    <n v="19"/>
    <s v="Nursing override"/>
    <x v="0"/>
  </r>
  <r>
    <n v="650"/>
    <s v="Nassau"/>
    <s v="Elderplan MJHS (ANT)"/>
    <s v="MLTC"/>
    <s v="MLTC"/>
    <s v="RN Reassessment (NB)"/>
    <m/>
    <x v="3"/>
    <s v="HHA"/>
    <s v="MC Medicaid HHA"/>
    <m/>
    <n v="11"/>
    <n v="15"/>
    <n v="15"/>
    <n v="10"/>
    <n v="14"/>
    <n v="14"/>
    <s v="Nursing override"/>
    <x v="0"/>
  </r>
  <r>
    <n v="651"/>
    <s v="Nassau"/>
    <s v="Elderplan MJHS (ANT)"/>
    <s v="MLTC"/>
    <s v="MLTC"/>
    <s v="T1019:U1"/>
    <s v="T1019:U1"/>
    <x v="2"/>
    <s v="HHA"/>
    <s v="MC Medicaid HHA"/>
    <m/>
    <n v="33"/>
    <n v="3772"/>
    <n v="19781.5"/>
    <n v="28"/>
    <n v="3472"/>
    <n v="18041.25"/>
    <s v=""/>
    <x v="0"/>
  </r>
  <r>
    <n v="652"/>
    <s v="Nassau"/>
    <s v="Elderplan MJHS (ANT)"/>
    <s v="MLTC"/>
    <s v="MLTC"/>
    <s v="T1020"/>
    <s v="T1020"/>
    <x v="8"/>
    <s v="HHA"/>
    <s v="MC Medicaid HHA"/>
    <m/>
    <n v="2"/>
    <n v="298"/>
    <n v="3874"/>
    <n v="2"/>
    <n v="298"/>
    <n v="3874"/>
    <s v=""/>
    <x v="0"/>
  </r>
  <r>
    <n v="655"/>
    <s v="Nassau"/>
    <s v="Elderplan MJHS (CDP)"/>
    <s v="MLTC"/>
    <s v="CDPAP"/>
    <s v="T1019:U6"/>
    <s v="T1019:U6"/>
    <x v="1"/>
    <s v="CDPAP"/>
    <s v="MC Medicaid CDPAP"/>
    <m/>
    <n v="17"/>
    <n v="2211"/>
    <n v="10487.75"/>
    <n v="13"/>
    <n v="1835"/>
    <n v="8508.25"/>
    <s v=""/>
    <x v="0"/>
  </r>
  <r>
    <n v="657"/>
    <s v="Nassau"/>
    <s v="ElderServe/Riverspring (CDPAP)"/>
    <s v="MLTC"/>
    <s v="CDPAP"/>
    <s v="PA Hourly - Long Island &amp; Westchester"/>
    <s v="T1019:U6:U4"/>
    <x v="12"/>
    <s v="CDPAP"/>
    <s v="MC Medicaid CDPAP"/>
    <m/>
    <n v="1"/>
    <n v="97"/>
    <n v="418"/>
    <n v="1"/>
    <n v="97"/>
    <n v="418"/>
    <s v=""/>
    <x v="0"/>
  </r>
  <r>
    <n v="658"/>
    <s v="Nassau"/>
    <s v="ElderServe/Riverspring (CDPAP)"/>
    <s v="MLTC"/>
    <s v="CDPAP"/>
    <s v="PA Hourly Mutual Long Island &amp; Westchester"/>
    <s v="T1019:U7:U4"/>
    <x v="13"/>
    <s v="CDPAP"/>
    <s v="MC Medicaid CDPAP"/>
    <m/>
    <n v="2"/>
    <n v="522"/>
    <n v="3131.75"/>
    <n v="2"/>
    <n v="522"/>
    <n v="3131.75"/>
    <s v=""/>
    <x v="0"/>
  </r>
  <r>
    <n v="659"/>
    <s v="Nassau"/>
    <s v="ElderServe/Riverspring (PCA)"/>
    <s v="MLTC"/>
    <s v="MLTC"/>
    <s v="PCA Hourly - LI Westchester"/>
    <s v="T1019:U4"/>
    <x v="14"/>
    <s v="HHA"/>
    <s v="MC Medicaid HHA"/>
    <m/>
    <n v="2"/>
    <n v="73"/>
    <n v="600"/>
    <n v="2"/>
    <n v="73"/>
    <n v="600"/>
    <s v=""/>
    <x v="0"/>
  </r>
  <r>
    <n v="660"/>
    <s v="Nassau"/>
    <s v="ElderServe/Riverspring (PCA)"/>
    <s v="MLTC"/>
    <s v="MLTC"/>
    <s v="PCA Hourly Mutual - LI Westchester"/>
    <s v="T1019 U5"/>
    <x v="11"/>
    <s v="HHA"/>
    <s v="MC Medicaid HHA"/>
    <m/>
    <n v="2"/>
    <n v="311"/>
    <n v="2174"/>
    <n v="2"/>
    <n v="311"/>
    <n v="2174"/>
    <s v=""/>
    <x v="0"/>
  </r>
  <r>
    <n v="661"/>
    <s v="Nassau"/>
    <s v="ElderServe/Riverspring (PCA)"/>
    <s v="MLTC"/>
    <s v="MLTC"/>
    <s v="RN Initial (NB)"/>
    <m/>
    <x v="3"/>
    <s v="HHA"/>
    <s v="MC Medicaid HHA"/>
    <m/>
    <n v="1"/>
    <n v="1"/>
    <n v="1"/>
    <n v="1"/>
    <n v="1"/>
    <n v="1"/>
    <s v="Nursing override"/>
    <x v="0"/>
  </r>
  <r>
    <n v="662"/>
    <s v="Nassau"/>
    <s v="ElderServe/Riverspring (PCA)"/>
    <s v="MLTC"/>
    <s v="MLTC"/>
    <s v="RN Reassessment (NB)"/>
    <m/>
    <x v="3"/>
    <s v="HHA"/>
    <s v="MC Medicaid HHA"/>
    <m/>
    <n v="2"/>
    <n v="2"/>
    <n v="2"/>
    <n v="2"/>
    <n v="2"/>
    <n v="2"/>
    <s v="Nursing override"/>
    <x v="0"/>
  </r>
  <r>
    <n v="665"/>
    <s v="Nassau"/>
    <s v="Empire Blue Cross Blue Shield (CDPAP)"/>
    <s v="Other"/>
    <s v="CDPAP"/>
    <s v="PA Hourly (New)"/>
    <s v="T1019:U6"/>
    <x v="1"/>
    <s v="CDPAP"/>
    <s v="MC Medicaid CDPAP"/>
    <m/>
    <n v="7"/>
    <n v="1195"/>
    <n v="7862.25"/>
    <n v="6"/>
    <n v="1074"/>
    <n v="7204.25"/>
    <s v=""/>
    <x v="0"/>
  </r>
  <r>
    <n v="666"/>
    <s v="Nassau"/>
    <s v="Empire Blue Cross Blue Shield (CDPAP)"/>
    <s v="Other"/>
    <s v="CDPAP"/>
    <s v="PA Hourly - Long Island &amp; Westchester"/>
    <s v="T1019:U6"/>
    <x v="1"/>
    <s v="CDPAP"/>
    <s v="MC Medicaid CDPAP"/>
    <m/>
    <n v="11"/>
    <n v="1886"/>
    <n v="12479"/>
    <n v="11"/>
    <n v="1886"/>
    <n v="12479"/>
    <s v=""/>
    <x v="0"/>
  </r>
  <r>
    <n v="667"/>
    <s v="Nassau"/>
    <s v="Empire Blue Cross Blue Shield (PCA)"/>
    <s v="Other"/>
    <s v="MLTC"/>
    <s v="PCA Hourly - Mutual Long Island"/>
    <s v="T1019:U2"/>
    <x v="11"/>
    <s v="HHA"/>
    <s v="MC Medicaid HHA"/>
    <m/>
    <n v="2"/>
    <n v="215"/>
    <n v="2513.75"/>
    <n v="2"/>
    <n v="215"/>
    <n v="2513.75"/>
    <s v=""/>
    <x v="0"/>
  </r>
  <r>
    <n v="668"/>
    <s v="Nassau"/>
    <s v="Empire Blue Cross Blue Shield (PCA)"/>
    <s v="Other"/>
    <s v="MLTC"/>
    <s v="PCA Hourly LI &amp; Westchester"/>
    <s v="T1019:U1"/>
    <x v="2"/>
    <s v="HHA"/>
    <s v="MC Medicaid HHA"/>
    <m/>
    <n v="22"/>
    <n v="2506"/>
    <n v="18950"/>
    <n v="22"/>
    <n v="2506"/>
    <n v="18950"/>
    <s v=""/>
    <x v="0"/>
  </r>
  <r>
    <n v="669"/>
    <s v="Nassau"/>
    <s v="Empire Blue Cross Blue Shield (PCA)"/>
    <s v="Other"/>
    <s v="MLTC"/>
    <s v="PCA Hourly NYC"/>
    <s v="T1019:U1"/>
    <x v="2"/>
    <s v="HHA"/>
    <s v="MC Medicaid HHA"/>
    <m/>
    <n v="6"/>
    <n v="635"/>
    <n v="4191.5"/>
    <n v="6"/>
    <n v="635"/>
    <n v="4191.5"/>
    <s v=""/>
    <x v="0"/>
  </r>
  <r>
    <n v="670"/>
    <s v="Nassau"/>
    <s v="Empire Blue Cross Blue Shield (PCA)"/>
    <s v="Other"/>
    <s v="MLTC"/>
    <s v="PCA Live In"/>
    <s v="T1020"/>
    <x v="8"/>
    <s v="HHA"/>
    <s v="MC Medicaid HHA"/>
    <m/>
    <n v="2"/>
    <n v="17"/>
    <n v="221"/>
    <n v="2"/>
    <n v="17"/>
    <n v="221"/>
    <s v=""/>
    <x v="0"/>
  </r>
  <r>
    <n v="671"/>
    <s v="Nassau"/>
    <s v="Empire Blue Cross Blue Shield (PCA)"/>
    <s v="Other"/>
    <s v="MLTC"/>
    <s v="PRN (NB)"/>
    <m/>
    <x v="3"/>
    <s v="HHA"/>
    <s v="MC Medicaid HHA"/>
    <m/>
    <n v="3"/>
    <n v="3"/>
    <n v="3"/>
    <n v="3"/>
    <n v="3"/>
    <n v="3"/>
    <s v="Nursing override"/>
    <x v="0"/>
  </r>
  <r>
    <n v="672"/>
    <s v="Nassau"/>
    <s v="Empire Blue Cross Blue Shield (PCA)"/>
    <s v="Other"/>
    <s v="MLTC"/>
    <s v="RN Initial (NB)"/>
    <m/>
    <x v="3"/>
    <s v="HHA"/>
    <s v="MC Medicaid HHA"/>
    <m/>
    <n v="16"/>
    <n v="16"/>
    <n v="16"/>
    <n v="16"/>
    <n v="16"/>
    <n v="16"/>
    <s v="Nursing override"/>
    <x v="0"/>
  </r>
  <r>
    <n v="673"/>
    <s v="Nassau"/>
    <s v="Empire Blue Cross Blue Shield (PCA)"/>
    <s v="Other"/>
    <s v="MLTC"/>
    <s v="RN Reassessment (NB)"/>
    <m/>
    <x v="3"/>
    <s v="HHA"/>
    <s v="MC Medicaid HHA"/>
    <m/>
    <n v="9"/>
    <n v="16"/>
    <n v="16"/>
    <n v="9"/>
    <n v="16"/>
    <n v="16"/>
    <s v="Nursing override"/>
    <x v="0"/>
  </r>
  <r>
    <n v="674"/>
    <s v="Nassau"/>
    <s v="Excellent Home Care Services"/>
    <s v="CHHA"/>
    <s v="CHHA"/>
    <s v="Rate3"/>
    <m/>
    <x v="0"/>
    <s v="HHA"/>
    <s v="Other"/>
    <s v="CHHA"/>
    <n v="12"/>
    <n v="1322"/>
    <n v="7343.75"/>
    <n v="11"/>
    <n v="1288"/>
    <n v="7152.75"/>
    <s v=""/>
    <x v="0"/>
  </r>
  <r>
    <n v="675"/>
    <s v="Nassau"/>
    <s v="Extended Home Care"/>
    <s v="CHHA"/>
    <s v="CHHA"/>
    <s v="PedCode95"/>
    <s v="-"/>
    <x v="0"/>
    <s v="HHA"/>
    <s v="Other"/>
    <s v="CHHA"/>
    <n v="13"/>
    <n v="1222"/>
    <n v="7853.5"/>
    <n v="12"/>
    <n v="1208"/>
    <n v="7735"/>
    <s v=""/>
    <x v="0"/>
  </r>
  <r>
    <n v="676"/>
    <s v="Nassau"/>
    <s v="Extended Home Care"/>
    <s v="CHHA"/>
    <s v="CHHA"/>
    <s v="Rate1"/>
    <m/>
    <x v="0"/>
    <s v="HHA"/>
    <s v="Other"/>
    <s v="CHHA"/>
    <n v="33"/>
    <n v="1078"/>
    <n v="5136.25"/>
    <n v="27"/>
    <n v="1029"/>
    <n v="4940.75"/>
    <s v=""/>
    <x v="0"/>
  </r>
  <r>
    <n v="677"/>
    <s v="Nassau"/>
    <s v="Extended Home Care"/>
    <s v="CHHA"/>
    <s v="CHHA"/>
    <s v="Rate4HMO"/>
    <s v="0"/>
    <x v="0"/>
    <s v="HHA"/>
    <s v="Other"/>
    <s v="CHHA"/>
    <n v="1"/>
    <n v="7"/>
    <n v="26"/>
    <n v="0"/>
    <n v="0"/>
    <m/>
    <s v=""/>
    <x v="0"/>
  </r>
  <r>
    <n v="678"/>
    <s v="Nassau"/>
    <s v="Fidelis Care (ANT)"/>
    <s v="LHCSA"/>
    <s v="MLTC"/>
    <s v="PRN (NB)"/>
    <m/>
    <x v="3"/>
    <s v="HHA"/>
    <s v="MC Medicaid HHA"/>
    <m/>
    <n v="4"/>
    <n v="4"/>
    <n v="4"/>
    <n v="4"/>
    <n v="4"/>
    <n v="4"/>
    <s v="Nursing override"/>
    <x v="0"/>
  </r>
  <r>
    <n v="679"/>
    <s v="Nassau"/>
    <s v="Fidelis Care (ANT)"/>
    <s v="LHCSA"/>
    <s v="MLTC"/>
    <s v="RN Initial (NB)"/>
    <m/>
    <x v="3"/>
    <s v="HHA"/>
    <s v="MC Medicaid HHA"/>
    <m/>
    <n v="27"/>
    <n v="27"/>
    <n v="27"/>
    <n v="25"/>
    <n v="25"/>
    <n v="25"/>
    <s v="Nursing override"/>
    <x v="0"/>
  </r>
  <r>
    <n v="680"/>
    <s v="Nassau"/>
    <s v="Fidelis Care (ANT)"/>
    <s v="LHCSA"/>
    <s v="MLTC"/>
    <s v="RN Initial Assement"/>
    <s v="T2024"/>
    <x v="3"/>
    <s v="HHA"/>
    <s v="MC Medicaid HHA"/>
    <m/>
    <n v="22"/>
    <n v="22"/>
    <n v="22"/>
    <n v="22"/>
    <n v="22"/>
    <n v="22"/>
    <s v="nursing"/>
    <x v="0"/>
  </r>
  <r>
    <n v="681"/>
    <s v="Nassau"/>
    <s v="Fidelis Care (ANT)"/>
    <s v="LHCSA"/>
    <s v="MLTC"/>
    <s v="RN Reassessment (NB)"/>
    <m/>
    <x v="3"/>
    <s v="HHA"/>
    <s v="MC Medicaid HHA"/>
    <m/>
    <n v="27"/>
    <n v="34"/>
    <n v="34"/>
    <n v="27"/>
    <n v="34"/>
    <n v="34"/>
    <s v="Nursing override"/>
    <x v="0"/>
  </r>
  <r>
    <n v="682"/>
    <s v="Nassau"/>
    <s v="Fidelis Care (ANT)"/>
    <s v="LHCSA"/>
    <s v="MLTC"/>
    <s v="T1019:U1"/>
    <s v="T1019:U1"/>
    <x v="2"/>
    <s v="HHA"/>
    <s v="MC Medicaid HHA"/>
    <m/>
    <n v="64"/>
    <n v="7102"/>
    <n v="44546.25"/>
    <n v="62"/>
    <n v="7039"/>
    <n v="44228.5"/>
    <s v=""/>
    <x v="0"/>
  </r>
  <r>
    <n v="683"/>
    <s v="Nassau"/>
    <s v="Fidelis Care (ANT)"/>
    <s v="LHCSA"/>
    <s v="MLTC"/>
    <s v="T1019:U3"/>
    <s v="T1019:U3"/>
    <x v="11"/>
    <s v="HHA"/>
    <s v="MC Medicaid HHA"/>
    <m/>
    <n v="4"/>
    <n v="457"/>
    <n v="809.25"/>
    <n v="4"/>
    <n v="457"/>
    <n v="809.25"/>
    <s v=""/>
    <x v="0"/>
  </r>
  <r>
    <n v="684"/>
    <s v="Nassau"/>
    <s v="Fidelis Care (ANT)"/>
    <s v="LHCSA"/>
    <s v="MLTC"/>
    <s v="T1020"/>
    <s v="T1020"/>
    <x v="8"/>
    <s v="HHA"/>
    <s v="MC Medicaid HHA"/>
    <m/>
    <n v="1"/>
    <n v="370"/>
    <n v="4810"/>
    <n v="1"/>
    <n v="370"/>
    <n v="4810"/>
    <s v=""/>
    <x v="0"/>
  </r>
  <r>
    <n v="687"/>
    <s v="Nassau"/>
    <s v="Fidelis Care (CDP)"/>
    <s v="LHCSA"/>
    <s v="CDPAP"/>
    <s v="T1019:U6"/>
    <s v="T1019:U6"/>
    <x v="1"/>
    <s v="CDPAP"/>
    <s v="MC Medicaid CDPAP"/>
    <m/>
    <n v="30"/>
    <n v="5023"/>
    <n v="25671.25"/>
    <n v="29"/>
    <n v="4983"/>
    <n v="25334.25"/>
    <s v=""/>
    <x v="0"/>
  </r>
  <r>
    <n v="688"/>
    <s v="Nassau"/>
    <s v="Fidelis Care PCA (Non Live)"/>
    <s v="MLTC"/>
    <s v="MLTC"/>
    <s v="PCA Hourly"/>
    <s v="T1019:U1"/>
    <x v="2"/>
    <s v="HHA"/>
    <s v="MC Medicaid HHA"/>
    <m/>
    <n v="3"/>
    <n v="58"/>
    <n v="578.75"/>
    <n v="3"/>
    <n v="58"/>
    <n v="578.75"/>
    <s v=""/>
    <x v="0"/>
  </r>
  <r>
    <n v="689"/>
    <s v="Nassau"/>
    <s v="Fidelis Care PCA (Non Live)"/>
    <s v="MLTC"/>
    <s v="MLTC"/>
    <s v="RN Initial (NB)"/>
    <s v="G0162"/>
    <x v="3"/>
    <s v="HHA"/>
    <s v="MC Medicaid HHA"/>
    <m/>
    <n v="2"/>
    <n v="2"/>
    <n v="2"/>
    <n v="2"/>
    <n v="2"/>
    <n v="2"/>
    <s v="Nursing override"/>
    <x v="0"/>
  </r>
  <r>
    <n v="690"/>
    <s v="Nassau"/>
    <s v="Fidelis Care PCA (Non Live)"/>
    <s v="MLTC"/>
    <s v="MLTC"/>
    <s v="Rn initial assement"/>
    <s v="G0162"/>
    <x v="3"/>
    <s v="HHA"/>
    <s v="MC Medicaid HHA"/>
    <m/>
    <n v="2"/>
    <n v="2"/>
    <n v="2"/>
    <n v="2"/>
    <n v="2"/>
    <n v="2"/>
    <s v="nursing"/>
    <x v="0"/>
  </r>
  <r>
    <n v="692"/>
    <s v="Nassau"/>
    <s v="Hamaspik Choice (MLTC) CDPAP"/>
    <s v="MCO"/>
    <s v="CDPAP"/>
    <s v="PA Hourly NYC , Nassau, Westchester"/>
    <s v="T1019:U6"/>
    <x v="1"/>
    <s v="CDPAP"/>
    <s v="MC Medicaid CDPAP"/>
    <m/>
    <n v="1"/>
    <n v="233"/>
    <n v="1431.75"/>
    <n v="1"/>
    <n v="233"/>
    <n v="1431.75"/>
    <s v=""/>
    <x v="0"/>
  </r>
  <r>
    <n v="694"/>
    <s v="Nassau"/>
    <s v="Hamaspik Choice MLTC (PCA)"/>
    <s v="MLTC"/>
    <s v="MLTC"/>
    <s v="PCA Hourly"/>
    <s v="T1019:U1"/>
    <x v="2"/>
    <s v="HHA"/>
    <s v="MC Medicaid HHA"/>
    <m/>
    <n v="3"/>
    <n v="190"/>
    <n v="1032.25"/>
    <n v="3"/>
    <n v="190"/>
    <n v="1032.25"/>
    <s v=""/>
    <x v="0"/>
  </r>
  <r>
    <n v="695"/>
    <s v="Nassau"/>
    <s v="Hamaspik Choice MLTC (PCA)"/>
    <s v="MLTC"/>
    <s v="MLTC"/>
    <s v="RN Initial (NB)"/>
    <m/>
    <x v="3"/>
    <s v="HHA"/>
    <s v="MC Medicaid HHA"/>
    <m/>
    <n v="2"/>
    <n v="2"/>
    <n v="2"/>
    <n v="2"/>
    <n v="2"/>
    <n v="2"/>
    <s v="Nursing override"/>
    <x v="0"/>
  </r>
  <r>
    <n v="696"/>
    <s v="Nassau"/>
    <s v="Hamaspik Choice MLTC (PCA)"/>
    <s v="MLTC"/>
    <s v="MLTC"/>
    <s v="RN Reassessment (NB)"/>
    <m/>
    <x v="3"/>
    <s v="HHA"/>
    <s v="MC Medicaid HHA"/>
    <m/>
    <n v="1"/>
    <n v="2"/>
    <n v="2"/>
    <n v="1"/>
    <n v="2"/>
    <n v="2"/>
    <s v="Nursing override"/>
    <x v="0"/>
  </r>
  <r>
    <n v="699"/>
    <s v="Nassau"/>
    <s v="Hamaspik MAP CDPAP"/>
    <s v="MCO"/>
    <s v="CDPAP"/>
    <s v="PA Hourly (NYC, LI, &amp; Westchester)"/>
    <s v="T1019:U6"/>
    <x v="1"/>
    <s v="CDPAP"/>
    <s v="MC Medicaid CDPAP"/>
    <m/>
    <n v="4"/>
    <n v="814"/>
    <n v="5200"/>
    <n v="4"/>
    <n v="814"/>
    <n v="5200"/>
    <s v=""/>
    <x v="0"/>
  </r>
  <r>
    <n v="701"/>
    <s v="Nassau"/>
    <s v="Hamaspik MAP PCA"/>
    <s v="MCO"/>
    <s v="MLTC"/>
    <s v="PCA Hourly"/>
    <s v="T1019:U1"/>
    <x v="2"/>
    <s v="HHA"/>
    <s v="MC Medicaid HHA"/>
    <m/>
    <n v="1"/>
    <n v="52"/>
    <n v="194.25"/>
    <n v="1"/>
    <n v="52"/>
    <n v="194.25"/>
    <s v=""/>
    <x v="0"/>
  </r>
  <r>
    <n v="702"/>
    <s v="Nassau"/>
    <s v="Hamaspik MAP PCA"/>
    <s v="MCO"/>
    <s v="MLTC"/>
    <s v="RN Initial (NB)"/>
    <m/>
    <x v="3"/>
    <s v="HHA"/>
    <s v="MC Medicaid HHA"/>
    <m/>
    <n v="1"/>
    <n v="1"/>
    <n v="1"/>
    <n v="1"/>
    <n v="1"/>
    <n v="1"/>
    <s v="Nursing override"/>
    <x v="0"/>
  </r>
  <r>
    <n v="704"/>
    <s v="Nassau"/>
    <s v="Healthfirst (ANT)"/>
    <s v="CHHA"/>
    <s v="MLTC"/>
    <s v="PRN (NB)"/>
    <m/>
    <x v="3"/>
    <s v="HHA"/>
    <s v="MC Medicaid HHA"/>
    <m/>
    <n v="2"/>
    <n v="2"/>
    <n v="2"/>
    <n v="2"/>
    <n v="2"/>
    <n v="2"/>
    <s v="Nursing override"/>
    <x v="0"/>
  </r>
  <r>
    <n v="705"/>
    <s v="Nassau"/>
    <s v="Healthfirst (ANT)"/>
    <s v="CHHA"/>
    <s v="MLTC"/>
    <s v="RN Initial (NB)"/>
    <m/>
    <x v="3"/>
    <s v="HHA"/>
    <s v="MC Medicaid HHA"/>
    <m/>
    <n v="16"/>
    <n v="16"/>
    <n v="16"/>
    <n v="16"/>
    <n v="16"/>
    <n v="16"/>
    <s v="Nursing override"/>
    <x v="0"/>
  </r>
  <r>
    <n v="706"/>
    <s v="Nassau"/>
    <s v="Healthfirst (ANT)"/>
    <s v="CHHA"/>
    <s v="MLTC"/>
    <s v="RN Reassessment (NB)"/>
    <m/>
    <x v="3"/>
    <s v="HHA"/>
    <s v="MC Medicaid HHA"/>
    <m/>
    <n v="15"/>
    <n v="22"/>
    <n v="22"/>
    <n v="15"/>
    <n v="22"/>
    <n v="22"/>
    <s v="Nursing override"/>
    <x v="0"/>
  </r>
  <r>
    <n v="707"/>
    <s v="Nassau"/>
    <s v="Healthfirst (ANT)"/>
    <s v="CHHA"/>
    <s v="MLTC"/>
    <s v="S5130:U1"/>
    <s v="S5130:U1"/>
    <x v="6"/>
    <s v="HHA"/>
    <s v="MC Medicaid HHA"/>
    <m/>
    <n v="2"/>
    <n v="7"/>
    <n v="24"/>
    <n v="2"/>
    <n v="7"/>
    <n v="24"/>
    <s v=""/>
    <x v="0"/>
  </r>
  <r>
    <n v="708"/>
    <s v="Nassau"/>
    <s v="Healthfirst (ANT)"/>
    <s v="CHHA"/>
    <s v="MLTC"/>
    <s v="T1019:U1"/>
    <s v="T1019:U1"/>
    <x v="2"/>
    <s v="HHA"/>
    <s v="MC Medicaid HHA"/>
    <m/>
    <n v="25"/>
    <n v="3330"/>
    <n v="21243.75"/>
    <n v="25"/>
    <n v="3330"/>
    <n v="21243.75"/>
    <s v=""/>
    <x v="0"/>
  </r>
  <r>
    <n v="709"/>
    <s v="Nassau"/>
    <s v="Healthfirst (ANT)"/>
    <s v="CHHA"/>
    <s v="MLTC"/>
    <s v="T1019:U6"/>
    <s v="T1019:U6"/>
    <x v="1"/>
    <s v="CDPAP"/>
    <s v="MC Medicaid CDPAP"/>
    <m/>
    <n v="2"/>
    <n v="46"/>
    <n v="276.5"/>
    <n v="2"/>
    <n v="46"/>
    <n v="276.5"/>
    <s v=""/>
    <x v="0"/>
  </r>
  <r>
    <n v="713"/>
    <s v="Nassau"/>
    <s v="Healthfirst (CDP)"/>
    <s v="CHHA"/>
    <s v="CDPAP"/>
    <s v="PRN (NB)"/>
    <m/>
    <x v="3"/>
    <s v="HHA"/>
    <s v="MC Medicaid HHA"/>
    <m/>
    <n v="1"/>
    <n v="1"/>
    <n v="1"/>
    <n v="1"/>
    <n v="1"/>
    <n v="1"/>
    <s v="Nursing override"/>
    <x v="0"/>
  </r>
  <r>
    <n v="714"/>
    <s v="Nassau"/>
    <s v="Healthfirst (CDP)"/>
    <s v="CHHA"/>
    <s v="CDPAP"/>
    <s v="RN Initial (NB)"/>
    <m/>
    <x v="3"/>
    <s v="HHA"/>
    <s v="MC Medicaid HHA"/>
    <m/>
    <n v="1"/>
    <n v="1"/>
    <n v="1"/>
    <n v="1"/>
    <n v="1"/>
    <n v="1"/>
    <s v="Nursing override"/>
    <x v="0"/>
  </r>
  <r>
    <n v="715"/>
    <s v="Nassau"/>
    <s v="Healthfirst (CDP)"/>
    <s v="CHHA"/>
    <s v="CDPAP"/>
    <s v="T1019:U1"/>
    <s v="T1019:U1"/>
    <x v="2"/>
    <s v="HHA"/>
    <s v="MC Medicaid HHA"/>
    <m/>
    <n v="2"/>
    <n v="119"/>
    <n v="705.25"/>
    <n v="2"/>
    <n v="119"/>
    <n v="705.25"/>
    <s v=""/>
    <x v="0"/>
  </r>
  <r>
    <n v="716"/>
    <s v="Nassau"/>
    <s v="Healthfirst (CDP)"/>
    <s v="CHHA"/>
    <s v="CDPAP"/>
    <s v="T1019:U6"/>
    <s v="T1019:U6"/>
    <x v="1"/>
    <s v="CDPAP"/>
    <s v="MC Medicaid CDPAP"/>
    <m/>
    <n v="23"/>
    <n v="3038"/>
    <n v="17597.25"/>
    <n v="23"/>
    <n v="3038"/>
    <n v="17597.25"/>
    <s v=""/>
    <x v="0"/>
  </r>
  <r>
    <n v="717"/>
    <s v="Nassau"/>
    <s v="NHTD"/>
    <s v="LHCSA"/>
    <s v="Medicaid"/>
    <s v="HCSS 9795 LI Nassau Westchester Suffolk"/>
    <s v="9795"/>
    <x v="4"/>
    <s v="HHA"/>
    <s v="Other"/>
    <m/>
    <n v="96"/>
    <n v="29431"/>
    <n v="336529.25"/>
    <n v="96"/>
    <n v="29431"/>
    <n v="336529.25"/>
    <s v=""/>
    <x v="0"/>
  </r>
  <r>
    <n v="718"/>
    <s v="Nassau"/>
    <s v="NHTD"/>
    <s v="LHCSA"/>
    <s v="Medicaid"/>
    <s v="HCSS 9795 NYC"/>
    <s v="9795"/>
    <x v="4"/>
    <s v="HHA"/>
    <s v="Other"/>
    <m/>
    <n v="56"/>
    <n v="9498"/>
    <n v="105855"/>
    <n v="56"/>
    <n v="9498"/>
    <n v="105855"/>
    <s v=""/>
    <x v="0"/>
  </r>
  <r>
    <n v="719"/>
    <s v="Nassau"/>
    <s v="NHTD"/>
    <s v="LHCSA"/>
    <s v="Medicaid"/>
    <s v="Initial RN Visit 9799 (Hourly)"/>
    <s v="9799"/>
    <x v="4"/>
    <s v="HHA"/>
    <s v="Other"/>
    <m/>
    <n v="53"/>
    <n v="53"/>
    <n v="52.75"/>
    <n v="53"/>
    <n v="53"/>
    <n v="53"/>
    <m/>
    <x v="0"/>
  </r>
  <r>
    <n v="720"/>
    <s v="Nassau"/>
    <s v="NHTD"/>
    <s v="LHCSA"/>
    <s v="Medicaid"/>
    <s v="PRN (NB)"/>
    <m/>
    <x v="4"/>
    <s v="HHA"/>
    <s v="Other"/>
    <m/>
    <n v="6"/>
    <n v="6"/>
    <n v="4.75"/>
    <n v="6"/>
    <n v="6"/>
    <n v="6"/>
    <m/>
    <x v="0"/>
  </r>
  <r>
    <n v="721"/>
    <s v="Nassau"/>
    <s v="NHTD"/>
    <s v="LHCSA"/>
    <s v="Medicaid"/>
    <s v="RN Initial (NB)"/>
    <m/>
    <x v="4"/>
    <s v="HHA"/>
    <s v="Other"/>
    <m/>
    <n v="5"/>
    <n v="5"/>
    <n v="5"/>
    <n v="5"/>
    <n v="5"/>
    <n v="5"/>
    <m/>
    <x v="0"/>
  </r>
  <r>
    <n v="722"/>
    <s v="Nassau"/>
    <s v="NHTD"/>
    <s v="LHCSA"/>
    <s v="Medicaid"/>
    <s v="RN Reassessment (NB)"/>
    <m/>
    <x v="4"/>
    <s v="HHA"/>
    <s v="Other"/>
    <m/>
    <n v="1"/>
    <n v="1"/>
    <n v="1"/>
    <n v="1"/>
    <n v="1"/>
    <n v="1"/>
    <m/>
    <x v="0"/>
  </r>
  <r>
    <n v="723"/>
    <s v="Nassau"/>
    <s v="NHTD"/>
    <s v="LHCSA"/>
    <s v="Medicaid"/>
    <s v="RN Visit 9799 (Hourly)"/>
    <s v="9799"/>
    <x v="4"/>
    <s v="HHA"/>
    <s v="Other"/>
    <m/>
    <n v="74"/>
    <n v="114"/>
    <n v="108.75"/>
    <n v="74"/>
    <n v="114"/>
    <n v="114"/>
    <m/>
    <x v="0"/>
  </r>
  <r>
    <n v="724"/>
    <s v="Nassau"/>
    <s v="Non Billable"/>
    <s v="Other"/>
    <s v="Insurance"/>
    <s v="PCA Hourly"/>
    <m/>
    <x v="5"/>
    <s v="HHA"/>
    <s v="Private Pay"/>
    <m/>
    <n v="5"/>
    <n v="5"/>
    <n v="14"/>
    <n v="5"/>
    <n v="5"/>
    <n v="14"/>
    <s v=""/>
    <x v="0"/>
  </r>
  <r>
    <n v="725"/>
    <s v="Nassau"/>
    <s v="Private Pay"/>
    <s v="Other"/>
    <s v="Private"/>
    <s v="PCA Hourly"/>
    <m/>
    <x v="5"/>
    <s v="HHA"/>
    <s v="Private Pay"/>
    <m/>
    <n v="6"/>
    <n v="84"/>
    <n v="221.75"/>
    <n v="6"/>
    <n v="84"/>
    <n v="221.75"/>
    <s v=""/>
    <x v="0"/>
  </r>
  <r>
    <n v="726"/>
    <s v="Nassau"/>
    <s v="Private Pay - Select"/>
    <s v="Other"/>
    <s v="Private"/>
    <s v="HHA Hourly"/>
    <m/>
    <x v="5"/>
    <s v="HHA"/>
    <s v="Private Pay"/>
    <m/>
    <n v="1"/>
    <n v="366"/>
    <n v="366"/>
    <n v="1"/>
    <n v="366"/>
    <n v="366"/>
    <s v=""/>
    <x v="0"/>
  </r>
  <r>
    <n v="727"/>
    <s v="Nassau"/>
    <s v="Private Pay - Select"/>
    <s v="Other"/>
    <s v="Private"/>
    <s v="PCA Hourly"/>
    <m/>
    <x v="5"/>
    <s v="HHA"/>
    <s v="Private Pay"/>
    <m/>
    <n v="8"/>
    <n v="926"/>
    <n v="6193.25"/>
    <n v="7"/>
    <n v="910"/>
    <n v="6086.25"/>
    <s v=""/>
    <x v="0"/>
  </r>
  <r>
    <n v="728"/>
    <s v="Nassau"/>
    <s v="Private Pay - Select"/>
    <s v="Other"/>
    <s v="Private"/>
    <s v="PCA Live-in"/>
    <m/>
    <x v="5"/>
    <s v="HHA"/>
    <s v="Private Pay"/>
    <m/>
    <n v="1"/>
    <n v="373"/>
    <n v="8767.75"/>
    <n v="1"/>
    <n v="373"/>
    <n v="4849"/>
    <s v=""/>
    <x v="0"/>
  </r>
  <r>
    <n v="729"/>
    <s v="Nassau"/>
    <s v="Private Pay - Select"/>
    <s v="Other"/>
    <s v="Private"/>
    <s v="RN Initial (NB)"/>
    <m/>
    <x v="5"/>
    <s v="HHA"/>
    <s v="Private Pay"/>
    <m/>
    <n v="4"/>
    <n v="4"/>
    <n v="2.5"/>
    <n v="3"/>
    <n v="3"/>
    <n v="3"/>
    <s v=""/>
    <x v="0"/>
  </r>
  <r>
    <n v="730"/>
    <s v="Nassau"/>
    <s v="Private Pay - Select"/>
    <s v="Other"/>
    <s v="Private"/>
    <s v="RN Reassessment (NB)"/>
    <m/>
    <x v="5"/>
    <s v="HHA"/>
    <s v="Private Pay"/>
    <m/>
    <n v="4"/>
    <n v="8"/>
    <n v="5.5"/>
    <n v="4"/>
    <n v="8"/>
    <n v="8"/>
    <s v=""/>
    <x v="0"/>
  </r>
  <r>
    <n v="731"/>
    <s v="Nassau"/>
    <s v="Revival Home Health Care"/>
    <s v="CHHA"/>
    <s v="CHHA"/>
    <s v="Rate1"/>
    <s v="S9122"/>
    <x v="0"/>
    <s v="HHA"/>
    <s v="Other"/>
    <s v="CHHA"/>
    <n v="6"/>
    <n v="22"/>
    <n v="85"/>
    <n v="6"/>
    <n v="22"/>
    <n v="85"/>
    <s v=""/>
    <x v="0"/>
  </r>
  <r>
    <n v="732"/>
    <s v="Nassau"/>
    <s v="Royal Care Certified"/>
    <s v="Other"/>
    <s v="CHHA"/>
    <s v="Rate1"/>
    <m/>
    <x v="0"/>
    <s v="HHA"/>
    <s v="Other"/>
    <s v="CHHA"/>
    <n v="39"/>
    <n v="575"/>
    <n v="2228.75"/>
    <n v="35"/>
    <n v="561"/>
    <n v="2182"/>
    <s v=""/>
    <x v="0"/>
  </r>
  <r>
    <n v="733"/>
    <s v="Nassau"/>
    <s v="Royal Care Certified"/>
    <s v="Other"/>
    <s v="CHHA"/>
    <s v="Rate2"/>
    <m/>
    <x v="0"/>
    <s v="HHA"/>
    <s v="Other"/>
    <s v="CHHA"/>
    <n v="15"/>
    <n v="1403"/>
    <n v="7718.75"/>
    <n v="14"/>
    <n v="1376"/>
    <n v="7610.75"/>
    <s v=""/>
    <x v="0"/>
  </r>
  <r>
    <n v="734"/>
    <s v="Nassau"/>
    <s v="Senior Whole Health PCA (Non Live)"/>
    <s v="Other"/>
    <s v="MLTC"/>
    <s v="RN Initial (NB)"/>
    <m/>
    <x v="3"/>
    <s v="HHA"/>
    <s v="MC Medicaid HHA"/>
    <m/>
    <n v="1"/>
    <n v="1"/>
    <n v="1"/>
    <n v="1"/>
    <n v="1"/>
    <n v="1"/>
    <s v="Nursing override"/>
    <x v="0"/>
  </r>
  <r>
    <n v="735"/>
    <s v="Nassau"/>
    <s v="SWHNY-MLTC (ANT)"/>
    <s v="Other"/>
    <s v="MLTC"/>
    <s v="RN Initial (NB)"/>
    <m/>
    <x v="3"/>
    <s v="HHA"/>
    <s v="MC Medicaid HHA"/>
    <m/>
    <n v="2"/>
    <n v="2"/>
    <n v="2"/>
    <n v="2"/>
    <n v="2"/>
    <n v="2"/>
    <s v="Nursing override"/>
    <x v="0"/>
  </r>
  <r>
    <n v="736"/>
    <s v="Nassau"/>
    <s v="SWHNY-MLTC (ANT)"/>
    <s v="Other"/>
    <s v="MLTC"/>
    <s v="RN Reassessment (NB)"/>
    <m/>
    <x v="3"/>
    <s v="HHA"/>
    <s v="MC Medicaid HHA"/>
    <m/>
    <n v="2"/>
    <n v="2"/>
    <n v="2"/>
    <n v="2"/>
    <n v="2"/>
    <n v="2"/>
    <s v="Nursing override"/>
    <x v="0"/>
  </r>
  <r>
    <n v="737"/>
    <s v="Nassau"/>
    <s v="SWHNY-MLTC (ANT)"/>
    <s v="Other"/>
    <s v="MLTC"/>
    <s v="T1019:U1"/>
    <s v="T1019:U1"/>
    <x v="2"/>
    <s v="HHA"/>
    <s v="MC Medicaid HHA"/>
    <m/>
    <n v="3"/>
    <n v="380"/>
    <n v="2587.25"/>
    <n v="3"/>
    <n v="380"/>
    <n v="2587.25"/>
    <s v=""/>
    <x v="0"/>
  </r>
  <r>
    <n v="740"/>
    <s v="Nassau"/>
    <s v="SWHNY-MLTC (CDP)"/>
    <s v="Other"/>
    <s v="CDPAP"/>
    <s v="T1019:U6"/>
    <s v="T1019:U6"/>
    <x v="1"/>
    <s v="CDPAP"/>
    <s v="MC Medicaid CDPAP"/>
    <m/>
    <n v="9"/>
    <n v="1084"/>
    <n v="6233"/>
    <n v="8"/>
    <n v="1070"/>
    <n v="6177"/>
    <s v=""/>
    <x v="0"/>
  </r>
  <r>
    <n v="741"/>
    <s v="Nassau"/>
    <s v="SWHNY-MLTC (CDP)"/>
    <s v="Other"/>
    <s v="CDPAP"/>
    <s v="T1019:U7"/>
    <s v="T1019:U7"/>
    <x v="10"/>
    <s v="CDPAP"/>
    <s v="MC Medicaid CDPAP"/>
    <m/>
    <n v="2"/>
    <n v="58"/>
    <n v="227.25"/>
    <n v="2"/>
    <n v="58"/>
    <n v="227.25"/>
    <s v=""/>
    <x v="0"/>
  </r>
  <r>
    <n v="743"/>
    <s v="Nassau"/>
    <s v="VillageCare CDPAP"/>
    <s v="MCO"/>
    <s v="CDPAP"/>
    <s v="PA Hourly"/>
    <s v="T1019:U6"/>
    <x v="1"/>
    <s v="CDPAP"/>
    <s v="MC Medicaid CDPAP"/>
    <m/>
    <n v="1"/>
    <n v="366"/>
    <n v="1360"/>
    <n v="1"/>
    <n v="366"/>
    <n v="1360"/>
    <s v=""/>
    <x v="0"/>
  </r>
  <r>
    <n v="744"/>
    <s v="Nassau"/>
    <s v="VillageCare PCA"/>
    <s v="MLTC"/>
    <s v="MLTC"/>
    <s v="PCA Hourly"/>
    <s v="T1019:U1"/>
    <x v="2"/>
    <s v="HHA"/>
    <s v="MC Medicaid HHA"/>
    <m/>
    <n v="1"/>
    <n v="9"/>
    <n v="32.75"/>
    <n v="1"/>
    <n v="9"/>
    <n v="32.75"/>
    <s v=""/>
    <x v="0"/>
  </r>
  <r>
    <n v="746"/>
    <s v="Nassau"/>
    <s v="VNS Health Health Plans (ANT)"/>
    <s v="MLTC"/>
    <s v="MLTC"/>
    <s v="PRN (NB)"/>
    <m/>
    <x v="3"/>
    <s v="HHA"/>
    <s v="MC Medicaid HHA"/>
    <m/>
    <n v="7"/>
    <n v="7"/>
    <n v="7"/>
    <n v="7"/>
    <n v="7"/>
    <n v="7"/>
    <s v="Nursing override"/>
    <x v="0"/>
  </r>
  <r>
    <n v="747"/>
    <s v="Nassau"/>
    <s v="VNS Health Health Plans (ANT)"/>
    <s v="MLTC"/>
    <s v="MLTC"/>
    <s v="RN - Initial Visit"/>
    <m/>
    <x v="3"/>
    <s v="HHA"/>
    <s v="MC Medicaid HHA"/>
    <m/>
    <n v="1"/>
    <n v="1"/>
    <n v="1"/>
    <n v="1"/>
    <n v="1"/>
    <n v="1"/>
    <s v="nursing"/>
    <x v="0"/>
  </r>
  <r>
    <n v="748"/>
    <s v="Nassau"/>
    <s v="VNS Health Health Plans (ANT)"/>
    <s v="MLTC"/>
    <s v="MLTC"/>
    <s v="RN Initial (NB)"/>
    <m/>
    <x v="3"/>
    <s v="HHA"/>
    <s v="MC Medicaid HHA"/>
    <m/>
    <n v="83"/>
    <n v="83"/>
    <n v="83"/>
    <n v="77"/>
    <n v="77"/>
    <n v="77"/>
    <s v="Nursing override"/>
    <x v="0"/>
  </r>
  <r>
    <n v="749"/>
    <s v="Nassau"/>
    <s v="VNS Health Health Plans (ANT)"/>
    <s v="MLTC"/>
    <s v="MLTC"/>
    <s v="RN Reassessment (NB)"/>
    <m/>
    <x v="3"/>
    <s v="HHA"/>
    <s v="MC Medicaid HHA"/>
    <m/>
    <n v="56"/>
    <n v="87"/>
    <n v="87"/>
    <n v="55"/>
    <n v="86"/>
    <n v="86"/>
    <s v="Nursing override"/>
    <x v="0"/>
  </r>
  <r>
    <n v="750"/>
    <s v="Nassau"/>
    <s v="VNS Health Health Plans (ANT)"/>
    <s v="MLTC"/>
    <s v="MLTC"/>
    <s v="T1019U1 NAS"/>
    <s v="T1019:U1"/>
    <x v="2"/>
    <s v="HHA"/>
    <s v="MC Medicaid HHA"/>
    <m/>
    <n v="126"/>
    <n v="14610"/>
    <n v="92550.75"/>
    <n v="116"/>
    <n v="14215"/>
    <n v="89731"/>
    <s v=""/>
    <x v="0"/>
  </r>
  <r>
    <n v="751"/>
    <s v="Nassau"/>
    <s v="VNS Health Health Plans (ANT)"/>
    <s v="MLTC"/>
    <s v="MLTC"/>
    <s v="T1019U1 NAS MAP"/>
    <s v="T1019:U1"/>
    <x v="2"/>
    <s v="HHA"/>
    <s v="MC Medicaid HHA"/>
    <m/>
    <n v="2"/>
    <n v="128"/>
    <n v="577.5"/>
    <n v="2"/>
    <n v="128"/>
    <n v="577.5"/>
    <s v=""/>
    <x v="0"/>
  </r>
  <r>
    <n v="752"/>
    <s v="Nassau"/>
    <s v="VNS Health Health Plans (ANT)"/>
    <s v="MLTC"/>
    <s v="MLTC"/>
    <s v="T1019U2 NAS"/>
    <s v="T1019:U2"/>
    <x v="11"/>
    <s v="HHA"/>
    <s v="MC Medicaid HHA"/>
    <m/>
    <n v="6"/>
    <n v="918"/>
    <n v="6944"/>
    <n v="6"/>
    <n v="918"/>
    <n v="6944"/>
    <s v=""/>
    <x v="0"/>
  </r>
  <r>
    <n v="753"/>
    <s v="Nassau"/>
    <s v="VNS Health Health Plans (ANT)"/>
    <s v="MLTC"/>
    <s v="MLTC"/>
    <s v="T1019U6 NAS"/>
    <s v="T1019:U6"/>
    <x v="1"/>
    <s v="CDPAP"/>
    <s v="MC Medicaid CDPAP"/>
    <m/>
    <n v="1"/>
    <n v="354"/>
    <n v="1210"/>
    <n v="1"/>
    <n v="354"/>
    <n v="1210"/>
    <s v=""/>
    <x v="0"/>
  </r>
  <r>
    <n v="754"/>
    <s v="Nassau"/>
    <s v="VNS Health Health Plans (ANT)"/>
    <s v="MLTC"/>
    <s v="MLTC"/>
    <s v="T1020 NAS"/>
    <s v="T1020"/>
    <x v="8"/>
    <s v="HHA"/>
    <s v="MC Medicaid HHA"/>
    <m/>
    <n v="3"/>
    <n v="133"/>
    <n v="1729"/>
    <n v="3"/>
    <n v="133"/>
    <n v="1729"/>
    <s v=""/>
    <x v="0"/>
  </r>
  <r>
    <n v="760"/>
    <s v="Nassau"/>
    <s v="VNS Health Health Plans (CDP)"/>
    <s v="MLTC"/>
    <s v="CDPAP"/>
    <s v="T1019U6 K"/>
    <s v="T1019:U6"/>
    <x v="1"/>
    <s v="CDPAP"/>
    <s v="MC Medicaid CDPAP"/>
    <m/>
    <n v="1"/>
    <n v="99"/>
    <n v="541.75"/>
    <n v="1"/>
    <n v="99"/>
    <n v="541.75"/>
    <s v=""/>
    <x v="0"/>
  </r>
  <r>
    <n v="761"/>
    <s v="Nassau"/>
    <s v="VNS Health Health Plans (CDP)"/>
    <s v="MLTC"/>
    <s v="CDPAP"/>
    <s v="T1019U6 NAS"/>
    <s v="T1019:U6"/>
    <x v="1"/>
    <s v="CDPAP"/>
    <s v="MC Medicaid CDPAP"/>
    <m/>
    <n v="54"/>
    <n v="10018"/>
    <n v="54422.75"/>
    <n v="49"/>
    <n v="9587"/>
    <n v="51789.75"/>
    <s v=""/>
    <x v="0"/>
  </r>
  <r>
    <n v="762"/>
    <s v="Nassau"/>
    <s v="VNS Health Health Plans (CDP)"/>
    <s v="MLTC"/>
    <s v="CDPAP"/>
    <s v="T1019U6 NAS MAP"/>
    <s v="T1019:U6"/>
    <x v="1"/>
    <s v="CDPAP"/>
    <s v="MC Medicaid CDPAP"/>
    <m/>
    <n v="1"/>
    <n v="345"/>
    <n v="1278.25"/>
    <n v="1"/>
    <n v="345"/>
    <n v="1278.25"/>
    <s v=""/>
    <x v="0"/>
  </r>
  <r>
    <n v="763"/>
    <s v="Nassau"/>
    <s v="VNS Health Health Plans (CDP)"/>
    <s v="MLTC"/>
    <s v="CDPAP"/>
    <s v="T1019U7 NAS"/>
    <s v="T1019:U7"/>
    <x v="10"/>
    <s v="CDPAP"/>
    <s v="MC Medicaid CDPAP"/>
    <m/>
    <n v="2"/>
    <n v="53"/>
    <n v="571.25"/>
    <n v="2"/>
    <n v="53"/>
    <n v="571.25"/>
    <s v=""/>
    <x v="0"/>
  </r>
  <r>
    <n v="764"/>
    <s v="Nassau"/>
    <s v="VNS Health Health Plans (CDP)"/>
    <s v="MLTC"/>
    <s v="CDPAP"/>
    <s v="T1020U6 NAS"/>
    <s v="T1020:U6"/>
    <x v="9"/>
    <s v="CDPAP"/>
    <s v="MC Medicaid CDPAP"/>
    <m/>
    <n v="1"/>
    <n v="357"/>
    <n v="4641"/>
    <n v="1"/>
    <n v="357"/>
    <n v="4641"/>
    <s v=""/>
    <x v="0"/>
  </r>
  <r>
    <n v="765"/>
    <s v="Nassau"/>
    <s v="VNSNY CHOICE PCA"/>
    <s v="LHCSA"/>
    <s v="MLTC"/>
    <s v="PCA Hourly"/>
    <s v="T1019:U1"/>
    <x v="2"/>
    <s v="HHA"/>
    <s v="MC Medicaid HHA"/>
    <m/>
    <n v="2"/>
    <n v="30"/>
    <n v="202.75"/>
    <n v="1"/>
    <n v="29"/>
    <n v="201.75"/>
    <s v=""/>
    <x v="0"/>
  </r>
  <r>
    <n v="766"/>
    <s v="Nassau"/>
    <s v="VNSNY CHOICE PCA"/>
    <s v="LHCSA"/>
    <s v="MLTC"/>
    <s v="RN Reassessment (NB)"/>
    <m/>
    <x v="3"/>
    <s v="HHA"/>
    <s v="MC Medicaid HHA"/>
    <m/>
    <n v="1"/>
    <n v="2"/>
    <n v="2"/>
    <n v="1"/>
    <n v="2"/>
    <n v="2"/>
    <s v="Nursing override"/>
    <x v="0"/>
  </r>
  <r>
    <n v="767"/>
    <s v="New York"/>
    <s v="Americare"/>
    <s v="CHHA"/>
    <s v="CHHA"/>
    <s v="HHA1"/>
    <s v="S9122"/>
    <x v="0"/>
    <s v="HHA"/>
    <s v="Other"/>
    <s v="CHHA"/>
    <n v="8"/>
    <n v="149"/>
    <n v="578.25"/>
    <n v="5"/>
    <n v="84"/>
    <n v="328"/>
    <s v=""/>
    <x v="0"/>
  </r>
  <r>
    <n v="768"/>
    <s v="New York"/>
    <s v="Americare"/>
    <s v="CHHA"/>
    <s v="CHHA"/>
    <s v="HHAPEDSV"/>
    <s v="S9122"/>
    <x v="0"/>
    <s v="HHA"/>
    <s v="Other"/>
    <s v="CHHA"/>
    <n v="100"/>
    <n v="12556"/>
    <n v="86039.25"/>
    <n v="90"/>
    <n v="12355"/>
    <n v="84591.5"/>
    <s v=""/>
    <x v="0"/>
  </r>
  <r>
    <n v="770"/>
    <s v="New York"/>
    <s v="Amerigroup (Empire) CDPAP"/>
    <s v="MLTC"/>
    <s v="CDPAP"/>
    <s v="PA HOURLY"/>
    <s v="T1019:U6"/>
    <x v="1"/>
    <s v="CDPAP"/>
    <s v="MC Medicaid CDPAP"/>
    <m/>
    <n v="1"/>
    <n v="54"/>
    <n v="279.5"/>
    <n v="1"/>
    <n v="54"/>
    <n v="279.5"/>
    <s v=""/>
    <x v="0"/>
  </r>
  <r>
    <n v="771"/>
    <s v="New York"/>
    <s v="Archcare Community Life CDPAP"/>
    <s v="MCO"/>
    <s v="CDPAP"/>
    <s v="PA Hourly"/>
    <s v="T1019:U6"/>
    <x v="1"/>
    <s v="CDPAP"/>
    <s v="MC Medicaid CDPAP"/>
    <m/>
    <n v="3"/>
    <n v="285"/>
    <n v="1658.25"/>
    <n v="3"/>
    <n v="285"/>
    <n v="1658.25"/>
    <s v=""/>
    <x v="0"/>
  </r>
  <r>
    <n v="772"/>
    <s v="New York"/>
    <s v="Archcare Community Life PCA"/>
    <s v="MCO"/>
    <s v="MLTC"/>
    <s v="PCA Hourly"/>
    <s v="T1019:U1"/>
    <x v="2"/>
    <s v="HHA"/>
    <s v="MC Medicaid HHA"/>
    <m/>
    <n v="7"/>
    <n v="410"/>
    <n v="2395"/>
    <n v="7"/>
    <n v="410"/>
    <n v="2395"/>
    <s v=""/>
    <x v="0"/>
  </r>
  <r>
    <n v="773"/>
    <s v="New York"/>
    <s v="Archcare Community Life PCA"/>
    <s v="MCO"/>
    <s v="MLTC"/>
    <s v="RN Initial (NB)"/>
    <m/>
    <x v="3"/>
    <s v="HHA"/>
    <s v="MC Medicaid HHA"/>
    <m/>
    <n v="3"/>
    <n v="3"/>
    <n v="3"/>
    <n v="3"/>
    <n v="3"/>
    <n v="3"/>
    <s v="Nursing override"/>
    <x v="0"/>
  </r>
  <r>
    <n v="774"/>
    <s v="New York"/>
    <s v="Archcare Community Life PCA"/>
    <s v="MCO"/>
    <s v="MLTC"/>
    <s v="RN Reassessment (NB)"/>
    <m/>
    <x v="3"/>
    <s v="HHA"/>
    <s v="MC Medicaid HHA"/>
    <m/>
    <n v="3"/>
    <n v="3"/>
    <n v="3"/>
    <n v="3"/>
    <n v="3"/>
    <n v="3"/>
    <s v="Nursing override"/>
    <x v="0"/>
  </r>
  <r>
    <n v="775"/>
    <s v="New York"/>
    <s v="CenterLight HealthCare (PACE) (ANT)"/>
    <s v="Other"/>
    <s v="MLTC"/>
    <s v="RN Initial (NB)"/>
    <m/>
    <x v="4"/>
    <s v="HHA"/>
    <s v="Other"/>
    <m/>
    <n v="1"/>
    <n v="1"/>
    <n v="1"/>
    <n v="1"/>
    <n v="1"/>
    <n v="1"/>
    <s v="Nursing override"/>
    <x v="0"/>
  </r>
  <r>
    <n v="776"/>
    <s v="New York"/>
    <s v="CenterLight HealthCare (PACE) (ANT)"/>
    <s v="Other"/>
    <s v="MLTC"/>
    <s v="T1019:U1"/>
    <s v="T1019:U1"/>
    <x v="4"/>
    <s v="HHA"/>
    <s v="Other"/>
    <m/>
    <n v="1"/>
    <n v="46"/>
    <n v="138"/>
    <n v="1"/>
    <n v="46"/>
    <n v="138"/>
    <s v=""/>
    <x v="0"/>
  </r>
  <r>
    <n v="777"/>
    <s v="New York"/>
    <s v="Centers Plan For Health Living PCA"/>
    <s v="MLTC"/>
    <s v="MLTC"/>
    <s v="PCA Hourly"/>
    <s v="T1019:U1"/>
    <x v="2"/>
    <s v="HHA"/>
    <s v="MC Medicaid HHA"/>
    <m/>
    <n v="32"/>
    <n v="4168"/>
    <n v="22241"/>
    <n v="29"/>
    <n v="4025"/>
    <n v="21471"/>
    <s v=""/>
    <x v="0"/>
  </r>
  <r>
    <n v="778"/>
    <s v="New York"/>
    <s v="Centers Plan For Health Living PCA"/>
    <s v="MLTC"/>
    <s v="MLTC"/>
    <s v="PRN (NB)"/>
    <m/>
    <x v="3"/>
    <s v="HHA"/>
    <s v="MC Medicaid HHA"/>
    <m/>
    <n v="3"/>
    <n v="3"/>
    <n v="3"/>
    <n v="3"/>
    <n v="3"/>
    <n v="3"/>
    <s v="Nursing override"/>
    <x v="0"/>
  </r>
  <r>
    <n v="779"/>
    <s v="New York"/>
    <s v="Centers Plan For Health Living PCA"/>
    <s v="MLTC"/>
    <s v="MLTC"/>
    <s v="RN Initial (NB)"/>
    <m/>
    <x v="3"/>
    <s v="HHA"/>
    <s v="MC Medicaid HHA"/>
    <m/>
    <n v="13"/>
    <n v="13"/>
    <n v="13"/>
    <n v="11"/>
    <n v="11"/>
    <n v="11"/>
    <s v="Nursing override"/>
    <x v="0"/>
  </r>
  <r>
    <n v="780"/>
    <s v="New York"/>
    <s v="Centers Plan For Health Living PCA"/>
    <s v="MLTC"/>
    <s v="MLTC"/>
    <s v="RN Reassessment (NB)"/>
    <m/>
    <x v="3"/>
    <s v="HHA"/>
    <s v="MC Medicaid HHA"/>
    <m/>
    <n v="18"/>
    <n v="30"/>
    <n v="30"/>
    <n v="18"/>
    <n v="30"/>
    <n v="30"/>
    <s v="Nursing override"/>
    <x v="0"/>
  </r>
  <r>
    <n v="784"/>
    <s v="New York"/>
    <s v="Centers Plan For Healthy Living CDPAP "/>
    <s v="MLTC"/>
    <s v="CDPAP"/>
    <s v="PA Hourly - 5 Boroughs"/>
    <s v="T1019:U6"/>
    <x v="1"/>
    <s v="CDPAP"/>
    <s v="MC Medicaid CDPAP"/>
    <m/>
    <n v="37"/>
    <n v="7308"/>
    <n v="34690.5"/>
    <n v="37"/>
    <n v="7308"/>
    <n v="34690.5"/>
    <s v=""/>
    <x v="0"/>
  </r>
  <r>
    <n v="785"/>
    <s v="New York"/>
    <s v="Centers Plan For Healthy Living CDPAP "/>
    <s v="MLTC"/>
    <s v="CDPAP"/>
    <s v="PA Live-In - 5 Boroughs"/>
    <s v="T1020:U6"/>
    <x v="9"/>
    <s v="CDPAP"/>
    <s v="MC Medicaid CDPAP"/>
    <m/>
    <n v="1"/>
    <n v="169"/>
    <n v="2197"/>
    <n v="1"/>
    <n v="169"/>
    <n v="2197"/>
    <s v=""/>
    <x v="0"/>
  </r>
  <r>
    <n v="786"/>
    <s v="New York"/>
    <s v="Elderplan MJHS (ANT)"/>
    <s v="MLTC"/>
    <s v="MLTC"/>
    <s v="PRN (NB)"/>
    <m/>
    <x v="3"/>
    <s v="HHA"/>
    <s v="MC Medicaid HHA"/>
    <m/>
    <n v="2"/>
    <n v="2"/>
    <n v="2"/>
    <n v="1"/>
    <n v="1"/>
    <n v="1"/>
    <s v="Nursing override"/>
    <x v="0"/>
  </r>
  <r>
    <n v="787"/>
    <s v="New York"/>
    <s v="Elderplan MJHS (ANT)"/>
    <s v="MLTC"/>
    <s v="MLTC"/>
    <s v="RN Initial (NB)"/>
    <m/>
    <x v="3"/>
    <s v="HHA"/>
    <s v="MC Medicaid HHA"/>
    <m/>
    <n v="22"/>
    <n v="22"/>
    <n v="22"/>
    <n v="21"/>
    <n v="21"/>
    <n v="21"/>
    <s v="Nursing override"/>
    <x v="0"/>
  </r>
  <r>
    <n v="788"/>
    <s v="New York"/>
    <s v="Elderplan MJHS (ANT)"/>
    <s v="MLTC"/>
    <s v="MLTC"/>
    <s v="RN Reassessment (NB)"/>
    <m/>
    <x v="3"/>
    <s v="HHA"/>
    <s v="MC Medicaid HHA"/>
    <m/>
    <n v="12"/>
    <n v="14"/>
    <n v="14"/>
    <n v="10"/>
    <n v="12"/>
    <n v="12"/>
    <s v="Nursing override"/>
    <x v="0"/>
  </r>
  <r>
    <n v="789"/>
    <s v="New York"/>
    <s v="Elderplan MJHS (ANT)"/>
    <s v="MLTC"/>
    <s v="MLTC"/>
    <s v="T1019:U1"/>
    <s v="T1019:U1"/>
    <x v="2"/>
    <s v="HHA"/>
    <s v="MC Medicaid HHA"/>
    <m/>
    <n v="31"/>
    <n v="2887"/>
    <n v="15511"/>
    <n v="28"/>
    <n v="2583"/>
    <n v="13851.5"/>
    <s v=""/>
    <x v="0"/>
  </r>
  <r>
    <n v="792"/>
    <s v="New York"/>
    <s v="Elderplan MJHS (CDP)"/>
    <s v="MLTC"/>
    <s v="CDPAP"/>
    <s v="T1019:U6"/>
    <s v="T1019:U6"/>
    <x v="1"/>
    <s v="CDPAP"/>
    <s v="MC Medicaid CDPAP"/>
    <m/>
    <n v="9"/>
    <n v="1307"/>
    <n v="7117.5"/>
    <n v="9"/>
    <n v="1307"/>
    <n v="7117.5"/>
    <s v=""/>
    <x v="0"/>
  </r>
  <r>
    <n v="795"/>
    <s v="New York"/>
    <s v="ElderServe/Riverspring (CDPAP)"/>
    <s v="MLTC"/>
    <s v="CDPAP"/>
    <s v="PA Hourly"/>
    <s v="T1019:U6"/>
    <x v="1"/>
    <s v="CDPAP"/>
    <s v="MC Medicaid CDPAP"/>
    <m/>
    <n v="6"/>
    <n v="1125"/>
    <n v="6846.25"/>
    <n v="6"/>
    <n v="1125"/>
    <n v="6846.25"/>
    <s v=""/>
    <x v="0"/>
  </r>
  <r>
    <n v="796"/>
    <s v="New York"/>
    <s v="ElderServe/Riverspring (PCA)"/>
    <s v="MLTC"/>
    <s v="MLTC"/>
    <s v="PCA Hourly - Mutual NYC"/>
    <s v="T1019:U2"/>
    <x v="11"/>
    <s v="HHA"/>
    <s v="MC Medicaid HHA"/>
    <m/>
    <n v="2"/>
    <n v="306"/>
    <n v="1223.75"/>
    <n v="2"/>
    <n v="306"/>
    <n v="1223.75"/>
    <s v=""/>
    <x v="0"/>
  </r>
  <r>
    <n v="797"/>
    <s v="New York"/>
    <s v="ElderServe/Riverspring (PCA)"/>
    <s v="MLTC"/>
    <s v="MLTC"/>
    <s v="PCA Hourly NYC"/>
    <s v="T1019:U1"/>
    <x v="2"/>
    <s v="HHA"/>
    <s v="MC Medicaid HHA"/>
    <m/>
    <n v="18"/>
    <n v="2871"/>
    <n v="17080.75"/>
    <n v="17"/>
    <n v="2842"/>
    <n v="16936"/>
    <s v=""/>
    <x v="0"/>
  </r>
  <r>
    <n v="798"/>
    <s v="New York"/>
    <s v="ElderServe/Riverspring (PCA)"/>
    <s v="MLTC"/>
    <s v="MLTC"/>
    <s v="RN Initial (NB)"/>
    <m/>
    <x v="3"/>
    <s v="HHA"/>
    <s v="MC Medicaid HHA"/>
    <m/>
    <n v="18"/>
    <n v="18"/>
    <n v="18"/>
    <n v="18"/>
    <n v="18"/>
    <n v="18"/>
    <s v="Nursing override"/>
    <x v="0"/>
  </r>
  <r>
    <n v="799"/>
    <s v="New York"/>
    <s v="ElderServe/Riverspring (PCA)"/>
    <s v="MLTC"/>
    <s v="MLTC"/>
    <s v="RN Reassessment (NB)"/>
    <m/>
    <x v="3"/>
    <s v="HHA"/>
    <s v="MC Medicaid HHA"/>
    <m/>
    <n v="15"/>
    <n v="15"/>
    <n v="15"/>
    <n v="15"/>
    <n v="15"/>
    <n v="15"/>
    <s v="Nursing override"/>
    <x v="0"/>
  </r>
  <r>
    <n v="802"/>
    <s v="New York"/>
    <s v="Empire Blue Cross Blue Shield (CDPAP)"/>
    <s v="Other"/>
    <s v="CDPAP"/>
    <s v="PA Hourly (New)"/>
    <s v="T1019:U6"/>
    <x v="1"/>
    <s v="CDPAP"/>
    <s v="MC Medicaid CDPAP"/>
    <m/>
    <n v="20"/>
    <n v="3549"/>
    <n v="22341.75"/>
    <n v="18"/>
    <n v="3386"/>
    <n v="20958"/>
    <s v=""/>
    <x v="0"/>
  </r>
  <r>
    <n v="803"/>
    <s v="New York"/>
    <s v="Empire Blue Cross Blue Shield (PCA)"/>
    <s v="Other"/>
    <s v="MLTC"/>
    <s v="PCA Hourly NYC"/>
    <s v="T1019:U1"/>
    <x v="2"/>
    <s v="HHA"/>
    <s v="MC Medicaid HHA"/>
    <m/>
    <n v="32"/>
    <n v="4854"/>
    <n v="33244.5"/>
    <n v="31"/>
    <n v="4766"/>
    <n v="32552.5"/>
    <s v=""/>
    <x v="0"/>
  </r>
  <r>
    <n v="804"/>
    <s v="New York"/>
    <s v="Empire Blue Cross Blue Shield (PCA)"/>
    <s v="Other"/>
    <s v="MLTC"/>
    <s v="PCA Live In"/>
    <s v="T1020"/>
    <x v="8"/>
    <s v="HHA"/>
    <s v="MC Medicaid HHA"/>
    <m/>
    <n v="1"/>
    <n v="351"/>
    <n v="4563"/>
    <n v="1"/>
    <n v="351"/>
    <n v="4563"/>
    <s v=""/>
    <x v="0"/>
  </r>
  <r>
    <n v="805"/>
    <s v="New York"/>
    <s v="Empire Blue Cross Blue Shield (PCA)"/>
    <s v="Other"/>
    <s v="MLTC"/>
    <s v="PRN (NB)"/>
    <m/>
    <x v="3"/>
    <s v="HHA"/>
    <s v="MC Medicaid HHA"/>
    <m/>
    <n v="8"/>
    <n v="8"/>
    <n v="8"/>
    <n v="8"/>
    <n v="8"/>
    <n v="8"/>
    <s v="Nursing override"/>
    <x v="0"/>
  </r>
  <r>
    <n v="806"/>
    <s v="New York"/>
    <s v="Empire Blue Cross Blue Shield (PCA)"/>
    <s v="Other"/>
    <s v="MLTC"/>
    <s v="RN Initial (NB)"/>
    <m/>
    <x v="3"/>
    <s v="HHA"/>
    <s v="MC Medicaid HHA"/>
    <m/>
    <n v="10"/>
    <n v="10"/>
    <n v="10"/>
    <n v="10"/>
    <n v="10"/>
    <n v="10"/>
    <s v="Nursing override"/>
    <x v="0"/>
  </r>
  <r>
    <n v="807"/>
    <s v="New York"/>
    <s v="Empire Blue Cross Blue Shield (PCA)"/>
    <s v="Other"/>
    <s v="MLTC"/>
    <s v="RN Reassessment (NB)"/>
    <m/>
    <x v="3"/>
    <s v="HHA"/>
    <s v="MC Medicaid HHA"/>
    <m/>
    <n v="23"/>
    <n v="38"/>
    <n v="38"/>
    <n v="22"/>
    <n v="37"/>
    <n v="37"/>
    <s v="Nursing override"/>
    <x v="0"/>
  </r>
  <r>
    <n v="808"/>
    <s v="New York"/>
    <s v="Excellent Home Care Services"/>
    <s v="CHHA"/>
    <s v="CHHA"/>
    <s v="Rate3"/>
    <m/>
    <x v="0"/>
    <s v="HHA"/>
    <s v="Other"/>
    <s v="CHHA"/>
    <n v="22"/>
    <n v="4187"/>
    <n v="19684.75"/>
    <n v="22"/>
    <n v="4187"/>
    <n v="19684.75"/>
    <s v=""/>
    <x v="0"/>
  </r>
  <r>
    <n v="809"/>
    <s v="New York"/>
    <s v="Extended Home Care"/>
    <s v="CHHA"/>
    <s v="CHHA"/>
    <s v="PedCode95"/>
    <s v="-"/>
    <x v="0"/>
    <s v="HHA"/>
    <s v="Other"/>
    <s v="CHHA"/>
    <n v="18"/>
    <n v="1644"/>
    <n v="9439"/>
    <n v="18"/>
    <n v="1644"/>
    <n v="9439"/>
    <s v=""/>
    <x v="0"/>
  </r>
  <r>
    <n v="810"/>
    <s v="New York"/>
    <s v="Extended Home Care"/>
    <s v="CHHA"/>
    <s v="CHHA"/>
    <s v="Rate1"/>
    <m/>
    <x v="0"/>
    <s v="HHA"/>
    <s v="Other"/>
    <s v="CHHA"/>
    <n v="36"/>
    <n v="2908"/>
    <n v="12447.25"/>
    <n v="34"/>
    <n v="2892"/>
    <n v="12353.5"/>
    <s v=""/>
    <x v="0"/>
  </r>
  <r>
    <n v="811"/>
    <s v="New York"/>
    <s v="Extended Home Care"/>
    <s v="CHHA"/>
    <s v="CHHA"/>
    <s v="Rate4HMO"/>
    <s v="0"/>
    <x v="0"/>
    <s v="HHA"/>
    <s v="Other"/>
    <s v="CHHA"/>
    <n v="2"/>
    <n v="46"/>
    <n v="215.5"/>
    <n v="2"/>
    <n v="46"/>
    <n v="215.5"/>
    <s v=""/>
    <x v="0"/>
  </r>
  <r>
    <n v="812"/>
    <s v="New York"/>
    <s v="Fidelis Care (ANT)"/>
    <s v="LHCSA"/>
    <s v="MLTC"/>
    <s v="PRN (NB)"/>
    <m/>
    <x v="3"/>
    <s v="HHA"/>
    <s v="MC Medicaid HHA"/>
    <m/>
    <n v="5"/>
    <n v="5"/>
    <n v="5"/>
    <n v="5"/>
    <n v="5"/>
    <n v="5"/>
    <s v="Nursing override"/>
    <x v="0"/>
  </r>
  <r>
    <n v="813"/>
    <s v="New York"/>
    <s v="Fidelis Care (ANT)"/>
    <s v="LHCSA"/>
    <s v="MLTC"/>
    <s v="RN Initial (NB)"/>
    <m/>
    <x v="3"/>
    <s v="HHA"/>
    <s v="MC Medicaid HHA"/>
    <m/>
    <n v="27"/>
    <n v="27"/>
    <n v="27"/>
    <n v="26"/>
    <n v="26"/>
    <n v="26"/>
    <s v="Nursing override"/>
    <x v="0"/>
  </r>
  <r>
    <n v="814"/>
    <s v="New York"/>
    <s v="Fidelis Care (ANT)"/>
    <s v="LHCSA"/>
    <s v="MLTC"/>
    <s v="RN Initial Assement"/>
    <s v="T2024"/>
    <x v="3"/>
    <s v="HHA"/>
    <s v="MC Medicaid HHA"/>
    <m/>
    <n v="13"/>
    <n v="13"/>
    <n v="13"/>
    <n v="13"/>
    <n v="13"/>
    <n v="13"/>
    <s v="nursing"/>
    <x v="0"/>
  </r>
  <r>
    <n v="815"/>
    <s v="New York"/>
    <s v="Fidelis Care (ANT)"/>
    <s v="LHCSA"/>
    <s v="MLTC"/>
    <s v="RN Reassessment (NB)"/>
    <m/>
    <x v="3"/>
    <s v="HHA"/>
    <s v="MC Medicaid HHA"/>
    <m/>
    <n v="31"/>
    <n v="43"/>
    <n v="43"/>
    <n v="31"/>
    <n v="43"/>
    <n v="43"/>
    <s v="Nursing override"/>
    <x v="0"/>
  </r>
  <r>
    <n v="816"/>
    <s v="New York"/>
    <s v="Fidelis Care (ANT)"/>
    <s v="LHCSA"/>
    <s v="MLTC"/>
    <s v="S5130:U1"/>
    <s v="S5130:U1::::Homemaker"/>
    <x v="6"/>
    <s v="HHA"/>
    <s v="MC Medicaid HHA"/>
    <m/>
    <n v="1"/>
    <n v="1"/>
    <n v="1"/>
    <n v="1"/>
    <n v="1"/>
    <n v="1"/>
    <s v=""/>
    <x v="0"/>
  </r>
  <r>
    <n v="817"/>
    <s v="New York"/>
    <s v="Fidelis Care (ANT)"/>
    <s v="LHCSA"/>
    <s v="MLTC"/>
    <s v="T1019:U1"/>
    <s v="T1019:U1"/>
    <x v="2"/>
    <s v="HHA"/>
    <s v="MC Medicaid HHA"/>
    <m/>
    <n v="68"/>
    <n v="7803"/>
    <n v="43597.75"/>
    <n v="66"/>
    <n v="7787"/>
    <n v="43510"/>
    <s v=""/>
    <x v="0"/>
  </r>
  <r>
    <n v="818"/>
    <s v="New York"/>
    <s v="Fidelis Care (ANT)"/>
    <s v="LHCSA"/>
    <s v="MLTC"/>
    <s v="T1020"/>
    <s v="T1020"/>
    <x v="8"/>
    <s v="HHA"/>
    <s v="MC Medicaid HHA"/>
    <m/>
    <n v="3"/>
    <n v="149"/>
    <n v="1937"/>
    <n v="3"/>
    <n v="149"/>
    <n v="1937"/>
    <s v=""/>
    <x v="0"/>
  </r>
  <r>
    <n v="822"/>
    <s v="New York"/>
    <s v="Fidelis Care (CDP)"/>
    <s v="LHCSA"/>
    <s v="CDPAP"/>
    <s v="T1019:U6"/>
    <s v="T1019:U6"/>
    <x v="1"/>
    <s v="CDPAP"/>
    <s v="MC Medicaid CDPAP"/>
    <m/>
    <n v="45"/>
    <n v="6593"/>
    <n v="35128.75"/>
    <n v="42"/>
    <n v="6527"/>
    <n v="34629.25"/>
    <s v=""/>
    <x v="0"/>
  </r>
  <r>
    <n v="823"/>
    <s v="New York"/>
    <s v="Fidelis Care PCA (Non Live)"/>
    <s v="MLTC"/>
    <s v="MLTC"/>
    <s v="PCA Hourly"/>
    <s v="T1019:U1"/>
    <x v="2"/>
    <s v="HHA"/>
    <s v="MC Medicaid HHA"/>
    <m/>
    <n v="3"/>
    <n v="8"/>
    <n v="35.75"/>
    <n v="3"/>
    <n v="8"/>
    <n v="35.75"/>
    <s v=""/>
    <x v="0"/>
  </r>
  <r>
    <n v="824"/>
    <s v="New York"/>
    <s v="Fidelis Care PCA (Non Live)"/>
    <s v="MLTC"/>
    <s v="MLTC"/>
    <s v="RN Initial (NB)"/>
    <s v="G0162"/>
    <x v="3"/>
    <s v="HHA"/>
    <s v="MC Medicaid HHA"/>
    <m/>
    <n v="1"/>
    <n v="1"/>
    <n v="1"/>
    <n v="1"/>
    <n v="1"/>
    <n v="1"/>
    <s v="Nursing override"/>
    <x v="0"/>
  </r>
  <r>
    <n v="825"/>
    <s v="New York"/>
    <s v="Fidelis Care PCA (Non Live)"/>
    <s v="MLTC"/>
    <s v="MLTC"/>
    <s v="Rn initial assement"/>
    <s v="G0162"/>
    <x v="3"/>
    <s v="HHA"/>
    <s v="MC Medicaid HHA"/>
    <m/>
    <n v="4"/>
    <n v="4"/>
    <n v="4"/>
    <n v="4"/>
    <n v="4"/>
    <n v="4"/>
    <s v="nursing"/>
    <x v="0"/>
  </r>
  <r>
    <n v="826"/>
    <s v="New York"/>
    <s v="Fidelis Care PCA (Non Live)"/>
    <s v="MLTC"/>
    <s v="MLTC"/>
    <s v="RN Reassessment (NB)"/>
    <m/>
    <x v="3"/>
    <s v="HHA"/>
    <s v="MC Medicaid HHA"/>
    <m/>
    <n v="1"/>
    <n v="1"/>
    <n v="1"/>
    <n v="1"/>
    <n v="1"/>
    <n v="1"/>
    <s v="Nursing override"/>
    <x v="0"/>
  </r>
  <r>
    <n v="827"/>
    <s v="NEW YORK"/>
    <s v="Girling Health Care Of New York"/>
    <s v="CHHA"/>
    <s v="CHHA"/>
    <s v="Rate1"/>
    <m/>
    <x v="0"/>
    <s v="HHA"/>
    <s v="Other"/>
    <s v="CHHA"/>
    <n v="6"/>
    <n v="331"/>
    <n v="1452.75"/>
    <n v="5"/>
    <n v="322"/>
    <n v="1434.75"/>
    <s v=""/>
    <x v="0"/>
  </r>
  <r>
    <n v="828"/>
    <s v="NEW YORK"/>
    <s v="Girling Health Care Of New York"/>
    <s v="CHHA"/>
    <s v="CHHA"/>
    <s v="Rate4"/>
    <m/>
    <x v="0"/>
    <s v="HHA"/>
    <s v="Other"/>
    <s v="CHHA"/>
    <n v="2"/>
    <n v="20"/>
    <n v="80"/>
    <n v="1"/>
    <n v="10"/>
    <n v="40"/>
    <s v=""/>
    <x v="0"/>
  </r>
  <r>
    <n v="829"/>
    <s v="New York"/>
    <s v="Hamaspik Choice (MLTC) CDPAP"/>
    <s v="MCO"/>
    <s v="CDPAP"/>
    <s v="PA Hourly NYC , Nassau, Westchester"/>
    <s v="T1019:U6"/>
    <x v="1"/>
    <s v="CDPAP"/>
    <s v="MC Medicaid CDPAP"/>
    <m/>
    <n v="1"/>
    <n v="131"/>
    <n v="524"/>
    <n v="1"/>
    <n v="131"/>
    <n v="524"/>
    <s v=""/>
    <x v="0"/>
  </r>
  <r>
    <n v="831"/>
    <s v="New York"/>
    <s v="Hamaspik Choice MLTC (PCA)"/>
    <s v="MLTC"/>
    <s v="MLTC"/>
    <s v="PCA Hourly"/>
    <s v="T1019:U1"/>
    <x v="2"/>
    <s v="HHA"/>
    <s v="MC Medicaid HHA"/>
    <m/>
    <n v="2"/>
    <n v="393"/>
    <n v="2860.25"/>
    <n v="2"/>
    <n v="393"/>
    <n v="2860.25"/>
    <s v=""/>
    <x v="0"/>
  </r>
  <r>
    <n v="832"/>
    <s v="New York"/>
    <s v="Hamaspik Choice MLTC (PCA)"/>
    <s v="MLTC"/>
    <s v="MLTC"/>
    <s v="RN Initial (NB)"/>
    <m/>
    <x v="3"/>
    <s v="HHA"/>
    <s v="MC Medicaid HHA"/>
    <m/>
    <n v="1"/>
    <n v="2"/>
    <n v="2"/>
    <n v="1"/>
    <n v="2"/>
    <n v="2"/>
    <s v="Nursing override"/>
    <x v="0"/>
  </r>
  <r>
    <n v="833"/>
    <s v="New York"/>
    <s v="Hamaspik Choice MLTC (PCA)"/>
    <s v="MLTC"/>
    <s v="MLTC"/>
    <s v="RN Reassessment (NB)"/>
    <m/>
    <x v="3"/>
    <s v="HHA"/>
    <s v="MC Medicaid HHA"/>
    <m/>
    <n v="1"/>
    <n v="2"/>
    <n v="2"/>
    <n v="1"/>
    <n v="2"/>
    <n v="2"/>
    <s v="Nursing override"/>
    <x v="0"/>
  </r>
  <r>
    <n v="836"/>
    <s v="New York"/>
    <s v="Hamaspik MAP CDPAP"/>
    <s v="MCO"/>
    <s v="CDPAP"/>
    <s v="PA Hourly (NYC, LI, &amp; Westchester)"/>
    <s v="T1019:U6"/>
    <x v="1"/>
    <s v="CDPAP"/>
    <s v="MC Medicaid CDPAP"/>
    <m/>
    <n v="5"/>
    <n v="996"/>
    <n v="4957.25"/>
    <n v="5"/>
    <n v="996"/>
    <n v="4957.25"/>
    <s v=""/>
    <x v="0"/>
  </r>
  <r>
    <n v="839"/>
    <s v="New York"/>
    <s v="Hamaspik MAP PCA"/>
    <s v="MCO"/>
    <s v="MLTC"/>
    <s v="PCA Hourly"/>
    <s v="T1019:U1"/>
    <x v="2"/>
    <s v="HHA"/>
    <s v="MC Medicaid HHA"/>
    <m/>
    <n v="12"/>
    <n v="942"/>
    <n v="3817.5"/>
    <n v="8"/>
    <n v="817"/>
    <n v="3114.5"/>
    <s v=""/>
    <x v="0"/>
  </r>
  <r>
    <n v="840"/>
    <s v="New York"/>
    <s v="Hamaspik MAP PCA"/>
    <s v="MCO"/>
    <s v="MLTC"/>
    <s v="RN Initial (NB)"/>
    <m/>
    <x v="3"/>
    <s v="HHA"/>
    <s v="MC Medicaid HHA"/>
    <m/>
    <n v="7"/>
    <n v="7"/>
    <n v="7"/>
    <n v="5"/>
    <n v="5"/>
    <n v="5"/>
    <s v="Nursing override"/>
    <x v="0"/>
  </r>
  <r>
    <n v="841"/>
    <s v="New York"/>
    <s v="Hamaspik MAP PCA"/>
    <s v="MCO"/>
    <s v="MLTC"/>
    <s v="RN Reassessment (NB)"/>
    <m/>
    <x v="3"/>
    <s v="HHA"/>
    <s v="MC Medicaid HHA"/>
    <m/>
    <n v="4"/>
    <n v="6"/>
    <n v="6"/>
    <n v="4"/>
    <n v="6"/>
    <n v="6"/>
    <s v="Nursing override"/>
    <x v="0"/>
  </r>
  <r>
    <n v="842"/>
    <s v="New York"/>
    <s v="Healthfirst (ANT)"/>
    <s v="CHHA"/>
    <s v="MLTC"/>
    <s v="RN Initial (NB)"/>
    <m/>
    <x v="3"/>
    <s v="HHA"/>
    <s v="MC Medicaid HHA"/>
    <m/>
    <n v="27"/>
    <n v="27"/>
    <n v="27"/>
    <n v="27"/>
    <n v="27"/>
    <n v="27"/>
    <s v="Nursing override"/>
    <x v="0"/>
  </r>
  <r>
    <n v="843"/>
    <s v="New York"/>
    <s v="Healthfirst (ANT)"/>
    <s v="CHHA"/>
    <s v="MLTC"/>
    <s v="RN Reassessment (NB)"/>
    <m/>
    <x v="3"/>
    <s v="HHA"/>
    <s v="MC Medicaid HHA"/>
    <m/>
    <n v="27"/>
    <n v="40"/>
    <n v="40"/>
    <n v="26"/>
    <n v="39"/>
    <n v="39"/>
    <s v="Nursing override"/>
    <x v="0"/>
  </r>
  <r>
    <n v="844"/>
    <s v="New York"/>
    <s v="Healthfirst (ANT)"/>
    <s v="CHHA"/>
    <s v="MLTC"/>
    <s v="S5130:U1"/>
    <s v="S5130:U1"/>
    <x v="6"/>
    <s v="HHA"/>
    <s v="MC Medicaid HHA"/>
    <m/>
    <n v="1"/>
    <n v="24"/>
    <n v="70"/>
    <n v="1"/>
    <n v="24"/>
    <n v="70"/>
    <s v=""/>
    <x v="0"/>
  </r>
  <r>
    <n v="845"/>
    <s v="New York"/>
    <s v="Healthfirst (ANT)"/>
    <s v="CHHA"/>
    <s v="MLTC"/>
    <s v="T1019:U1"/>
    <s v="T1019:U1"/>
    <x v="2"/>
    <s v="HHA"/>
    <s v="MC Medicaid HHA"/>
    <m/>
    <n v="57"/>
    <n v="5319"/>
    <n v="30935.75"/>
    <n v="54"/>
    <n v="5144"/>
    <n v="30015"/>
    <s v=""/>
    <x v="0"/>
  </r>
  <r>
    <n v="848"/>
    <s v="New York"/>
    <s v="Healthfirst (CDP)"/>
    <s v="CHHA"/>
    <s v="CDPAP"/>
    <s v="T1019:U6"/>
    <s v="T1019:U6"/>
    <x v="1"/>
    <s v="CDPAP"/>
    <s v="MC Medicaid CDPAP"/>
    <m/>
    <n v="40"/>
    <n v="4058"/>
    <n v="22544.5"/>
    <n v="40"/>
    <n v="4058"/>
    <n v="22544.5"/>
    <s v=""/>
    <x v="0"/>
  </r>
  <r>
    <n v="849"/>
    <s v="New York"/>
    <s v="Healthfirst PCA MAP (Complete Care) (Non Live)"/>
    <s v="MCO"/>
    <s v="MLTC"/>
    <s v="RN Initial (NB)"/>
    <m/>
    <x v="3"/>
    <s v="HHA"/>
    <s v="MC Medicaid HHA"/>
    <m/>
    <n v="1"/>
    <n v="1"/>
    <n v="1"/>
    <n v="0"/>
    <n v="0"/>
    <n v="0"/>
    <s v="Nursing override"/>
    <x v="0"/>
  </r>
  <r>
    <n v="850"/>
    <s v="New York"/>
    <s v="NHTD"/>
    <s v="LHCSA"/>
    <s v="Medicaid"/>
    <s v="HCSS 9795 LI Nassau Westchester Suffolk"/>
    <s v="9795"/>
    <x v="4"/>
    <s v="HHA"/>
    <s v="Other"/>
    <m/>
    <n v="1"/>
    <n v="1"/>
    <n v="0.5"/>
    <n v="1"/>
    <n v="1"/>
    <n v="0.5"/>
    <s v=""/>
    <x v="0"/>
  </r>
  <r>
    <n v="851"/>
    <s v="New York"/>
    <s v="NHTD"/>
    <s v="LHCSA"/>
    <s v="Medicaid"/>
    <s v="HCSS 9795 NYC"/>
    <s v="9795"/>
    <x v="4"/>
    <s v="HHA"/>
    <s v="Other"/>
    <m/>
    <n v="55"/>
    <n v="22079"/>
    <n v="248862.5"/>
    <n v="54"/>
    <n v="22016"/>
    <n v="248122"/>
    <s v=""/>
    <x v="0"/>
  </r>
  <r>
    <n v="852"/>
    <s v="New York"/>
    <s v="NHTD"/>
    <s v="LHCSA"/>
    <s v="Medicaid"/>
    <s v="HCSS 9795 Rest of State"/>
    <s v="9795"/>
    <x v="4"/>
    <s v="HHA"/>
    <s v="Other"/>
    <m/>
    <n v="1"/>
    <n v="107"/>
    <n v="1261.5"/>
    <n v="1"/>
    <n v="107"/>
    <n v="1261.5"/>
    <s v=""/>
    <x v="0"/>
  </r>
  <r>
    <n v="853"/>
    <s v="New York"/>
    <s v="NHTD"/>
    <s v="LHCSA"/>
    <s v="Medicaid"/>
    <s v="Initial RN Visit 9799 (Hourly)"/>
    <s v="9799"/>
    <x v="4"/>
    <s v="HHA"/>
    <s v="Other"/>
    <m/>
    <n v="31"/>
    <n v="31"/>
    <n v="30"/>
    <n v="31"/>
    <n v="31"/>
    <n v="31"/>
    <m/>
    <x v="0"/>
  </r>
  <r>
    <n v="854"/>
    <s v="New York"/>
    <s v="NHTD"/>
    <s v="LHCSA"/>
    <s v="Medicaid"/>
    <s v="PRN (NB)"/>
    <m/>
    <x v="4"/>
    <s v="HHA"/>
    <s v="Other"/>
    <m/>
    <n v="3"/>
    <n v="3"/>
    <n v="3"/>
    <n v="3"/>
    <n v="3"/>
    <n v="3"/>
    <m/>
    <x v="0"/>
  </r>
  <r>
    <n v="855"/>
    <s v="New York"/>
    <s v="NHTD"/>
    <s v="LHCSA"/>
    <s v="Medicaid"/>
    <s v="RN Initial (NB)"/>
    <m/>
    <x v="4"/>
    <s v="HHA"/>
    <s v="Other"/>
    <m/>
    <n v="3"/>
    <n v="3"/>
    <n v="2.5"/>
    <n v="3"/>
    <n v="3"/>
    <n v="3"/>
    <m/>
    <x v="0"/>
  </r>
  <r>
    <n v="856"/>
    <s v="New York"/>
    <s v="NHTD"/>
    <s v="LHCSA"/>
    <s v="Medicaid"/>
    <s v="RN Reassessment (NB)"/>
    <m/>
    <x v="4"/>
    <s v="HHA"/>
    <s v="Other"/>
    <m/>
    <n v="2"/>
    <n v="2"/>
    <n v="2"/>
    <n v="2"/>
    <n v="2"/>
    <n v="2"/>
    <m/>
    <x v="0"/>
  </r>
  <r>
    <n v="857"/>
    <s v="New York"/>
    <s v="NHTD"/>
    <s v="LHCSA"/>
    <s v="Medicaid"/>
    <s v="RN Visit 9799 (Hourly)"/>
    <s v="9799"/>
    <x v="4"/>
    <s v="HHA"/>
    <s v="Other"/>
    <m/>
    <n v="48"/>
    <n v="70"/>
    <n v="68.5"/>
    <n v="47"/>
    <n v="69"/>
    <n v="69"/>
    <m/>
    <x v="0"/>
  </r>
  <r>
    <n v="858"/>
    <s v="New York"/>
    <s v="Non Billable"/>
    <s v="Other"/>
    <s v="Insurance"/>
    <s v="PCA Hourly"/>
    <m/>
    <x v="5"/>
    <s v="HHA"/>
    <s v="Private Pay"/>
    <m/>
    <n v="30"/>
    <n v="60"/>
    <n v="233.5"/>
    <n v="30"/>
    <n v="60"/>
    <n v="233.5"/>
    <s v=""/>
    <x v="0"/>
  </r>
  <r>
    <n v="860"/>
    <s v="New York"/>
    <s v="Partners Health Plan CDPAP"/>
    <s v="MLTC"/>
    <s v="CDPAP"/>
    <s v="PA Hourly"/>
    <s v="T1019:U6"/>
    <x v="1"/>
    <s v="CDPAP"/>
    <s v="MC Medicaid CDPAP"/>
    <m/>
    <n v="1"/>
    <n v="218"/>
    <n v="646.5"/>
    <n v="1"/>
    <n v="218"/>
    <n v="646.5"/>
    <s v=""/>
    <x v="0"/>
  </r>
  <r>
    <n v="861"/>
    <s v="New York"/>
    <s v="Prime Home Health Services"/>
    <s v="CHHA"/>
    <s v="CHHA"/>
    <s v="HHAHRPED"/>
    <s v="99999"/>
    <x v="0"/>
    <s v="HHA"/>
    <s v="Other"/>
    <s v="CHHA"/>
    <n v="2"/>
    <n v="331"/>
    <n v="2495.25"/>
    <n v="2"/>
    <n v="331"/>
    <n v="2495.25"/>
    <s v=""/>
    <x v="0"/>
  </r>
  <r>
    <n v="862"/>
    <s v="New York"/>
    <s v="Private Pay"/>
    <s v="Other"/>
    <s v="Private"/>
    <s v="PCA Hourly"/>
    <m/>
    <x v="5"/>
    <s v="HHA"/>
    <s v="Private Pay"/>
    <m/>
    <n v="3"/>
    <n v="63"/>
    <n v="571.5"/>
    <n v="2"/>
    <n v="2"/>
    <n v="2.5"/>
    <s v=""/>
    <x v="0"/>
  </r>
  <r>
    <n v="863"/>
    <s v="New York"/>
    <s v="Private Pay - Select"/>
    <s v="Other"/>
    <s v="Private"/>
    <s v="HHA Hourly"/>
    <m/>
    <x v="5"/>
    <s v="HHA"/>
    <s v="Private Pay"/>
    <m/>
    <n v="1"/>
    <n v="362"/>
    <n v="4275.75"/>
    <n v="1"/>
    <n v="362"/>
    <n v="4275.75"/>
    <s v=""/>
    <x v="0"/>
  </r>
  <r>
    <n v="864"/>
    <s v="New York"/>
    <s v="Private Pay - Select"/>
    <s v="Other"/>
    <s v="Private"/>
    <s v="PCA Hourly"/>
    <m/>
    <x v="5"/>
    <s v="HHA"/>
    <s v="Private Pay"/>
    <m/>
    <n v="9"/>
    <n v="794"/>
    <n v="8377.25"/>
    <n v="8"/>
    <n v="792"/>
    <n v="8358.25"/>
    <s v=""/>
    <x v="0"/>
  </r>
  <r>
    <n v="865"/>
    <s v="New York"/>
    <s v="Private Pay - Select"/>
    <s v="Other"/>
    <s v="Private"/>
    <s v="PCA Live-in"/>
    <m/>
    <x v="5"/>
    <s v="HHA"/>
    <s v="Private Pay"/>
    <m/>
    <n v="1"/>
    <n v="106"/>
    <n v="2356.25"/>
    <n v="1"/>
    <n v="106"/>
    <n v="1378"/>
    <s v=""/>
    <x v="0"/>
  </r>
  <r>
    <n v="866"/>
    <s v="New York"/>
    <s v="Private Pay - Select"/>
    <s v="Other"/>
    <s v="Private"/>
    <s v="PRN (NB)"/>
    <m/>
    <x v="5"/>
    <s v="HHA"/>
    <s v="Private Pay"/>
    <m/>
    <n v="2"/>
    <n v="2"/>
    <n v="1"/>
    <n v="2"/>
    <n v="2"/>
    <n v="2"/>
    <s v=""/>
    <x v="0"/>
  </r>
  <r>
    <n v="867"/>
    <s v="New York"/>
    <s v="Private Pay - Select"/>
    <s v="Other"/>
    <s v="Private"/>
    <s v="RN Initial (NB)"/>
    <m/>
    <x v="5"/>
    <s v="HHA"/>
    <s v="Private Pay"/>
    <m/>
    <n v="3"/>
    <n v="3"/>
    <n v="2.5"/>
    <n v="3"/>
    <n v="3"/>
    <n v="3"/>
    <s v=""/>
    <x v="0"/>
  </r>
  <r>
    <n v="868"/>
    <s v="New York"/>
    <s v="Private Pay - Select"/>
    <s v="Other"/>
    <s v="Private"/>
    <s v="RN Reassessment (NB)"/>
    <m/>
    <x v="5"/>
    <s v="HHA"/>
    <s v="Private Pay"/>
    <m/>
    <n v="2"/>
    <n v="3"/>
    <n v="1.5"/>
    <n v="1"/>
    <n v="2"/>
    <n v="2"/>
    <s v=""/>
    <x v="0"/>
  </r>
  <r>
    <n v="869"/>
    <s v="New York"/>
    <s v="Royal Care Certified of NY"/>
    <s v="Other"/>
    <m/>
    <s v="Rate 1"/>
    <s v="na"/>
    <x v="0"/>
    <s v="HHA"/>
    <s v="Other"/>
    <s v="CHHA"/>
    <n v="1"/>
    <n v="9"/>
    <n v="28.75"/>
    <n v="1"/>
    <n v="9"/>
    <n v="28.75"/>
    <s v=""/>
    <x v="0"/>
  </r>
  <r>
    <n v="870"/>
    <s v="New York"/>
    <s v="SWHNY-MLTC (ANT)"/>
    <s v="Other"/>
    <s v="MLTC"/>
    <s v="PRN (NB)"/>
    <m/>
    <x v="3"/>
    <s v="HHA"/>
    <s v="MC Medicaid HHA"/>
    <m/>
    <n v="1"/>
    <n v="4"/>
    <n v="4"/>
    <n v="1"/>
    <n v="4"/>
    <n v="4"/>
    <s v="Nursing override"/>
    <x v="0"/>
  </r>
  <r>
    <n v="871"/>
    <s v="New York"/>
    <s v="SWHNY-MLTC (ANT)"/>
    <s v="Other"/>
    <s v="MLTC"/>
    <s v="RN Initial (NB)"/>
    <m/>
    <x v="3"/>
    <s v="HHA"/>
    <s v="MC Medicaid HHA"/>
    <m/>
    <n v="3"/>
    <n v="3"/>
    <n v="3"/>
    <n v="3"/>
    <n v="3"/>
    <n v="3"/>
    <s v="Nursing override"/>
    <x v="0"/>
  </r>
  <r>
    <n v="872"/>
    <s v="New York"/>
    <s v="SWHNY-MLTC (ANT)"/>
    <s v="Other"/>
    <s v="MLTC"/>
    <s v="RN Reassessment (NB)"/>
    <m/>
    <x v="3"/>
    <s v="HHA"/>
    <s v="MC Medicaid HHA"/>
    <m/>
    <n v="11"/>
    <n v="20"/>
    <n v="20"/>
    <n v="11"/>
    <n v="20"/>
    <n v="20"/>
    <s v="Nursing override"/>
    <x v="0"/>
  </r>
  <r>
    <n v="873"/>
    <s v="New York"/>
    <s v="SWHNY-MLTC (ANT)"/>
    <s v="Other"/>
    <s v="MLTC"/>
    <s v="T1019:U1"/>
    <s v="T1019:U1"/>
    <x v="2"/>
    <s v="HHA"/>
    <s v="MC Medicaid HHA"/>
    <m/>
    <n v="13"/>
    <n v="2759"/>
    <n v="19922"/>
    <n v="13"/>
    <n v="2759"/>
    <n v="19922"/>
    <s v=""/>
    <x v="0"/>
  </r>
  <r>
    <n v="877"/>
    <s v="New York"/>
    <s v="SWHNY-MLTC (CDP)"/>
    <s v="Other"/>
    <s v="CDPAP"/>
    <s v="T1019:U1"/>
    <s v="T1019:U1"/>
    <x v="2"/>
    <s v="HHA"/>
    <s v="MC Medicaid HHA"/>
    <m/>
    <n v="1"/>
    <n v="20"/>
    <n v="89.75"/>
    <n v="1"/>
    <n v="20"/>
    <n v="89.75"/>
    <s v=""/>
    <x v="0"/>
  </r>
  <r>
    <n v="878"/>
    <s v="New York"/>
    <s v="SWHNY-MLTC (CDP)"/>
    <s v="Other"/>
    <s v="CDPAP"/>
    <s v="T1019:U6"/>
    <s v="T1019:U6"/>
    <x v="1"/>
    <s v="CDPAP"/>
    <s v="MC Medicaid CDPAP"/>
    <m/>
    <n v="16"/>
    <n v="4447"/>
    <n v="33989"/>
    <n v="15"/>
    <n v="4345"/>
    <n v="33320"/>
    <s v=""/>
    <x v="0"/>
  </r>
  <r>
    <n v="879"/>
    <s v="New York"/>
    <s v="TBI"/>
    <s v="LHCSA"/>
    <s v="Medicaid"/>
    <s v="HCSS 9879"/>
    <s v="9879"/>
    <x v="4"/>
    <s v="HHA"/>
    <s v="Other"/>
    <m/>
    <n v="2"/>
    <n v="415"/>
    <n v="4797.75"/>
    <n v="2"/>
    <n v="415"/>
    <n v="4797.75"/>
    <s v=""/>
    <x v="0"/>
  </r>
  <r>
    <n v="880"/>
    <s v="New York"/>
    <s v="TBI"/>
    <s v="LHCSA"/>
    <s v="Medicaid"/>
    <s v="PRN (NB)"/>
    <m/>
    <x v="4"/>
    <s v="HHA"/>
    <s v="Other"/>
    <m/>
    <n v="1"/>
    <n v="2"/>
    <n v="2"/>
    <n v="1"/>
    <n v="2"/>
    <n v="2"/>
    <m/>
    <x v="0"/>
  </r>
  <r>
    <n v="881"/>
    <s v="New York"/>
    <s v="TBI"/>
    <s v="LHCSA"/>
    <s v="Medicaid"/>
    <s v="RN Initial (NB)"/>
    <m/>
    <x v="4"/>
    <s v="HHA"/>
    <s v="Other"/>
    <m/>
    <n v="1"/>
    <n v="1"/>
    <n v="0.75"/>
    <n v="1"/>
    <n v="1"/>
    <n v="1"/>
    <m/>
    <x v="0"/>
  </r>
  <r>
    <n v="882"/>
    <s v="New York"/>
    <s v="TBI"/>
    <s v="LHCSA"/>
    <s v="Medicaid"/>
    <s v="RN Reassessment (NB)"/>
    <m/>
    <x v="4"/>
    <s v="HHA"/>
    <s v="Other"/>
    <m/>
    <n v="1"/>
    <n v="1"/>
    <n v="1"/>
    <n v="1"/>
    <n v="1"/>
    <n v="1"/>
    <m/>
    <x v="0"/>
  </r>
  <r>
    <n v="883"/>
    <s v="New York"/>
    <s v="UAS-VCM"/>
    <s v="Other"/>
    <s v="MLTC"/>
    <s v="UAS Enrollment Assessment"/>
    <m/>
    <x v="3"/>
    <s v="HHA"/>
    <s v="MC Medicaid HHA"/>
    <m/>
    <n v="1"/>
    <n v="339"/>
    <n v="339"/>
    <n v="1"/>
    <n v="339"/>
    <n v="339"/>
    <s v="nursing"/>
    <x v="0"/>
  </r>
  <r>
    <n v="886"/>
    <s v="New York"/>
    <s v="VillageCare CDPAP"/>
    <s v="MCO"/>
    <s v="CDPAP"/>
    <s v="Live In"/>
    <s v="T1020:U6"/>
    <x v="9"/>
    <s v="CDPAP"/>
    <s v="MC Medicaid CDPAP"/>
    <m/>
    <n v="1"/>
    <n v="28"/>
    <n v="364"/>
    <n v="1"/>
    <n v="28"/>
    <n v="364"/>
    <s v=""/>
    <x v="0"/>
  </r>
  <r>
    <n v="887"/>
    <s v="New York"/>
    <s v="VillageCare CDPAP"/>
    <s v="MCO"/>
    <s v="CDPAP"/>
    <s v="PA Hourly"/>
    <s v="T1019:U6"/>
    <x v="1"/>
    <s v="CDPAP"/>
    <s v="MC Medicaid CDPAP"/>
    <m/>
    <n v="82"/>
    <n v="10482"/>
    <n v="58274.25"/>
    <n v="77"/>
    <n v="10227"/>
    <n v="56842.5"/>
    <s v=""/>
    <x v="0"/>
  </r>
  <r>
    <n v="888"/>
    <s v="New York"/>
    <s v="VillageCare CDPAP"/>
    <s v="MCO"/>
    <s v="CDPAP"/>
    <s v="PA Hourly Mutual"/>
    <s v="T1019:U7"/>
    <x v="10"/>
    <s v="CDPAP"/>
    <s v="MC Medicaid CDPAP"/>
    <m/>
    <n v="5"/>
    <n v="94"/>
    <n v="711.75"/>
    <n v="5"/>
    <n v="94"/>
    <n v="711.75"/>
    <s v=""/>
    <x v="0"/>
  </r>
  <r>
    <n v="889"/>
    <s v="New York"/>
    <s v="VillageCare PCA"/>
    <s v="MLTC"/>
    <s v="MLTC"/>
    <s v="HHA Live In - S5126"/>
    <s v="S5126"/>
    <x v="8"/>
    <s v="HHA"/>
    <s v="MC Medicaid HHA"/>
    <m/>
    <n v="1"/>
    <n v="98"/>
    <n v="1274"/>
    <n v="1"/>
    <n v="98"/>
    <n v="1274"/>
    <s v=""/>
    <x v="0"/>
  </r>
  <r>
    <n v="890"/>
    <s v="New York"/>
    <s v="VillageCare PCA"/>
    <s v="MLTC"/>
    <s v="MLTC"/>
    <s v="PCA - Live In"/>
    <s v="T1020"/>
    <x v="8"/>
    <s v="HHA"/>
    <s v="MC Medicaid HHA"/>
    <m/>
    <n v="7"/>
    <n v="782"/>
    <n v="10166"/>
    <n v="7"/>
    <n v="782"/>
    <n v="10166"/>
    <s v=""/>
    <x v="0"/>
  </r>
  <r>
    <n v="891"/>
    <s v="New York"/>
    <s v="VillageCare PCA"/>
    <s v="MLTC"/>
    <s v="MLTC"/>
    <s v="PCA - Live In TV"/>
    <s v="T1020:TV"/>
    <x v="8"/>
    <s v="HHA"/>
    <s v="MC Medicaid HHA"/>
    <m/>
    <n v="1"/>
    <n v="29"/>
    <n v="377"/>
    <n v="1"/>
    <n v="29"/>
    <n v="377"/>
    <s v=""/>
    <x v="0"/>
  </r>
  <r>
    <n v="892"/>
    <s v="New York"/>
    <s v="VillageCare PCA"/>
    <s v="MLTC"/>
    <s v="MLTC"/>
    <s v="PCA Cluster Care"/>
    <s v="T1019:U3"/>
    <x v="11"/>
    <s v="HHA"/>
    <s v="MC Medicaid HHA"/>
    <m/>
    <n v="26"/>
    <n v="1366"/>
    <n v="3015.25"/>
    <n v="25"/>
    <n v="1364"/>
    <n v="3013.25"/>
    <s v=""/>
    <x v="0"/>
  </r>
  <r>
    <n v="893"/>
    <s v="New York"/>
    <s v="VillageCare PCA"/>
    <s v="MLTC"/>
    <s v="MLTC"/>
    <s v="PCA Hourly"/>
    <s v="T1019:U1"/>
    <x v="2"/>
    <s v="HHA"/>
    <s v="MC Medicaid HHA"/>
    <m/>
    <n v="175"/>
    <n v="17892"/>
    <n v="102573.75"/>
    <n v="167"/>
    <n v="17616"/>
    <n v="101409.25"/>
    <s v=""/>
    <x v="0"/>
  </r>
  <r>
    <n v="894"/>
    <s v="New York"/>
    <s v="VillageCare PCA"/>
    <s v="MLTC"/>
    <s v="MLTC"/>
    <s v="PCA Hourly"/>
    <s v="T1019:U1:TV"/>
    <x v="2"/>
    <s v="HHA"/>
    <s v="MC Medicaid HHA"/>
    <m/>
    <n v="59"/>
    <n v="2541"/>
    <n v="20202.75"/>
    <n v="57"/>
    <n v="2501"/>
    <n v="20031.75"/>
    <s v=""/>
    <x v="0"/>
  </r>
  <r>
    <n v="895"/>
    <s v="New York"/>
    <s v="VillageCare PCA"/>
    <s v="MLTC"/>
    <s v="MLTC"/>
    <s v="PCA Hourly TV"/>
    <s v="T1019:U1:TV"/>
    <x v="2"/>
    <s v="HHA"/>
    <s v="MC Medicaid HHA"/>
    <m/>
    <n v="25"/>
    <n v="286"/>
    <n v="2015.25"/>
    <n v="23"/>
    <n v="275"/>
    <n v="1954.25"/>
    <s v=""/>
    <x v="0"/>
  </r>
  <r>
    <n v="896"/>
    <s v="New York"/>
    <s v="VillageCare PCA"/>
    <s v="MLTC"/>
    <s v="MLTC"/>
    <s v="PRN (NB)"/>
    <m/>
    <x v="3"/>
    <s v="HHA"/>
    <s v="MC Medicaid HHA"/>
    <m/>
    <n v="8"/>
    <n v="10"/>
    <n v="10"/>
    <n v="8"/>
    <n v="10"/>
    <n v="10"/>
    <s v="Nursing override"/>
    <x v="0"/>
  </r>
  <r>
    <n v="897"/>
    <s v="New York"/>
    <s v="VillageCare PCA"/>
    <s v="MLTC"/>
    <s v="MLTC"/>
    <s v="RN Initial (NB)"/>
    <m/>
    <x v="3"/>
    <s v="HHA"/>
    <s v="MC Medicaid HHA"/>
    <m/>
    <n v="1"/>
    <n v="1"/>
    <n v="1"/>
    <n v="1"/>
    <n v="1"/>
    <n v="1"/>
    <s v="Nursing override"/>
    <x v="0"/>
  </r>
  <r>
    <n v="898"/>
    <s v="New York"/>
    <s v="VillageCare PCA"/>
    <s v="MLTC"/>
    <s v="MLTC"/>
    <s v="RN Initial Visit"/>
    <s v="T1030"/>
    <x v="7"/>
    <s v="HHA"/>
    <s v="MC Medicaid HHA"/>
    <m/>
    <n v="97"/>
    <n v="97"/>
    <n v="97"/>
    <n v="95"/>
    <n v="95"/>
    <n v="95"/>
    <s v="nursing"/>
    <x v="0"/>
  </r>
  <r>
    <n v="899"/>
    <s v="New York"/>
    <s v="VillageCare PCA"/>
    <s v="MLTC"/>
    <s v="MLTC"/>
    <s v="RN Reassessment (NB)"/>
    <m/>
    <x v="3"/>
    <s v="HHA"/>
    <s v="MC Medicaid HHA"/>
    <m/>
    <n v="90"/>
    <n v="141"/>
    <n v="141"/>
    <n v="88"/>
    <n v="139"/>
    <n v="139"/>
    <s v="Nursing override"/>
    <x v="0"/>
  </r>
  <r>
    <n v="900"/>
    <s v="New York"/>
    <s v="VNS Health Health Plans (ANT)"/>
    <s v="MLTC"/>
    <s v="MLTC"/>
    <s v="PRN (NB)"/>
    <m/>
    <x v="3"/>
    <s v="HHA"/>
    <s v="MC Medicaid HHA"/>
    <m/>
    <n v="7"/>
    <n v="8"/>
    <n v="8"/>
    <n v="7"/>
    <n v="8"/>
    <n v="8"/>
    <s v="Nursing override"/>
    <x v="0"/>
  </r>
  <r>
    <n v="901"/>
    <s v="New York"/>
    <s v="VNS Health Health Plans (ANT)"/>
    <s v="MLTC"/>
    <s v="MLTC"/>
    <s v="RN - Initial Visit"/>
    <m/>
    <x v="3"/>
    <s v="HHA"/>
    <s v="MC Medicaid HHA"/>
    <m/>
    <n v="1"/>
    <n v="1"/>
    <n v="1"/>
    <n v="1"/>
    <n v="1"/>
    <n v="1"/>
    <s v="nursing"/>
    <x v="0"/>
  </r>
  <r>
    <n v="902"/>
    <s v="New York"/>
    <s v="VNS Health Health Plans (ANT)"/>
    <s v="MLTC"/>
    <s v="MLTC"/>
    <s v="RN Initial (NB)"/>
    <m/>
    <x v="3"/>
    <s v="HHA"/>
    <s v="MC Medicaid HHA"/>
    <m/>
    <n v="33"/>
    <n v="33"/>
    <n v="33"/>
    <n v="30"/>
    <n v="30"/>
    <n v="30"/>
    <s v="Nursing override"/>
    <x v="0"/>
  </r>
  <r>
    <n v="903"/>
    <s v="New York"/>
    <s v="VNS Health Health Plans (ANT)"/>
    <s v="MLTC"/>
    <s v="MLTC"/>
    <s v="RN Reassessment (NB)"/>
    <m/>
    <x v="3"/>
    <s v="HHA"/>
    <s v="MC Medicaid HHA"/>
    <m/>
    <n v="44"/>
    <n v="76"/>
    <n v="76"/>
    <n v="43"/>
    <n v="74"/>
    <n v="74"/>
    <s v="Nursing override"/>
    <x v="0"/>
  </r>
  <r>
    <n v="904"/>
    <s v="New York"/>
    <s v="VNS Health Health Plans (ANT)"/>
    <s v="MLTC"/>
    <s v="MLTC"/>
    <s v="T1019U1 BX"/>
    <s v="T1019:U1"/>
    <x v="2"/>
    <s v="HHA"/>
    <s v="MC Medicaid HHA"/>
    <m/>
    <n v="2"/>
    <n v="141"/>
    <n v="1221.25"/>
    <n v="2"/>
    <n v="141"/>
    <n v="1221.25"/>
    <s v=""/>
    <x v="0"/>
  </r>
  <r>
    <n v="905"/>
    <s v="New York"/>
    <s v="VNS Health Health Plans (ANT)"/>
    <s v="MLTC"/>
    <s v="MLTC"/>
    <s v="T1019U1 NYC"/>
    <s v="T1019:U1"/>
    <x v="2"/>
    <s v="HHA"/>
    <s v="MC Medicaid HHA"/>
    <m/>
    <n v="76"/>
    <n v="8940"/>
    <n v="53451.25"/>
    <n v="70"/>
    <n v="8528"/>
    <n v="50109.5"/>
    <s v=""/>
    <x v="0"/>
  </r>
  <r>
    <n v="906"/>
    <s v="New York"/>
    <s v="VNS Health Health Plans (ANT)"/>
    <s v="MLTC"/>
    <s v="MLTC"/>
    <s v="T1020 NYC"/>
    <s v="T1020"/>
    <x v="8"/>
    <s v="HHA"/>
    <s v="MC Medicaid HHA"/>
    <m/>
    <n v="6"/>
    <n v="565"/>
    <n v="7345"/>
    <n v="6"/>
    <n v="565"/>
    <n v="7345"/>
    <s v=""/>
    <x v="0"/>
  </r>
  <r>
    <n v="909"/>
    <s v="New York"/>
    <s v="VNS Health Health Plans (CDP)"/>
    <s v="MLTC"/>
    <s v="CDPAP"/>
    <s v="T1019U6 BX"/>
    <s v="T1019:U6"/>
    <x v="1"/>
    <s v="CDPAP"/>
    <s v="MC Medicaid CDPAP"/>
    <m/>
    <n v="1"/>
    <n v="26"/>
    <n v="208"/>
    <n v="1"/>
    <n v="26"/>
    <n v="208"/>
    <s v=""/>
    <x v="0"/>
  </r>
  <r>
    <n v="910"/>
    <s v="New York"/>
    <s v="VNS Health Health Plans (CDP)"/>
    <s v="MLTC"/>
    <s v="CDPAP"/>
    <s v="T1019U6 EDD"/>
    <s v="T1019:U6"/>
    <x v="1"/>
    <s v="CDPAP"/>
    <s v="MC Medicaid CDPAP"/>
    <m/>
    <n v="1"/>
    <n v="366"/>
    <n v="1203.5"/>
    <n v="1"/>
    <n v="366"/>
    <n v="1203.5"/>
    <s v=""/>
    <x v="0"/>
  </r>
  <r>
    <n v="911"/>
    <s v="New York"/>
    <s v="VNS Health Health Plans (CDP)"/>
    <s v="MLTC"/>
    <s v="CDPAP"/>
    <s v="T1019U6 NYC"/>
    <s v="T1019:U6"/>
    <x v="1"/>
    <s v="CDPAP"/>
    <s v="MC Medicaid CDPAP"/>
    <m/>
    <n v="37"/>
    <n v="6739"/>
    <n v="38329.75"/>
    <n v="31"/>
    <n v="6355"/>
    <n v="35543.75"/>
    <s v=""/>
    <x v="0"/>
  </r>
  <r>
    <n v="912"/>
    <s v="New York"/>
    <s v="VNS Health Health Plans (CDP)"/>
    <s v="MLTC"/>
    <s v="CDPAP"/>
    <s v="T1019U7 NYC"/>
    <s v="T1019:U7"/>
    <x v="10"/>
    <s v="CDPAP"/>
    <s v="MC Medicaid CDPAP"/>
    <m/>
    <n v="4"/>
    <n v="293"/>
    <n v="2029.75"/>
    <n v="4"/>
    <n v="293"/>
    <n v="2029.75"/>
    <s v=""/>
    <x v="0"/>
  </r>
  <r>
    <n v="913"/>
    <s v="New York"/>
    <s v="Your Choice at Home"/>
    <s v="CHHA"/>
    <s v="CHHA"/>
    <s v="2610"/>
    <s v="2610"/>
    <x v="0"/>
    <s v="HHA"/>
    <s v="Other"/>
    <s v="CHHA"/>
    <n v="3"/>
    <n v="92"/>
    <n v="717"/>
    <n v="3"/>
    <n v="92"/>
    <n v="717"/>
    <s v=""/>
    <x v="0"/>
  </r>
  <r>
    <n v="917"/>
    <s v="Niagara"/>
    <s v="Centers Plan For Healthy Living CDPAP "/>
    <s v="MLTC"/>
    <s v="CDPAP"/>
    <s v="PA Hourly - Erie/Niagara"/>
    <s v="T1019:U6"/>
    <x v="1"/>
    <s v="CDPAP"/>
    <s v="MC Medicaid CDPAP"/>
    <m/>
    <n v="6"/>
    <n v="1551"/>
    <n v="5425.25"/>
    <n v="6"/>
    <n v="1551"/>
    <n v="5425.25"/>
    <s v=""/>
    <x v="0"/>
  </r>
  <r>
    <n v="918"/>
    <s v="Niagara"/>
    <s v="Elderwood Health Plan"/>
    <s v="MCO"/>
    <s v="CDPAP"/>
    <s v="PA Hourly"/>
    <s v="T1019:U6"/>
    <x v="1"/>
    <s v="CDPAP"/>
    <s v="MC Medicaid CDPAP"/>
    <m/>
    <n v="1"/>
    <n v="36"/>
    <n v="360"/>
    <n v="1"/>
    <n v="36"/>
    <n v="360"/>
    <s v=""/>
    <x v="0"/>
  </r>
  <r>
    <n v="920"/>
    <s v="Niagara"/>
    <s v="Fidelis Care (CDP)"/>
    <s v="LHCSA"/>
    <s v="CDPAP"/>
    <s v="T1019:U6"/>
    <s v="T1019:U6"/>
    <x v="1"/>
    <s v="CDPAP"/>
    <s v="MC Medicaid CDPAP"/>
    <m/>
    <n v="18"/>
    <n v="2221"/>
    <n v="9862"/>
    <n v="18"/>
    <n v="2221"/>
    <n v="9862"/>
    <s v=""/>
    <x v="0"/>
  </r>
  <r>
    <n v="923"/>
    <s v="Niagara"/>
    <s v="Nascentia Health Options CDPAP"/>
    <s v="MLTC"/>
    <s v="CDPAP"/>
    <s v="PA Hourly"/>
    <s v="T1019:U6"/>
    <x v="1"/>
    <s v="CDPAP"/>
    <s v="MC Medicaid CDPAP"/>
    <m/>
    <n v="7"/>
    <n v="1206"/>
    <n v="6175.5"/>
    <n v="7"/>
    <n v="1206"/>
    <n v="6175.5"/>
    <s v=""/>
    <x v="0"/>
  </r>
  <r>
    <n v="925"/>
    <s v="Niagara"/>
    <s v="VNS Health Health Plans (CDP)"/>
    <s v="MLTC"/>
    <s v="CDPAP"/>
    <s v="T1019U6 NIA"/>
    <s v="T1019:U6"/>
    <x v="1"/>
    <s v="CDPAP"/>
    <s v="MC Medicaid CDPAP"/>
    <m/>
    <n v="2"/>
    <n v="78"/>
    <n v="690.75"/>
    <n v="2"/>
    <n v="78"/>
    <n v="690.75"/>
    <s v=""/>
    <x v="0"/>
  </r>
  <r>
    <n v="926"/>
    <s v="Niagara"/>
    <s v="VNSNY CHOICE CDPAP"/>
    <s v="MLTC"/>
    <s v="CDPAP"/>
    <s v="PA Hourly"/>
    <s v="T1019:U6"/>
    <x v="1"/>
    <s v="CDPAP"/>
    <s v="MC Medicaid CDPAP"/>
    <m/>
    <n v="1"/>
    <n v="18"/>
    <n v="180"/>
    <n v="1"/>
    <n v="18"/>
    <n v="180"/>
    <s v=""/>
    <x v="0"/>
  </r>
  <r>
    <n v="928"/>
    <s v="Oneida"/>
    <s v="Fidelis Care (CDP)"/>
    <s v="LHCSA"/>
    <s v="CDPAP"/>
    <s v="T1019:U6"/>
    <s v="T1019:U6"/>
    <x v="1"/>
    <s v="CDPAP"/>
    <s v="MC Medicaid CDPAP"/>
    <m/>
    <n v="18"/>
    <n v="2974"/>
    <n v="10685.5"/>
    <n v="18"/>
    <n v="2974"/>
    <n v="10685.5"/>
    <s v=""/>
    <x v="0"/>
  </r>
  <r>
    <n v="930"/>
    <s v="Oneida"/>
    <s v="Nascentia Health Options CDPAP"/>
    <s v="MLTC"/>
    <s v="CDPAP"/>
    <s v="PA Hourly"/>
    <s v="T1019:U6"/>
    <x v="1"/>
    <s v="CDPAP"/>
    <s v="MC Medicaid CDPAP"/>
    <m/>
    <n v="4"/>
    <n v="489"/>
    <n v="2170.75"/>
    <n v="4"/>
    <n v="489"/>
    <n v="2170.75"/>
    <s v=""/>
    <x v="0"/>
  </r>
  <r>
    <n v="933"/>
    <s v="Oneida"/>
    <s v="VNS Health Health Plans (CDP)"/>
    <s v="MLTC"/>
    <s v="CDPAP"/>
    <s v="T1019U6 ONE"/>
    <s v="T1019:U6"/>
    <x v="1"/>
    <s v="CDPAP"/>
    <s v="MC Medicaid CDPAP"/>
    <m/>
    <n v="20"/>
    <n v="3776"/>
    <n v="14770.75"/>
    <n v="20"/>
    <n v="3776"/>
    <n v="14770.75"/>
    <s v=""/>
    <x v="0"/>
  </r>
  <r>
    <n v="937"/>
    <s v="Onondaga"/>
    <s v="Fidelis Care (CDP)"/>
    <s v="LHCSA"/>
    <s v="CDPAP"/>
    <s v="T1019:U6"/>
    <s v="T1019:U6"/>
    <x v="1"/>
    <s v="CDPAP"/>
    <s v="MC Medicaid CDPAP"/>
    <m/>
    <n v="37"/>
    <n v="5356"/>
    <n v="26517.25"/>
    <n v="36"/>
    <n v="5330"/>
    <n v="26407.25"/>
    <s v=""/>
    <x v="0"/>
  </r>
  <r>
    <n v="938"/>
    <s v="Onondaga"/>
    <s v="Fidelis Care (CDP)"/>
    <s v="LHCSA"/>
    <s v="CDPAP"/>
    <s v="T1019:U7"/>
    <s v="T1019:U7"/>
    <x v="10"/>
    <s v="CDPAP"/>
    <s v="MC Medicaid CDPAP"/>
    <m/>
    <n v="2"/>
    <n v="76"/>
    <n v="152"/>
    <n v="2"/>
    <n v="76"/>
    <n v="152"/>
    <s v=""/>
    <x v="0"/>
  </r>
  <r>
    <n v="941"/>
    <s v="Onondaga"/>
    <s v="Nascentia Health Options CDPAP"/>
    <s v="MLTC"/>
    <s v="CDPAP"/>
    <s v="PA Hourly"/>
    <s v="T1019:U6"/>
    <x v="1"/>
    <s v="CDPAP"/>
    <s v="MC Medicaid CDPAP"/>
    <m/>
    <n v="6"/>
    <n v="1295"/>
    <n v="5090"/>
    <n v="6"/>
    <n v="1295"/>
    <n v="5090"/>
    <s v=""/>
    <x v="0"/>
  </r>
  <r>
    <n v="945"/>
    <s v="Onondaga"/>
    <s v="VNS Health Health Plans (CDP)"/>
    <s v="MLTC"/>
    <s v="CDPAP"/>
    <s v="T1019U6 ONO"/>
    <s v="T1019:U6"/>
    <x v="1"/>
    <s v="CDPAP"/>
    <s v="MC Medicaid CDPAP"/>
    <m/>
    <n v="36"/>
    <n v="8423"/>
    <n v="34658.25"/>
    <n v="36"/>
    <n v="8423"/>
    <n v="34658.25"/>
    <s v=""/>
    <x v="0"/>
  </r>
  <r>
    <n v="946"/>
    <s v="Onondaga"/>
    <s v="VNS Health Health Plans (CDP)"/>
    <s v="MLTC"/>
    <s v="CDPAP"/>
    <s v="T1019U7 ONO"/>
    <s v="T1019:U7"/>
    <x v="10"/>
    <s v="CDPAP"/>
    <s v="MC Medicaid CDPAP"/>
    <m/>
    <n v="6"/>
    <n v="2178"/>
    <n v="19859"/>
    <n v="6"/>
    <n v="2178"/>
    <n v="19859"/>
    <s v=""/>
    <x v="0"/>
  </r>
  <r>
    <n v="950"/>
    <s v="Ontario"/>
    <s v="Fidelis Care (CDP)"/>
    <s v="LHCSA"/>
    <s v="CDPAP"/>
    <s v="T1019:U6"/>
    <s v="T1019:U6"/>
    <x v="1"/>
    <s v="CDPAP"/>
    <s v="MC Medicaid CDPAP"/>
    <m/>
    <n v="7"/>
    <n v="1393"/>
    <n v="6954.5"/>
    <n v="7"/>
    <n v="1393"/>
    <n v="6954.5"/>
    <s v=""/>
    <x v="0"/>
  </r>
  <r>
    <n v="953"/>
    <s v="Ontario"/>
    <s v="Nascentia Health Options CDPAP"/>
    <s v="MLTC"/>
    <s v="CDPAP"/>
    <s v="PA Hourly"/>
    <s v="T1019:U6"/>
    <x v="1"/>
    <s v="CDPAP"/>
    <s v="MC Medicaid CDPAP"/>
    <m/>
    <n v="4"/>
    <n v="891"/>
    <n v="4934.75"/>
    <n v="4"/>
    <n v="891"/>
    <n v="4934.75"/>
    <s v=""/>
    <x v="0"/>
  </r>
  <r>
    <n v="955"/>
    <s v="Orange"/>
    <s v="Amerigroup (Empire) CDPAP"/>
    <s v="MLTC"/>
    <s v="CDPAP"/>
    <s v="PA HOURLY"/>
    <s v="T1019:U6"/>
    <x v="1"/>
    <s v="CDPAP"/>
    <s v="MC Medicaid CDPAP"/>
    <m/>
    <n v="1"/>
    <n v="71"/>
    <n v="422.75"/>
    <n v="1"/>
    <n v="71"/>
    <n v="422.75"/>
    <s v=""/>
    <x v="0"/>
  </r>
  <r>
    <n v="958"/>
    <s v="Orange"/>
    <s v="Elderplan MJHS (CDP)"/>
    <s v="MLTC"/>
    <s v="CDPAP"/>
    <s v="T1019:U6"/>
    <s v="T1019:U6"/>
    <x v="1"/>
    <s v="CDPAP"/>
    <s v="MC Medicaid CDPAP"/>
    <m/>
    <n v="8"/>
    <n v="673"/>
    <n v="3447"/>
    <n v="7"/>
    <n v="644"/>
    <n v="3318.75"/>
    <s v=""/>
    <x v="0"/>
  </r>
  <r>
    <n v="959"/>
    <s v="Orange"/>
    <s v="Fidelis Care (ANT)"/>
    <s v="LHCSA"/>
    <s v="MLTC"/>
    <s v="T1019:U1"/>
    <s v="T1019:U1"/>
    <x v="2"/>
    <s v="HHA"/>
    <s v="MC Medicaid HHA"/>
    <m/>
    <n v="1"/>
    <n v="3"/>
    <n v="10.5"/>
    <n v="1"/>
    <n v="3"/>
    <n v="10.5"/>
    <s v=""/>
    <x v="0"/>
  </r>
  <r>
    <n v="962"/>
    <s v="Orange"/>
    <s v="Fidelis Care (CDP)"/>
    <s v="LHCSA"/>
    <s v="CDPAP"/>
    <s v="T1019:U6"/>
    <s v="T1019:U6"/>
    <x v="1"/>
    <s v="CDPAP"/>
    <s v="MC Medicaid CDPAP"/>
    <m/>
    <n v="9"/>
    <n v="1162"/>
    <n v="4331.75"/>
    <n v="9"/>
    <n v="1162"/>
    <n v="4331.75"/>
    <s v=""/>
    <x v="0"/>
  </r>
  <r>
    <n v="963"/>
    <s v="Orange"/>
    <s v="Fidelis Care PCA (Non Live)"/>
    <s v="MLTC"/>
    <s v="MLTC"/>
    <s v="Rn initial assement"/>
    <s v="G0162"/>
    <x v="3"/>
    <s v="HHA"/>
    <s v="MC Medicaid HHA"/>
    <m/>
    <n v="1"/>
    <n v="1"/>
    <n v="1"/>
    <n v="0"/>
    <n v="0"/>
    <n v="0"/>
    <s v="nursing"/>
    <x v="0"/>
  </r>
  <r>
    <n v="965"/>
    <s v="Orange"/>
    <s v="Hamaspik Choice (MLTC) CDPAP"/>
    <s v="MCO"/>
    <s v="CDPAP"/>
    <s v="PA Hourly - Mutual Upstate"/>
    <s v="T1019:U7"/>
    <x v="10"/>
    <s v="CDPAP"/>
    <s v="MC Medicaid CDPAP"/>
    <m/>
    <n v="2"/>
    <n v="133"/>
    <n v="906.5"/>
    <n v="2"/>
    <n v="133"/>
    <n v="906.5"/>
    <s v=""/>
    <x v="0"/>
  </r>
  <r>
    <n v="966"/>
    <s v="Orange"/>
    <s v="Hamaspik Choice (MLTC) CDPAP"/>
    <s v="MCO"/>
    <s v="CDPAP"/>
    <s v="PA Hourly Upstate"/>
    <s v="T1019:U6"/>
    <x v="1"/>
    <s v="CDPAP"/>
    <s v="MC Medicaid CDPAP"/>
    <m/>
    <n v="5"/>
    <n v="1110"/>
    <n v="4694.75"/>
    <n v="5"/>
    <n v="1110"/>
    <n v="4694.75"/>
    <s v=""/>
    <x v="0"/>
  </r>
  <r>
    <n v="969"/>
    <s v="Orange"/>
    <s v="Hamaspik MAP CDPAP"/>
    <s v="MCO"/>
    <s v="CDPAP"/>
    <s v="PA Hourly Upstate"/>
    <s v="T1019:U6"/>
    <x v="1"/>
    <s v="CDPAP"/>
    <s v="MC Medicaid CDPAP"/>
    <m/>
    <n v="1"/>
    <n v="186"/>
    <n v="557"/>
    <n v="1"/>
    <n v="186"/>
    <n v="557"/>
    <s v=""/>
    <x v="0"/>
  </r>
  <r>
    <n v="972"/>
    <s v="Orange"/>
    <s v="MVP Health Care CDPAP"/>
    <s v="MLTC"/>
    <s v="CDPAP"/>
    <s v="PA Hourly"/>
    <s v="T1019:U6"/>
    <x v="1"/>
    <s v="CDPAP"/>
    <s v="MC Medicaid CDPAP"/>
    <m/>
    <n v="1"/>
    <n v="259"/>
    <n v="985"/>
    <n v="1"/>
    <n v="259"/>
    <n v="985"/>
    <s v=""/>
    <x v="0"/>
  </r>
  <r>
    <n v="975"/>
    <s v="Orange"/>
    <s v="VNS Health Health Plans (CDP)"/>
    <s v="MLTC"/>
    <s v="CDPAP"/>
    <s v="T1019U6 ORA"/>
    <s v="T1019:U6"/>
    <x v="1"/>
    <s v="CDPAP"/>
    <s v="MC Medicaid CDPAP"/>
    <m/>
    <n v="28"/>
    <n v="6842"/>
    <n v="32486"/>
    <n v="27"/>
    <n v="6826"/>
    <n v="32394"/>
    <s v=""/>
    <x v="0"/>
  </r>
  <r>
    <n v="976"/>
    <s v="Orange"/>
    <s v="VNS Health Health Plans (CDP)"/>
    <s v="MLTC"/>
    <s v="CDPAP"/>
    <s v="T1019U6 ULS"/>
    <s v="T1019:U6"/>
    <x v="1"/>
    <s v="CDPAP"/>
    <s v="MC Medicaid CDPAP"/>
    <m/>
    <n v="1"/>
    <n v="87"/>
    <n v="221.25"/>
    <n v="1"/>
    <n v="87"/>
    <n v="221.25"/>
    <s v=""/>
    <x v="0"/>
  </r>
  <r>
    <n v="977"/>
    <s v="Orleans"/>
    <s v="Elderwood Health Plan"/>
    <s v="MCO"/>
    <s v="CDPAP"/>
    <s v="PA Hourly"/>
    <s v="T1019:U6"/>
    <x v="1"/>
    <s v="CDPAP"/>
    <s v="MC Medicaid CDPAP"/>
    <m/>
    <n v="2"/>
    <n v="102"/>
    <n v="582.5"/>
    <n v="2"/>
    <n v="102"/>
    <n v="582.5"/>
    <s v=""/>
    <x v="0"/>
  </r>
  <r>
    <n v="979"/>
    <s v="Orleans"/>
    <s v="Fidelis Care (CDP)"/>
    <s v="LHCSA"/>
    <s v="CDPAP"/>
    <s v="T1019:U6"/>
    <s v="T1019:U6"/>
    <x v="1"/>
    <s v="CDPAP"/>
    <s v="MC Medicaid CDPAP"/>
    <m/>
    <n v="3"/>
    <n v="613"/>
    <n v="2834"/>
    <n v="3"/>
    <n v="613"/>
    <n v="2834"/>
    <s v=""/>
    <x v="0"/>
  </r>
  <r>
    <n v="981"/>
    <s v="Orleans"/>
    <s v="Nascentia Health Options CDPAP"/>
    <s v="MLTC"/>
    <s v="CDPAP"/>
    <s v="PA Hourly"/>
    <s v="T1019:U6"/>
    <x v="1"/>
    <s v="CDPAP"/>
    <s v="MC Medicaid CDPAP"/>
    <m/>
    <n v="1"/>
    <n v="75"/>
    <n v="251.25"/>
    <n v="1"/>
    <n v="75"/>
    <n v="251.25"/>
    <s v=""/>
    <x v="0"/>
  </r>
  <r>
    <n v="983"/>
    <s v="Orleans"/>
    <s v="VNS Health Health Plans (CDP)"/>
    <s v="MLTC"/>
    <s v="CDPAP"/>
    <s v="T1019U6 ORL"/>
    <s v="T1019:U6"/>
    <x v="1"/>
    <s v="CDPAP"/>
    <s v="MC Medicaid CDPAP"/>
    <m/>
    <n v="2"/>
    <n v="150"/>
    <n v="938.25"/>
    <n v="1"/>
    <n v="78"/>
    <n v="568.5"/>
    <s v=""/>
    <x v="0"/>
  </r>
  <r>
    <n v="984"/>
    <s v="Orleans"/>
    <s v="VNSNY CHOICE CDPAP"/>
    <s v="MLTC"/>
    <s v="CDPAP"/>
    <s v="PA Hourly"/>
    <s v="T1019:U6"/>
    <x v="1"/>
    <s v="CDPAP"/>
    <s v="MC Medicaid CDPAP"/>
    <m/>
    <n v="2"/>
    <n v="58"/>
    <n v="357"/>
    <n v="2"/>
    <n v="58"/>
    <n v="357"/>
    <s v=""/>
    <x v="0"/>
  </r>
  <r>
    <n v="987"/>
    <s v="Oswego"/>
    <s v="Fidelis Care (CDP)"/>
    <s v="LHCSA"/>
    <s v="CDPAP"/>
    <s v="T1019:U6"/>
    <s v="T1019:U6"/>
    <x v="1"/>
    <s v="CDPAP"/>
    <s v="MC Medicaid CDPAP"/>
    <m/>
    <n v="12"/>
    <n v="1669"/>
    <n v="8234"/>
    <n v="12"/>
    <n v="1669"/>
    <n v="8234"/>
    <s v=""/>
    <x v="0"/>
  </r>
  <r>
    <n v="990"/>
    <s v="Oswego"/>
    <s v="Nascentia Health Options CDPAP"/>
    <s v="MLTC"/>
    <s v="CDPAP"/>
    <s v="PA Hourly"/>
    <s v="T1019:U6"/>
    <x v="1"/>
    <s v="CDPAP"/>
    <s v="MC Medicaid CDPAP"/>
    <m/>
    <n v="7"/>
    <n v="1206"/>
    <n v="6990.5"/>
    <n v="7"/>
    <n v="1206"/>
    <n v="6990.5"/>
    <s v=""/>
    <x v="0"/>
  </r>
  <r>
    <n v="993"/>
    <s v="Otsego"/>
    <s v="Fidelis Care (CDP)"/>
    <s v="LHCSA"/>
    <s v="CDPAP"/>
    <s v="T1019:U6"/>
    <s v="T1019:U6"/>
    <x v="1"/>
    <s v="CDPAP"/>
    <s v="MC Medicaid CDPAP"/>
    <m/>
    <n v="5"/>
    <n v="457"/>
    <n v="2912.75"/>
    <n v="5"/>
    <n v="457"/>
    <n v="2912.75"/>
    <s v=""/>
    <x v="0"/>
  </r>
  <r>
    <n v="995"/>
    <s v="Otsego"/>
    <s v="Nascentia Health Options CDPAP"/>
    <s v="MLTC"/>
    <s v="CDPAP"/>
    <s v="PA Hourly"/>
    <s v="T1019:U6"/>
    <x v="1"/>
    <s v="CDPAP"/>
    <s v="MC Medicaid CDPAP"/>
    <m/>
    <n v="2"/>
    <n v="387"/>
    <n v="1466.75"/>
    <n v="2"/>
    <n v="387"/>
    <n v="1466.75"/>
    <s v=""/>
    <x v="0"/>
  </r>
  <r>
    <n v="998"/>
    <s v="Otsego"/>
    <s v="VNS Health Health Plans (CDP)"/>
    <s v="MLTC"/>
    <s v="CDPAP"/>
    <s v="T1019U6 OTS"/>
    <s v="T1019:U6"/>
    <x v="1"/>
    <s v="CDPAP"/>
    <s v="MC Medicaid CDPAP"/>
    <m/>
    <n v="3"/>
    <n v="548"/>
    <n v="2097.75"/>
    <n v="3"/>
    <n v="548"/>
    <n v="2097.75"/>
    <s v=""/>
    <x v="0"/>
  </r>
  <r>
    <n v="1000"/>
    <s v="Putnam"/>
    <s v="Amerigroup (Empire) CDPAP"/>
    <s v="MLTC"/>
    <s v="CDPAP"/>
    <s v="PA HOURLY"/>
    <s v="T1019:U6"/>
    <x v="1"/>
    <s v="CDPAP"/>
    <s v="MC Medicaid CDPAP"/>
    <m/>
    <n v="1"/>
    <n v="6"/>
    <n v="30"/>
    <n v="1"/>
    <n v="6"/>
    <n v="30"/>
    <s v=""/>
    <x v="0"/>
  </r>
  <r>
    <n v="1003"/>
    <s v="Putnam"/>
    <s v="Elderplan MJHS (CDP)"/>
    <s v="MLTC"/>
    <s v="CDPAP"/>
    <s v="T1019:U6"/>
    <s v="T1019:U6"/>
    <x v="1"/>
    <s v="CDPAP"/>
    <s v="MC Medicaid CDPAP"/>
    <m/>
    <n v="2"/>
    <n v="282"/>
    <n v="1597.5"/>
    <n v="2"/>
    <n v="282"/>
    <n v="1597.5"/>
    <s v=""/>
    <x v="0"/>
  </r>
  <r>
    <n v="1005"/>
    <s v="Putnam"/>
    <s v="Fidelis Care (CDP)"/>
    <s v="LHCSA"/>
    <s v="CDPAP"/>
    <s v="T1019:U6"/>
    <s v="T1019:U6"/>
    <x v="1"/>
    <s v="CDPAP"/>
    <s v="MC Medicaid CDPAP"/>
    <m/>
    <n v="3"/>
    <n v="320"/>
    <n v="1093.75"/>
    <n v="3"/>
    <n v="320"/>
    <n v="1093.75"/>
    <s v=""/>
    <x v="0"/>
  </r>
  <r>
    <n v="1006"/>
    <s v="Queens"/>
    <s v="Americare"/>
    <s v="CHHA"/>
    <s v="CHHA"/>
    <s v="HHA1"/>
    <s v="S9122"/>
    <x v="0"/>
    <s v="HHA"/>
    <s v="Other"/>
    <s v="CHHA"/>
    <n v="31"/>
    <n v="748"/>
    <n v="2943.75"/>
    <n v="22"/>
    <n v="568"/>
    <n v="2258.5"/>
    <s v=""/>
    <x v="0"/>
  </r>
  <r>
    <n v="1007"/>
    <s v="Queens"/>
    <s v="Americare"/>
    <s v="CHHA"/>
    <s v="CHHA"/>
    <s v="HHAPEDSV"/>
    <s v="S9122"/>
    <x v="0"/>
    <s v="HHA"/>
    <s v="Other"/>
    <s v="CHHA"/>
    <n v="212"/>
    <n v="26991"/>
    <n v="181303"/>
    <n v="181"/>
    <n v="25501"/>
    <n v="171376"/>
    <s v=""/>
    <x v="0"/>
  </r>
  <r>
    <n v="1009"/>
    <s v="Queens"/>
    <s v="Amerigroup (Empire) CDPAP"/>
    <s v="MLTC"/>
    <s v="CDPAP"/>
    <s v="PA HOURLY"/>
    <s v="T1019:U6"/>
    <x v="1"/>
    <s v="CDPAP"/>
    <s v="MC Medicaid CDPAP"/>
    <m/>
    <n v="2"/>
    <n v="30"/>
    <n v="119.75"/>
    <n v="2"/>
    <n v="30"/>
    <n v="119.75"/>
    <s v=""/>
    <x v="0"/>
  </r>
  <r>
    <n v="1010"/>
    <s v="Queens"/>
    <s v="Archcare Community Life CDPAP"/>
    <s v="MCO"/>
    <s v="CDPAP"/>
    <s v="PA Hourly"/>
    <s v="T1019:U6"/>
    <x v="1"/>
    <s v="CDPAP"/>
    <s v="MC Medicaid CDPAP"/>
    <m/>
    <n v="5"/>
    <n v="358"/>
    <n v="1884.25"/>
    <n v="4"/>
    <n v="344"/>
    <n v="1780.25"/>
    <s v=""/>
    <x v="0"/>
  </r>
  <r>
    <n v="1011"/>
    <s v="Queens"/>
    <s v="Archcare Community Life PCA"/>
    <s v="MCO"/>
    <s v="MLTC"/>
    <s v="PCA Hourly"/>
    <s v="T1019:U1"/>
    <x v="2"/>
    <s v="HHA"/>
    <s v="MC Medicaid HHA"/>
    <m/>
    <n v="8"/>
    <n v="430"/>
    <n v="2439"/>
    <n v="7"/>
    <n v="387"/>
    <n v="2269.5"/>
    <s v=""/>
    <x v="0"/>
  </r>
  <r>
    <n v="1012"/>
    <s v="Queens"/>
    <s v="Archcare Community Life PCA"/>
    <s v="MCO"/>
    <s v="MLTC"/>
    <s v="RN Initial (NB)"/>
    <m/>
    <x v="3"/>
    <s v="HHA"/>
    <s v="MC Medicaid HHA"/>
    <m/>
    <n v="2"/>
    <n v="2"/>
    <n v="2"/>
    <n v="1"/>
    <n v="1"/>
    <n v="1"/>
    <s v="Nursing override"/>
    <x v="0"/>
  </r>
  <r>
    <n v="1013"/>
    <s v="Queens"/>
    <s v="Archcare Community Life PCA"/>
    <s v="MCO"/>
    <s v="MLTC"/>
    <s v="RN Reassessment (NB)"/>
    <m/>
    <x v="3"/>
    <s v="HHA"/>
    <s v="MC Medicaid HHA"/>
    <m/>
    <n v="3"/>
    <n v="3"/>
    <n v="3"/>
    <n v="3"/>
    <n v="3"/>
    <n v="3"/>
    <s v="Nursing override"/>
    <x v="0"/>
  </r>
  <r>
    <n v="1014"/>
    <s v="Queens"/>
    <s v="Centerlight CHHA / Cassena Care At Home"/>
    <s v="CHHA"/>
    <s v="CHHA"/>
    <s v="HHA Hourly"/>
    <s v="HH11"/>
    <x v="0"/>
    <s v="HHA"/>
    <s v="Other"/>
    <s v="CHHA"/>
    <n v="7"/>
    <n v="44"/>
    <n v="162.5"/>
    <n v="6"/>
    <n v="34"/>
    <n v="128.5"/>
    <s v=""/>
    <x v="0"/>
  </r>
  <r>
    <n v="1015"/>
    <s v="Queens"/>
    <s v="CenterLight HealthCare (PACE) (ANT)"/>
    <s v="Other"/>
    <s v="MLTC"/>
    <s v="RN Initial (NB)"/>
    <m/>
    <x v="4"/>
    <s v="HHA"/>
    <s v="Other"/>
    <m/>
    <n v="1"/>
    <n v="1"/>
    <n v="1"/>
    <n v="1"/>
    <n v="1"/>
    <n v="1"/>
    <s v="Nursing override"/>
    <x v="0"/>
  </r>
  <r>
    <n v="1016"/>
    <s v="Queens"/>
    <s v="CenterLight HealthCare (PACE) (ANT)"/>
    <s v="Other"/>
    <s v="MLTC"/>
    <s v="T1019:U1"/>
    <s v="T1019:U1"/>
    <x v="4"/>
    <s v="HHA"/>
    <s v="Other"/>
    <m/>
    <n v="1"/>
    <n v="8"/>
    <n v="36.25"/>
    <n v="1"/>
    <n v="8"/>
    <n v="36.25"/>
    <s v=""/>
    <x v="0"/>
  </r>
  <r>
    <n v="1017"/>
    <s v="Queens"/>
    <s v="CenterLight HealthCare (PACE) (CDP)"/>
    <s v="Other"/>
    <s v="CDPAP"/>
    <s v="T1019:U6"/>
    <s v="T1019:U6"/>
    <x v="4"/>
    <s v="HHA"/>
    <s v="Other"/>
    <m/>
    <n v="2"/>
    <n v="253"/>
    <n v="2034.5"/>
    <n v="2"/>
    <n v="253"/>
    <n v="2034.5"/>
    <s v=""/>
    <x v="0"/>
  </r>
  <r>
    <n v="1018"/>
    <s v="Queens"/>
    <s v="Centers Plan For Health Living PCA"/>
    <s v="MLTC"/>
    <s v="MLTC"/>
    <s v="PCA Hourly"/>
    <s v="T1019:U1"/>
    <x v="2"/>
    <s v="HHA"/>
    <s v="MC Medicaid HHA"/>
    <m/>
    <n v="90"/>
    <n v="10993"/>
    <n v="52611"/>
    <n v="87"/>
    <n v="10869"/>
    <n v="51726.75"/>
    <s v=""/>
    <x v="0"/>
  </r>
  <r>
    <n v="1019"/>
    <s v="Queens"/>
    <s v="Centers Plan For Health Living PCA"/>
    <s v="MLTC"/>
    <s v="MLTC"/>
    <s v="PCA Live-In"/>
    <s v="T1020"/>
    <x v="8"/>
    <s v="HHA"/>
    <s v="MC Medicaid HHA"/>
    <m/>
    <n v="1"/>
    <n v="23"/>
    <n v="299"/>
    <n v="1"/>
    <n v="23"/>
    <n v="299"/>
    <s v=""/>
    <x v="0"/>
  </r>
  <r>
    <n v="1020"/>
    <s v="Queens"/>
    <s v="Centers Plan For Health Living PCA"/>
    <s v="MLTC"/>
    <s v="MLTC"/>
    <s v="PRN (NB)"/>
    <m/>
    <x v="3"/>
    <s v="HHA"/>
    <s v="MC Medicaid HHA"/>
    <m/>
    <n v="2"/>
    <n v="2"/>
    <n v="2"/>
    <n v="2"/>
    <n v="2"/>
    <n v="2"/>
    <s v="Nursing override"/>
    <x v="0"/>
  </r>
  <r>
    <n v="1021"/>
    <s v="Queens"/>
    <s v="Centers Plan For Health Living PCA"/>
    <s v="MLTC"/>
    <s v="MLTC"/>
    <s v="RN Initial (NB)"/>
    <m/>
    <x v="3"/>
    <s v="HHA"/>
    <s v="MC Medicaid HHA"/>
    <m/>
    <n v="49"/>
    <n v="49"/>
    <n v="49"/>
    <n v="48"/>
    <n v="48"/>
    <n v="48"/>
    <s v="Nursing override"/>
    <x v="0"/>
  </r>
  <r>
    <n v="1022"/>
    <s v="Queens"/>
    <s v="Centers Plan For Health Living PCA"/>
    <s v="MLTC"/>
    <s v="MLTC"/>
    <s v="RN Reassessment (NB)"/>
    <m/>
    <x v="3"/>
    <s v="HHA"/>
    <s v="MC Medicaid HHA"/>
    <m/>
    <n v="41"/>
    <n v="61"/>
    <n v="61"/>
    <n v="41"/>
    <n v="61"/>
    <n v="61"/>
    <s v="Nursing override"/>
    <x v="0"/>
  </r>
  <r>
    <n v="1025"/>
    <s v="Queens"/>
    <s v="Centers Plan For Healthy Living CDPAP "/>
    <s v="MLTC"/>
    <s v="CDPAP"/>
    <s v="PA Hourly - 5 Boroughs"/>
    <s v="T1019:U6"/>
    <x v="1"/>
    <s v="CDPAP"/>
    <s v="MC Medicaid CDPAP"/>
    <m/>
    <n v="85"/>
    <n v="16110"/>
    <n v="66145.5"/>
    <n v="80"/>
    <n v="15847"/>
    <n v="64895"/>
    <s v=""/>
    <x v="0"/>
  </r>
  <r>
    <n v="1026"/>
    <s v="Queens"/>
    <s v="Centers Plan For Healthy Living CDPAP "/>
    <s v="MLTC"/>
    <s v="CDPAP"/>
    <s v="PA Hourly - Nassau/Suffolk/Westchester:"/>
    <s v="T1019:U6"/>
    <x v="1"/>
    <s v="CDPAP"/>
    <s v="MC Medicaid CDPAP"/>
    <m/>
    <n v="2"/>
    <n v="253"/>
    <n v="1462.5"/>
    <n v="2"/>
    <n v="253"/>
    <n v="1462.5"/>
    <s v=""/>
    <x v="0"/>
  </r>
  <r>
    <n v="1027"/>
    <s v="Queens"/>
    <s v="Elderplan MJHS (ANT)"/>
    <s v="MLTC"/>
    <s v="MLTC"/>
    <s v="PRN (NB)"/>
    <m/>
    <x v="3"/>
    <s v="HHA"/>
    <s v="MC Medicaid HHA"/>
    <m/>
    <n v="3"/>
    <n v="3"/>
    <n v="3"/>
    <n v="3"/>
    <n v="3"/>
    <n v="3"/>
    <s v="Nursing override"/>
    <x v="0"/>
  </r>
  <r>
    <n v="1028"/>
    <s v="Queens"/>
    <s v="Elderplan MJHS (ANT)"/>
    <s v="MLTC"/>
    <s v="MLTC"/>
    <s v="RN Initial (NB)"/>
    <m/>
    <x v="3"/>
    <s v="HHA"/>
    <s v="MC Medicaid HHA"/>
    <m/>
    <n v="16"/>
    <n v="16"/>
    <n v="16"/>
    <n v="14"/>
    <n v="14"/>
    <n v="14"/>
    <s v="Nursing override"/>
    <x v="0"/>
  </r>
  <r>
    <n v="1029"/>
    <s v="Queens"/>
    <s v="Elderplan MJHS (ANT)"/>
    <s v="MLTC"/>
    <s v="MLTC"/>
    <s v="RN Reassessment (NB)"/>
    <m/>
    <x v="3"/>
    <s v="HHA"/>
    <s v="MC Medicaid HHA"/>
    <m/>
    <n v="11"/>
    <n v="17"/>
    <n v="17"/>
    <n v="11"/>
    <n v="17"/>
    <n v="17"/>
    <s v="Nursing override"/>
    <x v="0"/>
  </r>
  <r>
    <n v="1030"/>
    <s v="Queens"/>
    <s v="Elderplan MJHS (ANT)"/>
    <s v="MLTC"/>
    <s v="MLTC"/>
    <s v="T1019:U1"/>
    <s v="T1019:U1"/>
    <x v="2"/>
    <s v="HHA"/>
    <s v="MC Medicaid HHA"/>
    <m/>
    <n v="30"/>
    <n v="2971"/>
    <n v="13954.25"/>
    <n v="27"/>
    <n v="2808"/>
    <n v="13007"/>
    <s v=""/>
    <x v="0"/>
  </r>
  <r>
    <n v="1031"/>
    <s v="Queens"/>
    <s v="Elderplan MJHS (ANT)"/>
    <s v="MLTC"/>
    <s v="MLTC"/>
    <s v="T1020"/>
    <s v="T1020"/>
    <x v="8"/>
    <s v="HHA"/>
    <s v="MC Medicaid HHA"/>
    <m/>
    <n v="1"/>
    <n v="25"/>
    <n v="325"/>
    <n v="1"/>
    <n v="25"/>
    <n v="325"/>
    <s v=""/>
    <x v="0"/>
  </r>
  <r>
    <n v="1034"/>
    <s v="Queens"/>
    <s v="Elderplan MJHS (CDP)"/>
    <s v="MLTC"/>
    <s v="CDPAP"/>
    <s v="RN Initial (NB)"/>
    <m/>
    <x v="3"/>
    <s v="HHA"/>
    <s v="MC Medicaid HHA"/>
    <m/>
    <n v="1"/>
    <n v="1"/>
    <n v="1"/>
    <n v="1"/>
    <n v="1"/>
    <n v="1"/>
    <s v="Nursing override"/>
    <x v="0"/>
  </r>
  <r>
    <n v="1035"/>
    <s v="Queens"/>
    <s v="Elderplan MJHS (CDP)"/>
    <s v="MLTC"/>
    <s v="CDPAP"/>
    <s v="T1019:U6"/>
    <s v="T1019:U6"/>
    <x v="1"/>
    <s v="CDPAP"/>
    <s v="MC Medicaid CDPAP"/>
    <m/>
    <n v="22"/>
    <n v="3135"/>
    <n v="15123.75"/>
    <n v="22"/>
    <n v="3135"/>
    <n v="15123.75"/>
    <s v=""/>
    <x v="0"/>
  </r>
  <r>
    <n v="1038"/>
    <s v="Queens"/>
    <s v="ElderServe/Riverspring (CDPAP)"/>
    <s v="MLTC"/>
    <s v="CDPAP"/>
    <s v="PA Hourly"/>
    <s v="T1019:U6"/>
    <x v="1"/>
    <s v="CDPAP"/>
    <s v="MC Medicaid CDPAP"/>
    <m/>
    <n v="10"/>
    <n v="1798"/>
    <n v="10335.5"/>
    <n v="10"/>
    <n v="1798"/>
    <n v="10335.5"/>
    <s v=""/>
    <x v="0"/>
  </r>
  <r>
    <n v="1039"/>
    <s v="Queens"/>
    <s v="ElderServe/Riverspring (CDPAP)"/>
    <s v="MLTC"/>
    <s v="CDPAP"/>
    <s v="PA Hourly Mutual"/>
    <s v="T1019:U7"/>
    <x v="10"/>
    <s v="CDPAP"/>
    <s v="MC Medicaid CDPAP"/>
    <m/>
    <n v="2"/>
    <n v="476"/>
    <n v="1888.75"/>
    <n v="2"/>
    <n v="476"/>
    <n v="1888.75"/>
    <s v=""/>
    <x v="0"/>
  </r>
  <r>
    <n v="1040"/>
    <s v="Queens"/>
    <s v="ElderServe/Riverspring (PCA)"/>
    <s v="MLTC"/>
    <s v="MLTC"/>
    <s v="PCA Hourly NYC"/>
    <s v="T1019:U1"/>
    <x v="2"/>
    <s v="HHA"/>
    <s v="MC Medicaid HHA"/>
    <m/>
    <n v="6"/>
    <n v="323"/>
    <n v="1309.25"/>
    <n v="6"/>
    <n v="323"/>
    <n v="1309.25"/>
    <s v=""/>
    <x v="0"/>
  </r>
  <r>
    <n v="1041"/>
    <s v="Queens"/>
    <s v="ElderServe/Riverspring (PCA)"/>
    <s v="MLTC"/>
    <s v="MLTC"/>
    <s v="PCA Live-In NYC"/>
    <s v="T1020"/>
    <x v="8"/>
    <s v="HHA"/>
    <s v="MC Medicaid HHA"/>
    <m/>
    <n v="1"/>
    <n v="4"/>
    <n v="52"/>
    <n v="1"/>
    <n v="4"/>
    <n v="52"/>
    <s v=""/>
    <x v="0"/>
  </r>
  <r>
    <n v="1042"/>
    <s v="Queens"/>
    <s v="ElderServe/Riverspring (PCA)"/>
    <s v="MLTC"/>
    <s v="MLTC"/>
    <s v="RN Initial (NB)"/>
    <m/>
    <x v="3"/>
    <s v="HHA"/>
    <s v="MC Medicaid HHA"/>
    <m/>
    <n v="3"/>
    <n v="3"/>
    <n v="3"/>
    <n v="3"/>
    <n v="3"/>
    <n v="3"/>
    <s v="Nursing override"/>
    <x v="0"/>
  </r>
  <r>
    <n v="1043"/>
    <s v="Queens"/>
    <s v="ElderServe/Riverspring (PCA)"/>
    <s v="MLTC"/>
    <s v="MLTC"/>
    <s v="RN Reassessment (NB)"/>
    <m/>
    <x v="3"/>
    <s v="HHA"/>
    <s v="MC Medicaid HHA"/>
    <m/>
    <n v="1"/>
    <n v="2"/>
    <n v="2"/>
    <n v="1"/>
    <n v="2"/>
    <n v="2"/>
    <s v="Nursing override"/>
    <x v="0"/>
  </r>
  <r>
    <n v="1046"/>
    <s v="Queens"/>
    <s v="Empire Blue Cross Blue Shield (CDPAP)"/>
    <s v="Other"/>
    <s v="CDPAP"/>
    <s v="PA Hourly (New)"/>
    <s v="T1019:U6"/>
    <x v="1"/>
    <s v="CDPAP"/>
    <s v="MC Medicaid CDPAP"/>
    <m/>
    <n v="47"/>
    <n v="10212"/>
    <n v="64790.5"/>
    <n v="46"/>
    <n v="10148"/>
    <n v="64410.5"/>
    <s v=""/>
    <x v="0"/>
  </r>
  <r>
    <n v="1047"/>
    <s v="Queens"/>
    <s v="Empire Blue Cross Blue Shield (PCA)"/>
    <s v="Other"/>
    <s v="MLTC"/>
    <s v="PCA Hourly NYC"/>
    <s v="T1019:U1"/>
    <x v="2"/>
    <s v="HHA"/>
    <s v="MC Medicaid HHA"/>
    <m/>
    <n v="31"/>
    <n v="3736"/>
    <n v="26311.25"/>
    <n v="30"/>
    <n v="3659"/>
    <n v="25853.75"/>
    <s v=""/>
    <x v="0"/>
  </r>
  <r>
    <n v="1048"/>
    <s v="Queens"/>
    <s v="Empire Blue Cross Blue Shield (PCA)"/>
    <s v="Other"/>
    <s v="MLTC"/>
    <s v="PCA Live In"/>
    <s v="T1020"/>
    <x v="8"/>
    <s v="HHA"/>
    <s v="MC Medicaid HHA"/>
    <m/>
    <n v="4"/>
    <n v="420"/>
    <n v="5460"/>
    <n v="4"/>
    <n v="420"/>
    <n v="5460"/>
    <s v=""/>
    <x v="0"/>
  </r>
  <r>
    <n v="1049"/>
    <s v="Queens"/>
    <s v="Empire Blue Cross Blue Shield (PCA)"/>
    <s v="Other"/>
    <s v="MLTC"/>
    <s v="PRN (NB)"/>
    <m/>
    <x v="3"/>
    <s v="HHA"/>
    <s v="MC Medicaid HHA"/>
    <m/>
    <n v="3"/>
    <n v="4"/>
    <n v="4"/>
    <n v="3"/>
    <n v="4"/>
    <n v="4"/>
    <s v="Nursing override"/>
    <x v="0"/>
  </r>
  <r>
    <n v="1050"/>
    <s v="Queens"/>
    <s v="Empire Blue Cross Blue Shield (PCA)"/>
    <s v="Other"/>
    <s v="MLTC"/>
    <s v="RN Initial (NB)"/>
    <m/>
    <x v="3"/>
    <s v="HHA"/>
    <s v="MC Medicaid HHA"/>
    <m/>
    <n v="18"/>
    <n v="19"/>
    <n v="19"/>
    <n v="18"/>
    <n v="19"/>
    <n v="19"/>
    <s v="Nursing override"/>
    <x v="0"/>
  </r>
  <r>
    <n v="1051"/>
    <s v="Queens"/>
    <s v="Empire Blue Cross Blue Shield (PCA)"/>
    <s v="Other"/>
    <s v="MLTC"/>
    <s v="RN Reassessment (NB)"/>
    <m/>
    <x v="3"/>
    <s v="HHA"/>
    <s v="MC Medicaid HHA"/>
    <m/>
    <n v="16"/>
    <n v="22"/>
    <n v="22"/>
    <n v="16"/>
    <n v="22"/>
    <n v="22"/>
    <s v="Nursing override"/>
    <x v="0"/>
  </r>
  <r>
    <n v="1052"/>
    <s v="Queens"/>
    <s v="Excellent Home Care Services"/>
    <s v="CHHA"/>
    <s v="CHHA"/>
    <s v="Rate3"/>
    <m/>
    <x v="0"/>
    <s v="HHA"/>
    <s v="Other"/>
    <s v="CHHA"/>
    <n v="42"/>
    <n v="5305"/>
    <n v="25873.25"/>
    <n v="38"/>
    <n v="5174"/>
    <n v="25339.25"/>
    <s v=""/>
    <x v="0"/>
  </r>
  <r>
    <n v="1053"/>
    <s v="Queens"/>
    <s v="Extended Home Care"/>
    <s v="CHHA"/>
    <s v="CHHA"/>
    <s v="PedCode95"/>
    <s v="-"/>
    <x v="0"/>
    <s v="HHA"/>
    <s v="Other"/>
    <s v="CHHA"/>
    <n v="25"/>
    <n v="1370"/>
    <n v="9517"/>
    <n v="21"/>
    <n v="1187"/>
    <n v="8372.75"/>
    <s v=""/>
    <x v="0"/>
  </r>
  <r>
    <n v="1054"/>
    <s v="Queens"/>
    <s v="Extended Home Care"/>
    <s v="CHHA"/>
    <s v="CHHA"/>
    <s v="Rate1"/>
    <m/>
    <x v="0"/>
    <s v="HHA"/>
    <s v="Other"/>
    <s v="CHHA"/>
    <n v="78"/>
    <n v="5090"/>
    <n v="24045.5"/>
    <n v="68"/>
    <n v="4940"/>
    <n v="23298.75"/>
    <s v=""/>
    <x v="0"/>
  </r>
  <r>
    <n v="1055"/>
    <s v="Queens"/>
    <s v="Extended Home Care"/>
    <s v="CHHA"/>
    <s v="CHHA"/>
    <s v="Rate4HMO"/>
    <s v="0"/>
    <x v="0"/>
    <s v="HHA"/>
    <s v="Other"/>
    <s v="CHHA"/>
    <n v="1"/>
    <n v="70"/>
    <n v="279.25"/>
    <n v="1"/>
    <n v="70"/>
    <n v="279.25"/>
    <s v=""/>
    <x v="0"/>
  </r>
  <r>
    <n v="1057"/>
    <s v="Queens"/>
    <s v="Fidelis Care (ANT)"/>
    <s v="LHCSA"/>
    <s v="MLTC"/>
    <s v="PRN (NB)"/>
    <m/>
    <x v="3"/>
    <s v="HHA"/>
    <s v="MC Medicaid HHA"/>
    <m/>
    <n v="10"/>
    <n v="12"/>
    <n v="12"/>
    <n v="10"/>
    <n v="12"/>
    <n v="12"/>
    <s v="Nursing override"/>
    <x v="0"/>
  </r>
  <r>
    <n v="1058"/>
    <s v="Queens"/>
    <s v="Fidelis Care (ANT)"/>
    <s v="LHCSA"/>
    <s v="MLTC"/>
    <s v="RN Initial (NB)"/>
    <m/>
    <x v="3"/>
    <s v="HHA"/>
    <s v="MC Medicaid HHA"/>
    <m/>
    <n v="60"/>
    <n v="60"/>
    <n v="60"/>
    <n v="58"/>
    <n v="58"/>
    <n v="58"/>
    <s v="Nursing override"/>
    <x v="0"/>
  </r>
  <r>
    <n v="1059"/>
    <s v="Queens"/>
    <s v="Fidelis Care (ANT)"/>
    <s v="LHCSA"/>
    <s v="MLTC"/>
    <s v="RN Initial Assement"/>
    <s v="T2024"/>
    <x v="3"/>
    <s v="HHA"/>
    <s v="MC Medicaid HHA"/>
    <m/>
    <n v="29"/>
    <n v="29"/>
    <n v="29"/>
    <n v="26"/>
    <n v="26"/>
    <n v="26"/>
    <s v="nursing"/>
    <x v="0"/>
  </r>
  <r>
    <n v="1060"/>
    <s v="Queens"/>
    <s v="Fidelis Care (ANT)"/>
    <s v="LHCSA"/>
    <s v="MLTC"/>
    <s v="Rn re-assessment"/>
    <m/>
    <x v="3"/>
    <s v="HHA"/>
    <s v="MC Medicaid HHA"/>
    <m/>
    <n v="1"/>
    <n v="1"/>
    <n v="1"/>
    <n v="1"/>
    <n v="1"/>
    <n v="1"/>
    <s v="nursing"/>
    <x v="0"/>
  </r>
  <r>
    <n v="1061"/>
    <s v="Queens"/>
    <s v="Fidelis Care (ANT)"/>
    <s v="LHCSA"/>
    <s v="MLTC"/>
    <s v="RN Reassessment (NB)"/>
    <m/>
    <x v="3"/>
    <s v="HHA"/>
    <s v="MC Medicaid HHA"/>
    <m/>
    <n v="61"/>
    <n v="77"/>
    <n v="77"/>
    <n v="59"/>
    <n v="75"/>
    <n v="75"/>
    <s v="Nursing override"/>
    <x v="0"/>
  </r>
  <r>
    <n v="1062"/>
    <s v="Queens"/>
    <s v="Fidelis Care (ANT)"/>
    <s v="LHCSA"/>
    <s v="MLTC"/>
    <s v="S5130:U1"/>
    <s v="S5130:U1::::Homemaker"/>
    <x v="6"/>
    <s v="HHA"/>
    <s v="MC Medicaid HHA"/>
    <m/>
    <n v="4"/>
    <n v="52"/>
    <n v="306.75"/>
    <n v="3"/>
    <n v="31"/>
    <n v="138.75"/>
    <s v=""/>
    <x v="0"/>
  </r>
  <r>
    <n v="1063"/>
    <s v="Queens"/>
    <s v="Fidelis Care (ANT)"/>
    <s v="LHCSA"/>
    <s v="MLTC"/>
    <s v="T1019:U1"/>
    <s v="T1019:U1"/>
    <x v="2"/>
    <s v="HHA"/>
    <s v="MC Medicaid HHA"/>
    <m/>
    <n v="142"/>
    <n v="14733"/>
    <n v="79489"/>
    <n v="133"/>
    <n v="14314"/>
    <n v="77412.25"/>
    <s v=""/>
    <x v="0"/>
  </r>
  <r>
    <n v="1064"/>
    <s v="Queens"/>
    <s v="Fidelis Care (ANT)"/>
    <s v="LHCSA"/>
    <s v="MLTC"/>
    <s v="T1019:U6"/>
    <s v="T1019:U6"/>
    <x v="1"/>
    <s v="CDPAP"/>
    <s v="MC Medicaid CDPAP"/>
    <m/>
    <n v="3"/>
    <n v="157"/>
    <n v="703.5"/>
    <n v="3"/>
    <n v="157"/>
    <n v="703.5"/>
    <s v=""/>
    <x v="0"/>
  </r>
  <r>
    <n v="1065"/>
    <s v="Queens"/>
    <s v="Fidelis Care (ANT)"/>
    <s v="LHCSA"/>
    <s v="MLTC"/>
    <s v="T1020"/>
    <s v="T1020"/>
    <x v="8"/>
    <s v="HHA"/>
    <s v="MC Medicaid HHA"/>
    <m/>
    <n v="3"/>
    <n v="303"/>
    <n v="3939"/>
    <n v="3"/>
    <n v="303"/>
    <n v="3939"/>
    <s v=""/>
    <x v="0"/>
  </r>
  <r>
    <n v="1070"/>
    <s v="Queens"/>
    <s v="Fidelis Care (CDP)"/>
    <s v="LHCSA"/>
    <s v="CDPAP"/>
    <s v="T1019:U1"/>
    <s v="T1019:U1"/>
    <x v="2"/>
    <s v="HHA"/>
    <s v="MC Medicaid HHA"/>
    <m/>
    <n v="1"/>
    <n v="1"/>
    <n v="1"/>
    <n v="1"/>
    <n v="1"/>
    <n v="1"/>
    <s v=""/>
    <x v="0"/>
  </r>
  <r>
    <n v="1071"/>
    <s v="Queens"/>
    <s v="Fidelis Care (CDP)"/>
    <s v="LHCSA"/>
    <s v="CDPAP"/>
    <s v="T1019:U6"/>
    <s v="T1019:U6"/>
    <x v="1"/>
    <s v="CDPAP"/>
    <s v="MC Medicaid CDPAP"/>
    <m/>
    <n v="99"/>
    <n v="13026"/>
    <n v="72370.5"/>
    <n v="94"/>
    <n v="12839"/>
    <n v="71248"/>
    <s v=""/>
    <x v="0"/>
  </r>
  <r>
    <n v="1072"/>
    <s v="Queens"/>
    <s v="Fidelis Care PCA (Non Live)"/>
    <s v="MLTC"/>
    <s v="MLTC"/>
    <s v="RN Initial (NB)"/>
    <s v="G0162"/>
    <x v="3"/>
    <s v="HHA"/>
    <s v="MC Medicaid HHA"/>
    <m/>
    <n v="8"/>
    <n v="8"/>
    <n v="8"/>
    <n v="8"/>
    <n v="8"/>
    <n v="8"/>
    <s v="Nursing override"/>
    <x v="0"/>
  </r>
  <r>
    <n v="1073"/>
    <s v="Queens"/>
    <s v="Fidelis Care PCA (Non Live)"/>
    <s v="MLTC"/>
    <s v="MLTC"/>
    <s v="Rn initial assement"/>
    <s v="G0162"/>
    <x v="3"/>
    <s v="HHA"/>
    <s v="MC Medicaid HHA"/>
    <m/>
    <n v="3"/>
    <n v="3"/>
    <n v="3"/>
    <n v="3"/>
    <n v="3"/>
    <n v="3"/>
    <s v="nursing"/>
    <x v="0"/>
  </r>
  <r>
    <n v="1074"/>
    <s v="Queens"/>
    <s v="Fidelis Care PCA (Non Live)"/>
    <s v="MLTC"/>
    <s v="MLTC"/>
    <s v="RN Reassessment (NB)"/>
    <m/>
    <x v="3"/>
    <s v="HHA"/>
    <s v="MC Medicaid HHA"/>
    <m/>
    <n v="2"/>
    <n v="2"/>
    <n v="2"/>
    <n v="2"/>
    <n v="2"/>
    <n v="2"/>
    <s v="Nursing override"/>
    <x v="0"/>
  </r>
  <r>
    <n v="1075"/>
    <s v="Queens"/>
    <s v="Girling Health Care Of New York"/>
    <s v="CHHA"/>
    <s v="CHHA"/>
    <s v="Rate1"/>
    <m/>
    <x v="0"/>
    <s v="HHA"/>
    <s v="Other"/>
    <s v="CHHA"/>
    <n v="37"/>
    <n v="1303"/>
    <n v="6074.25"/>
    <n v="29"/>
    <n v="1168"/>
    <n v="5534.75"/>
    <s v=""/>
    <x v="0"/>
  </r>
  <r>
    <n v="1076"/>
    <s v="QUEENS"/>
    <s v="Girling Health Care Of New York"/>
    <s v="CHHA"/>
    <s v="CHHA"/>
    <s v="Rate4"/>
    <m/>
    <x v="0"/>
    <s v="HHA"/>
    <s v="Other"/>
    <s v="CHHA"/>
    <n v="7"/>
    <n v="34"/>
    <n v="126"/>
    <n v="5"/>
    <n v="20"/>
    <n v="70.25"/>
    <s v=""/>
    <x v="0"/>
  </r>
  <r>
    <n v="1078"/>
    <s v="Queens"/>
    <s v="Hamaspik Choice (MLTC) CDPAP"/>
    <s v="MCO"/>
    <s v="CDPAP"/>
    <s v="PA Hourly NYC , Nassau, Westchester"/>
    <s v="T1019:U6"/>
    <x v="1"/>
    <s v="CDPAP"/>
    <s v="MC Medicaid CDPAP"/>
    <m/>
    <n v="2"/>
    <n v="143"/>
    <n v="834.75"/>
    <n v="2"/>
    <n v="143"/>
    <n v="834.75"/>
    <s v=""/>
    <x v="0"/>
  </r>
  <r>
    <n v="1080"/>
    <s v="Queens"/>
    <s v="Hamaspik Choice MLTC (PCA)"/>
    <s v="MLTC"/>
    <s v="MLTC"/>
    <s v="PCA Hourly"/>
    <s v="T1019:U1"/>
    <x v="2"/>
    <s v="HHA"/>
    <s v="MC Medicaid HHA"/>
    <m/>
    <n v="8"/>
    <n v="472"/>
    <n v="1950"/>
    <n v="8"/>
    <n v="472"/>
    <n v="1950"/>
    <s v=""/>
    <x v="0"/>
  </r>
  <r>
    <n v="1081"/>
    <s v="Queens"/>
    <s v="Hamaspik Choice MLTC (PCA)"/>
    <s v="MLTC"/>
    <s v="MLTC"/>
    <s v="RN Initial (NB)"/>
    <m/>
    <x v="3"/>
    <s v="HHA"/>
    <s v="MC Medicaid HHA"/>
    <m/>
    <n v="4"/>
    <n v="4"/>
    <n v="4"/>
    <n v="4"/>
    <n v="4"/>
    <n v="4"/>
    <s v="Nursing override"/>
    <x v="0"/>
  </r>
  <r>
    <n v="1082"/>
    <s v="Queens"/>
    <s v="Hamaspik Choice MLTC (PCA)"/>
    <s v="MLTC"/>
    <s v="MLTC"/>
    <s v="RN Reassessment (NB)"/>
    <m/>
    <x v="3"/>
    <s v="HHA"/>
    <s v="MC Medicaid HHA"/>
    <m/>
    <n v="1"/>
    <n v="1"/>
    <n v="1"/>
    <n v="1"/>
    <n v="1"/>
    <n v="1"/>
    <s v="Nursing override"/>
    <x v="0"/>
  </r>
  <r>
    <n v="1085"/>
    <s v="Queens"/>
    <s v="Hamaspik MAP CDPAP"/>
    <s v="MCO"/>
    <s v="CDPAP"/>
    <s v="PA Hourly (NYC, LI, &amp; Westchester)"/>
    <s v="T1019:U6"/>
    <x v="1"/>
    <s v="CDPAP"/>
    <s v="MC Medicaid CDPAP"/>
    <m/>
    <n v="5"/>
    <n v="941"/>
    <n v="5867.5"/>
    <n v="4"/>
    <n v="876"/>
    <n v="5259.75"/>
    <s v=""/>
    <x v="0"/>
  </r>
  <r>
    <n v="1088"/>
    <s v="Queens"/>
    <s v="Hamaspik MAP PCA"/>
    <s v="MCO"/>
    <s v="MLTC"/>
    <s v="PCA Hourly"/>
    <s v="T1019:U1"/>
    <x v="2"/>
    <s v="HHA"/>
    <s v="MC Medicaid HHA"/>
    <m/>
    <n v="8"/>
    <n v="715"/>
    <n v="3723.5"/>
    <n v="8"/>
    <n v="715"/>
    <n v="3723.5"/>
    <s v=""/>
    <x v="0"/>
  </r>
  <r>
    <n v="1089"/>
    <s v="Queens"/>
    <s v="Hamaspik MAP PCA"/>
    <s v="MCO"/>
    <s v="MLTC"/>
    <s v="RN Initial (NB)"/>
    <m/>
    <x v="3"/>
    <s v="HHA"/>
    <s v="MC Medicaid HHA"/>
    <m/>
    <n v="3"/>
    <n v="3"/>
    <n v="3"/>
    <n v="3"/>
    <n v="3"/>
    <n v="3"/>
    <s v="Nursing override"/>
    <x v="0"/>
  </r>
  <r>
    <n v="1090"/>
    <s v="Queens"/>
    <s v="Hamaspik MAP PCA"/>
    <s v="MCO"/>
    <s v="MLTC"/>
    <s v="RN Reassessment (NB)"/>
    <m/>
    <x v="3"/>
    <s v="HHA"/>
    <s v="MC Medicaid HHA"/>
    <m/>
    <n v="2"/>
    <n v="4"/>
    <n v="4"/>
    <n v="2"/>
    <n v="4"/>
    <n v="4"/>
    <s v="Nursing override"/>
    <x v="0"/>
  </r>
  <r>
    <n v="1091"/>
    <s v="Queens"/>
    <s v="Healthfirst (ANT)"/>
    <s v="CHHA"/>
    <s v="MLTC"/>
    <s v="PRN (NB)"/>
    <m/>
    <x v="3"/>
    <s v="HHA"/>
    <s v="MC Medicaid HHA"/>
    <m/>
    <n v="2"/>
    <n v="2"/>
    <n v="2"/>
    <n v="2"/>
    <n v="2"/>
    <n v="2"/>
    <s v="Nursing override"/>
    <x v="0"/>
  </r>
  <r>
    <n v="1092"/>
    <s v="Queens"/>
    <s v="Healthfirst (ANT)"/>
    <s v="CHHA"/>
    <s v="MLTC"/>
    <s v="RN Initial (NB)"/>
    <m/>
    <x v="3"/>
    <s v="HHA"/>
    <s v="MC Medicaid HHA"/>
    <m/>
    <n v="36"/>
    <n v="36"/>
    <n v="36"/>
    <n v="36"/>
    <n v="36"/>
    <n v="36"/>
    <s v="Nursing override"/>
    <x v="0"/>
  </r>
  <r>
    <n v="1093"/>
    <s v="Queens"/>
    <s v="Healthfirst (ANT)"/>
    <s v="CHHA"/>
    <s v="MLTC"/>
    <s v="RN Reassessment (NB)"/>
    <m/>
    <x v="3"/>
    <s v="HHA"/>
    <s v="MC Medicaid HHA"/>
    <m/>
    <n v="37"/>
    <n v="53"/>
    <n v="53"/>
    <n v="36"/>
    <n v="52"/>
    <n v="52"/>
    <s v="Nursing override"/>
    <x v="0"/>
  </r>
  <r>
    <n v="1094"/>
    <s v="Queens"/>
    <s v="Healthfirst (ANT)"/>
    <s v="CHHA"/>
    <s v="MLTC"/>
    <s v="T1019:U1"/>
    <s v="T1019:U1"/>
    <x v="2"/>
    <s v="HHA"/>
    <s v="MC Medicaid HHA"/>
    <m/>
    <n v="67"/>
    <n v="6938"/>
    <n v="41620.5"/>
    <n v="64"/>
    <n v="6743"/>
    <n v="40415.5"/>
    <s v=""/>
    <x v="0"/>
  </r>
  <r>
    <n v="1095"/>
    <s v="Queens"/>
    <s v="Healthfirst (ANT)"/>
    <s v="CHHA"/>
    <s v="MLTC"/>
    <s v="T1020"/>
    <s v="T1020"/>
    <x v="8"/>
    <s v="HHA"/>
    <s v="MC Medicaid HHA"/>
    <m/>
    <n v="1"/>
    <n v="86"/>
    <n v="1118"/>
    <n v="1"/>
    <n v="86"/>
    <n v="1118"/>
    <s v=""/>
    <x v="0"/>
  </r>
  <r>
    <n v="1098"/>
    <s v="Queens"/>
    <s v="Healthfirst (CDP)"/>
    <s v="CHHA"/>
    <s v="CDPAP"/>
    <s v="RN Initial (NB)"/>
    <m/>
    <x v="3"/>
    <s v="HHA"/>
    <s v="MC Medicaid HHA"/>
    <m/>
    <n v="1"/>
    <n v="1"/>
    <n v="1"/>
    <n v="1"/>
    <n v="1"/>
    <n v="1"/>
    <s v="Nursing override"/>
    <x v="0"/>
  </r>
  <r>
    <n v="1099"/>
    <s v="Queens"/>
    <s v="Healthfirst (CDP)"/>
    <s v="CHHA"/>
    <s v="CDPAP"/>
    <s v="T1019:U6"/>
    <s v="T1019:U6"/>
    <x v="1"/>
    <s v="CDPAP"/>
    <s v="MC Medicaid CDPAP"/>
    <m/>
    <n v="67"/>
    <n v="7953"/>
    <n v="36322.5"/>
    <n v="65"/>
    <n v="7814"/>
    <n v="35751"/>
    <s v=""/>
    <x v="0"/>
  </r>
  <r>
    <n v="1100"/>
    <s v="Queens"/>
    <s v="Healthfirst (CDP)"/>
    <s v="CHHA"/>
    <s v="CDPAP"/>
    <s v="T1019:U6:CC"/>
    <s v="T1019:U6"/>
    <x v="1"/>
    <s v="CDPAP"/>
    <s v="MC Medicaid CDPAP"/>
    <m/>
    <n v="1"/>
    <n v="71"/>
    <n v="354.75"/>
    <n v="1"/>
    <n v="71"/>
    <n v="354.75"/>
    <s v=""/>
    <x v="0"/>
  </r>
  <r>
    <n v="1101"/>
    <s v="Queens"/>
    <s v="Healthfirst PCA MAP (Complete Care) (Non Live)"/>
    <s v="MCO"/>
    <s v="MLTC"/>
    <s v="RN Initial (NB)"/>
    <m/>
    <x v="3"/>
    <s v="HHA"/>
    <s v="MC Medicaid HHA"/>
    <m/>
    <n v="1"/>
    <n v="1"/>
    <n v="1"/>
    <n v="1"/>
    <n v="1"/>
    <n v="1"/>
    <s v="Nursing override"/>
    <x v="0"/>
  </r>
  <r>
    <n v="1102"/>
    <s v="Queens"/>
    <s v="NHTD"/>
    <s v="LHCSA"/>
    <s v="Medicaid"/>
    <s v="HCSS 9795 LI Nassau Westchester Suffolk"/>
    <s v="9795"/>
    <x v="4"/>
    <s v="HHA"/>
    <s v="Other"/>
    <m/>
    <n v="2"/>
    <n v="277"/>
    <n v="3262.5"/>
    <n v="2"/>
    <n v="277"/>
    <n v="3262.5"/>
    <s v=""/>
    <x v="0"/>
  </r>
  <r>
    <n v="1103"/>
    <s v="Queens"/>
    <s v="NHTD"/>
    <s v="LHCSA"/>
    <s v="Medicaid"/>
    <s v="HCSS 9795 NYC"/>
    <s v="9795"/>
    <x v="4"/>
    <s v="HHA"/>
    <s v="Other"/>
    <m/>
    <n v="124"/>
    <n v="46157"/>
    <n v="522702.5"/>
    <n v="121"/>
    <n v="45913"/>
    <n v="519880.75"/>
    <s v=""/>
    <x v="0"/>
  </r>
  <r>
    <n v="1104"/>
    <s v="Queens"/>
    <s v="NHTD"/>
    <s v="LHCSA"/>
    <s v="Medicaid"/>
    <s v="HCSS 9795 Rest of State"/>
    <s v="9795"/>
    <x v="4"/>
    <s v="HHA"/>
    <s v="Other"/>
    <m/>
    <n v="2"/>
    <n v="159"/>
    <n v="1763"/>
    <n v="2"/>
    <n v="159"/>
    <n v="1763"/>
    <s v=""/>
    <x v="0"/>
  </r>
  <r>
    <n v="1105"/>
    <s v="Queens"/>
    <s v="NHTD"/>
    <s v="LHCSA"/>
    <s v="Medicaid"/>
    <s v="Initial RN Visit 9799 (Hourly)"/>
    <s v="9799"/>
    <x v="4"/>
    <s v="HHA"/>
    <s v="Other"/>
    <m/>
    <n v="53"/>
    <n v="53"/>
    <n v="52.25"/>
    <n v="51"/>
    <n v="51"/>
    <n v="51"/>
    <m/>
    <x v="0"/>
  </r>
  <r>
    <n v="1106"/>
    <s v="Queens"/>
    <s v="NHTD"/>
    <s v="LHCSA"/>
    <s v="Medicaid"/>
    <s v="PRN (NB)"/>
    <m/>
    <x v="4"/>
    <s v="HHA"/>
    <s v="Other"/>
    <m/>
    <n v="8"/>
    <n v="10"/>
    <n v="10"/>
    <n v="8"/>
    <n v="10"/>
    <n v="10"/>
    <m/>
    <x v="0"/>
  </r>
  <r>
    <n v="1107"/>
    <s v="Queens"/>
    <s v="NHTD"/>
    <s v="LHCSA"/>
    <s v="Medicaid"/>
    <s v="RN Initial (NB)"/>
    <m/>
    <x v="4"/>
    <s v="HHA"/>
    <s v="Other"/>
    <m/>
    <n v="4"/>
    <n v="4"/>
    <n v="4"/>
    <n v="4"/>
    <n v="4"/>
    <n v="4"/>
    <m/>
    <x v="0"/>
  </r>
  <r>
    <n v="1108"/>
    <s v="Queens"/>
    <s v="NHTD"/>
    <s v="LHCSA"/>
    <s v="Medicaid"/>
    <s v="RN Reassessment (NB)"/>
    <m/>
    <x v="4"/>
    <s v="HHA"/>
    <s v="Other"/>
    <m/>
    <n v="2"/>
    <n v="2"/>
    <n v="2"/>
    <n v="2"/>
    <n v="2"/>
    <n v="2"/>
    <m/>
    <x v="0"/>
  </r>
  <r>
    <n v="1109"/>
    <s v="Queens"/>
    <s v="NHTD"/>
    <s v="LHCSA"/>
    <s v="Medicaid"/>
    <s v="RN Visit 9799 (Hourly)"/>
    <s v="9799"/>
    <x v="4"/>
    <s v="HHA"/>
    <s v="Other"/>
    <m/>
    <n v="94"/>
    <n v="143"/>
    <n v="141.5"/>
    <n v="93"/>
    <n v="142"/>
    <n v="142"/>
    <m/>
    <x v="0"/>
  </r>
  <r>
    <n v="1110"/>
    <s v="Queens"/>
    <s v="Non Billable"/>
    <s v="Other"/>
    <s v="Insurance"/>
    <s v="PCA Hourly"/>
    <m/>
    <x v="5"/>
    <s v="HHA"/>
    <s v="Private Pay"/>
    <m/>
    <n v="33"/>
    <n v="65"/>
    <n v="247.25"/>
    <n v="32"/>
    <n v="64"/>
    <n v="246"/>
    <s v=""/>
    <x v="0"/>
  </r>
  <r>
    <n v="1111"/>
    <s v="Queens"/>
    <s v="Prime Home Health Services"/>
    <s v="CHHA"/>
    <s v="CHHA"/>
    <s v="HHAHRPED"/>
    <s v="99999"/>
    <x v="0"/>
    <s v="HHA"/>
    <s v="Other"/>
    <s v="CHHA"/>
    <n v="5"/>
    <n v="659"/>
    <n v="4803.75"/>
    <n v="5"/>
    <n v="659"/>
    <n v="4803.75"/>
    <s v=""/>
    <x v="0"/>
  </r>
  <r>
    <n v="1112"/>
    <s v="Queens"/>
    <s v="Private Pay"/>
    <s v="Other"/>
    <s v="Private"/>
    <s v="Live In (H)"/>
    <m/>
    <x v="5"/>
    <s v="HHA"/>
    <s v="Private Pay"/>
    <m/>
    <n v="1"/>
    <n v="25"/>
    <n v="24.75"/>
    <n v="1"/>
    <n v="25"/>
    <n v="24.75"/>
    <s v=""/>
    <x v="0"/>
  </r>
  <r>
    <n v="1113"/>
    <s v="Queens"/>
    <s v="Private Pay"/>
    <s v="Other"/>
    <s v="Private"/>
    <s v="Live In - 1 Hour"/>
    <m/>
    <x v="5"/>
    <s v="HHA"/>
    <s v="Private Pay"/>
    <m/>
    <n v="1"/>
    <n v="335"/>
    <n v="332"/>
    <n v="1"/>
    <n v="335"/>
    <n v="332"/>
    <s v=""/>
    <x v="0"/>
  </r>
  <r>
    <n v="1114"/>
    <s v="Queens"/>
    <s v="Private Pay"/>
    <s v="Other"/>
    <s v="Private"/>
    <s v="Live In - 4 Hours"/>
    <m/>
    <x v="5"/>
    <s v="HHA"/>
    <s v="Private Pay"/>
    <m/>
    <n v="1"/>
    <n v="213"/>
    <n v="844.5"/>
    <n v="1"/>
    <n v="213"/>
    <n v="844.5"/>
    <s v=""/>
    <x v="0"/>
  </r>
  <r>
    <n v="1115"/>
    <s v="Queens"/>
    <s v="Private Pay"/>
    <s v="Other"/>
    <s v="Private"/>
    <s v="Live-In"/>
    <m/>
    <x v="5"/>
    <s v="HHA"/>
    <s v="Private Pay"/>
    <m/>
    <n v="1"/>
    <n v="3"/>
    <n v="69.75"/>
    <n v="1"/>
    <n v="3"/>
    <n v="39"/>
    <s v=""/>
    <x v="0"/>
  </r>
  <r>
    <n v="1116"/>
    <s v="Queens"/>
    <s v="Private Pay"/>
    <s v="Other"/>
    <s v="Private"/>
    <s v="PCA Hourly"/>
    <m/>
    <x v="5"/>
    <s v="HHA"/>
    <s v="Private Pay"/>
    <m/>
    <n v="20"/>
    <n v="56"/>
    <n v="281"/>
    <n v="19"/>
    <n v="50"/>
    <n v="221"/>
    <s v=""/>
    <x v="0"/>
  </r>
  <r>
    <n v="1117"/>
    <s v="Queens"/>
    <s v="Private Pay"/>
    <s v="Other"/>
    <s v="Private"/>
    <s v="RN Initial (NB)"/>
    <m/>
    <x v="5"/>
    <s v="HHA"/>
    <s v="Private Pay"/>
    <m/>
    <n v="1"/>
    <n v="1"/>
    <n v="0.5"/>
    <n v="1"/>
    <n v="1"/>
    <n v="1"/>
    <s v=""/>
    <x v="0"/>
  </r>
  <r>
    <n v="1118"/>
    <s v="Queens"/>
    <s v="Private Pay"/>
    <s v="Other"/>
    <s v="Private"/>
    <s v="RN Re-Assessment"/>
    <m/>
    <x v="5"/>
    <s v="HHA"/>
    <s v="Private Pay"/>
    <m/>
    <n v="1"/>
    <n v="1"/>
    <n v="1"/>
    <n v="1"/>
    <n v="1"/>
    <n v="1"/>
    <s v=""/>
    <x v="0"/>
  </r>
  <r>
    <n v="1119"/>
    <s v="Queens"/>
    <s v="Private Pay"/>
    <s v="Other"/>
    <s v="Private"/>
    <s v="RN Reassessment (NB)"/>
    <m/>
    <x v="5"/>
    <s v="HHA"/>
    <s v="Private Pay"/>
    <m/>
    <n v="1"/>
    <n v="1"/>
    <n v="0.5"/>
    <n v="1"/>
    <n v="1"/>
    <n v="1"/>
    <s v=""/>
    <x v="0"/>
  </r>
  <r>
    <n v="1120"/>
    <s v="Queens"/>
    <s v="Private Pay - Select"/>
    <s v="Other"/>
    <s v="Private"/>
    <s v="HHA Hourly"/>
    <m/>
    <x v="5"/>
    <s v="HHA"/>
    <s v="Private Pay"/>
    <m/>
    <n v="1"/>
    <n v="2"/>
    <n v="8"/>
    <n v="1"/>
    <n v="2"/>
    <n v="8"/>
    <s v=""/>
    <x v="0"/>
  </r>
  <r>
    <n v="1121"/>
    <s v="Queens"/>
    <s v="Private Pay - Select"/>
    <s v="Other"/>
    <s v="Private"/>
    <s v="PCA Hourly"/>
    <m/>
    <x v="5"/>
    <s v="HHA"/>
    <s v="Private Pay"/>
    <m/>
    <n v="14"/>
    <n v="1479"/>
    <n v="11598.25"/>
    <n v="11"/>
    <n v="1445"/>
    <n v="11301.5"/>
    <s v=""/>
    <x v="0"/>
  </r>
  <r>
    <n v="1122"/>
    <s v="Queens"/>
    <s v="Private Pay - Select"/>
    <s v="Other"/>
    <s v="Private"/>
    <s v="PCA Hourly Mutual"/>
    <m/>
    <x v="5"/>
    <s v="HHA"/>
    <s v="Private Pay"/>
    <m/>
    <n v="2"/>
    <n v="2"/>
    <n v="6"/>
    <n v="2"/>
    <n v="2"/>
    <n v="6"/>
    <s v=""/>
    <x v="0"/>
  </r>
  <r>
    <n v="1123"/>
    <s v="Queens"/>
    <s v="Private Pay - Select"/>
    <s v="Other"/>
    <s v="Private"/>
    <s v="PCA Live-in"/>
    <m/>
    <x v="5"/>
    <s v="HHA"/>
    <s v="Private Pay"/>
    <m/>
    <n v="1"/>
    <n v="30"/>
    <n v="716.75"/>
    <n v="1"/>
    <n v="30"/>
    <n v="390"/>
    <s v=""/>
    <x v="0"/>
  </r>
  <r>
    <n v="1124"/>
    <s v="Queens"/>
    <s v="Private Pay - Select"/>
    <s v="Other"/>
    <s v="Private"/>
    <s v="RN Initial (NB)"/>
    <m/>
    <x v="5"/>
    <s v="HHA"/>
    <s v="Private Pay"/>
    <m/>
    <n v="13"/>
    <n v="13"/>
    <n v="7"/>
    <n v="11"/>
    <n v="11"/>
    <n v="11"/>
    <s v=""/>
    <x v="0"/>
  </r>
  <r>
    <n v="1125"/>
    <s v="Queens"/>
    <s v="Private Pay - Select"/>
    <s v="Other"/>
    <s v="Private"/>
    <s v="RN Reassessment (NB)"/>
    <m/>
    <x v="5"/>
    <s v="HHA"/>
    <s v="Private Pay"/>
    <m/>
    <n v="6"/>
    <n v="7"/>
    <n v="5"/>
    <n v="6"/>
    <n v="7"/>
    <n v="7"/>
    <s v=""/>
    <x v="0"/>
  </r>
  <r>
    <n v="1126"/>
    <s v="Queens"/>
    <s v="Private Pay - Select"/>
    <s v="Other"/>
    <s v="Private"/>
    <s v="RN skilled visit"/>
    <m/>
    <x v="5"/>
    <s v="HHA"/>
    <s v="Private Pay"/>
    <m/>
    <n v="1"/>
    <n v="4"/>
    <n v="2"/>
    <n v="1"/>
    <n v="4"/>
    <n v="4"/>
    <s v=""/>
    <x v="0"/>
  </r>
  <r>
    <n v="1127"/>
    <s v="Queens"/>
    <s v="Revival Home Health Care"/>
    <s v="CHHA"/>
    <s v="CHHA"/>
    <s v="Rate1"/>
    <s v="S9122"/>
    <x v="0"/>
    <s v="HHA"/>
    <s v="Other"/>
    <s v="CHHA"/>
    <n v="5"/>
    <n v="42"/>
    <n v="157"/>
    <n v="4"/>
    <n v="32"/>
    <n v="117.25"/>
    <s v=""/>
    <x v="0"/>
  </r>
  <r>
    <n v="1128"/>
    <s v="Queens"/>
    <s v="Royal Care Certified"/>
    <s v="Other"/>
    <s v="CHHA"/>
    <s v="Rate1"/>
    <m/>
    <x v="0"/>
    <s v="HHA"/>
    <s v="Other"/>
    <s v="CHHA"/>
    <n v="40"/>
    <n v="606"/>
    <n v="2550.25"/>
    <n v="30"/>
    <n v="471"/>
    <n v="2022"/>
    <s v=""/>
    <x v="0"/>
  </r>
  <r>
    <n v="1129"/>
    <s v="Queens"/>
    <s v="Royal Care Certified"/>
    <s v="Other"/>
    <s v="CHHA"/>
    <s v="Rate2"/>
    <m/>
    <x v="0"/>
    <s v="HHA"/>
    <s v="Other"/>
    <s v="CHHA"/>
    <n v="34"/>
    <n v="4869"/>
    <n v="28750.5"/>
    <n v="34"/>
    <n v="4869"/>
    <n v="28750.5"/>
    <s v=""/>
    <x v="0"/>
  </r>
  <r>
    <n v="1130"/>
    <s v="Queens"/>
    <s v="SWHNY-MLTC (ANT)"/>
    <s v="Other"/>
    <s v="MLTC"/>
    <s v="RN Initial (NB)"/>
    <m/>
    <x v="3"/>
    <s v="HHA"/>
    <s v="MC Medicaid HHA"/>
    <m/>
    <n v="4"/>
    <n v="4"/>
    <n v="4"/>
    <n v="4"/>
    <n v="4"/>
    <n v="4"/>
    <s v="Nursing override"/>
    <x v="0"/>
  </r>
  <r>
    <n v="1131"/>
    <s v="Queens"/>
    <s v="SWHNY-MLTC (ANT)"/>
    <s v="Other"/>
    <s v="MLTC"/>
    <s v="RN Reassessment (NB)"/>
    <m/>
    <x v="3"/>
    <s v="HHA"/>
    <s v="MC Medicaid HHA"/>
    <m/>
    <n v="11"/>
    <n v="16"/>
    <n v="16"/>
    <n v="11"/>
    <n v="16"/>
    <n v="16"/>
    <s v="Nursing override"/>
    <x v="0"/>
  </r>
  <r>
    <n v="1132"/>
    <s v="Queens"/>
    <s v="SWHNY-MLTC (ANT)"/>
    <s v="Other"/>
    <s v="MLTC"/>
    <s v="T1019:U1"/>
    <s v="T1019:U1"/>
    <x v="2"/>
    <s v="HHA"/>
    <s v="MC Medicaid HHA"/>
    <m/>
    <n v="13"/>
    <n v="1569"/>
    <n v="10322.75"/>
    <n v="13"/>
    <n v="1569"/>
    <n v="10322.75"/>
    <s v=""/>
    <x v="0"/>
  </r>
  <r>
    <n v="1133"/>
    <s v="Queens"/>
    <s v="SWHNY-MLTC (ANT)"/>
    <s v="Other"/>
    <s v="MLTC"/>
    <s v="T1020"/>
    <s v="T1020"/>
    <x v="8"/>
    <s v="HHA"/>
    <s v="MC Medicaid HHA"/>
    <m/>
    <n v="4"/>
    <n v="650"/>
    <n v="8450"/>
    <n v="4"/>
    <n v="650"/>
    <n v="8450"/>
    <s v=""/>
    <x v="0"/>
  </r>
  <r>
    <n v="1137"/>
    <s v="Queens"/>
    <s v="SWHNY-MLTC (CDP)"/>
    <s v="Other"/>
    <s v="CDPAP"/>
    <s v="T1019:U6"/>
    <s v="T1019:U6"/>
    <x v="1"/>
    <s v="CDPAP"/>
    <s v="MC Medicaid CDPAP"/>
    <m/>
    <n v="23"/>
    <n v="6036"/>
    <n v="38724.75"/>
    <n v="22"/>
    <n v="5995"/>
    <n v="38439.75"/>
    <s v=""/>
    <x v="0"/>
  </r>
  <r>
    <n v="1138"/>
    <s v="Queens"/>
    <s v="TBI"/>
    <s v="LHCSA"/>
    <s v="Medicaid"/>
    <s v="HCSS 9879"/>
    <s v="9879"/>
    <x v="4"/>
    <s v="HHA"/>
    <s v="Other"/>
    <m/>
    <n v="3"/>
    <n v="1205"/>
    <n v="13519.5"/>
    <n v="3"/>
    <n v="1205"/>
    <n v="13519.5"/>
    <s v=""/>
    <x v="0"/>
  </r>
  <r>
    <n v="1139"/>
    <s v="Queens"/>
    <s v="TBI"/>
    <s v="LHCSA"/>
    <s v="Medicaid"/>
    <s v="RN Initial (NB)"/>
    <m/>
    <x v="4"/>
    <s v="HHA"/>
    <s v="Other"/>
    <m/>
    <n v="1"/>
    <n v="1"/>
    <n v="1"/>
    <n v="1"/>
    <n v="1"/>
    <n v="1"/>
    <m/>
    <x v="0"/>
  </r>
  <r>
    <n v="1140"/>
    <s v="Queens"/>
    <s v="TBI"/>
    <s v="LHCSA"/>
    <s v="Medicaid"/>
    <s v="RN Reassessment (NB)"/>
    <m/>
    <x v="4"/>
    <s v="HHA"/>
    <s v="Other"/>
    <m/>
    <n v="2"/>
    <n v="3"/>
    <n v="2.5"/>
    <n v="2"/>
    <n v="3"/>
    <n v="3"/>
    <m/>
    <x v="0"/>
  </r>
  <r>
    <n v="1141"/>
    <s v="Queens"/>
    <s v="United Healthcare CDPAP"/>
    <s v="MCO"/>
    <s v="CDPAP"/>
    <s v="PA Hourly"/>
    <s v="T1019:U6"/>
    <x v="1"/>
    <s v="CDPAP"/>
    <s v="MC Medicaid CDPAP"/>
    <m/>
    <n v="1"/>
    <n v="58"/>
    <n v="330"/>
    <n v="1"/>
    <n v="58"/>
    <n v="330"/>
    <s v=""/>
    <x v="0"/>
  </r>
  <r>
    <n v="1146"/>
    <s v="Queens"/>
    <s v="VillageCare CDPAP"/>
    <s v="MCO"/>
    <s v="CDPAP"/>
    <s v="PA Hourly"/>
    <s v="T1019:U6"/>
    <x v="1"/>
    <s v="CDPAP"/>
    <s v="MC Medicaid CDPAP"/>
    <m/>
    <n v="173"/>
    <n v="25202"/>
    <n v="135337.25"/>
    <n v="167"/>
    <n v="24782"/>
    <n v="131403"/>
    <s v=""/>
    <x v="0"/>
  </r>
  <r>
    <n v="1147"/>
    <s v="Queens"/>
    <s v="VillageCare CDPAP"/>
    <s v="MCO"/>
    <s v="CDPAP"/>
    <s v="PA Hourly Mutual"/>
    <s v="T1019:U7"/>
    <x v="10"/>
    <s v="CDPAP"/>
    <s v="MC Medicaid CDPAP"/>
    <m/>
    <n v="2"/>
    <n v="63"/>
    <n v="318.75"/>
    <n v="2"/>
    <n v="63"/>
    <n v="318.75"/>
    <s v=""/>
    <x v="0"/>
  </r>
  <r>
    <n v="1148"/>
    <s v="Queens"/>
    <s v="VillageCare PCA"/>
    <s v="MLTC"/>
    <s v="MLTC"/>
    <s v="HHA Hourly - S5125"/>
    <s v="S5125"/>
    <x v="6"/>
    <s v="HHA"/>
    <s v="MC Medicaid HHA"/>
    <m/>
    <n v="1"/>
    <n v="142"/>
    <n v="695.5"/>
    <n v="1"/>
    <n v="142"/>
    <n v="695.5"/>
    <s v=""/>
    <x v="0"/>
  </r>
  <r>
    <n v="1149"/>
    <s v="Queens"/>
    <s v="VillageCare PCA"/>
    <s v="MLTC"/>
    <s v="MLTC"/>
    <s v="PCA - Live In"/>
    <s v="T1020"/>
    <x v="8"/>
    <s v="HHA"/>
    <s v="MC Medicaid HHA"/>
    <m/>
    <n v="1"/>
    <n v="3"/>
    <n v="39"/>
    <n v="1"/>
    <n v="3"/>
    <n v="39"/>
    <s v=""/>
    <x v="0"/>
  </r>
  <r>
    <n v="1150"/>
    <s v="Queens"/>
    <s v="VillageCare PCA"/>
    <s v="MLTC"/>
    <s v="MLTC"/>
    <s v="PCA - Live In TV"/>
    <s v="T1020:TV"/>
    <x v="8"/>
    <s v="HHA"/>
    <s v="MC Medicaid HHA"/>
    <m/>
    <n v="1"/>
    <n v="14"/>
    <n v="182"/>
    <n v="1"/>
    <n v="14"/>
    <n v="182"/>
    <s v=""/>
    <x v="0"/>
  </r>
  <r>
    <n v="1151"/>
    <s v="Queens"/>
    <s v="VillageCare PCA"/>
    <s v="MLTC"/>
    <s v="MLTC"/>
    <s v="PCA Cluster Care"/>
    <s v="T1019:U3"/>
    <x v="11"/>
    <s v="HHA"/>
    <s v="MC Medicaid HHA"/>
    <m/>
    <n v="7"/>
    <n v="284"/>
    <n v="587"/>
    <n v="7"/>
    <n v="284"/>
    <n v="587"/>
    <s v=""/>
    <x v="0"/>
  </r>
  <r>
    <n v="1152"/>
    <s v="Queens"/>
    <s v="VillageCare PCA"/>
    <s v="MLTC"/>
    <s v="MLTC"/>
    <s v="PCA Hourly"/>
    <s v="T1019:U1"/>
    <x v="2"/>
    <s v="HHA"/>
    <s v="MC Medicaid HHA"/>
    <m/>
    <n v="211"/>
    <n v="17866"/>
    <n v="98131"/>
    <n v="193"/>
    <n v="17176"/>
    <n v="95331.75"/>
    <s v=""/>
    <x v="0"/>
  </r>
  <r>
    <n v="1153"/>
    <s v="Queens"/>
    <s v="VillageCare PCA"/>
    <s v="MLTC"/>
    <s v="MLTC"/>
    <s v="PCA Hourly"/>
    <s v="T1019:U1:TV"/>
    <x v="2"/>
    <s v="HHA"/>
    <s v="MC Medicaid HHA"/>
    <m/>
    <n v="90"/>
    <n v="3607"/>
    <n v="23806.5"/>
    <n v="79"/>
    <n v="3323"/>
    <n v="21690"/>
    <s v=""/>
    <x v="0"/>
  </r>
  <r>
    <n v="1154"/>
    <s v="Queens"/>
    <s v="VillageCare PCA"/>
    <s v="MLTC"/>
    <s v="MLTC"/>
    <s v="PCA Hourly Mutual"/>
    <s v="T1019:U2"/>
    <x v="11"/>
    <s v="HHA"/>
    <s v="MC Medicaid HHA"/>
    <m/>
    <n v="6"/>
    <n v="312"/>
    <n v="1229.75"/>
    <n v="4"/>
    <n v="273"/>
    <n v="1088.5"/>
    <s v=""/>
    <x v="0"/>
  </r>
  <r>
    <n v="1155"/>
    <s v="Queens"/>
    <s v="VillageCare PCA"/>
    <s v="MLTC"/>
    <s v="MLTC"/>
    <s v="PCA Hourly Mutual TV"/>
    <s v="T1019:U2:TV"/>
    <x v="11"/>
    <s v="HHA"/>
    <s v="MC Medicaid HHA"/>
    <m/>
    <n v="3"/>
    <n v="28"/>
    <n v="111.25"/>
    <n v="2"/>
    <n v="27"/>
    <n v="108.25"/>
    <s v=""/>
    <x v="0"/>
  </r>
  <r>
    <n v="1156"/>
    <s v="Queens"/>
    <s v="VillageCare PCA"/>
    <s v="MLTC"/>
    <s v="MLTC"/>
    <s v="PCA Hourly TV"/>
    <s v="T1019:U1:TV"/>
    <x v="2"/>
    <s v="HHA"/>
    <s v="MC Medicaid HHA"/>
    <m/>
    <n v="43"/>
    <n v="487"/>
    <n v="2799.5"/>
    <n v="42"/>
    <n v="485"/>
    <n v="2791.5"/>
    <s v=""/>
    <x v="0"/>
  </r>
  <r>
    <n v="1157"/>
    <s v="Queens"/>
    <s v="VillageCare PCA"/>
    <s v="MLTC"/>
    <s v="MLTC"/>
    <s v="PRN (NB)"/>
    <m/>
    <x v="3"/>
    <s v="HHA"/>
    <s v="MC Medicaid HHA"/>
    <m/>
    <n v="21"/>
    <n v="22"/>
    <n v="22"/>
    <n v="20"/>
    <n v="21"/>
    <n v="21"/>
    <s v="Nursing override"/>
    <x v="0"/>
  </r>
  <r>
    <n v="1158"/>
    <s v="Queens"/>
    <s v="VillageCare PCA"/>
    <s v="MLTC"/>
    <s v="MLTC"/>
    <s v="RN Initial (NB)"/>
    <m/>
    <x v="3"/>
    <s v="HHA"/>
    <s v="MC Medicaid HHA"/>
    <m/>
    <n v="2"/>
    <n v="2"/>
    <n v="2"/>
    <n v="2"/>
    <n v="2"/>
    <n v="2"/>
    <s v="Nursing override"/>
    <x v="0"/>
  </r>
  <r>
    <n v="1159"/>
    <s v="Queens"/>
    <s v="VillageCare PCA"/>
    <s v="MLTC"/>
    <s v="MLTC"/>
    <s v="RN Initial Visit"/>
    <s v="T1030"/>
    <x v="7"/>
    <s v="HHA"/>
    <s v="MC Medicaid HHA"/>
    <m/>
    <n v="132"/>
    <n v="132"/>
    <n v="132"/>
    <n v="119"/>
    <n v="119"/>
    <n v="119"/>
    <s v="nursing"/>
    <x v="0"/>
  </r>
  <r>
    <n v="1160"/>
    <s v="Queens"/>
    <s v="VillageCare PCA"/>
    <s v="MLTC"/>
    <s v="MLTC"/>
    <s v="RN Reassessment (NB)"/>
    <m/>
    <x v="3"/>
    <s v="HHA"/>
    <s v="MC Medicaid HHA"/>
    <m/>
    <n v="87"/>
    <n v="131"/>
    <n v="131"/>
    <n v="83"/>
    <n v="125"/>
    <n v="125"/>
    <s v="Nursing override"/>
    <x v="0"/>
  </r>
  <r>
    <n v="1161"/>
    <s v="Queens"/>
    <s v="VNS Health Health Plans (ANT)"/>
    <s v="MLTC"/>
    <s v="MLTC"/>
    <s v="PRN (NB)"/>
    <m/>
    <x v="3"/>
    <s v="HHA"/>
    <s v="MC Medicaid HHA"/>
    <m/>
    <n v="9"/>
    <n v="11"/>
    <n v="11"/>
    <n v="7"/>
    <n v="8"/>
    <n v="8"/>
    <s v="Nursing override"/>
    <x v="0"/>
  </r>
  <r>
    <n v="1162"/>
    <s v="Queens"/>
    <s v="VNS Health Health Plans (ANT)"/>
    <s v="MLTC"/>
    <s v="MLTC"/>
    <s v="RN Initial (NB)"/>
    <m/>
    <x v="3"/>
    <s v="HHA"/>
    <s v="MC Medicaid HHA"/>
    <m/>
    <n v="37"/>
    <n v="38"/>
    <n v="38"/>
    <n v="35"/>
    <n v="36"/>
    <n v="36"/>
    <s v="Nursing override"/>
    <x v="0"/>
  </r>
  <r>
    <n v="1163"/>
    <s v="Queens"/>
    <s v="VNS Health Health Plans (ANT)"/>
    <s v="MLTC"/>
    <s v="MLTC"/>
    <s v="RN Reassessment (NB)"/>
    <m/>
    <x v="3"/>
    <s v="HHA"/>
    <s v="MC Medicaid HHA"/>
    <m/>
    <n v="48"/>
    <n v="75"/>
    <n v="75"/>
    <n v="47"/>
    <n v="74"/>
    <n v="74"/>
    <s v="Nursing override"/>
    <x v="0"/>
  </r>
  <r>
    <n v="1164"/>
    <s v="Queens"/>
    <s v="VNS Health Health Plans (ANT)"/>
    <s v="MLTC"/>
    <s v="MLTC"/>
    <s v="T1019U1 NAS"/>
    <s v="T1019:U1"/>
    <x v="2"/>
    <s v="HHA"/>
    <s v="MC Medicaid HHA"/>
    <m/>
    <n v="2"/>
    <n v="232"/>
    <n v="987.75"/>
    <n v="2"/>
    <n v="232"/>
    <n v="987.75"/>
    <s v=""/>
    <x v="0"/>
  </r>
  <r>
    <n v="1165"/>
    <s v="Queens"/>
    <s v="VNS Health Health Plans (ANT)"/>
    <s v="MLTC"/>
    <s v="MLTC"/>
    <s v="T1019U1 QNS"/>
    <s v="T1019:U1"/>
    <x v="2"/>
    <s v="HHA"/>
    <s v="MC Medicaid HHA"/>
    <m/>
    <n v="87"/>
    <n v="10833"/>
    <n v="73922.75"/>
    <n v="79"/>
    <n v="10390"/>
    <n v="71124"/>
    <s v=""/>
    <x v="0"/>
  </r>
  <r>
    <n v="1166"/>
    <s v="Queens"/>
    <s v="VNS Health Health Plans (ANT)"/>
    <s v="MLTC"/>
    <s v="MLTC"/>
    <s v="T1019U1 QNS MAP"/>
    <s v="T1019:U1"/>
    <x v="2"/>
    <s v="HHA"/>
    <s v="MC Medicaid HHA"/>
    <m/>
    <n v="4"/>
    <n v="557"/>
    <n v="5296"/>
    <n v="3"/>
    <n v="527"/>
    <n v="5132.5"/>
    <s v=""/>
    <x v="0"/>
  </r>
  <r>
    <n v="1167"/>
    <s v="Queens"/>
    <s v="VNS Health Health Plans (ANT)"/>
    <s v="MLTC"/>
    <s v="MLTC"/>
    <s v="T1019U2 QNS"/>
    <s v="T1019:U2"/>
    <x v="11"/>
    <s v="HHA"/>
    <s v="MC Medicaid HHA"/>
    <m/>
    <n v="12"/>
    <n v="1768"/>
    <n v="14877"/>
    <n v="11"/>
    <n v="1709"/>
    <n v="14297"/>
    <s v=""/>
    <x v="0"/>
  </r>
  <r>
    <n v="1168"/>
    <s v="Queens"/>
    <s v="VNS Health Health Plans (ANT)"/>
    <s v="MLTC"/>
    <s v="MLTC"/>
    <s v="T1020 QNS"/>
    <s v="T1020"/>
    <x v="8"/>
    <s v="HHA"/>
    <s v="MC Medicaid HHA"/>
    <m/>
    <n v="4"/>
    <n v="563"/>
    <n v="7319"/>
    <n v="4"/>
    <n v="563"/>
    <n v="7319"/>
    <s v=""/>
    <x v="0"/>
  </r>
  <r>
    <n v="1172"/>
    <s v="Queens"/>
    <s v="VNS Health Health Plans (CDP)"/>
    <s v="MLTC"/>
    <s v="CDPAP"/>
    <s v="T1019U6 K"/>
    <s v="T1019:U6"/>
    <x v="1"/>
    <s v="CDPAP"/>
    <s v="MC Medicaid CDPAP"/>
    <m/>
    <n v="1"/>
    <n v="184"/>
    <n v="1050"/>
    <n v="1"/>
    <n v="184"/>
    <n v="1050"/>
    <s v=""/>
    <x v="0"/>
  </r>
  <r>
    <n v="1173"/>
    <s v="Queens"/>
    <s v="VNS Health Health Plans (CDP)"/>
    <s v="MLTC"/>
    <s v="CDPAP"/>
    <s v="T1019U6 NAS"/>
    <s v="T1019:U6"/>
    <x v="1"/>
    <s v="CDPAP"/>
    <s v="MC Medicaid CDPAP"/>
    <m/>
    <n v="1"/>
    <n v="249"/>
    <n v="845.5"/>
    <n v="1"/>
    <n v="249"/>
    <n v="845.5"/>
    <s v=""/>
    <x v="0"/>
  </r>
  <r>
    <n v="1174"/>
    <s v="Queens"/>
    <s v="VNS Health Health Plans (CDP)"/>
    <s v="MLTC"/>
    <s v="CDPAP"/>
    <s v="T1019U6 QNS"/>
    <s v="T1019:U6"/>
    <x v="1"/>
    <s v="CDPAP"/>
    <s v="MC Medicaid CDPAP"/>
    <m/>
    <n v="71"/>
    <n v="14242"/>
    <n v="75838.75"/>
    <n v="68"/>
    <n v="14123"/>
    <n v="75110"/>
    <s v=""/>
    <x v="0"/>
  </r>
  <r>
    <n v="1175"/>
    <s v="Queens"/>
    <s v="VNS Health Health Plans (CDP)"/>
    <s v="MLTC"/>
    <s v="CDPAP"/>
    <s v="T1019U6 SCH"/>
    <s v="T1019:U6"/>
    <x v="1"/>
    <s v="CDPAP"/>
    <s v="MC Medicaid CDPAP"/>
    <m/>
    <n v="1"/>
    <n v="158"/>
    <n v="588.75"/>
    <n v="1"/>
    <n v="158"/>
    <n v="588.75"/>
    <s v=""/>
    <x v="0"/>
  </r>
  <r>
    <n v="1176"/>
    <s v="Queens"/>
    <s v="VNS Health Health Plans (CDP)"/>
    <s v="MLTC"/>
    <s v="CDPAP"/>
    <s v="T1019U6 SI"/>
    <s v="T1019:U6"/>
    <x v="1"/>
    <s v="CDPAP"/>
    <s v="MC Medicaid CDPAP"/>
    <m/>
    <n v="1"/>
    <n v="207"/>
    <n v="1241.25"/>
    <n v="1"/>
    <n v="207"/>
    <n v="1241.25"/>
    <s v=""/>
    <x v="0"/>
  </r>
  <r>
    <n v="1177"/>
    <s v="Queens"/>
    <s v="VNS Health Health Plans (CDP)"/>
    <s v="MLTC"/>
    <s v="CDPAP"/>
    <s v="T1019U7 QNS"/>
    <s v="T1019:U7"/>
    <x v="10"/>
    <s v="CDPAP"/>
    <s v="MC Medicaid CDPAP"/>
    <m/>
    <n v="2"/>
    <n v="341"/>
    <n v="3675.75"/>
    <n v="0"/>
    <n v="0"/>
    <m/>
    <s v=""/>
    <x v="0"/>
  </r>
  <r>
    <n v="1178"/>
    <s v="Queens"/>
    <s v="VNSNY CHOICE PCA"/>
    <s v="LHCSA"/>
    <s v="MLTC"/>
    <s v="PCA Hourly"/>
    <s v="T1019:U1"/>
    <x v="2"/>
    <s v="HHA"/>
    <s v="MC Medicaid HHA"/>
    <m/>
    <n v="1"/>
    <n v="2"/>
    <n v="6"/>
    <n v="1"/>
    <n v="2"/>
    <n v="6"/>
    <s v=""/>
    <x v="0"/>
  </r>
  <r>
    <n v="1179"/>
    <s v="Queens"/>
    <s v="VNSNY CHOICE PCA"/>
    <s v="LHCSA"/>
    <s v="MLTC"/>
    <s v="RN Reassessment (NB)"/>
    <m/>
    <x v="3"/>
    <s v="HHA"/>
    <s v="MC Medicaid HHA"/>
    <m/>
    <n v="1"/>
    <n v="2"/>
    <n v="2"/>
    <n v="1"/>
    <n v="2"/>
    <n v="2"/>
    <s v="Nursing override"/>
    <x v="0"/>
  </r>
  <r>
    <n v="1180"/>
    <s v="Queens"/>
    <s v="Your Choice at Home"/>
    <s v="CHHA"/>
    <s v="CHHA"/>
    <s v="2610"/>
    <s v="2610"/>
    <x v="0"/>
    <s v="HHA"/>
    <s v="Other"/>
    <s v="CHHA"/>
    <n v="23"/>
    <n v="1418"/>
    <n v="13736.25"/>
    <n v="23"/>
    <n v="1418"/>
    <n v="13736.25"/>
    <s v=""/>
    <x v="0"/>
  </r>
  <r>
    <n v="1181"/>
    <s v="Queens"/>
    <s v="Your Choice at Home"/>
    <s v="CHHA"/>
    <s v="CHHA"/>
    <s v="G0156"/>
    <s v="G0156"/>
    <x v="0"/>
    <s v="HHA"/>
    <s v="Other"/>
    <s v="CHHA"/>
    <n v="1"/>
    <n v="13"/>
    <n v="51.75"/>
    <n v="1"/>
    <n v="13"/>
    <n v="51.75"/>
    <s v=""/>
    <x v="0"/>
  </r>
  <r>
    <n v="1182"/>
    <s v="Queens"/>
    <s v="Your Choice at Home"/>
    <s v="CHHA"/>
    <s v="CHHA"/>
    <s v="S9122"/>
    <s v="S9122"/>
    <x v="0"/>
    <s v="HHA"/>
    <s v="Other"/>
    <s v="CHHA"/>
    <n v="1"/>
    <n v="6"/>
    <n v="23.75"/>
    <n v="0"/>
    <n v="0"/>
    <m/>
    <s v=""/>
    <x v="0"/>
  </r>
  <r>
    <n v="1183"/>
    <s v="Rensselaer"/>
    <s v="EDDY SeniorCare VNA (Pace Plan)"/>
    <s v="MCO"/>
    <s v="MCO"/>
    <s v="PCA Hourly Weekday"/>
    <s v="T1019:U1"/>
    <x v="4"/>
    <s v="HHA"/>
    <s v="Other"/>
    <m/>
    <n v="3"/>
    <n v="31"/>
    <n v="153"/>
    <n v="3"/>
    <n v="31"/>
    <n v="153"/>
    <s v=""/>
    <x v="0"/>
  </r>
  <r>
    <n v="1184"/>
    <s v="Rensselaer"/>
    <s v="EDDY SeniorCare VNA (Pace Plan)"/>
    <s v="MCO"/>
    <s v="MCO"/>
    <s v="RN Initial Visit-NB"/>
    <s v="T1019:U1"/>
    <x v="4"/>
    <s v="HHA"/>
    <s v="Other"/>
    <m/>
    <n v="3"/>
    <n v="3"/>
    <n v="3"/>
    <n v="3"/>
    <n v="3"/>
    <n v="3"/>
    <s v="Nursing override"/>
    <x v="0"/>
  </r>
  <r>
    <n v="1185"/>
    <s v="Rensselaer"/>
    <s v="Fidelis Care (ANT)"/>
    <s v="LHCSA"/>
    <s v="MLTC"/>
    <s v="PRN (NB)"/>
    <m/>
    <x v="3"/>
    <s v="HHA"/>
    <s v="MC Medicaid HHA"/>
    <m/>
    <n v="1"/>
    <n v="1"/>
    <n v="1"/>
    <n v="0"/>
    <n v="0"/>
    <n v="0"/>
    <s v="Nursing override"/>
    <x v="0"/>
  </r>
  <r>
    <n v="1186"/>
    <s v="Rensselaer"/>
    <s v="Fidelis Care (ANT)"/>
    <s v="LHCSA"/>
    <s v="MLTC"/>
    <s v="RN Initial (NB)"/>
    <m/>
    <x v="3"/>
    <s v="HHA"/>
    <s v="MC Medicaid HHA"/>
    <m/>
    <n v="8"/>
    <n v="9"/>
    <n v="9"/>
    <n v="7"/>
    <n v="8"/>
    <n v="8"/>
    <s v="Nursing override"/>
    <x v="0"/>
  </r>
  <r>
    <n v="1187"/>
    <s v="Rensselaer"/>
    <s v="Fidelis Care (ANT)"/>
    <s v="LHCSA"/>
    <s v="MLTC"/>
    <s v="RN Initial Assement"/>
    <s v="T2024"/>
    <x v="3"/>
    <s v="HHA"/>
    <s v="MC Medicaid HHA"/>
    <m/>
    <n v="2"/>
    <n v="2"/>
    <n v="2"/>
    <n v="2"/>
    <n v="2"/>
    <n v="2"/>
    <s v="nursing"/>
    <x v="0"/>
  </r>
  <r>
    <n v="1188"/>
    <s v="Rensselaer"/>
    <s v="Fidelis Care (ANT)"/>
    <s v="LHCSA"/>
    <s v="MLTC"/>
    <s v="RN Reassessment (NB)"/>
    <m/>
    <x v="3"/>
    <s v="HHA"/>
    <s v="MC Medicaid HHA"/>
    <m/>
    <n v="5"/>
    <n v="6"/>
    <n v="6"/>
    <n v="4"/>
    <n v="4"/>
    <n v="4"/>
    <s v="Nursing override"/>
    <x v="0"/>
  </r>
  <r>
    <n v="1189"/>
    <s v="Rensselaer"/>
    <s v="Fidelis Care (ANT)"/>
    <s v="LHCSA"/>
    <s v="MLTC"/>
    <s v="T1019:U1"/>
    <s v="T1019:U1"/>
    <x v="2"/>
    <s v="HHA"/>
    <s v="MC Medicaid HHA"/>
    <m/>
    <n v="14"/>
    <n v="1165"/>
    <n v="4647.5"/>
    <n v="12"/>
    <n v="971"/>
    <n v="3659.75"/>
    <s v=""/>
    <x v="0"/>
  </r>
  <r>
    <n v="1196"/>
    <s v="Rensselaer"/>
    <s v="Fidelis Care (CDP)"/>
    <s v="LHCSA"/>
    <s v="CDPAP"/>
    <s v="T1019:U6"/>
    <s v="T1019:U6"/>
    <x v="1"/>
    <s v="CDPAP"/>
    <s v="MC Medicaid CDPAP"/>
    <m/>
    <n v="31"/>
    <n v="5117"/>
    <n v="25749.5"/>
    <n v="29"/>
    <n v="4999"/>
    <n v="24930.25"/>
    <s v=""/>
    <x v="0"/>
  </r>
  <r>
    <n v="1197"/>
    <s v="Rensselaer"/>
    <s v="Fidelis Care (CDP)"/>
    <s v="LHCSA"/>
    <s v="CDPAP"/>
    <s v="T1020:U6"/>
    <s v="T1020:U6"/>
    <x v="9"/>
    <s v="CDPAP"/>
    <s v="MC Medicaid CDPAP"/>
    <m/>
    <n v="1"/>
    <n v="6"/>
    <n v="78"/>
    <n v="1"/>
    <n v="6"/>
    <n v="78"/>
    <s v=""/>
    <x v="0"/>
  </r>
  <r>
    <n v="1199"/>
    <s v="Rensselaer"/>
    <s v="Nascentia Health Options CDPAP"/>
    <s v="MLTC"/>
    <s v="CDPAP"/>
    <s v="PA Hourly"/>
    <s v="T1019:U6"/>
    <x v="1"/>
    <s v="CDPAP"/>
    <s v="MC Medicaid CDPAP"/>
    <m/>
    <n v="4"/>
    <n v="273"/>
    <n v="1547.5"/>
    <n v="3"/>
    <n v="271"/>
    <n v="1542.5"/>
    <s v=""/>
    <x v="0"/>
  </r>
  <r>
    <n v="1200"/>
    <s v="Rensselaer"/>
    <s v="Nascentia PCA"/>
    <s v="MLTC"/>
    <s v="MLTC"/>
    <s v="PCA Hourly"/>
    <s v="T1019:U1"/>
    <x v="2"/>
    <s v="HHA"/>
    <s v="MC Medicaid HHA"/>
    <m/>
    <n v="4"/>
    <n v="75"/>
    <n v="387.25"/>
    <n v="3"/>
    <n v="47"/>
    <n v="233.25"/>
    <s v=""/>
    <x v="0"/>
  </r>
  <r>
    <n v="1201"/>
    <s v="Rensselaer"/>
    <s v="Nascentia PCA"/>
    <s v="MLTC"/>
    <s v="MLTC"/>
    <s v="Rn initial assesment non billable"/>
    <m/>
    <x v="3"/>
    <s v="HHA"/>
    <s v="MC Medicaid HHA"/>
    <m/>
    <n v="4"/>
    <n v="4"/>
    <n v="4"/>
    <n v="3"/>
    <n v="3"/>
    <n v="3"/>
    <s v="Nursing override"/>
    <x v="0"/>
  </r>
  <r>
    <n v="1202"/>
    <s v="Rensselaer"/>
    <s v="Private Pay"/>
    <s v="Other"/>
    <s v="Private"/>
    <s v="PCA Hourly"/>
    <m/>
    <x v="5"/>
    <s v="HHA"/>
    <s v="Private Pay"/>
    <m/>
    <n v="1"/>
    <n v="7"/>
    <n v="84"/>
    <n v="1"/>
    <n v="7"/>
    <n v="84"/>
    <s v=""/>
    <x v="0"/>
  </r>
  <r>
    <n v="1203"/>
    <s v="Rensselaer"/>
    <s v="VNS Health Health Plans (ANT)"/>
    <s v="MLTC"/>
    <s v="MLTC"/>
    <s v="PRN (NB)"/>
    <m/>
    <x v="3"/>
    <s v="HHA"/>
    <s v="MC Medicaid HHA"/>
    <m/>
    <n v="2"/>
    <n v="2"/>
    <n v="2"/>
    <n v="1"/>
    <n v="1"/>
    <n v="1"/>
    <s v="Nursing override"/>
    <x v="0"/>
  </r>
  <r>
    <n v="1204"/>
    <s v="Rensselaer"/>
    <s v="VNS Health Health Plans (ANT)"/>
    <s v="MLTC"/>
    <s v="MLTC"/>
    <s v="RN Initial (NB)"/>
    <m/>
    <x v="3"/>
    <s v="HHA"/>
    <s v="MC Medicaid HHA"/>
    <m/>
    <n v="11"/>
    <n v="12"/>
    <n v="12"/>
    <n v="9"/>
    <n v="9"/>
    <n v="9"/>
    <s v="Nursing override"/>
    <x v="0"/>
  </r>
  <r>
    <n v="1205"/>
    <s v="Rensselaer"/>
    <s v="VNS Health Health Plans (ANT)"/>
    <s v="MLTC"/>
    <s v="MLTC"/>
    <s v="RN Reassessment (NB)"/>
    <m/>
    <x v="3"/>
    <s v="HHA"/>
    <s v="MC Medicaid HHA"/>
    <m/>
    <n v="7"/>
    <n v="10"/>
    <n v="10"/>
    <n v="7"/>
    <n v="10"/>
    <n v="10"/>
    <s v="Nursing override"/>
    <x v="0"/>
  </r>
  <r>
    <n v="1206"/>
    <s v="Rensselaer"/>
    <s v="VNS Health Health Plans (ANT)"/>
    <s v="MLTC"/>
    <s v="MLTC"/>
    <s v="T1019U1 REN"/>
    <s v="T1019:U1"/>
    <x v="2"/>
    <s v="HHA"/>
    <s v="MC Medicaid HHA"/>
    <m/>
    <n v="18"/>
    <n v="1282"/>
    <n v="5186.5"/>
    <n v="15"/>
    <n v="1107"/>
    <n v="4529"/>
    <s v=""/>
    <x v="0"/>
  </r>
  <r>
    <n v="1207"/>
    <s v="Rensselaer"/>
    <s v="VNS Health Health Plans (ANT)"/>
    <s v="MLTC"/>
    <s v="MLTC"/>
    <s v="T1019U6 REN"/>
    <s v="T1019:U6"/>
    <x v="1"/>
    <s v="CDPAP"/>
    <s v="MC Medicaid CDPAP"/>
    <m/>
    <n v="1"/>
    <n v="96"/>
    <n v="467"/>
    <n v="1"/>
    <n v="96"/>
    <n v="467"/>
    <s v=""/>
    <x v="0"/>
  </r>
  <r>
    <n v="1210"/>
    <s v="Rensselaer"/>
    <s v="VNS Health Health Plans (CDP)"/>
    <s v="MLTC"/>
    <s v="CDPAP"/>
    <s v="T1019U6 REN"/>
    <s v="T1019:U6"/>
    <x v="1"/>
    <s v="CDPAP"/>
    <s v="MC Medicaid CDPAP"/>
    <m/>
    <n v="31"/>
    <n v="4740"/>
    <n v="20321.75"/>
    <n v="28"/>
    <n v="4421"/>
    <n v="19199.75"/>
    <s v=""/>
    <x v="0"/>
  </r>
  <r>
    <n v="1211"/>
    <s v="Richmond"/>
    <s v="Americare"/>
    <s v="CHHA"/>
    <s v="CHHA"/>
    <s v="HHA1"/>
    <s v="S9122"/>
    <x v="0"/>
    <s v="HHA"/>
    <s v="Other"/>
    <s v="CHHA"/>
    <n v="10"/>
    <n v="148"/>
    <n v="572.75"/>
    <n v="5"/>
    <n v="58"/>
    <n v="223"/>
    <s v=""/>
    <x v="0"/>
  </r>
  <r>
    <n v="1212"/>
    <s v="Richmond"/>
    <s v="Americare"/>
    <s v="CHHA"/>
    <s v="CHHA"/>
    <s v="HHAPEDSV"/>
    <s v="S9122"/>
    <x v="0"/>
    <s v="HHA"/>
    <s v="Other"/>
    <s v="CHHA"/>
    <n v="40"/>
    <n v="4964"/>
    <n v="33164.5"/>
    <n v="36"/>
    <n v="4798"/>
    <n v="32267.25"/>
    <s v=""/>
    <x v="0"/>
  </r>
  <r>
    <n v="1213"/>
    <s v="Richmond"/>
    <s v="Anchor Health"/>
    <s v="Other"/>
    <s v="Private"/>
    <s v="Non Billable"/>
    <m/>
    <x v="5"/>
    <s v="HHA"/>
    <s v="Private Pay"/>
    <m/>
    <n v="1"/>
    <n v="2"/>
    <n v="3.5"/>
    <n v="1"/>
    <n v="2"/>
    <n v="3.5"/>
    <s v=""/>
    <x v="0"/>
  </r>
  <r>
    <n v="1214"/>
    <s v="Richmond"/>
    <s v="Archcare Community Life CDPAP"/>
    <s v="MCO"/>
    <s v="CDPAP"/>
    <s v="PA Hourly"/>
    <s v="T1019:U6"/>
    <x v="1"/>
    <s v="CDPAP"/>
    <s v="MC Medicaid CDPAP"/>
    <m/>
    <n v="8"/>
    <n v="771"/>
    <n v="3758.75"/>
    <n v="8"/>
    <n v="771"/>
    <n v="3758.75"/>
    <s v=""/>
    <x v="0"/>
  </r>
  <r>
    <n v="1215"/>
    <s v="Richmond"/>
    <s v="Archcare Community Life PCA"/>
    <s v="MCO"/>
    <s v="MLTC"/>
    <s v="PCA Hourly"/>
    <s v="T1019:U1"/>
    <x v="2"/>
    <s v="HHA"/>
    <s v="MC Medicaid HHA"/>
    <m/>
    <n v="8"/>
    <n v="723"/>
    <n v="6020.75"/>
    <n v="8"/>
    <n v="723"/>
    <n v="6020.75"/>
    <s v=""/>
    <x v="0"/>
  </r>
  <r>
    <n v="1216"/>
    <s v="Richmond"/>
    <s v="Archcare Community Life PCA"/>
    <s v="MCO"/>
    <s v="MLTC"/>
    <s v="PRN (NB)"/>
    <m/>
    <x v="3"/>
    <s v="HHA"/>
    <s v="MC Medicaid HHA"/>
    <m/>
    <n v="1"/>
    <n v="1"/>
    <n v="1"/>
    <n v="1"/>
    <n v="1"/>
    <n v="1"/>
    <s v="Nursing override"/>
    <x v="0"/>
  </r>
  <r>
    <n v="1217"/>
    <s v="Richmond"/>
    <s v="Archcare Community Life PCA"/>
    <s v="MCO"/>
    <s v="MLTC"/>
    <s v="RN Reassessment (NB)"/>
    <m/>
    <x v="3"/>
    <s v="HHA"/>
    <s v="MC Medicaid HHA"/>
    <m/>
    <n v="4"/>
    <n v="4"/>
    <n v="4"/>
    <n v="4"/>
    <n v="4"/>
    <n v="4"/>
    <s v="Nursing override"/>
    <x v="0"/>
  </r>
  <r>
    <n v="1218"/>
    <s v="Richmond"/>
    <s v="Archcare Senior Life PCA &quot;PACE Plan&quot;"/>
    <s v="MCO"/>
    <s v="MLTC"/>
    <s v="HHA Hourly - S5125"/>
    <s v="S5125"/>
    <x v="4"/>
    <s v="HHA"/>
    <s v="Other"/>
    <m/>
    <n v="1"/>
    <n v="550"/>
    <n v="3178.75"/>
    <n v="1"/>
    <n v="550"/>
    <n v="3178.75"/>
    <s v=""/>
    <x v="0"/>
  </r>
  <r>
    <n v="1219"/>
    <s v="Richmond"/>
    <s v="Archcare Senior Life PCA &quot;PACE Plan&quot;"/>
    <s v="MCO"/>
    <s v="MLTC"/>
    <s v="HHA Live IN - S5126"/>
    <s v="S5126"/>
    <x v="4"/>
    <s v="HHA"/>
    <s v="Other"/>
    <m/>
    <n v="1"/>
    <n v="21"/>
    <n v="273"/>
    <n v="1"/>
    <n v="21"/>
    <n v="273"/>
    <s v=""/>
    <x v="0"/>
  </r>
  <r>
    <n v="1220"/>
    <s v="Richmond"/>
    <s v="Archcare Senior Life PCA &quot;PACE Plan&quot;"/>
    <s v="MCO"/>
    <s v="MLTC"/>
    <s v="PCA Hourly"/>
    <s v="T1019:U1"/>
    <x v="4"/>
    <s v="HHA"/>
    <s v="Other"/>
    <m/>
    <n v="2"/>
    <n v="242"/>
    <n v="2016"/>
    <n v="2"/>
    <n v="242"/>
    <n v="2016"/>
    <s v=""/>
    <x v="0"/>
  </r>
  <r>
    <n v="1221"/>
    <s v="Richmond"/>
    <s v="Archcare Senior Life PCA &quot;PACE Plan&quot;"/>
    <s v="MCO"/>
    <s v="MLTC"/>
    <s v="PRN (NB)"/>
    <m/>
    <x v="4"/>
    <s v="HHA"/>
    <s v="Other"/>
    <m/>
    <n v="1"/>
    <n v="1"/>
    <n v="1"/>
    <n v="1"/>
    <n v="1"/>
    <n v="1"/>
    <s v="Nursing override"/>
    <x v="0"/>
  </r>
  <r>
    <n v="1222"/>
    <s v="Richmond"/>
    <s v="Archcare Senior Life PCA &quot;PACE Plan&quot;"/>
    <s v="MCO"/>
    <s v="MLTC"/>
    <s v="RN Reassessment (NB)"/>
    <m/>
    <x v="4"/>
    <s v="HHA"/>
    <s v="Other"/>
    <m/>
    <n v="2"/>
    <n v="4"/>
    <n v="4"/>
    <n v="2"/>
    <n v="4"/>
    <n v="4"/>
    <s v="Nursing override"/>
    <x v="0"/>
  </r>
  <r>
    <n v="1223"/>
    <s v="Richmond"/>
    <s v="CenterLight HealthCare (PACE) (ANT)"/>
    <s v="Other"/>
    <s v="MLTC"/>
    <s v="RN Reassessment (NB)"/>
    <m/>
    <x v="4"/>
    <s v="HHA"/>
    <s v="Other"/>
    <m/>
    <n v="1"/>
    <n v="1"/>
    <n v="1"/>
    <n v="1"/>
    <n v="1"/>
    <n v="1"/>
    <s v="Nursing override"/>
    <x v="0"/>
  </r>
  <r>
    <n v="1224"/>
    <s v="Richmond"/>
    <s v="CenterLight HealthCare (PACE) (ANT)"/>
    <s v="Other"/>
    <s v="MLTC"/>
    <s v="T1019:U1"/>
    <s v="T1019:U1"/>
    <x v="4"/>
    <s v="HHA"/>
    <s v="Other"/>
    <m/>
    <n v="1"/>
    <n v="142"/>
    <n v="609.75"/>
    <n v="1"/>
    <n v="142"/>
    <n v="609.75"/>
    <s v=""/>
    <x v="0"/>
  </r>
  <r>
    <n v="1225"/>
    <s v="Richmond"/>
    <s v="Centers Plan For Health Living PCA"/>
    <s v="MLTC"/>
    <s v="MLTC"/>
    <s v="PCA Hourly"/>
    <s v="T1019:U1"/>
    <x v="2"/>
    <s v="HHA"/>
    <s v="MC Medicaid HHA"/>
    <m/>
    <n v="94"/>
    <n v="12619"/>
    <n v="71127.5"/>
    <n v="88"/>
    <n v="12338"/>
    <n v="69632.75"/>
    <s v=""/>
    <x v="0"/>
  </r>
  <r>
    <n v="1226"/>
    <s v="Richmond"/>
    <s v="Centers Plan For Health Living PCA"/>
    <s v="MLTC"/>
    <s v="MLTC"/>
    <s v="PCA Live-In"/>
    <s v="T1020"/>
    <x v="8"/>
    <s v="HHA"/>
    <s v="MC Medicaid HHA"/>
    <m/>
    <n v="5"/>
    <n v="1093"/>
    <n v="14209"/>
    <n v="5"/>
    <n v="1093"/>
    <n v="14209"/>
    <s v=""/>
    <x v="0"/>
  </r>
  <r>
    <n v="1227"/>
    <s v="Richmond"/>
    <s v="Centers Plan For Health Living PCA"/>
    <s v="MLTC"/>
    <s v="MLTC"/>
    <s v="PRN (NB)"/>
    <m/>
    <x v="3"/>
    <s v="HHA"/>
    <s v="MC Medicaid HHA"/>
    <m/>
    <n v="8"/>
    <n v="8"/>
    <n v="8"/>
    <n v="8"/>
    <n v="8"/>
    <n v="8"/>
    <s v="Nursing override"/>
    <x v="0"/>
  </r>
  <r>
    <n v="1228"/>
    <s v="Richmond"/>
    <s v="Centers Plan For Health Living PCA"/>
    <s v="MLTC"/>
    <s v="MLTC"/>
    <s v="RN Initial (NB)"/>
    <m/>
    <x v="3"/>
    <s v="HHA"/>
    <s v="MC Medicaid HHA"/>
    <m/>
    <n v="49"/>
    <n v="49"/>
    <n v="49"/>
    <n v="47"/>
    <n v="47"/>
    <n v="47"/>
    <s v="Nursing override"/>
    <x v="0"/>
  </r>
  <r>
    <n v="1229"/>
    <s v="Richmond"/>
    <s v="Centers Plan For Health Living PCA"/>
    <s v="MLTC"/>
    <s v="MLTC"/>
    <s v="RN Initial Assessment"/>
    <m/>
    <x v="3"/>
    <s v="HHA"/>
    <s v="MC Medicaid HHA"/>
    <m/>
    <n v="1"/>
    <n v="1"/>
    <n v="1"/>
    <n v="1"/>
    <n v="1"/>
    <n v="1"/>
    <s v="nursing"/>
    <x v="0"/>
  </r>
  <r>
    <n v="1230"/>
    <s v="Richmond"/>
    <s v="Centers Plan For Health Living PCA"/>
    <s v="MLTC"/>
    <s v="MLTC"/>
    <s v="RN Reassessment (NB)"/>
    <m/>
    <x v="3"/>
    <s v="HHA"/>
    <s v="MC Medicaid HHA"/>
    <m/>
    <n v="53"/>
    <n v="83"/>
    <n v="83"/>
    <n v="52"/>
    <n v="82"/>
    <n v="82"/>
    <s v="Nursing override"/>
    <x v="0"/>
  </r>
  <r>
    <n v="1235"/>
    <s v="Richmond"/>
    <s v="Centers Plan For Healthy Living CDPAP "/>
    <s v="MLTC"/>
    <s v="CDPAP"/>
    <s v="PA Hourly - 5 Boroughs"/>
    <s v="T1019:U6"/>
    <x v="1"/>
    <s v="CDPAP"/>
    <s v="MC Medicaid CDPAP"/>
    <m/>
    <n v="49"/>
    <n v="11864"/>
    <n v="54709.75"/>
    <n v="48"/>
    <n v="11840"/>
    <n v="54424"/>
    <s v=""/>
    <x v="0"/>
  </r>
  <r>
    <n v="1236"/>
    <s v="Richmond"/>
    <s v="Elderplan MJHS (ANT)"/>
    <s v="MLTC"/>
    <s v="MLTC"/>
    <s v="RN Initial (NB)"/>
    <m/>
    <x v="3"/>
    <s v="HHA"/>
    <s v="MC Medicaid HHA"/>
    <m/>
    <n v="12"/>
    <n v="12"/>
    <n v="12"/>
    <n v="11"/>
    <n v="11"/>
    <n v="11"/>
    <s v="Nursing override"/>
    <x v="0"/>
  </r>
  <r>
    <n v="1237"/>
    <s v="Richmond"/>
    <s v="Elderplan MJHS (ANT)"/>
    <s v="MLTC"/>
    <s v="MLTC"/>
    <s v="RN Reassessment (NB)"/>
    <m/>
    <x v="3"/>
    <s v="HHA"/>
    <s v="MC Medicaid HHA"/>
    <m/>
    <n v="6"/>
    <n v="9"/>
    <n v="9"/>
    <n v="6"/>
    <n v="9"/>
    <n v="9"/>
    <s v="Nursing override"/>
    <x v="0"/>
  </r>
  <r>
    <n v="1238"/>
    <s v="Richmond"/>
    <s v="Elderplan MJHS (ANT)"/>
    <s v="MLTC"/>
    <s v="MLTC"/>
    <s v="T1019:U1"/>
    <s v="T1019:U1"/>
    <x v="2"/>
    <s v="HHA"/>
    <s v="MC Medicaid HHA"/>
    <m/>
    <n v="17"/>
    <n v="1833"/>
    <n v="9339.75"/>
    <n v="14"/>
    <n v="1775"/>
    <n v="8953.5"/>
    <s v=""/>
    <x v="0"/>
  </r>
  <r>
    <n v="1239"/>
    <s v="Richmond"/>
    <s v="Elderplan MJHS (ANT)"/>
    <s v="MLTC"/>
    <s v="MLTC"/>
    <s v="T1020"/>
    <s v="T1020"/>
    <x v="8"/>
    <s v="HHA"/>
    <s v="MC Medicaid HHA"/>
    <m/>
    <n v="2"/>
    <n v="93"/>
    <n v="1209"/>
    <n v="2"/>
    <n v="93"/>
    <n v="1209"/>
    <s v=""/>
    <x v="0"/>
  </r>
  <r>
    <n v="1242"/>
    <s v="Richmond"/>
    <s v="Elderplan MJHS (CDP)"/>
    <s v="MLTC"/>
    <s v="CDPAP"/>
    <s v="T1019:U6"/>
    <s v="T1019:U6"/>
    <x v="1"/>
    <s v="CDPAP"/>
    <s v="MC Medicaid CDPAP"/>
    <m/>
    <n v="12"/>
    <n v="2473"/>
    <n v="12336"/>
    <n v="12"/>
    <n v="2473"/>
    <n v="12336"/>
    <s v=""/>
    <x v="0"/>
  </r>
  <r>
    <n v="1245"/>
    <s v="Richmond"/>
    <s v="ElderServe/Riverspring (CDPAP)"/>
    <s v="MLTC"/>
    <s v="CDPAP"/>
    <s v="PA Hourly"/>
    <s v="T1019:U6"/>
    <x v="1"/>
    <s v="CDPAP"/>
    <s v="MC Medicaid CDPAP"/>
    <m/>
    <n v="3"/>
    <n v="383"/>
    <n v="2323.25"/>
    <n v="3"/>
    <n v="383"/>
    <n v="2323.25"/>
    <s v=""/>
    <x v="0"/>
  </r>
  <r>
    <n v="1246"/>
    <s v="Richmond"/>
    <s v="ElderServe/Riverspring (PCA)"/>
    <s v="MLTC"/>
    <s v="MLTC"/>
    <s v="PCA Hourly NYC"/>
    <s v="T1019:U1"/>
    <x v="2"/>
    <s v="HHA"/>
    <s v="MC Medicaid HHA"/>
    <m/>
    <n v="2"/>
    <n v="97"/>
    <n v="543"/>
    <n v="2"/>
    <n v="97"/>
    <n v="543"/>
    <s v=""/>
    <x v="0"/>
  </r>
  <r>
    <n v="1247"/>
    <s v="Richmond"/>
    <s v="ElderServe/Riverspring (PCA)"/>
    <s v="MLTC"/>
    <s v="MLTC"/>
    <s v="RN Initial (NB)"/>
    <m/>
    <x v="3"/>
    <s v="HHA"/>
    <s v="MC Medicaid HHA"/>
    <m/>
    <n v="2"/>
    <n v="2"/>
    <n v="2"/>
    <n v="2"/>
    <n v="2"/>
    <n v="2"/>
    <s v="Nursing override"/>
    <x v="0"/>
  </r>
  <r>
    <n v="1252"/>
    <s v="Richmond"/>
    <s v="Empire Blue Cross Blue Shield (CDPAP)"/>
    <s v="Other"/>
    <s v="CDPAP"/>
    <s v="PA Hourly (New)"/>
    <s v="T1019:U6"/>
    <x v="1"/>
    <s v="CDPAP"/>
    <s v="MC Medicaid CDPAP"/>
    <m/>
    <n v="30"/>
    <n v="6190"/>
    <n v="36430.5"/>
    <n v="27"/>
    <n v="6108"/>
    <n v="35667.75"/>
    <s v=""/>
    <x v="0"/>
  </r>
  <r>
    <n v="1253"/>
    <s v="Richmond"/>
    <s v="Empire Blue Cross Blue Shield (CDPAP)"/>
    <s v="Other"/>
    <s v="CDPAP"/>
    <s v="PA Live-In"/>
    <s v="T1020:U6"/>
    <x v="9"/>
    <s v="CDPAP"/>
    <s v="MC Medicaid CDPAP"/>
    <m/>
    <n v="2"/>
    <n v="495"/>
    <n v="6435"/>
    <n v="2"/>
    <n v="495"/>
    <n v="6435"/>
    <s v=""/>
    <x v="0"/>
  </r>
  <r>
    <n v="1254"/>
    <s v="Richmond"/>
    <s v="Empire Blue Cross Blue Shield (PCA)"/>
    <s v="Other"/>
    <s v="MLTC"/>
    <s v="PCA Hourly NYC"/>
    <s v="T1019:U1"/>
    <x v="2"/>
    <s v="HHA"/>
    <s v="MC Medicaid HHA"/>
    <m/>
    <n v="21"/>
    <n v="3155"/>
    <n v="19337.25"/>
    <n v="19"/>
    <n v="3096"/>
    <n v="18900.25"/>
    <s v=""/>
    <x v="0"/>
  </r>
  <r>
    <n v="1255"/>
    <s v="Richmond"/>
    <s v="Empire Blue Cross Blue Shield (PCA)"/>
    <s v="Other"/>
    <s v="MLTC"/>
    <s v="PCA Live In"/>
    <s v="T1020"/>
    <x v="8"/>
    <s v="HHA"/>
    <s v="MC Medicaid HHA"/>
    <m/>
    <n v="1"/>
    <n v="98"/>
    <n v="1274"/>
    <n v="0"/>
    <n v="0"/>
    <n v="0"/>
    <s v=""/>
    <x v="0"/>
  </r>
  <r>
    <n v="1256"/>
    <s v="Richmond"/>
    <s v="Empire Blue Cross Blue Shield (PCA)"/>
    <s v="Other"/>
    <s v="MLTC"/>
    <s v="PRN (NB)"/>
    <m/>
    <x v="3"/>
    <s v="HHA"/>
    <s v="MC Medicaid HHA"/>
    <m/>
    <n v="2"/>
    <n v="2"/>
    <n v="2"/>
    <n v="2"/>
    <n v="2"/>
    <n v="2"/>
    <s v="Nursing override"/>
    <x v="0"/>
  </r>
  <r>
    <n v="1257"/>
    <s v="Richmond"/>
    <s v="Empire Blue Cross Blue Shield (PCA)"/>
    <s v="Other"/>
    <s v="MLTC"/>
    <s v="RN Initial (NB)"/>
    <m/>
    <x v="3"/>
    <s v="HHA"/>
    <s v="MC Medicaid HHA"/>
    <m/>
    <n v="9"/>
    <n v="9"/>
    <n v="9"/>
    <n v="7"/>
    <n v="7"/>
    <n v="7"/>
    <s v="Nursing override"/>
    <x v="0"/>
  </r>
  <r>
    <n v="1258"/>
    <s v="Richmond"/>
    <s v="Empire Blue Cross Blue Shield (PCA)"/>
    <s v="Other"/>
    <s v="MLTC"/>
    <s v="RN Reassessment (NB)"/>
    <m/>
    <x v="3"/>
    <s v="HHA"/>
    <s v="MC Medicaid HHA"/>
    <m/>
    <n v="11"/>
    <n v="19"/>
    <n v="19"/>
    <n v="11"/>
    <n v="19"/>
    <n v="19"/>
    <s v="Nursing override"/>
    <x v="0"/>
  </r>
  <r>
    <n v="1259"/>
    <s v="Richmond"/>
    <s v="Extended Home Care"/>
    <s v="CHHA"/>
    <s v="CHHA"/>
    <s v="PedCode95"/>
    <s v="-"/>
    <x v="0"/>
    <s v="HHA"/>
    <s v="Other"/>
    <s v="CHHA"/>
    <n v="9"/>
    <n v="439"/>
    <n v="2399.75"/>
    <n v="8"/>
    <n v="419"/>
    <n v="2288.25"/>
    <s v=""/>
    <x v="0"/>
  </r>
  <r>
    <n v="1260"/>
    <s v="Richmond"/>
    <s v="Extended Home Care"/>
    <s v="CHHA"/>
    <s v="CHHA"/>
    <s v="Rate1"/>
    <m/>
    <x v="0"/>
    <s v="HHA"/>
    <s v="Other"/>
    <s v="CHHA"/>
    <n v="24"/>
    <n v="1364"/>
    <n v="6228.5"/>
    <n v="22"/>
    <n v="1306"/>
    <n v="6019.75"/>
    <s v=""/>
    <x v="0"/>
  </r>
  <r>
    <n v="1261"/>
    <s v="Richmond"/>
    <s v="Extended Home Care"/>
    <s v="CHHA"/>
    <s v="CHHA"/>
    <s v="Rate4HMO"/>
    <s v="0"/>
    <x v="0"/>
    <s v="HHA"/>
    <s v="Other"/>
    <s v="CHHA"/>
    <n v="1"/>
    <n v="4"/>
    <n v="16"/>
    <n v="1"/>
    <n v="4"/>
    <n v="16"/>
    <s v=""/>
    <x v="0"/>
  </r>
  <r>
    <n v="1262"/>
    <s v="Richmond"/>
    <s v="Fidelis Care (ANT)"/>
    <s v="LHCSA"/>
    <s v="MLTC"/>
    <s v="PRN (NB)"/>
    <m/>
    <x v="3"/>
    <s v="HHA"/>
    <s v="MC Medicaid HHA"/>
    <m/>
    <n v="5"/>
    <n v="6"/>
    <n v="6"/>
    <n v="5"/>
    <n v="6"/>
    <n v="6"/>
    <s v="Nursing override"/>
    <x v="0"/>
  </r>
  <r>
    <n v="1263"/>
    <s v="Richmond"/>
    <s v="Fidelis Care (ANT)"/>
    <s v="LHCSA"/>
    <s v="MLTC"/>
    <s v="RN Initial (NB)"/>
    <m/>
    <x v="3"/>
    <s v="HHA"/>
    <s v="MC Medicaid HHA"/>
    <m/>
    <n v="30"/>
    <n v="30"/>
    <n v="30"/>
    <n v="30"/>
    <n v="30"/>
    <n v="30"/>
    <s v="Nursing override"/>
    <x v="0"/>
  </r>
  <r>
    <n v="1264"/>
    <s v="Richmond"/>
    <s v="Fidelis Care (ANT)"/>
    <s v="LHCSA"/>
    <s v="MLTC"/>
    <s v="RN Initial Assement"/>
    <s v="T2024"/>
    <x v="3"/>
    <s v="HHA"/>
    <s v="MC Medicaid HHA"/>
    <m/>
    <n v="13"/>
    <n v="13"/>
    <n v="13"/>
    <n v="13"/>
    <n v="13"/>
    <n v="13"/>
    <s v="nursing"/>
    <x v="0"/>
  </r>
  <r>
    <n v="1265"/>
    <s v="Richmond"/>
    <s v="Fidelis Care (ANT)"/>
    <s v="LHCSA"/>
    <s v="MLTC"/>
    <s v="RN Reassessment (NB)"/>
    <m/>
    <x v="3"/>
    <s v="HHA"/>
    <s v="MC Medicaid HHA"/>
    <m/>
    <n v="33"/>
    <n v="40"/>
    <n v="40"/>
    <n v="33"/>
    <n v="40"/>
    <n v="40"/>
    <s v="Nursing override"/>
    <x v="0"/>
  </r>
  <r>
    <n v="1266"/>
    <s v="Richmond"/>
    <s v="Fidelis Care (ANT)"/>
    <s v="LHCSA"/>
    <s v="MLTC"/>
    <s v="S5130:U1"/>
    <s v="S5130:U1::::Homemaker"/>
    <x v="6"/>
    <s v="HHA"/>
    <s v="MC Medicaid HHA"/>
    <m/>
    <n v="1"/>
    <n v="2"/>
    <n v="10"/>
    <n v="1"/>
    <n v="2"/>
    <n v="10"/>
    <s v=""/>
    <x v="0"/>
  </r>
  <r>
    <n v="1267"/>
    <s v="Richmond"/>
    <s v="Fidelis Care (ANT)"/>
    <s v="LHCSA"/>
    <s v="MLTC"/>
    <s v="T1019:U1"/>
    <s v="T1019:U1"/>
    <x v="2"/>
    <s v="HHA"/>
    <s v="MC Medicaid HHA"/>
    <m/>
    <n v="79"/>
    <n v="8762"/>
    <n v="50727.75"/>
    <n v="76"/>
    <n v="8720"/>
    <n v="50552.25"/>
    <s v=""/>
    <x v="0"/>
  </r>
  <r>
    <n v="1268"/>
    <s v="Richmond"/>
    <s v="Fidelis Care (ANT)"/>
    <s v="LHCSA"/>
    <s v="MLTC"/>
    <s v="T1020"/>
    <s v="T1020"/>
    <x v="8"/>
    <s v="HHA"/>
    <s v="MC Medicaid HHA"/>
    <m/>
    <n v="2"/>
    <n v="105"/>
    <n v="1365"/>
    <n v="2"/>
    <n v="105"/>
    <n v="1365"/>
    <s v=""/>
    <x v="0"/>
  </r>
  <r>
    <n v="1271"/>
    <s v="Richmond"/>
    <s v="Fidelis Care (CDP)"/>
    <s v="LHCSA"/>
    <s v="CDPAP"/>
    <s v="T1019:U6"/>
    <s v="T1019:U6"/>
    <x v="1"/>
    <s v="CDPAP"/>
    <s v="MC Medicaid CDPAP"/>
    <m/>
    <n v="28"/>
    <n v="4454"/>
    <n v="21993.5"/>
    <n v="27"/>
    <n v="4449"/>
    <n v="21955.5"/>
    <s v=""/>
    <x v="0"/>
  </r>
  <r>
    <n v="1272"/>
    <s v="Richmond"/>
    <s v="Fidelis Care PCA (Non Live)"/>
    <s v="MLTC"/>
    <s v="MLTC"/>
    <s v="PCA Hourly"/>
    <s v="T1019:U1"/>
    <x v="2"/>
    <s v="HHA"/>
    <s v="MC Medicaid HHA"/>
    <m/>
    <n v="1"/>
    <n v="1"/>
    <n v="1"/>
    <n v="1"/>
    <n v="1"/>
    <n v="1"/>
    <s v=""/>
    <x v="0"/>
  </r>
  <r>
    <n v="1273"/>
    <s v="Richmond"/>
    <s v="Fidelis Care PCA (Non Live)"/>
    <s v="MLTC"/>
    <s v="MLTC"/>
    <s v="RN Initial (NB)"/>
    <s v="G0162"/>
    <x v="3"/>
    <s v="HHA"/>
    <s v="MC Medicaid HHA"/>
    <m/>
    <n v="4"/>
    <n v="4"/>
    <n v="4"/>
    <n v="3"/>
    <n v="3"/>
    <n v="3"/>
    <s v="Nursing override"/>
    <x v="0"/>
  </r>
  <r>
    <n v="1274"/>
    <s v="Richmond"/>
    <s v="Fidelis Care PCA (Non Live)"/>
    <s v="MLTC"/>
    <s v="MLTC"/>
    <s v="Rn initial assement"/>
    <s v="G0162"/>
    <x v="3"/>
    <s v="HHA"/>
    <s v="MC Medicaid HHA"/>
    <m/>
    <n v="12"/>
    <n v="12"/>
    <n v="12"/>
    <n v="11"/>
    <n v="11"/>
    <n v="11"/>
    <s v="nursing"/>
    <x v="0"/>
  </r>
  <r>
    <n v="1276"/>
    <s v="Richmond"/>
    <s v="Hamaspik Choice (MLTC) CDPAP"/>
    <s v="MCO"/>
    <s v="CDPAP"/>
    <s v="PA Hourly NYC , Nassau, Westchester"/>
    <s v="T1019:U6"/>
    <x v="1"/>
    <s v="CDPAP"/>
    <s v="MC Medicaid CDPAP"/>
    <m/>
    <n v="1"/>
    <n v="366"/>
    <n v="1097.75"/>
    <n v="1"/>
    <n v="366"/>
    <n v="1097.75"/>
    <s v=""/>
    <x v="0"/>
  </r>
  <r>
    <n v="1278"/>
    <s v="Richmond"/>
    <s v="Hamaspik Choice MLTC (PCA)"/>
    <s v="MLTC"/>
    <s v="MLTC"/>
    <s v="PCA Hourly"/>
    <s v="T1019:U1"/>
    <x v="2"/>
    <s v="HHA"/>
    <s v="MC Medicaid HHA"/>
    <m/>
    <n v="8"/>
    <n v="1103"/>
    <n v="7958.25"/>
    <n v="8"/>
    <n v="1103"/>
    <n v="7958.25"/>
    <s v=""/>
    <x v="0"/>
  </r>
  <r>
    <n v="1279"/>
    <s v="Richmond"/>
    <s v="Hamaspik Choice MLTC (PCA)"/>
    <s v="MLTC"/>
    <s v="MLTC"/>
    <s v="PCA Live In"/>
    <s v="T1020"/>
    <x v="8"/>
    <s v="HHA"/>
    <s v="MC Medicaid HHA"/>
    <m/>
    <n v="2"/>
    <n v="68"/>
    <n v="884"/>
    <n v="2"/>
    <n v="68"/>
    <n v="884"/>
    <s v=""/>
    <x v="0"/>
  </r>
  <r>
    <n v="1280"/>
    <s v="Richmond"/>
    <s v="Hamaspik Choice MLTC (PCA)"/>
    <s v="MLTC"/>
    <s v="MLTC"/>
    <s v="RN Initial (NB)"/>
    <m/>
    <x v="3"/>
    <s v="HHA"/>
    <s v="MC Medicaid HHA"/>
    <m/>
    <n v="5"/>
    <n v="5"/>
    <n v="5"/>
    <n v="5"/>
    <n v="5"/>
    <n v="5"/>
    <s v="Nursing override"/>
    <x v="0"/>
  </r>
  <r>
    <n v="1281"/>
    <s v="Richmond"/>
    <s v="Hamaspik Choice MLTC (PCA)"/>
    <s v="MLTC"/>
    <s v="MLTC"/>
    <s v="RN Reassessment (NB)"/>
    <m/>
    <x v="3"/>
    <s v="HHA"/>
    <s v="MC Medicaid HHA"/>
    <m/>
    <n v="4"/>
    <n v="6"/>
    <n v="6"/>
    <n v="4"/>
    <n v="6"/>
    <n v="6"/>
    <s v="Nursing override"/>
    <x v="0"/>
  </r>
  <r>
    <n v="1283"/>
    <s v="Richmond"/>
    <s v="Hamaspik MAP CDPAP"/>
    <s v="MCO"/>
    <s v="CDPAP"/>
    <s v="PA Hourly (NYC, LI, &amp; Westchester)"/>
    <s v="T1019:U6"/>
    <x v="1"/>
    <s v="CDPAP"/>
    <s v="MC Medicaid CDPAP"/>
    <m/>
    <n v="1"/>
    <n v="175"/>
    <n v="1529"/>
    <n v="1"/>
    <n v="175"/>
    <n v="1529"/>
    <s v=""/>
    <x v="0"/>
  </r>
  <r>
    <n v="1285"/>
    <s v="Richmond"/>
    <s v="Hamaspik MAP PCA"/>
    <s v="MCO"/>
    <s v="MLTC"/>
    <s v="PCA Hourly"/>
    <s v="T1019:U1"/>
    <x v="2"/>
    <s v="HHA"/>
    <s v="MC Medicaid HHA"/>
    <m/>
    <n v="5"/>
    <n v="740"/>
    <n v="3494"/>
    <n v="3"/>
    <n v="642"/>
    <n v="3103"/>
    <s v=""/>
    <x v="0"/>
  </r>
  <r>
    <n v="1286"/>
    <s v="Richmond"/>
    <s v="Hamaspik MAP PCA"/>
    <s v="MCO"/>
    <s v="MLTC"/>
    <s v="PRN (NB)"/>
    <m/>
    <x v="3"/>
    <s v="HHA"/>
    <s v="MC Medicaid HHA"/>
    <m/>
    <n v="2"/>
    <n v="2"/>
    <n v="2"/>
    <n v="2"/>
    <n v="2"/>
    <n v="2"/>
    <s v="Nursing override"/>
    <x v="0"/>
  </r>
  <r>
    <n v="1287"/>
    <s v="Richmond"/>
    <s v="Hamaspik MAP PCA"/>
    <s v="MCO"/>
    <s v="MLTC"/>
    <s v="RN Initial (NB)"/>
    <m/>
    <x v="3"/>
    <s v="HHA"/>
    <s v="MC Medicaid HHA"/>
    <m/>
    <n v="2"/>
    <n v="2"/>
    <n v="2"/>
    <n v="1"/>
    <n v="1"/>
    <n v="1"/>
    <s v="Nursing override"/>
    <x v="0"/>
  </r>
  <r>
    <n v="1288"/>
    <s v="Richmond"/>
    <s v="Hamaspik MAP PCA"/>
    <s v="MCO"/>
    <s v="MLTC"/>
    <s v="RN Reassessment (NB)"/>
    <m/>
    <x v="3"/>
    <s v="HHA"/>
    <s v="MC Medicaid HHA"/>
    <m/>
    <n v="4"/>
    <n v="4"/>
    <n v="4"/>
    <n v="3"/>
    <n v="3"/>
    <n v="3"/>
    <s v="Nursing override"/>
    <x v="0"/>
  </r>
  <r>
    <n v="1289"/>
    <s v="Richmond"/>
    <s v="Healthfirst (ANT)"/>
    <s v="CHHA"/>
    <s v="MLTC"/>
    <s v="RN Initial (NB)"/>
    <m/>
    <x v="3"/>
    <s v="HHA"/>
    <s v="MC Medicaid HHA"/>
    <m/>
    <n v="10"/>
    <n v="10"/>
    <n v="10"/>
    <n v="10"/>
    <n v="10"/>
    <n v="10"/>
    <s v="Nursing override"/>
    <x v="0"/>
  </r>
  <r>
    <n v="1290"/>
    <s v="Richmond"/>
    <s v="Healthfirst (ANT)"/>
    <s v="CHHA"/>
    <s v="MLTC"/>
    <s v="RN Reassessment (NB)"/>
    <m/>
    <x v="3"/>
    <s v="HHA"/>
    <s v="MC Medicaid HHA"/>
    <m/>
    <n v="15"/>
    <n v="21"/>
    <n v="21"/>
    <n v="15"/>
    <n v="21"/>
    <n v="21"/>
    <s v="Nursing override"/>
    <x v="0"/>
  </r>
  <r>
    <n v="1291"/>
    <s v="Richmond"/>
    <s v="Healthfirst (ANT)"/>
    <s v="CHHA"/>
    <s v="MLTC"/>
    <s v="S5130:U1"/>
    <s v="S5130:U1"/>
    <x v="6"/>
    <s v="HHA"/>
    <s v="MC Medicaid HHA"/>
    <m/>
    <n v="3"/>
    <n v="95"/>
    <n v="589.75"/>
    <n v="3"/>
    <n v="95"/>
    <n v="589.75"/>
    <s v=""/>
    <x v="0"/>
  </r>
  <r>
    <n v="1292"/>
    <s v="Richmond"/>
    <s v="Healthfirst (ANT)"/>
    <s v="CHHA"/>
    <s v="MLTC"/>
    <s v="T1019:U1"/>
    <s v="T1019:U1"/>
    <x v="2"/>
    <s v="HHA"/>
    <s v="MC Medicaid HHA"/>
    <m/>
    <n v="22"/>
    <n v="1832"/>
    <n v="8942.25"/>
    <n v="21"/>
    <n v="1813"/>
    <n v="8828.5"/>
    <s v=""/>
    <x v="0"/>
  </r>
  <r>
    <n v="1293"/>
    <s v="Richmond"/>
    <s v="Healthfirst (ANT)"/>
    <s v="CHHA"/>
    <s v="MLTC"/>
    <s v="T1020"/>
    <s v="T1020"/>
    <x v="8"/>
    <s v="HHA"/>
    <s v="MC Medicaid HHA"/>
    <m/>
    <n v="1"/>
    <n v="90"/>
    <n v="1170"/>
    <n v="1"/>
    <n v="90"/>
    <n v="1170"/>
    <s v=""/>
    <x v="0"/>
  </r>
  <r>
    <n v="1295"/>
    <s v="Richmond"/>
    <s v="Healthfirst (CDP)"/>
    <s v="CHHA"/>
    <s v="CDPAP"/>
    <s v="T1019:U6"/>
    <s v="T1019:U6"/>
    <x v="1"/>
    <s v="CDPAP"/>
    <s v="MC Medicaid CDPAP"/>
    <m/>
    <n v="18"/>
    <n v="1724"/>
    <n v="8581.5"/>
    <n v="16"/>
    <n v="1603"/>
    <n v="8065.25"/>
    <s v=""/>
    <x v="0"/>
  </r>
  <r>
    <n v="1296"/>
    <s v="Richmond"/>
    <s v="NHTD"/>
    <s v="LHCSA"/>
    <s v="Medicaid"/>
    <s v="HCSS 9795 NYC"/>
    <s v="9795"/>
    <x v="4"/>
    <s v="HHA"/>
    <s v="Other"/>
    <m/>
    <n v="67"/>
    <n v="27910"/>
    <n v="305613.5"/>
    <n v="64"/>
    <n v="27769"/>
    <n v="303990.5"/>
    <s v=""/>
    <x v="0"/>
  </r>
  <r>
    <n v="1297"/>
    <s v="Richmond"/>
    <s v="NHTD"/>
    <s v="LHCSA"/>
    <s v="Medicaid"/>
    <s v="HCSS 9795 Rest of State"/>
    <s v="9795"/>
    <x v="4"/>
    <s v="HHA"/>
    <s v="Other"/>
    <m/>
    <n v="1"/>
    <n v="128"/>
    <n v="1331.75"/>
    <n v="1"/>
    <n v="128"/>
    <n v="1331.75"/>
    <s v=""/>
    <x v="0"/>
  </r>
  <r>
    <n v="1298"/>
    <s v="Richmond"/>
    <s v="NHTD"/>
    <s v="LHCSA"/>
    <s v="Medicaid"/>
    <s v="Initial RN Visit 9799 (Hourly)"/>
    <s v="9799"/>
    <x v="4"/>
    <s v="HHA"/>
    <s v="Other"/>
    <m/>
    <n v="22"/>
    <n v="22"/>
    <n v="23"/>
    <n v="20"/>
    <n v="20"/>
    <n v="20"/>
    <m/>
    <x v="0"/>
  </r>
  <r>
    <n v="1299"/>
    <s v="Richmond"/>
    <s v="NHTD"/>
    <s v="LHCSA"/>
    <s v="Medicaid"/>
    <s v="PRN (NB)"/>
    <m/>
    <x v="4"/>
    <s v="HHA"/>
    <s v="Other"/>
    <m/>
    <n v="3"/>
    <n v="3"/>
    <n v="3"/>
    <n v="3"/>
    <n v="3"/>
    <n v="3"/>
    <m/>
    <x v="0"/>
  </r>
  <r>
    <n v="1300"/>
    <s v="Richmond"/>
    <s v="NHTD"/>
    <s v="LHCSA"/>
    <s v="Medicaid"/>
    <s v="RN Initial (NB)"/>
    <m/>
    <x v="4"/>
    <s v="HHA"/>
    <s v="Other"/>
    <m/>
    <n v="6"/>
    <n v="6"/>
    <n v="6"/>
    <n v="6"/>
    <n v="6"/>
    <n v="6"/>
    <m/>
    <x v="0"/>
  </r>
  <r>
    <n v="1301"/>
    <s v="Richmond"/>
    <s v="NHTD"/>
    <s v="LHCSA"/>
    <s v="Medicaid"/>
    <s v="RN Reassessment (NB)"/>
    <m/>
    <x v="4"/>
    <s v="HHA"/>
    <s v="Other"/>
    <m/>
    <n v="1"/>
    <n v="1"/>
    <n v="1"/>
    <n v="1"/>
    <n v="1"/>
    <n v="1"/>
    <m/>
    <x v="0"/>
  </r>
  <r>
    <n v="1302"/>
    <s v="Richmond"/>
    <s v="NHTD"/>
    <s v="LHCSA"/>
    <s v="Medicaid"/>
    <s v="RN Visit 9799 (Hourly)"/>
    <s v="9799"/>
    <x v="4"/>
    <s v="HHA"/>
    <s v="Other"/>
    <m/>
    <n v="55"/>
    <n v="92"/>
    <n v="90.5"/>
    <n v="54"/>
    <n v="90"/>
    <n v="90"/>
    <m/>
    <x v="0"/>
  </r>
  <r>
    <n v="1303"/>
    <s v="Richmond"/>
    <s v="Non Billable"/>
    <s v="Other"/>
    <s v="Insurance"/>
    <s v="PCA Hourly"/>
    <m/>
    <x v="5"/>
    <s v="HHA"/>
    <s v="Private Pay"/>
    <m/>
    <n v="13"/>
    <n v="16"/>
    <n v="44.25"/>
    <n v="13"/>
    <n v="16"/>
    <n v="44.25"/>
    <s v=""/>
    <x v="0"/>
  </r>
  <r>
    <n v="1304"/>
    <s v="Richmond"/>
    <s v="Prime Home Health Services"/>
    <s v="CHHA"/>
    <s v="CHHA"/>
    <s v="HHAHOUR"/>
    <m/>
    <x v="0"/>
    <s v="HHA"/>
    <s v="Other"/>
    <s v="CHHA"/>
    <n v="1"/>
    <n v="11"/>
    <n v="42.75"/>
    <n v="1"/>
    <n v="11"/>
    <n v="42.75"/>
    <s v=""/>
    <x v="0"/>
  </r>
  <r>
    <n v="1305"/>
    <s v="Richmond"/>
    <s v="Private Pay"/>
    <s v="Other"/>
    <s v="Private"/>
    <s v="Live In - 3 Hours"/>
    <m/>
    <x v="5"/>
    <s v="HHA"/>
    <s v="Private Pay"/>
    <m/>
    <n v="1"/>
    <n v="22"/>
    <n v="296.5"/>
    <n v="1"/>
    <n v="22"/>
    <n v="286"/>
    <s v=""/>
    <x v="0"/>
  </r>
  <r>
    <n v="1306"/>
    <s v="Richmond"/>
    <s v="Private Pay"/>
    <s v="Other"/>
    <s v="Private"/>
    <s v="PCA Hourly"/>
    <m/>
    <x v="5"/>
    <s v="HHA"/>
    <s v="Private Pay"/>
    <m/>
    <n v="9"/>
    <n v="73"/>
    <n v="217"/>
    <n v="7"/>
    <n v="14"/>
    <n v="48"/>
    <s v=""/>
    <x v="0"/>
  </r>
  <r>
    <n v="1307"/>
    <s v="Richmond"/>
    <s v="Private Pay - Select"/>
    <s v="Other"/>
    <s v="Private"/>
    <s v="HHA Live-in"/>
    <m/>
    <x v="5"/>
    <s v="HHA"/>
    <s v="Private Pay"/>
    <m/>
    <n v="1"/>
    <n v="366"/>
    <n v="8610.25"/>
    <n v="1"/>
    <n v="366"/>
    <n v="4758"/>
    <s v=""/>
    <x v="0"/>
  </r>
  <r>
    <n v="1308"/>
    <s v="Richmond"/>
    <s v="Private Pay - Select"/>
    <s v="Other"/>
    <s v="Private"/>
    <s v="PCA Hourly"/>
    <m/>
    <x v="5"/>
    <s v="HHA"/>
    <s v="Private Pay"/>
    <m/>
    <n v="2"/>
    <n v="217"/>
    <n v="2941.25"/>
    <n v="2"/>
    <n v="217"/>
    <n v="2941.25"/>
    <s v=""/>
    <x v="0"/>
  </r>
  <r>
    <n v="1309"/>
    <s v="Richmond"/>
    <s v="Private Pay - Select"/>
    <s v="Other"/>
    <s v="Private"/>
    <s v="PCA Live-in"/>
    <m/>
    <x v="5"/>
    <s v="HHA"/>
    <s v="Private Pay"/>
    <m/>
    <n v="1"/>
    <n v="6"/>
    <n v="55.5"/>
    <n v="1"/>
    <n v="6"/>
    <n v="55.5"/>
    <s v=""/>
    <x v="0"/>
  </r>
  <r>
    <n v="1310"/>
    <s v="Richmond"/>
    <s v="Private Pay - Select"/>
    <s v="Other"/>
    <s v="Private"/>
    <s v="RN Initial (NB)"/>
    <m/>
    <x v="5"/>
    <s v="HHA"/>
    <s v="Private Pay"/>
    <m/>
    <n v="1"/>
    <n v="1"/>
    <n v="1.5"/>
    <n v="1"/>
    <n v="1"/>
    <n v="1"/>
    <s v=""/>
    <x v="0"/>
  </r>
  <r>
    <n v="1311"/>
    <s v="Richmond"/>
    <s v="Private Pay - Select"/>
    <s v="Other"/>
    <s v="Private"/>
    <s v="RN Reassessment (NB)"/>
    <m/>
    <x v="5"/>
    <s v="HHA"/>
    <s v="Private Pay"/>
    <m/>
    <n v="1"/>
    <n v="2"/>
    <n v="1.5"/>
    <n v="1"/>
    <n v="2"/>
    <n v="2"/>
    <s v=""/>
    <x v="0"/>
  </r>
  <r>
    <n v="1312"/>
    <s v="Richmond"/>
    <s v="Revival Home Health Care"/>
    <s v="CHHA"/>
    <s v="CHHA"/>
    <s v="Rate1"/>
    <s v="S9122"/>
    <x v="0"/>
    <s v="HHA"/>
    <s v="Other"/>
    <s v="CHHA"/>
    <n v="11"/>
    <n v="109"/>
    <n v="414"/>
    <n v="7"/>
    <n v="94"/>
    <n v="365.75"/>
    <s v=""/>
    <x v="0"/>
  </r>
  <r>
    <n v="1313"/>
    <s v="Richmond"/>
    <s v="TBI"/>
    <s v="LHCSA"/>
    <s v="Medicaid"/>
    <s v="HCSS 9879"/>
    <s v="9879"/>
    <x v="4"/>
    <s v="HHA"/>
    <s v="Other"/>
    <m/>
    <n v="1"/>
    <n v="48"/>
    <n v="418"/>
    <n v="1"/>
    <n v="48"/>
    <n v="418"/>
    <s v=""/>
    <x v="0"/>
  </r>
  <r>
    <n v="1319"/>
    <s v="Richmond"/>
    <s v="VillageCare CDPAP"/>
    <s v="MCO"/>
    <s v="CDPAP"/>
    <s v="PA Hourly"/>
    <s v="T1019:U6"/>
    <x v="1"/>
    <s v="CDPAP"/>
    <s v="MC Medicaid CDPAP"/>
    <m/>
    <n v="24"/>
    <n v="2347"/>
    <n v="13476"/>
    <n v="22"/>
    <n v="2286"/>
    <n v="13117"/>
    <s v=""/>
    <x v="0"/>
  </r>
  <r>
    <n v="1320"/>
    <s v="Richmond"/>
    <s v="VillageCare CDPAP"/>
    <s v="MCO"/>
    <s v="CDPAP"/>
    <s v="PA Hourly Mutual"/>
    <s v="T1019:U7"/>
    <x v="10"/>
    <s v="CDPAP"/>
    <s v="MC Medicaid CDPAP"/>
    <m/>
    <n v="3"/>
    <n v="80"/>
    <n v="356.25"/>
    <n v="3"/>
    <n v="80"/>
    <n v="356.25"/>
    <s v=""/>
    <x v="0"/>
  </r>
  <r>
    <n v="1321"/>
    <s v="Richmond"/>
    <s v="VillageCare PCA"/>
    <s v="MLTC"/>
    <s v="MLTC"/>
    <s v="PCA Cluster Care"/>
    <s v="T1019:U3"/>
    <x v="11"/>
    <s v="HHA"/>
    <s v="MC Medicaid HHA"/>
    <m/>
    <n v="3"/>
    <n v="166"/>
    <n v="407.5"/>
    <n v="3"/>
    <n v="166"/>
    <n v="407.5"/>
    <s v=""/>
    <x v="0"/>
  </r>
  <r>
    <n v="1322"/>
    <s v="Richmond"/>
    <s v="VillageCare PCA"/>
    <s v="MLTC"/>
    <s v="MLTC"/>
    <s v="PCA Hourly"/>
    <s v="T1019:U1"/>
    <x v="2"/>
    <s v="HHA"/>
    <s v="MC Medicaid HHA"/>
    <m/>
    <n v="36"/>
    <n v="2074"/>
    <n v="13077.75"/>
    <n v="36"/>
    <n v="2074"/>
    <n v="13077.75"/>
    <s v=""/>
    <x v="0"/>
  </r>
  <r>
    <n v="1323"/>
    <s v="Richmond"/>
    <s v="VillageCare PCA"/>
    <s v="MLTC"/>
    <s v="MLTC"/>
    <s v="PCA Hourly"/>
    <s v="T1019:U1:TV"/>
    <x v="2"/>
    <s v="HHA"/>
    <s v="MC Medicaid HHA"/>
    <m/>
    <n v="8"/>
    <n v="282"/>
    <n v="2676.25"/>
    <n v="8"/>
    <n v="282"/>
    <n v="2676.25"/>
    <s v=""/>
    <x v="0"/>
  </r>
  <r>
    <n v="1324"/>
    <s v="Richmond"/>
    <s v="VillageCare PCA"/>
    <s v="MLTC"/>
    <s v="MLTC"/>
    <s v="PCA Hourly Mutual"/>
    <s v="T1019:U2"/>
    <x v="11"/>
    <s v="HHA"/>
    <s v="MC Medicaid HHA"/>
    <m/>
    <n v="4"/>
    <n v="102"/>
    <n v="310.75"/>
    <n v="2"/>
    <n v="59"/>
    <n v="180.75"/>
    <s v=""/>
    <x v="0"/>
  </r>
  <r>
    <n v="1325"/>
    <s v="Richmond"/>
    <s v="VillageCare PCA"/>
    <s v="MLTC"/>
    <s v="MLTC"/>
    <s v="PCA Hourly Mutual TV"/>
    <s v="T1019:U2:TV"/>
    <x v="11"/>
    <s v="HHA"/>
    <s v="MC Medicaid HHA"/>
    <m/>
    <n v="1"/>
    <n v="14"/>
    <n v="40.5"/>
    <n v="1"/>
    <n v="14"/>
    <n v="40.5"/>
    <s v=""/>
    <x v="0"/>
  </r>
  <r>
    <n v="1326"/>
    <s v="Richmond"/>
    <s v="VillageCare PCA"/>
    <s v="MLTC"/>
    <s v="MLTC"/>
    <s v="PCA Hourly TV"/>
    <s v="T1019:U1:TV"/>
    <x v="2"/>
    <s v="HHA"/>
    <s v="MC Medicaid HHA"/>
    <m/>
    <n v="17"/>
    <n v="183"/>
    <n v="967.5"/>
    <n v="17"/>
    <n v="183"/>
    <n v="967.5"/>
    <s v=""/>
    <x v="0"/>
  </r>
  <r>
    <n v="1327"/>
    <s v="Richmond"/>
    <s v="VillageCare PCA"/>
    <s v="MLTC"/>
    <s v="MLTC"/>
    <s v="PRN (NB)"/>
    <m/>
    <x v="3"/>
    <s v="HHA"/>
    <s v="MC Medicaid HHA"/>
    <m/>
    <n v="3"/>
    <n v="3"/>
    <n v="3"/>
    <n v="3"/>
    <n v="3"/>
    <n v="3"/>
    <s v="Nursing override"/>
    <x v="0"/>
  </r>
  <r>
    <n v="1328"/>
    <s v="Richmond"/>
    <s v="VillageCare PCA"/>
    <s v="MLTC"/>
    <s v="MLTC"/>
    <s v="RN Initial Visit"/>
    <s v="T1030"/>
    <x v="7"/>
    <s v="HHA"/>
    <s v="MC Medicaid HHA"/>
    <m/>
    <n v="34"/>
    <n v="34"/>
    <n v="34"/>
    <n v="32"/>
    <n v="32"/>
    <n v="32"/>
    <s v="nursing"/>
    <x v="0"/>
  </r>
  <r>
    <n v="1329"/>
    <s v="Richmond"/>
    <s v="VillageCare PCA"/>
    <s v="MLTC"/>
    <s v="MLTC"/>
    <s v="RN Reassessment (NB)"/>
    <m/>
    <x v="3"/>
    <s v="HHA"/>
    <s v="MC Medicaid HHA"/>
    <m/>
    <n v="4"/>
    <n v="5"/>
    <n v="5"/>
    <n v="4"/>
    <n v="5"/>
    <n v="5"/>
    <s v="Nursing override"/>
    <x v="0"/>
  </r>
  <r>
    <n v="1330"/>
    <s v="Richmond"/>
    <s v="VNS Health Health Plans (ANT)"/>
    <s v="MLTC"/>
    <s v="MLTC"/>
    <s v="Aide Supervision (NB)"/>
    <m/>
    <x v="7"/>
    <s v="HHA"/>
    <s v="MC Medicaid HHA"/>
    <m/>
    <n v="1"/>
    <n v="1"/>
    <n v="1"/>
    <n v="0"/>
    <n v="0"/>
    <n v="0"/>
    <s v="Nursing override"/>
    <x v="0"/>
  </r>
  <r>
    <n v="1331"/>
    <s v="Richmond"/>
    <s v="VNS Health Health Plans (ANT)"/>
    <s v="MLTC"/>
    <s v="MLTC"/>
    <s v="PRN (NB)"/>
    <m/>
    <x v="3"/>
    <s v="HHA"/>
    <s v="MC Medicaid HHA"/>
    <m/>
    <n v="9"/>
    <n v="11"/>
    <n v="11"/>
    <n v="9"/>
    <n v="11"/>
    <n v="11"/>
    <s v="Nursing override"/>
    <x v="0"/>
  </r>
  <r>
    <n v="1332"/>
    <s v="Richmond"/>
    <s v="VNS Health Health Plans (ANT)"/>
    <s v="MLTC"/>
    <s v="MLTC"/>
    <s v="RN - Initial Visit"/>
    <m/>
    <x v="3"/>
    <s v="HHA"/>
    <s v="MC Medicaid HHA"/>
    <m/>
    <n v="1"/>
    <n v="1"/>
    <n v="1"/>
    <n v="1"/>
    <n v="1"/>
    <n v="1"/>
    <s v="nursing"/>
    <x v="0"/>
  </r>
  <r>
    <n v="1333"/>
    <s v="Richmond"/>
    <s v="VNS Health Health Plans (ANT)"/>
    <s v="MLTC"/>
    <s v="MLTC"/>
    <s v="RN Initial (NB)"/>
    <m/>
    <x v="3"/>
    <s v="HHA"/>
    <s v="MC Medicaid HHA"/>
    <m/>
    <n v="33"/>
    <n v="34"/>
    <n v="34"/>
    <n v="27"/>
    <n v="28"/>
    <n v="28"/>
    <s v="Nursing override"/>
    <x v="0"/>
  </r>
  <r>
    <n v="1334"/>
    <s v="Richmond"/>
    <s v="VNS Health Health Plans (ANT)"/>
    <s v="MLTC"/>
    <s v="MLTC"/>
    <s v="RN Reassessment (NB)"/>
    <m/>
    <x v="3"/>
    <s v="HHA"/>
    <s v="MC Medicaid HHA"/>
    <m/>
    <n v="73"/>
    <n v="126"/>
    <n v="126"/>
    <n v="68"/>
    <n v="117"/>
    <n v="117"/>
    <s v="Nursing override"/>
    <x v="0"/>
  </r>
  <r>
    <n v="1335"/>
    <s v="Richmond"/>
    <s v="VNS Health Health Plans (ANT)"/>
    <s v="MLTC"/>
    <s v="MLTC"/>
    <s v="T1019U1 K"/>
    <s v="T1019:U1"/>
    <x v="2"/>
    <s v="HHA"/>
    <s v="MC Medicaid HHA"/>
    <m/>
    <n v="1"/>
    <n v="304"/>
    <n v="3612.5"/>
    <n v="1"/>
    <n v="304"/>
    <n v="3612.5"/>
    <s v=""/>
    <x v="0"/>
  </r>
  <r>
    <n v="1336"/>
    <s v="Richmond"/>
    <s v="VNS Health Health Plans (ANT)"/>
    <s v="MLTC"/>
    <s v="MLTC"/>
    <s v="T1019U1 SI"/>
    <s v="T1019:U1"/>
    <x v="2"/>
    <s v="HHA"/>
    <s v="MC Medicaid HHA"/>
    <m/>
    <n v="102"/>
    <n v="14170"/>
    <n v="94715.5"/>
    <n v="89"/>
    <n v="12950"/>
    <n v="86054.25"/>
    <s v=""/>
    <x v="0"/>
  </r>
  <r>
    <n v="1337"/>
    <s v="Richmond"/>
    <s v="VNS Health Health Plans (ANT)"/>
    <s v="MLTC"/>
    <s v="MLTC"/>
    <s v="T1019U1 SI MAP"/>
    <s v="T1019:U1"/>
    <x v="2"/>
    <s v="HHA"/>
    <s v="MC Medicaid HHA"/>
    <m/>
    <n v="1"/>
    <n v="65"/>
    <n v="327.25"/>
    <n v="1"/>
    <n v="65"/>
    <n v="327.25"/>
    <s v=""/>
    <x v="0"/>
  </r>
  <r>
    <n v="1338"/>
    <s v="Richmond"/>
    <s v="VNS Health Health Plans (ANT)"/>
    <s v="MLTC"/>
    <s v="MLTC"/>
    <s v="T1019U2 SI"/>
    <s v="T1019:U2"/>
    <x v="11"/>
    <s v="HHA"/>
    <s v="MC Medicaid HHA"/>
    <m/>
    <n v="20"/>
    <n v="1042"/>
    <n v="8445.75"/>
    <n v="20"/>
    <n v="1042"/>
    <n v="8445.75"/>
    <s v=""/>
    <x v="0"/>
  </r>
  <r>
    <n v="1339"/>
    <s v="Richmond"/>
    <s v="VNS Health Health Plans (ANT)"/>
    <s v="MLTC"/>
    <s v="MLTC"/>
    <s v="T1019U3 SI"/>
    <s v="T1019:U3"/>
    <x v="11"/>
    <s v="HHA"/>
    <s v="MC Medicaid HHA"/>
    <m/>
    <n v="3"/>
    <n v="120"/>
    <n v="469"/>
    <n v="3"/>
    <n v="120"/>
    <n v="469"/>
    <s v=""/>
    <x v="0"/>
  </r>
  <r>
    <n v="1340"/>
    <s v="Richmond"/>
    <s v="VNS Health Health Plans (ANT)"/>
    <s v="MLTC"/>
    <s v="MLTC"/>
    <s v="T1020 SI"/>
    <s v="T1020"/>
    <x v="8"/>
    <s v="HHA"/>
    <s v="MC Medicaid HHA"/>
    <m/>
    <n v="2"/>
    <n v="12"/>
    <n v="156"/>
    <n v="2"/>
    <n v="12"/>
    <n v="156"/>
    <s v=""/>
    <x v="0"/>
  </r>
  <r>
    <n v="1341"/>
    <s v="Richmond"/>
    <s v="VNS Health Health Plans (ANT)"/>
    <s v="MLTC"/>
    <s v="MLTC"/>
    <s v="T1020 SI MAP"/>
    <s v="T1020"/>
    <x v="8"/>
    <s v="HHA"/>
    <s v="MC Medicaid HHA"/>
    <m/>
    <n v="1"/>
    <n v="152"/>
    <n v="1976"/>
    <n v="1"/>
    <n v="152"/>
    <n v="1976"/>
    <s v=""/>
    <x v="0"/>
  </r>
  <r>
    <n v="1342"/>
    <s v="Richmond"/>
    <s v="VNS Health Health Plans (ANT)"/>
    <s v="MLTC"/>
    <s v="MLTC"/>
    <s v="T1020U2 SI"/>
    <s v="T1020:U2"/>
    <x v="8"/>
    <s v="HHA"/>
    <s v="MC Medicaid HHA"/>
    <m/>
    <n v="2"/>
    <n v="205"/>
    <n v="2665"/>
    <n v="2"/>
    <n v="205"/>
    <n v="2665"/>
    <s v=""/>
    <x v="0"/>
  </r>
  <r>
    <n v="1348"/>
    <s v="Richmond"/>
    <s v="VNS Health Health Plans (CDP)"/>
    <s v="MLTC"/>
    <s v="CDPAP"/>
    <s v="T1019U6 NAS"/>
    <s v="T1019:U6"/>
    <x v="1"/>
    <s v="CDPAP"/>
    <s v="MC Medicaid CDPAP"/>
    <m/>
    <n v="1"/>
    <n v="716"/>
    <n v="3881.75"/>
    <n v="1"/>
    <n v="716"/>
    <n v="3881.75"/>
    <s v=""/>
    <x v="0"/>
  </r>
  <r>
    <n v="1349"/>
    <s v="Richmond"/>
    <s v="VNS Health Health Plans (CDP)"/>
    <s v="MLTC"/>
    <s v="CDPAP"/>
    <s v="T1019U6 SI"/>
    <s v="T1019:U6"/>
    <x v="1"/>
    <s v="CDPAP"/>
    <s v="MC Medicaid CDPAP"/>
    <m/>
    <n v="72"/>
    <n v="15218"/>
    <n v="89542.75"/>
    <n v="64"/>
    <n v="14719"/>
    <n v="86699.5"/>
    <s v=""/>
    <x v="0"/>
  </r>
  <r>
    <n v="1350"/>
    <s v="Richmond"/>
    <s v="VNS Health Health Plans (CDP)"/>
    <s v="MLTC"/>
    <s v="CDPAP"/>
    <s v="T1019U6 WES"/>
    <s v="T1019:U6"/>
    <x v="1"/>
    <s v="CDPAP"/>
    <s v="MC Medicaid CDPAP"/>
    <m/>
    <n v="1"/>
    <n v="333"/>
    <n v="1996.75"/>
    <n v="1"/>
    <n v="333"/>
    <n v="1996.75"/>
    <s v=""/>
    <x v="0"/>
  </r>
  <r>
    <n v="1351"/>
    <s v="Richmond"/>
    <s v="VNS Health Health Plans (CDP)"/>
    <s v="MLTC"/>
    <s v="CDPAP"/>
    <s v="T1019U7 SI"/>
    <s v="T1019:U7"/>
    <x v="10"/>
    <s v="CDPAP"/>
    <s v="MC Medicaid CDPAP"/>
    <m/>
    <n v="4"/>
    <n v="503"/>
    <n v="1633.75"/>
    <n v="4"/>
    <n v="503"/>
    <n v="1633.75"/>
    <s v=""/>
    <x v="0"/>
  </r>
  <r>
    <n v="1352"/>
    <s v="Richmond"/>
    <s v="VNS Health Health Plans (CDP)"/>
    <s v="MLTC"/>
    <s v="CDPAP"/>
    <s v="T1020U6 SI"/>
    <s v="T1020:U6"/>
    <x v="9"/>
    <s v="CDPAP"/>
    <s v="MC Medicaid CDPAP"/>
    <m/>
    <n v="1"/>
    <n v="299"/>
    <n v="3887"/>
    <n v="1"/>
    <n v="299"/>
    <n v="3887"/>
    <s v=""/>
    <x v="0"/>
  </r>
  <r>
    <n v="1353"/>
    <s v="Richmond"/>
    <s v="VNS Health Health Plans (CDP)"/>
    <s v="MLTC"/>
    <s v="CDPAP"/>
    <s v="T1020U7 SI MAP"/>
    <s v="T1020:U7"/>
    <x v="15"/>
    <s v="CDPAP"/>
    <s v="MC Medicaid CDPAP"/>
    <m/>
    <n v="1"/>
    <n v="1"/>
    <n v="13"/>
    <n v="1"/>
    <n v="1"/>
    <n v="13"/>
    <s v=""/>
    <x v="0"/>
  </r>
  <r>
    <n v="1354"/>
    <s v="Richmond"/>
    <s v="VNSNY CHOICE PCA"/>
    <s v="LHCSA"/>
    <s v="MLTC"/>
    <s v="PCA Hourly"/>
    <s v="T1019:U1"/>
    <x v="2"/>
    <s v="HHA"/>
    <s v="MC Medicaid HHA"/>
    <m/>
    <n v="2"/>
    <n v="61"/>
    <n v="216.75"/>
    <n v="1"/>
    <n v="59"/>
    <n v="211.75"/>
    <s v=""/>
    <x v="0"/>
  </r>
  <r>
    <n v="1355"/>
    <s v="Richmond"/>
    <s v="VNSNY CHOICE PCA"/>
    <s v="LHCSA"/>
    <s v="MLTC"/>
    <s v="PCA Hourly Mutual U3"/>
    <s v="T1019:U2"/>
    <x v="11"/>
    <s v="HHA"/>
    <s v="MC Medicaid HHA"/>
    <m/>
    <n v="3"/>
    <n v="20"/>
    <n v="74.25"/>
    <n v="3"/>
    <n v="20"/>
    <n v="74.25"/>
    <s v=""/>
    <x v="0"/>
  </r>
  <r>
    <n v="1356"/>
    <s v="Richmond"/>
    <s v="VNSNY CHOICE PCA"/>
    <s v="LHCSA"/>
    <s v="MLTC"/>
    <s v="RN Reassessment (NB)"/>
    <m/>
    <x v="3"/>
    <s v="HHA"/>
    <s v="MC Medicaid HHA"/>
    <m/>
    <n v="4"/>
    <n v="4"/>
    <n v="4"/>
    <n v="3"/>
    <n v="3"/>
    <n v="3"/>
    <s v="Nursing override"/>
    <x v="0"/>
  </r>
  <r>
    <n v="1358"/>
    <s v="Rockland"/>
    <s v="Centers Plan For Healthy Living CDPAP "/>
    <s v="MLTC"/>
    <s v="CDPAP"/>
    <s v="PA Hourly - Nassau/Suffolk/Westchester:"/>
    <s v="T1019:U6"/>
    <x v="1"/>
    <s v="CDPAP"/>
    <s v="MC Medicaid CDPAP"/>
    <m/>
    <n v="3"/>
    <n v="828"/>
    <n v="2863.5"/>
    <n v="3"/>
    <n v="828"/>
    <n v="2863.5"/>
    <s v=""/>
    <x v="0"/>
  </r>
  <r>
    <n v="1359"/>
    <s v="Rockland"/>
    <s v="Centers Plan For Healthy Living CDPAP "/>
    <s v="MLTC"/>
    <s v="CDPAP"/>
    <s v="PA Hourly - Rockland"/>
    <s v="T1019:U6"/>
    <x v="1"/>
    <s v="CDPAP"/>
    <s v="MC Medicaid CDPAP"/>
    <m/>
    <n v="5"/>
    <n v="774"/>
    <n v="3324.5"/>
    <n v="5"/>
    <n v="774"/>
    <n v="3324.5"/>
    <s v=""/>
    <x v="0"/>
  </r>
  <r>
    <n v="1361"/>
    <s v="Rockland"/>
    <s v="Elderplan MJHS (CDP)"/>
    <s v="MLTC"/>
    <s v="CDPAP"/>
    <s v="T1019:U6"/>
    <s v="T1019:U6"/>
    <x v="1"/>
    <s v="CDPAP"/>
    <s v="MC Medicaid CDPAP"/>
    <m/>
    <n v="2"/>
    <n v="225"/>
    <n v="2043.75"/>
    <n v="2"/>
    <n v="225"/>
    <n v="2043.75"/>
    <s v=""/>
    <x v="0"/>
  </r>
  <r>
    <n v="1363"/>
    <s v="Rockland"/>
    <s v="Fidelis Care (CDP)"/>
    <s v="LHCSA"/>
    <s v="CDPAP"/>
    <s v="T1019:U6"/>
    <s v="T1019:U6"/>
    <x v="1"/>
    <s v="CDPAP"/>
    <s v="MC Medicaid CDPAP"/>
    <m/>
    <n v="9"/>
    <n v="1070"/>
    <n v="4178.25"/>
    <n v="9"/>
    <n v="1070"/>
    <n v="4178.25"/>
    <s v=""/>
    <x v="0"/>
  </r>
  <r>
    <n v="1365"/>
    <s v="Rockland"/>
    <s v="Hamaspik Choice (MLTC) CDPAP"/>
    <s v="MCO"/>
    <s v="CDPAP"/>
    <s v="PA Hourly NYC , Nassau, Westchester"/>
    <s v="T1019:U6"/>
    <x v="1"/>
    <s v="CDPAP"/>
    <s v="MC Medicaid CDPAP"/>
    <m/>
    <n v="1"/>
    <n v="127"/>
    <n v="1102.25"/>
    <n v="1"/>
    <n v="127"/>
    <n v="1102.25"/>
    <s v=""/>
    <x v="0"/>
  </r>
  <r>
    <n v="1366"/>
    <s v="Rockland"/>
    <s v="Hamaspik Choice (MLTC) CDPAP"/>
    <s v="MCO"/>
    <s v="CDPAP"/>
    <s v="PA Hourly Upstate"/>
    <s v="T1019:U6"/>
    <x v="1"/>
    <s v="CDPAP"/>
    <s v="MC Medicaid CDPAP"/>
    <m/>
    <n v="2"/>
    <n v="524"/>
    <n v="2088"/>
    <n v="2"/>
    <n v="524"/>
    <n v="2088"/>
    <s v=""/>
    <x v="0"/>
  </r>
  <r>
    <n v="1369"/>
    <s v="Rockland"/>
    <s v="Healthfirst (CDP)"/>
    <s v="CHHA"/>
    <s v="CDPAP"/>
    <s v="T1019:U6"/>
    <s v="T1019:U6"/>
    <x v="1"/>
    <s v="CDPAP"/>
    <s v="MC Medicaid CDPAP"/>
    <m/>
    <n v="1"/>
    <n v="230"/>
    <n v="1422.5"/>
    <n v="1"/>
    <n v="230"/>
    <n v="1422.5"/>
    <s v=""/>
    <x v="0"/>
  </r>
  <r>
    <n v="1372"/>
    <s v="Rockland"/>
    <s v="VNS Health Health Plans (CDP)"/>
    <s v="MLTC"/>
    <s v="CDPAP"/>
    <s v="T1019U6 RKL"/>
    <s v="T1019:U6"/>
    <x v="1"/>
    <s v="CDPAP"/>
    <s v="MC Medicaid CDPAP"/>
    <m/>
    <n v="11"/>
    <n v="3066"/>
    <n v="17324.75"/>
    <n v="10"/>
    <n v="2888"/>
    <n v="16612.75"/>
    <s v=""/>
    <x v="0"/>
  </r>
  <r>
    <n v="1374"/>
    <s v="Saint Lawrence"/>
    <s v="Fidelis Care (CDP)"/>
    <s v="LHCSA"/>
    <s v="CDPAP"/>
    <s v="T1019:U6"/>
    <s v="T1019:U6"/>
    <x v="1"/>
    <s v="CDPAP"/>
    <s v="MC Medicaid CDPAP"/>
    <m/>
    <n v="10"/>
    <n v="1206"/>
    <n v="5194.25"/>
    <n v="10"/>
    <n v="1206"/>
    <n v="5194.25"/>
    <s v=""/>
    <x v="0"/>
  </r>
  <r>
    <n v="1377"/>
    <s v="Saint Lawrence"/>
    <s v="Nascentia Health Options CDPAP"/>
    <s v="MLTC"/>
    <s v="CDPAP"/>
    <s v="PA Hourly"/>
    <s v="T1019:U6"/>
    <x v="1"/>
    <s v="CDPAP"/>
    <s v="MC Medicaid CDPAP"/>
    <m/>
    <n v="2"/>
    <n v="650"/>
    <n v="4618.75"/>
    <n v="2"/>
    <n v="650"/>
    <n v="4618.75"/>
    <s v=""/>
    <x v="0"/>
  </r>
  <r>
    <n v="1378"/>
    <s v="Saratoga"/>
    <s v="Fidelis Care (ANT)"/>
    <s v="LHCSA"/>
    <s v="MLTC"/>
    <s v="RN Initial (NB)"/>
    <m/>
    <x v="3"/>
    <s v="HHA"/>
    <s v="MC Medicaid HHA"/>
    <m/>
    <n v="1"/>
    <n v="1"/>
    <n v="1"/>
    <n v="1"/>
    <n v="1"/>
    <n v="1"/>
    <s v="Nursing override"/>
    <x v="0"/>
  </r>
  <r>
    <n v="1379"/>
    <s v="Saratoga"/>
    <s v="Fidelis Care (ANT)"/>
    <s v="LHCSA"/>
    <s v="MLTC"/>
    <s v="T1019:U1"/>
    <s v="T1019:U1"/>
    <x v="2"/>
    <s v="HHA"/>
    <s v="MC Medicaid HHA"/>
    <m/>
    <n v="2"/>
    <n v="36"/>
    <n v="162.75"/>
    <n v="2"/>
    <n v="36"/>
    <n v="162.75"/>
    <s v=""/>
    <x v="0"/>
  </r>
  <r>
    <n v="1380"/>
    <s v="Saratoga"/>
    <s v="Fidelis Care (ANT)"/>
    <s v="LHCSA"/>
    <s v="MLTC"/>
    <s v="T1019:U6"/>
    <s v="T1019:U6"/>
    <x v="1"/>
    <s v="CDPAP"/>
    <s v="MC Medicaid CDPAP"/>
    <m/>
    <n v="1"/>
    <n v="17"/>
    <n v="69"/>
    <n v="1"/>
    <n v="17"/>
    <n v="69"/>
    <s v=""/>
    <x v="0"/>
  </r>
  <r>
    <n v="1383"/>
    <s v="Saratoga"/>
    <s v="Fidelis Care (CDP)"/>
    <s v="LHCSA"/>
    <s v="CDPAP"/>
    <s v="RN Initial (NB)"/>
    <m/>
    <x v="3"/>
    <s v="HHA"/>
    <s v="MC Medicaid HHA"/>
    <m/>
    <n v="1"/>
    <n v="1"/>
    <n v="1"/>
    <n v="1"/>
    <n v="1"/>
    <n v="1"/>
    <s v="Nursing override"/>
    <x v="0"/>
  </r>
  <r>
    <n v="1384"/>
    <s v="Saratoga"/>
    <s v="Fidelis Care (CDP)"/>
    <s v="LHCSA"/>
    <s v="CDPAP"/>
    <s v="T1019:U1"/>
    <s v="T1019:U1"/>
    <x v="2"/>
    <s v="HHA"/>
    <s v="MC Medicaid HHA"/>
    <m/>
    <n v="1"/>
    <n v="27"/>
    <n v="107"/>
    <n v="1"/>
    <n v="27"/>
    <n v="107"/>
    <s v=""/>
    <x v="0"/>
  </r>
  <r>
    <n v="1385"/>
    <s v="Saratoga"/>
    <s v="Fidelis Care (CDP)"/>
    <s v="LHCSA"/>
    <s v="CDPAP"/>
    <s v="T1019:U6"/>
    <s v="T1019:U6"/>
    <x v="1"/>
    <s v="CDPAP"/>
    <s v="MC Medicaid CDPAP"/>
    <m/>
    <n v="13"/>
    <n v="1181"/>
    <n v="6850.25"/>
    <n v="11"/>
    <n v="1162"/>
    <n v="6759.5"/>
    <s v=""/>
    <x v="0"/>
  </r>
  <r>
    <n v="1388"/>
    <s v="Saratoga"/>
    <s v="Nascentia Health Options CDPAP"/>
    <s v="MLTC"/>
    <s v="CDPAP"/>
    <s v="PA Hourly"/>
    <s v="T1019:U6"/>
    <x v="1"/>
    <s v="CDPAP"/>
    <s v="MC Medicaid CDPAP"/>
    <m/>
    <n v="2"/>
    <n v="1162"/>
    <n v="3813.5"/>
    <n v="2"/>
    <n v="1162"/>
    <n v="3813.5"/>
    <s v=""/>
    <x v="0"/>
  </r>
  <r>
    <n v="1389"/>
    <s v="Saratoga"/>
    <s v="VNS Health Health Plans (ANT)"/>
    <s v="MLTC"/>
    <s v="MLTC"/>
    <s v="RN Initial (NB)"/>
    <m/>
    <x v="3"/>
    <s v="HHA"/>
    <s v="MC Medicaid HHA"/>
    <m/>
    <n v="3"/>
    <n v="3"/>
    <n v="3"/>
    <n v="3"/>
    <n v="3"/>
    <n v="3"/>
    <s v="Nursing override"/>
    <x v="0"/>
  </r>
  <r>
    <n v="1390"/>
    <s v="Saratoga"/>
    <s v="VNS Health Health Plans (ANT)"/>
    <s v="MLTC"/>
    <s v="MLTC"/>
    <s v="RN Reassessment (NB)"/>
    <m/>
    <x v="3"/>
    <s v="HHA"/>
    <s v="MC Medicaid HHA"/>
    <m/>
    <n v="2"/>
    <n v="2"/>
    <n v="2"/>
    <n v="2"/>
    <n v="2"/>
    <n v="2"/>
    <s v="Nursing override"/>
    <x v="0"/>
  </r>
  <r>
    <n v="1391"/>
    <s v="Saratoga"/>
    <s v="VNS Health Health Plans (ANT)"/>
    <s v="MLTC"/>
    <s v="MLTC"/>
    <s v="T1019U1 SAR"/>
    <s v="T1019:U1"/>
    <x v="2"/>
    <s v="HHA"/>
    <s v="MC Medicaid HHA"/>
    <m/>
    <n v="3"/>
    <n v="195"/>
    <n v="1034.75"/>
    <n v="3"/>
    <n v="195"/>
    <n v="1034.75"/>
    <s v=""/>
    <x v="0"/>
  </r>
  <r>
    <n v="1394"/>
    <s v="Saratoga"/>
    <s v="VNS Health Health Plans (CDP)"/>
    <s v="MLTC"/>
    <s v="CDPAP"/>
    <s v="T1019U6 SAR"/>
    <s v="T1019:U6"/>
    <x v="1"/>
    <s v="CDPAP"/>
    <s v="MC Medicaid CDPAP"/>
    <m/>
    <n v="16"/>
    <n v="3063"/>
    <n v="13927"/>
    <n v="16"/>
    <n v="3063"/>
    <n v="13927"/>
    <s v=""/>
    <x v="0"/>
  </r>
  <r>
    <n v="1395"/>
    <s v="Saratoga"/>
    <s v="VNS Health Health Plans (CDP)"/>
    <s v="MLTC"/>
    <s v="CDPAP"/>
    <s v="T1019U6 SAR MAP"/>
    <s v="T1019:U6"/>
    <x v="1"/>
    <s v="CDPAP"/>
    <s v="MC Medicaid CDPAP"/>
    <m/>
    <n v="1"/>
    <n v="24"/>
    <n v="120"/>
    <n v="1"/>
    <n v="24"/>
    <n v="120"/>
    <s v=""/>
    <x v="0"/>
  </r>
  <r>
    <n v="1396"/>
    <s v="Schenectady"/>
    <s v="EDDY SeniorCare VNA (Pace Plan)"/>
    <s v="MCO"/>
    <s v="MCO"/>
    <s v="PCA Hourly Weekday"/>
    <s v="T1019:U1"/>
    <x v="4"/>
    <s v="HHA"/>
    <s v="Other"/>
    <m/>
    <n v="1"/>
    <n v="38"/>
    <n v="185"/>
    <n v="1"/>
    <n v="38"/>
    <n v="185"/>
    <s v=""/>
    <x v="0"/>
  </r>
  <r>
    <n v="1397"/>
    <s v="Schenectady"/>
    <s v="EDDY SeniorCare VNA (Pace Plan)"/>
    <s v="MCO"/>
    <s v="MCO"/>
    <s v="RN Reassessment-NB"/>
    <s v="T1019:U1"/>
    <x v="4"/>
    <s v="HHA"/>
    <s v="Other"/>
    <m/>
    <n v="1"/>
    <n v="1"/>
    <n v="1"/>
    <n v="1"/>
    <n v="1"/>
    <n v="1"/>
    <s v="Nursing override"/>
    <x v="0"/>
  </r>
  <r>
    <n v="1398"/>
    <s v="Schenectady"/>
    <s v="Fidelis Care (ANT)"/>
    <s v="LHCSA"/>
    <s v="MLTC"/>
    <s v="RN Initial (NB)"/>
    <m/>
    <x v="3"/>
    <s v="HHA"/>
    <s v="MC Medicaid HHA"/>
    <m/>
    <n v="15"/>
    <n v="15"/>
    <n v="15"/>
    <n v="15"/>
    <n v="15"/>
    <n v="15"/>
    <s v="Nursing override"/>
    <x v="0"/>
  </r>
  <r>
    <n v="1399"/>
    <s v="Schenectady"/>
    <s v="Fidelis Care (ANT)"/>
    <s v="LHCSA"/>
    <s v="MLTC"/>
    <s v="RN Initial Assement"/>
    <s v="T2024"/>
    <x v="3"/>
    <s v="HHA"/>
    <s v="MC Medicaid HHA"/>
    <m/>
    <n v="6"/>
    <n v="6"/>
    <n v="6"/>
    <n v="6"/>
    <n v="6"/>
    <n v="6"/>
    <s v="nursing"/>
    <x v="0"/>
  </r>
  <r>
    <n v="1400"/>
    <s v="Schenectady"/>
    <s v="Fidelis Care (ANT)"/>
    <s v="LHCSA"/>
    <s v="MLTC"/>
    <s v="RN Reassessment (NB)"/>
    <m/>
    <x v="3"/>
    <s v="HHA"/>
    <s v="MC Medicaid HHA"/>
    <m/>
    <n v="11"/>
    <n v="13"/>
    <n v="13"/>
    <n v="11"/>
    <n v="13"/>
    <n v="13"/>
    <s v="Nursing override"/>
    <x v="0"/>
  </r>
  <r>
    <n v="1401"/>
    <s v="Schenectady"/>
    <s v="Fidelis Care (ANT)"/>
    <s v="LHCSA"/>
    <s v="MLTC"/>
    <s v="T1019:U1"/>
    <s v="T1019:U1"/>
    <x v="2"/>
    <s v="HHA"/>
    <s v="MC Medicaid HHA"/>
    <m/>
    <n v="31"/>
    <n v="2252"/>
    <n v="10117.25"/>
    <n v="30"/>
    <n v="2245"/>
    <n v="10103"/>
    <s v=""/>
    <x v="0"/>
  </r>
  <r>
    <n v="1402"/>
    <s v="Schenectady"/>
    <s v="Fidelis Care (ANT)"/>
    <s v="LHCSA"/>
    <s v="MLTC"/>
    <s v="T1019:U6"/>
    <s v="T1019:U6"/>
    <x v="1"/>
    <s v="CDPAP"/>
    <s v="MC Medicaid CDPAP"/>
    <m/>
    <n v="1"/>
    <n v="63"/>
    <n v="250.75"/>
    <n v="1"/>
    <n v="63"/>
    <n v="250.75"/>
    <s v=""/>
    <x v="0"/>
  </r>
  <r>
    <n v="1406"/>
    <s v="Schenectady"/>
    <s v="Fidelis Care (CDP)"/>
    <s v="LHCSA"/>
    <s v="CDPAP"/>
    <s v="T1019:U6"/>
    <s v="T1019:U6"/>
    <x v="1"/>
    <s v="CDPAP"/>
    <s v="MC Medicaid CDPAP"/>
    <m/>
    <n v="79"/>
    <n v="12153"/>
    <n v="54295.25"/>
    <n v="76"/>
    <n v="11992"/>
    <n v="53160.25"/>
    <s v=""/>
    <x v="0"/>
  </r>
  <r>
    <n v="1407"/>
    <s v="Schenectady"/>
    <s v="Fidelis Care PCA (Non Live)"/>
    <s v="MLTC"/>
    <s v="MLTC"/>
    <s v="PCA Hourly"/>
    <s v="T1019:U1"/>
    <x v="2"/>
    <s v="HHA"/>
    <s v="MC Medicaid HHA"/>
    <m/>
    <n v="2"/>
    <n v="3"/>
    <n v="6"/>
    <n v="2"/>
    <n v="3"/>
    <n v="6"/>
    <s v=""/>
    <x v="0"/>
  </r>
  <r>
    <n v="1408"/>
    <s v="Schenectady"/>
    <s v="Fidelis Care PCA (Non Live)"/>
    <s v="MLTC"/>
    <s v="MLTC"/>
    <s v="Rn initial assement"/>
    <s v="G0162"/>
    <x v="3"/>
    <s v="HHA"/>
    <s v="MC Medicaid HHA"/>
    <m/>
    <n v="5"/>
    <n v="5"/>
    <n v="5"/>
    <n v="4"/>
    <n v="4"/>
    <n v="4"/>
    <s v="nursing"/>
    <x v="0"/>
  </r>
  <r>
    <n v="1410"/>
    <s v="Schenectady"/>
    <s v="Nascentia Health Options CDPAP"/>
    <s v="MLTC"/>
    <s v="CDPAP"/>
    <s v="PA Hourly"/>
    <s v="T1019:U6"/>
    <x v="1"/>
    <s v="CDPAP"/>
    <s v="MC Medicaid CDPAP"/>
    <m/>
    <n v="4"/>
    <n v="603"/>
    <n v="3138.75"/>
    <n v="4"/>
    <n v="603"/>
    <n v="3138.75"/>
    <s v=""/>
    <x v="0"/>
  </r>
  <r>
    <n v="1411"/>
    <s v="Schenectady"/>
    <s v="Nascentia PCA"/>
    <s v="MLTC"/>
    <s v="MLTC"/>
    <s v="PCA Hourly"/>
    <s v="T1019:U1"/>
    <x v="2"/>
    <s v="HHA"/>
    <s v="MC Medicaid HHA"/>
    <m/>
    <n v="2"/>
    <n v="53"/>
    <n v="136"/>
    <n v="1"/>
    <n v="38"/>
    <n v="70"/>
    <s v=""/>
    <x v="0"/>
  </r>
  <r>
    <n v="1412"/>
    <s v="Schenectady"/>
    <s v="Nascentia PCA"/>
    <s v="MLTC"/>
    <s v="MLTC"/>
    <s v="Rn initial assesment non billable"/>
    <m/>
    <x v="3"/>
    <s v="HHA"/>
    <s v="MC Medicaid HHA"/>
    <m/>
    <n v="2"/>
    <n v="2"/>
    <n v="2"/>
    <n v="1"/>
    <n v="1"/>
    <n v="1"/>
    <s v="Nursing override"/>
    <x v="0"/>
  </r>
  <r>
    <n v="1413"/>
    <s v="Schenectady"/>
    <s v="Non Billable"/>
    <s v="Other"/>
    <s v="Insurance"/>
    <s v="PA Hourly"/>
    <m/>
    <x v="5"/>
    <s v="HHA"/>
    <s v="Private Pay"/>
    <m/>
    <n v="1"/>
    <n v="11"/>
    <n v="40.25"/>
    <n v="1"/>
    <n v="11"/>
    <n v="40.25"/>
    <s v=""/>
    <x v="0"/>
  </r>
  <r>
    <n v="1414"/>
    <s v="Schenectady"/>
    <s v="Private Pay - Select"/>
    <s v="Other"/>
    <s v="Private"/>
    <s v="PCA Hourly"/>
    <m/>
    <x v="5"/>
    <s v="HHA"/>
    <s v="Private Pay"/>
    <m/>
    <n v="1"/>
    <n v="4"/>
    <n v="7.25"/>
    <n v="1"/>
    <n v="4"/>
    <n v="7.25"/>
    <s v=""/>
    <x v="0"/>
  </r>
  <r>
    <n v="1415"/>
    <s v="Schenectady"/>
    <s v="Private Pay - Select"/>
    <s v="Other"/>
    <s v="Private"/>
    <s v="RN Initial (NB)"/>
    <m/>
    <x v="5"/>
    <s v="HHA"/>
    <s v="Private Pay"/>
    <m/>
    <n v="1"/>
    <n v="1"/>
    <n v="0.5"/>
    <n v="1"/>
    <n v="1"/>
    <n v="1"/>
    <s v=""/>
    <x v="0"/>
  </r>
  <r>
    <n v="1416"/>
    <s v="Schenectady"/>
    <s v="VNS Health Health Plans (ANT)"/>
    <s v="MLTC"/>
    <s v="MLTC"/>
    <s v="RN Initial (NB)"/>
    <m/>
    <x v="3"/>
    <s v="HHA"/>
    <s v="MC Medicaid HHA"/>
    <m/>
    <n v="23"/>
    <n v="23"/>
    <n v="23"/>
    <n v="21"/>
    <n v="21"/>
    <n v="21"/>
    <s v="Nursing override"/>
    <x v="0"/>
  </r>
  <r>
    <n v="1417"/>
    <s v="Schenectady"/>
    <s v="VNS Health Health Plans (ANT)"/>
    <s v="MLTC"/>
    <s v="MLTC"/>
    <s v="RN Reassessment (NB)"/>
    <m/>
    <x v="3"/>
    <s v="HHA"/>
    <s v="MC Medicaid HHA"/>
    <m/>
    <n v="11"/>
    <n v="16"/>
    <n v="16"/>
    <n v="11"/>
    <n v="16"/>
    <n v="16"/>
    <s v="Nursing override"/>
    <x v="0"/>
  </r>
  <r>
    <n v="1418"/>
    <s v="Schenectady"/>
    <s v="VNS Health Health Plans (ANT)"/>
    <s v="MLTC"/>
    <s v="MLTC"/>
    <s v="T1019U1 SCH"/>
    <s v="T1019:U1"/>
    <x v="2"/>
    <s v="HHA"/>
    <s v="MC Medicaid HHA"/>
    <m/>
    <n v="34"/>
    <n v="2720"/>
    <n v="14287.75"/>
    <n v="29"/>
    <n v="2652"/>
    <n v="14018.25"/>
    <s v=""/>
    <x v="0"/>
  </r>
  <r>
    <n v="1419"/>
    <s v="Schenectady"/>
    <s v="VNS Health Health Plans (ANT)"/>
    <s v="MLTC"/>
    <s v="MLTC"/>
    <s v="T1020 SCH"/>
    <s v="T1020"/>
    <x v="8"/>
    <s v="HHA"/>
    <s v="MC Medicaid HHA"/>
    <m/>
    <n v="1"/>
    <n v="36"/>
    <n v="468"/>
    <n v="1"/>
    <n v="36"/>
    <n v="468"/>
    <s v=""/>
    <x v="0"/>
  </r>
  <r>
    <n v="1424"/>
    <s v="Schenectady"/>
    <s v="VNS Health Health Plans (CDP)"/>
    <s v="MLTC"/>
    <s v="CDPAP"/>
    <s v="RN Initial (NB)"/>
    <m/>
    <x v="3"/>
    <s v="HHA"/>
    <s v="MC Medicaid HHA"/>
    <m/>
    <n v="1"/>
    <n v="1"/>
    <n v="1"/>
    <n v="1"/>
    <n v="1"/>
    <n v="1"/>
    <s v="Nursing override"/>
    <x v="0"/>
  </r>
  <r>
    <n v="1425"/>
    <s v="Schenectady"/>
    <s v="VNS Health Health Plans (CDP)"/>
    <s v="MLTC"/>
    <s v="CDPAP"/>
    <s v="T1019U1 SCH"/>
    <s v="T1019:U1"/>
    <x v="2"/>
    <s v="HHA"/>
    <s v="MC Medicaid HHA"/>
    <m/>
    <n v="1"/>
    <n v="36"/>
    <n v="136.5"/>
    <n v="1"/>
    <n v="36"/>
    <n v="136.5"/>
    <s v=""/>
    <x v="0"/>
  </r>
  <r>
    <n v="1426"/>
    <s v="Schenectady"/>
    <s v="VNS Health Health Plans (CDP)"/>
    <s v="MLTC"/>
    <s v="CDPAP"/>
    <s v="T1019U6 ALB"/>
    <s v="T1019:U6"/>
    <x v="1"/>
    <s v="CDPAP"/>
    <s v="MC Medicaid CDPAP"/>
    <m/>
    <n v="2"/>
    <n v="219"/>
    <n v="778.25"/>
    <n v="2"/>
    <n v="219"/>
    <n v="778.25"/>
    <s v=""/>
    <x v="0"/>
  </r>
  <r>
    <n v="1427"/>
    <s v="Schenectady"/>
    <s v="VNS Health Health Plans (CDP)"/>
    <s v="MLTC"/>
    <s v="CDPAP"/>
    <s v="T1019U6 QNS"/>
    <s v="T1019:U6"/>
    <x v="1"/>
    <s v="CDPAP"/>
    <s v="MC Medicaid CDPAP"/>
    <m/>
    <n v="1"/>
    <n v="82"/>
    <n v="656"/>
    <n v="1"/>
    <n v="82"/>
    <n v="656"/>
    <s v=""/>
    <x v="0"/>
  </r>
  <r>
    <n v="1428"/>
    <s v="Schenectady"/>
    <s v="VNS Health Health Plans (CDP)"/>
    <s v="MLTC"/>
    <s v="CDPAP"/>
    <s v="T1019U6 REN"/>
    <s v="T1019:U6"/>
    <x v="1"/>
    <s v="CDPAP"/>
    <s v="MC Medicaid CDPAP"/>
    <m/>
    <n v="1"/>
    <n v="57"/>
    <n v="252.25"/>
    <n v="1"/>
    <n v="57"/>
    <n v="252.25"/>
    <s v=""/>
    <x v="0"/>
  </r>
  <r>
    <n v="1429"/>
    <s v="Schenectady"/>
    <s v="VNS Health Health Plans (CDP)"/>
    <s v="MLTC"/>
    <s v="CDPAP"/>
    <s v="T1019U6 SCH"/>
    <s v="T1019:U6"/>
    <x v="1"/>
    <s v="CDPAP"/>
    <s v="MC Medicaid CDPAP"/>
    <m/>
    <n v="82"/>
    <n v="17154"/>
    <n v="84821"/>
    <n v="76"/>
    <n v="16871"/>
    <n v="82993.25"/>
    <s v=""/>
    <x v="0"/>
  </r>
  <r>
    <n v="1430"/>
    <s v="Schenectady"/>
    <s v="VNS Health Health Plans (CDP)"/>
    <s v="MLTC"/>
    <s v="CDPAP"/>
    <s v="T1019U7 SCH"/>
    <s v="T1019:U7"/>
    <x v="10"/>
    <s v="CDPAP"/>
    <s v="MC Medicaid CDPAP"/>
    <m/>
    <n v="2"/>
    <n v="134"/>
    <n v="1217.75"/>
    <n v="2"/>
    <n v="134"/>
    <n v="1217.75"/>
    <s v=""/>
    <x v="0"/>
  </r>
  <r>
    <n v="1431"/>
    <s v="Schenectady"/>
    <s v="VNSNY CHOICE PCA"/>
    <s v="LHCSA"/>
    <s v="MLTC"/>
    <s v="PCA Hourly"/>
    <s v="T1019:U1"/>
    <x v="2"/>
    <s v="HHA"/>
    <s v="MC Medicaid HHA"/>
    <m/>
    <n v="1"/>
    <n v="1"/>
    <n v="6"/>
    <n v="1"/>
    <n v="1"/>
    <n v="6"/>
    <s v=""/>
    <x v="0"/>
  </r>
  <r>
    <n v="1434"/>
    <s v="Schoharie"/>
    <s v="Fidelis Care (CDP)"/>
    <s v="LHCSA"/>
    <s v="CDPAP"/>
    <s v="T1019:U6"/>
    <s v="T1019:U6"/>
    <x v="1"/>
    <s v="CDPAP"/>
    <s v="MC Medicaid CDPAP"/>
    <m/>
    <n v="4"/>
    <n v="571"/>
    <n v="2573.75"/>
    <n v="4"/>
    <n v="571"/>
    <n v="2573.75"/>
    <s v=""/>
    <x v="0"/>
  </r>
  <r>
    <n v="1437"/>
    <s v="Schoharie"/>
    <s v="VNS Health Health Plans (CDP)"/>
    <s v="MLTC"/>
    <s v="CDPAP"/>
    <s v="T1019U6 SCHO"/>
    <s v="T1019:U6"/>
    <x v="1"/>
    <s v="CDPAP"/>
    <s v="MC Medicaid CDPAP"/>
    <m/>
    <n v="7"/>
    <n v="1371"/>
    <n v="6695.25"/>
    <n v="7"/>
    <n v="1371"/>
    <n v="6695.25"/>
    <s v=""/>
    <x v="0"/>
  </r>
  <r>
    <n v="1439"/>
    <s v="Schuyler"/>
    <s v="Fidelis Care (CDP)"/>
    <s v="LHCSA"/>
    <s v="CDPAP"/>
    <s v="T1019:U6"/>
    <s v="T1019:U6"/>
    <x v="1"/>
    <s v="CDPAP"/>
    <s v="MC Medicaid CDPAP"/>
    <m/>
    <n v="3"/>
    <n v="335"/>
    <n v="1640.5"/>
    <n v="3"/>
    <n v="335"/>
    <n v="1640.5"/>
    <s v=""/>
    <x v="0"/>
  </r>
  <r>
    <n v="1441"/>
    <s v="Schuyler"/>
    <s v="Nascentia Health Options CDPAP"/>
    <s v="MLTC"/>
    <s v="CDPAP"/>
    <s v="PA Hourly"/>
    <s v="T1019:U6"/>
    <x v="1"/>
    <s v="CDPAP"/>
    <s v="MC Medicaid CDPAP"/>
    <m/>
    <n v="3"/>
    <n v="147"/>
    <n v="786.25"/>
    <n v="3"/>
    <n v="147"/>
    <n v="786.25"/>
    <s v=""/>
    <x v="0"/>
  </r>
  <r>
    <n v="1443"/>
    <s v="Seneca"/>
    <s v="Fidelis Care (CDP)"/>
    <s v="LHCSA"/>
    <s v="CDPAP"/>
    <s v="T1019:U6"/>
    <s v="T1019:U6"/>
    <x v="1"/>
    <s v="CDPAP"/>
    <s v="MC Medicaid CDPAP"/>
    <m/>
    <n v="1"/>
    <n v="84"/>
    <n v="349.5"/>
    <n v="1"/>
    <n v="84"/>
    <n v="349.5"/>
    <s v=""/>
    <x v="0"/>
  </r>
  <r>
    <n v="1445"/>
    <s v="Seneca"/>
    <s v="Nascentia Health Options CDPAP"/>
    <s v="MLTC"/>
    <s v="CDPAP"/>
    <s v="PA Hourly"/>
    <s v="T1019:U6"/>
    <x v="1"/>
    <s v="CDPAP"/>
    <s v="MC Medicaid CDPAP"/>
    <m/>
    <n v="2"/>
    <n v="273"/>
    <n v="1631.5"/>
    <n v="2"/>
    <n v="273"/>
    <n v="1631.5"/>
    <s v=""/>
    <x v="0"/>
  </r>
  <r>
    <n v="1447"/>
    <s v="Steuben"/>
    <s v="Fidelis Care (CDP)"/>
    <s v="LHCSA"/>
    <s v="CDPAP"/>
    <s v="T1019:U6"/>
    <s v="T1019:U6"/>
    <x v="1"/>
    <s v="CDPAP"/>
    <s v="MC Medicaid CDPAP"/>
    <m/>
    <n v="10"/>
    <n v="1280"/>
    <n v="5225.5"/>
    <n v="10"/>
    <n v="1280"/>
    <n v="5225.5"/>
    <s v=""/>
    <x v="0"/>
  </r>
  <r>
    <n v="1449"/>
    <s v="Steuben"/>
    <s v="Nascentia Health Options CDPAP"/>
    <s v="MLTC"/>
    <s v="CDPAP"/>
    <s v="PA Hourly"/>
    <s v="T1019:U6"/>
    <x v="1"/>
    <s v="CDPAP"/>
    <s v="MC Medicaid CDPAP"/>
    <m/>
    <n v="8"/>
    <n v="1242"/>
    <n v="5560.25"/>
    <n v="8"/>
    <n v="1242"/>
    <n v="5560.25"/>
    <s v=""/>
    <x v="0"/>
  </r>
  <r>
    <n v="1450"/>
    <s v="Suffolk"/>
    <s v="Americare"/>
    <s v="CHHA"/>
    <s v="CHHA"/>
    <s v="HHAPEDSV"/>
    <s v="S9122"/>
    <x v="0"/>
    <s v="HHA"/>
    <s v="Other"/>
    <s v="CHHA"/>
    <n v="2"/>
    <n v="50"/>
    <n v="327.5"/>
    <n v="1"/>
    <n v="45"/>
    <n v="312.5"/>
    <s v=""/>
    <x v="0"/>
  </r>
  <r>
    <n v="1452"/>
    <s v="Suffolk"/>
    <s v="Amerigroup (Empire) CDPAP"/>
    <s v="MLTC"/>
    <s v="CDPAP"/>
    <s v="PA HOURLY"/>
    <s v="T1019:U6"/>
    <x v="1"/>
    <s v="CDPAP"/>
    <s v="MC Medicaid CDPAP"/>
    <m/>
    <n v="1"/>
    <n v="87"/>
    <n v="261"/>
    <n v="1"/>
    <n v="87"/>
    <n v="261"/>
    <s v=""/>
    <x v="0"/>
  </r>
  <r>
    <n v="1458"/>
    <s v="Suffolk"/>
    <s v="Centers Plan For Healthy Living CDPAP "/>
    <s v="MLTC"/>
    <s v="CDPAP"/>
    <s v="PA Hourly - 5 Boroughs"/>
    <s v="T1019:U6"/>
    <x v="1"/>
    <s v="CDPAP"/>
    <s v="MC Medicaid CDPAP"/>
    <m/>
    <n v="4"/>
    <n v="691"/>
    <n v="2719"/>
    <n v="4"/>
    <n v="691"/>
    <n v="2719"/>
    <s v=""/>
    <x v="0"/>
  </r>
  <r>
    <n v="1459"/>
    <s v="Suffolk"/>
    <s v="Centers Plan For Healthy Living CDPAP "/>
    <s v="MLTC"/>
    <s v="CDPAP"/>
    <s v="PA Hourly - Nassau/Suffolk/Westchester:"/>
    <s v="T1019:U6"/>
    <x v="1"/>
    <s v="CDPAP"/>
    <s v="MC Medicaid CDPAP"/>
    <m/>
    <n v="53"/>
    <n v="10780"/>
    <n v="43678.25"/>
    <n v="53"/>
    <n v="10780"/>
    <n v="43678.25"/>
    <s v=""/>
    <x v="0"/>
  </r>
  <r>
    <n v="1460"/>
    <s v="Suffolk"/>
    <s v="Centers Plan For Healthy Living CDPAP "/>
    <s v="MLTC"/>
    <s v="CDPAP"/>
    <s v="PA Live-In -  Nassau/Suffolk/Westchester:"/>
    <s v="T1020:U6"/>
    <x v="9"/>
    <s v="CDPAP"/>
    <s v="MC Medicaid CDPAP"/>
    <m/>
    <n v="1"/>
    <n v="358"/>
    <n v="4654"/>
    <n v="1"/>
    <n v="358"/>
    <n v="4654"/>
    <s v=""/>
    <x v="0"/>
  </r>
  <r>
    <n v="1463"/>
    <s v="Suffolk"/>
    <s v="ElderServe/Riverspring (CDPAP)"/>
    <s v="MLTC"/>
    <s v="CDPAP"/>
    <s v="PA Hourly - Long Island &amp; Westchester"/>
    <s v="T1019:U6:U4"/>
    <x v="12"/>
    <s v="CDPAP"/>
    <s v="MC Medicaid CDPAP"/>
    <m/>
    <n v="1"/>
    <n v="262"/>
    <n v="1990.5"/>
    <n v="1"/>
    <n v="262"/>
    <n v="1990.5"/>
    <s v=""/>
    <x v="0"/>
  </r>
  <r>
    <n v="1466"/>
    <s v="Suffolk"/>
    <s v="Empire Blue Cross Blue Shield (CDPAP)"/>
    <s v="Other"/>
    <s v="CDPAP"/>
    <s v="PA Hourly (New)"/>
    <s v="T1019:U6"/>
    <x v="1"/>
    <s v="CDPAP"/>
    <s v="MC Medicaid CDPAP"/>
    <m/>
    <n v="3"/>
    <n v="771"/>
    <n v="4021.75"/>
    <n v="3"/>
    <n v="771"/>
    <n v="4021.75"/>
    <s v=""/>
    <x v="0"/>
  </r>
  <r>
    <n v="1467"/>
    <s v="Suffolk"/>
    <s v="Empire Blue Cross Blue Shield (CDPAP)"/>
    <s v="Other"/>
    <s v="CDPAP"/>
    <s v="PA Hourly - Long Island &amp; Westchester"/>
    <s v="T1019:U6"/>
    <x v="1"/>
    <s v="CDPAP"/>
    <s v="MC Medicaid CDPAP"/>
    <m/>
    <n v="10"/>
    <n v="2111"/>
    <n v="11207"/>
    <n v="10"/>
    <n v="2111"/>
    <n v="11207"/>
    <s v=""/>
    <x v="0"/>
  </r>
  <r>
    <n v="1468"/>
    <s v="Suffolk"/>
    <s v="Empire Blue Cross Blue Shield (PCA)"/>
    <s v="Other"/>
    <s v="MLTC"/>
    <s v="PCA Hourly NYC"/>
    <s v="T1019:U1"/>
    <x v="2"/>
    <s v="HHA"/>
    <s v="MC Medicaid HHA"/>
    <m/>
    <n v="1"/>
    <n v="26"/>
    <n v="76.75"/>
    <n v="1"/>
    <n v="26"/>
    <n v="76.75"/>
    <s v=""/>
    <x v="0"/>
  </r>
  <r>
    <n v="1469"/>
    <s v="Suffolk"/>
    <s v="Empire Blue Cross Blue Shield (PCA)"/>
    <s v="Other"/>
    <s v="MLTC"/>
    <s v="RN Initial (NB)"/>
    <m/>
    <x v="3"/>
    <s v="HHA"/>
    <s v="MC Medicaid HHA"/>
    <m/>
    <n v="1"/>
    <n v="1"/>
    <n v="1"/>
    <n v="0"/>
    <n v="0"/>
    <n v="0"/>
    <s v="Nursing override"/>
    <x v="0"/>
  </r>
  <r>
    <n v="1470"/>
    <s v="Suffolk"/>
    <s v="Extended Home Care"/>
    <s v="CHHA"/>
    <s v="CHHA"/>
    <s v="Rate1"/>
    <m/>
    <x v="0"/>
    <s v="HHA"/>
    <s v="Other"/>
    <s v="CHHA"/>
    <n v="1"/>
    <n v="131"/>
    <n v="514.25"/>
    <n v="1"/>
    <n v="131"/>
    <n v="514.25"/>
    <s v=""/>
    <x v="0"/>
  </r>
  <r>
    <n v="1473"/>
    <s v="Suffolk"/>
    <s v="Fidelis Care (CDP)"/>
    <s v="LHCSA"/>
    <s v="CDPAP"/>
    <s v="T1019:U6"/>
    <s v="T1019:U6"/>
    <x v="1"/>
    <s v="CDPAP"/>
    <s v="MC Medicaid CDPAP"/>
    <m/>
    <n v="40"/>
    <n v="5204"/>
    <n v="26658.5"/>
    <n v="40"/>
    <n v="5204"/>
    <n v="26658.5"/>
    <s v=""/>
    <x v="0"/>
  </r>
  <r>
    <n v="1474"/>
    <s v="Suffolk"/>
    <s v="Fidelis Care (CDP)"/>
    <s v="LHCSA"/>
    <s v="CDPAP"/>
    <s v="T1019:U7"/>
    <s v="T1019:U7"/>
    <x v="10"/>
    <s v="CDPAP"/>
    <s v="MC Medicaid CDPAP"/>
    <m/>
    <n v="2"/>
    <n v="68"/>
    <n v="629"/>
    <n v="2"/>
    <n v="68"/>
    <n v="629"/>
    <s v=""/>
    <x v="0"/>
  </r>
  <r>
    <n v="1476"/>
    <s v="Suffolk"/>
    <s v="Hamaspik Choice (MLTC) CDPAP"/>
    <s v="MCO"/>
    <s v="CDPAP"/>
    <s v="PA Hourly NYC , Nassau, Westchester"/>
    <s v="T1019:U6"/>
    <x v="1"/>
    <s v="CDPAP"/>
    <s v="MC Medicaid CDPAP"/>
    <m/>
    <n v="1"/>
    <n v="332"/>
    <n v="966.75"/>
    <n v="1"/>
    <n v="332"/>
    <n v="966.75"/>
    <s v=""/>
    <x v="0"/>
  </r>
  <r>
    <n v="1480"/>
    <s v="Suffolk"/>
    <s v="Healthfirst (CDP)"/>
    <s v="CHHA"/>
    <s v="CDPAP"/>
    <s v="T1019:U6"/>
    <s v="T1019:U6"/>
    <x v="1"/>
    <s v="CDPAP"/>
    <s v="MC Medicaid CDPAP"/>
    <m/>
    <n v="11"/>
    <n v="1101"/>
    <n v="5662.5"/>
    <n v="11"/>
    <n v="1101"/>
    <n v="5662.5"/>
    <s v=""/>
    <x v="0"/>
  </r>
  <r>
    <n v="1483"/>
    <s v="Suffolk"/>
    <s v="SWHNY-MLTC (CDP)"/>
    <s v="Other"/>
    <s v="CDPAP"/>
    <s v="T1019:U6"/>
    <s v="T1019:U6"/>
    <x v="1"/>
    <s v="CDPAP"/>
    <s v="MC Medicaid CDPAP"/>
    <m/>
    <n v="3"/>
    <n v="657"/>
    <n v="3931.5"/>
    <n v="3"/>
    <n v="657"/>
    <n v="3931.5"/>
    <s v=""/>
    <x v="0"/>
  </r>
  <r>
    <n v="1489"/>
    <s v="Suffolk"/>
    <s v="VNS Health Health Plans (CDP)"/>
    <s v="MLTC"/>
    <s v="CDPAP"/>
    <s v="T1019U6 SUF"/>
    <s v="T1019:U6"/>
    <x v="1"/>
    <s v="CDPAP"/>
    <s v="MC Medicaid CDPAP"/>
    <m/>
    <n v="69"/>
    <n v="13385"/>
    <n v="69494.75"/>
    <n v="65"/>
    <n v="13089"/>
    <n v="67666.25"/>
    <s v=""/>
    <x v="0"/>
  </r>
  <r>
    <n v="1490"/>
    <s v="Suffolk"/>
    <s v="VNS Health Health Plans (CDP)"/>
    <s v="MLTC"/>
    <s v="CDPAP"/>
    <s v="T1019U7 SUF"/>
    <s v="T1019:U7"/>
    <x v="10"/>
    <s v="CDPAP"/>
    <s v="MC Medicaid CDPAP"/>
    <m/>
    <n v="6"/>
    <n v="1140"/>
    <n v="8534.5"/>
    <n v="6"/>
    <n v="1140"/>
    <n v="8534.5"/>
    <s v=""/>
    <x v="0"/>
  </r>
  <r>
    <n v="1491"/>
    <s v="Suffolk"/>
    <s v="VNS Health Health Plans (CDP)"/>
    <s v="MLTC"/>
    <s v="CDPAP"/>
    <s v="T1020U6 SUF"/>
    <s v="T1020:U6"/>
    <x v="9"/>
    <s v="CDPAP"/>
    <s v="MC Medicaid CDPAP"/>
    <m/>
    <n v="1"/>
    <n v="75"/>
    <n v="975"/>
    <n v="1"/>
    <n v="75"/>
    <n v="975"/>
    <s v=""/>
    <x v="0"/>
  </r>
  <r>
    <n v="1493"/>
    <s v="Sullivan"/>
    <s v="Elderplan MJHS (CDP)"/>
    <s v="MLTC"/>
    <s v="CDPAP"/>
    <s v="T1019:U6"/>
    <s v="T1019:U6"/>
    <x v="1"/>
    <s v="CDPAP"/>
    <s v="MC Medicaid CDPAP"/>
    <m/>
    <n v="2"/>
    <n v="375"/>
    <n v="2131.25"/>
    <n v="2"/>
    <n v="375"/>
    <n v="2131.25"/>
    <s v=""/>
    <x v="0"/>
  </r>
  <r>
    <n v="1495"/>
    <s v="Sullivan"/>
    <s v="Fidelis Care (CDP)"/>
    <s v="LHCSA"/>
    <s v="CDPAP"/>
    <s v="T1019:U6"/>
    <s v="T1019:U6"/>
    <x v="1"/>
    <s v="CDPAP"/>
    <s v="MC Medicaid CDPAP"/>
    <m/>
    <n v="5"/>
    <n v="389"/>
    <n v="1851"/>
    <n v="5"/>
    <n v="389"/>
    <n v="1851"/>
    <s v=""/>
    <x v="0"/>
  </r>
  <r>
    <n v="1497"/>
    <s v="Sullivan"/>
    <s v="VNS Health Health Plans (CDP)"/>
    <s v="MLTC"/>
    <s v="CDPAP"/>
    <s v="T1019U6 SUL"/>
    <s v="T1019:U6"/>
    <x v="1"/>
    <s v="CDPAP"/>
    <s v="MC Medicaid CDPAP"/>
    <m/>
    <n v="6"/>
    <n v="1352"/>
    <n v="6097.75"/>
    <n v="6"/>
    <n v="1352"/>
    <n v="6097.75"/>
    <s v=""/>
    <x v="0"/>
  </r>
  <r>
    <n v="1499"/>
    <s v="Tioga"/>
    <s v="Fidelis Care (CDP)"/>
    <s v="LHCSA"/>
    <s v="CDPAP"/>
    <s v="T1019:U6"/>
    <s v="T1019:U6"/>
    <x v="1"/>
    <s v="CDPAP"/>
    <s v="MC Medicaid CDPAP"/>
    <m/>
    <n v="7"/>
    <n v="713"/>
    <n v="2323"/>
    <n v="7"/>
    <n v="713"/>
    <n v="2323"/>
    <s v=""/>
    <x v="0"/>
  </r>
  <r>
    <n v="1501"/>
    <s v="Tioga"/>
    <s v="Nascentia Health Options CDPAP"/>
    <s v="MLTC"/>
    <s v="CDPAP"/>
    <s v="PA Hourly"/>
    <s v="T1019:U6"/>
    <x v="1"/>
    <s v="CDPAP"/>
    <s v="MC Medicaid CDPAP"/>
    <m/>
    <n v="6"/>
    <n v="769"/>
    <n v="3538.5"/>
    <n v="5"/>
    <n v="729"/>
    <n v="3258.5"/>
    <s v=""/>
    <x v="0"/>
  </r>
  <r>
    <n v="1503"/>
    <s v="Tompkins"/>
    <s v="Fidelis Care (CDP)"/>
    <s v="LHCSA"/>
    <s v="CDPAP"/>
    <s v="T1019:U6"/>
    <s v="T1019:U6"/>
    <x v="1"/>
    <s v="CDPAP"/>
    <s v="MC Medicaid CDPAP"/>
    <m/>
    <n v="3"/>
    <n v="361"/>
    <n v="1335.5"/>
    <n v="3"/>
    <n v="361"/>
    <n v="1335.5"/>
    <s v=""/>
    <x v="0"/>
  </r>
  <r>
    <n v="1505"/>
    <s v="Tompkins"/>
    <s v="Nascentia Health Options CDPAP"/>
    <s v="MLTC"/>
    <s v="CDPAP"/>
    <s v="PA Hourly"/>
    <s v="T1019:U6"/>
    <x v="1"/>
    <s v="CDPAP"/>
    <s v="MC Medicaid CDPAP"/>
    <m/>
    <n v="7"/>
    <n v="583"/>
    <n v="2697"/>
    <n v="7"/>
    <n v="583"/>
    <n v="2697"/>
    <s v=""/>
    <x v="0"/>
  </r>
  <r>
    <n v="1507"/>
    <s v="Ulster"/>
    <s v="Elderplan MJHS (CDP)"/>
    <s v="MLTC"/>
    <s v="CDPAP"/>
    <s v="T1019:U6"/>
    <s v="T1019:U6"/>
    <x v="1"/>
    <s v="CDPAP"/>
    <s v="MC Medicaid CDPAP"/>
    <m/>
    <n v="2"/>
    <n v="312"/>
    <n v="1611.5"/>
    <n v="2"/>
    <n v="312"/>
    <n v="1611.5"/>
    <s v=""/>
    <x v="0"/>
  </r>
  <r>
    <n v="1512"/>
    <s v="Ulster"/>
    <s v="Fidelis Care (CDP)"/>
    <s v="LHCSA"/>
    <s v="CDPAP"/>
    <s v="T1019:U6"/>
    <s v="T1019:U6"/>
    <x v="1"/>
    <s v="CDPAP"/>
    <s v="MC Medicaid CDPAP"/>
    <m/>
    <n v="11"/>
    <n v="1916"/>
    <n v="13764"/>
    <n v="11"/>
    <n v="1916"/>
    <n v="13764"/>
    <s v=""/>
    <x v="0"/>
  </r>
  <r>
    <n v="1515"/>
    <s v="Ulster"/>
    <s v="Hamaspik Choice (MLTC) CDPAP"/>
    <s v="MCO"/>
    <s v="CDPAP"/>
    <s v="PA Hourly NYC , Nassau, Westchester"/>
    <s v="T1019:U6"/>
    <x v="1"/>
    <s v="CDPAP"/>
    <s v="MC Medicaid CDPAP"/>
    <m/>
    <n v="2"/>
    <n v="339"/>
    <n v="1061.25"/>
    <n v="2"/>
    <n v="339"/>
    <n v="1061.25"/>
    <s v=""/>
    <x v="0"/>
  </r>
  <r>
    <n v="1516"/>
    <s v="Ulster"/>
    <s v="Hamaspik Choice (MLTC) CDPAP"/>
    <s v="MCO"/>
    <s v="CDPAP"/>
    <s v="PA Hourly Upstate"/>
    <s v="T1019:U6"/>
    <x v="1"/>
    <s v="CDPAP"/>
    <s v="MC Medicaid CDPAP"/>
    <m/>
    <n v="2"/>
    <n v="407"/>
    <n v="1520.25"/>
    <n v="2"/>
    <n v="407"/>
    <n v="1520.25"/>
    <s v=""/>
    <x v="0"/>
  </r>
  <r>
    <n v="1520"/>
    <s v="Ulster"/>
    <s v="Hamaspik MAP CDPAP"/>
    <s v="MCO"/>
    <s v="CDPAP"/>
    <s v="PA Hourly Upstate"/>
    <s v="T1019:U6"/>
    <x v="1"/>
    <s v="CDPAP"/>
    <s v="MC Medicaid CDPAP"/>
    <m/>
    <n v="1"/>
    <n v="313"/>
    <n v="1564.5"/>
    <n v="1"/>
    <n v="313"/>
    <n v="1564.5"/>
    <s v=""/>
    <x v="0"/>
  </r>
  <r>
    <n v="1524"/>
    <s v="Ulster"/>
    <s v="VNS Health Health Plans (CDP)"/>
    <s v="MLTC"/>
    <s v="CDPAP"/>
    <s v="T1019U6 ULS"/>
    <s v="T1019:U6"/>
    <x v="1"/>
    <s v="CDPAP"/>
    <s v="MC Medicaid CDPAP"/>
    <m/>
    <n v="13"/>
    <n v="3089"/>
    <n v="14408"/>
    <n v="12"/>
    <n v="2948"/>
    <n v="13602"/>
    <s v=""/>
    <x v="0"/>
  </r>
  <r>
    <n v="1525"/>
    <s v="Ulster"/>
    <s v="VNS Health Health Plans (CDP)"/>
    <s v="MLTC"/>
    <s v="CDPAP"/>
    <s v="T1019U6 ULS MAP"/>
    <s v="T1019:U6"/>
    <x v="1"/>
    <s v="CDPAP"/>
    <s v="MC Medicaid CDPAP"/>
    <m/>
    <n v="1"/>
    <n v="14"/>
    <n v="56"/>
    <n v="1"/>
    <n v="14"/>
    <n v="56"/>
    <s v=""/>
    <x v="0"/>
  </r>
  <r>
    <n v="1527"/>
    <s v="Warren"/>
    <s v="Fidelis Care (CDP)"/>
    <s v="LHCSA"/>
    <s v="CDPAP"/>
    <s v="T1019:U6"/>
    <s v="T1019:U6"/>
    <x v="1"/>
    <s v="CDPAP"/>
    <s v="MC Medicaid CDPAP"/>
    <m/>
    <n v="6"/>
    <n v="636"/>
    <n v="3315"/>
    <n v="6"/>
    <n v="636"/>
    <n v="3315"/>
    <s v=""/>
    <x v="0"/>
  </r>
  <r>
    <n v="1529"/>
    <s v="Warren"/>
    <s v="Nascentia Health Options CDPAP"/>
    <s v="MLTC"/>
    <s v="CDPAP"/>
    <s v="PA Hourly"/>
    <s v="T1019:U6"/>
    <x v="1"/>
    <s v="CDPAP"/>
    <s v="MC Medicaid CDPAP"/>
    <m/>
    <n v="2"/>
    <n v="61"/>
    <n v="251.25"/>
    <n v="2"/>
    <n v="61"/>
    <n v="251.25"/>
    <s v=""/>
    <x v="0"/>
  </r>
  <r>
    <n v="1531"/>
    <s v="Warren"/>
    <s v="VNS Health Health Plans (CDP)"/>
    <s v="MLTC"/>
    <s v="CDPAP"/>
    <s v="T1019U6 SAR"/>
    <s v="T1019:U6"/>
    <x v="1"/>
    <s v="CDPAP"/>
    <s v="MC Medicaid CDPAP"/>
    <m/>
    <n v="1"/>
    <n v="215"/>
    <n v="1408"/>
    <n v="1"/>
    <n v="215"/>
    <n v="1408"/>
    <s v=""/>
    <x v="0"/>
  </r>
  <r>
    <n v="1532"/>
    <s v="Warren"/>
    <s v="VNS Health Health Plans (CDP)"/>
    <s v="MLTC"/>
    <s v="CDPAP"/>
    <s v="T1019U6 WAR"/>
    <s v="T1019:U6"/>
    <x v="1"/>
    <s v="CDPAP"/>
    <s v="MC Medicaid CDPAP"/>
    <m/>
    <n v="2"/>
    <n v="177"/>
    <n v="583"/>
    <n v="2"/>
    <n v="177"/>
    <n v="583"/>
    <s v=""/>
    <x v="0"/>
  </r>
  <r>
    <n v="1534"/>
    <s v="Washington"/>
    <s v="Fidelis Care (CDP)"/>
    <s v="LHCSA"/>
    <s v="CDPAP"/>
    <s v="T1019:U6"/>
    <s v="T1019:U6"/>
    <x v="1"/>
    <s v="CDPAP"/>
    <s v="MC Medicaid CDPAP"/>
    <m/>
    <n v="5"/>
    <n v="553"/>
    <n v="2346.5"/>
    <n v="5"/>
    <n v="553"/>
    <n v="2346.5"/>
    <s v=""/>
    <x v="0"/>
  </r>
  <r>
    <n v="1536"/>
    <s v="Washington"/>
    <s v="Nascentia Health Options CDPAP"/>
    <s v="MLTC"/>
    <s v="CDPAP"/>
    <s v="PA Hourly"/>
    <s v="T1019:U6"/>
    <x v="1"/>
    <s v="CDPAP"/>
    <s v="MC Medicaid CDPAP"/>
    <m/>
    <n v="1"/>
    <n v="250"/>
    <n v="1551.5"/>
    <n v="1"/>
    <n v="250"/>
    <n v="1551.5"/>
    <s v=""/>
    <x v="0"/>
  </r>
  <r>
    <n v="1539"/>
    <s v="Washington"/>
    <s v="VNS Health Health Plans (CDP)"/>
    <s v="MLTC"/>
    <s v="CDPAP"/>
    <s v="T1019U6 WAS"/>
    <s v="T1019:U6"/>
    <x v="1"/>
    <s v="CDPAP"/>
    <s v="MC Medicaid CDPAP"/>
    <m/>
    <n v="7"/>
    <n v="1139"/>
    <n v="4870.75"/>
    <n v="7"/>
    <n v="1139"/>
    <n v="4870.75"/>
    <s v=""/>
    <x v="0"/>
  </r>
  <r>
    <n v="1541"/>
    <s v="Wayne"/>
    <s v="Fidelis Care (CDP)"/>
    <s v="LHCSA"/>
    <s v="CDPAP"/>
    <s v="T1019:U6"/>
    <s v="T1019:U6"/>
    <x v="1"/>
    <s v="CDPAP"/>
    <s v="MC Medicaid CDPAP"/>
    <m/>
    <n v="4"/>
    <n v="439"/>
    <n v="1778.25"/>
    <n v="4"/>
    <n v="439"/>
    <n v="1778.25"/>
    <s v=""/>
    <x v="0"/>
  </r>
  <r>
    <n v="1543"/>
    <s v="Wayne"/>
    <s v="Nascentia Health Options CDPAP"/>
    <s v="MLTC"/>
    <s v="CDPAP"/>
    <s v="PA Hourly"/>
    <s v="T1019:U6"/>
    <x v="1"/>
    <s v="CDPAP"/>
    <s v="MC Medicaid CDPAP"/>
    <m/>
    <n v="2"/>
    <n v="284"/>
    <n v="1623"/>
    <n v="2"/>
    <n v="284"/>
    <n v="1623"/>
    <s v=""/>
    <x v="0"/>
  </r>
  <r>
    <n v="1544"/>
    <s v="Westchester"/>
    <s v="Americare"/>
    <s v="CHHA"/>
    <s v="CHHA"/>
    <s v="HHA1"/>
    <s v="S9122"/>
    <x v="0"/>
    <s v="HHA"/>
    <s v="Other"/>
    <s v="CHHA"/>
    <n v="8"/>
    <n v="97"/>
    <n v="378.5"/>
    <n v="7"/>
    <n v="80"/>
    <n v="311.75"/>
    <s v=""/>
    <x v="0"/>
  </r>
  <r>
    <n v="1545"/>
    <s v="Westchester"/>
    <s v="Americare"/>
    <s v="CHHA"/>
    <s v="CHHA"/>
    <s v="HHAPEDSV"/>
    <s v="S9122"/>
    <x v="0"/>
    <s v="HHA"/>
    <s v="Other"/>
    <s v="CHHA"/>
    <n v="47"/>
    <n v="5870"/>
    <n v="33030.75"/>
    <n v="46"/>
    <n v="5857"/>
    <n v="32956.75"/>
    <s v=""/>
    <x v="0"/>
  </r>
  <r>
    <n v="1546"/>
    <s v="Westchester"/>
    <s v="Amerigroup (Empire) CDPAP"/>
    <s v="MLTC"/>
    <s v="CDPAP"/>
    <s v="PA HOURLY"/>
    <s v="T1019:U6"/>
    <x v="1"/>
    <s v="CDPAP"/>
    <s v="MC Medicaid CDPAP"/>
    <m/>
    <n v="1"/>
    <n v="192"/>
    <n v="725.25"/>
    <n v="1"/>
    <n v="192"/>
    <n v="725.25"/>
    <s v=""/>
    <x v="0"/>
  </r>
  <r>
    <n v="1547"/>
    <s v="Westchester"/>
    <s v="Amerigroup (Empire) PCA"/>
    <s v="MCO"/>
    <s v="Medicaid"/>
    <s v="PCA HOURLY"/>
    <s v="T1019:U1"/>
    <x v="2"/>
    <s v="HHA"/>
    <s v="MC Medicaid HHA"/>
    <m/>
    <n v="1"/>
    <n v="12"/>
    <n v="59.5"/>
    <n v="0"/>
    <n v="0"/>
    <m/>
    <s v=""/>
    <x v="0"/>
  </r>
  <r>
    <n v="1548"/>
    <s v="Westchester"/>
    <s v="Archcare Community Life PCA"/>
    <s v="MCO"/>
    <s v="MLTC"/>
    <s v="PCA Hourly"/>
    <s v="T1019:U1"/>
    <x v="2"/>
    <s v="HHA"/>
    <s v="MC Medicaid HHA"/>
    <m/>
    <n v="2"/>
    <n v="63"/>
    <n v="412"/>
    <n v="2"/>
    <n v="63"/>
    <n v="412"/>
    <s v=""/>
    <x v="0"/>
  </r>
  <r>
    <n v="1549"/>
    <s v="Westchester"/>
    <s v="Archcare Community Life PCA"/>
    <s v="MCO"/>
    <s v="MLTC"/>
    <s v="RN Initial (NB)"/>
    <m/>
    <x v="3"/>
    <s v="HHA"/>
    <s v="MC Medicaid HHA"/>
    <m/>
    <n v="2"/>
    <n v="2"/>
    <n v="2"/>
    <n v="2"/>
    <n v="2"/>
    <n v="2"/>
    <s v="Nursing override"/>
    <x v="0"/>
  </r>
  <r>
    <n v="1550"/>
    <s v="Westchester"/>
    <s v="Centers Plan For Health Living PCA"/>
    <s v="MLTC"/>
    <s v="MLTC"/>
    <s v="PCA Hourly"/>
    <s v="T1019:U1"/>
    <x v="2"/>
    <s v="HHA"/>
    <s v="MC Medicaid HHA"/>
    <m/>
    <n v="6"/>
    <n v="969"/>
    <n v="4002"/>
    <n v="6"/>
    <n v="969"/>
    <n v="4002"/>
    <s v=""/>
    <x v="0"/>
  </r>
  <r>
    <n v="1551"/>
    <s v="Westchester"/>
    <s v="Centers Plan For Health Living PCA"/>
    <s v="MLTC"/>
    <s v="MLTC"/>
    <s v="PCA Hourly LI &amp; Westchester"/>
    <s v="T1019:U1"/>
    <x v="2"/>
    <s v="HHA"/>
    <s v="MC Medicaid HHA"/>
    <m/>
    <n v="2"/>
    <n v="101"/>
    <n v="215.75"/>
    <n v="2"/>
    <n v="101"/>
    <n v="215.75"/>
    <s v=""/>
    <x v="0"/>
  </r>
  <r>
    <n v="1552"/>
    <s v="Westchester"/>
    <s v="Centers Plan For Health Living PCA"/>
    <s v="MLTC"/>
    <s v="MLTC"/>
    <s v="RN Initial (NB)"/>
    <m/>
    <x v="3"/>
    <s v="HHA"/>
    <s v="MC Medicaid HHA"/>
    <m/>
    <n v="7"/>
    <n v="7"/>
    <n v="7"/>
    <n v="7"/>
    <n v="7"/>
    <n v="7"/>
    <s v="Nursing override"/>
    <x v="0"/>
  </r>
  <r>
    <n v="1553"/>
    <s v="Westchester"/>
    <s v="Centers Plan For Health Living PCA"/>
    <s v="MLTC"/>
    <s v="MLTC"/>
    <s v="RN Reassessment (NB)"/>
    <m/>
    <x v="3"/>
    <s v="HHA"/>
    <s v="MC Medicaid HHA"/>
    <m/>
    <n v="6"/>
    <n v="8"/>
    <n v="8"/>
    <n v="6"/>
    <n v="8"/>
    <n v="8"/>
    <s v="Nursing override"/>
    <x v="0"/>
  </r>
  <r>
    <n v="1555"/>
    <s v="Westchester"/>
    <s v="Centers Plan For Healthy Living CDPAP "/>
    <s v="MLTC"/>
    <s v="CDPAP"/>
    <s v="PA Hourly - 5 Boroughs"/>
    <s v="T1019:U6"/>
    <x v="1"/>
    <s v="CDPAP"/>
    <s v="MC Medicaid CDPAP"/>
    <m/>
    <n v="2"/>
    <n v="335"/>
    <n v="1233.25"/>
    <n v="2"/>
    <n v="335"/>
    <n v="1233.25"/>
    <s v=""/>
    <x v="0"/>
  </r>
  <r>
    <n v="1556"/>
    <s v="Westchester"/>
    <s v="Centers Plan For Healthy Living CDPAP "/>
    <s v="MLTC"/>
    <s v="CDPAP"/>
    <s v="PA Hourly - Nassau/Suffolk/Westchester:"/>
    <s v="T1019:U6"/>
    <x v="1"/>
    <s v="CDPAP"/>
    <s v="MC Medicaid CDPAP"/>
    <m/>
    <n v="13"/>
    <n v="2338"/>
    <n v="9569"/>
    <n v="12"/>
    <n v="2303"/>
    <n v="9394.25"/>
    <s v=""/>
    <x v="0"/>
  </r>
  <r>
    <n v="1557"/>
    <s v="Westchester"/>
    <s v="Elderplan MJHS (ANT)"/>
    <s v="MLTC"/>
    <s v="MLTC"/>
    <s v="RN Initial (NB)"/>
    <m/>
    <x v="3"/>
    <s v="HHA"/>
    <s v="MC Medicaid HHA"/>
    <m/>
    <n v="12"/>
    <n v="13"/>
    <n v="13"/>
    <n v="11"/>
    <n v="12"/>
    <n v="12"/>
    <s v="Nursing override"/>
    <x v="0"/>
  </r>
  <r>
    <n v="1558"/>
    <s v="Westchester"/>
    <s v="Elderplan MJHS (ANT)"/>
    <s v="MLTC"/>
    <s v="MLTC"/>
    <s v="RN Reassessment (NB)"/>
    <m/>
    <x v="3"/>
    <s v="HHA"/>
    <s v="MC Medicaid HHA"/>
    <m/>
    <n v="3"/>
    <n v="4"/>
    <n v="4"/>
    <n v="3"/>
    <n v="4"/>
    <n v="4"/>
    <s v="Nursing override"/>
    <x v="0"/>
  </r>
  <r>
    <n v="1559"/>
    <s v="Westchester"/>
    <s v="Elderplan MJHS (ANT)"/>
    <s v="MLTC"/>
    <s v="MLTC"/>
    <s v="T1019:U1"/>
    <s v="T1019:U1"/>
    <x v="2"/>
    <s v="HHA"/>
    <s v="MC Medicaid HHA"/>
    <m/>
    <n v="13"/>
    <n v="1220"/>
    <n v="5728"/>
    <n v="12"/>
    <n v="1193"/>
    <n v="5620"/>
    <s v=""/>
    <x v="0"/>
  </r>
  <r>
    <n v="1561"/>
    <s v="Westchester"/>
    <s v="Elderplan MJHS (CDP)"/>
    <s v="MLTC"/>
    <s v="CDPAP"/>
    <s v="T1019:U6"/>
    <s v="T1019:U6"/>
    <x v="1"/>
    <s v="CDPAP"/>
    <s v="MC Medicaid CDPAP"/>
    <m/>
    <n v="9"/>
    <n v="1269"/>
    <n v="6298.75"/>
    <n v="6"/>
    <n v="1101"/>
    <n v="5125.5"/>
    <s v=""/>
    <x v="0"/>
  </r>
  <r>
    <n v="1564"/>
    <s v="Westchester"/>
    <s v="ElderServe/Riverspring (CDPAP)"/>
    <s v="MLTC"/>
    <s v="CDPAP"/>
    <s v="PA Hourly"/>
    <s v="T1019:U6"/>
    <x v="1"/>
    <s v="CDPAP"/>
    <s v="MC Medicaid CDPAP"/>
    <m/>
    <n v="1"/>
    <n v="3"/>
    <n v="21"/>
    <n v="1"/>
    <n v="3"/>
    <n v="21"/>
    <s v=""/>
    <x v="0"/>
  </r>
  <r>
    <n v="1565"/>
    <s v="Westchester"/>
    <s v="ElderServe/Riverspring (CDPAP)"/>
    <s v="MLTC"/>
    <s v="CDPAP"/>
    <s v="PA Hourly - Long Island &amp; Westchester"/>
    <s v="T1019:U6:U4"/>
    <x v="12"/>
    <s v="CDPAP"/>
    <s v="MC Medicaid CDPAP"/>
    <m/>
    <n v="6"/>
    <n v="323"/>
    <n v="2828.25"/>
    <n v="5"/>
    <n v="315"/>
    <n v="2776.25"/>
    <s v=""/>
    <x v="0"/>
  </r>
  <r>
    <n v="1566"/>
    <s v="Westchester"/>
    <s v="ElderServe/Riverspring (PCA)"/>
    <s v="MLTC"/>
    <s v="MLTC"/>
    <s v="PCA Hourly - LI Westchester"/>
    <s v="T1019:U4"/>
    <x v="14"/>
    <s v="HHA"/>
    <s v="MC Medicaid HHA"/>
    <m/>
    <n v="7"/>
    <n v="275"/>
    <n v="1184.75"/>
    <n v="6"/>
    <n v="270"/>
    <n v="1171"/>
    <s v=""/>
    <x v="0"/>
  </r>
  <r>
    <n v="1567"/>
    <s v="Westchester"/>
    <s v="ElderServe/Riverspring (PCA)"/>
    <s v="MLTC"/>
    <s v="MLTC"/>
    <s v="RN Initial (NB)"/>
    <m/>
    <x v="3"/>
    <s v="HHA"/>
    <s v="MC Medicaid HHA"/>
    <m/>
    <n v="7"/>
    <n v="7"/>
    <n v="7"/>
    <n v="6"/>
    <n v="6"/>
    <n v="6"/>
    <s v="Nursing override"/>
    <x v="0"/>
  </r>
  <r>
    <n v="1568"/>
    <s v="Westchester"/>
    <s v="ElderServe/Riverspring (PCA)"/>
    <s v="MLTC"/>
    <s v="MLTC"/>
    <s v="RN Reassessment (NB)"/>
    <m/>
    <x v="3"/>
    <s v="HHA"/>
    <s v="MC Medicaid HHA"/>
    <m/>
    <n v="1"/>
    <n v="1"/>
    <n v="1"/>
    <n v="1"/>
    <n v="1"/>
    <n v="1"/>
    <s v="Nursing override"/>
    <x v="0"/>
  </r>
  <r>
    <n v="1571"/>
    <s v="Westchester"/>
    <s v="Empire Blue Cross Blue Shield (CDPAP)"/>
    <s v="Other"/>
    <s v="CDPAP"/>
    <s v="PA Hourly (New)"/>
    <s v="T1019:U6"/>
    <x v="1"/>
    <s v="CDPAP"/>
    <s v="MC Medicaid CDPAP"/>
    <m/>
    <n v="4"/>
    <n v="814"/>
    <n v="4595.75"/>
    <n v="4"/>
    <n v="814"/>
    <n v="4595.75"/>
    <s v=""/>
    <x v="0"/>
  </r>
  <r>
    <n v="1572"/>
    <s v="Westchester"/>
    <s v="Empire Blue Cross Blue Shield (CDPAP)"/>
    <s v="Other"/>
    <s v="CDPAP"/>
    <s v="PA Hourly - Long Island &amp; Westchester"/>
    <s v="T1019:U6"/>
    <x v="1"/>
    <s v="CDPAP"/>
    <s v="MC Medicaid CDPAP"/>
    <m/>
    <n v="6"/>
    <n v="642"/>
    <n v="2686.5"/>
    <n v="6"/>
    <n v="642"/>
    <n v="2686.5"/>
    <s v=""/>
    <x v="0"/>
  </r>
  <r>
    <n v="1573"/>
    <s v="Westchester"/>
    <s v="Empire Blue Cross Blue Shield (PCA)"/>
    <s v="Other"/>
    <s v="MLTC"/>
    <s v="PCA Hourly LI &amp; Westchester"/>
    <s v="T1019:U1"/>
    <x v="2"/>
    <s v="HHA"/>
    <s v="MC Medicaid HHA"/>
    <m/>
    <n v="4"/>
    <n v="246"/>
    <n v="1445.75"/>
    <n v="3"/>
    <n v="163"/>
    <n v="872.75"/>
    <s v=""/>
    <x v="0"/>
  </r>
  <r>
    <n v="1574"/>
    <s v="Westchester"/>
    <s v="Empire Blue Cross Blue Shield (PCA)"/>
    <s v="Other"/>
    <s v="MLTC"/>
    <s v="PCA Hourly NYC"/>
    <s v="T1019:U1"/>
    <x v="2"/>
    <s v="HHA"/>
    <s v="MC Medicaid HHA"/>
    <m/>
    <n v="1"/>
    <n v="129"/>
    <n v="924"/>
    <n v="1"/>
    <n v="129"/>
    <n v="924"/>
    <s v=""/>
    <x v="0"/>
  </r>
  <r>
    <n v="1575"/>
    <s v="Westchester"/>
    <s v="Empire Blue Cross Blue Shield (PCA)"/>
    <s v="Other"/>
    <s v="MLTC"/>
    <s v="PCA Live In"/>
    <s v="T1020"/>
    <x v="8"/>
    <s v="HHA"/>
    <s v="MC Medicaid HHA"/>
    <m/>
    <n v="1"/>
    <n v="346"/>
    <n v="4498"/>
    <n v="1"/>
    <n v="346"/>
    <n v="4498"/>
    <s v=""/>
    <x v="0"/>
  </r>
  <r>
    <n v="1576"/>
    <s v="Westchester"/>
    <s v="Empire Blue Cross Blue Shield (PCA)"/>
    <s v="Other"/>
    <s v="MLTC"/>
    <s v="PRN (NB)"/>
    <m/>
    <x v="3"/>
    <s v="HHA"/>
    <s v="MC Medicaid HHA"/>
    <m/>
    <n v="1"/>
    <n v="1"/>
    <n v="1"/>
    <n v="1"/>
    <n v="1"/>
    <n v="1"/>
    <s v="Nursing override"/>
    <x v="0"/>
  </r>
  <r>
    <n v="1577"/>
    <s v="Westchester"/>
    <s v="Empire Blue Cross Blue Shield (PCA)"/>
    <s v="Other"/>
    <s v="MLTC"/>
    <s v="RN Initial (NB)"/>
    <m/>
    <x v="3"/>
    <s v="HHA"/>
    <s v="MC Medicaid HHA"/>
    <m/>
    <n v="5"/>
    <n v="5"/>
    <n v="5"/>
    <n v="3"/>
    <n v="3"/>
    <n v="3"/>
    <s v="Nursing override"/>
    <x v="0"/>
  </r>
  <r>
    <n v="1578"/>
    <s v="Westchester"/>
    <s v="Empire Blue Cross Blue Shield (PCA)"/>
    <s v="Other"/>
    <s v="MLTC"/>
    <s v="RN Reassessment (NB)"/>
    <m/>
    <x v="3"/>
    <s v="HHA"/>
    <s v="MC Medicaid HHA"/>
    <m/>
    <n v="2"/>
    <n v="3"/>
    <n v="3"/>
    <n v="2"/>
    <n v="3"/>
    <n v="3"/>
    <s v="Nursing override"/>
    <x v="0"/>
  </r>
  <r>
    <n v="1579"/>
    <s v="Westchester"/>
    <s v="Fidelis Care (ANT)"/>
    <s v="LHCSA"/>
    <s v="MLTC"/>
    <s v="PRN (NB)"/>
    <m/>
    <x v="3"/>
    <s v="HHA"/>
    <s v="MC Medicaid HHA"/>
    <m/>
    <n v="2"/>
    <n v="2"/>
    <n v="2"/>
    <n v="2"/>
    <n v="2"/>
    <n v="2"/>
    <s v="Nursing override"/>
    <x v="0"/>
  </r>
  <r>
    <n v="1580"/>
    <s v="Westchester"/>
    <s v="Fidelis Care (ANT)"/>
    <s v="LHCSA"/>
    <s v="MLTC"/>
    <s v="RN Initial (NB)"/>
    <m/>
    <x v="3"/>
    <s v="HHA"/>
    <s v="MC Medicaid HHA"/>
    <m/>
    <n v="16"/>
    <n v="16"/>
    <n v="16"/>
    <n v="16"/>
    <n v="16"/>
    <n v="16"/>
    <s v="Nursing override"/>
    <x v="0"/>
  </r>
  <r>
    <n v="1581"/>
    <s v="Westchester"/>
    <s v="Fidelis Care (ANT)"/>
    <s v="LHCSA"/>
    <s v="MLTC"/>
    <s v="RN Initial Assement"/>
    <s v="T2024"/>
    <x v="3"/>
    <s v="HHA"/>
    <s v="MC Medicaid HHA"/>
    <m/>
    <n v="11"/>
    <n v="11"/>
    <n v="11"/>
    <n v="11"/>
    <n v="11"/>
    <n v="11"/>
    <s v="nursing"/>
    <x v="0"/>
  </r>
  <r>
    <n v="1582"/>
    <s v="Westchester"/>
    <s v="Fidelis Care (ANT)"/>
    <s v="LHCSA"/>
    <s v="MLTC"/>
    <s v="RN Reassessment (NB)"/>
    <m/>
    <x v="3"/>
    <s v="HHA"/>
    <s v="MC Medicaid HHA"/>
    <m/>
    <n v="10"/>
    <n v="13"/>
    <n v="13"/>
    <n v="10"/>
    <n v="13"/>
    <n v="13"/>
    <s v="Nursing override"/>
    <x v="0"/>
  </r>
  <r>
    <n v="1583"/>
    <s v="Westchester"/>
    <s v="Fidelis Care (ANT)"/>
    <s v="LHCSA"/>
    <s v="MLTC"/>
    <s v="S5130:U1"/>
    <s v="S5130:U1::::Homemaker"/>
    <x v="6"/>
    <s v="HHA"/>
    <s v="MC Medicaid HHA"/>
    <m/>
    <n v="1"/>
    <n v="4"/>
    <n v="13.25"/>
    <n v="1"/>
    <n v="4"/>
    <n v="13.25"/>
    <s v=""/>
    <x v="0"/>
  </r>
  <r>
    <n v="1584"/>
    <s v="Westchester"/>
    <s v="Fidelis Care (ANT)"/>
    <s v="LHCSA"/>
    <s v="MLTC"/>
    <s v="T1019:U1"/>
    <s v="T1019:U1"/>
    <x v="2"/>
    <s v="HHA"/>
    <s v="MC Medicaid HHA"/>
    <m/>
    <n v="34"/>
    <n v="2646"/>
    <n v="12426.75"/>
    <n v="33"/>
    <n v="2583"/>
    <n v="12043.5"/>
    <s v=""/>
    <x v="0"/>
  </r>
  <r>
    <n v="1585"/>
    <s v="Westchester"/>
    <s v="Fidelis Care (ANT)"/>
    <s v="LHCSA"/>
    <s v="MLTC"/>
    <s v="T1020"/>
    <s v="T1020"/>
    <x v="8"/>
    <s v="HHA"/>
    <s v="MC Medicaid HHA"/>
    <m/>
    <n v="1"/>
    <n v="236"/>
    <n v="3068"/>
    <n v="1"/>
    <n v="236"/>
    <n v="3068"/>
    <s v=""/>
    <x v="0"/>
  </r>
  <r>
    <n v="1588"/>
    <s v="Westchester"/>
    <s v="Fidelis Care (CDP)"/>
    <s v="LHCSA"/>
    <s v="CDPAP"/>
    <s v="T1019:U6"/>
    <s v="T1019:U6"/>
    <x v="1"/>
    <s v="CDPAP"/>
    <s v="MC Medicaid CDPAP"/>
    <m/>
    <n v="35"/>
    <n v="4609"/>
    <n v="24043"/>
    <n v="34"/>
    <n v="4539"/>
    <n v="23214"/>
    <s v=""/>
    <x v="0"/>
  </r>
  <r>
    <n v="1589"/>
    <s v="Westchester"/>
    <s v="Fidelis Care PCA (Non Live)"/>
    <s v="MLTC"/>
    <s v="MLTC"/>
    <s v="RN Initial (NB)"/>
    <s v="G0162"/>
    <x v="3"/>
    <s v="HHA"/>
    <s v="MC Medicaid HHA"/>
    <m/>
    <n v="2"/>
    <n v="2"/>
    <n v="2"/>
    <n v="2"/>
    <n v="2"/>
    <n v="2"/>
    <s v="Nursing override"/>
    <x v="0"/>
  </r>
  <r>
    <n v="1590"/>
    <s v="Westchester"/>
    <s v="Fidelis Care PCA (Non Live)"/>
    <s v="MLTC"/>
    <s v="MLTC"/>
    <s v="Rn initial assement"/>
    <s v="G0162"/>
    <x v="3"/>
    <s v="HHA"/>
    <s v="MC Medicaid HHA"/>
    <m/>
    <n v="2"/>
    <n v="2"/>
    <n v="2"/>
    <n v="2"/>
    <n v="2"/>
    <n v="2"/>
    <s v="nursing"/>
    <x v="0"/>
  </r>
  <r>
    <n v="1592"/>
    <s v="Westchester"/>
    <s v="Hamaspik MAP CDPAP"/>
    <s v="MCO"/>
    <s v="CDPAP"/>
    <s v="PA Hourly (NYC, LI, &amp; Westchester)"/>
    <s v="T1019:U6"/>
    <x v="1"/>
    <s v="CDPAP"/>
    <s v="MC Medicaid CDPAP"/>
    <m/>
    <n v="5"/>
    <n v="674"/>
    <n v="2361.25"/>
    <n v="4"/>
    <n v="659"/>
    <n v="2256.25"/>
    <s v=""/>
    <x v="0"/>
  </r>
  <r>
    <n v="1594"/>
    <s v="Westchester"/>
    <s v="Hamaspik MAP PCA"/>
    <s v="MCO"/>
    <s v="MLTC"/>
    <s v="PCA Hourly"/>
    <s v="T1019:U1"/>
    <x v="2"/>
    <s v="HHA"/>
    <s v="MC Medicaid HHA"/>
    <m/>
    <n v="1"/>
    <n v="7"/>
    <n v="35"/>
    <n v="1"/>
    <n v="7"/>
    <n v="35"/>
    <s v=""/>
    <x v="0"/>
  </r>
  <r>
    <n v="1595"/>
    <s v="Westchester"/>
    <s v="Hamaspik MAP PCA"/>
    <s v="MCO"/>
    <s v="MLTC"/>
    <s v="RN Initial (NB)"/>
    <m/>
    <x v="3"/>
    <s v="HHA"/>
    <s v="MC Medicaid HHA"/>
    <m/>
    <n v="1"/>
    <n v="1"/>
    <n v="1"/>
    <n v="1"/>
    <n v="1"/>
    <n v="1"/>
    <s v="Nursing override"/>
    <x v="0"/>
  </r>
  <r>
    <n v="1596"/>
    <s v="Westchester"/>
    <s v="Healthfirst (ANT)"/>
    <s v="CHHA"/>
    <s v="MLTC"/>
    <s v="PRN (NB)"/>
    <m/>
    <x v="3"/>
    <s v="HHA"/>
    <s v="MC Medicaid HHA"/>
    <m/>
    <n v="1"/>
    <n v="1"/>
    <n v="1"/>
    <n v="1"/>
    <n v="1"/>
    <n v="1"/>
    <s v="Nursing override"/>
    <x v="0"/>
  </r>
  <r>
    <n v="1597"/>
    <s v="Westchester"/>
    <s v="Healthfirst (ANT)"/>
    <s v="CHHA"/>
    <s v="MLTC"/>
    <s v="RN Initial (NB)"/>
    <m/>
    <x v="3"/>
    <s v="HHA"/>
    <s v="MC Medicaid HHA"/>
    <m/>
    <n v="9"/>
    <n v="9"/>
    <n v="9"/>
    <n v="9"/>
    <n v="9"/>
    <n v="9"/>
    <s v="Nursing override"/>
    <x v="0"/>
  </r>
  <r>
    <n v="1598"/>
    <s v="Westchester"/>
    <s v="Healthfirst (ANT)"/>
    <s v="CHHA"/>
    <s v="MLTC"/>
    <s v="RN Reassessment (NB)"/>
    <m/>
    <x v="3"/>
    <s v="HHA"/>
    <s v="MC Medicaid HHA"/>
    <m/>
    <n v="9"/>
    <n v="14"/>
    <n v="14"/>
    <n v="9"/>
    <n v="14"/>
    <n v="14"/>
    <s v="Nursing override"/>
    <x v="0"/>
  </r>
  <r>
    <n v="1599"/>
    <s v="Westchester"/>
    <s v="Healthfirst (ANT)"/>
    <s v="CHHA"/>
    <s v="MLTC"/>
    <s v="T1019:U1"/>
    <s v="T1019:U1"/>
    <x v="2"/>
    <s v="HHA"/>
    <s v="MC Medicaid HHA"/>
    <m/>
    <n v="18"/>
    <n v="1642"/>
    <n v="10152.25"/>
    <n v="18"/>
    <n v="1642"/>
    <n v="10152.25"/>
    <s v=""/>
    <x v="0"/>
  </r>
  <r>
    <n v="1600"/>
    <s v="Westchester"/>
    <s v="Healthfirst (ANT)"/>
    <s v="CHHA"/>
    <s v="MLTC"/>
    <s v="T1020"/>
    <s v="T1020"/>
    <x v="8"/>
    <s v="HHA"/>
    <s v="MC Medicaid HHA"/>
    <m/>
    <n v="1"/>
    <n v="99"/>
    <n v="1287"/>
    <n v="1"/>
    <n v="99"/>
    <n v="1287"/>
    <s v=""/>
    <x v="0"/>
  </r>
  <r>
    <n v="1602"/>
    <s v="Westchester"/>
    <s v="Healthfirst (CDP)"/>
    <s v="CHHA"/>
    <s v="CDPAP"/>
    <s v="T1019:U6"/>
    <s v="T1019:U6"/>
    <x v="1"/>
    <s v="CDPAP"/>
    <s v="MC Medicaid CDPAP"/>
    <m/>
    <n v="9"/>
    <n v="1028"/>
    <n v="5369.5"/>
    <n v="7"/>
    <n v="982"/>
    <n v="5155.5"/>
    <s v=""/>
    <x v="0"/>
  </r>
  <r>
    <n v="1603"/>
    <s v="Westchester"/>
    <s v="NHTD"/>
    <s v="LHCSA"/>
    <s v="Medicaid"/>
    <s v="HCSS 9795 LI Nassau Westchester Suffolk"/>
    <s v="9795"/>
    <x v="4"/>
    <s v="HHA"/>
    <s v="Other"/>
    <m/>
    <n v="32"/>
    <n v="7654"/>
    <n v="85574.5"/>
    <n v="30"/>
    <n v="7607"/>
    <n v="85153.75"/>
    <s v=""/>
    <x v="0"/>
  </r>
  <r>
    <n v="1604"/>
    <s v="Westchester"/>
    <s v="NHTD"/>
    <s v="LHCSA"/>
    <s v="Medicaid"/>
    <s v="HCSS 9795 NYC"/>
    <s v="9795"/>
    <x v="4"/>
    <s v="HHA"/>
    <s v="Other"/>
    <m/>
    <n v="18"/>
    <n v="2290"/>
    <n v="26288.5"/>
    <n v="18"/>
    <n v="2290"/>
    <n v="26288.5"/>
    <s v=""/>
    <x v="0"/>
  </r>
  <r>
    <n v="1605"/>
    <s v="Westchester"/>
    <s v="NHTD"/>
    <s v="LHCSA"/>
    <s v="Medicaid"/>
    <s v="Initial RN Visit 9799 (Hourly)"/>
    <s v="9799"/>
    <x v="4"/>
    <s v="HHA"/>
    <s v="Other"/>
    <m/>
    <n v="24"/>
    <n v="24"/>
    <n v="23.5"/>
    <n v="22"/>
    <n v="22"/>
    <n v="22"/>
    <m/>
    <x v="0"/>
  </r>
  <r>
    <n v="1606"/>
    <s v="Westchester"/>
    <s v="NHTD"/>
    <s v="LHCSA"/>
    <s v="Medicaid"/>
    <s v="PRN (NB)"/>
    <m/>
    <x v="4"/>
    <s v="HHA"/>
    <s v="Other"/>
    <m/>
    <n v="2"/>
    <n v="2"/>
    <n v="1"/>
    <n v="2"/>
    <n v="2"/>
    <n v="2"/>
    <m/>
    <x v="0"/>
  </r>
  <r>
    <n v="1607"/>
    <s v="Westchester"/>
    <s v="NHTD"/>
    <s v="LHCSA"/>
    <s v="Medicaid"/>
    <s v="RN Initial (NB)"/>
    <m/>
    <x v="4"/>
    <s v="HHA"/>
    <s v="Other"/>
    <m/>
    <n v="3"/>
    <n v="3"/>
    <n v="3"/>
    <n v="3"/>
    <n v="3"/>
    <n v="3"/>
    <m/>
    <x v="0"/>
  </r>
  <r>
    <n v="1608"/>
    <s v="Westchester"/>
    <s v="NHTD"/>
    <s v="LHCSA"/>
    <s v="Medicaid"/>
    <s v="RN Visit 9799 (Hourly)"/>
    <s v="9799"/>
    <x v="4"/>
    <s v="HHA"/>
    <s v="Other"/>
    <m/>
    <n v="21"/>
    <n v="28"/>
    <n v="27.5"/>
    <n v="21"/>
    <n v="28"/>
    <n v="28"/>
    <m/>
    <x v="0"/>
  </r>
  <r>
    <n v="1609"/>
    <s v="Westchester"/>
    <s v="Non Billable"/>
    <s v="Other"/>
    <s v="Insurance"/>
    <s v="PCA Hourly"/>
    <m/>
    <x v="5"/>
    <s v="HHA"/>
    <s v="Private Pay"/>
    <m/>
    <n v="5"/>
    <n v="17"/>
    <n v="55.75"/>
    <n v="4"/>
    <n v="16"/>
    <n v="50.75"/>
    <s v=""/>
    <x v="0"/>
  </r>
  <r>
    <n v="1610"/>
    <s v="Westchester"/>
    <s v="Preferred Certified"/>
    <s v="MCO"/>
    <s v="Insurance"/>
    <s v="HHA hourly"/>
    <m/>
    <x v="0"/>
    <s v="HHA"/>
    <s v="Other"/>
    <s v="CHHA"/>
    <n v="1"/>
    <n v="10"/>
    <n v="29.5"/>
    <n v="1"/>
    <n v="10"/>
    <n v="29.5"/>
    <s v=""/>
    <x v="0"/>
  </r>
  <r>
    <n v="1611"/>
    <s v="Westchester"/>
    <s v="Preferred Certified"/>
    <s v="MCO"/>
    <s v="Insurance"/>
    <s v="PCA Hourly"/>
    <m/>
    <x v="0"/>
    <s v="HHA"/>
    <s v="Other"/>
    <s v="CHHA"/>
    <n v="1"/>
    <n v="2"/>
    <n v="5.5"/>
    <n v="1"/>
    <n v="2"/>
    <n v="5.5"/>
    <s v=""/>
    <x v="0"/>
  </r>
  <r>
    <n v="1612"/>
    <s v="Westchester"/>
    <s v="Preferred Certified"/>
    <s v="MCO"/>
    <s v="Insurance"/>
    <s v="RN Initial Visit-NB"/>
    <s v="T2024"/>
    <x v="0"/>
    <s v="HHA"/>
    <s v="Other"/>
    <s v="CHHA"/>
    <n v="1"/>
    <n v="1"/>
    <n v="0.5"/>
    <n v="1"/>
    <n v="1"/>
    <n v="0.5"/>
    <s v=""/>
    <x v="0"/>
  </r>
  <r>
    <n v="1613"/>
    <s v="Westchester"/>
    <s v="Prime Home Health Services"/>
    <s v="CHHA"/>
    <s v="CHHA"/>
    <s v="HHAHOUR"/>
    <m/>
    <x v="0"/>
    <s v="HHA"/>
    <s v="Other"/>
    <s v="CHHA"/>
    <n v="9"/>
    <n v="335"/>
    <n v="2070.75"/>
    <n v="7"/>
    <n v="299"/>
    <n v="1914"/>
    <s v=""/>
    <x v="0"/>
  </r>
  <r>
    <n v="1614"/>
    <s v="Westchester"/>
    <s v="Prime Home Health Services"/>
    <s v="CHHA"/>
    <s v="CHHA"/>
    <s v="HHAHRPED"/>
    <s v="99999"/>
    <x v="0"/>
    <s v="HHA"/>
    <s v="Other"/>
    <s v="CHHA"/>
    <n v="1"/>
    <n v="276"/>
    <n v="1359.25"/>
    <n v="1"/>
    <n v="276"/>
    <n v="1359.25"/>
    <s v=""/>
    <x v="0"/>
  </r>
  <r>
    <n v="1615"/>
    <s v="Westchester"/>
    <s v="Private Pay"/>
    <s v="Other"/>
    <s v="Private"/>
    <s v="PCA Hourly"/>
    <m/>
    <x v="5"/>
    <s v="HHA"/>
    <s v="Private Pay"/>
    <m/>
    <n v="2"/>
    <n v="16"/>
    <n v="66"/>
    <n v="2"/>
    <n v="16"/>
    <n v="66"/>
    <s v=""/>
    <x v="0"/>
  </r>
  <r>
    <n v="1616"/>
    <s v="Westchester"/>
    <s v="Revival Home Health Care"/>
    <s v="CHHA"/>
    <s v="CHHA"/>
    <s v="Rate1"/>
    <s v="S9122"/>
    <x v="0"/>
    <s v="HHA"/>
    <s v="Other"/>
    <s v="CHHA"/>
    <n v="9"/>
    <n v="62"/>
    <n v="236.75"/>
    <n v="7"/>
    <n v="52"/>
    <n v="197.75"/>
    <s v=""/>
    <x v="0"/>
  </r>
  <r>
    <n v="1617"/>
    <s v="Westchester"/>
    <s v="Royal Care Certified of NY"/>
    <s v="Other"/>
    <m/>
    <s v="Rate 1"/>
    <s v="na"/>
    <x v="0"/>
    <s v="HHA"/>
    <s v="Other"/>
    <s v="CHHA"/>
    <n v="1"/>
    <n v="1"/>
    <n v="4"/>
    <n v="1"/>
    <n v="1"/>
    <n v="4"/>
    <s v=""/>
    <x v="0"/>
  </r>
  <r>
    <n v="1618"/>
    <s v="Westchester"/>
    <s v="SWHNY-MLTC (ANT)"/>
    <s v="Other"/>
    <s v="MLTC"/>
    <s v="T1019:U1"/>
    <s v="T1019:U1"/>
    <x v="2"/>
    <s v="HHA"/>
    <s v="MC Medicaid HHA"/>
    <m/>
    <n v="1"/>
    <n v="114"/>
    <n v="1312.5"/>
    <n v="1"/>
    <n v="114"/>
    <n v="1312.5"/>
    <s v=""/>
    <x v="0"/>
  </r>
  <r>
    <n v="1621"/>
    <s v="Westchester"/>
    <s v="SWHNY-MLTC (CDP)"/>
    <s v="Other"/>
    <s v="CDPAP"/>
    <s v="T1019:U6"/>
    <s v="T1019:U6"/>
    <x v="1"/>
    <s v="CDPAP"/>
    <s v="MC Medicaid CDPAP"/>
    <m/>
    <n v="3"/>
    <n v="478"/>
    <n v="3086.5"/>
    <n v="3"/>
    <n v="478"/>
    <n v="3086.5"/>
    <s v=""/>
    <x v="0"/>
  </r>
  <r>
    <n v="1623"/>
    <s v="Westchester"/>
    <s v="VillageCare CDPAP"/>
    <s v="MCO"/>
    <s v="CDPAP"/>
    <s v="PA Hourly"/>
    <s v="T1019:U6"/>
    <x v="1"/>
    <s v="CDPAP"/>
    <s v="MC Medicaid CDPAP"/>
    <m/>
    <n v="7"/>
    <n v="351"/>
    <n v="1683.5"/>
    <n v="7"/>
    <n v="351"/>
    <n v="1683.5"/>
    <s v=""/>
    <x v="0"/>
  </r>
  <r>
    <n v="1624"/>
    <s v="Westchester"/>
    <s v="VillageCare CDPAP"/>
    <s v="MCO"/>
    <s v="CDPAP"/>
    <s v="PA Hourly Mutual"/>
    <s v="T1019:U7"/>
    <x v="10"/>
    <s v="CDPAP"/>
    <s v="MC Medicaid CDPAP"/>
    <m/>
    <n v="2"/>
    <n v="28"/>
    <n v="224"/>
    <n v="2"/>
    <n v="28"/>
    <n v="224"/>
    <s v=""/>
    <x v="0"/>
  </r>
  <r>
    <n v="1625"/>
    <s v="Westchester"/>
    <s v="VillageCare PCA"/>
    <s v="MLTC"/>
    <s v="MLTC"/>
    <s v="PCA Hourly"/>
    <s v="T1019:U1"/>
    <x v="2"/>
    <s v="HHA"/>
    <s v="MC Medicaid HHA"/>
    <m/>
    <n v="13"/>
    <n v="520"/>
    <n v="2340.25"/>
    <n v="13"/>
    <n v="520"/>
    <n v="2340.25"/>
    <s v=""/>
    <x v="0"/>
  </r>
  <r>
    <n v="1626"/>
    <s v="Westchester"/>
    <s v="VillageCare PCA"/>
    <s v="MLTC"/>
    <s v="MLTC"/>
    <s v="PCA Hourly"/>
    <s v="T1019:U1:TV"/>
    <x v="2"/>
    <s v="HHA"/>
    <s v="MC Medicaid HHA"/>
    <m/>
    <n v="3"/>
    <n v="46"/>
    <n v="231"/>
    <n v="3"/>
    <n v="46"/>
    <n v="231"/>
    <s v=""/>
    <x v="0"/>
  </r>
  <r>
    <n v="1627"/>
    <s v="Westchester"/>
    <s v="VillageCare PCA"/>
    <s v="MLTC"/>
    <s v="MLTC"/>
    <s v="PCA Hourly TV"/>
    <s v="T1019:U1:TV"/>
    <x v="2"/>
    <s v="HHA"/>
    <s v="MC Medicaid HHA"/>
    <m/>
    <n v="5"/>
    <n v="70"/>
    <n v="318.75"/>
    <n v="5"/>
    <n v="70"/>
    <n v="318.75"/>
    <s v=""/>
    <x v="0"/>
  </r>
  <r>
    <n v="1628"/>
    <s v="Westchester"/>
    <s v="VillageCare PCA"/>
    <s v="MLTC"/>
    <s v="MLTC"/>
    <s v="PRN (NB)"/>
    <m/>
    <x v="3"/>
    <s v="HHA"/>
    <s v="MC Medicaid HHA"/>
    <m/>
    <n v="1"/>
    <n v="1"/>
    <n v="1"/>
    <n v="1"/>
    <n v="1"/>
    <n v="1"/>
    <s v="Nursing override"/>
    <x v="0"/>
  </r>
  <r>
    <n v="1629"/>
    <s v="Westchester"/>
    <s v="VillageCare PCA"/>
    <s v="MLTC"/>
    <s v="MLTC"/>
    <s v="RN Initial Visit"/>
    <s v="T1030"/>
    <x v="7"/>
    <s v="HHA"/>
    <s v="MC Medicaid HHA"/>
    <m/>
    <n v="10"/>
    <n v="10"/>
    <n v="10"/>
    <n v="10"/>
    <n v="10"/>
    <n v="10"/>
    <s v="nursing"/>
    <x v="0"/>
  </r>
  <r>
    <n v="1630"/>
    <s v="Westchester"/>
    <s v="VNS Health Health Plans (ANT)"/>
    <s v="MLTC"/>
    <s v="MLTC"/>
    <s v="PRN (NB)"/>
    <m/>
    <x v="3"/>
    <s v="HHA"/>
    <s v="MC Medicaid HHA"/>
    <m/>
    <n v="5"/>
    <n v="6"/>
    <n v="6"/>
    <n v="5"/>
    <n v="6"/>
    <n v="6"/>
    <s v="Nursing override"/>
    <x v="0"/>
  </r>
  <r>
    <n v="1631"/>
    <s v="Westchester"/>
    <s v="VNS Health Health Plans (ANT)"/>
    <s v="MLTC"/>
    <s v="MLTC"/>
    <s v="RN Initial (NB)"/>
    <m/>
    <x v="3"/>
    <s v="HHA"/>
    <s v="MC Medicaid HHA"/>
    <m/>
    <n v="30"/>
    <n v="30"/>
    <n v="30"/>
    <n v="24"/>
    <n v="24"/>
    <n v="24"/>
    <s v="Nursing override"/>
    <x v="0"/>
  </r>
  <r>
    <n v="1632"/>
    <s v="Westchester"/>
    <s v="VNS Health Health Plans (ANT)"/>
    <s v="MLTC"/>
    <s v="MLTC"/>
    <s v="RN Reassessment (NB)"/>
    <m/>
    <x v="3"/>
    <s v="HHA"/>
    <s v="MC Medicaid HHA"/>
    <m/>
    <n v="12"/>
    <n v="16"/>
    <n v="16"/>
    <n v="12"/>
    <n v="16"/>
    <n v="16"/>
    <s v="Nursing override"/>
    <x v="0"/>
  </r>
  <r>
    <n v="1633"/>
    <s v="Westchester"/>
    <s v="VNS Health Health Plans (ANT)"/>
    <s v="MLTC"/>
    <s v="MLTC"/>
    <s v="T1019U1 BX"/>
    <s v="T1019:U1"/>
    <x v="2"/>
    <s v="HHA"/>
    <s v="MC Medicaid HHA"/>
    <m/>
    <n v="1"/>
    <n v="53"/>
    <n v="220"/>
    <n v="1"/>
    <n v="53"/>
    <n v="220"/>
    <s v=""/>
    <x v="0"/>
  </r>
  <r>
    <n v="1634"/>
    <s v="Westchester"/>
    <s v="VNS Health Health Plans (ANT)"/>
    <s v="MLTC"/>
    <s v="MLTC"/>
    <s v="T1019U1 WES"/>
    <s v="T1019:U1"/>
    <x v="2"/>
    <s v="HHA"/>
    <s v="MC Medicaid HHA"/>
    <m/>
    <n v="35"/>
    <n v="2045"/>
    <n v="14270.5"/>
    <n v="30"/>
    <n v="1986"/>
    <n v="13964.5"/>
    <s v=""/>
    <x v="0"/>
  </r>
  <r>
    <n v="1635"/>
    <s v="Westchester"/>
    <s v="VNS Health Health Plans (ANT)"/>
    <s v="MLTC"/>
    <s v="MLTC"/>
    <s v="T1019U2 WES"/>
    <s v="T1019:U2"/>
    <x v="11"/>
    <s v="HHA"/>
    <s v="MC Medicaid HHA"/>
    <m/>
    <n v="4"/>
    <n v="116"/>
    <n v="441"/>
    <n v="4"/>
    <n v="116"/>
    <n v="441"/>
    <s v=""/>
    <x v="0"/>
  </r>
  <r>
    <n v="1636"/>
    <s v="Westchester"/>
    <s v="VNS Health Health Plans (ANT)"/>
    <s v="MLTC"/>
    <s v="MLTC"/>
    <s v="T1020 WES"/>
    <s v="T1020"/>
    <x v="8"/>
    <s v="HHA"/>
    <s v="MC Medicaid HHA"/>
    <m/>
    <n v="2"/>
    <n v="407"/>
    <n v="5291"/>
    <n v="2"/>
    <n v="407"/>
    <n v="5291"/>
    <s v=""/>
    <x v="0"/>
  </r>
  <r>
    <n v="1641"/>
    <s v="Westchester"/>
    <s v="VNS Health Health Plans (CDP)"/>
    <s v="MLTC"/>
    <s v="CDPAP"/>
    <s v="T1019U6 WES"/>
    <s v="T1019:U6"/>
    <x v="1"/>
    <s v="CDPAP"/>
    <s v="MC Medicaid CDPAP"/>
    <m/>
    <n v="33"/>
    <n v="6227"/>
    <n v="31780"/>
    <n v="31"/>
    <n v="6137"/>
    <n v="31368.5"/>
    <s v=""/>
    <x v="0"/>
  </r>
  <r>
    <n v="1642"/>
    <s v="Westchester"/>
    <s v="VNS Health Health Plans (CDP)"/>
    <s v="MLTC"/>
    <s v="CDPAP"/>
    <s v="T1019U6 WES MAP"/>
    <s v="T1019:U6"/>
    <x v="1"/>
    <s v="CDPAP"/>
    <s v="MC Medicaid CDPAP"/>
    <m/>
    <n v="1"/>
    <n v="40"/>
    <n v="159.5"/>
    <n v="1"/>
    <n v="40"/>
    <n v="159.5"/>
    <s v=""/>
    <x v="0"/>
  </r>
  <r>
    <n v="1644"/>
    <s v="Wyoming"/>
    <s v="Fidelis Care (CDP)"/>
    <s v="LHCSA"/>
    <s v="CDPAP"/>
    <s v="T1019:U6"/>
    <s v="T1019:U6"/>
    <x v="1"/>
    <s v="CDPAP"/>
    <s v="MC Medicaid CDPAP"/>
    <m/>
    <n v="3"/>
    <n v="477"/>
    <n v="2342.25"/>
    <n v="3"/>
    <n v="477"/>
    <n v="2342.25"/>
    <s v=""/>
    <x v="0"/>
  </r>
  <r>
    <n v="1646"/>
    <s v="Yates"/>
    <s v="Fidelis Care (CDP)"/>
    <s v="LHCSA"/>
    <s v="CDPAP"/>
    <s v="T1019:U6"/>
    <s v="T1019:U6"/>
    <x v="1"/>
    <s v="CDPAP"/>
    <s v="MC Medicaid CDPAP"/>
    <m/>
    <n v="2"/>
    <n v="369"/>
    <n v="1960.5"/>
    <n v="2"/>
    <n v="369"/>
    <n v="1960.5"/>
    <s v=""/>
    <x v="0"/>
  </r>
  <r>
    <n v="1648"/>
    <s v="Yates"/>
    <s v="Nascentia Health Options CDPAP"/>
    <s v="MLTC"/>
    <s v="CDPAP"/>
    <s v="PA Hourly"/>
    <s v="T1019:U6"/>
    <x v="1"/>
    <s v="CDPAP"/>
    <s v="MC Medicaid CDPAP"/>
    <m/>
    <n v="1"/>
    <n v="252"/>
    <n v="1247.75"/>
    <n v="1"/>
    <n v="252"/>
    <n v="1247.75"/>
    <s v=""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  <r>
    <m/>
    <m/>
    <m/>
    <m/>
    <m/>
    <m/>
    <m/>
    <x v="16"/>
    <m/>
    <m/>
    <m/>
    <m/>
    <m/>
    <m/>
    <m/>
    <m/>
    <m/>
    <m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12">
  <r>
    <n v="1"/>
    <x v="0"/>
    <s v="Americare"/>
    <s v="CHHA"/>
    <s v="CHHA"/>
    <s v="HHA1"/>
    <s v="S9122"/>
    <x v="0"/>
    <x v="0"/>
    <s v="Other"/>
    <s v="CHHA"/>
    <n v="3"/>
    <n v="48"/>
    <n v="179.25"/>
    <n v="2"/>
    <n v="10"/>
    <n v="34"/>
    <s v=""/>
    <m/>
    <s v=""/>
    <x v="0"/>
  </r>
  <r>
    <n v="3"/>
    <x v="1"/>
    <s v="Centers Plan For Healthy Living CDPAP "/>
    <s v="MLTC"/>
    <s v="CDPAP"/>
    <s v="PA Hourly - 5 Boroughs"/>
    <s v="T1019:U6"/>
    <x v="1"/>
    <x v="1"/>
    <s v="MC Medicaid CDPAP"/>
    <m/>
    <n v="1"/>
    <n v="10"/>
    <n v="40"/>
    <n v="0"/>
    <n v="0"/>
    <m/>
    <s v=""/>
    <m/>
    <s v=""/>
    <x v="1"/>
  </r>
  <r>
    <n v="6"/>
    <x v="2"/>
    <s v="Empire Blue Cross Blue Shield (CDPAP)"/>
    <s v="Other"/>
    <s v="CDPAP"/>
    <s v="PA Hourly (New)"/>
    <s v="T1019:U6"/>
    <x v="1"/>
    <x v="1"/>
    <s v="MC Medicaid CDPAP"/>
    <m/>
    <n v="1"/>
    <n v="183"/>
    <n v="1528"/>
    <n v="1"/>
    <n v="183"/>
    <n v="1528"/>
    <s v=""/>
    <m/>
    <s v=""/>
    <x v="1"/>
  </r>
  <r>
    <n v="7"/>
    <x v="2"/>
    <s v="Empire Blue Cross Blue Shield (PCA)"/>
    <s v="Other"/>
    <s v="MLTC"/>
    <s v="PCA Hourly NYC"/>
    <s v="T1019:U1"/>
    <x v="2"/>
    <x v="0"/>
    <s v="MC Medicaid HHA"/>
    <m/>
    <n v="1"/>
    <n v="20"/>
    <n v="155"/>
    <n v="1"/>
    <n v="20"/>
    <n v="155"/>
    <s v=""/>
    <m/>
    <s v=""/>
    <x v="1"/>
  </r>
  <r>
    <n v="8"/>
    <x v="2"/>
    <s v="Empire Blue Cross Blue Shield (PCA)"/>
    <s v="Other"/>
    <s v="MLTC"/>
    <s v="RN Initial (NB)"/>
    <m/>
    <x v="3"/>
    <x v="0"/>
    <s v="MC Medicaid HHA"/>
    <m/>
    <n v="1"/>
    <n v="1"/>
    <n v="1"/>
    <n v="1"/>
    <n v="1"/>
    <n v="1"/>
    <s v="Nursing override"/>
    <m/>
    <s v=""/>
    <x v="1"/>
  </r>
  <r>
    <n v="9"/>
    <x v="3"/>
    <s v="Excellent Home Care Services"/>
    <s v="CHHA"/>
    <s v="CHHA"/>
    <s v="Rate3"/>
    <m/>
    <x v="0"/>
    <x v="0"/>
    <s v="Other"/>
    <s v="CHHA"/>
    <n v="1"/>
    <n v="1"/>
    <n v="5"/>
    <n v="1"/>
    <n v="1"/>
    <n v="5"/>
    <s v=""/>
    <m/>
    <s v=""/>
    <x v="0"/>
  </r>
  <r>
    <n v="10"/>
    <x v="0"/>
    <s v="Extended Home Care"/>
    <s v="CHHA"/>
    <s v="CHHA"/>
    <s v="PedCode95"/>
    <s v="-"/>
    <x v="0"/>
    <x v="0"/>
    <s v="Other"/>
    <s v="CHHA"/>
    <n v="1"/>
    <n v="158"/>
    <n v="1278"/>
    <n v="1"/>
    <n v="158"/>
    <n v="1278"/>
    <s v=""/>
    <m/>
    <s v=""/>
    <x v="0"/>
  </r>
  <r>
    <n v="11"/>
    <x v="3"/>
    <s v="Fidelis Care (ANT)"/>
    <s v="LHCSA"/>
    <s v="MLTC"/>
    <s v="RN Reassessment (NB)"/>
    <m/>
    <x v="3"/>
    <x v="0"/>
    <s v="MC Medicaid HHA"/>
    <m/>
    <n v="1"/>
    <n v="2"/>
    <n v="2"/>
    <n v="1"/>
    <n v="2"/>
    <n v="2"/>
    <s v="Nursing override"/>
    <m/>
    <s v=""/>
    <x v="1"/>
  </r>
  <r>
    <n v="12"/>
    <x v="3"/>
    <s v="Fidelis Care (ANT)"/>
    <s v="LHCSA"/>
    <s v="MLTC"/>
    <s v="T1019:U1"/>
    <s v="T1019:U1"/>
    <x v="2"/>
    <x v="0"/>
    <s v="MC Medicaid HHA"/>
    <m/>
    <n v="1"/>
    <n v="171"/>
    <n v="730"/>
    <n v="1"/>
    <n v="171"/>
    <n v="730"/>
    <s v=""/>
    <m/>
    <s v=""/>
    <x v="1"/>
  </r>
  <r>
    <n v="14"/>
    <x v="4"/>
    <s v="Fidelis Care (CDP)"/>
    <s v="LHCSA"/>
    <s v="CDPAP"/>
    <s v="T1019:U6"/>
    <s v="T1019:U6"/>
    <x v="1"/>
    <x v="1"/>
    <s v="MC Medicaid CDPAP"/>
    <m/>
    <n v="1"/>
    <n v="181"/>
    <n v="734"/>
    <n v="1"/>
    <n v="181"/>
    <n v="734"/>
    <s v=""/>
    <m/>
    <s v=""/>
    <x v="1"/>
  </r>
  <r>
    <n v="15"/>
    <x v="3"/>
    <s v="Girling Health Care Of New York"/>
    <s v="CHHA"/>
    <s v="CHHA"/>
    <s v="Rate1"/>
    <m/>
    <x v="0"/>
    <x v="0"/>
    <s v="Other"/>
    <s v="CHHA"/>
    <n v="4"/>
    <n v="128"/>
    <n v="603.25"/>
    <n v="4"/>
    <n v="128"/>
    <n v="603.25"/>
    <s v=""/>
    <m/>
    <s v=""/>
    <x v="0"/>
  </r>
  <r>
    <n v="16"/>
    <x v="3"/>
    <s v="NHTD"/>
    <s v="LHCSA"/>
    <s v="Medicaid"/>
    <s v="HCSS 9795 NYC"/>
    <s v="9795"/>
    <x v="4"/>
    <x v="0"/>
    <s v="Other"/>
    <m/>
    <n v="2"/>
    <n v="1033"/>
    <n v="12092.25"/>
    <n v="2"/>
    <n v="1033"/>
    <n v="12092.25"/>
    <s v=""/>
    <m/>
    <s v=""/>
    <x v="0"/>
  </r>
  <r>
    <n v="17"/>
    <x v="5"/>
    <s v="NHTD"/>
    <s v="LHCSA"/>
    <s v="Medicaid"/>
    <s v="Initial RN Visit 9799 (Hourly)"/>
    <s v="9799"/>
    <x v="4"/>
    <x v="0"/>
    <s v="Other"/>
    <m/>
    <n v="1"/>
    <n v="1"/>
    <n v="1"/>
    <n v="1"/>
    <n v="1"/>
    <n v="1"/>
    <m/>
    <m/>
    <s v=""/>
    <x v="0"/>
  </r>
  <r>
    <n v="18"/>
    <x v="3"/>
    <s v="NHTD"/>
    <s v="LHCSA"/>
    <s v="Medicaid"/>
    <s v="RN Initial (NB)"/>
    <m/>
    <x v="4"/>
    <x v="0"/>
    <s v="Other"/>
    <m/>
    <n v="1"/>
    <n v="1"/>
    <n v="1"/>
    <n v="1"/>
    <n v="1"/>
    <n v="1"/>
    <m/>
    <m/>
    <s v=""/>
    <x v="0"/>
  </r>
  <r>
    <n v="19"/>
    <x v="3"/>
    <s v="NHTD"/>
    <s v="LHCSA"/>
    <s v="Medicaid"/>
    <s v="RN Visit 9799 (Hourly)"/>
    <s v="9799"/>
    <x v="4"/>
    <x v="0"/>
    <s v="Other"/>
    <m/>
    <n v="2"/>
    <n v="2"/>
    <n v="2"/>
    <n v="2"/>
    <n v="2"/>
    <n v="2"/>
    <m/>
    <m/>
    <s v=""/>
    <x v="0"/>
  </r>
  <r>
    <n v="20"/>
    <x v="3"/>
    <s v="Private Pay"/>
    <s v="Other"/>
    <s v="Private"/>
    <s v="PCA Hourly"/>
    <m/>
    <x v="5"/>
    <x v="0"/>
    <s v="Private Pay"/>
    <m/>
    <n v="1"/>
    <n v="5"/>
    <n v="22"/>
    <n v="1"/>
    <n v="5"/>
    <n v="22"/>
    <s v=""/>
    <m/>
    <s v=""/>
    <x v="0"/>
  </r>
  <r>
    <n v="21"/>
    <x v="0"/>
    <s v="Revival Home Health Care"/>
    <s v="CHHA"/>
    <s v="CHHA"/>
    <s v="Rate1"/>
    <s v="S9122"/>
    <x v="0"/>
    <x v="0"/>
    <s v="Other"/>
    <s v="CHHA"/>
    <n v="1"/>
    <n v="3"/>
    <n v="6"/>
    <n v="1"/>
    <n v="3"/>
    <n v="6"/>
    <s v=""/>
    <m/>
    <s v=""/>
    <x v="0"/>
  </r>
  <r>
    <n v="22"/>
    <x v="6"/>
    <s v="EDDY SeniorCare VNA (Pace Plan)"/>
    <s v="MCO"/>
    <s v="MCO"/>
    <s v="PCA Hourly Weekday"/>
    <s v="T1019:U1"/>
    <x v="4"/>
    <x v="0"/>
    <s v="Other"/>
    <m/>
    <n v="7"/>
    <n v="42"/>
    <n v="181"/>
    <n v="7"/>
    <n v="42"/>
    <n v="181"/>
    <s v=""/>
    <m/>
    <s v=""/>
    <x v="0"/>
  </r>
  <r>
    <n v="23"/>
    <x v="6"/>
    <s v="EDDY SeniorCare VNA (Pace Plan)"/>
    <s v="MCO"/>
    <s v="MCO"/>
    <s v="RN Initial Visit-NB"/>
    <s v="T1019:U1"/>
    <x v="4"/>
    <x v="0"/>
    <s v="Other"/>
    <m/>
    <n v="6"/>
    <n v="6"/>
    <n v="6"/>
    <n v="6"/>
    <n v="6"/>
    <n v="6"/>
    <s v="Nursing override"/>
    <m/>
    <s v=""/>
    <x v="0"/>
  </r>
  <r>
    <n v="24"/>
    <x v="6"/>
    <s v="Fidelis Care (ANT)"/>
    <s v="LHCSA"/>
    <s v="MLTC"/>
    <s v="PRN (NB)"/>
    <m/>
    <x v="3"/>
    <x v="0"/>
    <s v="MC Medicaid HHA"/>
    <m/>
    <n v="4"/>
    <n v="4"/>
    <n v="4"/>
    <n v="4"/>
    <n v="4"/>
    <n v="4"/>
    <s v="Nursing override"/>
    <m/>
    <s v=""/>
    <x v="1"/>
  </r>
  <r>
    <n v="25"/>
    <x v="6"/>
    <s v="Fidelis Care (ANT)"/>
    <s v="LHCSA"/>
    <s v="MLTC"/>
    <s v="RN Initial (NB)"/>
    <m/>
    <x v="3"/>
    <x v="0"/>
    <s v="MC Medicaid HHA"/>
    <m/>
    <n v="44"/>
    <n v="44"/>
    <n v="44"/>
    <n v="39"/>
    <n v="39"/>
    <n v="39"/>
    <s v="Nursing override"/>
    <m/>
    <s v=""/>
    <x v="1"/>
  </r>
  <r>
    <n v="26"/>
    <x v="6"/>
    <s v="Fidelis Care (ANT)"/>
    <s v="LHCSA"/>
    <s v="MLTC"/>
    <s v="RN Initial Assement"/>
    <s v="T2024"/>
    <x v="3"/>
    <x v="0"/>
    <s v="MC Medicaid HHA"/>
    <m/>
    <n v="20"/>
    <n v="20"/>
    <n v="20"/>
    <n v="20"/>
    <n v="20"/>
    <n v="20"/>
    <s v="nursing"/>
    <m/>
    <s v=""/>
    <x v="1"/>
  </r>
  <r>
    <n v="27"/>
    <x v="6"/>
    <s v="Fidelis Care (ANT)"/>
    <s v="LHCSA"/>
    <s v="MLTC"/>
    <s v="RN Reassessment (NB)"/>
    <m/>
    <x v="3"/>
    <x v="0"/>
    <s v="MC Medicaid HHA"/>
    <m/>
    <n v="31"/>
    <n v="39"/>
    <n v="39"/>
    <n v="31"/>
    <n v="39"/>
    <n v="39"/>
    <s v="Nursing override"/>
    <m/>
    <s v=""/>
    <x v="1"/>
  </r>
  <r>
    <n v="28"/>
    <x v="6"/>
    <s v="Fidelis Care (ANT)"/>
    <s v="LHCSA"/>
    <s v="MLTC"/>
    <s v="S5130:U1"/>
    <s v="S5130:U1::::Homemaker"/>
    <x v="6"/>
    <x v="0"/>
    <s v="MC Medicaid HHA"/>
    <m/>
    <n v="5"/>
    <n v="208"/>
    <n v="609.25"/>
    <n v="5"/>
    <n v="208"/>
    <n v="609.25"/>
    <s v=""/>
    <m/>
    <s v=""/>
    <x v="1"/>
  </r>
  <r>
    <n v="29"/>
    <x v="6"/>
    <s v="Fidelis Care (ANT)"/>
    <s v="LHCSA"/>
    <s v="MLTC"/>
    <s v="T1019:U1"/>
    <s v="T1019:U1"/>
    <x v="2"/>
    <x v="0"/>
    <s v="MC Medicaid HHA"/>
    <m/>
    <n v="78"/>
    <n v="6460"/>
    <n v="26400.25"/>
    <n v="72"/>
    <n v="6345"/>
    <n v="25970"/>
    <s v=""/>
    <m/>
    <s v=""/>
    <x v="1"/>
  </r>
  <r>
    <n v="30"/>
    <x v="6"/>
    <s v="Fidelis Care (ANT)"/>
    <s v="LHCSA"/>
    <s v="MLTC"/>
    <s v="T1019:U6"/>
    <s v="T1019:U6"/>
    <x v="1"/>
    <x v="1"/>
    <s v="MC Medicaid CDPAP"/>
    <m/>
    <n v="1"/>
    <n v="60"/>
    <n v="315.75"/>
    <n v="1"/>
    <n v="60"/>
    <n v="315.75"/>
    <s v=""/>
    <m/>
    <s v=""/>
    <x v="1"/>
  </r>
  <r>
    <n v="34"/>
    <x v="6"/>
    <s v="Fidelis Care (CDP)"/>
    <s v="LHCSA"/>
    <s v="CDPAP"/>
    <s v="RN Initial (NB)"/>
    <m/>
    <x v="3"/>
    <x v="0"/>
    <s v="MC Medicaid HHA"/>
    <m/>
    <n v="2"/>
    <n v="2"/>
    <n v="2"/>
    <n v="2"/>
    <n v="2"/>
    <n v="2"/>
    <s v="Nursing override"/>
    <m/>
    <s v=""/>
    <x v="1"/>
  </r>
  <r>
    <n v="35"/>
    <x v="6"/>
    <s v="Fidelis Care (CDP)"/>
    <s v="LHCSA"/>
    <s v="CDPAP"/>
    <s v="T1019:U1"/>
    <s v="T1019:U1"/>
    <x v="2"/>
    <x v="0"/>
    <s v="MC Medicaid HHA"/>
    <m/>
    <n v="2"/>
    <n v="21"/>
    <n v="57.25"/>
    <n v="2"/>
    <n v="21"/>
    <n v="57.25"/>
    <s v=""/>
    <m/>
    <s v=""/>
    <x v="1"/>
  </r>
  <r>
    <n v="36"/>
    <x v="6"/>
    <s v="Fidelis Care (CDP)"/>
    <s v="LHCSA"/>
    <s v="CDPAP"/>
    <s v="T1019:U6"/>
    <s v="T1019:U6"/>
    <x v="1"/>
    <x v="1"/>
    <s v="MC Medicaid CDPAP"/>
    <m/>
    <n v="69"/>
    <n v="8705"/>
    <n v="43347.75"/>
    <n v="68"/>
    <n v="8669"/>
    <n v="43104.5"/>
    <s v=""/>
    <m/>
    <s v=""/>
    <x v="1"/>
  </r>
  <r>
    <n v="37"/>
    <x v="6"/>
    <s v="Fidelis Care PCA (Non Live)"/>
    <s v="MLTC"/>
    <s v="MLTC"/>
    <s v="RN Initial (NB)"/>
    <s v="G0162"/>
    <x v="3"/>
    <x v="0"/>
    <s v="MC Medicaid HHA"/>
    <m/>
    <n v="1"/>
    <n v="1"/>
    <n v="1"/>
    <n v="1"/>
    <n v="1"/>
    <n v="1"/>
    <s v="Nursing override"/>
    <m/>
    <s v=""/>
    <x v="1"/>
  </r>
  <r>
    <n v="38"/>
    <x v="6"/>
    <s v="Fidelis Care PCA (Non Live)"/>
    <s v="MLTC"/>
    <s v="MLTC"/>
    <s v="RN Initial Assement"/>
    <s v="G0162"/>
    <x v="3"/>
    <x v="0"/>
    <s v="MC Medicaid HHA"/>
    <m/>
    <n v="1"/>
    <n v="1"/>
    <n v="1"/>
    <n v="1"/>
    <n v="1"/>
    <n v="1"/>
    <s v="nursing"/>
    <m/>
    <s v=""/>
    <x v="1"/>
  </r>
  <r>
    <n v="40"/>
    <x v="6"/>
    <s v="Nascentia Health Options CDPAP"/>
    <s v="MLTC"/>
    <s v="CDPAP"/>
    <s v="PA Hourly"/>
    <s v="T1019:U6"/>
    <x v="1"/>
    <x v="1"/>
    <s v="MC Medicaid CDPAP"/>
    <m/>
    <n v="19"/>
    <n v="2942"/>
    <n v="14642.5"/>
    <n v="19"/>
    <n v="2942"/>
    <n v="14642.5"/>
    <s v=""/>
    <m/>
    <s v=""/>
    <x v="1"/>
  </r>
  <r>
    <n v="41"/>
    <x v="6"/>
    <s v="Nascentia PCA"/>
    <s v="MLTC"/>
    <s v="MLTC"/>
    <s v="PCA Hourly"/>
    <s v="T1019:U1"/>
    <x v="2"/>
    <x v="0"/>
    <s v="MC Medicaid HHA"/>
    <m/>
    <n v="4"/>
    <n v="244"/>
    <n v="822.5"/>
    <n v="4"/>
    <n v="244"/>
    <n v="822.5"/>
    <s v=""/>
    <m/>
    <s v=""/>
    <x v="1"/>
  </r>
  <r>
    <n v="42"/>
    <x v="6"/>
    <s v="Nascentia PCA"/>
    <s v="MLTC"/>
    <s v="MLTC"/>
    <s v="Rn initial assesment non billable"/>
    <m/>
    <x v="3"/>
    <x v="0"/>
    <s v="MC Medicaid HHA"/>
    <m/>
    <n v="2"/>
    <n v="2"/>
    <n v="2"/>
    <n v="2"/>
    <n v="2"/>
    <n v="2"/>
    <s v="Nursing override"/>
    <m/>
    <s v=""/>
    <x v="1"/>
  </r>
  <r>
    <n v="43"/>
    <x v="6"/>
    <s v="Nascentia PCA"/>
    <s v="MLTC"/>
    <s v="MLTC"/>
    <s v="Rn re-assessment non billable"/>
    <m/>
    <x v="3"/>
    <x v="0"/>
    <s v="MC Medicaid HHA"/>
    <m/>
    <n v="1"/>
    <n v="1"/>
    <n v="1"/>
    <n v="1"/>
    <n v="1"/>
    <n v="1"/>
    <s v="Nursing override"/>
    <m/>
    <s v=""/>
    <x v="1"/>
  </r>
  <r>
    <n v="44"/>
    <x v="6"/>
    <s v="Nascentia PCA"/>
    <s v="MLTC"/>
    <s v="MLTC"/>
    <s v="SN Visit Aide Supervision"/>
    <s v="T1030"/>
    <x v="7"/>
    <x v="0"/>
    <s v="MC Medicaid HHA"/>
    <m/>
    <n v="1"/>
    <n v="1"/>
    <n v="1"/>
    <n v="1"/>
    <n v="1"/>
    <n v="1"/>
    <s v="nursing"/>
    <m/>
    <s v=""/>
    <x v="1"/>
  </r>
  <r>
    <n v="45"/>
    <x v="6"/>
    <s v="Nascentia PCA"/>
    <s v="MLTC"/>
    <s v="MLTC"/>
    <s v="SN Visit Aide Supervision (in active)"/>
    <s v="T1030"/>
    <x v="7"/>
    <x v="0"/>
    <s v="MC Medicaid HHA"/>
    <m/>
    <n v="1"/>
    <n v="1"/>
    <n v="1"/>
    <n v="1"/>
    <n v="1"/>
    <n v="1"/>
    <s v="nursing"/>
    <m/>
    <s v=""/>
    <x v="1"/>
  </r>
  <r>
    <n v="46"/>
    <x v="6"/>
    <s v="Non Billable"/>
    <s v="Other"/>
    <s v="Insurance"/>
    <s v="PCA Hourly"/>
    <m/>
    <x v="5"/>
    <x v="0"/>
    <s v="Private Pay"/>
    <m/>
    <n v="2"/>
    <n v="3"/>
    <n v="2.5"/>
    <n v="2"/>
    <n v="3"/>
    <n v="2.5"/>
    <s v=""/>
    <m/>
    <s v=""/>
    <x v="0"/>
  </r>
  <r>
    <n v="47"/>
    <x v="6"/>
    <s v="Private Pay"/>
    <s v="Other"/>
    <s v="Private"/>
    <s v="PCA Hourly"/>
    <m/>
    <x v="5"/>
    <x v="0"/>
    <s v="Private Pay"/>
    <m/>
    <n v="1"/>
    <n v="4"/>
    <n v="8"/>
    <n v="1"/>
    <n v="4"/>
    <n v="8"/>
    <s v=""/>
    <m/>
    <s v=""/>
    <x v="0"/>
  </r>
  <r>
    <n v="48"/>
    <x v="6"/>
    <s v="Private Pay - Select"/>
    <s v="Other"/>
    <s v="Private"/>
    <s v="PCA Hourly"/>
    <m/>
    <x v="5"/>
    <x v="0"/>
    <s v="Private Pay"/>
    <m/>
    <n v="1"/>
    <n v="149"/>
    <n v="301.5"/>
    <n v="1"/>
    <n v="149"/>
    <n v="301.5"/>
    <s v=""/>
    <m/>
    <s v=""/>
    <x v="0"/>
  </r>
  <r>
    <n v="49"/>
    <x v="6"/>
    <s v="Private Pay - Select"/>
    <s v="Other"/>
    <s v="Private"/>
    <s v="RN Initial (NB)"/>
    <m/>
    <x v="5"/>
    <x v="0"/>
    <s v="Private Pay"/>
    <m/>
    <n v="1"/>
    <n v="1"/>
    <n v="1"/>
    <n v="1"/>
    <n v="1"/>
    <n v="1"/>
    <s v=""/>
    <m/>
    <s v=""/>
    <x v="0"/>
  </r>
  <r>
    <n v="50"/>
    <x v="6"/>
    <s v="Private Pay - Select"/>
    <s v="Other"/>
    <s v="Private"/>
    <s v="RN Reassessment (NB)"/>
    <m/>
    <x v="5"/>
    <x v="0"/>
    <s v="Private Pay"/>
    <m/>
    <n v="1"/>
    <n v="1"/>
    <n v="0.5"/>
    <n v="1"/>
    <n v="1"/>
    <n v="1"/>
    <s v=""/>
    <m/>
    <s v=""/>
    <x v="0"/>
  </r>
  <r>
    <n v="52"/>
    <x v="6"/>
    <s v="VNS Health Health Plans (ANT)"/>
    <s v="MLTC"/>
    <s v="MLTC"/>
    <s v="PRN (NB)"/>
    <m/>
    <x v="3"/>
    <x v="0"/>
    <s v="MC Medicaid HHA"/>
    <m/>
    <n v="3"/>
    <n v="3"/>
    <n v="3"/>
    <n v="3"/>
    <n v="3"/>
    <n v="3"/>
    <s v="Nursing override"/>
    <m/>
    <s v=""/>
    <x v="1"/>
  </r>
  <r>
    <n v="53"/>
    <x v="6"/>
    <s v="VNS Health Health Plans (ANT)"/>
    <s v="MLTC"/>
    <s v="MLTC"/>
    <s v="RN - Initial Visit"/>
    <m/>
    <x v="3"/>
    <x v="0"/>
    <s v="MC Medicaid HHA"/>
    <m/>
    <n v="1"/>
    <n v="1"/>
    <n v="1"/>
    <n v="1"/>
    <n v="1"/>
    <n v="1"/>
    <s v="nursing"/>
    <m/>
    <s v=""/>
    <x v="1"/>
  </r>
  <r>
    <n v="54"/>
    <x v="6"/>
    <s v="VNS Health Health Plans (ANT)"/>
    <s v="MLTC"/>
    <s v="MLTC"/>
    <s v="RN Initial (NB)"/>
    <m/>
    <x v="3"/>
    <x v="0"/>
    <s v="MC Medicaid HHA"/>
    <m/>
    <n v="58"/>
    <n v="58"/>
    <n v="58"/>
    <n v="51"/>
    <n v="51"/>
    <n v="51"/>
    <s v="Nursing override"/>
    <m/>
    <s v=""/>
    <x v="1"/>
  </r>
  <r>
    <n v="55"/>
    <x v="6"/>
    <s v="VNS Health Health Plans (ANT)"/>
    <s v="MLTC"/>
    <s v="MLTC"/>
    <s v="RN Reassessment (NB)"/>
    <m/>
    <x v="3"/>
    <x v="0"/>
    <s v="MC Medicaid HHA"/>
    <m/>
    <n v="33"/>
    <n v="39"/>
    <n v="39"/>
    <n v="31"/>
    <n v="37"/>
    <n v="37"/>
    <s v="Nursing override"/>
    <m/>
    <s v=""/>
    <x v="1"/>
  </r>
  <r>
    <n v="56"/>
    <x v="6"/>
    <s v="VNS Health Health Plans (ANT)"/>
    <s v="MLTC"/>
    <s v="MLTC"/>
    <s v="T1019U1 ALB"/>
    <s v="T1019:U1"/>
    <x v="2"/>
    <x v="0"/>
    <s v="MC Medicaid HHA"/>
    <m/>
    <n v="77"/>
    <n v="6431"/>
    <n v="31750"/>
    <n v="68"/>
    <n v="6042"/>
    <n v="29983"/>
    <s v=""/>
    <m/>
    <s v=""/>
    <x v="1"/>
  </r>
  <r>
    <n v="61"/>
    <x v="6"/>
    <s v="VNS Health Health Plans (CDP)"/>
    <s v="MLTC"/>
    <s v="CDPAP"/>
    <s v="T1019U1 ALB"/>
    <s v="T1019:U1"/>
    <x v="2"/>
    <x v="0"/>
    <s v="MC Medicaid HHA"/>
    <m/>
    <n v="1"/>
    <n v="1"/>
    <n v="1"/>
    <n v="1"/>
    <n v="1"/>
    <n v="1"/>
    <s v=""/>
    <m/>
    <s v=""/>
    <x v="1"/>
  </r>
  <r>
    <n v="62"/>
    <x v="6"/>
    <s v="VNS Health Health Plans (CDP)"/>
    <s v="MLTC"/>
    <s v="CDPAP"/>
    <s v="T1019U6 ALB"/>
    <s v="T1019:U6"/>
    <x v="1"/>
    <x v="1"/>
    <s v="MC Medicaid CDPAP"/>
    <m/>
    <n v="77"/>
    <n v="12450"/>
    <n v="52281.5"/>
    <n v="75"/>
    <n v="12374"/>
    <n v="52110"/>
    <s v=""/>
    <m/>
    <s v=""/>
    <x v="1"/>
  </r>
  <r>
    <n v="63"/>
    <x v="6"/>
    <s v="VNS Health Health Plans (CDP)"/>
    <s v="MLTC"/>
    <s v="CDPAP"/>
    <s v="T1019U6 ALB MAP"/>
    <s v="T1019:U6"/>
    <x v="1"/>
    <x v="1"/>
    <s v="MC Medicaid CDPAP"/>
    <m/>
    <n v="1"/>
    <n v="43"/>
    <n v="220.5"/>
    <n v="1"/>
    <n v="43"/>
    <n v="220.5"/>
    <s v=""/>
    <m/>
    <s v=""/>
    <x v="1"/>
  </r>
  <r>
    <n v="64"/>
    <x v="6"/>
    <s v="VNS Health Health Plans (CDP)"/>
    <s v="MLTC"/>
    <s v="CDPAP"/>
    <s v="T1019U6 K"/>
    <s v="T1019:U6"/>
    <x v="1"/>
    <x v="1"/>
    <s v="MC Medicaid CDPAP"/>
    <m/>
    <n v="1"/>
    <n v="308"/>
    <n v="805.75"/>
    <n v="1"/>
    <n v="308"/>
    <n v="805.75"/>
    <s v=""/>
    <m/>
    <s v=""/>
    <x v="1"/>
  </r>
  <r>
    <n v="65"/>
    <x v="6"/>
    <s v="VNS Health Health Plans (CDP)"/>
    <s v="MLTC"/>
    <s v="CDPAP"/>
    <s v="T1019U6 REN"/>
    <s v="T1019:U6"/>
    <x v="1"/>
    <x v="1"/>
    <s v="MC Medicaid CDPAP"/>
    <m/>
    <n v="1"/>
    <n v="359"/>
    <n v="1097.25"/>
    <n v="1"/>
    <n v="359"/>
    <n v="1097.25"/>
    <s v=""/>
    <m/>
    <s v=""/>
    <x v="1"/>
  </r>
  <r>
    <n v="66"/>
    <x v="6"/>
    <s v="VNSNY CHOICE PCA"/>
    <s v="LHCSA"/>
    <s v="MLTC"/>
    <s v="PCA Hourly"/>
    <s v="T1019:U1"/>
    <x v="2"/>
    <x v="0"/>
    <s v="MC Medicaid HHA"/>
    <m/>
    <n v="2"/>
    <n v="21"/>
    <n v="85.5"/>
    <n v="1"/>
    <n v="7"/>
    <n v="17.5"/>
    <s v=""/>
    <m/>
    <s v=""/>
    <x v="1"/>
  </r>
  <r>
    <n v="67"/>
    <x v="6"/>
    <s v="VNSNY CHOICE PCA"/>
    <s v="LHCSA"/>
    <s v="MLTC"/>
    <s v="RN Initial (NB)"/>
    <m/>
    <x v="3"/>
    <x v="0"/>
    <s v="MC Medicaid HHA"/>
    <m/>
    <n v="1"/>
    <n v="1"/>
    <n v="1"/>
    <n v="0"/>
    <n v="0"/>
    <n v="0"/>
    <s v="Nursing override"/>
    <m/>
    <s v=""/>
    <x v="1"/>
  </r>
  <r>
    <n v="69"/>
    <x v="7"/>
    <s v="Fidelis Care (CDP)"/>
    <s v="LHCSA"/>
    <s v="CDPAP"/>
    <s v="T1019:U6"/>
    <s v="T1019:U6"/>
    <x v="1"/>
    <x v="1"/>
    <s v="MC Medicaid CDPAP"/>
    <m/>
    <n v="3"/>
    <n v="330"/>
    <n v="1833.5"/>
    <n v="3"/>
    <n v="330"/>
    <n v="1833.5"/>
    <s v=""/>
    <m/>
    <s v=""/>
    <x v="1"/>
  </r>
  <r>
    <n v="71"/>
    <x v="7"/>
    <s v="Nascentia Health Options CDPAP"/>
    <s v="MLTC"/>
    <s v="CDPAP"/>
    <s v="PA Hourly"/>
    <s v="T1019:U6"/>
    <x v="1"/>
    <x v="1"/>
    <s v="MC Medicaid CDPAP"/>
    <m/>
    <n v="1"/>
    <n v="181"/>
    <n v="520.5"/>
    <n v="1"/>
    <n v="181"/>
    <n v="520.5"/>
    <s v=""/>
    <m/>
    <s v=""/>
    <x v="1"/>
  </r>
  <r>
    <n v="72"/>
    <x v="5"/>
    <s v="Americare"/>
    <s v="CHHA"/>
    <s v="CHHA"/>
    <s v="HHA1"/>
    <s v="S9122"/>
    <x v="0"/>
    <x v="0"/>
    <s v="Other"/>
    <s v="CHHA"/>
    <n v="16"/>
    <n v="285"/>
    <n v="1098.5"/>
    <n v="11"/>
    <n v="162"/>
    <n v="612.25"/>
    <s v=""/>
    <m/>
    <s v=""/>
    <x v="0"/>
  </r>
  <r>
    <n v="73"/>
    <x v="5"/>
    <s v="Americare"/>
    <s v="CHHA"/>
    <s v="CHHA"/>
    <s v="HHAPEDSV"/>
    <s v="S9122"/>
    <x v="0"/>
    <x v="0"/>
    <s v="Other"/>
    <s v="CHHA"/>
    <n v="238"/>
    <n v="33641"/>
    <n v="232792.25"/>
    <n v="218"/>
    <n v="32623"/>
    <n v="226018.5"/>
    <s v=""/>
    <m/>
    <s v=""/>
    <x v="0"/>
  </r>
  <r>
    <n v="74"/>
    <x v="5"/>
    <s v="Amerigroup (Empire) PCA"/>
    <s v="MCO"/>
    <s v="Medicaid"/>
    <s v="PCA HOURLY"/>
    <s v="T1019:U1"/>
    <x v="2"/>
    <x v="0"/>
    <s v="MC Medicaid HHA"/>
    <m/>
    <n v="2"/>
    <n v="127"/>
    <n v="691.75"/>
    <n v="2"/>
    <n v="127"/>
    <n v="691.75"/>
    <s v=""/>
    <m/>
    <s v=""/>
    <x v="1"/>
  </r>
  <r>
    <n v="75"/>
    <x v="5"/>
    <s v="Archcare Community Life CDPAP"/>
    <s v="MCO"/>
    <s v="CDPAP"/>
    <s v="PA Hourly"/>
    <s v="T1019:U6"/>
    <x v="1"/>
    <x v="1"/>
    <s v="MC Medicaid CDPAP"/>
    <m/>
    <n v="3"/>
    <n v="351"/>
    <n v="2018"/>
    <n v="3"/>
    <n v="351"/>
    <n v="2018"/>
    <s v=""/>
    <m/>
    <s v=""/>
    <x v="1"/>
  </r>
  <r>
    <n v="76"/>
    <x v="5"/>
    <s v="Archcare Community Life PCA"/>
    <s v="MCO"/>
    <s v="MLTC"/>
    <s v="PCA Hourly"/>
    <s v="T1019:U1"/>
    <x v="2"/>
    <x v="0"/>
    <s v="MC Medicaid HHA"/>
    <m/>
    <n v="6"/>
    <n v="830"/>
    <n v="6828.75"/>
    <n v="6"/>
    <n v="830"/>
    <n v="6828.75"/>
    <s v=""/>
    <m/>
    <s v=""/>
    <x v="1"/>
  </r>
  <r>
    <n v="77"/>
    <x v="5"/>
    <s v="Archcare Community Life PCA"/>
    <s v="MCO"/>
    <s v="MLTC"/>
    <s v="PRN (NB)"/>
    <m/>
    <x v="3"/>
    <x v="0"/>
    <s v="MC Medicaid HHA"/>
    <m/>
    <n v="1"/>
    <n v="3"/>
    <n v="3"/>
    <n v="1"/>
    <n v="3"/>
    <n v="3"/>
    <s v="Nursing override"/>
    <m/>
    <s v=""/>
    <x v="1"/>
  </r>
  <r>
    <n v="78"/>
    <x v="5"/>
    <s v="Archcare Community Life PCA"/>
    <s v="MCO"/>
    <s v="MLTC"/>
    <s v="RN Initial (NB)"/>
    <m/>
    <x v="3"/>
    <x v="0"/>
    <s v="MC Medicaid HHA"/>
    <m/>
    <n v="1"/>
    <n v="1"/>
    <n v="1"/>
    <n v="1"/>
    <n v="1"/>
    <n v="1"/>
    <s v="Nursing override"/>
    <m/>
    <s v=""/>
    <x v="1"/>
  </r>
  <r>
    <n v="79"/>
    <x v="5"/>
    <s v="Archcare Community Life PCA"/>
    <s v="MCO"/>
    <s v="MLTC"/>
    <s v="RN Reassessment (NB)"/>
    <m/>
    <x v="3"/>
    <x v="0"/>
    <s v="MC Medicaid HHA"/>
    <m/>
    <n v="3"/>
    <n v="3"/>
    <n v="3"/>
    <n v="3"/>
    <n v="3"/>
    <n v="3"/>
    <s v="Nursing override"/>
    <m/>
    <s v=""/>
    <x v="1"/>
  </r>
  <r>
    <n v="80"/>
    <x v="5"/>
    <s v="AVCC, LLC CDPAP"/>
    <s v="MCO"/>
    <s v="MCO"/>
    <s v="PA Hourly"/>
    <s v="T1019:U6"/>
    <x v="1"/>
    <x v="1"/>
    <s v="MC Medicaid CDPAP"/>
    <m/>
    <n v="1"/>
    <n v="42"/>
    <n v="248.5"/>
    <n v="1"/>
    <n v="42"/>
    <n v="248.5"/>
    <s v=""/>
    <m/>
    <s v=""/>
    <x v="1"/>
  </r>
  <r>
    <n v="81"/>
    <x v="5"/>
    <s v="Centerlight CHHA / Cassena Care At Home"/>
    <s v="CHHA"/>
    <s v="CHHA"/>
    <s v="HHA Hourly"/>
    <s v="HH11"/>
    <x v="0"/>
    <x v="0"/>
    <s v="Other"/>
    <s v="CHHA"/>
    <n v="1"/>
    <n v="4"/>
    <n v="15.5"/>
    <n v="1"/>
    <n v="4"/>
    <n v="15.5"/>
    <s v=""/>
    <m/>
    <s v=""/>
    <x v="0"/>
  </r>
  <r>
    <n v="82"/>
    <x v="5"/>
    <s v="CenterLight HealthCare (PACE) (ANT)"/>
    <s v="Other"/>
    <s v="MLTC"/>
    <s v="T1019:U1"/>
    <s v="T1019:U1"/>
    <x v="4"/>
    <x v="0"/>
    <s v="Other"/>
    <m/>
    <n v="1"/>
    <n v="1"/>
    <n v="5"/>
    <n v="1"/>
    <n v="1"/>
    <n v="5"/>
    <s v=""/>
    <m/>
    <s v=""/>
    <x v="0"/>
  </r>
  <r>
    <n v="83"/>
    <x v="5"/>
    <s v="CenterLight HealthCare (PACE) (CDP)"/>
    <s v="Other"/>
    <s v="CDPAP"/>
    <s v="T1019:U6"/>
    <s v="T1019:U6"/>
    <x v="4"/>
    <x v="0"/>
    <s v="Other"/>
    <m/>
    <n v="2"/>
    <n v="588"/>
    <n v="3076.75"/>
    <n v="2"/>
    <n v="588"/>
    <n v="3076.75"/>
    <s v=""/>
    <m/>
    <s v=""/>
    <x v="0"/>
  </r>
  <r>
    <n v="84"/>
    <x v="5"/>
    <s v="Centers Plan For Health Living PCA"/>
    <s v="MLTC"/>
    <s v="MLTC"/>
    <s v="PCA Hourly"/>
    <s v="T1019:U1"/>
    <x v="2"/>
    <x v="0"/>
    <s v="MC Medicaid HHA"/>
    <m/>
    <n v="45"/>
    <n v="6328"/>
    <n v="31502.75"/>
    <n v="41"/>
    <n v="6182"/>
    <n v="30943.25"/>
    <s v=""/>
    <m/>
    <s v=""/>
    <x v="1"/>
  </r>
  <r>
    <n v="85"/>
    <x v="5"/>
    <s v="Centers Plan For Health Living PCA"/>
    <s v="MLTC"/>
    <s v="MLTC"/>
    <s v="PRN (NB)"/>
    <m/>
    <x v="3"/>
    <x v="0"/>
    <s v="MC Medicaid HHA"/>
    <m/>
    <n v="2"/>
    <n v="2"/>
    <n v="2"/>
    <n v="2"/>
    <n v="2"/>
    <n v="2"/>
    <s v="Nursing override"/>
    <m/>
    <s v=""/>
    <x v="1"/>
  </r>
  <r>
    <n v="86"/>
    <x v="5"/>
    <s v="Centers Plan For Health Living PCA"/>
    <s v="MLTC"/>
    <s v="MLTC"/>
    <s v="RN Initial (NB)"/>
    <m/>
    <x v="3"/>
    <x v="0"/>
    <s v="MC Medicaid HHA"/>
    <m/>
    <n v="19"/>
    <n v="19"/>
    <n v="19"/>
    <n v="16"/>
    <n v="16"/>
    <n v="16"/>
    <s v="Nursing override"/>
    <m/>
    <s v=""/>
    <x v="1"/>
  </r>
  <r>
    <n v="87"/>
    <x v="5"/>
    <s v="Centers Plan For Health Living PCA"/>
    <s v="MLTC"/>
    <s v="MLTC"/>
    <s v="RN Reassessment (NB)"/>
    <m/>
    <x v="3"/>
    <x v="0"/>
    <s v="MC Medicaid HHA"/>
    <m/>
    <n v="25"/>
    <n v="39"/>
    <n v="39"/>
    <n v="25"/>
    <n v="39"/>
    <n v="39"/>
    <s v="Nursing override"/>
    <m/>
    <s v=""/>
    <x v="1"/>
  </r>
  <r>
    <n v="91"/>
    <x v="5"/>
    <s v="Centers Plan For Healthy Living CDPAP "/>
    <s v="MLTC"/>
    <s v="CDPAP"/>
    <s v="PA Hourly - 5 Boroughs"/>
    <s v="T1019:U6"/>
    <x v="1"/>
    <x v="1"/>
    <s v="MC Medicaid CDPAP"/>
    <m/>
    <n v="52"/>
    <n v="9543"/>
    <n v="36531.5"/>
    <n v="50"/>
    <n v="9437"/>
    <n v="36049.25"/>
    <s v=""/>
    <m/>
    <s v=""/>
    <x v="1"/>
  </r>
  <r>
    <n v="92"/>
    <x v="5"/>
    <s v="Elderplan MJHS (ANT)"/>
    <s v="MLTC"/>
    <s v="MLTC"/>
    <s v="RN Initial (NB)"/>
    <m/>
    <x v="3"/>
    <x v="0"/>
    <s v="MC Medicaid HHA"/>
    <m/>
    <n v="26"/>
    <n v="27"/>
    <n v="27"/>
    <n v="25"/>
    <n v="26"/>
    <n v="26"/>
    <s v="Nursing override"/>
    <m/>
    <s v=""/>
    <x v="1"/>
  </r>
  <r>
    <n v="93"/>
    <x v="5"/>
    <s v="Elderplan MJHS (ANT)"/>
    <s v="MLTC"/>
    <s v="MLTC"/>
    <s v="RN Reassessment (NB)"/>
    <m/>
    <x v="3"/>
    <x v="0"/>
    <s v="MC Medicaid HHA"/>
    <m/>
    <n v="13"/>
    <n v="15"/>
    <n v="15"/>
    <n v="13"/>
    <n v="15"/>
    <n v="15"/>
    <s v="Nursing override"/>
    <m/>
    <s v=""/>
    <x v="1"/>
  </r>
  <r>
    <n v="94"/>
    <x v="5"/>
    <s v="Elderplan MJHS (ANT)"/>
    <s v="MLTC"/>
    <s v="MLTC"/>
    <s v="T1019:U1"/>
    <s v="T1019:U1"/>
    <x v="2"/>
    <x v="0"/>
    <s v="MC Medicaid HHA"/>
    <m/>
    <n v="36"/>
    <n v="3731"/>
    <n v="17403.75"/>
    <n v="34"/>
    <n v="3614"/>
    <n v="16368"/>
    <s v=""/>
    <m/>
    <s v=""/>
    <x v="1"/>
  </r>
  <r>
    <n v="97"/>
    <x v="5"/>
    <s v="Elderplan MJHS (CDP)"/>
    <s v="MLTC"/>
    <s v="CDPAP"/>
    <s v="T1019:U6"/>
    <s v="T1019:U6"/>
    <x v="1"/>
    <x v="1"/>
    <s v="MC Medicaid CDPAP"/>
    <m/>
    <n v="20"/>
    <n v="3354"/>
    <n v="16185.25"/>
    <n v="17"/>
    <n v="3211"/>
    <n v="15546"/>
    <s v=""/>
    <m/>
    <s v=""/>
    <x v="1"/>
  </r>
  <r>
    <n v="98"/>
    <x v="5"/>
    <s v="Elderplan MJHS (CDP)"/>
    <s v="MLTC"/>
    <s v="CDPAP"/>
    <s v="T1019:U6 MAP"/>
    <s v="T1019:U6"/>
    <x v="1"/>
    <x v="1"/>
    <s v="MC Medicaid CDPAP"/>
    <m/>
    <n v="2"/>
    <n v="83"/>
    <n v="497"/>
    <n v="2"/>
    <n v="83"/>
    <n v="497"/>
    <s v=""/>
    <m/>
    <s v=""/>
    <x v="1"/>
  </r>
  <r>
    <n v="101"/>
    <x v="5"/>
    <s v="ElderServe/Riverspring (CDPAP)"/>
    <s v="MLTC"/>
    <s v="CDPAP"/>
    <s v="PA Hourly"/>
    <s v="T1019:U6"/>
    <x v="1"/>
    <x v="1"/>
    <s v="MC Medicaid CDPAP"/>
    <m/>
    <n v="8"/>
    <n v="1602"/>
    <n v="10031.25"/>
    <n v="6"/>
    <n v="1347"/>
    <n v="7930.25"/>
    <s v=""/>
    <m/>
    <s v=""/>
    <x v="1"/>
  </r>
  <r>
    <n v="102"/>
    <x v="5"/>
    <s v="ElderServe/Riverspring (PCA)"/>
    <s v="MLTC"/>
    <s v="MLTC"/>
    <s v="PCA Hourly NYC"/>
    <s v="T1019:U1"/>
    <x v="2"/>
    <x v="0"/>
    <s v="MC Medicaid HHA"/>
    <m/>
    <n v="4"/>
    <n v="219"/>
    <n v="1379.75"/>
    <n v="4"/>
    <n v="219"/>
    <n v="1379.75"/>
    <s v=""/>
    <m/>
    <s v=""/>
    <x v="1"/>
  </r>
  <r>
    <n v="103"/>
    <x v="5"/>
    <s v="ElderServe/Riverspring (PCA)"/>
    <s v="MLTC"/>
    <s v="MLTC"/>
    <s v="RN Initial (NB)"/>
    <m/>
    <x v="3"/>
    <x v="0"/>
    <s v="MC Medicaid HHA"/>
    <m/>
    <n v="4"/>
    <n v="4"/>
    <n v="4"/>
    <n v="4"/>
    <n v="4"/>
    <n v="4"/>
    <s v="Nursing override"/>
    <m/>
    <s v=""/>
    <x v="1"/>
  </r>
  <r>
    <n v="106"/>
    <x v="5"/>
    <s v="Empire Blue Cross Blue Shield (CDPAP)"/>
    <s v="Other"/>
    <s v="CDPAP"/>
    <s v="PA Hourly (New)"/>
    <s v="T1019:U6"/>
    <x v="1"/>
    <x v="1"/>
    <s v="MC Medicaid CDPAP"/>
    <m/>
    <n v="36"/>
    <n v="6798"/>
    <n v="39980.25"/>
    <n v="35"/>
    <n v="6648"/>
    <n v="39088.25"/>
    <s v=""/>
    <m/>
    <s v=""/>
    <x v="1"/>
  </r>
  <r>
    <n v="107"/>
    <x v="5"/>
    <s v="Empire Blue Cross Blue Shield (PCA)"/>
    <s v="Other"/>
    <s v="MLTC"/>
    <s v="PCA Hourly NYC"/>
    <s v="T1019:U1"/>
    <x v="2"/>
    <x v="0"/>
    <s v="MC Medicaid HHA"/>
    <m/>
    <n v="28"/>
    <n v="3400"/>
    <n v="20283.5"/>
    <n v="28"/>
    <n v="3400"/>
    <n v="20283.5"/>
    <s v=""/>
    <m/>
    <s v=""/>
    <x v="1"/>
  </r>
  <r>
    <n v="108"/>
    <x v="5"/>
    <s v="Empire Blue Cross Blue Shield (PCA)"/>
    <s v="Other"/>
    <s v="MLTC"/>
    <s v="PCA Live In"/>
    <s v="T1020"/>
    <x v="8"/>
    <x v="0"/>
    <s v="MC Medicaid HHA"/>
    <m/>
    <n v="2"/>
    <n v="594"/>
    <n v="7722"/>
    <n v="2"/>
    <n v="594"/>
    <n v="7722"/>
    <s v=""/>
    <m/>
    <n v="13"/>
    <x v="1"/>
  </r>
  <r>
    <n v="109"/>
    <x v="5"/>
    <s v="Empire Blue Cross Blue Shield (PCA)"/>
    <s v="Other"/>
    <s v="MLTC"/>
    <s v="RN Initial (NB)"/>
    <m/>
    <x v="3"/>
    <x v="0"/>
    <s v="MC Medicaid HHA"/>
    <m/>
    <n v="16"/>
    <n v="17"/>
    <n v="17"/>
    <n v="16"/>
    <n v="17"/>
    <n v="17"/>
    <s v="Nursing override"/>
    <m/>
    <s v=""/>
    <x v="1"/>
  </r>
  <r>
    <n v="110"/>
    <x v="5"/>
    <s v="Empire Blue Cross Blue Shield (PCA)"/>
    <s v="Other"/>
    <s v="MLTC"/>
    <s v="RN Reassessment (NB)"/>
    <m/>
    <x v="3"/>
    <x v="0"/>
    <s v="MC Medicaid HHA"/>
    <m/>
    <n v="20"/>
    <n v="28"/>
    <n v="28"/>
    <n v="20"/>
    <n v="28"/>
    <n v="28"/>
    <s v="Nursing override"/>
    <m/>
    <s v=""/>
    <x v="1"/>
  </r>
  <r>
    <n v="111"/>
    <x v="5"/>
    <s v="Excellent Home Care Services"/>
    <s v="CHHA"/>
    <s v="CHHA"/>
    <s v="Rate3"/>
    <m/>
    <x v="0"/>
    <x v="0"/>
    <s v="Other"/>
    <s v="CHHA"/>
    <n v="44"/>
    <n v="6417"/>
    <n v="35497.25"/>
    <n v="43"/>
    <n v="6346"/>
    <n v="35020.25"/>
    <s v=""/>
    <m/>
    <s v=""/>
    <x v="0"/>
  </r>
  <r>
    <n v="112"/>
    <x v="5"/>
    <s v="Extended Home Care"/>
    <s v="CHHA"/>
    <s v="CHHA"/>
    <s v="PedCode95"/>
    <s v="-"/>
    <x v="0"/>
    <x v="0"/>
    <s v="Other"/>
    <s v="CHHA"/>
    <n v="44"/>
    <n v="4731"/>
    <n v="29662.25"/>
    <n v="42"/>
    <n v="4692"/>
    <n v="29494.5"/>
    <s v=""/>
    <m/>
    <s v=""/>
    <x v="0"/>
  </r>
  <r>
    <n v="113"/>
    <x v="5"/>
    <s v="Extended Home Care"/>
    <s v="CHHA"/>
    <s v="CHHA"/>
    <s v="Rate1"/>
    <m/>
    <x v="0"/>
    <x v="0"/>
    <s v="Other"/>
    <s v="CHHA"/>
    <n v="76"/>
    <n v="5561"/>
    <n v="24434.25"/>
    <n v="66"/>
    <n v="5304"/>
    <n v="23444"/>
    <s v=""/>
    <m/>
    <s v=""/>
    <x v="0"/>
  </r>
  <r>
    <n v="115"/>
    <x v="5"/>
    <s v="Fidelis Care (ANT)"/>
    <s v="LHCSA"/>
    <s v="MLTC"/>
    <s v="PRN (NB)"/>
    <m/>
    <x v="3"/>
    <x v="0"/>
    <s v="MC Medicaid HHA"/>
    <m/>
    <n v="2"/>
    <n v="2"/>
    <n v="2"/>
    <n v="1"/>
    <n v="1"/>
    <n v="1"/>
    <s v="Nursing override"/>
    <m/>
    <s v=""/>
    <x v="1"/>
  </r>
  <r>
    <n v="116"/>
    <x v="5"/>
    <s v="Fidelis Care (ANT)"/>
    <s v="LHCSA"/>
    <s v="MLTC"/>
    <s v="RN Initial (NB)"/>
    <m/>
    <x v="3"/>
    <x v="0"/>
    <s v="MC Medicaid HHA"/>
    <m/>
    <n v="50"/>
    <n v="50"/>
    <n v="50"/>
    <n v="42"/>
    <n v="42"/>
    <n v="42"/>
    <s v="Nursing override"/>
    <m/>
    <s v=""/>
    <x v="1"/>
  </r>
  <r>
    <n v="117"/>
    <x v="5"/>
    <s v="Fidelis Care (ANT)"/>
    <s v="LHCSA"/>
    <s v="MLTC"/>
    <s v="RN Initial Assement"/>
    <s v="T2024"/>
    <x v="3"/>
    <x v="0"/>
    <s v="MC Medicaid HHA"/>
    <m/>
    <n v="14"/>
    <n v="14"/>
    <n v="14"/>
    <n v="13"/>
    <n v="13"/>
    <n v="13"/>
    <s v="nursing"/>
    <m/>
    <s v=""/>
    <x v="1"/>
  </r>
  <r>
    <n v="118"/>
    <x v="5"/>
    <s v="Fidelis Care (ANT)"/>
    <s v="LHCSA"/>
    <s v="MLTC"/>
    <s v="RN Reassessment (NB)"/>
    <m/>
    <x v="3"/>
    <x v="0"/>
    <s v="MC Medicaid HHA"/>
    <m/>
    <n v="35"/>
    <n v="47"/>
    <n v="47"/>
    <n v="35"/>
    <n v="47"/>
    <n v="47"/>
    <s v="Nursing override"/>
    <m/>
    <s v=""/>
    <x v="1"/>
  </r>
  <r>
    <n v="119"/>
    <x v="5"/>
    <s v="Fidelis Care (ANT)"/>
    <s v="LHCSA"/>
    <s v="MLTC"/>
    <s v="S5130:U1"/>
    <s v="S5130:U1::::Homemaker"/>
    <x v="6"/>
    <x v="0"/>
    <s v="MC Medicaid HHA"/>
    <m/>
    <n v="2"/>
    <n v="47"/>
    <n v="169.75"/>
    <n v="2"/>
    <n v="47"/>
    <n v="169.75"/>
    <s v=""/>
    <m/>
    <s v=""/>
    <x v="1"/>
  </r>
  <r>
    <n v="120"/>
    <x v="5"/>
    <s v="Fidelis Care (ANT)"/>
    <s v="LHCSA"/>
    <s v="MLTC"/>
    <s v="T1019:U1"/>
    <s v="T1019:U1"/>
    <x v="2"/>
    <x v="0"/>
    <s v="MC Medicaid HHA"/>
    <m/>
    <n v="96"/>
    <n v="7180"/>
    <n v="34459"/>
    <n v="81"/>
    <n v="6736"/>
    <n v="32102.5"/>
    <s v=""/>
    <m/>
    <s v=""/>
    <x v="1"/>
  </r>
  <r>
    <n v="121"/>
    <x v="5"/>
    <s v="Fidelis Care (ANT)"/>
    <s v="LHCSA"/>
    <s v="MLTC"/>
    <s v="T1019:U6"/>
    <s v="T1019:U6"/>
    <x v="1"/>
    <x v="1"/>
    <s v="MC Medicaid CDPAP"/>
    <m/>
    <n v="1"/>
    <n v="8"/>
    <n v="40"/>
    <n v="1"/>
    <n v="8"/>
    <n v="40"/>
    <s v=""/>
    <m/>
    <s v=""/>
    <x v="1"/>
  </r>
  <r>
    <n v="122"/>
    <x v="5"/>
    <s v="Fidelis Care (ANT)"/>
    <s v="LHCSA"/>
    <s v="MLTC"/>
    <s v="T1020"/>
    <s v="T1020"/>
    <x v="8"/>
    <x v="0"/>
    <s v="MC Medicaid HHA"/>
    <m/>
    <n v="3"/>
    <n v="348"/>
    <n v="4524"/>
    <n v="3"/>
    <n v="348"/>
    <n v="4524"/>
    <s v=""/>
    <m/>
    <n v="13"/>
    <x v="1"/>
  </r>
  <r>
    <n v="127"/>
    <x v="5"/>
    <s v="Fidelis Care (CDP)"/>
    <s v="LHCSA"/>
    <s v="CDPAP"/>
    <s v="RN Initial Assement"/>
    <m/>
    <x v="3"/>
    <x v="0"/>
    <s v="MC Medicaid HHA"/>
    <m/>
    <n v="1"/>
    <n v="1"/>
    <n v="1"/>
    <n v="1"/>
    <n v="1"/>
    <n v="1"/>
    <s v="nursing"/>
    <m/>
    <s v=""/>
    <x v="1"/>
  </r>
  <r>
    <n v="128"/>
    <x v="5"/>
    <s v="Fidelis Care (CDP)"/>
    <s v="LHCSA"/>
    <s v="CDPAP"/>
    <s v="T1019:U1"/>
    <s v="T1019:U1"/>
    <x v="2"/>
    <x v="0"/>
    <s v="MC Medicaid HHA"/>
    <m/>
    <n v="1"/>
    <n v="6"/>
    <n v="22"/>
    <n v="1"/>
    <n v="6"/>
    <n v="22"/>
    <s v=""/>
    <m/>
    <s v=""/>
    <x v="1"/>
  </r>
  <r>
    <n v="129"/>
    <x v="5"/>
    <s v="Fidelis Care (CDP)"/>
    <s v="LHCSA"/>
    <s v="CDPAP"/>
    <s v="T1019:U6"/>
    <s v="T1019:U6"/>
    <x v="1"/>
    <x v="1"/>
    <s v="MC Medicaid CDPAP"/>
    <m/>
    <n v="91"/>
    <n v="12522"/>
    <n v="56128.25"/>
    <n v="88"/>
    <n v="12213"/>
    <n v="54710.75"/>
    <s v=""/>
    <m/>
    <s v=""/>
    <x v="1"/>
  </r>
  <r>
    <n v="130"/>
    <x v="5"/>
    <s v="Fidelis Care (CDP)"/>
    <s v="LHCSA"/>
    <s v="CDPAP"/>
    <s v="T1020:U6"/>
    <s v="T1020:U6"/>
    <x v="9"/>
    <x v="1"/>
    <s v="MC Medicaid CDPAP"/>
    <m/>
    <n v="1"/>
    <n v="365"/>
    <n v="4745"/>
    <n v="1"/>
    <n v="365"/>
    <n v="4745"/>
    <s v=""/>
    <m/>
    <n v="13"/>
    <x v="1"/>
  </r>
  <r>
    <n v="131"/>
    <x v="5"/>
    <s v="Fidelis Care PCA (Non Live)"/>
    <s v="MLTC"/>
    <s v="MLTC"/>
    <s v="PCA Hourly"/>
    <s v="T1019:U1"/>
    <x v="2"/>
    <x v="0"/>
    <s v="MC Medicaid HHA"/>
    <m/>
    <n v="2"/>
    <n v="14"/>
    <n v="53"/>
    <n v="1"/>
    <n v="1"/>
    <n v="1"/>
    <s v=""/>
    <m/>
    <s v=""/>
    <x v="1"/>
  </r>
  <r>
    <n v="132"/>
    <x v="5"/>
    <s v="Fidelis Care PCA (Non Live)"/>
    <s v="MLTC"/>
    <s v="MLTC"/>
    <s v="RN Initial (NB)"/>
    <s v="G0162"/>
    <x v="3"/>
    <x v="0"/>
    <s v="MC Medicaid HHA"/>
    <m/>
    <n v="2"/>
    <n v="2"/>
    <n v="2"/>
    <n v="1"/>
    <n v="1"/>
    <n v="1"/>
    <s v="Nursing override"/>
    <m/>
    <s v=""/>
    <x v="1"/>
  </r>
  <r>
    <n v="133"/>
    <x v="5"/>
    <s v="Fidelis Care PCA (Non Live)"/>
    <s v="MLTC"/>
    <s v="MLTC"/>
    <s v="Rn initial assement"/>
    <s v="G0162"/>
    <x v="3"/>
    <x v="0"/>
    <s v="MC Medicaid HHA"/>
    <m/>
    <n v="7"/>
    <n v="7"/>
    <n v="7"/>
    <n v="7"/>
    <n v="7"/>
    <n v="7"/>
    <s v="nursing"/>
    <m/>
    <s v=""/>
    <x v="1"/>
  </r>
  <r>
    <n v="134"/>
    <x v="5"/>
    <s v="Fidelis Care PCA (Non Live)"/>
    <s v="MLTC"/>
    <s v="MLTC"/>
    <s v="RN Reassessment (NB)"/>
    <m/>
    <x v="3"/>
    <x v="0"/>
    <s v="MC Medicaid HHA"/>
    <m/>
    <n v="1"/>
    <n v="1"/>
    <n v="1"/>
    <n v="1"/>
    <n v="1"/>
    <n v="1"/>
    <s v="Nursing override"/>
    <m/>
    <s v=""/>
    <x v="1"/>
  </r>
  <r>
    <n v="137"/>
    <x v="5"/>
    <s v="Hamaspik Choice (MLTC) CDPAP"/>
    <s v="MCO"/>
    <s v="CDPAP"/>
    <s v="PA Hourly NYC , Nassau, Westchester"/>
    <s v="T1019:U6"/>
    <x v="1"/>
    <x v="1"/>
    <s v="MC Medicaid CDPAP"/>
    <m/>
    <n v="4"/>
    <n v="1065"/>
    <n v="4956.75"/>
    <n v="4"/>
    <n v="1065"/>
    <n v="4956.75"/>
    <s v=""/>
    <m/>
    <s v=""/>
    <x v="1"/>
  </r>
  <r>
    <n v="140"/>
    <x v="5"/>
    <s v="Hamaspik Choice MLTC (PCA)"/>
    <s v="MLTC"/>
    <s v="MLTC"/>
    <s v="PCA Hourly"/>
    <s v="T1019:U1"/>
    <x v="2"/>
    <x v="0"/>
    <s v="MC Medicaid HHA"/>
    <m/>
    <n v="4"/>
    <n v="628"/>
    <n v="2389.25"/>
    <n v="4"/>
    <n v="628"/>
    <n v="2389.25"/>
    <s v=""/>
    <m/>
    <s v=""/>
    <x v="1"/>
  </r>
  <r>
    <n v="141"/>
    <x v="5"/>
    <s v="Hamaspik Choice MLTC (PCA)"/>
    <s v="MLTC"/>
    <s v="MLTC"/>
    <s v="PCA Live In"/>
    <s v="T1020"/>
    <x v="8"/>
    <x v="0"/>
    <s v="MC Medicaid HHA"/>
    <m/>
    <n v="1"/>
    <n v="10"/>
    <n v="130"/>
    <n v="1"/>
    <n v="10"/>
    <n v="130"/>
    <s v=""/>
    <m/>
    <n v="13"/>
    <x v="1"/>
  </r>
  <r>
    <n v="142"/>
    <x v="5"/>
    <s v="Hamaspik Choice MLTC (PCA)"/>
    <s v="MLTC"/>
    <s v="MLTC"/>
    <s v="RN Initial (NB)"/>
    <m/>
    <x v="3"/>
    <x v="0"/>
    <s v="MC Medicaid HHA"/>
    <m/>
    <n v="4"/>
    <n v="4"/>
    <n v="4"/>
    <n v="4"/>
    <n v="4"/>
    <n v="4"/>
    <s v="Nursing override"/>
    <m/>
    <s v=""/>
    <x v="1"/>
  </r>
  <r>
    <n v="143"/>
    <x v="5"/>
    <s v="Hamaspik Choice MLTC (PCA)"/>
    <s v="MLTC"/>
    <s v="MLTC"/>
    <s v="RN Reassessment (NB)"/>
    <m/>
    <x v="3"/>
    <x v="0"/>
    <s v="MC Medicaid HHA"/>
    <m/>
    <n v="2"/>
    <n v="2"/>
    <n v="2"/>
    <n v="2"/>
    <n v="2"/>
    <n v="2"/>
    <s v="Nursing override"/>
    <m/>
    <s v=""/>
    <x v="1"/>
  </r>
  <r>
    <n v="146"/>
    <x v="5"/>
    <s v="Hamaspik MAP CDPAP"/>
    <s v="MCO"/>
    <s v="CDPAP"/>
    <s v="PA Hourly (NYC, LI, &amp; Westchester)"/>
    <s v="T1019:U6"/>
    <x v="1"/>
    <x v="1"/>
    <s v="MC Medicaid CDPAP"/>
    <m/>
    <n v="4"/>
    <n v="731"/>
    <n v="3622.25"/>
    <n v="4"/>
    <n v="731"/>
    <n v="3622.25"/>
    <s v=""/>
    <m/>
    <s v=""/>
    <x v="1"/>
  </r>
  <r>
    <n v="149"/>
    <x v="5"/>
    <s v="Hamaspik MAP PCA"/>
    <s v="MCO"/>
    <s v="MLTC"/>
    <s v="PCA Hourly"/>
    <s v="T1019:U1"/>
    <x v="2"/>
    <x v="0"/>
    <s v="MC Medicaid HHA"/>
    <m/>
    <n v="9"/>
    <n v="711"/>
    <n v="3766.25"/>
    <n v="9"/>
    <n v="711"/>
    <n v="3766.25"/>
    <s v=""/>
    <m/>
    <s v=""/>
    <x v="1"/>
  </r>
  <r>
    <n v="150"/>
    <x v="5"/>
    <s v="Hamaspik MAP PCA"/>
    <s v="MCO"/>
    <s v="MLTC"/>
    <s v="PRN (NB)"/>
    <m/>
    <x v="3"/>
    <x v="0"/>
    <s v="MC Medicaid HHA"/>
    <m/>
    <n v="1"/>
    <n v="2"/>
    <n v="2"/>
    <n v="1"/>
    <n v="2"/>
    <n v="2"/>
    <s v="Nursing override"/>
    <m/>
    <s v=""/>
    <x v="1"/>
  </r>
  <r>
    <n v="151"/>
    <x v="5"/>
    <s v="Hamaspik MAP PCA"/>
    <s v="MCO"/>
    <s v="MLTC"/>
    <s v="RN Initial (NB)"/>
    <m/>
    <x v="3"/>
    <x v="0"/>
    <s v="MC Medicaid HHA"/>
    <m/>
    <n v="7"/>
    <n v="7"/>
    <n v="7"/>
    <n v="7"/>
    <n v="7"/>
    <n v="7"/>
    <s v="Nursing override"/>
    <m/>
    <s v=""/>
    <x v="1"/>
  </r>
  <r>
    <n v="152"/>
    <x v="5"/>
    <s v="Hamaspik MAP PCA"/>
    <s v="MCO"/>
    <s v="MLTC"/>
    <s v="RN Reassessment (NB)"/>
    <m/>
    <x v="3"/>
    <x v="0"/>
    <s v="MC Medicaid HHA"/>
    <m/>
    <n v="1"/>
    <n v="1"/>
    <n v="1"/>
    <n v="1"/>
    <n v="1"/>
    <n v="1"/>
    <s v="Nursing override"/>
    <m/>
    <s v=""/>
    <x v="1"/>
  </r>
  <r>
    <n v="154"/>
    <x v="5"/>
    <s v="Healthfirst (ANT)"/>
    <s v="CHHA"/>
    <s v="MLTC"/>
    <s v="PRN (NB)"/>
    <m/>
    <x v="3"/>
    <x v="0"/>
    <s v="MC Medicaid HHA"/>
    <m/>
    <n v="4"/>
    <n v="5"/>
    <n v="5"/>
    <n v="4"/>
    <n v="5"/>
    <n v="5"/>
    <s v="Nursing override"/>
    <m/>
    <s v=""/>
    <x v="1"/>
  </r>
  <r>
    <n v="155"/>
    <x v="5"/>
    <s v="Healthfirst (ANT)"/>
    <s v="CHHA"/>
    <s v="MLTC"/>
    <s v="RN Initial (NB)"/>
    <m/>
    <x v="3"/>
    <x v="0"/>
    <s v="MC Medicaid HHA"/>
    <m/>
    <n v="32"/>
    <n v="32"/>
    <n v="32"/>
    <n v="25"/>
    <n v="25"/>
    <n v="25"/>
    <s v="Nursing override"/>
    <m/>
    <s v=""/>
    <x v="1"/>
  </r>
  <r>
    <n v="156"/>
    <x v="5"/>
    <s v="Healthfirst (ANT)"/>
    <s v="CHHA"/>
    <s v="MLTC"/>
    <s v="RN Reassessment (NB)"/>
    <m/>
    <x v="3"/>
    <x v="0"/>
    <s v="MC Medicaid HHA"/>
    <m/>
    <n v="29"/>
    <n v="44"/>
    <n v="44"/>
    <n v="28"/>
    <n v="43"/>
    <n v="43"/>
    <s v="Nursing override"/>
    <m/>
    <s v=""/>
    <x v="1"/>
  </r>
  <r>
    <n v="157"/>
    <x v="5"/>
    <s v="Healthfirst (ANT)"/>
    <s v="CHHA"/>
    <s v="MLTC"/>
    <s v="T1019:U1"/>
    <s v="T1019:U1"/>
    <x v="2"/>
    <x v="0"/>
    <s v="MC Medicaid HHA"/>
    <m/>
    <n v="67"/>
    <n v="6630"/>
    <n v="39056"/>
    <n v="57"/>
    <n v="6349"/>
    <n v="37650.5"/>
    <s v=""/>
    <m/>
    <s v=""/>
    <x v="1"/>
  </r>
  <r>
    <n v="158"/>
    <x v="5"/>
    <s v="Healthfirst (ANT)"/>
    <s v="CHHA"/>
    <s v="MLTC"/>
    <s v="T1019:U1:CC"/>
    <s v="T1019:U1"/>
    <x v="2"/>
    <x v="0"/>
    <s v="MC Medicaid HHA"/>
    <m/>
    <n v="1"/>
    <n v="8"/>
    <n v="62.5"/>
    <n v="1"/>
    <n v="8"/>
    <n v="62.5"/>
    <s v=""/>
    <m/>
    <s v=""/>
    <x v="1"/>
  </r>
  <r>
    <n v="159"/>
    <x v="5"/>
    <s v="Healthfirst (ANT)"/>
    <s v="CHHA"/>
    <s v="MLTC"/>
    <s v="T1019:U6"/>
    <s v="T1019:U6"/>
    <x v="1"/>
    <x v="1"/>
    <s v="MC Medicaid CDPAP"/>
    <m/>
    <n v="1"/>
    <n v="39"/>
    <n v="175.5"/>
    <n v="1"/>
    <n v="39"/>
    <n v="175.5"/>
    <s v=""/>
    <m/>
    <s v=""/>
    <x v="1"/>
  </r>
  <r>
    <n v="160"/>
    <x v="5"/>
    <s v="Healthfirst (ANT)"/>
    <s v="CHHA"/>
    <s v="MLTC"/>
    <s v="T1020"/>
    <s v="T1020"/>
    <x v="8"/>
    <x v="0"/>
    <s v="MC Medicaid HHA"/>
    <m/>
    <n v="1"/>
    <n v="31"/>
    <n v="403"/>
    <n v="1"/>
    <n v="31"/>
    <n v="403"/>
    <s v=""/>
    <m/>
    <n v="13"/>
    <x v="1"/>
  </r>
  <r>
    <n v="164"/>
    <x v="5"/>
    <s v="Healthfirst (CDP)"/>
    <s v="CHHA"/>
    <s v="CDPAP"/>
    <s v="T1019:U6"/>
    <s v="T1019:U6"/>
    <x v="1"/>
    <x v="1"/>
    <s v="MC Medicaid CDPAP"/>
    <m/>
    <n v="81"/>
    <n v="8998"/>
    <n v="47170.75"/>
    <n v="77"/>
    <n v="8803"/>
    <n v="46284"/>
    <s v=""/>
    <m/>
    <s v=""/>
    <x v="1"/>
  </r>
  <r>
    <n v="165"/>
    <x v="5"/>
    <s v="Healthfirst (CDP)"/>
    <s v="CHHA"/>
    <s v="CDPAP"/>
    <s v="T1019:U6:CC"/>
    <s v="T1019:U6"/>
    <x v="1"/>
    <x v="1"/>
    <s v="MC Medicaid CDPAP"/>
    <m/>
    <n v="1"/>
    <n v="262"/>
    <n v="1362"/>
    <n v="1"/>
    <n v="262"/>
    <n v="1362"/>
    <s v=""/>
    <m/>
    <s v=""/>
    <x v="1"/>
  </r>
  <r>
    <n v="166"/>
    <x v="5"/>
    <s v="Healthfirst PCA MAP (Complete Care) (Non Live)"/>
    <s v="MCO"/>
    <s v="MLTC"/>
    <s v="RN Reassessment (NB)"/>
    <m/>
    <x v="3"/>
    <x v="0"/>
    <s v="MC Medicaid HHA"/>
    <m/>
    <n v="1"/>
    <n v="1"/>
    <n v="1"/>
    <n v="1"/>
    <n v="1"/>
    <n v="1"/>
    <s v="Nursing override"/>
    <m/>
    <s v=""/>
    <x v="1"/>
  </r>
  <r>
    <n v="167"/>
    <x v="5"/>
    <s v="HEALTHFIRST PHSP (Medicaid) (Non Live)"/>
    <s v="CHHA"/>
    <s v="MCO"/>
    <s v="PCA Hourly"/>
    <s v="T1019:U1"/>
    <x v="2"/>
    <x v="0"/>
    <s v="MC Medicaid HHA"/>
    <m/>
    <n v="1"/>
    <n v="1"/>
    <n v="1"/>
    <n v="1"/>
    <n v="1"/>
    <n v="1"/>
    <s v=""/>
    <m/>
    <s v=""/>
    <x v="1"/>
  </r>
  <r>
    <n v="168"/>
    <x v="5"/>
    <s v="HEALTHFIRST PHSP (Medicaid) (Non Live)"/>
    <s v="CHHA"/>
    <s v="MCO"/>
    <s v="RN Initial (NB)"/>
    <m/>
    <x v="3"/>
    <x v="0"/>
    <s v="MC Medicaid HHA"/>
    <m/>
    <n v="1"/>
    <n v="1"/>
    <n v="1"/>
    <n v="1"/>
    <n v="1"/>
    <n v="1"/>
    <s v="Nursing override"/>
    <m/>
    <s v=""/>
    <x v="1"/>
  </r>
  <r>
    <n v="169"/>
    <x v="5"/>
    <s v="NHTD"/>
    <s v="LHCSA"/>
    <s v="Medicaid"/>
    <s v="HCSS 9795 NYC"/>
    <s v="9795"/>
    <x v="4"/>
    <x v="0"/>
    <s v="Other"/>
    <m/>
    <n v="68"/>
    <n v="23886"/>
    <n v="268079.25"/>
    <n v="68"/>
    <n v="23886"/>
    <n v="268079.25"/>
    <s v=""/>
    <m/>
    <s v=""/>
    <x v="0"/>
  </r>
  <r>
    <n v="170"/>
    <x v="5"/>
    <s v="NHTD"/>
    <s v="LHCSA"/>
    <s v="Medicaid"/>
    <s v="Initial RN Visit 9799 (Hourly)"/>
    <s v="9799"/>
    <x v="4"/>
    <x v="0"/>
    <s v="Other"/>
    <m/>
    <n v="39"/>
    <n v="39"/>
    <n v="38"/>
    <n v="39"/>
    <n v="39"/>
    <n v="39"/>
    <m/>
    <m/>
    <s v=""/>
    <x v="0"/>
  </r>
  <r>
    <n v="171"/>
    <x v="5"/>
    <s v="NHTD"/>
    <s v="LHCSA"/>
    <s v="Medicaid"/>
    <s v="Non billable Hourly"/>
    <m/>
    <x v="4"/>
    <x v="0"/>
    <s v="Other"/>
    <m/>
    <n v="1"/>
    <n v="4"/>
    <n v="48"/>
    <n v="1"/>
    <n v="4"/>
    <n v="48"/>
    <s v=""/>
    <m/>
    <s v=""/>
    <x v="0"/>
  </r>
  <r>
    <n v="172"/>
    <x v="5"/>
    <s v="NHTD"/>
    <s v="LHCSA"/>
    <s v="Medicaid"/>
    <s v="PRN (NB)"/>
    <m/>
    <x v="4"/>
    <x v="0"/>
    <s v="Other"/>
    <m/>
    <n v="2"/>
    <n v="2"/>
    <n v="2"/>
    <n v="2"/>
    <n v="2"/>
    <n v="2"/>
    <m/>
    <m/>
    <s v=""/>
    <x v="0"/>
  </r>
  <r>
    <n v="173"/>
    <x v="5"/>
    <s v="NHTD"/>
    <s v="LHCSA"/>
    <s v="Medicaid"/>
    <s v="RN Initial (NB)"/>
    <m/>
    <x v="4"/>
    <x v="0"/>
    <s v="Other"/>
    <m/>
    <n v="5"/>
    <n v="5"/>
    <n v="5"/>
    <n v="5"/>
    <n v="5"/>
    <n v="5"/>
    <m/>
    <m/>
    <s v=""/>
    <x v="0"/>
  </r>
  <r>
    <n v="174"/>
    <x v="5"/>
    <s v="NHTD"/>
    <s v="LHCSA"/>
    <s v="Medicaid"/>
    <s v="RN Reassessment (NB)"/>
    <m/>
    <x v="4"/>
    <x v="0"/>
    <s v="Other"/>
    <m/>
    <n v="2"/>
    <n v="2"/>
    <n v="2"/>
    <n v="2"/>
    <n v="2"/>
    <n v="2"/>
    <m/>
    <m/>
    <s v=""/>
    <x v="0"/>
  </r>
  <r>
    <n v="175"/>
    <x v="5"/>
    <s v="NHTD"/>
    <s v="LHCSA"/>
    <s v="Medicaid"/>
    <s v="RN Visit 9799 (Hourly)"/>
    <s v="9799"/>
    <x v="4"/>
    <x v="0"/>
    <s v="Other"/>
    <m/>
    <n v="44"/>
    <n v="70"/>
    <n v="67.5"/>
    <n v="44"/>
    <n v="70"/>
    <n v="70"/>
    <m/>
    <m/>
    <s v=""/>
    <x v="0"/>
  </r>
  <r>
    <n v="176"/>
    <x v="5"/>
    <s v="Non Billable"/>
    <s v="Other"/>
    <s v="Insurance"/>
    <s v="PA Hourly"/>
    <m/>
    <x v="5"/>
    <x v="0"/>
    <s v="Private Pay"/>
    <m/>
    <n v="2"/>
    <n v="8"/>
    <n v="38"/>
    <n v="2"/>
    <n v="8"/>
    <n v="38"/>
    <s v=""/>
    <m/>
    <s v=""/>
    <x v="0"/>
  </r>
  <r>
    <n v="177"/>
    <x v="5"/>
    <s v="Non Billable"/>
    <s v="Other"/>
    <s v="Insurance"/>
    <s v="PCA Hourly"/>
    <m/>
    <x v="5"/>
    <x v="0"/>
    <s v="Private Pay"/>
    <m/>
    <n v="21"/>
    <n v="33"/>
    <n v="97.75"/>
    <n v="21"/>
    <n v="33"/>
    <n v="97.75"/>
    <s v=""/>
    <m/>
    <s v=""/>
    <x v="0"/>
  </r>
  <r>
    <n v="178"/>
    <x v="5"/>
    <s v="Prime Home Health Services"/>
    <s v="CHHA"/>
    <s v="CHHA"/>
    <s v="HHAHRPED"/>
    <s v="99999"/>
    <x v="0"/>
    <x v="0"/>
    <s v="Other"/>
    <s v="CHHA"/>
    <n v="6"/>
    <n v="271"/>
    <n v="2013.5"/>
    <n v="6"/>
    <n v="271"/>
    <n v="2013.5"/>
    <s v=""/>
    <m/>
    <s v=""/>
    <x v="0"/>
  </r>
  <r>
    <n v="179"/>
    <x v="5"/>
    <s v="Private Pay"/>
    <s v="Other"/>
    <s v="Private"/>
    <s v="PCA Hourly"/>
    <m/>
    <x v="5"/>
    <x v="0"/>
    <s v="Private Pay"/>
    <m/>
    <n v="9"/>
    <n v="17"/>
    <n v="60.25"/>
    <n v="7"/>
    <n v="10"/>
    <n v="34.25"/>
    <s v=""/>
    <m/>
    <s v=""/>
    <x v="0"/>
  </r>
  <r>
    <n v="180"/>
    <x v="5"/>
    <s v="Private Pay - Select"/>
    <s v="Other"/>
    <s v="Private"/>
    <s v="PCA Hourly"/>
    <m/>
    <x v="5"/>
    <x v="0"/>
    <s v="Private Pay"/>
    <m/>
    <n v="2"/>
    <n v="210"/>
    <n v="1126.5"/>
    <n v="2"/>
    <n v="210"/>
    <n v="1126.5"/>
    <s v=""/>
    <m/>
    <s v=""/>
    <x v="0"/>
  </r>
  <r>
    <n v="181"/>
    <x v="5"/>
    <s v="Private Pay - Select"/>
    <s v="Other"/>
    <s v="Private"/>
    <s v="RN Initial (NB)"/>
    <m/>
    <x v="5"/>
    <x v="0"/>
    <s v="Private Pay"/>
    <m/>
    <n v="1"/>
    <n v="1"/>
    <n v="0.5"/>
    <n v="1"/>
    <n v="1"/>
    <n v="1"/>
    <s v=""/>
    <m/>
    <s v=""/>
    <x v="0"/>
  </r>
  <r>
    <n v="182"/>
    <x v="5"/>
    <s v="Private Pay - Select"/>
    <s v="Other"/>
    <s v="Private"/>
    <s v="RN Reassessment (NB)"/>
    <m/>
    <x v="5"/>
    <x v="0"/>
    <s v="Private Pay"/>
    <m/>
    <n v="1"/>
    <n v="2"/>
    <n v="1"/>
    <n v="1"/>
    <n v="2"/>
    <n v="2"/>
    <s v=""/>
    <m/>
    <s v=""/>
    <x v="0"/>
  </r>
  <r>
    <n v="183"/>
    <x v="5"/>
    <s v="Revival Home Health Care"/>
    <s v="CHHA"/>
    <s v="CHHA"/>
    <s v="Rate1"/>
    <s v="S9122"/>
    <x v="0"/>
    <x v="0"/>
    <s v="Other"/>
    <s v="CHHA"/>
    <n v="1"/>
    <n v="1"/>
    <n v="4"/>
    <n v="1"/>
    <n v="1"/>
    <n v="4"/>
    <s v=""/>
    <m/>
    <s v=""/>
    <x v="0"/>
  </r>
  <r>
    <n v="184"/>
    <x v="5"/>
    <s v="Royal Care Certified of NY"/>
    <s v="Other"/>
    <m/>
    <s v="Rate 1"/>
    <s v="na"/>
    <x v="0"/>
    <x v="0"/>
    <s v="Other"/>
    <s v="CHHA"/>
    <n v="2"/>
    <n v="6"/>
    <n v="23"/>
    <n v="1"/>
    <n v="4"/>
    <n v="15"/>
    <s v=""/>
    <m/>
    <s v=""/>
    <x v="0"/>
  </r>
  <r>
    <n v="185"/>
    <x v="5"/>
    <s v="SWHNY-MLTC (ANT)"/>
    <s v="Other"/>
    <s v="MLTC"/>
    <s v="PRN (NB)"/>
    <m/>
    <x v="3"/>
    <x v="0"/>
    <s v="MC Medicaid HHA"/>
    <m/>
    <n v="2"/>
    <n v="2"/>
    <n v="2"/>
    <n v="2"/>
    <n v="2"/>
    <n v="2"/>
    <s v="Nursing override"/>
    <m/>
    <s v=""/>
    <x v="1"/>
  </r>
  <r>
    <n v="186"/>
    <x v="5"/>
    <s v="SWHNY-MLTC (ANT)"/>
    <s v="Other"/>
    <s v="MLTC"/>
    <s v="RN Initial (NB)"/>
    <m/>
    <x v="3"/>
    <x v="0"/>
    <s v="MC Medicaid HHA"/>
    <m/>
    <n v="1"/>
    <n v="1"/>
    <n v="1"/>
    <n v="1"/>
    <n v="1"/>
    <n v="1"/>
    <s v="Nursing override"/>
    <m/>
    <s v=""/>
    <x v="1"/>
  </r>
  <r>
    <n v="187"/>
    <x v="5"/>
    <s v="SWHNY-MLTC (ANT)"/>
    <s v="Other"/>
    <s v="MLTC"/>
    <s v="RN Reassessment (NB)"/>
    <m/>
    <x v="3"/>
    <x v="0"/>
    <s v="MC Medicaid HHA"/>
    <m/>
    <n v="5"/>
    <n v="9"/>
    <n v="9"/>
    <n v="5"/>
    <n v="9"/>
    <n v="9"/>
    <s v="Nursing override"/>
    <m/>
    <s v=""/>
    <x v="1"/>
  </r>
  <r>
    <n v="188"/>
    <x v="5"/>
    <s v="SWHNY-MLTC (ANT)"/>
    <s v="Other"/>
    <s v="MLTC"/>
    <s v="T1019:U1"/>
    <s v="T1019:U1"/>
    <x v="2"/>
    <x v="0"/>
    <s v="MC Medicaid HHA"/>
    <m/>
    <n v="10"/>
    <n v="1412"/>
    <n v="11659.75"/>
    <n v="10"/>
    <n v="1412"/>
    <n v="11659.75"/>
    <s v=""/>
    <m/>
    <s v=""/>
    <x v="1"/>
  </r>
  <r>
    <n v="193"/>
    <x v="5"/>
    <s v="SWHNY-MLTC (CDP)"/>
    <s v="Other"/>
    <s v="CDPAP"/>
    <s v="T1019:U6"/>
    <s v="T1019:U6"/>
    <x v="1"/>
    <x v="1"/>
    <s v="MC Medicaid CDPAP"/>
    <m/>
    <n v="28"/>
    <n v="6681"/>
    <n v="37952.5"/>
    <n v="26"/>
    <n v="6584"/>
    <n v="37068.5"/>
    <s v=""/>
    <m/>
    <s v=""/>
    <x v="1"/>
  </r>
  <r>
    <n v="194"/>
    <x v="5"/>
    <s v="SWHNY-MLTC (CDP)"/>
    <s v="Other"/>
    <s v="CDPAP"/>
    <s v="T1020:U6"/>
    <s v="T1020:U6"/>
    <x v="9"/>
    <x v="1"/>
    <s v="MC Medicaid CDPAP"/>
    <m/>
    <n v="1"/>
    <n v="366"/>
    <n v="4758"/>
    <n v="1"/>
    <n v="366"/>
    <n v="4758"/>
    <s v=""/>
    <m/>
    <n v="13"/>
    <x v="1"/>
  </r>
  <r>
    <n v="197"/>
    <x v="5"/>
    <s v="VillageCare CDPAP"/>
    <s v="MCO"/>
    <s v="CDPAP"/>
    <s v="PA Hourly"/>
    <s v="T1019:U6"/>
    <x v="1"/>
    <x v="1"/>
    <s v="MC Medicaid CDPAP"/>
    <m/>
    <n v="124"/>
    <n v="15367"/>
    <n v="81625.25"/>
    <n v="113"/>
    <n v="15017"/>
    <n v="79356.75"/>
    <s v=""/>
    <m/>
    <s v=""/>
    <x v="1"/>
  </r>
  <r>
    <n v="198"/>
    <x v="5"/>
    <s v="VillageCare CDPAP"/>
    <s v="MCO"/>
    <s v="CDPAP"/>
    <s v="PA Hourly Mutual"/>
    <s v="T1019:U7"/>
    <x v="10"/>
    <x v="1"/>
    <s v="MC Medicaid CDPAP"/>
    <m/>
    <n v="3"/>
    <n v="326"/>
    <n v="1002.75"/>
    <n v="3"/>
    <n v="326"/>
    <n v="1002.75"/>
    <s v=""/>
    <m/>
    <s v=""/>
    <x v="1"/>
  </r>
  <r>
    <n v="199"/>
    <x v="5"/>
    <s v="VillageCare PCA"/>
    <s v="MLTC"/>
    <s v="MLTC"/>
    <s v="Aide Supervision (NB)"/>
    <m/>
    <x v="7"/>
    <x v="0"/>
    <s v="MC Medicaid HHA"/>
    <m/>
    <n v="2"/>
    <n v="2"/>
    <n v="2"/>
    <n v="2"/>
    <n v="2"/>
    <n v="2"/>
    <s v="Nursing override"/>
    <m/>
    <s v=""/>
    <x v="1"/>
  </r>
  <r>
    <n v="200"/>
    <x v="5"/>
    <s v="VillageCare PCA"/>
    <s v="MLTC"/>
    <s v="MLTC"/>
    <s v="PCA - Live In"/>
    <s v="T1020"/>
    <x v="8"/>
    <x v="0"/>
    <s v="MC Medicaid HHA"/>
    <m/>
    <n v="3"/>
    <n v="134"/>
    <n v="1742"/>
    <n v="3"/>
    <n v="134"/>
    <n v="1742"/>
    <s v=""/>
    <m/>
    <n v="13"/>
    <x v="1"/>
  </r>
  <r>
    <n v="201"/>
    <x v="5"/>
    <s v="VillageCare PCA"/>
    <s v="MLTC"/>
    <s v="MLTC"/>
    <s v="PCA - Live In TV"/>
    <s v="T1020:TV"/>
    <x v="8"/>
    <x v="0"/>
    <s v="MC Medicaid HHA"/>
    <m/>
    <n v="2"/>
    <n v="16"/>
    <n v="208"/>
    <n v="2"/>
    <n v="16"/>
    <n v="208"/>
    <s v=""/>
    <m/>
    <n v="13"/>
    <x v="1"/>
  </r>
  <r>
    <n v="202"/>
    <x v="5"/>
    <s v="VillageCare PCA"/>
    <s v="MLTC"/>
    <s v="MLTC"/>
    <s v="PCA Cluster Care"/>
    <s v="T1019:U3"/>
    <x v="11"/>
    <x v="0"/>
    <s v="MC Medicaid HHA"/>
    <m/>
    <n v="63"/>
    <n v="6809"/>
    <n v="11883.25"/>
    <n v="63"/>
    <n v="6809"/>
    <n v="11883.25"/>
    <s v=""/>
    <m/>
    <s v=""/>
    <x v="1"/>
  </r>
  <r>
    <n v="203"/>
    <x v="5"/>
    <s v="VillageCare PCA"/>
    <s v="MLTC"/>
    <s v="MLTC"/>
    <s v="PCA Hourly"/>
    <s v="T1019:U1"/>
    <x v="2"/>
    <x v="0"/>
    <s v="MC Medicaid HHA"/>
    <m/>
    <n v="185"/>
    <n v="15754"/>
    <n v="79717.25"/>
    <n v="179"/>
    <n v="15592"/>
    <n v="78632.25"/>
    <s v=""/>
    <m/>
    <s v=""/>
    <x v="1"/>
  </r>
  <r>
    <n v="204"/>
    <x v="5"/>
    <s v="VillageCare PCA"/>
    <s v="MLTC"/>
    <s v="MLTC"/>
    <s v="PCA Hourly"/>
    <s v="T1019:U1:TV"/>
    <x v="2"/>
    <x v="0"/>
    <s v="MC Medicaid HHA"/>
    <m/>
    <n v="75"/>
    <n v="2448"/>
    <n v="14957.75"/>
    <n v="71"/>
    <n v="2395"/>
    <n v="14615.25"/>
    <s v=""/>
    <m/>
    <s v=""/>
    <x v="1"/>
  </r>
  <r>
    <n v="205"/>
    <x v="5"/>
    <s v="VillageCare PCA"/>
    <s v="MLTC"/>
    <s v="MLTC"/>
    <s v="PCA Hourly Mutual"/>
    <s v="T1019:U2"/>
    <x v="11"/>
    <x v="0"/>
    <s v="MC Medicaid HHA"/>
    <m/>
    <n v="2"/>
    <n v="264"/>
    <n v="786.5"/>
    <n v="2"/>
    <n v="264"/>
    <n v="786.5"/>
    <s v=""/>
    <m/>
    <s v=""/>
    <x v="1"/>
  </r>
  <r>
    <n v="206"/>
    <x v="5"/>
    <s v="VillageCare PCA"/>
    <s v="MLTC"/>
    <s v="MLTC"/>
    <s v="PCA Hourly Mutual TV"/>
    <s v="T1019:U2:TV"/>
    <x v="11"/>
    <x v="0"/>
    <s v="MC Medicaid HHA"/>
    <m/>
    <n v="1"/>
    <n v="6"/>
    <n v="16.75"/>
    <n v="1"/>
    <n v="6"/>
    <n v="16.75"/>
    <s v=""/>
    <m/>
    <s v=""/>
    <x v="1"/>
  </r>
  <r>
    <n v="207"/>
    <x v="5"/>
    <s v="VillageCare PCA"/>
    <s v="MLTC"/>
    <s v="MLTC"/>
    <s v="PCA Hourly TV"/>
    <s v="T1019:U1:TV"/>
    <x v="2"/>
    <x v="0"/>
    <s v="MC Medicaid HHA"/>
    <m/>
    <n v="37"/>
    <n v="382"/>
    <n v="2057.75"/>
    <n v="36"/>
    <n v="380"/>
    <n v="2044.75"/>
    <s v=""/>
    <m/>
    <s v=""/>
    <x v="1"/>
  </r>
  <r>
    <n v="208"/>
    <x v="5"/>
    <s v="VillageCare PCA"/>
    <s v="MLTC"/>
    <s v="MLTC"/>
    <s v="PRN (NB)"/>
    <m/>
    <x v="3"/>
    <x v="0"/>
    <s v="MC Medicaid HHA"/>
    <m/>
    <n v="7"/>
    <n v="8"/>
    <n v="8"/>
    <n v="6"/>
    <n v="7"/>
    <n v="7"/>
    <s v="Nursing override"/>
    <m/>
    <s v=""/>
    <x v="1"/>
  </r>
  <r>
    <n v="209"/>
    <x v="5"/>
    <s v="VillageCare PCA"/>
    <s v="MLTC"/>
    <s v="MLTC"/>
    <s v="RN Initial (NB)"/>
    <m/>
    <x v="3"/>
    <x v="0"/>
    <s v="MC Medicaid HHA"/>
    <m/>
    <n v="6"/>
    <n v="6"/>
    <n v="6"/>
    <n v="6"/>
    <n v="6"/>
    <n v="6"/>
    <s v="Nursing override"/>
    <m/>
    <s v=""/>
    <x v="1"/>
  </r>
  <r>
    <n v="210"/>
    <x v="5"/>
    <s v="VillageCare PCA"/>
    <s v="MLTC"/>
    <s v="MLTC"/>
    <s v="RN Initial Visit"/>
    <s v="T1030"/>
    <x v="7"/>
    <x v="0"/>
    <s v="MC Medicaid HHA"/>
    <m/>
    <n v="174"/>
    <n v="177"/>
    <n v="177"/>
    <n v="170"/>
    <n v="173"/>
    <n v="173"/>
    <s v="nursing"/>
    <m/>
    <s v=""/>
    <x v="1"/>
  </r>
  <r>
    <n v="211"/>
    <x v="5"/>
    <s v="VillageCare PCA"/>
    <s v="MLTC"/>
    <s v="MLTC"/>
    <s v="RN Reassessment (NB)"/>
    <m/>
    <x v="3"/>
    <x v="0"/>
    <s v="MC Medicaid HHA"/>
    <m/>
    <n v="91"/>
    <n v="127"/>
    <n v="127"/>
    <n v="90"/>
    <n v="126"/>
    <n v="126"/>
    <s v="Nursing override"/>
    <m/>
    <s v=""/>
    <x v="1"/>
  </r>
  <r>
    <n v="212"/>
    <x v="5"/>
    <s v="VNS Health Health Plans (ANT)"/>
    <s v="MLTC"/>
    <s v="MLTC"/>
    <s v="PRN (NB)"/>
    <m/>
    <x v="3"/>
    <x v="0"/>
    <s v="MC Medicaid HHA"/>
    <m/>
    <n v="7"/>
    <n v="7"/>
    <n v="7"/>
    <n v="7"/>
    <n v="7"/>
    <n v="7"/>
    <s v="Nursing override"/>
    <m/>
    <s v=""/>
    <x v="1"/>
  </r>
  <r>
    <n v="213"/>
    <x v="5"/>
    <s v="VNS Health Health Plans (ANT)"/>
    <s v="MLTC"/>
    <s v="MLTC"/>
    <s v="RN Initial (NB)"/>
    <m/>
    <x v="3"/>
    <x v="0"/>
    <s v="MC Medicaid HHA"/>
    <m/>
    <n v="35"/>
    <n v="35"/>
    <n v="35"/>
    <n v="32"/>
    <n v="32"/>
    <n v="32"/>
    <s v="Nursing override"/>
    <m/>
    <s v=""/>
    <x v="1"/>
  </r>
  <r>
    <n v="214"/>
    <x v="5"/>
    <s v="VNS Health Health Plans (ANT)"/>
    <s v="MLTC"/>
    <s v="MLTC"/>
    <s v="RN Reassessment (NB)"/>
    <m/>
    <x v="3"/>
    <x v="0"/>
    <s v="MC Medicaid HHA"/>
    <m/>
    <n v="38"/>
    <n v="53"/>
    <n v="53"/>
    <n v="38"/>
    <n v="53"/>
    <n v="53"/>
    <s v="Nursing override"/>
    <m/>
    <s v=""/>
    <x v="1"/>
  </r>
  <r>
    <n v="215"/>
    <x v="5"/>
    <s v="VNS Health Health Plans (ANT)"/>
    <s v="MLTC"/>
    <s v="MLTC"/>
    <s v="T1019U1 BX"/>
    <s v="T1019:U1"/>
    <x v="2"/>
    <x v="0"/>
    <s v="MC Medicaid HHA"/>
    <m/>
    <n v="69"/>
    <n v="8194"/>
    <n v="51805"/>
    <n v="65"/>
    <n v="8077"/>
    <n v="51465.25"/>
    <s v=""/>
    <m/>
    <s v=""/>
    <x v="1"/>
  </r>
  <r>
    <n v="216"/>
    <x v="5"/>
    <s v="VNS Health Health Plans (ANT)"/>
    <s v="MLTC"/>
    <s v="MLTC"/>
    <s v="T1019U1 BX MAP"/>
    <s v="T1019:U1"/>
    <x v="2"/>
    <x v="0"/>
    <s v="MC Medicaid HHA"/>
    <m/>
    <n v="1"/>
    <n v="1"/>
    <n v="7.25"/>
    <n v="1"/>
    <n v="1"/>
    <n v="7.25"/>
    <s v=""/>
    <m/>
    <s v=""/>
    <x v="1"/>
  </r>
  <r>
    <n v="217"/>
    <x v="5"/>
    <s v="VNS Health Health Plans (ANT)"/>
    <s v="MLTC"/>
    <s v="MLTC"/>
    <s v="T1019U1 K"/>
    <s v="T1019:U1"/>
    <x v="2"/>
    <x v="0"/>
    <s v="MC Medicaid HHA"/>
    <m/>
    <n v="1"/>
    <n v="220"/>
    <n v="1368"/>
    <n v="1"/>
    <n v="220"/>
    <n v="1368"/>
    <s v=""/>
    <m/>
    <s v=""/>
    <x v="1"/>
  </r>
  <r>
    <n v="218"/>
    <x v="5"/>
    <s v="VNS Health Health Plans (ANT)"/>
    <s v="MLTC"/>
    <s v="MLTC"/>
    <s v="T1019U2 BX"/>
    <s v="T1019:U2"/>
    <x v="11"/>
    <x v="0"/>
    <s v="MC Medicaid HHA"/>
    <m/>
    <n v="2"/>
    <n v="100"/>
    <n v="1072"/>
    <n v="2"/>
    <n v="100"/>
    <n v="1072"/>
    <s v=""/>
    <m/>
    <s v=""/>
    <x v="1"/>
  </r>
  <r>
    <n v="219"/>
    <x v="5"/>
    <s v="VNS Health Health Plans (ANT)"/>
    <s v="MLTC"/>
    <s v="MLTC"/>
    <s v="T1020 BX"/>
    <s v="T1020"/>
    <x v="8"/>
    <x v="0"/>
    <s v="MC Medicaid HHA"/>
    <m/>
    <n v="3"/>
    <n v="488"/>
    <n v="6344"/>
    <n v="3"/>
    <n v="488"/>
    <n v="6344"/>
    <s v=""/>
    <m/>
    <n v="13"/>
    <x v="1"/>
  </r>
  <r>
    <n v="220"/>
    <x v="5"/>
    <s v="VNS Health Health Plans (ANT)"/>
    <s v="MLTC"/>
    <s v="MLTC"/>
    <s v="T1020U2 BX"/>
    <s v="T1020:U2"/>
    <x v="8"/>
    <x v="0"/>
    <s v="MC Medicaid HHA"/>
    <m/>
    <n v="1"/>
    <n v="1"/>
    <n v="13"/>
    <n v="1"/>
    <n v="1"/>
    <n v="13"/>
    <s v=""/>
    <m/>
    <n v="13"/>
    <x v="1"/>
  </r>
  <r>
    <n v="223"/>
    <x v="5"/>
    <s v="VNS Health Health Plans (CDP)"/>
    <s v="MLTC"/>
    <s v="CDPAP"/>
    <s v="T1019U6 BX"/>
    <s v="T1019:U6"/>
    <x v="1"/>
    <x v="1"/>
    <s v="MC Medicaid CDPAP"/>
    <m/>
    <n v="60"/>
    <n v="11217"/>
    <n v="48716"/>
    <n v="53"/>
    <n v="10730"/>
    <n v="46549.25"/>
    <s v=""/>
    <m/>
    <s v=""/>
    <x v="1"/>
  </r>
  <r>
    <n v="224"/>
    <x v="5"/>
    <s v="VNS Health Health Plans (CDP)"/>
    <s v="MLTC"/>
    <s v="CDPAP"/>
    <s v="T1019U6 BX MAP"/>
    <s v="T1019:U6"/>
    <x v="1"/>
    <x v="1"/>
    <s v="MC Medicaid CDPAP"/>
    <m/>
    <n v="1"/>
    <n v="262"/>
    <n v="1154.5"/>
    <n v="1"/>
    <n v="262"/>
    <n v="1154.5"/>
    <s v=""/>
    <m/>
    <s v=""/>
    <x v="1"/>
  </r>
  <r>
    <n v="225"/>
    <x v="5"/>
    <s v="VNS Health Health Plans (CDP)"/>
    <s v="MLTC"/>
    <s v="CDPAP"/>
    <s v="T1019U6 K"/>
    <s v="T1019:U6"/>
    <x v="1"/>
    <x v="1"/>
    <s v="MC Medicaid CDPAP"/>
    <m/>
    <n v="1"/>
    <n v="67"/>
    <n v="201"/>
    <n v="1"/>
    <n v="67"/>
    <n v="201"/>
    <s v=""/>
    <m/>
    <s v=""/>
    <x v="1"/>
  </r>
  <r>
    <n v="226"/>
    <x v="5"/>
    <s v="VNS Health Health Plans (CDP)"/>
    <s v="MLTC"/>
    <s v="CDPAP"/>
    <s v="T1019U6 NYC"/>
    <s v="T1019:U6"/>
    <x v="1"/>
    <x v="1"/>
    <s v="MC Medicaid CDPAP"/>
    <m/>
    <n v="2"/>
    <n v="613"/>
    <n v="2232.5"/>
    <n v="2"/>
    <n v="613"/>
    <n v="2232.5"/>
    <s v=""/>
    <m/>
    <s v=""/>
    <x v="1"/>
  </r>
  <r>
    <n v="227"/>
    <x v="5"/>
    <s v="VNS Health Health Plans (CDP)"/>
    <s v="MLTC"/>
    <s v="CDPAP"/>
    <s v="T1019U7 NYC"/>
    <s v="T1019:U7"/>
    <x v="10"/>
    <x v="1"/>
    <s v="MC Medicaid CDPAP"/>
    <m/>
    <n v="2"/>
    <n v="552"/>
    <n v="3284.5"/>
    <n v="2"/>
    <n v="552"/>
    <n v="3284.5"/>
    <s v=""/>
    <m/>
    <s v=""/>
    <x v="1"/>
  </r>
  <r>
    <n v="228"/>
    <x v="5"/>
    <s v="VNSNY CHOICE PCA"/>
    <s v="LHCSA"/>
    <s v="MLTC"/>
    <s v="PCA Hourly"/>
    <s v="T1019:U1"/>
    <x v="2"/>
    <x v="0"/>
    <s v="MC Medicaid HHA"/>
    <m/>
    <n v="1"/>
    <n v="9"/>
    <n v="16.25"/>
    <n v="1"/>
    <n v="9"/>
    <n v="16.25"/>
    <s v=""/>
    <m/>
    <s v=""/>
    <x v="1"/>
  </r>
  <r>
    <n v="229"/>
    <x v="5"/>
    <s v="VNSNY CHOICE PCA"/>
    <s v="LHCSA"/>
    <s v="MLTC"/>
    <s v="PCA Hourly Housekeeping"/>
    <s v="S5130:U1::::S5130"/>
    <x v="6"/>
    <x v="0"/>
    <s v="MC Medicaid HHA"/>
    <m/>
    <n v="1"/>
    <n v="114"/>
    <n v="222"/>
    <n v="1"/>
    <n v="114"/>
    <n v="222"/>
    <s v=""/>
    <m/>
    <s v=""/>
    <x v="1"/>
  </r>
  <r>
    <n v="230"/>
    <x v="5"/>
    <s v="VNSNY CHOICE PCA"/>
    <s v="LHCSA"/>
    <s v="MLTC"/>
    <s v="RN Initial (NB)"/>
    <m/>
    <x v="3"/>
    <x v="0"/>
    <s v="MC Medicaid HHA"/>
    <m/>
    <n v="1"/>
    <n v="1"/>
    <n v="1"/>
    <n v="1"/>
    <n v="1"/>
    <n v="1"/>
    <s v="Nursing override"/>
    <m/>
    <s v=""/>
    <x v="1"/>
  </r>
  <r>
    <n v="231"/>
    <x v="5"/>
    <s v="VNSNY CHOICE PCA"/>
    <s v="LHCSA"/>
    <s v="MLTC"/>
    <s v="RN Reassessment (NB)"/>
    <m/>
    <x v="3"/>
    <x v="0"/>
    <s v="MC Medicaid HHA"/>
    <m/>
    <n v="2"/>
    <n v="2"/>
    <n v="2"/>
    <n v="2"/>
    <n v="2"/>
    <n v="2"/>
    <s v="Nursing override"/>
    <m/>
    <s v=""/>
    <x v="1"/>
  </r>
  <r>
    <n v="236"/>
    <x v="8"/>
    <s v="Fidelis Care (CDP)"/>
    <s v="LHCSA"/>
    <s v="CDPAP"/>
    <s v="T1019:U6"/>
    <s v="T1019:U6"/>
    <x v="1"/>
    <x v="1"/>
    <s v="MC Medicaid CDPAP"/>
    <m/>
    <n v="32"/>
    <n v="4448"/>
    <n v="22299.75"/>
    <n v="32"/>
    <n v="4448"/>
    <n v="22299.75"/>
    <s v=""/>
    <m/>
    <s v=""/>
    <x v="1"/>
  </r>
  <r>
    <n v="240"/>
    <x v="8"/>
    <s v="Nascentia Health Options CDPAP"/>
    <s v="MLTC"/>
    <s v="CDPAP"/>
    <s v="PA Hourly"/>
    <s v="T1019:U6"/>
    <x v="1"/>
    <x v="1"/>
    <s v="MC Medicaid CDPAP"/>
    <m/>
    <n v="31"/>
    <n v="4482"/>
    <n v="26558"/>
    <n v="31"/>
    <n v="4482"/>
    <n v="26558"/>
    <s v=""/>
    <m/>
    <s v=""/>
    <x v="1"/>
  </r>
  <r>
    <n v="242"/>
    <x v="8"/>
    <s v="VNS Health Health Plans (CDP)"/>
    <s v="MLTC"/>
    <s v="CDPAP"/>
    <s v="T1019U6 SCH"/>
    <s v="T1019:U6"/>
    <x v="1"/>
    <x v="1"/>
    <s v="MC Medicaid CDPAP"/>
    <m/>
    <n v="1"/>
    <n v="215"/>
    <n v="1895.5"/>
    <n v="1"/>
    <n v="215"/>
    <n v="1895.5"/>
    <s v=""/>
    <m/>
    <s v=""/>
    <x v="1"/>
  </r>
  <r>
    <n v="244"/>
    <x v="9"/>
    <s v="Fidelis Care (CDP)"/>
    <s v="LHCSA"/>
    <s v="CDPAP"/>
    <s v="T1019:U6"/>
    <s v="T1019:U6"/>
    <x v="1"/>
    <x v="1"/>
    <s v="MC Medicaid CDPAP"/>
    <m/>
    <n v="10"/>
    <n v="804"/>
    <n v="3629.5"/>
    <n v="10"/>
    <n v="804"/>
    <n v="3629.5"/>
    <s v=""/>
    <m/>
    <s v=""/>
    <x v="1"/>
  </r>
  <r>
    <n v="246"/>
    <x v="9"/>
    <s v="Nascentia Health Options CDPAP"/>
    <s v="MLTC"/>
    <s v="CDPAP"/>
    <s v="PA Hourly"/>
    <s v="T1019:U6"/>
    <x v="1"/>
    <x v="1"/>
    <s v="MC Medicaid CDPAP"/>
    <m/>
    <n v="6"/>
    <n v="1160"/>
    <n v="5803.5"/>
    <n v="6"/>
    <n v="1160"/>
    <n v="5803.5"/>
    <s v=""/>
    <m/>
    <s v=""/>
    <x v="1"/>
  </r>
  <r>
    <n v="249"/>
    <x v="10"/>
    <s v="Fidelis Care (CDP)"/>
    <s v="LHCSA"/>
    <s v="CDPAP"/>
    <s v="T1019:U6"/>
    <s v="T1019:U6"/>
    <x v="1"/>
    <x v="1"/>
    <s v="MC Medicaid CDPAP"/>
    <m/>
    <n v="7"/>
    <n v="1079"/>
    <n v="5755"/>
    <n v="7"/>
    <n v="1079"/>
    <n v="5755"/>
    <s v=""/>
    <m/>
    <s v=""/>
    <x v="1"/>
  </r>
  <r>
    <n v="252"/>
    <x v="10"/>
    <s v="Nascentia Health Options CDPAP"/>
    <s v="MLTC"/>
    <s v="CDPAP"/>
    <s v="PA Hourly"/>
    <s v="T1019:U6"/>
    <x v="1"/>
    <x v="1"/>
    <s v="MC Medicaid CDPAP"/>
    <m/>
    <n v="3"/>
    <n v="504"/>
    <n v="3102"/>
    <n v="3"/>
    <n v="504"/>
    <n v="3102"/>
    <s v=""/>
    <m/>
    <s v=""/>
    <x v="1"/>
  </r>
  <r>
    <n v="254"/>
    <x v="11"/>
    <s v="Fidelis Care (CDP)"/>
    <s v="LHCSA"/>
    <s v="CDPAP"/>
    <s v="T1019:U6"/>
    <s v="T1019:U6"/>
    <x v="1"/>
    <x v="1"/>
    <s v="MC Medicaid CDPAP"/>
    <m/>
    <n v="23"/>
    <n v="3280"/>
    <n v="12913.75"/>
    <n v="23"/>
    <n v="3280"/>
    <n v="12913.75"/>
    <s v=""/>
    <m/>
    <s v=""/>
    <x v="1"/>
  </r>
  <r>
    <n v="256"/>
    <x v="11"/>
    <s v="Nascentia Health Options CDPAP"/>
    <s v="MLTC"/>
    <s v="CDPAP"/>
    <s v="PA Hourly"/>
    <s v="T1019:U6"/>
    <x v="1"/>
    <x v="1"/>
    <s v="MC Medicaid CDPAP"/>
    <m/>
    <n v="11"/>
    <n v="910"/>
    <n v="4498"/>
    <n v="11"/>
    <n v="910"/>
    <n v="4498"/>
    <s v=""/>
    <m/>
    <s v=""/>
    <x v="1"/>
  </r>
  <r>
    <n v="257"/>
    <x v="11"/>
    <s v="Nascentia Health Options CDPAP"/>
    <s v="MLTC"/>
    <s v="CDPAP"/>
    <s v="PA Hourly - Mutual"/>
    <s v="T1019:U7"/>
    <x v="10"/>
    <x v="1"/>
    <s v="MC Medicaid CDPAP"/>
    <m/>
    <n v="2"/>
    <n v="425"/>
    <n v="1430.25"/>
    <n v="2"/>
    <n v="425"/>
    <n v="1430.25"/>
    <s v=""/>
    <m/>
    <s v=""/>
    <x v="1"/>
  </r>
  <r>
    <n v="260"/>
    <x v="12"/>
    <s v="Fidelis Care (CDP)"/>
    <s v="LHCSA"/>
    <s v="CDPAP"/>
    <s v="T1019:U6"/>
    <s v="T1019:U6"/>
    <x v="1"/>
    <x v="1"/>
    <s v="MC Medicaid CDPAP"/>
    <m/>
    <n v="13"/>
    <n v="1927"/>
    <n v="10513.25"/>
    <n v="13"/>
    <n v="1927"/>
    <n v="10513.25"/>
    <s v=""/>
    <m/>
    <s v=""/>
    <x v="1"/>
  </r>
  <r>
    <n v="262"/>
    <x v="12"/>
    <s v="Nascentia Health Options CDPAP"/>
    <s v="MLTC"/>
    <s v="CDPAP"/>
    <s v="PA Hourly"/>
    <s v="T1019:U6"/>
    <x v="1"/>
    <x v="1"/>
    <s v="MC Medicaid CDPAP"/>
    <m/>
    <n v="11"/>
    <n v="1633"/>
    <n v="7196.25"/>
    <n v="11"/>
    <n v="1633"/>
    <n v="7196.25"/>
    <s v=""/>
    <m/>
    <s v=""/>
    <x v="1"/>
  </r>
  <r>
    <n v="265"/>
    <x v="13"/>
    <s v="Fidelis Care (CDP)"/>
    <s v="LHCSA"/>
    <s v="CDPAP"/>
    <s v="T1019:U6"/>
    <s v="T1019:U6"/>
    <x v="1"/>
    <x v="1"/>
    <s v="MC Medicaid CDPAP"/>
    <m/>
    <n v="11"/>
    <n v="900"/>
    <n v="5514.75"/>
    <n v="11"/>
    <n v="900"/>
    <n v="5514.75"/>
    <s v=""/>
    <m/>
    <s v=""/>
    <x v="1"/>
  </r>
  <r>
    <n v="267"/>
    <x v="13"/>
    <s v="Nascentia Health Options CDPAP"/>
    <s v="MLTC"/>
    <s v="CDPAP"/>
    <s v="PA Hourly"/>
    <s v="T1019:U6"/>
    <x v="1"/>
    <x v="1"/>
    <s v="MC Medicaid CDPAP"/>
    <m/>
    <n v="6"/>
    <n v="771"/>
    <n v="3591.25"/>
    <n v="6"/>
    <n v="771"/>
    <n v="3591.25"/>
    <s v=""/>
    <m/>
    <s v=""/>
    <x v="1"/>
  </r>
  <r>
    <n v="269"/>
    <x v="14"/>
    <s v="Fidelis Care (CDP)"/>
    <s v="LHCSA"/>
    <s v="CDPAP"/>
    <s v="T1019:U6"/>
    <s v="T1019:U6"/>
    <x v="1"/>
    <x v="1"/>
    <s v="MC Medicaid CDPAP"/>
    <m/>
    <n v="1"/>
    <n v="84"/>
    <n v="353"/>
    <n v="1"/>
    <n v="84"/>
    <n v="353"/>
    <s v=""/>
    <m/>
    <s v=""/>
    <x v="1"/>
  </r>
  <r>
    <n v="271"/>
    <x v="14"/>
    <s v="Fidelis Care (CDP)"/>
    <s v="LHCSA"/>
    <s v="CDPAP"/>
    <s v="T1019:U6"/>
    <s v="T1019:U6"/>
    <x v="1"/>
    <x v="1"/>
    <s v="MC Medicaid CDPAP"/>
    <m/>
    <n v="4"/>
    <n v="268"/>
    <n v="1347.75"/>
    <n v="4"/>
    <n v="268"/>
    <n v="1347.75"/>
    <s v=""/>
    <m/>
    <s v=""/>
    <x v="1"/>
  </r>
  <r>
    <n v="274"/>
    <x v="14"/>
    <s v="Nascentia Health Options CDPAP"/>
    <s v="MLTC"/>
    <s v="CDPAP"/>
    <s v="PA Hourly"/>
    <s v="T1019:U6"/>
    <x v="1"/>
    <x v="1"/>
    <s v="MC Medicaid CDPAP"/>
    <m/>
    <n v="6"/>
    <n v="1347"/>
    <n v="5884.5"/>
    <n v="6"/>
    <n v="1347"/>
    <n v="5884.5"/>
    <s v=""/>
    <m/>
    <s v=""/>
    <x v="1"/>
  </r>
  <r>
    <n v="275"/>
    <x v="15"/>
    <s v="VNS Health Health Plans (ANT)"/>
    <s v="MLTC"/>
    <s v="MLTC"/>
    <s v="RN Initial (NB)"/>
    <m/>
    <x v="3"/>
    <x v="0"/>
    <s v="MC Medicaid HHA"/>
    <m/>
    <n v="1"/>
    <n v="1"/>
    <n v="1"/>
    <n v="1"/>
    <n v="1"/>
    <n v="1"/>
    <s v="Nursing override"/>
    <m/>
    <s v=""/>
    <x v="1"/>
  </r>
  <r>
    <n v="276"/>
    <x v="15"/>
    <s v="VNS Health Health Plans (ANT)"/>
    <s v="MLTC"/>
    <s v="MLTC"/>
    <s v="RN Reassessment (NB)"/>
    <m/>
    <x v="3"/>
    <x v="0"/>
    <s v="MC Medicaid HHA"/>
    <m/>
    <n v="1"/>
    <n v="1"/>
    <n v="1"/>
    <n v="1"/>
    <n v="1"/>
    <n v="1"/>
    <s v="Nursing override"/>
    <m/>
    <s v=""/>
    <x v="1"/>
  </r>
  <r>
    <n v="277"/>
    <x v="15"/>
    <s v="VNS Health Health Plans (ANT)"/>
    <s v="MLTC"/>
    <s v="MLTC"/>
    <s v="T1019U1 ALB"/>
    <s v="T1019:U1"/>
    <x v="2"/>
    <x v="0"/>
    <s v="MC Medicaid HHA"/>
    <m/>
    <n v="1"/>
    <n v="145"/>
    <n v="613.25"/>
    <n v="1"/>
    <n v="145"/>
    <n v="613.25"/>
    <s v=""/>
    <m/>
    <s v=""/>
    <x v="1"/>
  </r>
  <r>
    <n v="280"/>
    <x v="15"/>
    <s v="VNS Health Health Plans (CDP)"/>
    <s v="MLTC"/>
    <s v="CDPAP"/>
    <s v="T1019U6 COL"/>
    <s v="T1019:U6"/>
    <x v="1"/>
    <x v="1"/>
    <s v="MC Medicaid CDPAP"/>
    <m/>
    <n v="5"/>
    <n v="624"/>
    <n v="1958.75"/>
    <n v="5"/>
    <n v="624"/>
    <n v="1958.75"/>
    <s v=""/>
    <m/>
    <s v=""/>
    <x v="1"/>
  </r>
  <r>
    <n v="282"/>
    <x v="16"/>
    <s v="Fidelis Care (CDP)"/>
    <s v="LHCSA"/>
    <s v="CDPAP"/>
    <s v="T1019:U6"/>
    <s v="T1019:U6"/>
    <x v="1"/>
    <x v="1"/>
    <s v="MC Medicaid CDPAP"/>
    <m/>
    <n v="5"/>
    <n v="510"/>
    <n v="2569.75"/>
    <n v="5"/>
    <n v="510"/>
    <n v="2569.75"/>
    <s v=""/>
    <m/>
    <s v=""/>
    <x v="1"/>
  </r>
  <r>
    <n v="285"/>
    <x v="16"/>
    <s v="Nascentia Health Options CDPAP"/>
    <s v="MLTC"/>
    <s v="CDPAP"/>
    <s v="PA Hourly"/>
    <s v="T1019:U6"/>
    <x v="1"/>
    <x v="1"/>
    <s v="MC Medicaid CDPAP"/>
    <m/>
    <n v="3"/>
    <n v="317"/>
    <n v="1835.25"/>
    <n v="3"/>
    <n v="317"/>
    <n v="1835.25"/>
    <s v=""/>
    <m/>
    <s v=""/>
    <x v="1"/>
  </r>
  <r>
    <n v="287"/>
    <x v="17"/>
    <s v="Fidelis Care (CDP)"/>
    <s v="LHCSA"/>
    <s v="CDPAP"/>
    <s v="T1019:U6"/>
    <s v="T1019:U6"/>
    <x v="1"/>
    <x v="1"/>
    <s v="MC Medicaid CDPAP"/>
    <m/>
    <n v="3"/>
    <n v="326"/>
    <n v="1932.25"/>
    <n v="3"/>
    <n v="326"/>
    <n v="1932.25"/>
    <s v=""/>
    <m/>
    <s v=""/>
    <x v="1"/>
  </r>
  <r>
    <n v="289"/>
    <x v="17"/>
    <s v="Nascentia Health Options CDPAP"/>
    <s v="MLTC"/>
    <s v="CDPAP"/>
    <s v="PA Hourly"/>
    <s v="T1019:U6"/>
    <x v="1"/>
    <x v="1"/>
    <s v="MC Medicaid CDPAP"/>
    <m/>
    <n v="2"/>
    <n v="87"/>
    <n v="292.75"/>
    <n v="2"/>
    <n v="87"/>
    <n v="292.75"/>
    <s v=""/>
    <m/>
    <s v=""/>
    <x v="1"/>
  </r>
  <r>
    <n v="291"/>
    <x v="17"/>
    <s v="VNS Health Health Plans (CDP)"/>
    <s v="MLTC"/>
    <s v="CDPAP"/>
    <s v="T1019U6 DEL"/>
    <s v="T1019:U6"/>
    <x v="1"/>
    <x v="1"/>
    <s v="MC Medicaid CDPAP"/>
    <m/>
    <n v="4"/>
    <n v="392"/>
    <n v="1919"/>
    <n v="4"/>
    <n v="392"/>
    <n v="1919"/>
    <s v=""/>
    <m/>
    <s v=""/>
    <x v="1"/>
  </r>
  <r>
    <n v="294"/>
    <x v="18"/>
    <s v="Elderplan MJHS (CDP)"/>
    <s v="MLTC"/>
    <s v="CDPAP"/>
    <s v="T1019:U6"/>
    <s v="T1019:U6"/>
    <x v="1"/>
    <x v="1"/>
    <s v="MC Medicaid CDPAP"/>
    <m/>
    <n v="3"/>
    <n v="819"/>
    <n v="4285.5"/>
    <n v="3"/>
    <n v="819"/>
    <n v="4285.5"/>
    <s v=""/>
    <m/>
    <s v=""/>
    <x v="1"/>
  </r>
  <r>
    <n v="297"/>
    <x v="18"/>
    <s v="Fidelis Care (CDP)"/>
    <s v="LHCSA"/>
    <s v="CDPAP"/>
    <s v="T1019:U6"/>
    <s v="T1019:U6"/>
    <x v="1"/>
    <x v="1"/>
    <s v="MC Medicaid CDPAP"/>
    <m/>
    <n v="8"/>
    <n v="1076"/>
    <n v="5770.5"/>
    <n v="8"/>
    <n v="1076"/>
    <n v="5770.5"/>
    <s v=""/>
    <m/>
    <s v=""/>
    <x v="1"/>
  </r>
  <r>
    <n v="299"/>
    <x v="18"/>
    <s v="Hamaspik Choice (MLTC) CDPAP"/>
    <s v="MCO"/>
    <s v="CDPAP"/>
    <s v="PA Hourly Upstate"/>
    <s v="T1019:U6"/>
    <x v="1"/>
    <x v="1"/>
    <s v="MC Medicaid CDPAP"/>
    <m/>
    <n v="2"/>
    <n v="535"/>
    <n v="2621.75"/>
    <n v="2"/>
    <n v="535"/>
    <n v="2621.75"/>
    <s v=""/>
    <m/>
    <s v=""/>
    <x v="1"/>
  </r>
  <r>
    <n v="303"/>
    <x v="18"/>
    <s v="VNS Health Health Plans (CDP)"/>
    <s v="MLTC"/>
    <s v="CDPAP"/>
    <s v="T1019U6 DUT"/>
    <s v="T1019:U6"/>
    <x v="1"/>
    <x v="1"/>
    <s v="MC Medicaid CDPAP"/>
    <m/>
    <n v="18"/>
    <n v="3908"/>
    <n v="19829.5"/>
    <n v="18"/>
    <n v="3908"/>
    <n v="19829.5"/>
    <s v=""/>
    <m/>
    <s v=""/>
    <x v="1"/>
  </r>
  <r>
    <n v="304"/>
    <x v="18"/>
    <s v="VNS Health Health Plans (CDP)"/>
    <s v="MLTC"/>
    <s v="CDPAP"/>
    <s v="T1019U6 SCH"/>
    <s v="T1019:U6"/>
    <x v="1"/>
    <x v="1"/>
    <s v="MC Medicaid CDPAP"/>
    <m/>
    <n v="1"/>
    <n v="60"/>
    <n v="335.75"/>
    <n v="1"/>
    <n v="60"/>
    <n v="335.75"/>
    <s v=""/>
    <m/>
    <s v=""/>
    <x v="1"/>
  </r>
  <r>
    <n v="307"/>
    <x v="19"/>
    <s v="Centers Plan For Healthy Living CDPAP "/>
    <s v="MLTC"/>
    <s v="CDPAP"/>
    <s v="PA Hourly - 5 Boroughs"/>
    <s v="T1019:U6"/>
    <x v="1"/>
    <x v="1"/>
    <s v="MC Medicaid CDPAP"/>
    <m/>
    <n v="3"/>
    <n v="338"/>
    <n v="1260.5"/>
    <n v="3"/>
    <n v="338"/>
    <n v="1260.5"/>
    <s v=""/>
    <m/>
    <s v=""/>
    <x v="1"/>
  </r>
  <r>
    <n v="308"/>
    <x v="19"/>
    <s v="Centers Plan For Healthy Living CDPAP "/>
    <s v="MLTC"/>
    <s v="CDPAP"/>
    <s v="PA Hourly - Erie/Niagara"/>
    <s v="T1019:U6"/>
    <x v="1"/>
    <x v="1"/>
    <s v="MC Medicaid CDPAP"/>
    <m/>
    <n v="37"/>
    <n v="6981"/>
    <n v="27761"/>
    <n v="37"/>
    <n v="6981"/>
    <n v="27761"/>
    <s v=""/>
    <m/>
    <s v=""/>
    <x v="1"/>
  </r>
  <r>
    <n v="309"/>
    <x v="19"/>
    <s v="Centers Plan For Healthy Living CDPAP "/>
    <s v="MLTC"/>
    <s v="CDPAP"/>
    <s v="PA Hourly - Nassau/Suffolk/Westchester:"/>
    <s v="T1019:U6"/>
    <x v="1"/>
    <x v="1"/>
    <s v="MC Medicaid CDPAP"/>
    <m/>
    <n v="3"/>
    <n v="446"/>
    <n v="1189.75"/>
    <n v="3"/>
    <n v="446"/>
    <n v="1189.75"/>
    <s v=""/>
    <m/>
    <s v=""/>
    <x v="1"/>
  </r>
  <r>
    <n v="310"/>
    <x v="19"/>
    <s v="Centers Plan For Healthy Living CDPAP "/>
    <s v="MLTC"/>
    <s v="CDPAP"/>
    <s v="PA Hourly - Rockland"/>
    <s v="T1019:U6"/>
    <x v="1"/>
    <x v="1"/>
    <s v="MC Medicaid CDPAP"/>
    <m/>
    <n v="1"/>
    <n v="361"/>
    <n v="1623"/>
    <n v="1"/>
    <n v="361"/>
    <n v="1623"/>
    <s v=""/>
    <m/>
    <s v=""/>
    <x v="1"/>
  </r>
  <r>
    <n v="311"/>
    <x v="19"/>
    <s v="Elderwood Health Plan"/>
    <s v="MCO"/>
    <s v="CDPAP"/>
    <s v="PA Hourly"/>
    <s v="T1019:U6"/>
    <x v="1"/>
    <x v="1"/>
    <s v="MC Medicaid CDPAP"/>
    <m/>
    <n v="3"/>
    <n v="136"/>
    <n v="888"/>
    <n v="3"/>
    <n v="136"/>
    <n v="888"/>
    <s v=""/>
    <m/>
    <s v=""/>
    <x v="1"/>
  </r>
  <r>
    <n v="315"/>
    <x v="19"/>
    <s v="Fidelis Care (CDP)"/>
    <s v="LHCSA"/>
    <s v="CDPAP"/>
    <s v="T1019:U6"/>
    <s v="T1019:U6"/>
    <x v="1"/>
    <x v="1"/>
    <s v="MC Medicaid CDPAP"/>
    <m/>
    <n v="42"/>
    <n v="4930"/>
    <n v="26436.5"/>
    <n v="42"/>
    <n v="4930"/>
    <n v="26436.5"/>
    <s v=""/>
    <m/>
    <s v=""/>
    <x v="1"/>
  </r>
  <r>
    <n v="317"/>
    <x v="19"/>
    <s v="Nascentia Health Options CDPAP"/>
    <s v="MLTC"/>
    <s v="CDPAP"/>
    <s v="PA Hourly"/>
    <s v="T1019:U6"/>
    <x v="1"/>
    <x v="1"/>
    <s v="MC Medicaid CDPAP"/>
    <m/>
    <n v="5"/>
    <n v="473"/>
    <n v="2637"/>
    <n v="5"/>
    <n v="473"/>
    <n v="2637"/>
    <s v=""/>
    <m/>
    <s v=""/>
    <x v="1"/>
  </r>
  <r>
    <n v="320"/>
    <x v="19"/>
    <s v="VNS Health Health Plans (CDP)"/>
    <s v="MLTC"/>
    <s v="CDPAP"/>
    <s v="T1019U6 EDD"/>
    <s v="T1019:U6"/>
    <x v="1"/>
    <x v="1"/>
    <s v="MC Medicaid CDPAP"/>
    <m/>
    <n v="51"/>
    <n v="7756"/>
    <n v="35944.25"/>
    <n v="51"/>
    <n v="7756"/>
    <n v="35944.25"/>
    <s v=""/>
    <m/>
    <s v=""/>
    <x v="1"/>
  </r>
  <r>
    <n v="321"/>
    <x v="19"/>
    <s v="VNS Health Health Plans (CDP)"/>
    <s v="MLTC"/>
    <s v="CDPAP"/>
    <s v="T1019U7 EDD"/>
    <s v="T1019:U7"/>
    <x v="10"/>
    <x v="1"/>
    <s v="MC Medicaid CDPAP"/>
    <m/>
    <n v="4"/>
    <n v="903"/>
    <n v="4606"/>
    <n v="4"/>
    <n v="903"/>
    <n v="4606"/>
    <s v=""/>
    <m/>
    <s v=""/>
    <x v="1"/>
  </r>
  <r>
    <n v="323"/>
    <x v="20"/>
    <s v="Fidelis Care (CDP)"/>
    <s v="LHCSA"/>
    <s v="CDPAP"/>
    <s v="T1019:U6"/>
    <s v="T1019:U6"/>
    <x v="1"/>
    <x v="1"/>
    <s v="MC Medicaid CDPAP"/>
    <m/>
    <n v="2"/>
    <n v="212"/>
    <n v="787"/>
    <n v="2"/>
    <n v="212"/>
    <n v="787"/>
    <s v=""/>
    <m/>
    <s v=""/>
    <x v="1"/>
  </r>
  <r>
    <n v="325"/>
    <x v="21"/>
    <s v="Fidelis Care (CDP)"/>
    <s v="LHCSA"/>
    <s v="CDPAP"/>
    <s v="T1019:U6"/>
    <s v="T1019:U6"/>
    <x v="1"/>
    <x v="1"/>
    <s v="MC Medicaid CDPAP"/>
    <m/>
    <n v="3"/>
    <n v="393"/>
    <n v="1429.5"/>
    <n v="3"/>
    <n v="393"/>
    <n v="1429.5"/>
    <s v=""/>
    <m/>
    <s v=""/>
    <x v="1"/>
  </r>
  <r>
    <n v="327"/>
    <x v="21"/>
    <s v="Nascentia Health Options CDPAP"/>
    <s v="MLTC"/>
    <s v="CDPAP"/>
    <s v="PA Hourly"/>
    <s v="T1019:U6"/>
    <x v="1"/>
    <x v="1"/>
    <s v="MC Medicaid CDPAP"/>
    <m/>
    <n v="3"/>
    <n v="286"/>
    <n v="1884.5"/>
    <n v="3"/>
    <n v="286"/>
    <n v="1884.5"/>
    <s v=""/>
    <m/>
    <s v=""/>
    <x v="1"/>
  </r>
  <r>
    <n v="328"/>
    <x v="21"/>
    <s v="VNS Health Health Plans (CDP)"/>
    <s v="MLTC"/>
    <s v="CDPAP"/>
    <s v="T1019U6 NAS"/>
    <s v="T1019:U6"/>
    <x v="1"/>
    <x v="1"/>
    <s v="MC Medicaid CDPAP"/>
    <m/>
    <n v="1"/>
    <n v="51"/>
    <n v="327.75"/>
    <n v="1"/>
    <n v="51"/>
    <n v="327.75"/>
    <s v=""/>
    <m/>
    <s v=""/>
    <x v="1"/>
  </r>
  <r>
    <n v="331"/>
    <x v="22"/>
    <s v="Fidelis Care (CDP)"/>
    <s v="LHCSA"/>
    <s v="CDPAP"/>
    <s v="T1019:U6"/>
    <s v="T1019:U6"/>
    <x v="1"/>
    <x v="1"/>
    <s v="MC Medicaid CDPAP"/>
    <m/>
    <n v="19"/>
    <n v="2574"/>
    <n v="9744.75"/>
    <n v="18"/>
    <n v="2567"/>
    <n v="9729.25"/>
    <s v=""/>
    <m/>
    <s v=""/>
    <x v="1"/>
  </r>
  <r>
    <n v="334"/>
    <x v="22"/>
    <s v="VNS Health Health Plans (CDP)"/>
    <s v="MLTC"/>
    <s v="CDPAP"/>
    <s v="T1019U6 FUL"/>
    <s v="T1019:U6"/>
    <x v="1"/>
    <x v="1"/>
    <s v="MC Medicaid CDPAP"/>
    <m/>
    <n v="7"/>
    <n v="1391"/>
    <n v="6478.75"/>
    <n v="7"/>
    <n v="1391"/>
    <n v="6478.75"/>
    <s v=""/>
    <m/>
    <s v=""/>
    <x v="1"/>
  </r>
  <r>
    <n v="336"/>
    <x v="23"/>
    <s v="Fidelis Care (CDP)"/>
    <s v="LHCSA"/>
    <s v="CDPAP"/>
    <s v="T1019:U6"/>
    <s v="T1019:U6"/>
    <x v="1"/>
    <x v="1"/>
    <s v="MC Medicaid CDPAP"/>
    <m/>
    <n v="4"/>
    <n v="438"/>
    <n v="2526"/>
    <n v="4"/>
    <n v="438"/>
    <n v="2526"/>
    <s v=""/>
    <m/>
    <s v=""/>
    <x v="1"/>
  </r>
  <r>
    <n v="338"/>
    <x v="23"/>
    <s v="Nascentia Health Options CDPAP"/>
    <s v="MLTC"/>
    <s v="CDPAP"/>
    <s v="PA Hourly"/>
    <s v="T1019:U6"/>
    <x v="1"/>
    <x v="1"/>
    <s v="MC Medicaid CDPAP"/>
    <m/>
    <n v="5"/>
    <n v="1022"/>
    <n v="3807.25"/>
    <n v="5"/>
    <n v="1022"/>
    <n v="3807.25"/>
    <s v=""/>
    <m/>
    <s v=""/>
    <x v="1"/>
  </r>
  <r>
    <n v="340"/>
    <x v="23"/>
    <s v="VNS Health Health Plans (CDP)"/>
    <s v="MLTC"/>
    <s v="CDPAP"/>
    <s v="T1019U6 GEN"/>
    <s v="T1019:U6"/>
    <x v="1"/>
    <x v="1"/>
    <s v="MC Medicaid CDPAP"/>
    <m/>
    <n v="2"/>
    <n v="44"/>
    <n v="342"/>
    <n v="2"/>
    <n v="44"/>
    <n v="342"/>
    <s v=""/>
    <m/>
    <s v=""/>
    <x v="1"/>
  </r>
  <r>
    <n v="341"/>
    <x v="23"/>
    <s v="VNSNY CHOICE CDPAP"/>
    <s v="MLTC"/>
    <s v="CDPAP"/>
    <s v="PA Hourly"/>
    <s v="T1019:U6"/>
    <x v="1"/>
    <x v="1"/>
    <s v="MC Medicaid CDPAP"/>
    <m/>
    <n v="1"/>
    <n v="17"/>
    <n v="49"/>
    <n v="1"/>
    <n v="17"/>
    <n v="49"/>
    <s v=""/>
    <m/>
    <s v=""/>
    <x v="1"/>
  </r>
  <r>
    <n v="343"/>
    <x v="24"/>
    <s v="Fidelis Care (CDP)"/>
    <s v="LHCSA"/>
    <s v="CDPAP"/>
    <s v="T1019:U6"/>
    <s v="T1019:U6"/>
    <x v="1"/>
    <x v="1"/>
    <s v="MC Medicaid CDPAP"/>
    <m/>
    <n v="5"/>
    <n v="398"/>
    <n v="1205"/>
    <n v="5"/>
    <n v="398"/>
    <n v="1205"/>
    <s v=""/>
    <m/>
    <s v=""/>
    <x v="1"/>
  </r>
  <r>
    <n v="346"/>
    <x v="24"/>
    <s v="Nascentia Health Options CDPAP"/>
    <s v="MLTC"/>
    <s v="CDPAP"/>
    <s v="PA Hourly"/>
    <s v="T1019:U6"/>
    <x v="1"/>
    <x v="1"/>
    <s v="MC Medicaid CDPAP"/>
    <m/>
    <n v="1"/>
    <n v="169"/>
    <n v="1136.5"/>
    <n v="1"/>
    <n v="169"/>
    <n v="1136.5"/>
    <s v=""/>
    <m/>
    <s v=""/>
    <x v="1"/>
  </r>
  <r>
    <n v="348"/>
    <x v="24"/>
    <s v="VNS Health Health Plans (CDP)"/>
    <s v="MLTC"/>
    <s v="CDPAP"/>
    <s v="T1019U6 GRE"/>
    <s v="T1019:U6"/>
    <x v="1"/>
    <x v="1"/>
    <s v="MC Medicaid CDPAP"/>
    <m/>
    <n v="5"/>
    <n v="1104"/>
    <n v="4790.25"/>
    <n v="5"/>
    <n v="1104"/>
    <n v="4790.25"/>
    <s v=""/>
    <m/>
    <s v=""/>
    <x v="1"/>
  </r>
  <r>
    <n v="350"/>
    <x v="25"/>
    <s v="Nascentia Health Options CDPAP"/>
    <s v="MLTC"/>
    <s v="CDPAP"/>
    <s v="PA Hourly"/>
    <s v="T1019:U6"/>
    <x v="1"/>
    <x v="1"/>
    <s v="MC Medicaid CDPAP"/>
    <m/>
    <n v="1"/>
    <n v="66"/>
    <n v="419.5"/>
    <n v="1"/>
    <n v="66"/>
    <n v="419.5"/>
    <s v=""/>
    <m/>
    <s v=""/>
    <x v="1"/>
  </r>
  <r>
    <n v="352"/>
    <x v="26"/>
    <s v="Fidelis Care (CDP)"/>
    <s v="LHCSA"/>
    <s v="CDPAP"/>
    <s v="T1019:U6"/>
    <s v="T1019:U6"/>
    <x v="1"/>
    <x v="1"/>
    <s v="MC Medicaid CDPAP"/>
    <m/>
    <n v="7"/>
    <n v="565"/>
    <n v="2795.25"/>
    <n v="7"/>
    <n v="565"/>
    <n v="2795.25"/>
    <s v=""/>
    <m/>
    <s v=""/>
    <x v="1"/>
  </r>
  <r>
    <n v="354"/>
    <x v="26"/>
    <s v="Nascentia Health Options CDPAP"/>
    <s v="MLTC"/>
    <s v="CDPAP"/>
    <s v="PA Hourly"/>
    <s v="T1019:U6"/>
    <x v="1"/>
    <x v="1"/>
    <s v="MC Medicaid CDPAP"/>
    <m/>
    <n v="2"/>
    <n v="322"/>
    <n v="1505.75"/>
    <n v="2"/>
    <n v="322"/>
    <n v="1505.75"/>
    <s v=""/>
    <m/>
    <s v=""/>
    <x v="1"/>
  </r>
  <r>
    <n v="357"/>
    <x v="26"/>
    <s v="VNS Health Health Plans (CDP)"/>
    <s v="MLTC"/>
    <s v="CDPAP"/>
    <s v="T1019U6 HER"/>
    <s v="T1019:U6"/>
    <x v="1"/>
    <x v="1"/>
    <s v="MC Medicaid CDPAP"/>
    <m/>
    <n v="4"/>
    <n v="172"/>
    <n v="603.75"/>
    <n v="4"/>
    <n v="172"/>
    <n v="603.75"/>
    <s v=""/>
    <m/>
    <s v=""/>
    <x v="1"/>
  </r>
  <r>
    <n v="358"/>
    <x v="26"/>
    <s v="VNS Health Health Plans (CDP)"/>
    <s v="MLTC"/>
    <s v="CDPAP"/>
    <s v="T1019U6 ONE"/>
    <s v="T1019:U6"/>
    <x v="1"/>
    <x v="1"/>
    <s v="MC Medicaid CDPAP"/>
    <m/>
    <n v="1"/>
    <n v="212"/>
    <n v="1559"/>
    <n v="1"/>
    <n v="212"/>
    <n v="1559"/>
    <s v=""/>
    <m/>
    <s v=""/>
    <x v="1"/>
  </r>
  <r>
    <n v="363"/>
    <x v="27"/>
    <s v="Fidelis Care (CDP)"/>
    <s v="LHCSA"/>
    <s v="CDPAP"/>
    <s v="T1019:U6"/>
    <s v="T1019:U6"/>
    <x v="1"/>
    <x v="1"/>
    <s v="MC Medicaid CDPAP"/>
    <m/>
    <n v="14"/>
    <n v="2135"/>
    <n v="11503.5"/>
    <n v="14"/>
    <n v="2135"/>
    <n v="11503.5"/>
    <s v=""/>
    <m/>
    <s v=""/>
    <x v="1"/>
  </r>
  <r>
    <n v="364"/>
    <x v="27"/>
    <s v="Fidelis Care (CDP)"/>
    <s v="LHCSA"/>
    <s v="CDPAP"/>
    <s v="T1020:U6"/>
    <s v="T1020:U6"/>
    <x v="9"/>
    <x v="1"/>
    <s v="MC Medicaid CDPAP"/>
    <m/>
    <n v="1"/>
    <n v="48"/>
    <n v="624"/>
    <n v="1"/>
    <n v="48"/>
    <n v="624"/>
    <s v=""/>
    <m/>
    <n v="13"/>
    <x v="1"/>
  </r>
  <r>
    <n v="369"/>
    <x v="27"/>
    <s v="Nascentia Health Options CDPAP"/>
    <s v="MLTC"/>
    <s v="CDPAP"/>
    <s v="PA Hourly"/>
    <s v="T1019:U6"/>
    <x v="1"/>
    <x v="1"/>
    <s v="MC Medicaid CDPAP"/>
    <m/>
    <n v="16"/>
    <n v="2203"/>
    <n v="13388.25"/>
    <n v="16"/>
    <n v="2203"/>
    <n v="13388.25"/>
    <s v=""/>
    <m/>
    <s v=""/>
    <x v="1"/>
  </r>
  <r>
    <n v="370"/>
    <x v="1"/>
    <s v="Americare"/>
    <s v="CHHA"/>
    <s v="CHHA"/>
    <s v="HHA1"/>
    <s v="S9122"/>
    <x v="0"/>
    <x v="0"/>
    <s v="Other"/>
    <s v="CHHA"/>
    <n v="27"/>
    <n v="656"/>
    <n v="2552.25"/>
    <n v="18"/>
    <n v="484"/>
    <n v="1919.75"/>
    <s v=""/>
    <m/>
    <s v=""/>
    <x v="0"/>
  </r>
  <r>
    <n v="371"/>
    <x v="1"/>
    <s v="Americare"/>
    <s v="CHHA"/>
    <s v="CHHA"/>
    <s v="HHAPEDSV"/>
    <s v="S9122"/>
    <x v="0"/>
    <x v="0"/>
    <s v="Other"/>
    <s v="CHHA"/>
    <n v="243"/>
    <n v="34402"/>
    <n v="226951.25"/>
    <n v="232"/>
    <n v="33352"/>
    <n v="219182.25"/>
    <s v=""/>
    <m/>
    <s v=""/>
    <x v="0"/>
  </r>
  <r>
    <n v="372"/>
    <x v="1"/>
    <s v="Amerigroup (Empire) PCA"/>
    <s v="MCO"/>
    <s v="Medicaid"/>
    <s v="PCA HOURLY"/>
    <s v="T1019:U1"/>
    <x v="2"/>
    <x v="0"/>
    <s v="MC Medicaid HHA"/>
    <m/>
    <n v="2"/>
    <n v="182"/>
    <n v="723.75"/>
    <n v="2"/>
    <n v="182"/>
    <n v="723.75"/>
    <s v=""/>
    <m/>
    <s v=""/>
    <x v="1"/>
  </r>
  <r>
    <n v="373"/>
    <x v="1"/>
    <s v="Amerigroup (Empire) PCA"/>
    <s v="MCO"/>
    <s v="Medicaid"/>
    <s v="RN Initial-NB"/>
    <s v="T1019"/>
    <x v="3"/>
    <x v="0"/>
    <s v="MC Medicaid HHA"/>
    <m/>
    <n v="1"/>
    <n v="1"/>
    <n v="1"/>
    <n v="1"/>
    <n v="1"/>
    <n v="1"/>
    <s v="Nursing override"/>
    <m/>
    <s v=""/>
    <x v="1"/>
  </r>
  <r>
    <n v="374"/>
    <x v="1"/>
    <s v="Amerigroup (Empire) PCA"/>
    <s v="MCO"/>
    <s v="Medicaid"/>
    <s v="RN Reassessment-NB"/>
    <s v="T1019"/>
    <x v="3"/>
    <x v="0"/>
    <s v="MC Medicaid HHA"/>
    <m/>
    <n v="1"/>
    <n v="1"/>
    <n v="1"/>
    <n v="1"/>
    <n v="1"/>
    <n v="1"/>
    <s v="Nursing override"/>
    <m/>
    <s v=""/>
    <x v="1"/>
  </r>
  <r>
    <n v="375"/>
    <x v="1"/>
    <s v="Anchor select"/>
    <s v="Other"/>
    <s v="Private"/>
    <s v="Non billable"/>
    <m/>
    <x v="5"/>
    <x v="0"/>
    <s v="Private Pay"/>
    <m/>
    <n v="1"/>
    <n v="396"/>
    <n v="4709.25"/>
    <n v="1"/>
    <n v="396"/>
    <n v="4709.25"/>
    <s v=""/>
    <m/>
    <s v=""/>
    <x v="0"/>
  </r>
  <r>
    <n v="376"/>
    <x v="1"/>
    <s v="Archcare Community Life CDPAP"/>
    <s v="MCO"/>
    <s v="CDPAP"/>
    <s v="PA Hourly"/>
    <s v="T1019:U6"/>
    <x v="1"/>
    <x v="1"/>
    <s v="MC Medicaid CDPAP"/>
    <m/>
    <n v="15"/>
    <n v="1629"/>
    <n v="8563.5"/>
    <n v="13"/>
    <n v="1509"/>
    <n v="7666.5"/>
    <s v=""/>
    <m/>
    <s v=""/>
    <x v="1"/>
  </r>
  <r>
    <n v="377"/>
    <x v="1"/>
    <s v="Archcare Community Life PCA"/>
    <s v="MCO"/>
    <s v="MLTC"/>
    <s v="LPN (T1003)"/>
    <s v="T1003"/>
    <x v="4"/>
    <x v="0"/>
    <s v="Other"/>
    <m/>
    <n v="1"/>
    <n v="79"/>
    <n v="934.75"/>
    <n v="1"/>
    <n v="79"/>
    <n v="934.75"/>
    <s v=""/>
    <s v="PDN"/>
    <s v=""/>
    <x v="0"/>
  </r>
  <r>
    <n v="378"/>
    <x v="1"/>
    <s v="Archcare Community Life PCA"/>
    <s v="MCO"/>
    <s v="MLTC"/>
    <s v="PCA - Live In"/>
    <s v="T1020"/>
    <x v="8"/>
    <x v="0"/>
    <s v="MC Medicaid HHA"/>
    <m/>
    <n v="2"/>
    <n v="205"/>
    <n v="2665"/>
    <n v="2"/>
    <n v="205"/>
    <n v="2665"/>
    <s v=""/>
    <m/>
    <n v="13"/>
    <x v="1"/>
  </r>
  <r>
    <n v="379"/>
    <x v="1"/>
    <s v="Archcare Community Life PCA"/>
    <s v="MCO"/>
    <s v="MLTC"/>
    <s v="PCA Hourly"/>
    <s v="T1019:U1"/>
    <x v="2"/>
    <x v="0"/>
    <s v="MC Medicaid HHA"/>
    <m/>
    <n v="17"/>
    <n v="1974"/>
    <n v="16731.75"/>
    <n v="16"/>
    <n v="1906"/>
    <n v="16368"/>
    <s v=""/>
    <m/>
    <s v=""/>
    <x v="1"/>
  </r>
  <r>
    <n v="380"/>
    <x v="1"/>
    <s v="Archcare Community Life PCA"/>
    <s v="MCO"/>
    <s v="MLTC"/>
    <s v="PRN (NB)"/>
    <m/>
    <x v="3"/>
    <x v="0"/>
    <s v="MC Medicaid HHA"/>
    <m/>
    <n v="2"/>
    <n v="2"/>
    <n v="2"/>
    <n v="2"/>
    <n v="2"/>
    <n v="2"/>
    <s v="Nursing override"/>
    <m/>
    <s v=""/>
    <x v="1"/>
  </r>
  <r>
    <n v="381"/>
    <x v="1"/>
    <s v="Archcare Community Life PCA"/>
    <s v="MCO"/>
    <s v="MLTC"/>
    <s v="RN Initial (NB)"/>
    <m/>
    <x v="3"/>
    <x v="0"/>
    <s v="MC Medicaid HHA"/>
    <m/>
    <n v="2"/>
    <n v="2"/>
    <n v="2"/>
    <n v="2"/>
    <n v="2"/>
    <n v="2"/>
    <s v="Nursing override"/>
    <m/>
    <s v=""/>
    <x v="1"/>
  </r>
  <r>
    <n v="382"/>
    <x v="1"/>
    <s v="Archcare Community Life PCA"/>
    <s v="MCO"/>
    <s v="MLTC"/>
    <s v="RN Reassessment (NB)"/>
    <m/>
    <x v="3"/>
    <x v="0"/>
    <s v="MC Medicaid HHA"/>
    <m/>
    <n v="15"/>
    <n v="15"/>
    <n v="15"/>
    <n v="15"/>
    <n v="15"/>
    <n v="15"/>
    <s v="Nursing override"/>
    <m/>
    <s v=""/>
    <x v="1"/>
  </r>
  <r>
    <n v="383"/>
    <x v="1"/>
    <s v="Centerlight CHHA / Cassena Care At Home"/>
    <s v="CHHA"/>
    <s v="CHHA"/>
    <s v="HHA Hourly"/>
    <s v="HH11"/>
    <x v="0"/>
    <x v="0"/>
    <s v="Other"/>
    <s v="CHHA"/>
    <n v="1"/>
    <n v="8"/>
    <n v="32"/>
    <n v="0"/>
    <n v="0"/>
    <m/>
    <s v=""/>
    <m/>
    <s v=""/>
    <x v="0"/>
  </r>
  <r>
    <n v="384"/>
    <x v="1"/>
    <s v="CenterLight HealthCare (PACE) (CDP)"/>
    <s v="Other"/>
    <s v="CDPAP"/>
    <s v="T1019:U6"/>
    <s v="T1019:U6"/>
    <x v="4"/>
    <x v="0"/>
    <s v="Other"/>
    <m/>
    <n v="1"/>
    <n v="17"/>
    <n v="136"/>
    <n v="0"/>
    <n v="0"/>
    <m/>
    <s v=""/>
    <m/>
    <s v=""/>
    <x v="0"/>
  </r>
  <r>
    <n v="385"/>
    <x v="1"/>
    <s v="Centers Plan For Health Living PCA"/>
    <s v="MLTC"/>
    <s v="MLTC"/>
    <s v="PCA Hourly"/>
    <s v="T1019:U1"/>
    <x v="2"/>
    <x v="0"/>
    <s v="MC Medicaid HHA"/>
    <m/>
    <n v="145"/>
    <n v="19364"/>
    <n v="97945"/>
    <n v="125"/>
    <n v="18271"/>
    <n v="93202.75"/>
    <s v=""/>
    <m/>
    <s v=""/>
    <x v="1"/>
  </r>
  <r>
    <n v="386"/>
    <x v="1"/>
    <s v="Centers Plan For Health Living PCA"/>
    <s v="MLTC"/>
    <s v="MLTC"/>
    <s v="PCA Live-In"/>
    <s v="T1020"/>
    <x v="8"/>
    <x v="0"/>
    <s v="MC Medicaid HHA"/>
    <m/>
    <n v="1"/>
    <n v="149"/>
    <n v="1937"/>
    <n v="1"/>
    <n v="149"/>
    <n v="1937"/>
    <s v=""/>
    <m/>
    <n v="13"/>
    <x v="1"/>
  </r>
  <r>
    <n v="387"/>
    <x v="1"/>
    <s v="Centers Plan For Health Living PCA"/>
    <s v="MLTC"/>
    <s v="MLTC"/>
    <s v="PRN (NB)"/>
    <m/>
    <x v="3"/>
    <x v="0"/>
    <s v="MC Medicaid HHA"/>
    <m/>
    <n v="9"/>
    <n v="10"/>
    <n v="10"/>
    <n v="9"/>
    <n v="10"/>
    <n v="10"/>
    <s v="Nursing override"/>
    <m/>
    <s v=""/>
    <x v="1"/>
  </r>
  <r>
    <n v="388"/>
    <x v="1"/>
    <s v="Centers Plan For Health Living PCA"/>
    <s v="MLTC"/>
    <s v="MLTC"/>
    <s v="RN Initial (NB)"/>
    <m/>
    <x v="3"/>
    <x v="0"/>
    <s v="MC Medicaid HHA"/>
    <m/>
    <n v="62"/>
    <n v="62"/>
    <n v="62"/>
    <n v="48"/>
    <n v="48"/>
    <n v="48"/>
    <s v="Nursing override"/>
    <m/>
    <s v=""/>
    <x v="1"/>
  </r>
  <r>
    <n v="389"/>
    <x v="1"/>
    <s v="Centers Plan For Health Living PCA"/>
    <s v="MLTC"/>
    <s v="MLTC"/>
    <s v="RN Reassessment (NB)"/>
    <m/>
    <x v="3"/>
    <x v="0"/>
    <s v="MC Medicaid HHA"/>
    <m/>
    <n v="84"/>
    <n v="136"/>
    <n v="136"/>
    <n v="79"/>
    <n v="130"/>
    <n v="130"/>
    <s v="Nursing override"/>
    <m/>
    <s v=""/>
    <x v="1"/>
  </r>
  <r>
    <n v="395"/>
    <x v="1"/>
    <s v="Centers Plan For Healthy Living CDPAP "/>
    <s v="MLTC"/>
    <s v="CDPAP"/>
    <s v="PA Hourly - 5 Boroughs"/>
    <s v="T1019:U6"/>
    <x v="1"/>
    <x v="1"/>
    <s v="MC Medicaid CDPAP"/>
    <m/>
    <n v="138"/>
    <n v="28743"/>
    <n v="130928.75"/>
    <n v="132"/>
    <n v="28577"/>
    <n v="130213.5"/>
    <s v=""/>
    <m/>
    <s v=""/>
    <x v="1"/>
  </r>
  <r>
    <n v="396"/>
    <x v="1"/>
    <s v="Centers Plan For Healthy Living CDPAP "/>
    <s v="MLTC"/>
    <s v="CDPAP"/>
    <s v="PA Live-In - 5 Boroughs"/>
    <s v="T1020:U6"/>
    <x v="9"/>
    <x v="1"/>
    <s v="MC Medicaid CDPAP"/>
    <m/>
    <n v="1"/>
    <n v="358"/>
    <n v="4654"/>
    <n v="1"/>
    <n v="358"/>
    <n v="4654"/>
    <s v=""/>
    <m/>
    <n v="13"/>
    <x v="1"/>
  </r>
  <r>
    <n v="398"/>
    <x v="1"/>
    <s v="Elderplan MJHS (ANT)"/>
    <s v="MLTC"/>
    <s v="MLTC"/>
    <s v="PRN (NB)"/>
    <m/>
    <x v="3"/>
    <x v="0"/>
    <s v="MC Medicaid HHA"/>
    <m/>
    <n v="4"/>
    <n v="4"/>
    <n v="4"/>
    <n v="4"/>
    <n v="4"/>
    <n v="4"/>
    <s v="Nursing override"/>
    <m/>
    <s v=""/>
    <x v="1"/>
  </r>
  <r>
    <n v="399"/>
    <x v="1"/>
    <s v="Elderplan MJHS (ANT)"/>
    <s v="MLTC"/>
    <s v="MLTC"/>
    <s v="RN Initial (NB)"/>
    <m/>
    <x v="3"/>
    <x v="0"/>
    <s v="MC Medicaid HHA"/>
    <m/>
    <n v="47"/>
    <n v="47"/>
    <n v="47"/>
    <n v="47"/>
    <n v="47"/>
    <n v="47"/>
    <s v="Nursing override"/>
    <m/>
    <s v=""/>
    <x v="1"/>
  </r>
  <r>
    <n v="400"/>
    <x v="1"/>
    <s v="Elderplan MJHS (ANT)"/>
    <s v="MLTC"/>
    <s v="MLTC"/>
    <s v="RN Reassessment (NB)"/>
    <m/>
    <x v="3"/>
    <x v="0"/>
    <s v="MC Medicaid HHA"/>
    <m/>
    <n v="25"/>
    <n v="31"/>
    <n v="31"/>
    <n v="25"/>
    <n v="31"/>
    <n v="31"/>
    <s v="Nursing override"/>
    <m/>
    <s v=""/>
    <x v="1"/>
  </r>
  <r>
    <n v="401"/>
    <x v="1"/>
    <s v="Elderplan MJHS (ANT)"/>
    <s v="MLTC"/>
    <s v="MLTC"/>
    <s v="T1019:U1"/>
    <s v="T1019:U1"/>
    <x v="2"/>
    <x v="0"/>
    <s v="MC Medicaid HHA"/>
    <m/>
    <n v="59"/>
    <n v="6394"/>
    <n v="33835.75"/>
    <n v="57"/>
    <n v="6385"/>
    <n v="33801.25"/>
    <s v=""/>
    <m/>
    <s v=""/>
    <x v="1"/>
  </r>
  <r>
    <n v="402"/>
    <x v="1"/>
    <s v="Elderplan MJHS (ANT)"/>
    <s v="MLTC"/>
    <s v="MLTC"/>
    <s v="T1020"/>
    <s v="T1020"/>
    <x v="8"/>
    <x v="0"/>
    <s v="MC Medicaid HHA"/>
    <m/>
    <n v="7"/>
    <n v="1017"/>
    <n v="13221"/>
    <n v="7"/>
    <n v="1017"/>
    <n v="13221"/>
    <s v=""/>
    <m/>
    <n v="13"/>
    <x v="1"/>
  </r>
  <r>
    <n v="405"/>
    <x v="1"/>
    <s v="Elderplan MJHS (CDP)"/>
    <s v="MLTC"/>
    <s v="CDPAP"/>
    <s v="T1019:U6"/>
    <s v="T1019:U6"/>
    <x v="1"/>
    <x v="1"/>
    <s v="MC Medicaid CDPAP"/>
    <m/>
    <n v="38"/>
    <n v="6616"/>
    <n v="32043.5"/>
    <n v="34"/>
    <n v="6360"/>
    <n v="30234"/>
    <s v=""/>
    <m/>
    <s v=""/>
    <x v="1"/>
  </r>
  <r>
    <n v="406"/>
    <x v="1"/>
    <s v="Elderplan MJHS (CDP)"/>
    <s v="MLTC"/>
    <s v="CDPAP"/>
    <s v="T1019:U6 MAP"/>
    <s v="T1019:U6"/>
    <x v="1"/>
    <x v="1"/>
    <s v="MC Medicaid CDPAP"/>
    <m/>
    <n v="3"/>
    <n v="115"/>
    <n v="524"/>
    <n v="1"/>
    <n v="60"/>
    <n v="239"/>
    <s v=""/>
    <m/>
    <s v=""/>
    <x v="1"/>
  </r>
  <r>
    <n v="408"/>
    <x v="1"/>
    <s v="ElderServe/Riverspring (CDPAP)"/>
    <s v="MLTC"/>
    <s v="CDPAP"/>
    <s v="PA Hourly"/>
    <s v="T1019:U6"/>
    <x v="1"/>
    <x v="1"/>
    <s v="MC Medicaid CDPAP"/>
    <m/>
    <n v="4"/>
    <n v="529"/>
    <n v="3126.75"/>
    <n v="4"/>
    <n v="529"/>
    <n v="3126.75"/>
    <s v=""/>
    <m/>
    <s v=""/>
    <x v="1"/>
  </r>
  <r>
    <n v="409"/>
    <x v="1"/>
    <s v="ElderServe/Riverspring (PCA)"/>
    <s v="MLTC"/>
    <s v="MLTC"/>
    <s v="PCA Hourly NYC"/>
    <s v="T1019:U1"/>
    <x v="2"/>
    <x v="0"/>
    <s v="MC Medicaid HHA"/>
    <m/>
    <n v="9"/>
    <n v="1588"/>
    <n v="7341"/>
    <n v="9"/>
    <n v="1588"/>
    <n v="7341"/>
    <s v=""/>
    <m/>
    <s v=""/>
    <x v="1"/>
  </r>
  <r>
    <n v="410"/>
    <x v="1"/>
    <s v="ElderServe/Riverspring (PCA)"/>
    <s v="MLTC"/>
    <s v="MLTC"/>
    <s v="RN Initial (NB)"/>
    <m/>
    <x v="3"/>
    <x v="0"/>
    <s v="MC Medicaid HHA"/>
    <m/>
    <n v="5"/>
    <n v="5"/>
    <n v="5"/>
    <n v="5"/>
    <n v="5"/>
    <n v="5"/>
    <s v="Nursing override"/>
    <m/>
    <s v=""/>
    <x v="1"/>
  </r>
  <r>
    <n v="411"/>
    <x v="1"/>
    <s v="ElderServe/Riverspring (PCA)"/>
    <s v="MLTC"/>
    <s v="MLTC"/>
    <s v="RN Reassessment (NB)"/>
    <m/>
    <x v="3"/>
    <x v="0"/>
    <s v="MC Medicaid HHA"/>
    <m/>
    <n v="7"/>
    <n v="10"/>
    <n v="10"/>
    <n v="7"/>
    <n v="10"/>
    <n v="10"/>
    <s v="Nursing override"/>
    <m/>
    <s v=""/>
    <x v="1"/>
  </r>
  <r>
    <n v="416"/>
    <x v="1"/>
    <s v="Empire Blue Cross Blue Shield (CDPAP)"/>
    <s v="Other"/>
    <s v="CDPAP"/>
    <s v="PA Hourly (New)"/>
    <s v="T1019:U6"/>
    <x v="1"/>
    <x v="1"/>
    <s v="MC Medicaid CDPAP"/>
    <m/>
    <n v="56"/>
    <n v="11903"/>
    <n v="70933.75"/>
    <n v="56"/>
    <n v="11903"/>
    <n v="70933.75"/>
    <s v=""/>
    <m/>
    <s v=""/>
    <x v="1"/>
  </r>
  <r>
    <n v="417"/>
    <x v="1"/>
    <s v="Empire Blue Cross Blue Shield (CDPAP)"/>
    <s v="Other"/>
    <s v="CDPAP"/>
    <s v="PA Live-In"/>
    <s v="T1020:U6"/>
    <x v="9"/>
    <x v="1"/>
    <s v="MC Medicaid CDPAP"/>
    <m/>
    <n v="3"/>
    <n v="818"/>
    <n v="10634"/>
    <n v="3"/>
    <n v="818"/>
    <n v="10634"/>
    <s v=""/>
    <m/>
    <n v="13"/>
    <x v="1"/>
  </r>
  <r>
    <n v="418"/>
    <x v="1"/>
    <s v="Empire Blue Cross Blue Shield (PCA)"/>
    <s v="Other"/>
    <s v="MLTC"/>
    <s v="PCA Hourly NYC"/>
    <s v="T1019:U1"/>
    <x v="2"/>
    <x v="0"/>
    <s v="MC Medicaid HHA"/>
    <m/>
    <n v="42"/>
    <n v="5250"/>
    <n v="34057.25"/>
    <n v="40"/>
    <n v="5101"/>
    <n v="33302.25"/>
    <s v=""/>
    <m/>
    <s v=""/>
    <x v="1"/>
  </r>
  <r>
    <n v="419"/>
    <x v="1"/>
    <s v="Empire Blue Cross Blue Shield (PCA)"/>
    <s v="Other"/>
    <s v="MLTC"/>
    <s v="PCA Live In"/>
    <s v="T1020"/>
    <x v="8"/>
    <x v="0"/>
    <s v="MC Medicaid HHA"/>
    <m/>
    <n v="10"/>
    <n v="1308"/>
    <n v="17004"/>
    <n v="8"/>
    <n v="1267"/>
    <n v="16471"/>
    <s v=""/>
    <m/>
    <n v="13"/>
    <x v="1"/>
  </r>
  <r>
    <n v="420"/>
    <x v="1"/>
    <s v="Empire Blue Cross Blue Shield (PCA)"/>
    <s v="Other"/>
    <s v="MLTC"/>
    <s v="PRN (NB)"/>
    <m/>
    <x v="3"/>
    <x v="0"/>
    <s v="MC Medicaid HHA"/>
    <m/>
    <n v="6"/>
    <n v="9"/>
    <n v="9"/>
    <n v="6"/>
    <n v="9"/>
    <n v="9"/>
    <s v="Nursing override"/>
    <m/>
    <s v=""/>
    <x v="1"/>
  </r>
  <r>
    <n v="421"/>
    <x v="1"/>
    <s v="Empire Blue Cross Blue Shield (PCA)"/>
    <s v="Other"/>
    <s v="MLTC"/>
    <s v="RN Initial (NB)"/>
    <m/>
    <x v="3"/>
    <x v="0"/>
    <s v="MC Medicaid HHA"/>
    <m/>
    <n v="24"/>
    <n v="25"/>
    <n v="25"/>
    <n v="22"/>
    <n v="23"/>
    <n v="23"/>
    <s v="Nursing override"/>
    <m/>
    <s v=""/>
    <x v="1"/>
  </r>
  <r>
    <n v="422"/>
    <x v="1"/>
    <s v="Empire Blue Cross Blue Shield (PCA)"/>
    <s v="Other"/>
    <s v="MLTC"/>
    <s v="RN Reassessment (NB)"/>
    <m/>
    <x v="3"/>
    <x v="0"/>
    <s v="MC Medicaid HHA"/>
    <m/>
    <n v="23"/>
    <n v="38"/>
    <n v="38"/>
    <n v="23"/>
    <n v="38"/>
    <n v="38"/>
    <s v="Nursing override"/>
    <m/>
    <s v=""/>
    <x v="1"/>
  </r>
  <r>
    <n v="423"/>
    <x v="1"/>
    <s v="Excellent Home Care Services"/>
    <s v="CHHA"/>
    <s v="CHHA"/>
    <s v="Rate3"/>
    <m/>
    <x v="0"/>
    <x v="0"/>
    <s v="Other"/>
    <s v="CHHA"/>
    <n v="125"/>
    <n v="17340"/>
    <n v="106359.25"/>
    <n v="121"/>
    <n v="17193"/>
    <n v="105072.25"/>
    <s v=""/>
    <m/>
    <s v=""/>
    <x v="0"/>
  </r>
  <r>
    <n v="424"/>
    <x v="1"/>
    <s v="Extended Home Care"/>
    <s v="CHHA"/>
    <s v="CHHA"/>
    <s v="PedCode95"/>
    <s v="-"/>
    <x v="0"/>
    <x v="0"/>
    <s v="Other"/>
    <s v="CHHA"/>
    <n v="31"/>
    <n v="3196"/>
    <n v="19007.5"/>
    <n v="25"/>
    <n v="3045"/>
    <n v="18336"/>
    <s v=""/>
    <m/>
    <s v=""/>
    <x v="0"/>
  </r>
  <r>
    <n v="425"/>
    <x v="1"/>
    <s v="Extended Home Care"/>
    <s v="CHHA"/>
    <s v="CHHA"/>
    <s v="Rate1"/>
    <m/>
    <x v="0"/>
    <x v="0"/>
    <s v="Other"/>
    <s v="CHHA"/>
    <n v="73"/>
    <n v="5108"/>
    <n v="22542"/>
    <n v="61"/>
    <n v="4705"/>
    <n v="20781"/>
    <s v=""/>
    <m/>
    <s v=""/>
    <x v="0"/>
  </r>
  <r>
    <n v="426"/>
    <x v="1"/>
    <s v="Extended Home Care"/>
    <s v="CHHA"/>
    <s v="CHHA"/>
    <s v="Rate4HMO"/>
    <s v="0"/>
    <x v="0"/>
    <x v="0"/>
    <s v="Other"/>
    <s v="CHHA"/>
    <n v="2"/>
    <n v="46"/>
    <n v="187.25"/>
    <n v="2"/>
    <n v="46"/>
    <n v="187.25"/>
    <s v=""/>
    <m/>
    <s v=""/>
    <x v="0"/>
  </r>
  <r>
    <n v="427"/>
    <x v="1"/>
    <s v="Fidelis Care (ANT)"/>
    <s v="LHCSA"/>
    <s v="MLTC"/>
    <s v="PRN (NB)"/>
    <m/>
    <x v="3"/>
    <x v="0"/>
    <s v="MC Medicaid HHA"/>
    <m/>
    <n v="4"/>
    <n v="4"/>
    <n v="4"/>
    <n v="4"/>
    <n v="4"/>
    <n v="4"/>
    <s v="Nursing override"/>
    <m/>
    <s v=""/>
    <x v="1"/>
  </r>
  <r>
    <n v="428"/>
    <x v="1"/>
    <s v="Fidelis Care (ANT)"/>
    <s v="LHCSA"/>
    <s v="MLTC"/>
    <s v="RN Initial (NB)"/>
    <m/>
    <x v="3"/>
    <x v="0"/>
    <s v="MC Medicaid HHA"/>
    <m/>
    <n v="58"/>
    <n v="58"/>
    <n v="58"/>
    <n v="55"/>
    <n v="55"/>
    <n v="55"/>
    <s v="Nursing override"/>
    <m/>
    <s v=""/>
    <x v="1"/>
  </r>
  <r>
    <n v="429"/>
    <x v="1"/>
    <s v="Fidelis Care (ANT)"/>
    <s v="LHCSA"/>
    <s v="MLTC"/>
    <s v="RN Initial Assement"/>
    <s v="T2024"/>
    <x v="3"/>
    <x v="0"/>
    <s v="MC Medicaid HHA"/>
    <m/>
    <n v="38"/>
    <n v="38"/>
    <n v="38"/>
    <n v="34"/>
    <n v="34"/>
    <n v="34"/>
    <s v="nursing"/>
    <m/>
    <s v=""/>
    <x v="1"/>
  </r>
  <r>
    <n v="430"/>
    <x v="1"/>
    <s v="Fidelis Care (ANT)"/>
    <s v="LHCSA"/>
    <s v="MLTC"/>
    <s v="RN Reassessment (NB)"/>
    <m/>
    <x v="3"/>
    <x v="0"/>
    <s v="MC Medicaid HHA"/>
    <m/>
    <n v="69"/>
    <n v="95"/>
    <n v="95"/>
    <n v="67"/>
    <n v="93"/>
    <n v="93"/>
    <s v="Nursing override"/>
    <m/>
    <s v=""/>
    <x v="1"/>
  </r>
  <r>
    <n v="431"/>
    <x v="1"/>
    <s v="Fidelis Care (ANT)"/>
    <s v="LHCSA"/>
    <s v="MLTC"/>
    <s v="S5130:U1"/>
    <s v="S5130:U1::::Homemaker"/>
    <x v="6"/>
    <x v="0"/>
    <s v="MC Medicaid HHA"/>
    <m/>
    <n v="3"/>
    <n v="59"/>
    <n v="231.75"/>
    <n v="3"/>
    <n v="59"/>
    <n v="231.75"/>
    <s v=""/>
    <m/>
    <s v=""/>
    <x v="1"/>
  </r>
  <r>
    <n v="432"/>
    <x v="1"/>
    <s v="Fidelis Care (ANT)"/>
    <s v="LHCSA"/>
    <s v="MLTC"/>
    <s v="T1019:U1"/>
    <s v="T1019:U1"/>
    <x v="2"/>
    <x v="0"/>
    <s v="MC Medicaid HHA"/>
    <m/>
    <n v="143"/>
    <n v="16920"/>
    <n v="90925.5"/>
    <n v="134"/>
    <n v="16453"/>
    <n v="87911"/>
    <s v=""/>
    <m/>
    <s v=""/>
    <x v="1"/>
  </r>
  <r>
    <n v="433"/>
    <x v="1"/>
    <s v="Fidelis Care (ANT)"/>
    <s v="LHCSA"/>
    <s v="MLTC"/>
    <s v="T1020"/>
    <s v="T1020"/>
    <x v="8"/>
    <x v="0"/>
    <s v="MC Medicaid HHA"/>
    <m/>
    <n v="4"/>
    <n v="490"/>
    <n v="6370"/>
    <n v="4"/>
    <n v="490"/>
    <n v="6370"/>
    <s v=""/>
    <m/>
    <n v="13"/>
    <x v="1"/>
  </r>
  <r>
    <n v="438"/>
    <x v="1"/>
    <s v="Fidelis Care (CDP)"/>
    <s v="LHCSA"/>
    <s v="CDPAP"/>
    <s v="T1019:U6"/>
    <s v="T1019:U6"/>
    <x v="1"/>
    <x v="1"/>
    <s v="MC Medicaid CDPAP"/>
    <m/>
    <n v="116"/>
    <n v="13281"/>
    <n v="73517"/>
    <n v="109"/>
    <n v="12958"/>
    <n v="70960"/>
    <s v=""/>
    <m/>
    <s v=""/>
    <x v="1"/>
  </r>
  <r>
    <n v="439"/>
    <x v="1"/>
    <s v="Fidelis Care (CDP)"/>
    <s v="LHCSA"/>
    <s v="CDPAP"/>
    <s v="T1019:U7"/>
    <s v="T1019:U7"/>
    <x v="10"/>
    <x v="1"/>
    <s v="MC Medicaid CDPAP"/>
    <m/>
    <n v="2"/>
    <n v="496"/>
    <n v="3458.75"/>
    <n v="2"/>
    <n v="496"/>
    <n v="3458.75"/>
    <s v=""/>
    <m/>
    <s v=""/>
    <x v="1"/>
  </r>
  <r>
    <n v="440"/>
    <x v="1"/>
    <s v="Fidelis Care PCA (Non Live)"/>
    <s v="MLTC"/>
    <s v="MLTC"/>
    <s v="PCA Hourly"/>
    <s v="T1019:U1"/>
    <x v="2"/>
    <x v="0"/>
    <s v="MC Medicaid HHA"/>
    <m/>
    <n v="1"/>
    <n v="2"/>
    <n v="2"/>
    <n v="1"/>
    <n v="2"/>
    <n v="2"/>
    <s v=""/>
    <m/>
    <s v=""/>
    <x v="1"/>
  </r>
  <r>
    <n v="441"/>
    <x v="1"/>
    <s v="Fidelis Care PCA (Non Live)"/>
    <s v="MLTC"/>
    <s v="MLTC"/>
    <s v="RN Initial (NB)"/>
    <s v="G0162"/>
    <x v="3"/>
    <x v="0"/>
    <s v="MC Medicaid HHA"/>
    <m/>
    <n v="12"/>
    <n v="12"/>
    <n v="12"/>
    <n v="12"/>
    <n v="12"/>
    <n v="12"/>
    <s v="Nursing override"/>
    <m/>
    <s v=""/>
    <x v="1"/>
  </r>
  <r>
    <n v="442"/>
    <x v="1"/>
    <s v="Fidelis Care PCA (Non Live)"/>
    <s v="MLTC"/>
    <s v="MLTC"/>
    <s v="Rn initial assement"/>
    <s v="G0162"/>
    <x v="3"/>
    <x v="0"/>
    <s v="MC Medicaid HHA"/>
    <m/>
    <n v="4"/>
    <n v="4"/>
    <n v="4"/>
    <n v="4"/>
    <n v="4"/>
    <n v="4"/>
    <s v="nursing"/>
    <m/>
    <s v=""/>
    <x v="1"/>
  </r>
  <r>
    <n v="443"/>
    <x v="1"/>
    <s v="Fidelis Care PCA (Non Live)"/>
    <s v="MLTC"/>
    <s v="MLTC"/>
    <s v="RN Reassessment (NB)"/>
    <m/>
    <x v="3"/>
    <x v="0"/>
    <s v="MC Medicaid HHA"/>
    <m/>
    <n v="2"/>
    <n v="2"/>
    <n v="2"/>
    <n v="2"/>
    <n v="2"/>
    <n v="2"/>
    <s v="Nursing override"/>
    <m/>
    <s v=""/>
    <x v="1"/>
  </r>
  <r>
    <n v="444"/>
    <x v="1"/>
    <s v="Girling Health Care Of New York"/>
    <s v="CHHA"/>
    <s v="CHHA"/>
    <s v="Rate1"/>
    <m/>
    <x v="0"/>
    <x v="0"/>
    <s v="Other"/>
    <s v="CHHA"/>
    <n v="24"/>
    <n v="865"/>
    <n v="4049"/>
    <n v="13"/>
    <n v="656"/>
    <n v="3183"/>
    <s v=""/>
    <m/>
    <s v=""/>
    <x v="0"/>
  </r>
  <r>
    <n v="445"/>
    <x v="1"/>
    <s v="Girling Health Care Of New York"/>
    <s v="CHHA"/>
    <s v="CHHA"/>
    <s v="Rate4"/>
    <m/>
    <x v="0"/>
    <x v="0"/>
    <s v="Other"/>
    <s v="CHHA"/>
    <n v="3"/>
    <n v="27"/>
    <n v="104"/>
    <n v="3"/>
    <n v="27"/>
    <n v="104"/>
    <s v=""/>
    <m/>
    <s v=""/>
    <x v="0"/>
  </r>
  <r>
    <n v="448"/>
    <x v="1"/>
    <s v="Hamaspik Choice (MLTC) CDPAP"/>
    <s v="MCO"/>
    <s v="CDPAP"/>
    <s v="PA Hourly NYC , Nassau, Westchester"/>
    <s v="T1019:U6"/>
    <x v="1"/>
    <x v="1"/>
    <s v="MC Medicaid CDPAP"/>
    <m/>
    <n v="4"/>
    <n v="505"/>
    <n v="3657.75"/>
    <n v="4"/>
    <n v="505"/>
    <n v="3657.75"/>
    <s v=""/>
    <m/>
    <s v=""/>
    <x v="1"/>
  </r>
  <r>
    <n v="451"/>
    <x v="1"/>
    <s v="Hamaspik Choice MLTC (PCA)"/>
    <s v="MLTC"/>
    <s v="MLTC"/>
    <s v="PCA Hourly"/>
    <s v="T1019:U1"/>
    <x v="2"/>
    <x v="0"/>
    <s v="MC Medicaid HHA"/>
    <m/>
    <n v="7"/>
    <n v="743"/>
    <n v="4336.5"/>
    <n v="6"/>
    <n v="614"/>
    <n v="3208.75"/>
    <s v=""/>
    <m/>
    <s v=""/>
    <x v="1"/>
  </r>
  <r>
    <n v="452"/>
    <x v="1"/>
    <s v="Hamaspik Choice MLTC (PCA)"/>
    <s v="MLTC"/>
    <s v="MLTC"/>
    <s v="PCA Live In"/>
    <s v="T1020"/>
    <x v="8"/>
    <x v="0"/>
    <s v="MC Medicaid HHA"/>
    <m/>
    <n v="1"/>
    <n v="7"/>
    <n v="91"/>
    <n v="1"/>
    <n v="7"/>
    <n v="91"/>
    <s v=""/>
    <m/>
    <n v="13"/>
    <x v="1"/>
  </r>
  <r>
    <n v="453"/>
    <x v="1"/>
    <s v="Hamaspik Choice MLTC (PCA)"/>
    <s v="MLTC"/>
    <s v="MLTC"/>
    <s v="RN Initial (NB)"/>
    <m/>
    <x v="3"/>
    <x v="0"/>
    <s v="MC Medicaid HHA"/>
    <m/>
    <n v="5"/>
    <n v="5"/>
    <n v="5"/>
    <n v="4"/>
    <n v="4"/>
    <n v="4"/>
    <s v="Nursing override"/>
    <m/>
    <s v=""/>
    <x v="1"/>
  </r>
  <r>
    <n v="454"/>
    <x v="1"/>
    <s v="Hamaspik Choice MLTC (PCA)"/>
    <s v="MLTC"/>
    <s v="MLTC"/>
    <s v="RN Reassessment (NB)"/>
    <m/>
    <x v="3"/>
    <x v="0"/>
    <s v="MC Medicaid HHA"/>
    <m/>
    <n v="2"/>
    <n v="2"/>
    <n v="2"/>
    <n v="1"/>
    <n v="1"/>
    <n v="1"/>
    <s v="Nursing override"/>
    <m/>
    <s v=""/>
    <x v="1"/>
  </r>
  <r>
    <n v="457"/>
    <x v="1"/>
    <s v="Hamaspik MAP CDPAP"/>
    <s v="MCO"/>
    <s v="CDPAP"/>
    <s v="PA Hourly (NYC, LI, &amp; Westchester)"/>
    <s v="T1019:U6"/>
    <x v="1"/>
    <x v="1"/>
    <s v="MC Medicaid CDPAP"/>
    <m/>
    <n v="13"/>
    <n v="2460"/>
    <n v="13339.25"/>
    <n v="13"/>
    <n v="2460"/>
    <n v="13339.25"/>
    <s v=""/>
    <m/>
    <s v=""/>
    <x v="1"/>
  </r>
  <r>
    <n v="460"/>
    <x v="1"/>
    <s v="Hamaspik MAP PCA"/>
    <s v="MCO"/>
    <s v="MLTC"/>
    <s v="PCA Hourly"/>
    <s v="T1019:U1"/>
    <x v="2"/>
    <x v="0"/>
    <s v="MC Medicaid HHA"/>
    <m/>
    <n v="7"/>
    <n v="1396"/>
    <n v="8367.25"/>
    <n v="6"/>
    <n v="1289"/>
    <n v="7621"/>
    <s v=""/>
    <m/>
    <s v=""/>
    <x v="1"/>
  </r>
  <r>
    <n v="461"/>
    <x v="1"/>
    <s v="Hamaspik MAP PCA"/>
    <s v="MCO"/>
    <s v="MLTC"/>
    <s v="PRN (NB)"/>
    <m/>
    <x v="3"/>
    <x v="0"/>
    <s v="MC Medicaid HHA"/>
    <m/>
    <n v="1"/>
    <n v="1"/>
    <n v="1"/>
    <n v="0"/>
    <n v="0"/>
    <n v="0"/>
    <s v="Nursing override"/>
    <m/>
    <s v=""/>
    <x v="1"/>
  </r>
  <r>
    <n v="462"/>
    <x v="1"/>
    <s v="Hamaspik MAP PCA"/>
    <s v="MCO"/>
    <s v="MLTC"/>
    <s v="RN Initial (NB)"/>
    <m/>
    <x v="3"/>
    <x v="0"/>
    <s v="MC Medicaid HHA"/>
    <m/>
    <n v="3"/>
    <n v="3"/>
    <n v="3"/>
    <n v="2"/>
    <n v="2"/>
    <n v="2"/>
    <s v="Nursing override"/>
    <m/>
    <s v=""/>
    <x v="1"/>
  </r>
  <r>
    <n v="463"/>
    <x v="1"/>
    <s v="Hamaspik MAP PCA"/>
    <s v="MCO"/>
    <s v="MLTC"/>
    <s v="RN Reassessment (NB)"/>
    <m/>
    <x v="3"/>
    <x v="0"/>
    <s v="MC Medicaid HHA"/>
    <m/>
    <n v="4"/>
    <n v="8"/>
    <n v="8"/>
    <n v="4"/>
    <n v="8"/>
    <n v="8"/>
    <s v="Nursing override"/>
    <m/>
    <s v=""/>
    <x v="1"/>
  </r>
  <r>
    <n v="465"/>
    <x v="1"/>
    <s v="Healthfirst (ANT)"/>
    <s v="CHHA"/>
    <s v="MLTC"/>
    <s v="PRN (NB)"/>
    <m/>
    <x v="3"/>
    <x v="0"/>
    <s v="MC Medicaid HHA"/>
    <m/>
    <n v="3"/>
    <n v="3"/>
    <n v="3"/>
    <n v="3"/>
    <n v="3"/>
    <n v="3"/>
    <s v="Nursing override"/>
    <m/>
    <s v=""/>
    <x v="1"/>
  </r>
  <r>
    <n v="466"/>
    <x v="1"/>
    <s v="Healthfirst (ANT)"/>
    <s v="CHHA"/>
    <s v="MLTC"/>
    <s v="RN Initial (NB)"/>
    <m/>
    <x v="3"/>
    <x v="0"/>
    <s v="MC Medicaid HHA"/>
    <m/>
    <n v="62"/>
    <n v="62"/>
    <n v="62"/>
    <n v="56"/>
    <n v="56"/>
    <n v="56"/>
    <s v="Nursing override"/>
    <m/>
    <s v=""/>
    <x v="1"/>
  </r>
  <r>
    <n v="467"/>
    <x v="1"/>
    <s v="Healthfirst (ANT)"/>
    <s v="CHHA"/>
    <s v="MLTC"/>
    <s v="RN Reassessment (NB)"/>
    <m/>
    <x v="3"/>
    <x v="0"/>
    <s v="MC Medicaid HHA"/>
    <m/>
    <n v="50"/>
    <n v="70"/>
    <n v="70"/>
    <n v="47"/>
    <n v="67"/>
    <n v="67"/>
    <s v="Nursing override"/>
    <m/>
    <s v=""/>
    <x v="1"/>
  </r>
  <r>
    <n v="468"/>
    <x v="1"/>
    <s v="Healthfirst (ANT)"/>
    <s v="CHHA"/>
    <s v="MLTC"/>
    <s v="T1019:U1"/>
    <s v="T1019:U1"/>
    <x v="2"/>
    <x v="0"/>
    <s v="MC Medicaid HHA"/>
    <m/>
    <n v="104"/>
    <n v="9286"/>
    <n v="48545.75"/>
    <n v="91"/>
    <n v="8782"/>
    <n v="45824"/>
    <s v=""/>
    <m/>
    <s v=""/>
    <x v="1"/>
  </r>
  <r>
    <n v="469"/>
    <x v="1"/>
    <s v="Healthfirst (ANT)"/>
    <s v="CHHA"/>
    <s v="MLTC"/>
    <s v="T1019:U1:CC"/>
    <s v="T1019:U1"/>
    <x v="2"/>
    <x v="0"/>
    <s v="MC Medicaid HHA"/>
    <m/>
    <n v="2"/>
    <n v="17"/>
    <n v="75.25"/>
    <n v="2"/>
    <n v="17"/>
    <n v="75.25"/>
    <s v=""/>
    <m/>
    <s v=""/>
    <x v="1"/>
  </r>
  <r>
    <n v="470"/>
    <x v="1"/>
    <s v="Healthfirst (ANT)"/>
    <s v="CHHA"/>
    <s v="MLTC"/>
    <s v="T1019:U2"/>
    <s v="T1019:U2"/>
    <x v="11"/>
    <x v="0"/>
    <s v="MC Medicaid HHA"/>
    <m/>
    <n v="2"/>
    <n v="399"/>
    <n v="993.5"/>
    <n v="2"/>
    <n v="399"/>
    <n v="993.5"/>
    <s v=""/>
    <m/>
    <s v=""/>
    <x v="1"/>
  </r>
  <r>
    <n v="471"/>
    <x v="1"/>
    <s v="Healthfirst (ANT)"/>
    <s v="CHHA"/>
    <s v="MLTC"/>
    <s v="T1019:U6"/>
    <s v="T1019:U6"/>
    <x v="1"/>
    <x v="1"/>
    <s v="MC Medicaid CDPAP"/>
    <m/>
    <n v="1"/>
    <n v="24"/>
    <n v="80.5"/>
    <n v="1"/>
    <n v="24"/>
    <n v="80.5"/>
    <s v=""/>
    <m/>
    <s v=""/>
    <x v="1"/>
  </r>
  <r>
    <n v="472"/>
    <x v="1"/>
    <s v="Healthfirst (ANT)"/>
    <s v="CHHA"/>
    <s v="MLTC"/>
    <s v="T1020"/>
    <s v="T1020"/>
    <x v="8"/>
    <x v="0"/>
    <s v="MC Medicaid HHA"/>
    <m/>
    <n v="2"/>
    <n v="141"/>
    <n v="1833"/>
    <n v="2"/>
    <n v="141"/>
    <n v="1833"/>
    <s v=""/>
    <m/>
    <n v="13"/>
    <x v="1"/>
  </r>
  <r>
    <n v="473"/>
    <x v="1"/>
    <s v="Healthfirst (ANT)"/>
    <s v="CHHA"/>
    <s v="MLTC"/>
    <s v="T1020:CC"/>
    <s v="T1020"/>
    <x v="8"/>
    <x v="0"/>
    <s v="MC Medicaid HHA"/>
    <m/>
    <n v="1"/>
    <n v="360"/>
    <n v="4680"/>
    <n v="1"/>
    <n v="360"/>
    <n v="4680"/>
    <s v=""/>
    <m/>
    <n v="13"/>
    <x v="1"/>
  </r>
  <r>
    <n v="477"/>
    <x v="1"/>
    <s v="Healthfirst (CDP)"/>
    <s v="CHHA"/>
    <s v="CDPAP"/>
    <s v="T1019:U1"/>
    <s v="T1019:U1"/>
    <x v="2"/>
    <x v="0"/>
    <s v="MC Medicaid HHA"/>
    <m/>
    <n v="1"/>
    <n v="3"/>
    <n v="6"/>
    <n v="1"/>
    <n v="3"/>
    <n v="6"/>
    <s v=""/>
    <m/>
    <s v=""/>
    <x v="1"/>
  </r>
  <r>
    <n v="478"/>
    <x v="1"/>
    <s v="Healthfirst (CDP)"/>
    <s v="CHHA"/>
    <s v="CDPAP"/>
    <s v="T1019:U6"/>
    <s v="T1019:U6"/>
    <x v="1"/>
    <x v="1"/>
    <s v="MC Medicaid CDPAP"/>
    <m/>
    <n v="99"/>
    <n v="11908"/>
    <n v="66120.75"/>
    <n v="94"/>
    <n v="11609"/>
    <n v="64160.75"/>
    <s v=""/>
    <m/>
    <s v=""/>
    <x v="1"/>
  </r>
  <r>
    <n v="479"/>
    <x v="1"/>
    <s v="Healthfirst (CDP)"/>
    <s v="CHHA"/>
    <s v="CDPAP"/>
    <s v="T1019:U6:CC"/>
    <s v="T1019:U6"/>
    <x v="1"/>
    <x v="1"/>
    <s v="MC Medicaid CDPAP"/>
    <m/>
    <n v="3"/>
    <n v="614"/>
    <n v="5647.75"/>
    <n v="3"/>
    <n v="614"/>
    <n v="5647.75"/>
    <s v=""/>
    <m/>
    <s v=""/>
    <x v="1"/>
  </r>
  <r>
    <n v="480"/>
    <x v="1"/>
    <s v="Healthfirst (CDP)"/>
    <s v="CHHA"/>
    <s v="CDPAP"/>
    <s v="T1019:U6:SHP"/>
    <s v="T1019:U6"/>
    <x v="1"/>
    <x v="1"/>
    <s v="MC Medicaid CDPAP"/>
    <m/>
    <n v="1"/>
    <n v="250"/>
    <n v="744.25"/>
    <n v="1"/>
    <n v="250"/>
    <n v="744.25"/>
    <s v=""/>
    <m/>
    <s v=""/>
    <x v="1"/>
  </r>
  <r>
    <n v="481"/>
    <x v="1"/>
    <s v="Healthfirst PCA MAP (Complete Care) (Non Live)"/>
    <s v="MCO"/>
    <s v="MLTC"/>
    <s v="PCA Hourly"/>
    <s v="T1019:U1"/>
    <x v="2"/>
    <x v="0"/>
    <s v="MC Medicaid HHA"/>
    <m/>
    <n v="2"/>
    <n v="2"/>
    <n v="4.5"/>
    <n v="1"/>
    <n v="1"/>
    <n v="3.5"/>
    <s v=""/>
    <m/>
    <s v=""/>
    <x v="1"/>
  </r>
  <r>
    <n v="482"/>
    <x v="1"/>
    <s v="Healthfirst PCA MAP (Complete Care) (Non Live)"/>
    <s v="MCO"/>
    <s v="MLTC"/>
    <s v="RN Initial (NB)"/>
    <m/>
    <x v="3"/>
    <x v="0"/>
    <s v="MC Medicaid HHA"/>
    <m/>
    <n v="2"/>
    <n v="2"/>
    <n v="2"/>
    <n v="1"/>
    <n v="1"/>
    <n v="1"/>
    <s v="Nursing override"/>
    <m/>
    <s v=""/>
    <x v="1"/>
  </r>
  <r>
    <n v="483"/>
    <x v="1"/>
    <s v="Healthfirst PCA MAP (Complete Care) (Non Live)"/>
    <s v="MCO"/>
    <s v="MLTC"/>
    <s v="RN Reassessment (NB)"/>
    <m/>
    <x v="3"/>
    <x v="0"/>
    <s v="MC Medicaid HHA"/>
    <m/>
    <n v="1"/>
    <n v="1"/>
    <n v="1"/>
    <n v="1"/>
    <n v="1"/>
    <n v="1"/>
    <s v="Nursing override"/>
    <m/>
    <s v=""/>
    <x v="1"/>
  </r>
  <r>
    <n v="484"/>
    <x v="1"/>
    <s v="HEALTHFIRST PHSP (Medicaid) (Non Live)"/>
    <s v="CHHA"/>
    <s v="MCO"/>
    <s v="RN Reassessment (NB)"/>
    <m/>
    <x v="3"/>
    <x v="0"/>
    <s v="MC Medicaid HHA"/>
    <m/>
    <n v="1"/>
    <n v="2"/>
    <n v="2"/>
    <n v="1"/>
    <n v="2"/>
    <n v="2"/>
    <s v="Nursing override"/>
    <m/>
    <s v=""/>
    <x v="1"/>
  </r>
  <r>
    <n v="486"/>
    <x v="1"/>
    <s v="Nascentia Health Options CDPAP"/>
    <s v="MLTC"/>
    <s v="CDPAP"/>
    <s v="PA Hourly"/>
    <s v="T1019:U6"/>
    <x v="1"/>
    <x v="1"/>
    <s v="MC Medicaid CDPAP"/>
    <m/>
    <n v="1"/>
    <n v="313"/>
    <n v="667.75"/>
    <n v="1"/>
    <n v="313"/>
    <n v="667.75"/>
    <s v=""/>
    <m/>
    <s v=""/>
    <x v="1"/>
  </r>
  <r>
    <n v="487"/>
    <x v="1"/>
    <s v="NHTD"/>
    <s v="LHCSA"/>
    <s v="Medicaid"/>
    <s v="HCSS 9795 LI Nassau Westchester Suffolk"/>
    <s v="9795"/>
    <x v="4"/>
    <x v="0"/>
    <s v="Other"/>
    <m/>
    <n v="1"/>
    <n v="1"/>
    <n v="2.5"/>
    <n v="1"/>
    <n v="1"/>
    <n v="2.5"/>
    <s v=""/>
    <m/>
    <s v=""/>
    <x v="0"/>
  </r>
  <r>
    <n v="488"/>
    <x v="1"/>
    <s v="NHTD"/>
    <s v="LHCSA"/>
    <s v="Medicaid"/>
    <s v="HCSS 9795 NYC"/>
    <s v="9795"/>
    <x v="4"/>
    <x v="0"/>
    <s v="Other"/>
    <m/>
    <n v="153"/>
    <n v="63628"/>
    <n v="730345.25"/>
    <n v="151"/>
    <n v="63478"/>
    <n v="729054.25"/>
    <s v=""/>
    <m/>
    <s v=""/>
    <x v="0"/>
  </r>
  <r>
    <n v="489"/>
    <x v="1"/>
    <s v="NHTD"/>
    <s v="LHCSA"/>
    <s v="Medicaid"/>
    <s v="HCSS 9795 Rest of State"/>
    <s v="9795"/>
    <x v="4"/>
    <x v="0"/>
    <s v="Other"/>
    <m/>
    <n v="1"/>
    <n v="68"/>
    <n v="693.75"/>
    <n v="1"/>
    <n v="68"/>
    <n v="693.75"/>
    <s v=""/>
    <m/>
    <s v=""/>
    <x v="0"/>
  </r>
  <r>
    <n v="490"/>
    <x v="1"/>
    <s v="NHTD"/>
    <s v="LHCSA"/>
    <s v="Medicaid"/>
    <s v="Initial RN Visit 9799 (Hourly)"/>
    <s v="9799"/>
    <x v="4"/>
    <x v="0"/>
    <s v="Other"/>
    <m/>
    <n v="58"/>
    <n v="59"/>
    <n v="59"/>
    <n v="58"/>
    <n v="59"/>
    <n v="59"/>
    <m/>
    <m/>
    <s v=""/>
    <x v="0"/>
  </r>
  <r>
    <n v="491"/>
    <x v="1"/>
    <s v="NHTD"/>
    <s v="LHCSA"/>
    <s v="Medicaid"/>
    <s v="PRN (NB)"/>
    <m/>
    <x v="4"/>
    <x v="0"/>
    <s v="Other"/>
    <m/>
    <n v="9"/>
    <n v="9"/>
    <n v="8.5"/>
    <n v="9"/>
    <n v="9"/>
    <n v="9"/>
    <m/>
    <m/>
    <s v=""/>
    <x v="0"/>
  </r>
  <r>
    <n v="492"/>
    <x v="1"/>
    <s v="NHTD"/>
    <s v="LHCSA"/>
    <s v="Medicaid"/>
    <s v="RN Initial (NB)"/>
    <m/>
    <x v="4"/>
    <x v="0"/>
    <s v="Other"/>
    <m/>
    <n v="3"/>
    <n v="3"/>
    <n v="3"/>
    <n v="3"/>
    <n v="3"/>
    <n v="3"/>
    <m/>
    <m/>
    <s v=""/>
    <x v="0"/>
  </r>
  <r>
    <n v="493"/>
    <x v="1"/>
    <s v="NHTD"/>
    <s v="LHCSA"/>
    <s v="Medicaid"/>
    <s v="RN Reassessment (NB)"/>
    <m/>
    <x v="4"/>
    <x v="0"/>
    <s v="Other"/>
    <m/>
    <n v="7"/>
    <n v="7"/>
    <n v="7"/>
    <n v="7"/>
    <n v="7"/>
    <n v="7"/>
    <m/>
    <m/>
    <s v=""/>
    <x v="0"/>
  </r>
  <r>
    <n v="494"/>
    <x v="1"/>
    <s v="NHTD"/>
    <s v="LHCSA"/>
    <s v="Medicaid"/>
    <s v="RN Visit 9799 (Hourly)"/>
    <s v="9799"/>
    <x v="4"/>
    <x v="0"/>
    <s v="Other"/>
    <m/>
    <n v="122"/>
    <n v="191"/>
    <n v="188.5"/>
    <n v="120"/>
    <n v="189"/>
    <n v="189"/>
    <m/>
    <m/>
    <s v=""/>
    <x v="0"/>
  </r>
  <r>
    <n v="495"/>
    <x v="1"/>
    <s v="Non Billable"/>
    <s v="Other"/>
    <s v="Insurance"/>
    <s v="PA Hourly"/>
    <m/>
    <x v="5"/>
    <x v="0"/>
    <s v="Private Pay"/>
    <m/>
    <n v="1"/>
    <n v="14"/>
    <n v="170.5"/>
    <n v="1"/>
    <n v="14"/>
    <n v="170.5"/>
    <s v=""/>
    <m/>
    <s v=""/>
    <x v="0"/>
  </r>
  <r>
    <n v="496"/>
    <x v="1"/>
    <s v="Non Billable"/>
    <s v="Other"/>
    <s v="Insurance"/>
    <s v="PCA Hourly"/>
    <m/>
    <x v="5"/>
    <x v="0"/>
    <s v="Private Pay"/>
    <m/>
    <n v="68"/>
    <n v="749"/>
    <n v="2326.25"/>
    <n v="64"/>
    <n v="744"/>
    <n v="2312"/>
    <s v=""/>
    <m/>
    <s v=""/>
    <x v="0"/>
  </r>
  <r>
    <n v="497"/>
    <x v="1"/>
    <s v="Non Billable"/>
    <s v="Other"/>
    <s v="Insurance"/>
    <s v="PCA Live In"/>
    <m/>
    <x v="5"/>
    <x v="0"/>
    <s v="Private Pay"/>
    <m/>
    <n v="1"/>
    <n v="5"/>
    <n v="24"/>
    <n v="1"/>
    <n v="5"/>
    <n v="24"/>
    <s v=""/>
    <m/>
    <n v="4.8"/>
    <x v="0"/>
  </r>
  <r>
    <n v="498"/>
    <x v="1"/>
    <s v="Non Billable"/>
    <s v="Other"/>
    <s v="Insurance"/>
    <s v="RN Supervision"/>
    <m/>
    <x v="7"/>
    <x v="0"/>
    <s v="MC Medicaid HHA"/>
    <m/>
    <n v="2"/>
    <n v="604"/>
    <n v="604"/>
    <n v="2"/>
    <n v="604"/>
    <n v="604"/>
    <s v="Nursing override"/>
    <m/>
    <s v=""/>
    <x v="1"/>
  </r>
  <r>
    <n v="499"/>
    <x v="1"/>
    <s v="Partners Health Plan"/>
    <s v="MLTC"/>
    <s v="MLTC"/>
    <s v="HHA Hourly"/>
    <s v="S5130:U1::::S5130"/>
    <x v="6"/>
    <x v="0"/>
    <s v="MC Medicaid HHA"/>
    <m/>
    <n v="1"/>
    <n v="3"/>
    <n v="12"/>
    <n v="0"/>
    <n v="0"/>
    <m/>
    <s v=""/>
    <m/>
    <s v=""/>
    <x v="1"/>
  </r>
  <r>
    <n v="500"/>
    <x v="1"/>
    <s v="Partners Health Plan"/>
    <s v="MLTC"/>
    <s v="MLTC"/>
    <s v="PCA Hourly"/>
    <s v="T1019:U1"/>
    <x v="2"/>
    <x v="0"/>
    <s v="MC Medicaid HHA"/>
    <m/>
    <n v="1"/>
    <n v="20"/>
    <n v="80"/>
    <n v="0"/>
    <n v="0"/>
    <m/>
    <s v=""/>
    <m/>
    <s v=""/>
    <x v="1"/>
  </r>
  <r>
    <n v="501"/>
    <x v="1"/>
    <s v="Partners Health Plan"/>
    <s v="MLTC"/>
    <s v="MLTC"/>
    <s v="RN Initial Visit NB"/>
    <s v="T1019"/>
    <x v="3"/>
    <x v="0"/>
    <s v="MC Medicaid HHA"/>
    <m/>
    <n v="1"/>
    <n v="1"/>
    <n v="1"/>
    <n v="0"/>
    <n v="0"/>
    <n v="0"/>
    <s v="Nursing override"/>
    <m/>
    <s v=""/>
    <x v="1"/>
  </r>
  <r>
    <n v="502"/>
    <x v="1"/>
    <s v="Prime Home Health Services"/>
    <s v="CHHA"/>
    <s v="CHHA"/>
    <s v="HHAHOUR"/>
    <m/>
    <x v="0"/>
    <x v="0"/>
    <s v="Other"/>
    <s v="CHHA"/>
    <n v="1"/>
    <n v="9"/>
    <n v="34.25"/>
    <n v="1"/>
    <n v="9"/>
    <n v="34.25"/>
    <s v=""/>
    <m/>
    <s v=""/>
    <x v="0"/>
  </r>
  <r>
    <n v="503"/>
    <x v="1"/>
    <s v="Prime Home Health Services"/>
    <s v="CHHA"/>
    <s v="CHHA"/>
    <s v="HHAHRPED"/>
    <s v="99999"/>
    <x v="0"/>
    <x v="0"/>
    <s v="Other"/>
    <s v="CHHA"/>
    <n v="7"/>
    <n v="1329"/>
    <n v="9605.5"/>
    <n v="6"/>
    <n v="1307"/>
    <n v="9417"/>
    <s v=""/>
    <m/>
    <s v=""/>
    <x v="0"/>
  </r>
  <r>
    <n v="504"/>
    <x v="1"/>
    <s v="Private Pay"/>
    <s v="Other"/>
    <s v="Private"/>
    <s v="HHA supervision"/>
    <m/>
    <x v="5"/>
    <x v="0"/>
    <s v="Private Pay"/>
    <m/>
    <n v="1"/>
    <n v="1568"/>
    <n v="393"/>
    <n v="1"/>
    <n v="1568"/>
    <n v="393"/>
    <s v=""/>
    <m/>
    <s v=""/>
    <x v="0"/>
  </r>
  <r>
    <n v="505"/>
    <x v="1"/>
    <s v="Private Pay"/>
    <s v="Other"/>
    <s v="Private"/>
    <s v="Live In - 1 Hour"/>
    <m/>
    <x v="5"/>
    <x v="0"/>
    <s v="Private Pay"/>
    <m/>
    <n v="1"/>
    <n v="119"/>
    <n v="119"/>
    <n v="1"/>
    <n v="119"/>
    <n v="119"/>
    <s v=""/>
    <m/>
    <n v="1"/>
    <x v="0"/>
  </r>
  <r>
    <n v="506"/>
    <x v="1"/>
    <s v="Private Pay"/>
    <s v="Other"/>
    <s v="Private"/>
    <s v="Live In - 4 Hours"/>
    <m/>
    <x v="5"/>
    <x v="0"/>
    <s v="Private Pay"/>
    <m/>
    <n v="1"/>
    <n v="243"/>
    <n v="972"/>
    <n v="1"/>
    <n v="243"/>
    <n v="972"/>
    <s v=""/>
    <m/>
    <n v="4"/>
    <x v="0"/>
  </r>
  <r>
    <n v="507"/>
    <x v="1"/>
    <s v="Private Pay"/>
    <s v="Other"/>
    <s v="Private"/>
    <s v="Live In - 7 Hours"/>
    <m/>
    <x v="5"/>
    <x v="0"/>
    <s v="Private Pay"/>
    <m/>
    <n v="1"/>
    <n v="37"/>
    <n v="259"/>
    <n v="1"/>
    <n v="37"/>
    <n v="259"/>
    <s v=""/>
    <m/>
    <n v="7"/>
    <x v="0"/>
  </r>
  <r>
    <n v="508"/>
    <x v="1"/>
    <s v="Private Pay"/>
    <s v="Other"/>
    <s v="Private"/>
    <s v="Live In - 8 Hours"/>
    <m/>
    <x v="5"/>
    <x v="0"/>
    <s v="Private Pay"/>
    <m/>
    <n v="1"/>
    <n v="25"/>
    <n v="200"/>
    <n v="1"/>
    <n v="25"/>
    <n v="200"/>
    <s v=""/>
    <m/>
    <n v="8"/>
    <x v="0"/>
  </r>
  <r>
    <n v="509"/>
    <x v="1"/>
    <s v="Private Pay"/>
    <s v="Other"/>
    <s v="Private"/>
    <s v="PA Hourly"/>
    <m/>
    <x v="5"/>
    <x v="0"/>
    <s v="Private Pay"/>
    <m/>
    <n v="1"/>
    <n v="5"/>
    <n v="24.75"/>
    <n v="1"/>
    <n v="5"/>
    <n v="24.75"/>
    <s v=""/>
    <m/>
    <s v=""/>
    <x v="0"/>
  </r>
  <r>
    <n v="510"/>
    <x v="1"/>
    <s v="Private Pay"/>
    <s v="Other"/>
    <s v="Private"/>
    <s v="PCA Hourly"/>
    <m/>
    <x v="5"/>
    <x v="0"/>
    <s v="Private Pay"/>
    <m/>
    <n v="26"/>
    <n v="510"/>
    <n v="2271.25"/>
    <n v="23"/>
    <n v="507"/>
    <n v="2262.5"/>
    <s v=""/>
    <m/>
    <s v=""/>
    <x v="0"/>
  </r>
  <r>
    <n v="511"/>
    <x v="1"/>
    <s v="Private Pay"/>
    <s v="Other"/>
    <s v="Private"/>
    <s v="RN Initial (NB)"/>
    <m/>
    <x v="5"/>
    <x v="0"/>
    <s v="Private Pay"/>
    <m/>
    <n v="1"/>
    <n v="8"/>
    <n v="3.75"/>
    <n v="1"/>
    <n v="8"/>
    <n v="8"/>
    <s v=""/>
    <m/>
    <s v=""/>
    <x v="0"/>
  </r>
  <r>
    <n v="512"/>
    <x v="1"/>
    <s v="Private Pay"/>
    <s v="Other"/>
    <s v="Private"/>
    <s v="RN Initial Visit"/>
    <m/>
    <x v="5"/>
    <x v="0"/>
    <s v="Private Pay"/>
    <m/>
    <n v="1"/>
    <n v="24"/>
    <n v="11.25"/>
    <n v="1"/>
    <n v="24"/>
    <n v="24"/>
    <s v=""/>
    <m/>
    <s v=""/>
    <x v="0"/>
  </r>
  <r>
    <n v="513"/>
    <x v="1"/>
    <s v="Private Pay"/>
    <s v="Other"/>
    <s v="Private"/>
    <s v="RN Re-Assessment"/>
    <m/>
    <x v="5"/>
    <x v="0"/>
    <s v="Private Pay"/>
    <m/>
    <n v="1"/>
    <n v="1"/>
    <n v="1"/>
    <n v="1"/>
    <n v="1"/>
    <n v="1"/>
    <s v=""/>
    <m/>
    <s v=""/>
    <x v="0"/>
  </r>
  <r>
    <n v="514"/>
    <x v="1"/>
    <s v="Private Pay"/>
    <s v="Other"/>
    <s v="Private"/>
    <s v="RN Reassessment (NB)"/>
    <m/>
    <x v="5"/>
    <x v="0"/>
    <s v="Private Pay"/>
    <m/>
    <n v="1"/>
    <n v="1"/>
    <n v="0.25"/>
    <n v="1"/>
    <n v="1"/>
    <n v="1"/>
    <s v=""/>
    <m/>
    <s v=""/>
    <x v="0"/>
  </r>
  <r>
    <n v="515"/>
    <x v="1"/>
    <s v="Private Pay - Select"/>
    <s v="Other"/>
    <s v="Private"/>
    <s v="PA hourly"/>
    <m/>
    <x v="5"/>
    <x v="0"/>
    <s v="Private Pay"/>
    <m/>
    <n v="1"/>
    <n v="202"/>
    <n v="2398"/>
    <n v="1"/>
    <n v="202"/>
    <n v="2398"/>
    <s v=""/>
    <m/>
    <s v=""/>
    <x v="0"/>
  </r>
  <r>
    <n v="516"/>
    <x v="1"/>
    <s v="Private Pay - Select"/>
    <s v="Other"/>
    <s v="Private"/>
    <s v="PCA Hourly"/>
    <m/>
    <x v="5"/>
    <x v="0"/>
    <s v="Private Pay"/>
    <m/>
    <n v="17"/>
    <n v="793"/>
    <n v="5283.25"/>
    <n v="15"/>
    <n v="769"/>
    <n v="5189.75"/>
    <s v=""/>
    <m/>
    <s v=""/>
    <x v="0"/>
  </r>
  <r>
    <n v="517"/>
    <x v="1"/>
    <s v="Private Pay - Select"/>
    <s v="Other"/>
    <s v="Private"/>
    <s v="PCA Live-in"/>
    <m/>
    <x v="5"/>
    <x v="0"/>
    <s v="Private Pay"/>
    <m/>
    <n v="1"/>
    <n v="65"/>
    <n v="1538"/>
    <n v="1"/>
    <n v="65"/>
    <n v="845"/>
    <s v=""/>
    <m/>
    <n v="13"/>
    <x v="0"/>
  </r>
  <r>
    <n v="518"/>
    <x v="1"/>
    <s v="Private Pay - Select"/>
    <s v="Other"/>
    <s v="Private"/>
    <s v="PRN (NB)"/>
    <m/>
    <x v="5"/>
    <x v="0"/>
    <s v="Private Pay"/>
    <m/>
    <n v="1"/>
    <n v="1"/>
    <n v="0.5"/>
    <n v="1"/>
    <n v="1"/>
    <n v="1"/>
    <s v=""/>
    <m/>
    <s v=""/>
    <x v="0"/>
  </r>
  <r>
    <n v="519"/>
    <x v="1"/>
    <s v="Private Pay - Select"/>
    <s v="Other"/>
    <s v="Private"/>
    <s v="RN Initial (NB)"/>
    <m/>
    <x v="5"/>
    <x v="0"/>
    <s v="Private Pay"/>
    <m/>
    <n v="13"/>
    <n v="13"/>
    <n v="6.5"/>
    <n v="12"/>
    <n v="12"/>
    <n v="12"/>
    <s v=""/>
    <m/>
    <s v=""/>
    <x v="0"/>
  </r>
  <r>
    <n v="520"/>
    <x v="1"/>
    <s v="Private Pay - Select"/>
    <s v="Other"/>
    <s v="Private"/>
    <s v="RN Reassessment (NB)"/>
    <m/>
    <x v="5"/>
    <x v="0"/>
    <s v="Private Pay"/>
    <m/>
    <n v="3"/>
    <n v="3"/>
    <n v="1.5"/>
    <n v="3"/>
    <n v="3"/>
    <n v="3"/>
    <s v=""/>
    <m/>
    <s v=""/>
    <x v="0"/>
  </r>
  <r>
    <n v="521"/>
    <x v="1"/>
    <s v="Revival Home Health Care"/>
    <s v="CHHA"/>
    <s v="CHHA"/>
    <s v="Rate1"/>
    <s v="S9122"/>
    <x v="0"/>
    <x v="0"/>
    <s v="Other"/>
    <s v="CHHA"/>
    <n v="7"/>
    <n v="105"/>
    <n v="417"/>
    <n v="6"/>
    <n v="95"/>
    <n v="377"/>
    <s v=""/>
    <m/>
    <s v=""/>
    <x v="0"/>
  </r>
  <r>
    <n v="522"/>
    <x v="1"/>
    <s v="Senior Whole Health PCA (Non Live)"/>
    <s v="Other"/>
    <s v="MLTC"/>
    <s v="PCA Hourly"/>
    <s v="T1019:U1"/>
    <x v="2"/>
    <x v="0"/>
    <s v="MC Medicaid HHA"/>
    <m/>
    <n v="1"/>
    <n v="94"/>
    <n v="1119"/>
    <n v="0"/>
    <n v="0"/>
    <m/>
    <s v=""/>
    <m/>
    <s v=""/>
    <x v="1"/>
  </r>
  <r>
    <n v="523"/>
    <x v="1"/>
    <s v="Senior Whole Health PCA (Non Live)"/>
    <s v="Other"/>
    <s v="MLTC"/>
    <s v="RN Reassessment (NB)"/>
    <m/>
    <x v="3"/>
    <x v="0"/>
    <s v="MC Medicaid HHA"/>
    <m/>
    <n v="1"/>
    <n v="1"/>
    <n v="1"/>
    <n v="1"/>
    <n v="1"/>
    <n v="1"/>
    <s v="Nursing override"/>
    <m/>
    <s v=""/>
    <x v="1"/>
  </r>
  <r>
    <n v="524"/>
    <x v="1"/>
    <s v="Shining Star Home Care CHHA"/>
    <s v="CHHA"/>
    <s v="CHHA"/>
    <s v="Rate1"/>
    <s v="xxxx"/>
    <x v="0"/>
    <x v="0"/>
    <s v="Other"/>
    <s v="CHHA"/>
    <n v="4"/>
    <n v="414"/>
    <n v="2768.5"/>
    <n v="2"/>
    <n v="364"/>
    <n v="2430.5"/>
    <s v=""/>
    <m/>
    <s v=""/>
    <x v="0"/>
  </r>
  <r>
    <n v="525"/>
    <x v="1"/>
    <s v="SWHNY-MLTC (ANT)"/>
    <s v="Other"/>
    <s v="MLTC"/>
    <s v="PRN (NB)"/>
    <m/>
    <x v="3"/>
    <x v="0"/>
    <s v="MC Medicaid HHA"/>
    <m/>
    <n v="3"/>
    <n v="4"/>
    <n v="4"/>
    <n v="3"/>
    <n v="4"/>
    <n v="4"/>
    <s v="Nursing override"/>
    <m/>
    <s v=""/>
    <x v="1"/>
  </r>
  <r>
    <n v="526"/>
    <x v="1"/>
    <s v="SWHNY-MLTC (ANT)"/>
    <s v="Other"/>
    <s v="MLTC"/>
    <s v="RN Initial (NB)"/>
    <m/>
    <x v="3"/>
    <x v="0"/>
    <s v="MC Medicaid HHA"/>
    <m/>
    <n v="9"/>
    <n v="9"/>
    <n v="9"/>
    <n v="7"/>
    <n v="7"/>
    <n v="7"/>
    <s v="Nursing override"/>
    <m/>
    <s v=""/>
    <x v="1"/>
  </r>
  <r>
    <n v="527"/>
    <x v="1"/>
    <s v="SWHNY-MLTC (ANT)"/>
    <s v="Other"/>
    <s v="MLTC"/>
    <s v="RN Reassessment (NB)"/>
    <m/>
    <x v="3"/>
    <x v="0"/>
    <s v="MC Medicaid HHA"/>
    <m/>
    <n v="22"/>
    <n v="37"/>
    <n v="37"/>
    <n v="22"/>
    <n v="37"/>
    <n v="37"/>
    <s v="Nursing override"/>
    <m/>
    <s v=""/>
    <x v="1"/>
  </r>
  <r>
    <n v="528"/>
    <x v="1"/>
    <s v="SWHNY-MLTC (ANT)"/>
    <s v="Other"/>
    <s v="MLTC"/>
    <s v="T1019:U1"/>
    <s v="T1019:U1"/>
    <x v="2"/>
    <x v="0"/>
    <s v="MC Medicaid HHA"/>
    <m/>
    <n v="35"/>
    <n v="6182"/>
    <n v="44875"/>
    <n v="32"/>
    <n v="6041"/>
    <n v="44132"/>
    <s v=""/>
    <m/>
    <s v=""/>
    <x v="1"/>
  </r>
  <r>
    <n v="529"/>
    <x v="1"/>
    <s v="SWHNY-MLTC (ANT)"/>
    <s v="Other"/>
    <s v="MLTC"/>
    <s v="T1020"/>
    <s v="T1020"/>
    <x v="8"/>
    <x v="0"/>
    <s v="MC Medicaid HHA"/>
    <m/>
    <n v="2"/>
    <n v="482"/>
    <n v="6266"/>
    <n v="2"/>
    <n v="482"/>
    <n v="6266"/>
    <s v=""/>
    <m/>
    <n v="13"/>
    <x v="1"/>
  </r>
  <r>
    <n v="533"/>
    <x v="1"/>
    <s v="SWHNY-MLTC (CDP)"/>
    <s v="Other"/>
    <s v="CDPAP"/>
    <s v="PRN (NB)"/>
    <m/>
    <x v="3"/>
    <x v="0"/>
    <s v="MC Medicaid HHA"/>
    <m/>
    <n v="1"/>
    <n v="1"/>
    <n v="1"/>
    <n v="1"/>
    <n v="1"/>
    <n v="1"/>
    <s v="Nursing override"/>
    <m/>
    <s v=""/>
    <x v="1"/>
  </r>
  <r>
    <n v="534"/>
    <x v="1"/>
    <s v="SWHNY-MLTC (CDP)"/>
    <s v="Other"/>
    <s v="CDPAP"/>
    <s v="RN Visit"/>
    <m/>
    <x v="3"/>
    <x v="0"/>
    <s v="MC Medicaid HHA"/>
    <m/>
    <n v="1"/>
    <n v="1"/>
    <n v="1"/>
    <n v="1"/>
    <n v="1"/>
    <n v="1"/>
    <s v="nursing"/>
    <m/>
    <s v=""/>
    <x v="1"/>
  </r>
  <r>
    <n v="535"/>
    <x v="1"/>
    <s v="SWHNY-MLTC (CDP)"/>
    <s v="Other"/>
    <s v="CDPAP"/>
    <s v="T1019:U1"/>
    <s v="T1019:U1"/>
    <x v="2"/>
    <x v="0"/>
    <s v="MC Medicaid HHA"/>
    <m/>
    <n v="2"/>
    <n v="133"/>
    <n v="1079.25"/>
    <n v="2"/>
    <n v="133"/>
    <n v="1079.25"/>
    <s v=""/>
    <m/>
    <s v=""/>
    <x v="1"/>
  </r>
  <r>
    <n v="536"/>
    <x v="1"/>
    <s v="SWHNY-MLTC (CDP)"/>
    <s v="Other"/>
    <s v="CDPAP"/>
    <s v="T1019:U6"/>
    <s v="T1019:U6"/>
    <x v="1"/>
    <x v="1"/>
    <s v="MC Medicaid CDPAP"/>
    <m/>
    <n v="36"/>
    <n v="8135"/>
    <n v="53003.25"/>
    <n v="32"/>
    <n v="7682"/>
    <n v="50486.25"/>
    <s v=""/>
    <m/>
    <s v=""/>
    <x v="1"/>
  </r>
  <r>
    <n v="537"/>
    <x v="1"/>
    <s v="TBI"/>
    <s v="LHCSA"/>
    <s v="Medicaid"/>
    <s v="HCSS 9879"/>
    <s v="9879"/>
    <x v="4"/>
    <x v="0"/>
    <s v="Other"/>
    <m/>
    <n v="2"/>
    <n v="1318"/>
    <n v="15487.5"/>
    <n v="2"/>
    <n v="1318"/>
    <n v="15487.5"/>
    <s v=""/>
    <m/>
    <s v=""/>
    <x v="0"/>
  </r>
  <r>
    <n v="538"/>
    <x v="1"/>
    <s v="TBI"/>
    <s v="LHCSA"/>
    <s v="Medicaid"/>
    <s v="PRN (NB)"/>
    <m/>
    <x v="4"/>
    <x v="0"/>
    <s v="Other"/>
    <m/>
    <n v="1"/>
    <n v="2"/>
    <n v="1.5"/>
    <n v="1"/>
    <n v="2"/>
    <n v="2"/>
    <m/>
    <m/>
    <s v=""/>
    <x v="0"/>
  </r>
  <r>
    <n v="539"/>
    <x v="1"/>
    <s v="TBI"/>
    <s v="LHCSA"/>
    <s v="Medicaid"/>
    <s v="RN Reassessment (NB)"/>
    <m/>
    <x v="4"/>
    <x v="0"/>
    <s v="Other"/>
    <m/>
    <n v="2"/>
    <n v="4"/>
    <n v="4"/>
    <n v="2"/>
    <n v="4"/>
    <n v="4"/>
    <m/>
    <m/>
    <s v=""/>
    <x v="0"/>
  </r>
  <r>
    <n v="540"/>
    <x v="1"/>
    <s v="TBI"/>
    <s v="LHCSA"/>
    <s v="Medicaid"/>
    <s v="Service Coordination (monthly)"/>
    <s v="9851"/>
    <x v="4"/>
    <x v="0"/>
    <s v="Other"/>
    <m/>
    <n v="2"/>
    <n v="14"/>
    <n v="3.5"/>
    <n v="2"/>
    <n v="14"/>
    <n v="3.5"/>
    <m/>
    <m/>
    <s v=""/>
    <x v="0"/>
  </r>
  <r>
    <n v="546"/>
    <x v="1"/>
    <s v="VillageCare CDPAP"/>
    <s v="MCO"/>
    <s v="CDPAP"/>
    <s v="Live In"/>
    <s v="T1020:U6"/>
    <x v="9"/>
    <x v="1"/>
    <s v="MC Medicaid CDPAP"/>
    <m/>
    <n v="2"/>
    <n v="95"/>
    <n v="1235"/>
    <n v="1"/>
    <n v="20"/>
    <n v="260"/>
    <s v=""/>
    <m/>
    <n v="13"/>
    <x v="1"/>
  </r>
  <r>
    <n v="547"/>
    <x v="1"/>
    <s v="VillageCare CDPAP"/>
    <s v="MCO"/>
    <s v="CDPAP"/>
    <s v="PA Hourly"/>
    <s v="T1019:U6"/>
    <x v="1"/>
    <x v="1"/>
    <s v="MC Medicaid CDPAP"/>
    <m/>
    <n v="245"/>
    <n v="33692"/>
    <n v="170595.5"/>
    <n v="229"/>
    <n v="33052"/>
    <n v="166843.25"/>
    <s v=""/>
    <m/>
    <s v=""/>
    <x v="1"/>
  </r>
  <r>
    <n v="548"/>
    <x v="1"/>
    <s v="VillageCare CDPAP"/>
    <s v="MCO"/>
    <s v="CDPAP"/>
    <s v="PA Hourly Mutual"/>
    <s v="T1019:U7"/>
    <x v="10"/>
    <x v="1"/>
    <s v="MC Medicaid CDPAP"/>
    <m/>
    <n v="7"/>
    <n v="496"/>
    <n v="3430.5"/>
    <n v="7"/>
    <n v="496"/>
    <n v="3430.5"/>
    <s v=""/>
    <m/>
    <s v=""/>
    <x v="1"/>
  </r>
  <r>
    <n v="549"/>
    <x v="1"/>
    <s v="VillageCare PCA"/>
    <s v="MLTC"/>
    <s v="MLTC"/>
    <s v="HHA Hourly - S5125"/>
    <s v="S5125"/>
    <x v="6"/>
    <x v="0"/>
    <s v="MC Medicaid HHA"/>
    <m/>
    <n v="1"/>
    <n v="8"/>
    <n v="46"/>
    <n v="1"/>
    <n v="8"/>
    <n v="46"/>
    <s v=""/>
    <m/>
    <s v=""/>
    <x v="1"/>
  </r>
  <r>
    <n v="550"/>
    <x v="1"/>
    <s v="VillageCare PCA"/>
    <s v="MLTC"/>
    <s v="MLTC"/>
    <s v="LPN"/>
    <s v="T1003"/>
    <x v="4"/>
    <x v="0"/>
    <s v="Other"/>
    <m/>
    <n v="1"/>
    <n v="82"/>
    <n v="959.75"/>
    <n v="1"/>
    <n v="82"/>
    <n v="959.75"/>
    <s v=""/>
    <s v="PDN"/>
    <s v=""/>
    <x v="0"/>
  </r>
  <r>
    <n v="551"/>
    <x v="1"/>
    <s v="VillageCare PCA"/>
    <s v="MLTC"/>
    <s v="MLTC"/>
    <s v="PCA - Live In"/>
    <s v="T1020"/>
    <x v="8"/>
    <x v="0"/>
    <s v="MC Medicaid HHA"/>
    <m/>
    <n v="16"/>
    <n v="3106"/>
    <n v="40378"/>
    <n v="14"/>
    <n v="3075"/>
    <n v="39975"/>
    <s v=""/>
    <m/>
    <n v="13"/>
    <x v="1"/>
  </r>
  <r>
    <n v="552"/>
    <x v="1"/>
    <s v="VillageCare PCA"/>
    <s v="MLTC"/>
    <s v="MLTC"/>
    <s v="PCA - Live In TV"/>
    <s v="T1020:TV"/>
    <x v="8"/>
    <x v="0"/>
    <s v="MC Medicaid HHA"/>
    <m/>
    <n v="11"/>
    <n v="349"/>
    <n v="4537"/>
    <n v="11"/>
    <n v="349"/>
    <n v="4537"/>
    <s v=""/>
    <m/>
    <n v="13"/>
    <x v="1"/>
  </r>
  <r>
    <n v="553"/>
    <x v="1"/>
    <s v="VillageCare PCA"/>
    <s v="MLTC"/>
    <s v="MLTC"/>
    <s v="PCA Cluster Care"/>
    <s v="T1019:U3"/>
    <x v="11"/>
    <x v="0"/>
    <s v="MC Medicaid HHA"/>
    <m/>
    <n v="22"/>
    <n v="1175"/>
    <n v="2644.5"/>
    <n v="22"/>
    <n v="1175"/>
    <n v="2644.5"/>
    <s v=""/>
    <m/>
    <s v=""/>
    <x v="1"/>
  </r>
  <r>
    <n v="554"/>
    <x v="1"/>
    <s v="VillageCare PCA"/>
    <s v="MLTC"/>
    <s v="MLTC"/>
    <s v="PCA Hourly"/>
    <s v="T1019:U1"/>
    <x v="2"/>
    <x v="0"/>
    <s v="MC Medicaid HHA"/>
    <m/>
    <n v="289"/>
    <n v="31061"/>
    <n v="161033.25"/>
    <n v="279"/>
    <n v="30761"/>
    <n v="159517.5"/>
    <s v=""/>
    <m/>
    <s v=""/>
    <x v="1"/>
  </r>
  <r>
    <n v="555"/>
    <x v="1"/>
    <s v="VillageCare PCA"/>
    <s v="MLTC"/>
    <s v="MLTC"/>
    <s v="PCA Hourly"/>
    <s v="T1019:U1:TV"/>
    <x v="2"/>
    <x v="0"/>
    <s v="MC Medicaid HHA"/>
    <m/>
    <n v="107"/>
    <n v="4691"/>
    <n v="28459.75"/>
    <n v="104"/>
    <n v="4633"/>
    <n v="28205"/>
    <s v=""/>
    <m/>
    <s v=""/>
    <x v="1"/>
  </r>
  <r>
    <n v="556"/>
    <x v="1"/>
    <s v="VillageCare PCA"/>
    <s v="MLTC"/>
    <s v="MLTC"/>
    <s v="PCA Hourly TV"/>
    <s v="T1019:U1:TV"/>
    <x v="2"/>
    <x v="0"/>
    <s v="MC Medicaid HHA"/>
    <m/>
    <n v="57"/>
    <n v="699"/>
    <n v="4078.75"/>
    <n v="55"/>
    <n v="675"/>
    <n v="3916.75"/>
    <s v=""/>
    <m/>
    <s v=""/>
    <x v="1"/>
  </r>
  <r>
    <n v="557"/>
    <x v="1"/>
    <s v="VillageCare PCA"/>
    <s v="MLTC"/>
    <s v="MLTC"/>
    <s v="PRN (NB)"/>
    <m/>
    <x v="3"/>
    <x v="0"/>
    <s v="MC Medicaid HHA"/>
    <m/>
    <n v="22"/>
    <n v="24"/>
    <n v="24"/>
    <n v="22"/>
    <n v="24"/>
    <n v="24"/>
    <s v="Nursing override"/>
    <m/>
    <s v=""/>
    <x v="1"/>
  </r>
  <r>
    <n v="558"/>
    <x v="1"/>
    <s v="VillageCare PCA"/>
    <s v="MLTC"/>
    <s v="MLTC"/>
    <s v="RN Initial (NB)"/>
    <m/>
    <x v="3"/>
    <x v="0"/>
    <s v="MC Medicaid HHA"/>
    <m/>
    <n v="1"/>
    <n v="1"/>
    <n v="1"/>
    <n v="1"/>
    <n v="1"/>
    <n v="1"/>
    <s v="Nursing override"/>
    <m/>
    <s v=""/>
    <x v="1"/>
  </r>
  <r>
    <n v="559"/>
    <x v="1"/>
    <s v="VillageCare PCA"/>
    <s v="MLTC"/>
    <s v="MLTC"/>
    <s v="RN Initial Visit"/>
    <s v="T1030"/>
    <x v="7"/>
    <x v="0"/>
    <s v="MC Medicaid HHA"/>
    <m/>
    <n v="179"/>
    <n v="179"/>
    <n v="179"/>
    <n v="172"/>
    <n v="172"/>
    <n v="172"/>
    <s v="nursing"/>
    <m/>
    <s v=""/>
    <x v="1"/>
  </r>
  <r>
    <n v="560"/>
    <x v="1"/>
    <s v="VillageCare PCA"/>
    <s v="MLTC"/>
    <s v="MLTC"/>
    <s v="RN Reassessment (NB)"/>
    <m/>
    <x v="3"/>
    <x v="0"/>
    <s v="MC Medicaid HHA"/>
    <m/>
    <n v="173"/>
    <n v="259"/>
    <n v="259"/>
    <n v="173"/>
    <n v="259"/>
    <n v="259"/>
    <s v="Nursing override"/>
    <m/>
    <s v=""/>
    <x v="1"/>
  </r>
  <r>
    <n v="561"/>
    <x v="1"/>
    <s v="VNS Health Health Plans (ANT)"/>
    <s v="MLTC"/>
    <s v="MLTC"/>
    <s v="PRN (NB)"/>
    <m/>
    <x v="3"/>
    <x v="0"/>
    <s v="MC Medicaid HHA"/>
    <m/>
    <n v="14"/>
    <n v="16"/>
    <n v="16"/>
    <n v="14"/>
    <n v="16"/>
    <n v="16"/>
    <s v="Nursing override"/>
    <m/>
    <s v=""/>
    <x v="1"/>
  </r>
  <r>
    <n v="562"/>
    <x v="1"/>
    <s v="VNS Health Health Plans (ANT)"/>
    <s v="MLTC"/>
    <s v="MLTC"/>
    <s v="RN Initial (NB)"/>
    <m/>
    <x v="3"/>
    <x v="0"/>
    <s v="MC Medicaid HHA"/>
    <m/>
    <n v="61"/>
    <n v="61"/>
    <n v="61"/>
    <n v="54"/>
    <n v="54"/>
    <n v="54"/>
    <s v="Nursing override"/>
    <m/>
    <s v=""/>
    <x v="1"/>
  </r>
  <r>
    <n v="563"/>
    <x v="1"/>
    <s v="VNS Health Health Plans (ANT)"/>
    <s v="MLTC"/>
    <s v="MLTC"/>
    <s v="RN Reassessment (NB)"/>
    <m/>
    <x v="3"/>
    <x v="0"/>
    <s v="MC Medicaid HHA"/>
    <m/>
    <n v="110"/>
    <n v="165"/>
    <n v="165"/>
    <n v="107"/>
    <n v="161"/>
    <n v="161"/>
    <s v="Nursing override"/>
    <m/>
    <s v=""/>
    <x v="1"/>
  </r>
  <r>
    <n v="564"/>
    <x v="1"/>
    <s v="VNS Health Health Plans (ANT)"/>
    <s v="MLTC"/>
    <s v="MLTC"/>
    <s v="T1019U1 BX"/>
    <s v="T1019:U1"/>
    <x v="2"/>
    <x v="0"/>
    <s v="MC Medicaid HHA"/>
    <m/>
    <n v="2"/>
    <n v="152"/>
    <n v="956.25"/>
    <n v="2"/>
    <n v="152"/>
    <n v="956.25"/>
    <s v=""/>
    <m/>
    <s v=""/>
    <x v="1"/>
  </r>
  <r>
    <n v="565"/>
    <x v="1"/>
    <s v="VNS Health Health Plans (ANT)"/>
    <s v="MLTC"/>
    <s v="MLTC"/>
    <s v="T1019U1 K"/>
    <s v="T1019:U1"/>
    <x v="2"/>
    <x v="0"/>
    <s v="MC Medicaid HHA"/>
    <m/>
    <n v="160"/>
    <n v="24250"/>
    <n v="149856.75"/>
    <n v="142"/>
    <n v="23456"/>
    <n v="145401"/>
    <s v=""/>
    <m/>
    <s v=""/>
    <x v="1"/>
  </r>
  <r>
    <n v="566"/>
    <x v="1"/>
    <s v="VNS Health Health Plans (ANT)"/>
    <s v="MLTC"/>
    <s v="MLTC"/>
    <s v="T1019U1 K MAP"/>
    <s v="T1019:U1"/>
    <x v="2"/>
    <x v="0"/>
    <s v="MC Medicaid HHA"/>
    <m/>
    <n v="1"/>
    <n v="1"/>
    <n v="5"/>
    <n v="1"/>
    <n v="1"/>
    <n v="5"/>
    <s v=""/>
    <m/>
    <s v=""/>
    <x v="1"/>
  </r>
  <r>
    <n v="567"/>
    <x v="1"/>
    <s v="VNS Health Health Plans (ANT)"/>
    <s v="MLTC"/>
    <s v="MLTC"/>
    <s v="T1019U1 NYC"/>
    <s v="T1019:U1"/>
    <x v="2"/>
    <x v="0"/>
    <s v="MC Medicaid HHA"/>
    <m/>
    <n v="1"/>
    <n v="66"/>
    <n v="205.75"/>
    <n v="1"/>
    <n v="66"/>
    <n v="205.75"/>
    <s v=""/>
    <m/>
    <s v=""/>
    <x v="1"/>
  </r>
  <r>
    <n v="568"/>
    <x v="1"/>
    <s v="VNS Health Health Plans (ANT)"/>
    <s v="MLTC"/>
    <s v="MLTC"/>
    <s v="T1019U1 QNS"/>
    <s v="T1019:U1"/>
    <x v="2"/>
    <x v="0"/>
    <s v="MC Medicaid HHA"/>
    <m/>
    <n v="1"/>
    <n v="127"/>
    <n v="1365"/>
    <n v="1"/>
    <n v="127"/>
    <n v="1365"/>
    <s v=""/>
    <m/>
    <s v=""/>
    <x v="1"/>
  </r>
  <r>
    <n v="569"/>
    <x v="1"/>
    <s v="VNS Health Health Plans (ANT)"/>
    <s v="MLTC"/>
    <s v="MLTC"/>
    <s v="T1019U2 K"/>
    <s v="T1019:U2"/>
    <x v="11"/>
    <x v="0"/>
    <s v="MC Medicaid HHA"/>
    <m/>
    <n v="2"/>
    <n v="100"/>
    <n v="485.5"/>
    <n v="2"/>
    <n v="100"/>
    <n v="485.5"/>
    <s v=""/>
    <m/>
    <s v=""/>
    <x v="1"/>
  </r>
  <r>
    <n v="570"/>
    <x v="1"/>
    <s v="VNS Health Health Plans (ANT)"/>
    <s v="MLTC"/>
    <s v="MLTC"/>
    <s v="T1020 K"/>
    <s v="T1020"/>
    <x v="8"/>
    <x v="0"/>
    <s v="MC Medicaid HHA"/>
    <m/>
    <n v="14"/>
    <n v="3410"/>
    <n v="44330"/>
    <n v="14"/>
    <n v="3410"/>
    <n v="44330"/>
    <s v=""/>
    <m/>
    <n v="13"/>
    <x v="1"/>
  </r>
  <r>
    <n v="575"/>
    <x v="1"/>
    <s v="VNS Health Health Plans (CDP)"/>
    <s v="MLTC"/>
    <s v="CDPAP"/>
    <s v="T1019U6 K"/>
    <s v="T1019:U6"/>
    <x v="1"/>
    <x v="1"/>
    <s v="MC Medicaid CDPAP"/>
    <m/>
    <n v="102"/>
    <n v="22510"/>
    <n v="128151.5"/>
    <n v="96"/>
    <n v="22041"/>
    <n v="124961"/>
    <s v=""/>
    <m/>
    <s v=""/>
    <x v="1"/>
  </r>
  <r>
    <n v="576"/>
    <x v="1"/>
    <s v="VNS Health Health Plans (CDP)"/>
    <s v="MLTC"/>
    <s v="CDPAP"/>
    <s v="T1019U6 NYC"/>
    <s v="T1019:U6"/>
    <x v="1"/>
    <x v="1"/>
    <s v="MC Medicaid CDPAP"/>
    <m/>
    <n v="1"/>
    <n v="31"/>
    <n v="159"/>
    <n v="0"/>
    <n v="0"/>
    <m/>
    <s v=""/>
    <m/>
    <s v=""/>
    <x v="1"/>
  </r>
  <r>
    <n v="577"/>
    <x v="1"/>
    <s v="VNS Health Health Plans (CDP)"/>
    <s v="MLTC"/>
    <s v="CDPAP"/>
    <s v="T1019U7 K"/>
    <s v="T1019:U7"/>
    <x v="10"/>
    <x v="1"/>
    <s v="MC Medicaid CDPAP"/>
    <m/>
    <n v="2"/>
    <n v="944"/>
    <n v="5621.5"/>
    <n v="2"/>
    <n v="944"/>
    <n v="5621.5"/>
    <s v=""/>
    <m/>
    <s v=""/>
    <x v="1"/>
  </r>
  <r>
    <n v="578"/>
    <x v="1"/>
    <s v="VNS Health Health Plans (CDP)"/>
    <s v="MLTC"/>
    <s v="CDPAP"/>
    <s v="T1020U6 K"/>
    <s v="T1020:U6"/>
    <x v="9"/>
    <x v="1"/>
    <s v="MC Medicaid CDPAP"/>
    <m/>
    <n v="2"/>
    <n v="161"/>
    <n v="2093"/>
    <n v="1"/>
    <n v="17"/>
    <n v="221"/>
    <s v=""/>
    <m/>
    <n v="13"/>
    <x v="1"/>
  </r>
  <r>
    <n v="579"/>
    <x v="1"/>
    <s v="VNSNY CHOICE CDPAP"/>
    <s v="MLTC"/>
    <s v="CDPAP"/>
    <s v="PA Hourly"/>
    <s v="T1019:U6"/>
    <x v="1"/>
    <x v="1"/>
    <s v="MC Medicaid CDPAP"/>
    <m/>
    <n v="1"/>
    <n v="3"/>
    <n v="16.25"/>
    <n v="1"/>
    <n v="3"/>
    <n v="16.25"/>
    <s v=""/>
    <m/>
    <s v=""/>
    <x v="1"/>
  </r>
  <r>
    <n v="580"/>
    <x v="1"/>
    <s v="VNSNY CHOICE PCA"/>
    <s v="LHCSA"/>
    <s v="MLTC"/>
    <s v="PCA Hourly"/>
    <s v="T1019:U1"/>
    <x v="2"/>
    <x v="0"/>
    <s v="MC Medicaid HHA"/>
    <m/>
    <n v="1"/>
    <n v="51"/>
    <n v="301"/>
    <n v="0"/>
    <n v="0"/>
    <m/>
    <s v=""/>
    <m/>
    <s v=""/>
    <x v="1"/>
  </r>
  <r>
    <n v="581"/>
    <x v="1"/>
    <s v="VNSNY CHOICE PCA"/>
    <s v="LHCSA"/>
    <s v="MLTC"/>
    <s v="PCA Hourly Housekeeping"/>
    <s v="S5130:U1::::S5130"/>
    <x v="6"/>
    <x v="0"/>
    <s v="MC Medicaid HHA"/>
    <m/>
    <n v="1"/>
    <n v="14"/>
    <n v="52"/>
    <n v="1"/>
    <n v="14"/>
    <n v="52"/>
    <s v=""/>
    <m/>
    <s v=""/>
    <x v="1"/>
  </r>
  <r>
    <n v="582"/>
    <x v="1"/>
    <s v="VNSNY CHOICE PCA"/>
    <s v="LHCSA"/>
    <s v="MLTC"/>
    <s v="RN Initial (NB)"/>
    <m/>
    <x v="3"/>
    <x v="0"/>
    <s v="MC Medicaid HHA"/>
    <m/>
    <n v="3"/>
    <n v="3"/>
    <n v="3"/>
    <n v="2"/>
    <n v="2"/>
    <n v="2"/>
    <s v="Nursing override"/>
    <m/>
    <s v=""/>
    <x v="1"/>
  </r>
  <r>
    <n v="583"/>
    <x v="1"/>
    <s v="VNSNY CHOICE PCA"/>
    <s v="LHCSA"/>
    <s v="MLTC"/>
    <s v="RN Reassessment (NB)"/>
    <m/>
    <x v="3"/>
    <x v="0"/>
    <s v="MC Medicaid HHA"/>
    <m/>
    <n v="2"/>
    <n v="2"/>
    <n v="2"/>
    <n v="1"/>
    <n v="1"/>
    <n v="1"/>
    <s v="Nursing override"/>
    <m/>
    <s v=""/>
    <x v="1"/>
  </r>
  <r>
    <n v="584"/>
    <x v="1"/>
    <s v="Your Choice at Home"/>
    <s v="CHHA"/>
    <s v="CHHA"/>
    <s v="2610"/>
    <s v="2610"/>
    <x v="0"/>
    <x v="0"/>
    <s v="Other"/>
    <s v="CHHA"/>
    <n v="283"/>
    <n v="42349"/>
    <n v="374553.75"/>
    <n v="275"/>
    <n v="41993"/>
    <n v="371287.25"/>
    <s v=""/>
    <m/>
    <s v=""/>
    <x v="0"/>
  </r>
  <r>
    <n v="585"/>
    <x v="1"/>
    <s v="Your Choice at Home"/>
    <s v="CHHA"/>
    <s v="CHHA"/>
    <s v="S9122"/>
    <s v="S9122"/>
    <x v="0"/>
    <x v="0"/>
    <s v="Other"/>
    <s v="CHHA"/>
    <n v="2"/>
    <n v="6"/>
    <n v="22"/>
    <n v="2"/>
    <n v="6"/>
    <n v="22"/>
    <s v=""/>
    <m/>
    <s v=""/>
    <x v="0"/>
  </r>
  <r>
    <n v="587"/>
    <x v="28"/>
    <s v="Fidelis Care (CDP)"/>
    <s v="LHCSA"/>
    <s v="CDPAP"/>
    <s v="T1019:U6"/>
    <s v="T1019:U6"/>
    <x v="1"/>
    <x v="1"/>
    <s v="MC Medicaid CDPAP"/>
    <m/>
    <n v="2"/>
    <n v="500"/>
    <n v="2522"/>
    <n v="2"/>
    <n v="500"/>
    <n v="2522"/>
    <s v=""/>
    <m/>
    <s v=""/>
    <x v="1"/>
  </r>
  <r>
    <n v="590"/>
    <x v="28"/>
    <s v="Nascentia Health Options CDPAP"/>
    <s v="MLTC"/>
    <s v="CDPAP"/>
    <s v="PA Hourly"/>
    <s v="T1019:U6"/>
    <x v="1"/>
    <x v="1"/>
    <s v="MC Medicaid CDPAP"/>
    <m/>
    <n v="2"/>
    <n v="415"/>
    <n v="3584.75"/>
    <n v="2"/>
    <n v="415"/>
    <n v="3584.75"/>
    <s v=""/>
    <m/>
    <s v=""/>
    <x v="1"/>
  </r>
  <r>
    <n v="592"/>
    <x v="29"/>
    <s v="Fidelis Care (CDP)"/>
    <s v="LHCSA"/>
    <s v="CDPAP"/>
    <s v="T1019:U6"/>
    <s v="T1019:U6"/>
    <x v="1"/>
    <x v="1"/>
    <s v="MC Medicaid CDPAP"/>
    <m/>
    <n v="5"/>
    <n v="684"/>
    <n v="3477"/>
    <n v="5"/>
    <n v="684"/>
    <n v="3477"/>
    <s v=""/>
    <m/>
    <s v=""/>
    <x v="1"/>
  </r>
  <r>
    <n v="594"/>
    <x v="29"/>
    <s v="Nascentia Health Options CDPAP"/>
    <s v="MLTC"/>
    <s v="CDPAP"/>
    <s v="PA Hourly"/>
    <s v="T1019:U6"/>
    <x v="1"/>
    <x v="1"/>
    <s v="MC Medicaid CDPAP"/>
    <m/>
    <n v="1"/>
    <n v="277"/>
    <n v="873"/>
    <n v="1"/>
    <n v="277"/>
    <n v="873"/>
    <s v=""/>
    <m/>
    <s v=""/>
    <x v="1"/>
  </r>
  <r>
    <n v="596"/>
    <x v="30"/>
    <s v="Fidelis Care (CDP)"/>
    <s v="LHCSA"/>
    <s v="CDPAP"/>
    <s v="T1019:U6"/>
    <s v="T1019:U6"/>
    <x v="1"/>
    <x v="1"/>
    <s v="MC Medicaid CDPAP"/>
    <m/>
    <n v="3"/>
    <n v="301"/>
    <n v="1280.5"/>
    <n v="3"/>
    <n v="301"/>
    <n v="1280.5"/>
    <s v=""/>
    <m/>
    <s v=""/>
    <x v="1"/>
  </r>
  <r>
    <n v="600"/>
    <x v="30"/>
    <s v="VNS Health Health Plans (CDP)"/>
    <s v="MLTC"/>
    <s v="CDPAP"/>
    <s v="T1019U6 MAD"/>
    <s v="T1019:U6"/>
    <x v="1"/>
    <x v="1"/>
    <s v="MC Medicaid CDPAP"/>
    <m/>
    <n v="5"/>
    <n v="1076"/>
    <n v="6161.25"/>
    <n v="5"/>
    <n v="1076"/>
    <n v="6161.25"/>
    <s v=""/>
    <m/>
    <s v=""/>
    <x v="1"/>
  </r>
  <r>
    <n v="601"/>
    <x v="4"/>
    <s v="Elderwood Health Plan"/>
    <s v="MCO"/>
    <s v="CDPAP"/>
    <s v="PA Hourly"/>
    <s v="T1019:U6"/>
    <x v="1"/>
    <x v="1"/>
    <s v="MC Medicaid CDPAP"/>
    <m/>
    <n v="10"/>
    <n v="771"/>
    <n v="3447.75"/>
    <n v="9"/>
    <n v="684"/>
    <n v="3189.5"/>
    <s v=""/>
    <m/>
    <s v=""/>
    <x v="1"/>
  </r>
  <r>
    <n v="604"/>
    <x v="4"/>
    <s v="Fidelis Care (CDP)"/>
    <s v="LHCSA"/>
    <s v="CDPAP"/>
    <s v="T1019:U6"/>
    <s v="T1019:U6"/>
    <x v="1"/>
    <x v="1"/>
    <s v="MC Medicaid CDPAP"/>
    <m/>
    <n v="34"/>
    <n v="5438"/>
    <n v="24882.25"/>
    <n v="34"/>
    <n v="5438"/>
    <n v="24882.25"/>
    <s v=""/>
    <m/>
    <s v=""/>
    <x v="1"/>
  </r>
  <r>
    <n v="607"/>
    <x v="4"/>
    <s v="Nascentia Health Options CDPAP"/>
    <s v="MLTC"/>
    <s v="CDPAP"/>
    <s v="PA Hourly"/>
    <s v="T1019:U6"/>
    <x v="1"/>
    <x v="1"/>
    <s v="MC Medicaid CDPAP"/>
    <m/>
    <n v="9"/>
    <n v="1779"/>
    <n v="11779.75"/>
    <n v="9"/>
    <n v="1779"/>
    <n v="11779.75"/>
    <s v=""/>
    <m/>
    <s v=""/>
    <x v="1"/>
  </r>
  <r>
    <n v="612"/>
    <x v="4"/>
    <s v="VNS Health Health Plans (CDP)"/>
    <s v="MLTC"/>
    <s v="CDPAP"/>
    <s v="T1019U6 MRE"/>
    <s v="T1019:U6"/>
    <x v="1"/>
    <x v="1"/>
    <s v="MC Medicaid CDPAP"/>
    <m/>
    <n v="98"/>
    <n v="19459"/>
    <n v="82692.5"/>
    <n v="97"/>
    <n v="19423"/>
    <n v="82512.5"/>
    <s v=""/>
    <m/>
    <s v=""/>
    <x v="1"/>
  </r>
  <r>
    <n v="613"/>
    <x v="4"/>
    <s v="VNS Health Health Plans (CDP)"/>
    <s v="MLTC"/>
    <s v="CDPAP"/>
    <s v="T1019U6 MRE MAP"/>
    <s v="T1019:U6"/>
    <x v="1"/>
    <x v="1"/>
    <s v="MC Medicaid CDPAP"/>
    <m/>
    <n v="1"/>
    <n v="6"/>
    <n v="17"/>
    <n v="1"/>
    <n v="6"/>
    <n v="17"/>
    <s v=""/>
    <m/>
    <s v=""/>
    <x v="1"/>
  </r>
  <r>
    <n v="614"/>
    <x v="4"/>
    <s v="VNS Health Health Plans (CDP)"/>
    <s v="MLTC"/>
    <s v="CDPAP"/>
    <s v="T1019U6 SUF"/>
    <s v="T1019:U6"/>
    <x v="1"/>
    <x v="1"/>
    <s v="MC Medicaid CDPAP"/>
    <m/>
    <n v="1"/>
    <n v="305"/>
    <n v="1216.75"/>
    <n v="1"/>
    <n v="305"/>
    <n v="1216.75"/>
    <s v=""/>
    <m/>
    <s v=""/>
    <x v="1"/>
  </r>
  <r>
    <n v="615"/>
    <x v="31"/>
    <s v="Fidelis Care (ANT)"/>
    <s v="LHCSA"/>
    <s v="MLTC"/>
    <s v="RN Initial (NB)"/>
    <m/>
    <x v="3"/>
    <x v="0"/>
    <s v="MC Medicaid HHA"/>
    <m/>
    <n v="2"/>
    <n v="2"/>
    <n v="2"/>
    <n v="2"/>
    <n v="2"/>
    <n v="2"/>
    <s v="Nursing override"/>
    <m/>
    <s v=""/>
    <x v="1"/>
  </r>
  <r>
    <n v="616"/>
    <x v="31"/>
    <s v="Fidelis Care (ANT)"/>
    <s v="LHCSA"/>
    <s v="MLTC"/>
    <s v="RN Initial Assement"/>
    <s v="T2024"/>
    <x v="3"/>
    <x v="0"/>
    <s v="MC Medicaid HHA"/>
    <m/>
    <n v="2"/>
    <n v="2"/>
    <n v="2"/>
    <n v="2"/>
    <n v="2"/>
    <n v="2"/>
    <s v="nursing"/>
    <m/>
    <s v=""/>
    <x v="1"/>
  </r>
  <r>
    <n v="617"/>
    <x v="31"/>
    <s v="Fidelis Care (ANT)"/>
    <s v="LHCSA"/>
    <s v="MLTC"/>
    <s v="RN Reassessment (NB)"/>
    <m/>
    <x v="3"/>
    <x v="0"/>
    <s v="MC Medicaid HHA"/>
    <m/>
    <n v="2"/>
    <n v="2"/>
    <n v="2"/>
    <n v="2"/>
    <n v="2"/>
    <n v="2"/>
    <s v="Nursing override"/>
    <m/>
    <s v=""/>
    <x v="1"/>
  </r>
  <r>
    <n v="618"/>
    <x v="31"/>
    <s v="Fidelis Care (ANT)"/>
    <s v="LHCSA"/>
    <s v="MLTC"/>
    <s v="T1019:U1"/>
    <s v="T1019:U1"/>
    <x v="2"/>
    <x v="0"/>
    <s v="MC Medicaid HHA"/>
    <m/>
    <n v="4"/>
    <n v="247"/>
    <n v="952.25"/>
    <n v="4"/>
    <n v="247"/>
    <n v="952.25"/>
    <s v=""/>
    <m/>
    <s v=""/>
    <x v="1"/>
  </r>
  <r>
    <n v="621"/>
    <x v="31"/>
    <s v="Fidelis Care (CDP)"/>
    <s v="LHCSA"/>
    <s v="CDPAP"/>
    <s v="T1019:U6"/>
    <s v="T1019:U6"/>
    <x v="1"/>
    <x v="1"/>
    <s v="MC Medicaid CDPAP"/>
    <m/>
    <n v="18"/>
    <n v="2484"/>
    <n v="12301.75"/>
    <n v="18"/>
    <n v="2484"/>
    <n v="12301.75"/>
    <s v=""/>
    <m/>
    <s v=""/>
    <x v="1"/>
  </r>
  <r>
    <n v="622"/>
    <x v="31"/>
    <s v="Fidelis Care PCA (Non Live)"/>
    <s v="MLTC"/>
    <s v="MLTC"/>
    <s v="RN Initial (NB)"/>
    <s v="G0162"/>
    <x v="3"/>
    <x v="0"/>
    <s v="MC Medicaid HHA"/>
    <m/>
    <n v="1"/>
    <n v="1"/>
    <n v="1"/>
    <n v="1"/>
    <n v="1"/>
    <n v="1"/>
    <s v="Nursing override"/>
    <m/>
    <s v=""/>
    <x v="1"/>
  </r>
  <r>
    <n v="623"/>
    <x v="31"/>
    <s v="Nascentia Health Options CDPAP"/>
    <s v="MLTC"/>
    <s v="CDPAP"/>
    <s v="PA Hourly"/>
    <s v="T1019:U6"/>
    <x v="1"/>
    <x v="1"/>
    <s v="MC Medicaid CDPAP"/>
    <m/>
    <n v="1"/>
    <n v="84"/>
    <n v="334.75"/>
    <n v="1"/>
    <n v="84"/>
    <n v="334.75"/>
    <s v=""/>
    <m/>
    <s v=""/>
    <x v="1"/>
  </r>
  <r>
    <n v="626"/>
    <x v="31"/>
    <s v="VNS Health Health Plans (CDP)"/>
    <s v="MLTC"/>
    <s v="CDPAP"/>
    <s v="T1019U6 MGY"/>
    <s v="T1019:U6"/>
    <x v="1"/>
    <x v="1"/>
    <s v="MC Medicaid CDPAP"/>
    <m/>
    <n v="9"/>
    <n v="1975"/>
    <n v="8225.75"/>
    <n v="9"/>
    <n v="1975"/>
    <n v="8225.75"/>
    <s v=""/>
    <m/>
    <s v=""/>
    <x v="1"/>
  </r>
  <r>
    <n v="627"/>
    <x v="31"/>
    <s v="VNS Health Health Plans (CDP)"/>
    <s v="MLTC"/>
    <s v="CDPAP"/>
    <s v="T1019U6 MGY MAP"/>
    <s v="T1019:U6"/>
    <x v="1"/>
    <x v="1"/>
    <s v="MC Medicaid CDPAP"/>
    <m/>
    <n v="1"/>
    <n v="72"/>
    <n v="413.25"/>
    <n v="1"/>
    <n v="72"/>
    <n v="413.25"/>
    <s v=""/>
    <m/>
    <s v=""/>
    <x v="1"/>
  </r>
  <r>
    <n v="628"/>
    <x v="0"/>
    <s v="Americare"/>
    <s v="CHHA"/>
    <s v="CHHA"/>
    <s v="HHA1"/>
    <s v="S9122"/>
    <x v="0"/>
    <x v="0"/>
    <s v="Other"/>
    <s v="CHHA"/>
    <n v="38"/>
    <n v="879"/>
    <n v="3383.25"/>
    <n v="28"/>
    <n v="583"/>
    <n v="2260.75"/>
    <s v=""/>
    <m/>
    <s v=""/>
    <x v="0"/>
  </r>
  <r>
    <n v="629"/>
    <x v="0"/>
    <s v="Americare"/>
    <s v="CHHA"/>
    <s v="CHHA"/>
    <s v="HHAPEDSV"/>
    <s v="S9122"/>
    <x v="0"/>
    <x v="0"/>
    <s v="Other"/>
    <s v="CHHA"/>
    <n v="54"/>
    <n v="6841"/>
    <n v="40890"/>
    <n v="50"/>
    <n v="6663"/>
    <n v="39749.5"/>
    <s v=""/>
    <m/>
    <s v=""/>
    <x v="0"/>
  </r>
  <r>
    <n v="631"/>
    <x v="0"/>
    <s v="Amerigroup (Empire) CDPAP"/>
    <s v="MLTC"/>
    <s v="CDPAP"/>
    <s v="PA HOURLY"/>
    <s v="T1019:U6"/>
    <x v="1"/>
    <x v="1"/>
    <s v="MC Medicaid CDPAP"/>
    <m/>
    <n v="1"/>
    <n v="96"/>
    <n v="592"/>
    <n v="0"/>
    <n v="0"/>
    <m/>
    <s v=""/>
    <m/>
    <s v=""/>
    <x v="1"/>
  </r>
  <r>
    <n v="632"/>
    <x v="0"/>
    <s v="Amerigroup (Empire) PCA"/>
    <s v="MCO"/>
    <s v="Medicaid"/>
    <s v="PCA HOURLY"/>
    <s v="T1019:U1"/>
    <x v="2"/>
    <x v="0"/>
    <s v="MC Medicaid HHA"/>
    <m/>
    <n v="2"/>
    <n v="57"/>
    <n v="235.5"/>
    <n v="2"/>
    <n v="57"/>
    <n v="235.5"/>
    <s v=""/>
    <m/>
    <s v=""/>
    <x v="1"/>
  </r>
  <r>
    <n v="633"/>
    <x v="0"/>
    <s v="Amerigroup (Empire) PCA"/>
    <s v="MCO"/>
    <s v="Medicaid"/>
    <s v="RN Initial (NB)"/>
    <m/>
    <x v="3"/>
    <x v="0"/>
    <s v="MC Medicaid HHA"/>
    <m/>
    <n v="1"/>
    <n v="1"/>
    <n v="1"/>
    <n v="1"/>
    <n v="1"/>
    <n v="1"/>
    <s v="Nursing override"/>
    <m/>
    <s v=""/>
    <x v="1"/>
  </r>
  <r>
    <n v="634"/>
    <x v="0"/>
    <s v="Amerigroup (Empire) PCA"/>
    <s v="MCO"/>
    <s v="Medicaid"/>
    <s v="RN Initial-NB"/>
    <s v="T1019"/>
    <x v="3"/>
    <x v="0"/>
    <s v="MC Medicaid HHA"/>
    <m/>
    <n v="1"/>
    <n v="1"/>
    <n v="1"/>
    <n v="1"/>
    <n v="1"/>
    <n v="1"/>
    <s v="Nursing override"/>
    <m/>
    <s v=""/>
    <x v="1"/>
  </r>
  <r>
    <n v="635"/>
    <x v="0"/>
    <s v="CenterLight HealthCare (PACE) (ANT)"/>
    <s v="Other"/>
    <s v="MLTC"/>
    <s v="RN Reassessment (NB)"/>
    <m/>
    <x v="4"/>
    <x v="0"/>
    <s v="Other"/>
    <m/>
    <n v="1"/>
    <n v="2"/>
    <n v="2"/>
    <n v="1"/>
    <n v="2"/>
    <n v="2"/>
    <s v="Nursing override"/>
    <m/>
    <s v=""/>
    <x v="0"/>
  </r>
  <r>
    <n v="636"/>
    <x v="0"/>
    <s v="CenterLight HealthCare (PACE) (ANT)"/>
    <s v="Other"/>
    <s v="MLTC"/>
    <s v="T1019:U1"/>
    <s v="T1019:U1"/>
    <x v="4"/>
    <x v="0"/>
    <s v="Other"/>
    <m/>
    <n v="1"/>
    <n v="155"/>
    <n v="929.75"/>
    <n v="1"/>
    <n v="155"/>
    <n v="929.75"/>
    <s v=""/>
    <m/>
    <s v=""/>
    <x v="0"/>
  </r>
  <r>
    <n v="637"/>
    <x v="0"/>
    <s v="CenterLight HealthCare (PACE) (CDP)"/>
    <s v="Other"/>
    <s v="CDPAP"/>
    <s v="T1019:U6"/>
    <s v="T1019:U6"/>
    <x v="4"/>
    <x v="0"/>
    <s v="Other"/>
    <m/>
    <n v="2"/>
    <n v="426"/>
    <n v="1725.25"/>
    <n v="2"/>
    <n v="426"/>
    <n v="1725.25"/>
    <s v=""/>
    <m/>
    <s v=""/>
    <x v="0"/>
  </r>
  <r>
    <n v="638"/>
    <x v="0"/>
    <s v="Centers Plan For Health Living PCA"/>
    <s v="MLTC"/>
    <s v="MLTC"/>
    <s v="PCA Hourly"/>
    <s v="T1019:U1"/>
    <x v="2"/>
    <x v="0"/>
    <s v="MC Medicaid HHA"/>
    <m/>
    <n v="40"/>
    <n v="4381"/>
    <n v="22414.5"/>
    <n v="34"/>
    <n v="4012"/>
    <n v="20553.5"/>
    <s v=""/>
    <m/>
    <s v=""/>
    <x v="1"/>
  </r>
  <r>
    <n v="639"/>
    <x v="0"/>
    <s v="Centers Plan For Health Living PCA"/>
    <s v="MLTC"/>
    <s v="MLTC"/>
    <s v="PCA Hourly LI &amp; Westchester"/>
    <s v="T1019:U1"/>
    <x v="2"/>
    <x v="0"/>
    <s v="MC Medicaid HHA"/>
    <m/>
    <n v="16"/>
    <n v="1343"/>
    <n v="7194.75"/>
    <n v="15"/>
    <n v="1341"/>
    <n v="7174"/>
    <s v=""/>
    <m/>
    <s v=""/>
    <x v="1"/>
  </r>
  <r>
    <n v="640"/>
    <x v="0"/>
    <s v="Centers Plan For Health Living PCA"/>
    <s v="MLTC"/>
    <s v="MLTC"/>
    <s v="PRN (NB)"/>
    <m/>
    <x v="3"/>
    <x v="0"/>
    <s v="MC Medicaid HHA"/>
    <m/>
    <n v="2"/>
    <n v="2"/>
    <n v="2"/>
    <n v="1"/>
    <n v="1"/>
    <n v="1"/>
    <s v="Nursing override"/>
    <m/>
    <s v=""/>
    <x v="1"/>
  </r>
  <r>
    <n v="641"/>
    <x v="0"/>
    <s v="Centers Plan For Health Living PCA"/>
    <s v="MLTC"/>
    <s v="MLTC"/>
    <s v="RN Initial (NB)"/>
    <m/>
    <x v="3"/>
    <x v="0"/>
    <s v="MC Medicaid HHA"/>
    <m/>
    <n v="31"/>
    <n v="31"/>
    <n v="31"/>
    <n v="28"/>
    <n v="28"/>
    <n v="28"/>
    <s v="Nursing override"/>
    <m/>
    <s v=""/>
    <x v="1"/>
  </r>
  <r>
    <n v="642"/>
    <x v="0"/>
    <s v="Centers Plan For Health Living PCA"/>
    <s v="MLTC"/>
    <s v="MLTC"/>
    <s v="RN Reassessment (NB)"/>
    <m/>
    <x v="3"/>
    <x v="0"/>
    <s v="MC Medicaid HHA"/>
    <m/>
    <n v="21"/>
    <n v="32"/>
    <n v="32"/>
    <n v="19"/>
    <n v="30"/>
    <n v="30"/>
    <s v="Nursing override"/>
    <m/>
    <s v=""/>
    <x v="1"/>
  </r>
  <r>
    <n v="646"/>
    <x v="0"/>
    <s v="Centers Plan For Healthy Living CDPAP "/>
    <s v="MLTC"/>
    <s v="CDPAP"/>
    <s v="PA Hourly - 5 Boroughs"/>
    <s v="T1019:U6"/>
    <x v="1"/>
    <x v="1"/>
    <s v="MC Medicaid CDPAP"/>
    <m/>
    <n v="9"/>
    <n v="1333"/>
    <n v="4979.5"/>
    <n v="9"/>
    <n v="1333"/>
    <n v="4979.5"/>
    <s v=""/>
    <m/>
    <s v=""/>
    <x v="1"/>
  </r>
  <r>
    <n v="647"/>
    <x v="0"/>
    <s v="Centers Plan For Healthy Living CDPAP "/>
    <s v="MLTC"/>
    <s v="CDPAP"/>
    <s v="PA Hourly - Nassau/Suffolk/Westchester:"/>
    <s v="T1019:U6"/>
    <x v="1"/>
    <x v="1"/>
    <s v="MC Medicaid CDPAP"/>
    <m/>
    <n v="51"/>
    <n v="10452"/>
    <n v="47819.25"/>
    <n v="49"/>
    <n v="10269"/>
    <n v="46764.25"/>
    <s v=""/>
    <m/>
    <s v=""/>
    <x v="1"/>
  </r>
  <r>
    <n v="648"/>
    <x v="0"/>
    <s v="Elderplan MJHS (ANT)"/>
    <s v="MLTC"/>
    <s v="MLTC"/>
    <s v="PRN (NB)"/>
    <m/>
    <x v="3"/>
    <x v="0"/>
    <s v="MC Medicaid HHA"/>
    <m/>
    <n v="1"/>
    <n v="1"/>
    <n v="1"/>
    <n v="1"/>
    <n v="1"/>
    <n v="1"/>
    <s v="Nursing override"/>
    <m/>
    <s v=""/>
    <x v="1"/>
  </r>
  <r>
    <n v="649"/>
    <x v="0"/>
    <s v="Elderplan MJHS (ANT)"/>
    <s v="MLTC"/>
    <s v="MLTC"/>
    <s v="RN Initial (NB)"/>
    <m/>
    <x v="3"/>
    <x v="0"/>
    <s v="MC Medicaid HHA"/>
    <m/>
    <n v="24"/>
    <n v="24"/>
    <n v="24"/>
    <n v="19"/>
    <n v="19"/>
    <n v="19"/>
    <s v="Nursing override"/>
    <m/>
    <s v=""/>
    <x v="1"/>
  </r>
  <r>
    <n v="650"/>
    <x v="0"/>
    <s v="Elderplan MJHS (ANT)"/>
    <s v="MLTC"/>
    <s v="MLTC"/>
    <s v="RN Reassessment (NB)"/>
    <m/>
    <x v="3"/>
    <x v="0"/>
    <s v="MC Medicaid HHA"/>
    <m/>
    <n v="11"/>
    <n v="15"/>
    <n v="15"/>
    <n v="10"/>
    <n v="14"/>
    <n v="14"/>
    <s v="Nursing override"/>
    <m/>
    <s v=""/>
    <x v="1"/>
  </r>
  <r>
    <n v="651"/>
    <x v="0"/>
    <s v="Elderplan MJHS (ANT)"/>
    <s v="MLTC"/>
    <s v="MLTC"/>
    <s v="T1019:U1"/>
    <s v="T1019:U1"/>
    <x v="2"/>
    <x v="0"/>
    <s v="MC Medicaid HHA"/>
    <m/>
    <n v="33"/>
    <n v="3772"/>
    <n v="19781.5"/>
    <n v="28"/>
    <n v="3472"/>
    <n v="18041.25"/>
    <s v=""/>
    <m/>
    <s v=""/>
    <x v="1"/>
  </r>
  <r>
    <n v="652"/>
    <x v="0"/>
    <s v="Elderplan MJHS (ANT)"/>
    <s v="MLTC"/>
    <s v="MLTC"/>
    <s v="T1020"/>
    <s v="T1020"/>
    <x v="8"/>
    <x v="0"/>
    <s v="MC Medicaid HHA"/>
    <m/>
    <n v="2"/>
    <n v="298"/>
    <n v="3874"/>
    <n v="2"/>
    <n v="298"/>
    <n v="3874"/>
    <s v=""/>
    <m/>
    <n v="13"/>
    <x v="1"/>
  </r>
  <r>
    <n v="655"/>
    <x v="0"/>
    <s v="Elderplan MJHS (CDP)"/>
    <s v="MLTC"/>
    <s v="CDPAP"/>
    <s v="T1019:U6"/>
    <s v="T1019:U6"/>
    <x v="1"/>
    <x v="1"/>
    <s v="MC Medicaid CDPAP"/>
    <m/>
    <n v="17"/>
    <n v="2211"/>
    <n v="10487.75"/>
    <n v="13"/>
    <n v="1835"/>
    <n v="8508.25"/>
    <s v=""/>
    <m/>
    <s v=""/>
    <x v="1"/>
  </r>
  <r>
    <n v="657"/>
    <x v="0"/>
    <s v="ElderServe/Riverspring (CDPAP)"/>
    <s v="MLTC"/>
    <s v="CDPAP"/>
    <s v="PA Hourly - Long Island &amp; Westchester"/>
    <s v="T1019:U6:U4"/>
    <x v="12"/>
    <x v="1"/>
    <s v="MC Medicaid CDPAP"/>
    <m/>
    <n v="1"/>
    <n v="97"/>
    <n v="418"/>
    <n v="1"/>
    <n v="97"/>
    <n v="418"/>
    <s v=""/>
    <m/>
    <s v=""/>
    <x v="1"/>
  </r>
  <r>
    <n v="658"/>
    <x v="0"/>
    <s v="ElderServe/Riverspring (CDPAP)"/>
    <s v="MLTC"/>
    <s v="CDPAP"/>
    <s v="PA Hourly Mutual Long Island &amp; Westchester"/>
    <s v="T1019:U7:U4"/>
    <x v="13"/>
    <x v="1"/>
    <s v="MC Medicaid CDPAP"/>
    <m/>
    <n v="2"/>
    <n v="522"/>
    <n v="3131.75"/>
    <n v="2"/>
    <n v="522"/>
    <n v="3131.75"/>
    <s v=""/>
    <m/>
    <s v=""/>
    <x v="1"/>
  </r>
  <r>
    <n v="659"/>
    <x v="0"/>
    <s v="ElderServe/Riverspring (PCA)"/>
    <s v="MLTC"/>
    <s v="MLTC"/>
    <s v="PCA Hourly - LI Westchester"/>
    <s v="T1019:U4"/>
    <x v="14"/>
    <x v="0"/>
    <s v="MC Medicaid HHA"/>
    <m/>
    <n v="2"/>
    <n v="73"/>
    <n v="600"/>
    <n v="2"/>
    <n v="73"/>
    <n v="600"/>
    <s v=""/>
    <m/>
    <s v=""/>
    <x v="1"/>
  </r>
  <r>
    <n v="660"/>
    <x v="0"/>
    <s v="ElderServe/Riverspring (PCA)"/>
    <s v="MLTC"/>
    <s v="MLTC"/>
    <s v="PCA Hourly Mutual - LI Westchester"/>
    <s v="T1019 U5"/>
    <x v="11"/>
    <x v="0"/>
    <s v="MC Medicaid HHA"/>
    <m/>
    <n v="2"/>
    <n v="311"/>
    <n v="2174"/>
    <n v="2"/>
    <n v="311"/>
    <n v="2174"/>
    <s v=""/>
    <m/>
    <s v=""/>
    <x v="1"/>
  </r>
  <r>
    <n v="661"/>
    <x v="0"/>
    <s v="ElderServe/Riverspring (PCA)"/>
    <s v="MLTC"/>
    <s v="MLTC"/>
    <s v="RN Initial (NB)"/>
    <m/>
    <x v="3"/>
    <x v="0"/>
    <s v="MC Medicaid HHA"/>
    <m/>
    <n v="1"/>
    <n v="1"/>
    <n v="1"/>
    <n v="1"/>
    <n v="1"/>
    <n v="1"/>
    <s v="Nursing override"/>
    <m/>
    <s v=""/>
    <x v="1"/>
  </r>
  <r>
    <n v="662"/>
    <x v="0"/>
    <s v="ElderServe/Riverspring (PCA)"/>
    <s v="MLTC"/>
    <s v="MLTC"/>
    <s v="RN Reassessment (NB)"/>
    <m/>
    <x v="3"/>
    <x v="0"/>
    <s v="MC Medicaid HHA"/>
    <m/>
    <n v="2"/>
    <n v="2"/>
    <n v="2"/>
    <n v="2"/>
    <n v="2"/>
    <n v="2"/>
    <s v="Nursing override"/>
    <m/>
    <s v=""/>
    <x v="1"/>
  </r>
  <r>
    <n v="665"/>
    <x v="0"/>
    <s v="Empire Blue Cross Blue Shield (CDPAP)"/>
    <s v="Other"/>
    <s v="CDPAP"/>
    <s v="PA Hourly (New)"/>
    <s v="T1019:U6"/>
    <x v="1"/>
    <x v="1"/>
    <s v="MC Medicaid CDPAP"/>
    <m/>
    <n v="7"/>
    <n v="1195"/>
    <n v="7862.25"/>
    <n v="6"/>
    <n v="1074"/>
    <n v="7204.25"/>
    <s v=""/>
    <m/>
    <s v=""/>
    <x v="1"/>
  </r>
  <r>
    <n v="666"/>
    <x v="0"/>
    <s v="Empire Blue Cross Blue Shield (CDPAP)"/>
    <s v="Other"/>
    <s v="CDPAP"/>
    <s v="PA Hourly - Long Island &amp; Westchester"/>
    <s v="T1019:U6"/>
    <x v="1"/>
    <x v="1"/>
    <s v="MC Medicaid CDPAP"/>
    <m/>
    <n v="11"/>
    <n v="1886"/>
    <n v="12479"/>
    <n v="11"/>
    <n v="1886"/>
    <n v="12479"/>
    <s v=""/>
    <m/>
    <s v=""/>
    <x v="1"/>
  </r>
  <r>
    <n v="667"/>
    <x v="0"/>
    <s v="Empire Blue Cross Blue Shield (PCA)"/>
    <s v="Other"/>
    <s v="MLTC"/>
    <s v="PCA Hourly - Mutual Long Island"/>
    <s v="T1019:U2"/>
    <x v="11"/>
    <x v="0"/>
    <s v="MC Medicaid HHA"/>
    <m/>
    <n v="2"/>
    <n v="215"/>
    <n v="2513.75"/>
    <n v="2"/>
    <n v="215"/>
    <n v="2513.75"/>
    <s v=""/>
    <m/>
    <s v=""/>
    <x v="1"/>
  </r>
  <r>
    <n v="668"/>
    <x v="0"/>
    <s v="Empire Blue Cross Blue Shield (PCA)"/>
    <s v="Other"/>
    <s v="MLTC"/>
    <s v="PCA Hourly LI &amp; Westchester"/>
    <s v="T1019:U1"/>
    <x v="2"/>
    <x v="0"/>
    <s v="MC Medicaid HHA"/>
    <m/>
    <n v="22"/>
    <n v="2506"/>
    <n v="18950"/>
    <n v="22"/>
    <n v="2506"/>
    <n v="18950"/>
    <s v=""/>
    <m/>
    <s v=""/>
    <x v="1"/>
  </r>
  <r>
    <n v="669"/>
    <x v="0"/>
    <s v="Empire Blue Cross Blue Shield (PCA)"/>
    <s v="Other"/>
    <s v="MLTC"/>
    <s v="PCA Hourly NYC"/>
    <s v="T1019:U1"/>
    <x v="2"/>
    <x v="0"/>
    <s v="MC Medicaid HHA"/>
    <m/>
    <n v="6"/>
    <n v="635"/>
    <n v="4191.5"/>
    <n v="6"/>
    <n v="635"/>
    <n v="4191.5"/>
    <s v=""/>
    <m/>
    <s v=""/>
    <x v="1"/>
  </r>
  <r>
    <n v="670"/>
    <x v="0"/>
    <s v="Empire Blue Cross Blue Shield (PCA)"/>
    <s v="Other"/>
    <s v="MLTC"/>
    <s v="PCA Live In"/>
    <s v="T1020"/>
    <x v="8"/>
    <x v="0"/>
    <s v="MC Medicaid HHA"/>
    <m/>
    <n v="2"/>
    <n v="17"/>
    <n v="221"/>
    <n v="2"/>
    <n v="17"/>
    <n v="221"/>
    <s v=""/>
    <m/>
    <n v="13"/>
    <x v="1"/>
  </r>
  <r>
    <n v="671"/>
    <x v="0"/>
    <s v="Empire Blue Cross Blue Shield (PCA)"/>
    <s v="Other"/>
    <s v="MLTC"/>
    <s v="PRN (NB)"/>
    <m/>
    <x v="3"/>
    <x v="0"/>
    <s v="MC Medicaid HHA"/>
    <m/>
    <n v="3"/>
    <n v="3"/>
    <n v="3"/>
    <n v="3"/>
    <n v="3"/>
    <n v="3"/>
    <s v="Nursing override"/>
    <m/>
    <s v=""/>
    <x v="1"/>
  </r>
  <r>
    <n v="672"/>
    <x v="0"/>
    <s v="Empire Blue Cross Blue Shield (PCA)"/>
    <s v="Other"/>
    <s v="MLTC"/>
    <s v="RN Initial (NB)"/>
    <m/>
    <x v="3"/>
    <x v="0"/>
    <s v="MC Medicaid HHA"/>
    <m/>
    <n v="16"/>
    <n v="16"/>
    <n v="16"/>
    <n v="16"/>
    <n v="16"/>
    <n v="16"/>
    <s v="Nursing override"/>
    <m/>
    <s v=""/>
    <x v="1"/>
  </r>
  <r>
    <n v="673"/>
    <x v="0"/>
    <s v="Empire Blue Cross Blue Shield (PCA)"/>
    <s v="Other"/>
    <s v="MLTC"/>
    <s v="RN Reassessment (NB)"/>
    <m/>
    <x v="3"/>
    <x v="0"/>
    <s v="MC Medicaid HHA"/>
    <m/>
    <n v="9"/>
    <n v="16"/>
    <n v="16"/>
    <n v="9"/>
    <n v="16"/>
    <n v="16"/>
    <s v="Nursing override"/>
    <m/>
    <s v=""/>
    <x v="1"/>
  </r>
  <r>
    <n v="674"/>
    <x v="0"/>
    <s v="Excellent Home Care Services"/>
    <s v="CHHA"/>
    <s v="CHHA"/>
    <s v="Rate3"/>
    <m/>
    <x v="0"/>
    <x v="0"/>
    <s v="Other"/>
    <s v="CHHA"/>
    <n v="12"/>
    <n v="1322"/>
    <n v="7343.75"/>
    <n v="11"/>
    <n v="1288"/>
    <n v="7152.75"/>
    <s v=""/>
    <m/>
    <s v=""/>
    <x v="0"/>
  </r>
  <r>
    <n v="675"/>
    <x v="0"/>
    <s v="Extended Home Care"/>
    <s v="CHHA"/>
    <s v="CHHA"/>
    <s v="PedCode95"/>
    <s v="-"/>
    <x v="0"/>
    <x v="0"/>
    <s v="Other"/>
    <s v="CHHA"/>
    <n v="13"/>
    <n v="1222"/>
    <n v="7853.5"/>
    <n v="12"/>
    <n v="1208"/>
    <n v="7735"/>
    <s v=""/>
    <m/>
    <s v=""/>
    <x v="0"/>
  </r>
  <r>
    <n v="676"/>
    <x v="0"/>
    <s v="Extended Home Care"/>
    <s v="CHHA"/>
    <s v="CHHA"/>
    <s v="Rate1"/>
    <m/>
    <x v="0"/>
    <x v="0"/>
    <s v="Other"/>
    <s v="CHHA"/>
    <n v="33"/>
    <n v="1078"/>
    <n v="5136.25"/>
    <n v="27"/>
    <n v="1029"/>
    <n v="4940.75"/>
    <s v=""/>
    <m/>
    <s v=""/>
    <x v="0"/>
  </r>
  <r>
    <n v="677"/>
    <x v="0"/>
    <s v="Extended Home Care"/>
    <s v="CHHA"/>
    <s v="CHHA"/>
    <s v="Rate4HMO"/>
    <s v="0"/>
    <x v="0"/>
    <x v="0"/>
    <s v="Other"/>
    <s v="CHHA"/>
    <n v="1"/>
    <n v="7"/>
    <n v="26"/>
    <n v="0"/>
    <n v="0"/>
    <m/>
    <s v=""/>
    <m/>
    <s v=""/>
    <x v="0"/>
  </r>
  <r>
    <n v="678"/>
    <x v="0"/>
    <s v="Fidelis Care (ANT)"/>
    <s v="LHCSA"/>
    <s v="MLTC"/>
    <s v="PRN (NB)"/>
    <m/>
    <x v="3"/>
    <x v="0"/>
    <s v="MC Medicaid HHA"/>
    <m/>
    <n v="4"/>
    <n v="4"/>
    <n v="4"/>
    <n v="4"/>
    <n v="4"/>
    <n v="4"/>
    <s v="Nursing override"/>
    <m/>
    <s v=""/>
    <x v="1"/>
  </r>
  <r>
    <n v="679"/>
    <x v="0"/>
    <s v="Fidelis Care (ANT)"/>
    <s v="LHCSA"/>
    <s v="MLTC"/>
    <s v="RN Initial (NB)"/>
    <m/>
    <x v="3"/>
    <x v="0"/>
    <s v="MC Medicaid HHA"/>
    <m/>
    <n v="27"/>
    <n v="27"/>
    <n v="27"/>
    <n v="25"/>
    <n v="25"/>
    <n v="25"/>
    <s v="Nursing override"/>
    <m/>
    <s v=""/>
    <x v="1"/>
  </r>
  <r>
    <n v="680"/>
    <x v="0"/>
    <s v="Fidelis Care (ANT)"/>
    <s v="LHCSA"/>
    <s v="MLTC"/>
    <s v="RN Initial Assement"/>
    <s v="T2024"/>
    <x v="3"/>
    <x v="0"/>
    <s v="MC Medicaid HHA"/>
    <m/>
    <n v="22"/>
    <n v="22"/>
    <n v="22"/>
    <n v="22"/>
    <n v="22"/>
    <n v="22"/>
    <s v="nursing"/>
    <m/>
    <s v=""/>
    <x v="1"/>
  </r>
  <r>
    <n v="681"/>
    <x v="0"/>
    <s v="Fidelis Care (ANT)"/>
    <s v="LHCSA"/>
    <s v="MLTC"/>
    <s v="RN Reassessment (NB)"/>
    <m/>
    <x v="3"/>
    <x v="0"/>
    <s v="MC Medicaid HHA"/>
    <m/>
    <n v="27"/>
    <n v="34"/>
    <n v="34"/>
    <n v="27"/>
    <n v="34"/>
    <n v="34"/>
    <s v="Nursing override"/>
    <m/>
    <s v=""/>
    <x v="1"/>
  </r>
  <r>
    <n v="682"/>
    <x v="0"/>
    <s v="Fidelis Care (ANT)"/>
    <s v="LHCSA"/>
    <s v="MLTC"/>
    <s v="T1019:U1"/>
    <s v="T1019:U1"/>
    <x v="2"/>
    <x v="0"/>
    <s v="MC Medicaid HHA"/>
    <m/>
    <n v="64"/>
    <n v="7102"/>
    <n v="44546.25"/>
    <n v="62"/>
    <n v="7039"/>
    <n v="44228.5"/>
    <s v=""/>
    <m/>
    <s v=""/>
    <x v="1"/>
  </r>
  <r>
    <n v="683"/>
    <x v="0"/>
    <s v="Fidelis Care (ANT)"/>
    <s v="LHCSA"/>
    <s v="MLTC"/>
    <s v="T1019:U3"/>
    <s v="T1019:U3"/>
    <x v="11"/>
    <x v="0"/>
    <s v="MC Medicaid HHA"/>
    <m/>
    <n v="4"/>
    <n v="457"/>
    <n v="809.25"/>
    <n v="4"/>
    <n v="457"/>
    <n v="809.25"/>
    <s v=""/>
    <m/>
    <s v=""/>
    <x v="1"/>
  </r>
  <r>
    <n v="684"/>
    <x v="0"/>
    <s v="Fidelis Care (ANT)"/>
    <s v="LHCSA"/>
    <s v="MLTC"/>
    <s v="T1020"/>
    <s v="T1020"/>
    <x v="8"/>
    <x v="0"/>
    <s v="MC Medicaid HHA"/>
    <m/>
    <n v="1"/>
    <n v="370"/>
    <n v="4810"/>
    <n v="1"/>
    <n v="370"/>
    <n v="4810"/>
    <s v=""/>
    <m/>
    <n v="13"/>
    <x v="1"/>
  </r>
  <r>
    <n v="687"/>
    <x v="0"/>
    <s v="Fidelis Care (CDP)"/>
    <s v="LHCSA"/>
    <s v="CDPAP"/>
    <s v="T1019:U6"/>
    <s v="T1019:U6"/>
    <x v="1"/>
    <x v="1"/>
    <s v="MC Medicaid CDPAP"/>
    <m/>
    <n v="30"/>
    <n v="5023"/>
    <n v="25671.25"/>
    <n v="29"/>
    <n v="4983"/>
    <n v="25334.25"/>
    <s v=""/>
    <m/>
    <s v=""/>
    <x v="1"/>
  </r>
  <r>
    <n v="688"/>
    <x v="0"/>
    <s v="Fidelis Care PCA (Non Live)"/>
    <s v="MLTC"/>
    <s v="MLTC"/>
    <s v="PCA Hourly"/>
    <s v="T1019:U1"/>
    <x v="2"/>
    <x v="0"/>
    <s v="MC Medicaid HHA"/>
    <m/>
    <n v="3"/>
    <n v="58"/>
    <n v="578.75"/>
    <n v="3"/>
    <n v="58"/>
    <n v="578.75"/>
    <s v=""/>
    <m/>
    <s v=""/>
    <x v="1"/>
  </r>
  <r>
    <n v="689"/>
    <x v="0"/>
    <s v="Fidelis Care PCA (Non Live)"/>
    <s v="MLTC"/>
    <s v="MLTC"/>
    <s v="RN Initial (NB)"/>
    <s v="G0162"/>
    <x v="3"/>
    <x v="0"/>
    <s v="MC Medicaid HHA"/>
    <m/>
    <n v="2"/>
    <n v="2"/>
    <n v="2"/>
    <n v="2"/>
    <n v="2"/>
    <n v="2"/>
    <s v="Nursing override"/>
    <m/>
    <s v=""/>
    <x v="1"/>
  </r>
  <r>
    <n v="690"/>
    <x v="0"/>
    <s v="Fidelis Care PCA (Non Live)"/>
    <s v="MLTC"/>
    <s v="MLTC"/>
    <s v="Rn initial assement"/>
    <s v="G0162"/>
    <x v="3"/>
    <x v="0"/>
    <s v="MC Medicaid HHA"/>
    <m/>
    <n v="2"/>
    <n v="2"/>
    <n v="2"/>
    <n v="2"/>
    <n v="2"/>
    <n v="2"/>
    <s v="nursing"/>
    <m/>
    <s v=""/>
    <x v="1"/>
  </r>
  <r>
    <n v="692"/>
    <x v="0"/>
    <s v="Hamaspik Choice (MLTC) CDPAP"/>
    <s v="MCO"/>
    <s v="CDPAP"/>
    <s v="PA Hourly NYC , Nassau, Westchester"/>
    <s v="T1019:U6"/>
    <x v="1"/>
    <x v="1"/>
    <s v="MC Medicaid CDPAP"/>
    <m/>
    <n v="1"/>
    <n v="233"/>
    <n v="1431.75"/>
    <n v="1"/>
    <n v="233"/>
    <n v="1431.75"/>
    <s v=""/>
    <m/>
    <s v=""/>
    <x v="1"/>
  </r>
  <r>
    <n v="694"/>
    <x v="0"/>
    <s v="Hamaspik Choice MLTC (PCA)"/>
    <s v="MLTC"/>
    <s v="MLTC"/>
    <s v="PCA Hourly"/>
    <s v="T1019:U1"/>
    <x v="2"/>
    <x v="0"/>
    <s v="MC Medicaid HHA"/>
    <m/>
    <n v="3"/>
    <n v="190"/>
    <n v="1032.25"/>
    <n v="3"/>
    <n v="190"/>
    <n v="1032.25"/>
    <s v=""/>
    <m/>
    <s v=""/>
    <x v="1"/>
  </r>
  <r>
    <n v="695"/>
    <x v="0"/>
    <s v="Hamaspik Choice MLTC (PCA)"/>
    <s v="MLTC"/>
    <s v="MLTC"/>
    <s v="RN Initial (NB)"/>
    <m/>
    <x v="3"/>
    <x v="0"/>
    <s v="MC Medicaid HHA"/>
    <m/>
    <n v="2"/>
    <n v="2"/>
    <n v="2"/>
    <n v="2"/>
    <n v="2"/>
    <n v="2"/>
    <s v="Nursing override"/>
    <m/>
    <s v=""/>
    <x v="1"/>
  </r>
  <r>
    <n v="696"/>
    <x v="0"/>
    <s v="Hamaspik Choice MLTC (PCA)"/>
    <s v="MLTC"/>
    <s v="MLTC"/>
    <s v="RN Reassessment (NB)"/>
    <m/>
    <x v="3"/>
    <x v="0"/>
    <s v="MC Medicaid HHA"/>
    <m/>
    <n v="1"/>
    <n v="2"/>
    <n v="2"/>
    <n v="1"/>
    <n v="2"/>
    <n v="2"/>
    <s v="Nursing override"/>
    <m/>
    <s v=""/>
    <x v="1"/>
  </r>
  <r>
    <n v="699"/>
    <x v="0"/>
    <s v="Hamaspik MAP CDPAP"/>
    <s v="MCO"/>
    <s v="CDPAP"/>
    <s v="PA Hourly (NYC, LI, &amp; Westchester)"/>
    <s v="T1019:U6"/>
    <x v="1"/>
    <x v="1"/>
    <s v="MC Medicaid CDPAP"/>
    <m/>
    <n v="4"/>
    <n v="814"/>
    <n v="5200"/>
    <n v="4"/>
    <n v="814"/>
    <n v="5200"/>
    <s v=""/>
    <m/>
    <s v=""/>
    <x v="1"/>
  </r>
  <r>
    <n v="701"/>
    <x v="0"/>
    <s v="Hamaspik MAP PCA"/>
    <s v="MCO"/>
    <s v="MLTC"/>
    <s v="PCA Hourly"/>
    <s v="T1019:U1"/>
    <x v="2"/>
    <x v="0"/>
    <s v="MC Medicaid HHA"/>
    <m/>
    <n v="1"/>
    <n v="52"/>
    <n v="194.25"/>
    <n v="1"/>
    <n v="52"/>
    <n v="194.25"/>
    <s v=""/>
    <m/>
    <s v=""/>
    <x v="1"/>
  </r>
  <r>
    <n v="702"/>
    <x v="0"/>
    <s v="Hamaspik MAP PCA"/>
    <s v="MCO"/>
    <s v="MLTC"/>
    <s v="RN Initial (NB)"/>
    <m/>
    <x v="3"/>
    <x v="0"/>
    <s v="MC Medicaid HHA"/>
    <m/>
    <n v="1"/>
    <n v="1"/>
    <n v="1"/>
    <n v="1"/>
    <n v="1"/>
    <n v="1"/>
    <s v="Nursing override"/>
    <m/>
    <s v=""/>
    <x v="1"/>
  </r>
  <r>
    <n v="704"/>
    <x v="0"/>
    <s v="Healthfirst (ANT)"/>
    <s v="CHHA"/>
    <s v="MLTC"/>
    <s v="PRN (NB)"/>
    <m/>
    <x v="3"/>
    <x v="0"/>
    <s v="MC Medicaid HHA"/>
    <m/>
    <n v="2"/>
    <n v="2"/>
    <n v="2"/>
    <n v="2"/>
    <n v="2"/>
    <n v="2"/>
    <s v="Nursing override"/>
    <m/>
    <s v=""/>
    <x v="1"/>
  </r>
  <r>
    <n v="705"/>
    <x v="0"/>
    <s v="Healthfirst (ANT)"/>
    <s v="CHHA"/>
    <s v="MLTC"/>
    <s v="RN Initial (NB)"/>
    <m/>
    <x v="3"/>
    <x v="0"/>
    <s v="MC Medicaid HHA"/>
    <m/>
    <n v="16"/>
    <n v="16"/>
    <n v="16"/>
    <n v="16"/>
    <n v="16"/>
    <n v="16"/>
    <s v="Nursing override"/>
    <m/>
    <s v=""/>
    <x v="1"/>
  </r>
  <r>
    <n v="706"/>
    <x v="0"/>
    <s v="Healthfirst (ANT)"/>
    <s v="CHHA"/>
    <s v="MLTC"/>
    <s v="RN Reassessment (NB)"/>
    <m/>
    <x v="3"/>
    <x v="0"/>
    <s v="MC Medicaid HHA"/>
    <m/>
    <n v="15"/>
    <n v="22"/>
    <n v="22"/>
    <n v="15"/>
    <n v="22"/>
    <n v="22"/>
    <s v="Nursing override"/>
    <m/>
    <s v=""/>
    <x v="1"/>
  </r>
  <r>
    <n v="707"/>
    <x v="0"/>
    <s v="Healthfirst (ANT)"/>
    <s v="CHHA"/>
    <s v="MLTC"/>
    <s v="S5130:U1"/>
    <s v="S5130:U1"/>
    <x v="6"/>
    <x v="0"/>
    <s v="MC Medicaid HHA"/>
    <m/>
    <n v="2"/>
    <n v="7"/>
    <n v="24"/>
    <n v="2"/>
    <n v="7"/>
    <n v="24"/>
    <s v=""/>
    <m/>
    <s v=""/>
    <x v="1"/>
  </r>
  <r>
    <n v="708"/>
    <x v="0"/>
    <s v="Healthfirst (ANT)"/>
    <s v="CHHA"/>
    <s v="MLTC"/>
    <s v="T1019:U1"/>
    <s v="T1019:U1"/>
    <x v="2"/>
    <x v="0"/>
    <s v="MC Medicaid HHA"/>
    <m/>
    <n v="25"/>
    <n v="3330"/>
    <n v="21243.75"/>
    <n v="25"/>
    <n v="3330"/>
    <n v="21243.75"/>
    <s v=""/>
    <m/>
    <s v=""/>
    <x v="1"/>
  </r>
  <r>
    <n v="709"/>
    <x v="0"/>
    <s v="Healthfirst (ANT)"/>
    <s v="CHHA"/>
    <s v="MLTC"/>
    <s v="T1019:U6"/>
    <s v="T1019:U6"/>
    <x v="1"/>
    <x v="1"/>
    <s v="MC Medicaid CDPAP"/>
    <m/>
    <n v="2"/>
    <n v="46"/>
    <n v="276.5"/>
    <n v="2"/>
    <n v="46"/>
    <n v="276.5"/>
    <s v=""/>
    <m/>
    <s v=""/>
    <x v="1"/>
  </r>
  <r>
    <n v="713"/>
    <x v="0"/>
    <s v="Healthfirst (CDP)"/>
    <s v="CHHA"/>
    <s v="CDPAP"/>
    <s v="PRN (NB)"/>
    <m/>
    <x v="3"/>
    <x v="0"/>
    <s v="MC Medicaid HHA"/>
    <m/>
    <n v="1"/>
    <n v="1"/>
    <n v="1"/>
    <n v="1"/>
    <n v="1"/>
    <n v="1"/>
    <s v="Nursing override"/>
    <m/>
    <s v=""/>
    <x v="1"/>
  </r>
  <r>
    <n v="714"/>
    <x v="0"/>
    <s v="Healthfirst (CDP)"/>
    <s v="CHHA"/>
    <s v="CDPAP"/>
    <s v="RN Initial (NB)"/>
    <m/>
    <x v="3"/>
    <x v="0"/>
    <s v="MC Medicaid HHA"/>
    <m/>
    <n v="1"/>
    <n v="1"/>
    <n v="1"/>
    <n v="1"/>
    <n v="1"/>
    <n v="1"/>
    <s v="Nursing override"/>
    <m/>
    <s v=""/>
    <x v="1"/>
  </r>
  <r>
    <n v="715"/>
    <x v="0"/>
    <s v="Healthfirst (CDP)"/>
    <s v="CHHA"/>
    <s v="CDPAP"/>
    <s v="T1019:U1"/>
    <s v="T1019:U1"/>
    <x v="2"/>
    <x v="0"/>
    <s v="MC Medicaid HHA"/>
    <m/>
    <n v="2"/>
    <n v="119"/>
    <n v="705.25"/>
    <n v="2"/>
    <n v="119"/>
    <n v="705.25"/>
    <s v=""/>
    <m/>
    <s v=""/>
    <x v="1"/>
  </r>
  <r>
    <n v="716"/>
    <x v="0"/>
    <s v="Healthfirst (CDP)"/>
    <s v="CHHA"/>
    <s v="CDPAP"/>
    <s v="T1019:U6"/>
    <s v="T1019:U6"/>
    <x v="1"/>
    <x v="1"/>
    <s v="MC Medicaid CDPAP"/>
    <m/>
    <n v="23"/>
    <n v="3038"/>
    <n v="17597.25"/>
    <n v="23"/>
    <n v="3038"/>
    <n v="17597.25"/>
    <s v=""/>
    <m/>
    <s v=""/>
    <x v="1"/>
  </r>
  <r>
    <n v="717"/>
    <x v="0"/>
    <s v="NHTD"/>
    <s v="LHCSA"/>
    <s v="Medicaid"/>
    <s v="HCSS 9795 LI Nassau Westchester Suffolk"/>
    <s v="9795"/>
    <x v="4"/>
    <x v="0"/>
    <s v="Other"/>
    <m/>
    <n v="96"/>
    <n v="29431"/>
    <n v="336529.25"/>
    <n v="96"/>
    <n v="29431"/>
    <n v="336529.25"/>
    <s v=""/>
    <m/>
    <s v=""/>
    <x v="0"/>
  </r>
  <r>
    <n v="718"/>
    <x v="0"/>
    <s v="NHTD"/>
    <s v="LHCSA"/>
    <s v="Medicaid"/>
    <s v="HCSS 9795 NYC"/>
    <s v="9795"/>
    <x v="4"/>
    <x v="0"/>
    <s v="Other"/>
    <m/>
    <n v="56"/>
    <n v="9498"/>
    <n v="105855"/>
    <n v="56"/>
    <n v="9498"/>
    <n v="105855"/>
    <s v=""/>
    <m/>
    <s v=""/>
    <x v="0"/>
  </r>
  <r>
    <n v="719"/>
    <x v="0"/>
    <s v="NHTD"/>
    <s v="LHCSA"/>
    <s v="Medicaid"/>
    <s v="Initial RN Visit 9799 (Hourly)"/>
    <s v="9799"/>
    <x v="4"/>
    <x v="0"/>
    <s v="Other"/>
    <m/>
    <n v="53"/>
    <n v="53"/>
    <n v="52.75"/>
    <n v="53"/>
    <n v="53"/>
    <n v="53"/>
    <m/>
    <m/>
    <s v=""/>
    <x v="0"/>
  </r>
  <r>
    <n v="720"/>
    <x v="0"/>
    <s v="NHTD"/>
    <s v="LHCSA"/>
    <s v="Medicaid"/>
    <s v="PRN (NB)"/>
    <m/>
    <x v="4"/>
    <x v="0"/>
    <s v="Other"/>
    <m/>
    <n v="6"/>
    <n v="6"/>
    <n v="4.75"/>
    <n v="6"/>
    <n v="6"/>
    <n v="6"/>
    <m/>
    <m/>
    <s v=""/>
    <x v="0"/>
  </r>
  <r>
    <n v="721"/>
    <x v="0"/>
    <s v="NHTD"/>
    <s v="LHCSA"/>
    <s v="Medicaid"/>
    <s v="RN Initial (NB)"/>
    <m/>
    <x v="4"/>
    <x v="0"/>
    <s v="Other"/>
    <m/>
    <n v="5"/>
    <n v="5"/>
    <n v="5"/>
    <n v="5"/>
    <n v="5"/>
    <n v="5"/>
    <m/>
    <m/>
    <s v=""/>
    <x v="0"/>
  </r>
  <r>
    <n v="722"/>
    <x v="0"/>
    <s v="NHTD"/>
    <s v="LHCSA"/>
    <s v="Medicaid"/>
    <s v="RN Reassessment (NB)"/>
    <m/>
    <x v="4"/>
    <x v="0"/>
    <s v="Other"/>
    <m/>
    <n v="1"/>
    <n v="1"/>
    <n v="1"/>
    <n v="1"/>
    <n v="1"/>
    <n v="1"/>
    <m/>
    <m/>
    <s v=""/>
    <x v="0"/>
  </r>
  <r>
    <n v="723"/>
    <x v="0"/>
    <s v="NHTD"/>
    <s v="LHCSA"/>
    <s v="Medicaid"/>
    <s v="RN Visit 9799 (Hourly)"/>
    <s v="9799"/>
    <x v="4"/>
    <x v="0"/>
    <s v="Other"/>
    <m/>
    <n v="74"/>
    <n v="114"/>
    <n v="108.75"/>
    <n v="74"/>
    <n v="114"/>
    <n v="114"/>
    <m/>
    <m/>
    <s v=""/>
    <x v="0"/>
  </r>
  <r>
    <n v="724"/>
    <x v="0"/>
    <s v="Non Billable"/>
    <s v="Other"/>
    <s v="Insurance"/>
    <s v="PCA Hourly"/>
    <m/>
    <x v="5"/>
    <x v="0"/>
    <s v="Private Pay"/>
    <m/>
    <n v="5"/>
    <n v="5"/>
    <n v="14"/>
    <n v="5"/>
    <n v="5"/>
    <n v="14"/>
    <s v=""/>
    <m/>
    <s v=""/>
    <x v="0"/>
  </r>
  <r>
    <n v="725"/>
    <x v="0"/>
    <s v="Private Pay"/>
    <s v="Other"/>
    <s v="Private"/>
    <s v="PCA Hourly"/>
    <m/>
    <x v="5"/>
    <x v="0"/>
    <s v="Private Pay"/>
    <m/>
    <n v="6"/>
    <n v="84"/>
    <n v="221.75"/>
    <n v="6"/>
    <n v="84"/>
    <n v="221.75"/>
    <s v=""/>
    <m/>
    <s v=""/>
    <x v="0"/>
  </r>
  <r>
    <n v="726"/>
    <x v="0"/>
    <s v="Private Pay - Select"/>
    <s v="Other"/>
    <s v="Private"/>
    <s v="HHA Hourly"/>
    <m/>
    <x v="5"/>
    <x v="0"/>
    <s v="Private Pay"/>
    <m/>
    <n v="1"/>
    <n v="366"/>
    <n v="366"/>
    <n v="1"/>
    <n v="366"/>
    <n v="366"/>
    <s v=""/>
    <m/>
    <s v=""/>
    <x v="0"/>
  </r>
  <r>
    <n v="727"/>
    <x v="0"/>
    <s v="Private Pay - Select"/>
    <s v="Other"/>
    <s v="Private"/>
    <s v="PCA Hourly"/>
    <m/>
    <x v="5"/>
    <x v="0"/>
    <s v="Private Pay"/>
    <m/>
    <n v="8"/>
    <n v="926"/>
    <n v="6193.25"/>
    <n v="7"/>
    <n v="910"/>
    <n v="6086.25"/>
    <s v=""/>
    <m/>
    <s v=""/>
    <x v="0"/>
  </r>
  <r>
    <n v="728"/>
    <x v="0"/>
    <s v="Private Pay - Select"/>
    <s v="Other"/>
    <s v="Private"/>
    <s v="PCA Live-in"/>
    <m/>
    <x v="5"/>
    <x v="0"/>
    <s v="Private Pay"/>
    <m/>
    <n v="1"/>
    <n v="373"/>
    <n v="8767.75"/>
    <n v="1"/>
    <n v="373"/>
    <n v="4849"/>
    <s v=""/>
    <m/>
    <n v="13"/>
    <x v="0"/>
  </r>
  <r>
    <n v="729"/>
    <x v="0"/>
    <s v="Private Pay - Select"/>
    <s v="Other"/>
    <s v="Private"/>
    <s v="RN Initial (NB)"/>
    <m/>
    <x v="5"/>
    <x v="0"/>
    <s v="Private Pay"/>
    <m/>
    <n v="4"/>
    <n v="4"/>
    <n v="2.5"/>
    <n v="3"/>
    <n v="3"/>
    <n v="3"/>
    <s v=""/>
    <m/>
    <s v=""/>
    <x v="0"/>
  </r>
  <r>
    <n v="730"/>
    <x v="0"/>
    <s v="Private Pay - Select"/>
    <s v="Other"/>
    <s v="Private"/>
    <s v="RN Reassessment (NB)"/>
    <m/>
    <x v="5"/>
    <x v="0"/>
    <s v="Private Pay"/>
    <m/>
    <n v="4"/>
    <n v="8"/>
    <n v="5.5"/>
    <n v="4"/>
    <n v="8"/>
    <n v="8"/>
    <s v=""/>
    <m/>
    <s v=""/>
    <x v="0"/>
  </r>
  <r>
    <n v="731"/>
    <x v="0"/>
    <s v="Revival Home Health Care"/>
    <s v="CHHA"/>
    <s v="CHHA"/>
    <s v="Rate1"/>
    <s v="S9122"/>
    <x v="0"/>
    <x v="0"/>
    <s v="Other"/>
    <s v="CHHA"/>
    <n v="6"/>
    <n v="22"/>
    <n v="85"/>
    <n v="6"/>
    <n v="22"/>
    <n v="85"/>
    <s v=""/>
    <m/>
    <s v=""/>
    <x v="0"/>
  </r>
  <r>
    <n v="732"/>
    <x v="0"/>
    <s v="Royal Care Certified"/>
    <s v="Other"/>
    <s v="CHHA"/>
    <s v="Rate1"/>
    <m/>
    <x v="0"/>
    <x v="0"/>
    <s v="Other"/>
    <s v="CHHA"/>
    <n v="39"/>
    <n v="575"/>
    <n v="2228.75"/>
    <n v="35"/>
    <n v="561"/>
    <n v="2182"/>
    <s v=""/>
    <m/>
    <s v=""/>
    <x v="0"/>
  </r>
  <r>
    <n v="733"/>
    <x v="0"/>
    <s v="Royal Care Certified"/>
    <s v="Other"/>
    <s v="CHHA"/>
    <s v="Rate2"/>
    <m/>
    <x v="0"/>
    <x v="0"/>
    <s v="Other"/>
    <s v="CHHA"/>
    <n v="15"/>
    <n v="1403"/>
    <n v="7718.75"/>
    <n v="14"/>
    <n v="1376"/>
    <n v="7610.75"/>
    <s v=""/>
    <m/>
    <s v=""/>
    <x v="0"/>
  </r>
  <r>
    <n v="734"/>
    <x v="0"/>
    <s v="Senior Whole Health PCA (Non Live)"/>
    <s v="Other"/>
    <s v="MLTC"/>
    <s v="RN Initial (NB)"/>
    <m/>
    <x v="3"/>
    <x v="0"/>
    <s v="MC Medicaid HHA"/>
    <m/>
    <n v="1"/>
    <n v="1"/>
    <n v="1"/>
    <n v="1"/>
    <n v="1"/>
    <n v="1"/>
    <s v="Nursing override"/>
    <m/>
    <s v=""/>
    <x v="1"/>
  </r>
  <r>
    <n v="735"/>
    <x v="0"/>
    <s v="SWHNY-MLTC (ANT)"/>
    <s v="Other"/>
    <s v="MLTC"/>
    <s v="RN Initial (NB)"/>
    <m/>
    <x v="3"/>
    <x v="0"/>
    <s v="MC Medicaid HHA"/>
    <m/>
    <n v="2"/>
    <n v="2"/>
    <n v="2"/>
    <n v="2"/>
    <n v="2"/>
    <n v="2"/>
    <s v="Nursing override"/>
    <m/>
    <s v=""/>
    <x v="1"/>
  </r>
  <r>
    <n v="736"/>
    <x v="0"/>
    <s v="SWHNY-MLTC (ANT)"/>
    <s v="Other"/>
    <s v="MLTC"/>
    <s v="RN Reassessment (NB)"/>
    <m/>
    <x v="3"/>
    <x v="0"/>
    <s v="MC Medicaid HHA"/>
    <m/>
    <n v="2"/>
    <n v="2"/>
    <n v="2"/>
    <n v="2"/>
    <n v="2"/>
    <n v="2"/>
    <s v="Nursing override"/>
    <m/>
    <s v=""/>
    <x v="1"/>
  </r>
  <r>
    <n v="737"/>
    <x v="0"/>
    <s v="SWHNY-MLTC (ANT)"/>
    <s v="Other"/>
    <s v="MLTC"/>
    <s v="T1019:U1"/>
    <s v="T1019:U1"/>
    <x v="2"/>
    <x v="0"/>
    <s v="MC Medicaid HHA"/>
    <m/>
    <n v="3"/>
    <n v="380"/>
    <n v="2587.25"/>
    <n v="3"/>
    <n v="380"/>
    <n v="2587.25"/>
    <s v=""/>
    <m/>
    <s v=""/>
    <x v="1"/>
  </r>
  <r>
    <n v="740"/>
    <x v="0"/>
    <s v="SWHNY-MLTC (CDP)"/>
    <s v="Other"/>
    <s v="CDPAP"/>
    <s v="T1019:U6"/>
    <s v="T1019:U6"/>
    <x v="1"/>
    <x v="1"/>
    <s v="MC Medicaid CDPAP"/>
    <m/>
    <n v="9"/>
    <n v="1084"/>
    <n v="6233"/>
    <n v="8"/>
    <n v="1070"/>
    <n v="6177"/>
    <s v=""/>
    <m/>
    <s v=""/>
    <x v="1"/>
  </r>
  <r>
    <n v="741"/>
    <x v="0"/>
    <s v="SWHNY-MLTC (CDP)"/>
    <s v="Other"/>
    <s v="CDPAP"/>
    <s v="T1019:U7"/>
    <s v="T1019:U7"/>
    <x v="10"/>
    <x v="1"/>
    <s v="MC Medicaid CDPAP"/>
    <m/>
    <n v="2"/>
    <n v="58"/>
    <n v="227.25"/>
    <n v="2"/>
    <n v="58"/>
    <n v="227.25"/>
    <s v=""/>
    <m/>
    <s v=""/>
    <x v="1"/>
  </r>
  <r>
    <n v="743"/>
    <x v="0"/>
    <s v="VillageCare CDPAP"/>
    <s v="MCO"/>
    <s v="CDPAP"/>
    <s v="PA Hourly"/>
    <s v="T1019:U6"/>
    <x v="1"/>
    <x v="1"/>
    <s v="MC Medicaid CDPAP"/>
    <m/>
    <n v="1"/>
    <n v="366"/>
    <n v="1360"/>
    <n v="1"/>
    <n v="366"/>
    <n v="1360"/>
    <s v=""/>
    <m/>
    <s v=""/>
    <x v="1"/>
  </r>
  <r>
    <n v="744"/>
    <x v="0"/>
    <s v="VillageCare PCA"/>
    <s v="MLTC"/>
    <s v="MLTC"/>
    <s v="PCA Hourly"/>
    <s v="T1019:U1"/>
    <x v="2"/>
    <x v="0"/>
    <s v="MC Medicaid HHA"/>
    <m/>
    <n v="1"/>
    <n v="9"/>
    <n v="32.75"/>
    <n v="1"/>
    <n v="9"/>
    <n v="32.75"/>
    <s v=""/>
    <m/>
    <s v=""/>
    <x v="1"/>
  </r>
  <r>
    <n v="746"/>
    <x v="0"/>
    <s v="VNS Health Health Plans (ANT)"/>
    <s v="MLTC"/>
    <s v="MLTC"/>
    <s v="PRN (NB)"/>
    <m/>
    <x v="3"/>
    <x v="0"/>
    <s v="MC Medicaid HHA"/>
    <m/>
    <n v="7"/>
    <n v="7"/>
    <n v="7"/>
    <n v="7"/>
    <n v="7"/>
    <n v="7"/>
    <s v="Nursing override"/>
    <m/>
    <s v=""/>
    <x v="1"/>
  </r>
  <r>
    <n v="747"/>
    <x v="0"/>
    <s v="VNS Health Health Plans (ANT)"/>
    <s v="MLTC"/>
    <s v="MLTC"/>
    <s v="RN - Initial Visit"/>
    <m/>
    <x v="3"/>
    <x v="0"/>
    <s v="MC Medicaid HHA"/>
    <m/>
    <n v="1"/>
    <n v="1"/>
    <n v="1"/>
    <n v="1"/>
    <n v="1"/>
    <n v="1"/>
    <s v="nursing"/>
    <m/>
    <s v=""/>
    <x v="1"/>
  </r>
  <r>
    <n v="748"/>
    <x v="0"/>
    <s v="VNS Health Health Plans (ANT)"/>
    <s v="MLTC"/>
    <s v="MLTC"/>
    <s v="RN Initial (NB)"/>
    <m/>
    <x v="3"/>
    <x v="0"/>
    <s v="MC Medicaid HHA"/>
    <m/>
    <n v="83"/>
    <n v="83"/>
    <n v="83"/>
    <n v="77"/>
    <n v="77"/>
    <n v="77"/>
    <s v="Nursing override"/>
    <m/>
    <s v=""/>
    <x v="1"/>
  </r>
  <r>
    <n v="749"/>
    <x v="0"/>
    <s v="VNS Health Health Plans (ANT)"/>
    <s v="MLTC"/>
    <s v="MLTC"/>
    <s v="RN Reassessment (NB)"/>
    <m/>
    <x v="3"/>
    <x v="0"/>
    <s v="MC Medicaid HHA"/>
    <m/>
    <n v="56"/>
    <n v="87"/>
    <n v="87"/>
    <n v="55"/>
    <n v="86"/>
    <n v="86"/>
    <s v="Nursing override"/>
    <m/>
    <s v=""/>
    <x v="1"/>
  </r>
  <r>
    <n v="750"/>
    <x v="0"/>
    <s v="VNS Health Health Plans (ANT)"/>
    <s v="MLTC"/>
    <s v="MLTC"/>
    <s v="T1019U1 NAS"/>
    <s v="T1019:U1"/>
    <x v="2"/>
    <x v="0"/>
    <s v="MC Medicaid HHA"/>
    <m/>
    <n v="126"/>
    <n v="14610"/>
    <n v="92550.75"/>
    <n v="116"/>
    <n v="14215"/>
    <n v="89731"/>
    <s v=""/>
    <m/>
    <s v=""/>
    <x v="1"/>
  </r>
  <r>
    <n v="751"/>
    <x v="0"/>
    <s v="VNS Health Health Plans (ANT)"/>
    <s v="MLTC"/>
    <s v="MLTC"/>
    <s v="T1019U1 NAS MAP"/>
    <s v="T1019:U1"/>
    <x v="2"/>
    <x v="0"/>
    <s v="MC Medicaid HHA"/>
    <m/>
    <n v="2"/>
    <n v="128"/>
    <n v="577.5"/>
    <n v="2"/>
    <n v="128"/>
    <n v="577.5"/>
    <s v=""/>
    <m/>
    <s v=""/>
    <x v="1"/>
  </r>
  <r>
    <n v="752"/>
    <x v="0"/>
    <s v="VNS Health Health Plans (ANT)"/>
    <s v="MLTC"/>
    <s v="MLTC"/>
    <s v="T1019U2 NAS"/>
    <s v="T1019:U2"/>
    <x v="11"/>
    <x v="0"/>
    <s v="MC Medicaid HHA"/>
    <m/>
    <n v="6"/>
    <n v="918"/>
    <n v="6944"/>
    <n v="6"/>
    <n v="918"/>
    <n v="6944"/>
    <s v=""/>
    <m/>
    <s v=""/>
    <x v="1"/>
  </r>
  <r>
    <n v="753"/>
    <x v="0"/>
    <s v="VNS Health Health Plans (ANT)"/>
    <s v="MLTC"/>
    <s v="MLTC"/>
    <s v="T1019U6 NAS"/>
    <s v="T1019:U6"/>
    <x v="1"/>
    <x v="1"/>
    <s v="MC Medicaid CDPAP"/>
    <m/>
    <n v="1"/>
    <n v="354"/>
    <n v="1210"/>
    <n v="1"/>
    <n v="354"/>
    <n v="1210"/>
    <s v=""/>
    <m/>
    <s v=""/>
    <x v="1"/>
  </r>
  <r>
    <n v="754"/>
    <x v="0"/>
    <s v="VNS Health Health Plans (ANT)"/>
    <s v="MLTC"/>
    <s v="MLTC"/>
    <s v="T1020 NAS"/>
    <s v="T1020"/>
    <x v="8"/>
    <x v="0"/>
    <s v="MC Medicaid HHA"/>
    <m/>
    <n v="3"/>
    <n v="133"/>
    <n v="1729"/>
    <n v="3"/>
    <n v="133"/>
    <n v="1729"/>
    <s v=""/>
    <m/>
    <n v="13"/>
    <x v="1"/>
  </r>
  <r>
    <n v="760"/>
    <x v="0"/>
    <s v="VNS Health Health Plans (CDP)"/>
    <s v="MLTC"/>
    <s v="CDPAP"/>
    <s v="T1019U6 K"/>
    <s v="T1019:U6"/>
    <x v="1"/>
    <x v="1"/>
    <s v="MC Medicaid CDPAP"/>
    <m/>
    <n v="1"/>
    <n v="99"/>
    <n v="541.75"/>
    <n v="1"/>
    <n v="99"/>
    <n v="541.75"/>
    <s v=""/>
    <m/>
    <s v=""/>
    <x v="1"/>
  </r>
  <r>
    <n v="761"/>
    <x v="0"/>
    <s v="VNS Health Health Plans (CDP)"/>
    <s v="MLTC"/>
    <s v="CDPAP"/>
    <s v="T1019U6 NAS"/>
    <s v="T1019:U6"/>
    <x v="1"/>
    <x v="1"/>
    <s v="MC Medicaid CDPAP"/>
    <m/>
    <n v="54"/>
    <n v="10018"/>
    <n v="54422.75"/>
    <n v="49"/>
    <n v="9587"/>
    <n v="51789.75"/>
    <s v=""/>
    <m/>
    <s v=""/>
    <x v="1"/>
  </r>
  <r>
    <n v="762"/>
    <x v="0"/>
    <s v="VNS Health Health Plans (CDP)"/>
    <s v="MLTC"/>
    <s v="CDPAP"/>
    <s v="T1019U6 NAS MAP"/>
    <s v="T1019:U6"/>
    <x v="1"/>
    <x v="1"/>
    <s v="MC Medicaid CDPAP"/>
    <m/>
    <n v="1"/>
    <n v="345"/>
    <n v="1278.25"/>
    <n v="1"/>
    <n v="345"/>
    <n v="1278.25"/>
    <s v=""/>
    <m/>
    <s v=""/>
    <x v="1"/>
  </r>
  <r>
    <n v="763"/>
    <x v="0"/>
    <s v="VNS Health Health Plans (CDP)"/>
    <s v="MLTC"/>
    <s v="CDPAP"/>
    <s v="T1019U7 NAS"/>
    <s v="T1019:U7"/>
    <x v="10"/>
    <x v="1"/>
    <s v="MC Medicaid CDPAP"/>
    <m/>
    <n v="2"/>
    <n v="53"/>
    <n v="571.25"/>
    <n v="2"/>
    <n v="53"/>
    <n v="571.25"/>
    <s v=""/>
    <m/>
    <s v=""/>
    <x v="1"/>
  </r>
  <r>
    <n v="764"/>
    <x v="0"/>
    <s v="VNS Health Health Plans (CDP)"/>
    <s v="MLTC"/>
    <s v="CDPAP"/>
    <s v="T1020U6 NAS"/>
    <s v="T1020:U6"/>
    <x v="9"/>
    <x v="1"/>
    <s v="MC Medicaid CDPAP"/>
    <m/>
    <n v="1"/>
    <n v="357"/>
    <n v="4641"/>
    <n v="1"/>
    <n v="357"/>
    <n v="4641"/>
    <s v=""/>
    <m/>
    <n v="13"/>
    <x v="1"/>
  </r>
  <r>
    <n v="765"/>
    <x v="0"/>
    <s v="VNSNY CHOICE PCA"/>
    <s v="LHCSA"/>
    <s v="MLTC"/>
    <s v="PCA Hourly"/>
    <s v="T1019:U1"/>
    <x v="2"/>
    <x v="0"/>
    <s v="MC Medicaid HHA"/>
    <m/>
    <n v="2"/>
    <n v="30"/>
    <n v="202.75"/>
    <n v="1"/>
    <n v="29"/>
    <n v="201.75"/>
    <s v=""/>
    <m/>
    <s v=""/>
    <x v="1"/>
  </r>
  <r>
    <n v="766"/>
    <x v="0"/>
    <s v="VNSNY CHOICE PCA"/>
    <s v="LHCSA"/>
    <s v="MLTC"/>
    <s v="RN Reassessment (NB)"/>
    <m/>
    <x v="3"/>
    <x v="0"/>
    <s v="MC Medicaid HHA"/>
    <m/>
    <n v="1"/>
    <n v="2"/>
    <n v="2"/>
    <n v="1"/>
    <n v="2"/>
    <n v="2"/>
    <s v="Nursing override"/>
    <m/>
    <s v=""/>
    <x v="1"/>
  </r>
  <r>
    <n v="767"/>
    <x v="32"/>
    <s v="Americare"/>
    <s v="CHHA"/>
    <s v="CHHA"/>
    <s v="HHA1"/>
    <s v="S9122"/>
    <x v="0"/>
    <x v="0"/>
    <s v="Other"/>
    <s v="CHHA"/>
    <n v="8"/>
    <n v="149"/>
    <n v="578.25"/>
    <n v="5"/>
    <n v="84"/>
    <n v="328"/>
    <s v=""/>
    <m/>
    <s v=""/>
    <x v="0"/>
  </r>
  <r>
    <n v="768"/>
    <x v="32"/>
    <s v="Americare"/>
    <s v="CHHA"/>
    <s v="CHHA"/>
    <s v="HHAPEDSV"/>
    <s v="S9122"/>
    <x v="0"/>
    <x v="0"/>
    <s v="Other"/>
    <s v="CHHA"/>
    <n v="100"/>
    <n v="12556"/>
    <n v="86039.25"/>
    <n v="90"/>
    <n v="12355"/>
    <n v="84591.5"/>
    <s v=""/>
    <m/>
    <s v=""/>
    <x v="0"/>
  </r>
  <r>
    <n v="770"/>
    <x v="32"/>
    <s v="Amerigroup (Empire) CDPAP"/>
    <s v="MLTC"/>
    <s v="CDPAP"/>
    <s v="PA HOURLY"/>
    <s v="T1019:U6"/>
    <x v="1"/>
    <x v="1"/>
    <s v="MC Medicaid CDPAP"/>
    <m/>
    <n v="1"/>
    <n v="54"/>
    <n v="279.5"/>
    <n v="1"/>
    <n v="54"/>
    <n v="279.5"/>
    <s v=""/>
    <m/>
    <s v=""/>
    <x v="1"/>
  </r>
  <r>
    <n v="771"/>
    <x v="32"/>
    <s v="Archcare Community Life CDPAP"/>
    <s v="MCO"/>
    <s v="CDPAP"/>
    <s v="PA Hourly"/>
    <s v="T1019:U6"/>
    <x v="1"/>
    <x v="1"/>
    <s v="MC Medicaid CDPAP"/>
    <m/>
    <n v="3"/>
    <n v="285"/>
    <n v="1658.25"/>
    <n v="3"/>
    <n v="285"/>
    <n v="1658.25"/>
    <s v=""/>
    <m/>
    <s v=""/>
    <x v="1"/>
  </r>
  <r>
    <n v="772"/>
    <x v="32"/>
    <s v="Archcare Community Life PCA"/>
    <s v="MCO"/>
    <s v="MLTC"/>
    <s v="PCA Hourly"/>
    <s v="T1019:U1"/>
    <x v="2"/>
    <x v="0"/>
    <s v="MC Medicaid HHA"/>
    <m/>
    <n v="7"/>
    <n v="410"/>
    <n v="2395"/>
    <n v="7"/>
    <n v="410"/>
    <n v="2395"/>
    <s v=""/>
    <m/>
    <s v=""/>
    <x v="1"/>
  </r>
  <r>
    <n v="773"/>
    <x v="32"/>
    <s v="Archcare Community Life PCA"/>
    <s v="MCO"/>
    <s v="MLTC"/>
    <s v="RN Initial (NB)"/>
    <m/>
    <x v="3"/>
    <x v="0"/>
    <s v="MC Medicaid HHA"/>
    <m/>
    <n v="3"/>
    <n v="3"/>
    <n v="3"/>
    <n v="3"/>
    <n v="3"/>
    <n v="3"/>
    <s v="Nursing override"/>
    <m/>
    <s v=""/>
    <x v="1"/>
  </r>
  <r>
    <n v="774"/>
    <x v="32"/>
    <s v="Archcare Community Life PCA"/>
    <s v="MCO"/>
    <s v="MLTC"/>
    <s v="RN Reassessment (NB)"/>
    <m/>
    <x v="3"/>
    <x v="0"/>
    <s v="MC Medicaid HHA"/>
    <m/>
    <n v="3"/>
    <n v="3"/>
    <n v="3"/>
    <n v="3"/>
    <n v="3"/>
    <n v="3"/>
    <s v="Nursing override"/>
    <m/>
    <s v=""/>
    <x v="1"/>
  </r>
  <r>
    <n v="775"/>
    <x v="32"/>
    <s v="CenterLight HealthCare (PACE) (ANT)"/>
    <s v="Other"/>
    <s v="MLTC"/>
    <s v="RN Initial (NB)"/>
    <m/>
    <x v="4"/>
    <x v="0"/>
    <s v="Other"/>
    <m/>
    <n v="1"/>
    <n v="1"/>
    <n v="1"/>
    <n v="1"/>
    <n v="1"/>
    <n v="1"/>
    <s v="Nursing override"/>
    <m/>
    <s v=""/>
    <x v="0"/>
  </r>
  <r>
    <n v="776"/>
    <x v="32"/>
    <s v="CenterLight HealthCare (PACE) (ANT)"/>
    <s v="Other"/>
    <s v="MLTC"/>
    <s v="T1019:U1"/>
    <s v="T1019:U1"/>
    <x v="4"/>
    <x v="0"/>
    <s v="Other"/>
    <m/>
    <n v="1"/>
    <n v="46"/>
    <n v="138"/>
    <n v="1"/>
    <n v="46"/>
    <n v="138"/>
    <s v=""/>
    <m/>
    <s v=""/>
    <x v="0"/>
  </r>
  <r>
    <n v="777"/>
    <x v="32"/>
    <s v="Centers Plan For Health Living PCA"/>
    <s v="MLTC"/>
    <s v="MLTC"/>
    <s v="PCA Hourly"/>
    <s v="T1019:U1"/>
    <x v="2"/>
    <x v="0"/>
    <s v="MC Medicaid HHA"/>
    <m/>
    <n v="32"/>
    <n v="4168"/>
    <n v="22241"/>
    <n v="29"/>
    <n v="4025"/>
    <n v="21471"/>
    <s v=""/>
    <m/>
    <s v=""/>
    <x v="1"/>
  </r>
  <r>
    <n v="778"/>
    <x v="32"/>
    <s v="Centers Plan For Health Living PCA"/>
    <s v="MLTC"/>
    <s v="MLTC"/>
    <s v="PRN (NB)"/>
    <m/>
    <x v="3"/>
    <x v="0"/>
    <s v="MC Medicaid HHA"/>
    <m/>
    <n v="3"/>
    <n v="3"/>
    <n v="3"/>
    <n v="3"/>
    <n v="3"/>
    <n v="3"/>
    <s v="Nursing override"/>
    <m/>
    <s v=""/>
    <x v="1"/>
  </r>
  <r>
    <n v="779"/>
    <x v="32"/>
    <s v="Centers Plan For Health Living PCA"/>
    <s v="MLTC"/>
    <s v="MLTC"/>
    <s v="RN Initial (NB)"/>
    <m/>
    <x v="3"/>
    <x v="0"/>
    <s v="MC Medicaid HHA"/>
    <m/>
    <n v="13"/>
    <n v="13"/>
    <n v="13"/>
    <n v="11"/>
    <n v="11"/>
    <n v="11"/>
    <s v="Nursing override"/>
    <m/>
    <s v=""/>
    <x v="1"/>
  </r>
  <r>
    <n v="780"/>
    <x v="32"/>
    <s v="Centers Plan For Health Living PCA"/>
    <s v="MLTC"/>
    <s v="MLTC"/>
    <s v="RN Reassessment (NB)"/>
    <m/>
    <x v="3"/>
    <x v="0"/>
    <s v="MC Medicaid HHA"/>
    <m/>
    <n v="18"/>
    <n v="30"/>
    <n v="30"/>
    <n v="18"/>
    <n v="30"/>
    <n v="30"/>
    <s v="Nursing override"/>
    <m/>
    <s v=""/>
    <x v="1"/>
  </r>
  <r>
    <n v="784"/>
    <x v="32"/>
    <s v="Centers Plan For Healthy Living CDPAP "/>
    <s v="MLTC"/>
    <s v="CDPAP"/>
    <s v="PA Hourly - 5 Boroughs"/>
    <s v="T1019:U6"/>
    <x v="1"/>
    <x v="1"/>
    <s v="MC Medicaid CDPAP"/>
    <m/>
    <n v="37"/>
    <n v="7308"/>
    <n v="34690.5"/>
    <n v="37"/>
    <n v="7308"/>
    <n v="34690.5"/>
    <s v=""/>
    <m/>
    <s v=""/>
    <x v="1"/>
  </r>
  <r>
    <n v="785"/>
    <x v="32"/>
    <s v="Centers Plan For Healthy Living CDPAP "/>
    <s v="MLTC"/>
    <s v="CDPAP"/>
    <s v="PA Live-In - 5 Boroughs"/>
    <s v="T1020:U6"/>
    <x v="9"/>
    <x v="1"/>
    <s v="MC Medicaid CDPAP"/>
    <m/>
    <n v="1"/>
    <n v="169"/>
    <n v="2197"/>
    <n v="1"/>
    <n v="169"/>
    <n v="2197"/>
    <s v=""/>
    <m/>
    <n v="13"/>
    <x v="1"/>
  </r>
  <r>
    <n v="786"/>
    <x v="32"/>
    <s v="Elderplan MJHS (ANT)"/>
    <s v="MLTC"/>
    <s v="MLTC"/>
    <s v="PRN (NB)"/>
    <m/>
    <x v="3"/>
    <x v="0"/>
    <s v="MC Medicaid HHA"/>
    <m/>
    <n v="2"/>
    <n v="2"/>
    <n v="2"/>
    <n v="1"/>
    <n v="1"/>
    <n v="1"/>
    <s v="Nursing override"/>
    <m/>
    <s v=""/>
    <x v="1"/>
  </r>
  <r>
    <n v="787"/>
    <x v="32"/>
    <s v="Elderplan MJHS (ANT)"/>
    <s v="MLTC"/>
    <s v="MLTC"/>
    <s v="RN Initial (NB)"/>
    <m/>
    <x v="3"/>
    <x v="0"/>
    <s v="MC Medicaid HHA"/>
    <m/>
    <n v="22"/>
    <n v="22"/>
    <n v="22"/>
    <n v="21"/>
    <n v="21"/>
    <n v="21"/>
    <s v="Nursing override"/>
    <m/>
    <s v=""/>
    <x v="1"/>
  </r>
  <r>
    <n v="788"/>
    <x v="32"/>
    <s v="Elderplan MJHS (ANT)"/>
    <s v="MLTC"/>
    <s v="MLTC"/>
    <s v="RN Reassessment (NB)"/>
    <m/>
    <x v="3"/>
    <x v="0"/>
    <s v="MC Medicaid HHA"/>
    <m/>
    <n v="12"/>
    <n v="14"/>
    <n v="14"/>
    <n v="10"/>
    <n v="12"/>
    <n v="12"/>
    <s v="Nursing override"/>
    <m/>
    <s v=""/>
    <x v="1"/>
  </r>
  <r>
    <n v="789"/>
    <x v="32"/>
    <s v="Elderplan MJHS (ANT)"/>
    <s v="MLTC"/>
    <s v="MLTC"/>
    <s v="T1019:U1"/>
    <s v="T1019:U1"/>
    <x v="2"/>
    <x v="0"/>
    <s v="MC Medicaid HHA"/>
    <m/>
    <n v="31"/>
    <n v="2887"/>
    <n v="15511"/>
    <n v="28"/>
    <n v="2583"/>
    <n v="13851.5"/>
    <s v=""/>
    <m/>
    <s v=""/>
    <x v="1"/>
  </r>
  <r>
    <n v="792"/>
    <x v="32"/>
    <s v="Elderplan MJHS (CDP)"/>
    <s v="MLTC"/>
    <s v="CDPAP"/>
    <s v="T1019:U6"/>
    <s v="T1019:U6"/>
    <x v="1"/>
    <x v="1"/>
    <s v="MC Medicaid CDPAP"/>
    <m/>
    <n v="9"/>
    <n v="1307"/>
    <n v="7117.5"/>
    <n v="9"/>
    <n v="1307"/>
    <n v="7117.5"/>
    <s v=""/>
    <m/>
    <s v=""/>
    <x v="1"/>
  </r>
  <r>
    <n v="795"/>
    <x v="32"/>
    <s v="ElderServe/Riverspring (CDPAP)"/>
    <s v="MLTC"/>
    <s v="CDPAP"/>
    <s v="PA Hourly"/>
    <s v="T1019:U6"/>
    <x v="1"/>
    <x v="1"/>
    <s v="MC Medicaid CDPAP"/>
    <m/>
    <n v="6"/>
    <n v="1125"/>
    <n v="6846.25"/>
    <n v="6"/>
    <n v="1125"/>
    <n v="6846.25"/>
    <s v=""/>
    <m/>
    <s v=""/>
    <x v="1"/>
  </r>
  <r>
    <n v="796"/>
    <x v="32"/>
    <s v="ElderServe/Riverspring (PCA)"/>
    <s v="MLTC"/>
    <s v="MLTC"/>
    <s v="PCA Hourly - Mutual NYC"/>
    <s v="T1019:U2"/>
    <x v="11"/>
    <x v="0"/>
    <s v="MC Medicaid HHA"/>
    <m/>
    <n v="2"/>
    <n v="306"/>
    <n v="1223.75"/>
    <n v="2"/>
    <n v="306"/>
    <n v="1223.75"/>
    <s v=""/>
    <m/>
    <s v=""/>
    <x v="1"/>
  </r>
  <r>
    <n v="797"/>
    <x v="32"/>
    <s v="ElderServe/Riverspring (PCA)"/>
    <s v="MLTC"/>
    <s v="MLTC"/>
    <s v="PCA Hourly NYC"/>
    <s v="T1019:U1"/>
    <x v="2"/>
    <x v="0"/>
    <s v="MC Medicaid HHA"/>
    <m/>
    <n v="18"/>
    <n v="2871"/>
    <n v="17080.75"/>
    <n v="17"/>
    <n v="2842"/>
    <n v="16936"/>
    <s v=""/>
    <m/>
    <s v=""/>
    <x v="1"/>
  </r>
  <r>
    <n v="798"/>
    <x v="32"/>
    <s v="ElderServe/Riverspring (PCA)"/>
    <s v="MLTC"/>
    <s v="MLTC"/>
    <s v="RN Initial (NB)"/>
    <m/>
    <x v="3"/>
    <x v="0"/>
    <s v="MC Medicaid HHA"/>
    <m/>
    <n v="18"/>
    <n v="18"/>
    <n v="18"/>
    <n v="18"/>
    <n v="18"/>
    <n v="18"/>
    <s v="Nursing override"/>
    <m/>
    <s v=""/>
    <x v="1"/>
  </r>
  <r>
    <n v="799"/>
    <x v="32"/>
    <s v="ElderServe/Riverspring (PCA)"/>
    <s v="MLTC"/>
    <s v="MLTC"/>
    <s v="RN Reassessment (NB)"/>
    <m/>
    <x v="3"/>
    <x v="0"/>
    <s v="MC Medicaid HHA"/>
    <m/>
    <n v="15"/>
    <n v="15"/>
    <n v="15"/>
    <n v="15"/>
    <n v="15"/>
    <n v="15"/>
    <s v="Nursing override"/>
    <m/>
    <s v=""/>
    <x v="1"/>
  </r>
  <r>
    <n v="802"/>
    <x v="32"/>
    <s v="Empire Blue Cross Blue Shield (CDPAP)"/>
    <s v="Other"/>
    <s v="CDPAP"/>
    <s v="PA Hourly (New)"/>
    <s v="T1019:U6"/>
    <x v="1"/>
    <x v="1"/>
    <s v="MC Medicaid CDPAP"/>
    <m/>
    <n v="20"/>
    <n v="3549"/>
    <n v="22341.75"/>
    <n v="18"/>
    <n v="3386"/>
    <n v="20958"/>
    <s v=""/>
    <m/>
    <s v=""/>
    <x v="1"/>
  </r>
  <r>
    <n v="803"/>
    <x v="32"/>
    <s v="Empire Blue Cross Blue Shield (PCA)"/>
    <s v="Other"/>
    <s v="MLTC"/>
    <s v="PCA Hourly NYC"/>
    <s v="T1019:U1"/>
    <x v="2"/>
    <x v="0"/>
    <s v="MC Medicaid HHA"/>
    <m/>
    <n v="32"/>
    <n v="4854"/>
    <n v="33244.5"/>
    <n v="31"/>
    <n v="4766"/>
    <n v="32552.5"/>
    <s v=""/>
    <m/>
    <s v=""/>
    <x v="1"/>
  </r>
  <r>
    <n v="804"/>
    <x v="32"/>
    <s v="Empire Blue Cross Blue Shield (PCA)"/>
    <s v="Other"/>
    <s v="MLTC"/>
    <s v="PCA Live In"/>
    <s v="T1020"/>
    <x v="8"/>
    <x v="0"/>
    <s v="MC Medicaid HHA"/>
    <m/>
    <n v="1"/>
    <n v="351"/>
    <n v="4563"/>
    <n v="1"/>
    <n v="351"/>
    <n v="4563"/>
    <s v=""/>
    <m/>
    <n v="13"/>
    <x v="1"/>
  </r>
  <r>
    <n v="805"/>
    <x v="32"/>
    <s v="Empire Blue Cross Blue Shield (PCA)"/>
    <s v="Other"/>
    <s v="MLTC"/>
    <s v="PRN (NB)"/>
    <m/>
    <x v="3"/>
    <x v="0"/>
    <s v="MC Medicaid HHA"/>
    <m/>
    <n v="8"/>
    <n v="8"/>
    <n v="8"/>
    <n v="8"/>
    <n v="8"/>
    <n v="8"/>
    <s v="Nursing override"/>
    <m/>
    <s v=""/>
    <x v="1"/>
  </r>
  <r>
    <n v="806"/>
    <x v="32"/>
    <s v="Empire Blue Cross Blue Shield (PCA)"/>
    <s v="Other"/>
    <s v="MLTC"/>
    <s v="RN Initial (NB)"/>
    <m/>
    <x v="3"/>
    <x v="0"/>
    <s v="MC Medicaid HHA"/>
    <m/>
    <n v="10"/>
    <n v="10"/>
    <n v="10"/>
    <n v="10"/>
    <n v="10"/>
    <n v="10"/>
    <s v="Nursing override"/>
    <m/>
    <s v=""/>
    <x v="1"/>
  </r>
  <r>
    <n v="807"/>
    <x v="32"/>
    <s v="Empire Blue Cross Blue Shield (PCA)"/>
    <s v="Other"/>
    <s v="MLTC"/>
    <s v="RN Reassessment (NB)"/>
    <m/>
    <x v="3"/>
    <x v="0"/>
    <s v="MC Medicaid HHA"/>
    <m/>
    <n v="23"/>
    <n v="38"/>
    <n v="38"/>
    <n v="22"/>
    <n v="37"/>
    <n v="37"/>
    <s v="Nursing override"/>
    <m/>
    <s v=""/>
    <x v="1"/>
  </r>
  <r>
    <n v="808"/>
    <x v="32"/>
    <s v="Excellent Home Care Services"/>
    <s v="CHHA"/>
    <s v="CHHA"/>
    <s v="Rate3"/>
    <m/>
    <x v="0"/>
    <x v="0"/>
    <s v="Other"/>
    <s v="CHHA"/>
    <n v="22"/>
    <n v="4187"/>
    <n v="19684.75"/>
    <n v="22"/>
    <n v="4187"/>
    <n v="19684.75"/>
    <s v=""/>
    <m/>
    <s v=""/>
    <x v="0"/>
  </r>
  <r>
    <n v="809"/>
    <x v="32"/>
    <s v="Extended Home Care"/>
    <s v="CHHA"/>
    <s v="CHHA"/>
    <s v="PedCode95"/>
    <s v="-"/>
    <x v="0"/>
    <x v="0"/>
    <s v="Other"/>
    <s v="CHHA"/>
    <n v="18"/>
    <n v="1644"/>
    <n v="9439"/>
    <n v="18"/>
    <n v="1644"/>
    <n v="9439"/>
    <s v=""/>
    <m/>
    <s v=""/>
    <x v="0"/>
  </r>
  <r>
    <n v="810"/>
    <x v="32"/>
    <s v="Extended Home Care"/>
    <s v="CHHA"/>
    <s v="CHHA"/>
    <s v="Rate1"/>
    <m/>
    <x v="0"/>
    <x v="0"/>
    <s v="Other"/>
    <s v="CHHA"/>
    <n v="36"/>
    <n v="2908"/>
    <n v="12447.25"/>
    <n v="34"/>
    <n v="2892"/>
    <n v="12353.5"/>
    <s v=""/>
    <m/>
    <s v=""/>
    <x v="0"/>
  </r>
  <r>
    <n v="811"/>
    <x v="32"/>
    <s v="Extended Home Care"/>
    <s v="CHHA"/>
    <s v="CHHA"/>
    <s v="Rate4HMO"/>
    <s v="0"/>
    <x v="0"/>
    <x v="0"/>
    <s v="Other"/>
    <s v="CHHA"/>
    <n v="2"/>
    <n v="46"/>
    <n v="215.5"/>
    <n v="2"/>
    <n v="46"/>
    <n v="215.5"/>
    <s v=""/>
    <m/>
    <s v=""/>
    <x v="0"/>
  </r>
  <r>
    <n v="812"/>
    <x v="32"/>
    <s v="Fidelis Care (ANT)"/>
    <s v="LHCSA"/>
    <s v="MLTC"/>
    <s v="PRN (NB)"/>
    <m/>
    <x v="3"/>
    <x v="0"/>
    <s v="MC Medicaid HHA"/>
    <m/>
    <n v="5"/>
    <n v="5"/>
    <n v="5"/>
    <n v="5"/>
    <n v="5"/>
    <n v="5"/>
    <s v="Nursing override"/>
    <m/>
    <s v=""/>
    <x v="1"/>
  </r>
  <r>
    <n v="813"/>
    <x v="32"/>
    <s v="Fidelis Care (ANT)"/>
    <s v="LHCSA"/>
    <s v="MLTC"/>
    <s v="RN Initial (NB)"/>
    <m/>
    <x v="3"/>
    <x v="0"/>
    <s v="MC Medicaid HHA"/>
    <m/>
    <n v="27"/>
    <n v="27"/>
    <n v="27"/>
    <n v="26"/>
    <n v="26"/>
    <n v="26"/>
    <s v="Nursing override"/>
    <m/>
    <s v=""/>
    <x v="1"/>
  </r>
  <r>
    <n v="814"/>
    <x v="32"/>
    <s v="Fidelis Care (ANT)"/>
    <s v="LHCSA"/>
    <s v="MLTC"/>
    <s v="RN Initial Assement"/>
    <s v="T2024"/>
    <x v="3"/>
    <x v="0"/>
    <s v="MC Medicaid HHA"/>
    <m/>
    <n v="13"/>
    <n v="13"/>
    <n v="13"/>
    <n v="13"/>
    <n v="13"/>
    <n v="13"/>
    <s v="nursing"/>
    <m/>
    <s v=""/>
    <x v="1"/>
  </r>
  <r>
    <n v="815"/>
    <x v="32"/>
    <s v="Fidelis Care (ANT)"/>
    <s v="LHCSA"/>
    <s v="MLTC"/>
    <s v="RN Reassessment (NB)"/>
    <m/>
    <x v="3"/>
    <x v="0"/>
    <s v="MC Medicaid HHA"/>
    <m/>
    <n v="31"/>
    <n v="43"/>
    <n v="43"/>
    <n v="31"/>
    <n v="43"/>
    <n v="43"/>
    <s v="Nursing override"/>
    <m/>
    <s v=""/>
    <x v="1"/>
  </r>
  <r>
    <n v="816"/>
    <x v="32"/>
    <s v="Fidelis Care (ANT)"/>
    <s v="LHCSA"/>
    <s v="MLTC"/>
    <s v="S5130:U1"/>
    <s v="S5130:U1::::Homemaker"/>
    <x v="6"/>
    <x v="0"/>
    <s v="MC Medicaid HHA"/>
    <m/>
    <n v="1"/>
    <n v="1"/>
    <n v="1"/>
    <n v="1"/>
    <n v="1"/>
    <n v="1"/>
    <s v=""/>
    <m/>
    <s v=""/>
    <x v="1"/>
  </r>
  <r>
    <n v="817"/>
    <x v="32"/>
    <s v="Fidelis Care (ANT)"/>
    <s v="LHCSA"/>
    <s v="MLTC"/>
    <s v="T1019:U1"/>
    <s v="T1019:U1"/>
    <x v="2"/>
    <x v="0"/>
    <s v="MC Medicaid HHA"/>
    <m/>
    <n v="68"/>
    <n v="7803"/>
    <n v="43597.75"/>
    <n v="66"/>
    <n v="7787"/>
    <n v="43510"/>
    <s v=""/>
    <m/>
    <s v=""/>
    <x v="1"/>
  </r>
  <r>
    <n v="818"/>
    <x v="32"/>
    <s v="Fidelis Care (ANT)"/>
    <s v="LHCSA"/>
    <s v="MLTC"/>
    <s v="T1020"/>
    <s v="T1020"/>
    <x v="8"/>
    <x v="0"/>
    <s v="MC Medicaid HHA"/>
    <m/>
    <n v="3"/>
    <n v="149"/>
    <n v="1937"/>
    <n v="3"/>
    <n v="149"/>
    <n v="1937"/>
    <s v=""/>
    <m/>
    <n v="13"/>
    <x v="1"/>
  </r>
  <r>
    <n v="822"/>
    <x v="32"/>
    <s v="Fidelis Care (CDP)"/>
    <s v="LHCSA"/>
    <s v="CDPAP"/>
    <s v="T1019:U6"/>
    <s v="T1019:U6"/>
    <x v="1"/>
    <x v="1"/>
    <s v="MC Medicaid CDPAP"/>
    <m/>
    <n v="45"/>
    <n v="6593"/>
    <n v="35128.75"/>
    <n v="42"/>
    <n v="6527"/>
    <n v="34629.25"/>
    <s v=""/>
    <m/>
    <s v=""/>
    <x v="1"/>
  </r>
  <r>
    <n v="823"/>
    <x v="32"/>
    <s v="Fidelis Care PCA (Non Live)"/>
    <s v="MLTC"/>
    <s v="MLTC"/>
    <s v="PCA Hourly"/>
    <s v="T1019:U1"/>
    <x v="2"/>
    <x v="0"/>
    <s v="MC Medicaid HHA"/>
    <m/>
    <n v="3"/>
    <n v="8"/>
    <n v="35.75"/>
    <n v="3"/>
    <n v="8"/>
    <n v="35.75"/>
    <s v=""/>
    <m/>
    <s v=""/>
    <x v="1"/>
  </r>
  <r>
    <n v="824"/>
    <x v="32"/>
    <s v="Fidelis Care PCA (Non Live)"/>
    <s v="MLTC"/>
    <s v="MLTC"/>
    <s v="RN Initial (NB)"/>
    <s v="G0162"/>
    <x v="3"/>
    <x v="0"/>
    <s v="MC Medicaid HHA"/>
    <m/>
    <n v="1"/>
    <n v="1"/>
    <n v="1"/>
    <n v="1"/>
    <n v="1"/>
    <n v="1"/>
    <s v="Nursing override"/>
    <m/>
    <s v=""/>
    <x v="1"/>
  </r>
  <r>
    <n v="825"/>
    <x v="32"/>
    <s v="Fidelis Care PCA (Non Live)"/>
    <s v="MLTC"/>
    <s v="MLTC"/>
    <s v="Rn initial assement"/>
    <s v="G0162"/>
    <x v="3"/>
    <x v="0"/>
    <s v="MC Medicaid HHA"/>
    <m/>
    <n v="4"/>
    <n v="4"/>
    <n v="4"/>
    <n v="4"/>
    <n v="4"/>
    <n v="4"/>
    <s v="nursing"/>
    <m/>
    <s v=""/>
    <x v="1"/>
  </r>
  <r>
    <n v="826"/>
    <x v="32"/>
    <s v="Fidelis Care PCA (Non Live)"/>
    <s v="MLTC"/>
    <s v="MLTC"/>
    <s v="RN Reassessment (NB)"/>
    <m/>
    <x v="3"/>
    <x v="0"/>
    <s v="MC Medicaid HHA"/>
    <m/>
    <n v="1"/>
    <n v="1"/>
    <n v="1"/>
    <n v="1"/>
    <n v="1"/>
    <n v="1"/>
    <s v="Nursing override"/>
    <m/>
    <s v=""/>
    <x v="1"/>
  </r>
  <r>
    <n v="827"/>
    <x v="32"/>
    <s v="Girling Health Care Of New York"/>
    <s v="CHHA"/>
    <s v="CHHA"/>
    <s v="Rate1"/>
    <m/>
    <x v="0"/>
    <x v="0"/>
    <s v="Other"/>
    <s v="CHHA"/>
    <n v="6"/>
    <n v="331"/>
    <n v="1452.75"/>
    <n v="5"/>
    <n v="322"/>
    <n v="1434.75"/>
    <s v=""/>
    <m/>
    <s v=""/>
    <x v="0"/>
  </r>
  <r>
    <n v="828"/>
    <x v="32"/>
    <s v="Girling Health Care Of New York"/>
    <s v="CHHA"/>
    <s v="CHHA"/>
    <s v="Rate4"/>
    <m/>
    <x v="0"/>
    <x v="0"/>
    <s v="Other"/>
    <s v="CHHA"/>
    <n v="2"/>
    <n v="20"/>
    <n v="80"/>
    <n v="1"/>
    <n v="10"/>
    <n v="40"/>
    <s v=""/>
    <m/>
    <s v=""/>
    <x v="0"/>
  </r>
  <r>
    <n v="829"/>
    <x v="32"/>
    <s v="Hamaspik Choice (MLTC) CDPAP"/>
    <s v="MCO"/>
    <s v="CDPAP"/>
    <s v="PA Hourly NYC , Nassau, Westchester"/>
    <s v="T1019:U6"/>
    <x v="1"/>
    <x v="1"/>
    <s v="MC Medicaid CDPAP"/>
    <m/>
    <n v="1"/>
    <n v="131"/>
    <n v="524"/>
    <n v="1"/>
    <n v="131"/>
    <n v="524"/>
    <s v=""/>
    <m/>
    <s v=""/>
    <x v="1"/>
  </r>
  <r>
    <n v="831"/>
    <x v="32"/>
    <s v="Hamaspik Choice MLTC (PCA)"/>
    <s v="MLTC"/>
    <s v="MLTC"/>
    <s v="PCA Hourly"/>
    <s v="T1019:U1"/>
    <x v="2"/>
    <x v="0"/>
    <s v="MC Medicaid HHA"/>
    <m/>
    <n v="2"/>
    <n v="393"/>
    <n v="2860.25"/>
    <n v="2"/>
    <n v="393"/>
    <n v="2860.25"/>
    <s v=""/>
    <m/>
    <s v=""/>
    <x v="1"/>
  </r>
  <r>
    <n v="832"/>
    <x v="32"/>
    <s v="Hamaspik Choice MLTC (PCA)"/>
    <s v="MLTC"/>
    <s v="MLTC"/>
    <s v="RN Initial (NB)"/>
    <m/>
    <x v="3"/>
    <x v="0"/>
    <s v="MC Medicaid HHA"/>
    <m/>
    <n v="1"/>
    <n v="2"/>
    <n v="2"/>
    <n v="1"/>
    <n v="2"/>
    <n v="2"/>
    <s v="Nursing override"/>
    <m/>
    <s v=""/>
    <x v="1"/>
  </r>
  <r>
    <n v="833"/>
    <x v="32"/>
    <s v="Hamaspik Choice MLTC (PCA)"/>
    <s v="MLTC"/>
    <s v="MLTC"/>
    <s v="RN Reassessment (NB)"/>
    <m/>
    <x v="3"/>
    <x v="0"/>
    <s v="MC Medicaid HHA"/>
    <m/>
    <n v="1"/>
    <n v="2"/>
    <n v="2"/>
    <n v="1"/>
    <n v="2"/>
    <n v="2"/>
    <s v="Nursing override"/>
    <m/>
    <s v=""/>
    <x v="1"/>
  </r>
  <r>
    <n v="836"/>
    <x v="32"/>
    <s v="Hamaspik MAP CDPAP"/>
    <s v="MCO"/>
    <s v="CDPAP"/>
    <s v="PA Hourly (NYC, LI, &amp; Westchester)"/>
    <s v="T1019:U6"/>
    <x v="1"/>
    <x v="1"/>
    <s v="MC Medicaid CDPAP"/>
    <m/>
    <n v="5"/>
    <n v="996"/>
    <n v="4957.25"/>
    <n v="5"/>
    <n v="996"/>
    <n v="4957.25"/>
    <s v=""/>
    <m/>
    <s v=""/>
    <x v="1"/>
  </r>
  <r>
    <n v="839"/>
    <x v="32"/>
    <s v="Hamaspik MAP PCA"/>
    <s v="MCO"/>
    <s v="MLTC"/>
    <s v="PCA Hourly"/>
    <s v="T1019:U1"/>
    <x v="2"/>
    <x v="0"/>
    <s v="MC Medicaid HHA"/>
    <m/>
    <n v="12"/>
    <n v="942"/>
    <n v="3817.5"/>
    <n v="8"/>
    <n v="817"/>
    <n v="3114.5"/>
    <s v=""/>
    <m/>
    <s v=""/>
    <x v="1"/>
  </r>
  <r>
    <n v="840"/>
    <x v="32"/>
    <s v="Hamaspik MAP PCA"/>
    <s v="MCO"/>
    <s v="MLTC"/>
    <s v="RN Initial (NB)"/>
    <m/>
    <x v="3"/>
    <x v="0"/>
    <s v="MC Medicaid HHA"/>
    <m/>
    <n v="7"/>
    <n v="7"/>
    <n v="7"/>
    <n v="5"/>
    <n v="5"/>
    <n v="5"/>
    <s v="Nursing override"/>
    <m/>
    <s v=""/>
    <x v="1"/>
  </r>
  <r>
    <n v="841"/>
    <x v="32"/>
    <s v="Hamaspik MAP PCA"/>
    <s v="MCO"/>
    <s v="MLTC"/>
    <s v="RN Reassessment (NB)"/>
    <m/>
    <x v="3"/>
    <x v="0"/>
    <s v="MC Medicaid HHA"/>
    <m/>
    <n v="4"/>
    <n v="6"/>
    <n v="6"/>
    <n v="4"/>
    <n v="6"/>
    <n v="6"/>
    <s v="Nursing override"/>
    <m/>
    <s v=""/>
    <x v="1"/>
  </r>
  <r>
    <n v="842"/>
    <x v="32"/>
    <s v="Healthfirst (ANT)"/>
    <s v="CHHA"/>
    <s v="MLTC"/>
    <s v="RN Initial (NB)"/>
    <m/>
    <x v="3"/>
    <x v="0"/>
    <s v="MC Medicaid HHA"/>
    <m/>
    <n v="27"/>
    <n v="27"/>
    <n v="27"/>
    <n v="27"/>
    <n v="27"/>
    <n v="27"/>
    <s v="Nursing override"/>
    <m/>
    <s v=""/>
    <x v="1"/>
  </r>
  <r>
    <n v="843"/>
    <x v="32"/>
    <s v="Healthfirst (ANT)"/>
    <s v="CHHA"/>
    <s v="MLTC"/>
    <s v="RN Reassessment (NB)"/>
    <m/>
    <x v="3"/>
    <x v="0"/>
    <s v="MC Medicaid HHA"/>
    <m/>
    <n v="27"/>
    <n v="40"/>
    <n v="40"/>
    <n v="26"/>
    <n v="39"/>
    <n v="39"/>
    <s v="Nursing override"/>
    <m/>
    <s v=""/>
    <x v="1"/>
  </r>
  <r>
    <n v="844"/>
    <x v="32"/>
    <s v="Healthfirst (ANT)"/>
    <s v="CHHA"/>
    <s v="MLTC"/>
    <s v="S5130:U1"/>
    <s v="S5130:U1"/>
    <x v="6"/>
    <x v="0"/>
    <s v="MC Medicaid HHA"/>
    <m/>
    <n v="1"/>
    <n v="24"/>
    <n v="70"/>
    <n v="1"/>
    <n v="24"/>
    <n v="70"/>
    <s v=""/>
    <m/>
    <s v=""/>
    <x v="1"/>
  </r>
  <r>
    <n v="845"/>
    <x v="32"/>
    <s v="Healthfirst (ANT)"/>
    <s v="CHHA"/>
    <s v="MLTC"/>
    <s v="T1019:U1"/>
    <s v="T1019:U1"/>
    <x v="2"/>
    <x v="0"/>
    <s v="MC Medicaid HHA"/>
    <m/>
    <n v="57"/>
    <n v="5319"/>
    <n v="30935.75"/>
    <n v="54"/>
    <n v="5144"/>
    <n v="30015"/>
    <s v=""/>
    <m/>
    <s v=""/>
    <x v="1"/>
  </r>
  <r>
    <n v="848"/>
    <x v="32"/>
    <s v="Healthfirst (CDP)"/>
    <s v="CHHA"/>
    <s v="CDPAP"/>
    <s v="T1019:U6"/>
    <s v="T1019:U6"/>
    <x v="1"/>
    <x v="1"/>
    <s v="MC Medicaid CDPAP"/>
    <m/>
    <n v="40"/>
    <n v="4058"/>
    <n v="22544.5"/>
    <n v="40"/>
    <n v="4058"/>
    <n v="22544.5"/>
    <s v=""/>
    <m/>
    <s v=""/>
    <x v="1"/>
  </r>
  <r>
    <n v="849"/>
    <x v="32"/>
    <s v="Healthfirst PCA MAP (Complete Care) (Non Live)"/>
    <s v="MCO"/>
    <s v="MLTC"/>
    <s v="RN Initial (NB)"/>
    <m/>
    <x v="3"/>
    <x v="0"/>
    <s v="MC Medicaid HHA"/>
    <m/>
    <n v="1"/>
    <n v="1"/>
    <n v="1"/>
    <n v="0"/>
    <n v="0"/>
    <n v="0"/>
    <s v="Nursing override"/>
    <m/>
    <s v=""/>
    <x v="1"/>
  </r>
  <r>
    <n v="850"/>
    <x v="32"/>
    <s v="NHTD"/>
    <s v="LHCSA"/>
    <s v="Medicaid"/>
    <s v="HCSS 9795 LI Nassau Westchester Suffolk"/>
    <s v="9795"/>
    <x v="4"/>
    <x v="0"/>
    <s v="Other"/>
    <m/>
    <n v="1"/>
    <n v="1"/>
    <n v="0.5"/>
    <n v="1"/>
    <n v="1"/>
    <n v="0.5"/>
    <s v=""/>
    <m/>
    <s v=""/>
    <x v="0"/>
  </r>
  <r>
    <n v="851"/>
    <x v="32"/>
    <s v="NHTD"/>
    <s v="LHCSA"/>
    <s v="Medicaid"/>
    <s v="HCSS 9795 NYC"/>
    <s v="9795"/>
    <x v="4"/>
    <x v="0"/>
    <s v="Other"/>
    <m/>
    <n v="55"/>
    <n v="22079"/>
    <n v="248862.5"/>
    <n v="54"/>
    <n v="22016"/>
    <n v="248122"/>
    <s v=""/>
    <m/>
    <s v=""/>
    <x v="0"/>
  </r>
  <r>
    <n v="852"/>
    <x v="32"/>
    <s v="NHTD"/>
    <s v="LHCSA"/>
    <s v="Medicaid"/>
    <s v="HCSS 9795 Rest of State"/>
    <s v="9795"/>
    <x v="4"/>
    <x v="0"/>
    <s v="Other"/>
    <m/>
    <n v="1"/>
    <n v="107"/>
    <n v="1261.5"/>
    <n v="1"/>
    <n v="107"/>
    <n v="1261.5"/>
    <s v=""/>
    <m/>
    <s v=""/>
    <x v="0"/>
  </r>
  <r>
    <n v="853"/>
    <x v="32"/>
    <s v="NHTD"/>
    <s v="LHCSA"/>
    <s v="Medicaid"/>
    <s v="Initial RN Visit 9799 (Hourly)"/>
    <s v="9799"/>
    <x v="4"/>
    <x v="0"/>
    <s v="Other"/>
    <m/>
    <n v="31"/>
    <n v="31"/>
    <n v="30"/>
    <n v="31"/>
    <n v="31"/>
    <n v="31"/>
    <m/>
    <m/>
    <s v=""/>
    <x v="0"/>
  </r>
  <r>
    <n v="854"/>
    <x v="32"/>
    <s v="NHTD"/>
    <s v="LHCSA"/>
    <s v="Medicaid"/>
    <s v="PRN (NB)"/>
    <m/>
    <x v="4"/>
    <x v="0"/>
    <s v="Other"/>
    <m/>
    <n v="3"/>
    <n v="3"/>
    <n v="3"/>
    <n v="3"/>
    <n v="3"/>
    <n v="3"/>
    <m/>
    <m/>
    <s v=""/>
    <x v="0"/>
  </r>
  <r>
    <n v="855"/>
    <x v="32"/>
    <s v="NHTD"/>
    <s v="LHCSA"/>
    <s v="Medicaid"/>
    <s v="RN Initial (NB)"/>
    <m/>
    <x v="4"/>
    <x v="0"/>
    <s v="Other"/>
    <m/>
    <n v="3"/>
    <n v="3"/>
    <n v="2.5"/>
    <n v="3"/>
    <n v="3"/>
    <n v="3"/>
    <m/>
    <m/>
    <s v=""/>
    <x v="0"/>
  </r>
  <r>
    <n v="856"/>
    <x v="32"/>
    <s v="NHTD"/>
    <s v="LHCSA"/>
    <s v="Medicaid"/>
    <s v="RN Reassessment (NB)"/>
    <m/>
    <x v="4"/>
    <x v="0"/>
    <s v="Other"/>
    <m/>
    <n v="2"/>
    <n v="2"/>
    <n v="2"/>
    <n v="2"/>
    <n v="2"/>
    <n v="2"/>
    <m/>
    <m/>
    <s v=""/>
    <x v="0"/>
  </r>
  <r>
    <n v="857"/>
    <x v="32"/>
    <s v="NHTD"/>
    <s v="LHCSA"/>
    <s v="Medicaid"/>
    <s v="RN Visit 9799 (Hourly)"/>
    <s v="9799"/>
    <x v="4"/>
    <x v="0"/>
    <s v="Other"/>
    <m/>
    <n v="48"/>
    <n v="70"/>
    <n v="68.5"/>
    <n v="47"/>
    <n v="69"/>
    <n v="69"/>
    <m/>
    <m/>
    <s v=""/>
    <x v="0"/>
  </r>
  <r>
    <n v="858"/>
    <x v="32"/>
    <s v="Non Billable"/>
    <s v="Other"/>
    <s v="Insurance"/>
    <s v="PCA Hourly"/>
    <m/>
    <x v="5"/>
    <x v="0"/>
    <s v="Private Pay"/>
    <m/>
    <n v="30"/>
    <n v="60"/>
    <n v="233.5"/>
    <n v="30"/>
    <n v="60"/>
    <n v="233.5"/>
    <s v=""/>
    <m/>
    <s v=""/>
    <x v="0"/>
  </r>
  <r>
    <n v="860"/>
    <x v="32"/>
    <s v="Partners Health Plan CDPAP"/>
    <s v="MLTC"/>
    <s v="CDPAP"/>
    <s v="PA Hourly"/>
    <s v="T1019:U6"/>
    <x v="1"/>
    <x v="1"/>
    <s v="MC Medicaid CDPAP"/>
    <m/>
    <n v="1"/>
    <n v="218"/>
    <n v="646.5"/>
    <n v="1"/>
    <n v="218"/>
    <n v="646.5"/>
    <s v=""/>
    <m/>
    <s v=""/>
    <x v="1"/>
  </r>
  <r>
    <n v="861"/>
    <x v="32"/>
    <s v="Prime Home Health Services"/>
    <s v="CHHA"/>
    <s v="CHHA"/>
    <s v="HHAHRPED"/>
    <s v="99999"/>
    <x v="0"/>
    <x v="0"/>
    <s v="Other"/>
    <s v="CHHA"/>
    <n v="2"/>
    <n v="331"/>
    <n v="2495.25"/>
    <n v="2"/>
    <n v="331"/>
    <n v="2495.25"/>
    <s v=""/>
    <m/>
    <s v=""/>
    <x v="0"/>
  </r>
  <r>
    <n v="862"/>
    <x v="32"/>
    <s v="Private Pay"/>
    <s v="Other"/>
    <s v="Private"/>
    <s v="PCA Hourly"/>
    <m/>
    <x v="5"/>
    <x v="0"/>
    <s v="Private Pay"/>
    <m/>
    <n v="3"/>
    <n v="63"/>
    <n v="571.5"/>
    <n v="2"/>
    <n v="2"/>
    <n v="2.5"/>
    <s v=""/>
    <m/>
    <s v=""/>
    <x v="0"/>
  </r>
  <r>
    <n v="863"/>
    <x v="32"/>
    <s v="Private Pay - Select"/>
    <s v="Other"/>
    <s v="Private"/>
    <s v="HHA Hourly"/>
    <m/>
    <x v="5"/>
    <x v="0"/>
    <s v="Private Pay"/>
    <m/>
    <n v="1"/>
    <n v="362"/>
    <n v="4275.75"/>
    <n v="1"/>
    <n v="362"/>
    <n v="4275.75"/>
    <s v=""/>
    <m/>
    <s v=""/>
    <x v="0"/>
  </r>
  <r>
    <n v="864"/>
    <x v="32"/>
    <s v="Private Pay - Select"/>
    <s v="Other"/>
    <s v="Private"/>
    <s v="PCA Hourly"/>
    <m/>
    <x v="5"/>
    <x v="0"/>
    <s v="Private Pay"/>
    <m/>
    <n v="9"/>
    <n v="794"/>
    <n v="8377.25"/>
    <n v="8"/>
    <n v="792"/>
    <n v="8358.25"/>
    <s v=""/>
    <m/>
    <s v=""/>
    <x v="0"/>
  </r>
  <r>
    <n v="865"/>
    <x v="32"/>
    <s v="Private Pay - Select"/>
    <s v="Other"/>
    <s v="Private"/>
    <s v="PCA Live-in"/>
    <m/>
    <x v="5"/>
    <x v="0"/>
    <s v="Private Pay"/>
    <m/>
    <n v="1"/>
    <n v="106"/>
    <n v="2356.25"/>
    <n v="1"/>
    <n v="106"/>
    <n v="1378"/>
    <s v=""/>
    <m/>
    <n v="13"/>
    <x v="0"/>
  </r>
  <r>
    <n v="866"/>
    <x v="32"/>
    <s v="Private Pay - Select"/>
    <s v="Other"/>
    <s v="Private"/>
    <s v="PRN (NB)"/>
    <m/>
    <x v="5"/>
    <x v="0"/>
    <s v="Private Pay"/>
    <m/>
    <n v="2"/>
    <n v="2"/>
    <n v="1"/>
    <n v="2"/>
    <n v="2"/>
    <n v="2"/>
    <s v=""/>
    <m/>
    <s v=""/>
    <x v="0"/>
  </r>
  <r>
    <n v="867"/>
    <x v="32"/>
    <s v="Private Pay - Select"/>
    <s v="Other"/>
    <s v="Private"/>
    <s v="RN Initial (NB)"/>
    <m/>
    <x v="5"/>
    <x v="0"/>
    <s v="Private Pay"/>
    <m/>
    <n v="3"/>
    <n v="3"/>
    <n v="2.5"/>
    <n v="3"/>
    <n v="3"/>
    <n v="3"/>
    <s v=""/>
    <m/>
    <s v=""/>
    <x v="0"/>
  </r>
  <r>
    <n v="868"/>
    <x v="32"/>
    <s v="Private Pay - Select"/>
    <s v="Other"/>
    <s v="Private"/>
    <s v="RN Reassessment (NB)"/>
    <m/>
    <x v="5"/>
    <x v="0"/>
    <s v="Private Pay"/>
    <m/>
    <n v="2"/>
    <n v="3"/>
    <n v="1.5"/>
    <n v="1"/>
    <n v="2"/>
    <n v="2"/>
    <s v=""/>
    <m/>
    <s v=""/>
    <x v="0"/>
  </r>
  <r>
    <n v="869"/>
    <x v="32"/>
    <s v="Royal Care Certified of NY"/>
    <s v="Other"/>
    <m/>
    <s v="Rate 1"/>
    <s v="na"/>
    <x v="0"/>
    <x v="0"/>
    <s v="Other"/>
    <s v="CHHA"/>
    <n v="1"/>
    <n v="9"/>
    <n v="28.75"/>
    <n v="1"/>
    <n v="9"/>
    <n v="28.75"/>
    <s v=""/>
    <m/>
    <s v=""/>
    <x v="0"/>
  </r>
  <r>
    <n v="870"/>
    <x v="32"/>
    <s v="SWHNY-MLTC (ANT)"/>
    <s v="Other"/>
    <s v="MLTC"/>
    <s v="PRN (NB)"/>
    <m/>
    <x v="3"/>
    <x v="0"/>
    <s v="MC Medicaid HHA"/>
    <m/>
    <n v="1"/>
    <n v="4"/>
    <n v="4"/>
    <n v="1"/>
    <n v="4"/>
    <n v="4"/>
    <s v="Nursing override"/>
    <m/>
    <s v=""/>
    <x v="1"/>
  </r>
  <r>
    <n v="871"/>
    <x v="32"/>
    <s v="SWHNY-MLTC (ANT)"/>
    <s v="Other"/>
    <s v="MLTC"/>
    <s v="RN Initial (NB)"/>
    <m/>
    <x v="3"/>
    <x v="0"/>
    <s v="MC Medicaid HHA"/>
    <m/>
    <n v="3"/>
    <n v="3"/>
    <n v="3"/>
    <n v="3"/>
    <n v="3"/>
    <n v="3"/>
    <s v="Nursing override"/>
    <m/>
    <s v=""/>
    <x v="1"/>
  </r>
  <r>
    <n v="872"/>
    <x v="32"/>
    <s v="SWHNY-MLTC (ANT)"/>
    <s v="Other"/>
    <s v="MLTC"/>
    <s v="RN Reassessment (NB)"/>
    <m/>
    <x v="3"/>
    <x v="0"/>
    <s v="MC Medicaid HHA"/>
    <m/>
    <n v="11"/>
    <n v="20"/>
    <n v="20"/>
    <n v="11"/>
    <n v="20"/>
    <n v="20"/>
    <s v="Nursing override"/>
    <m/>
    <s v=""/>
    <x v="1"/>
  </r>
  <r>
    <n v="873"/>
    <x v="32"/>
    <s v="SWHNY-MLTC (ANT)"/>
    <s v="Other"/>
    <s v="MLTC"/>
    <s v="T1019:U1"/>
    <s v="T1019:U1"/>
    <x v="2"/>
    <x v="0"/>
    <s v="MC Medicaid HHA"/>
    <m/>
    <n v="13"/>
    <n v="2759"/>
    <n v="19922"/>
    <n v="13"/>
    <n v="2759"/>
    <n v="19922"/>
    <s v=""/>
    <m/>
    <s v=""/>
    <x v="1"/>
  </r>
  <r>
    <n v="877"/>
    <x v="32"/>
    <s v="SWHNY-MLTC (CDP)"/>
    <s v="Other"/>
    <s v="CDPAP"/>
    <s v="T1019:U1"/>
    <s v="T1019:U1"/>
    <x v="2"/>
    <x v="0"/>
    <s v="MC Medicaid HHA"/>
    <m/>
    <n v="1"/>
    <n v="20"/>
    <n v="89.75"/>
    <n v="1"/>
    <n v="20"/>
    <n v="89.75"/>
    <s v=""/>
    <m/>
    <s v=""/>
    <x v="1"/>
  </r>
  <r>
    <n v="878"/>
    <x v="32"/>
    <s v="SWHNY-MLTC (CDP)"/>
    <s v="Other"/>
    <s v="CDPAP"/>
    <s v="T1019:U6"/>
    <s v="T1019:U6"/>
    <x v="1"/>
    <x v="1"/>
    <s v="MC Medicaid CDPAP"/>
    <m/>
    <n v="16"/>
    <n v="4447"/>
    <n v="33989"/>
    <n v="15"/>
    <n v="4345"/>
    <n v="33320"/>
    <s v=""/>
    <m/>
    <s v=""/>
    <x v="1"/>
  </r>
  <r>
    <n v="879"/>
    <x v="32"/>
    <s v="TBI"/>
    <s v="LHCSA"/>
    <s v="Medicaid"/>
    <s v="HCSS 9879"/>
    <s v="9879"/>
    <x v="4"/>
    <x v="0"/>
    <s v="Other"/>
    <m/>
    <n v="2"/>
    <n v="415"/>
    <n v="4797.75"/>
    <n v="2"/>
    <n v="415"/>
    <n v="4797.75"/>
    <s v=""/>
    <m/>
    <s v=""/>
    <x v="0"/>
  </r>
  <r>
    <n v="880"/>
    <x v="32"/>
    <s v="TBI"/>
    <s v="LHCSA"/>
    <s v="Medicaid"/>
    <s v="PRN (NB)"/>
    <m/>
    <x v="4"/>
    <x v="0"/>
    <s v="Other"/>
    <m/>
    <n v="1"/>
    <n v="2"/>
    <n v="2"/>
    <n v="1"/>
    <n v="2"/>
    <n v="2"/>
    <m/>
    <m/>
    <s v=""/>
    <x v="0"/>
  </r>
  <r>
    <n v="881"/>
    <x v="32"/>
    <s v="TBI"/>
    <s v="LHCSA"/>
    <s v="Medicaid"/>
    <s v="RN Initial (NB)"/>
    <m/>
    <x v="4"/>
    <x v="0"/>
    <s v="Other"/>
    <m/>
    <n v="1"/>
    <n v="1"/>
    <n v="0.75"/>
    <n v="1"/>
    <n v="1"/>
    <n v="1"/>
    <m/>
    <m/>
    <s v=""/>
    <x v="0"/>
  </r>
  <r>
    <n v="882"/>
    <x v="32"/>
    <s v="TBI"/>
    <s v="LHCSA"/>
    <s v="Medicaid"/>
    <s v="RN Reassessment (NB)"/>
    <m/>
    <x v="4"/>
    <x v="0"/>
    <s v="Other"/>
    <m/>
    <n v="1"/>
    <n v="1"/>
    <n v="1"/>
    <n v="1"/>
    <n v="1"/>
    <n v="1"/>
    <m/>
    <m/>
    <s v=""/>
    <x v="0"/>
  </r>
  <r>
    <n v="883"/>
    <x v="32"/>
    <s v="UAS-VCM"/>
    <s v="Other"/>
    <s v="MLTC"/>
    <s v="UAS Enrollment Assessment"/>
    <m/>
    <x v="3"/>
    <x v="0"/>
    <s v="MC Medicaid HHA"/>
    <m/>
    <n v="1"/>
    <n v="339"/>
    <n v="339"/>
    <n v="1"/>
    <n v="339"/>
    <n v="339"/>
    <s v="nursing"/>
    <m/>
    <s v=""/>
    <x v="1"/>
  </r>
  <r>
    <n v="886"/>
    <x v="32"/>
    <s v="VillageCare CDPAP"/>
    <s v="MCO"/>
    <s v="CDPAP"/>
    <s v="Live In"/>
    <s v="T1020:U6"/>
    <x v="9"/>
    <x v="1"/>
    <s v="MC Medicaid CDPAP"/>
    <m/>
    <n v="1"/>
    <n v="28"/>
    <n v="364"/>
    <n v="1"/>
    <n v="28"/>
    <n v="364"/>
    <s v=""/>
    <m/>
    <n v="13"/>
    <x v="1"/>
  </r>
  <r>
    <n v="887"/>
    <x v="32"/>
    <s v="VillageCare CDPAP"/>
    <s v="MCO"/>
    <s v="CDPAP"/>
    <s v="PA Hourly"/>
    <s v="T1019:U6"/>
    <x v="1"/>
    <x v="1"/>
    <s v="MC Medicaid CDPAP"/>
    <m/>
    <n v="82"/>
    <n v="10482"/>
    <n v="58274.25"/>
    <n v="77"/>
    <n v="10227"/>
    <n v="56842.5"/>
    <s v=""/>
    <m/>
    <s v=""/>
    <x v="1"/>
  </r>
  <r>
    <n v="888"/>
    <x v="32"/>
    <s v="VillageCare CDPAP"/>
    <s v="MCO"/>
    <s v="CDPAP"/>
    <s v="PA Hourly Mutual"/>
    <s v="T1019:U7"/>
    <x v="10"/>
    <x v="1"/>
    <s v="MC Medicaid CDPAP"/>
    <m/>
    <n v="5"/>
    <n v="94"/>
    <n v="711.75"/>
    <n v="5"/>
    <n v="94"/>
    <n v="711.75"/>
    <s v=""/>
    <m/>
    <s v=""/>
    <x v="1"/>
  </r>
  <r>
    <n v="889"/>
    <x v="32"/>
    <s v="VillageCare PCA"/>
    <s v="MLTC"/>
    <s v="MLTC"/>
    <s v="HHA Live In - S5126"/>
    <s v="S5126"/>
    <x v="8"/>
    <x v="0"/>
    <s v="MC Medicaid HHA"/>
    <m/>
    <n v="1"/>
    <n v="98"/>
    <n v="1274"/>
    <n v="1"/>
    <n v="98"/>
    <n v="1274"/>
    <s v=""/>
    <m/>
    <n v="13"/>
    <x v="1"/>
  </r>
  <r>
    <n v="890"/>
    <x v="32"/>
    <s v="VillageCare PCA"/>
    <s v="MLTC"/>
    <s v="MLTC"/>
    <s v="PCA - Live In"/>
    <s v="T1020"/>
    <x v="8"/>
    <x v="0"/>
    <s v="MC Medicaid HHA"/>
    <m/>
    <n v="7"/>
    <n v="782"/>
    <n v="10166"/>
    <n v="7"/>
    <n v="782"/>
    <n v="10166"/>
    <s v=""/>
    <m/>
    <n v="13"/>
    <x v="1"/>
  </r>
  <r>
    <n v="891"/>
    <x v="32"/>
    <s v="VillageCare PCA"/>
    <s v="MLTC"/>
    <s v="MLTC"/>
    <s v="PCA - Live In TV"/>
    <s v="T1020:TV"/>
    <x v="8"/>
    <x v="0"/>
    <s v="MC Medicaid HHA"/>
    <m/>
    <n v="1"/>
    <n v="29"/>
    <n v="377"/>
    <n v="1"/>
    <n v="29"/>
    <n v="377"/>
    <s v=""/>
    <m/>
    <n v="13"/>
    <x v="1"/>
  </r>
  <r>
    <n v="892"/>
    <x v="32"/>
    <s v="VillageCare PCA"/>
    <s v="MLTC"/>
    <s v="MLTC"/>
    <s v="PCA Cluster Care"/>
    <s v="T1019:U3"/>
    <x v="11"/>
    <x v="0"/>
    <s v="MC Medicaid HHA"/>
    <m/>
    <n v="26"/>
    <n v="1366"/>
    <n v="3015.25"/>
    <n v="25"/>
    <n v="1364"/>
    <n v="3013.25"/>
    <s v=""/>
    <m/>
    <s v=""/>
    <x v="1"/>
  </r>
  <r>
    <n v="893"/>
    <x v="32"/>
    <s v="VillageCare PCA"/>
    <s v="MLTC"/>
    <s v="MLTC"/>
    <s v="PCA Hourly"/>
    <s v="T1019:U1"/>
    <x v="2"/>
    <x v="0"/>
    <s v="MC Medicaid HHA"/>
    <m/>
    <n v="175"/>
    <n v="17892"/>
    <n v="102573.75"/>
    <n v="167"/>
    <n v="17616"/>
    <n v="101409.25"/>
    <s v=""/>
    <m/>
    <s v=""/>
    <x v="1"/>
  </r>
  <r>
    <n v="894"/>
    <x v="32"/>
    <s v="VillageCare PCA"/>
    <s v="MLTC"/>
    <s v="MLTC"/>
    <s v="PCA Hourly"/>
    <s v="T1019:U1:TV"/>
    <x v="2"/>
    <x v="0"/>
    <s v="MC Medicaid HHA"/>
    <m/>
    <n v="59"/>
    <n v="2541"/>
    <n v="20202.75"/>
    <n v="57"/>
    <n v="2501"/>
    <n v="20031.75"/>
    <s v=""/>
    <m/>
    <s v=""/>
    <x v="1"/>
  </r>
  <r>
    <n v="895"/>
    <x v="32"/>
    <s v="VillageCare PCA"/>
    <s v="MLTC"/>
    <s v="MLTC"/>
    <s v="PCA Hourly TV"/>
    <s v="T1019:U1:TV"/>
    <x v="2"/>
    <x v="0"/>
    <s v="MC Medicaid HHA"/>
    <m/>
    <n v="25"/>
    <n v="286"/>
    <n v="2015.25"/>
    <n v="23"/>
    <n v="275"/>
    <n v="1954.25"/>
    <s v=""/>
    <m/>
    <s v=""/>
    <x v="1"/>
  </r>
  <r>
    <n v="896"/>
    <x v="32"/>
    <s v="VillageCare PCA"/>
    <s v="MLTC"/>
    <s v="MLTC"/>
    <s v="PRN (NB)"/>
    <m/>
    <x v="3"/>
    <x v="0"/>
    <s v="MC Medicaid HHA"/>
    <m/>
    <n v="8"/>
    <n v="10"/>
    <n v="10"/>
    <n v="8"/>
    <n v="10"/>
    <n v="10"/>
    <s v="Nursing override"/>
    <m/>
    <s v=""/>
    <x v="1"/>
  </r>
  <r>
    <n v="897"/>
    <x v="32"/>
    <s v="VillageCare PCA"/>
    <s v="MLTC"/>
    <s v="MLTC"/>
    <s v="RN Initial (NB)"/>
    <m/>
    <x v="3"/>
    <x v="0"/>
    <s v="MC Medicaid HHA"/>
    <m/>
    <n v="1"/>
    <n v="1"/>
    <n v="1"/>
    <n v="1"/>
    <n v="1"/>
    <n v="1"/>
    <s v="Nursing override"/>
    <m/>
    <s v=""/>
    <x v="1"/>
  </r>
  <r>
    <n v="898"/>
    <x v="32"/>
    <s v="VillageCare PCA"/>
    <s v="MLTC"/>
    <s v="MLTC"/>
    <s v="RN Initial Visit"/>
    <s v="T1030"/>
    <x v="7"/>
    <x v="0"/>
    <s v="MC Medicaid HHA"/>
    <m/>
    <n v="97"/>
    <n v="97"/>
    <n v="97"/>
    <n v="95"/>
    <n v="95"/>
    <n v="95"/>
    <s v="nursing"/>
    <m/>
    <s v=""/>
    <x v="1"/>
  </r>
  <r>
    <n v="899"/>
    <x v="32"/>
    <s v="VillageCare PCA"/>
    <s v="MLTC"/>
    <s v="MLTC"/>
    <s v="RN Reassessment (NB)"/>
    <m/>
    <x v="3"/>
    <x v="0"/>
    <s v="MC Medicaid HHA"/>
    <m/>
    <n v="90"/>
    <n v="141"/>
    <n v="141"/>
    <n v="88"/>
    <n v="139"/>
    <n v="139"/>
    <s v="Nursing override"/>
    <m/>
    <s v=""/>
    <x v="1"/>
  </r>
  <r>
    <n v="900"/>
    <x v="32"/>
    <s v="VNS Health Health Plans (ANT)"/>
    <s v="MLTC"/>
    <s v="MLTC"/>
    <s v="PRN (NB)"/>
    <m/>
    <x v="3"/>
    <x v="0"/>
    <s v="MC Medicaid HHA"/>
    <m/>
    <n v="7"/>
    <n v="8"/>
    <n v="8"/>
    <n v="7"/>
    <n v="8"/>
    <n v="8"/>
    <s v="Nursing override"/>
    <m/>
    <s v=""/>
    <x v="1"/>
  </r>
  <r>
    <n v="901"/>
    <x v="32"/>
    <s v="VNS Health Health Plans (ANT)"/>
    <s v="MLTC"/>
    <s v="MLTC"/>
    <s v="RN - Initial Visit"/>
    <m/>
    <x v="3"/>
    <x v="0"/>
    <s v="MC Medicaid HHA"/>
    <m/>
    <n v="1"/>
    <n v="1"/>
    <n v="1"/>
    <n v="1"/>
    <n v="1"/>
    <n v="1"/>
    <s v="nursing"/>
    <m/>
    <s v=""/>
    <x v="1"/>
  </r>
  <r>
    <n v="902"/>
    <x v="32"/>
    <s v="VNS Health Health Plans (ANT)"/>
    <s v="MLTC"/>
    <s v="MLTC"/>
    <s v="RN Initial (NB)"/>
    <m/>
    <x v="3"/>
    <x v="0"/>
    <s v="MC Medicaid HHA"/>
    <m/>
    <n v="33"/>
    <n v="33"/>
    <n v="33"/>
    <n v="30"/>
    <n v="30"/>
    <n v="30"/>
    <s v="Nursing override"/>
    <m/>
    <s v=""/>
    <x v="1"/>
  </r>
  <r>
    <n v="903"/>
    <x v="32"/>
    <s v="VNS Health Health Plans (ANT)"/>
    <s v="MLTC"/>
    <s v="MLTC"/>
    <s v="RN Reassessment (NB)"/>
    <m/>
    <x v="3"/>
    <x v="0"/>
    <s v="MC Medicaid HHA"/>
    <m/>
    <n v="44"/>
    <n v="76"/>
    <n v="76"/>
    <n v="43"/>
    <n v="74"/>
    <n v="74"/>
    <s v="Nursing override"/>
    <m/>
    <s v=""/>
    <x v="1"/>
  </r>
  <r>
    <n v="904"/>
    <x v="32"/>
    <s v="VNS Health Health Plans (ANT)"/>
    <s v="MLTC"/>
    <s v="MLTC"/>
    <s v="T1019U1 BX"/>
    <s v="T1019:U1"/>
    <x v="2"/>
    <x v="0"/>
    <s v="MC Medicaid HHA"/>
    <m/>
    <n v="2"/>
    <n v="141"/>
    <n v="1221.25"/>
    <n v="2"/>
    <n v="141"/>
    <n v="1221.25"/>
    <s v=""/>
    <m/>
    <s v=""/>
    <x v="1"/>
  </r>
  <r>
    <n v="905"/>
    <x v="32"/>
    <s v="VNS Health Health Plans (ANT)"/>
    <s v="MLTC"/>
    <s v="MLTC"/>
    <s v="T1019U1 NYC"/>
    <s v="T1019:U1"/>
    <x v="2"/>
    <x v="0"/>
    <s v="MC Medicaid HHA"/>
    <m/>
    <n v="76"/>
    <n v="8940"/>
    <n v="53451.25"/>
    <n v="70"/>
    <n v="8528"/>
    <n v="50109.5"/>
    <s v=""/>
    <m/>
    <s v=""/>
    <x v="1"/>
  </r>
  <r>
    <n v="906"/>
    <x v="32"/>
    <s v="VNS Health Health Plans (ANT)"/>
    <s v="MLTC"/>
    <s v="MLTC"/>
    <s v="T1020 NYC"/>
    <s v="T1020"/>
    <x v="8"/>
    <x v="0"/>
    <s v="MC Medicaid HHA"/>
    <m/>
    <n v="6"/>
    <n v="565"/>
    <n v="7345"/>
    <n v="6"/>
    <n v="565"/>
    <n v="7345"/>
    <s v=""/>
    <m/>
    <n v="13"/>
    <x v="1"/>
  </r>
  <r>
    <n v="909"/>
    <x v="32"/>
    <s v="VNS Health Health Plans (CDP)"/>
    <s v="MLTC"/>
    <s v="CDPAP"/>
    <s v="T1019U6 BX"/>
    <s v="T1019:U6"/>
    <x v="1"/>
    <x v="1"/>
    <s v="MC Medicaid CDPAP"/>
    <m/>
    <n v="1"/>
    <n v="26"/>
    <n v="208"/>
    <n v="1"/>
    <n v="26"/>
    <n v="208"/>
    <s v=""/>
    <m/>
    <s v=""/>
    <x v="1"/>
  </r>
  <r>
    <n v="910"/>
    <x v="32"/>
    <s v="VNS Health Health Plans (CDP)"/>
    <s v="MLTC"/>
    <s v="CDPAP"/>
    <s v="T1019U6 EDD"/>
    <s v="T1019:U6"/>
    <x v="1"/>
    <x v="1"/>
    <s v="MC Medicaid CDPAP"/>
    <m/>
    <n v="1"/>
    <n v="366"/>
    <n v="1203.5"/>
    <n v="1"/>
    <n v="366"/>
    <n v="1203.5"/>
    <s v=""/>
    <m/>
    <s v=""/>
    <x v="1"/>
  </r>
  <r>
    <n v="911"/>
    <x v="32"/>
    <s v="VNS Health Health Plans (CDP)"/>
    <s v="MLTC"/>
    <s v="CDPAP"/>
    <s v="T1019U6 NYC"/>
    <s v="T1019:U6"/>
    <x v="1"/>
    <x v="1"/>
    <s v="MC Medicaid CDPAP"/>
    <m/>
    <n v="37"/>
    <n v="6739"/>
    <n v="38329.75"/>
    <n v="31"/>
    <n v="6355"/>
    <n v="35543.75"/>
    <s v=""/>
    <m/>
    <s v=""/>
    <x v="1"/>
  </r>
  <r>
    <n v="912"/>
    <x v="32"/>
    <s v="VNS Health Health Plans (CDP)"/>
    <s v="MLTC"/>
    <s v="CDPAP"/>
    <s v="T1019U7 NYC"/>
    <s v="T1019:U7"/>
    <x v="10"/>
    <x v="1"/>
    <s v="MC Medicaid CDPAP"/>
    <m/>
    <n v="4"/>
    <n v="293"/>
    <n v="2029.75"/>
    <n v="4"/>
    <n v="293"/>
    <n v="2029.75"/>
    <s v=""/>
    <m/>
    <s v=""/>
    <x v="1"/>
  </r>
  <r>
    <n v="913"/>
    <x v="32"/>
    <s v="Your Choice at Home"/>
    <s v="CHHA"/>
    <s v="CHHA"/>
    <s v="2610"/>
    <s v="2610"/>
    <x v="0"/>
    <x v="0"/>
    <s v="Other"/>
    <s v="CHHA"/>
    <n v="3"/>
    <n v="92"/>
    <n v="717"/>
    <n v="3"/>
    <n v="92"/>
    <n v="717"/>
    <s v=""/>
    <m/>
    <s v=""/>
    <x v="0"/>
  </r>
  <r>
    <n v="917"/>
    <x v="33"/>
    <s v="Centers Plan For Healthy Living CDPAP "/>
    <s v="MLTC"/>
    <s v="CDPAP"/>
    <s v="PA Hourly - Erie/Niagara"/>
    <s v="T1019:U6"/>
    <x v="1"/>
    <x v="1"/>
    <s v="MC Medicaid CDPAP"/>
    <m/>
    <n v="6"/>
    <n v="1551"/>
    <n v="5425.25"/>
    <n v="6"/>
    <n v="1551"/>
    <n v="5425.25"/>
    <s v=""/>
    <m/>
    <s v=""/>
    <x v="1"/>
  </r>
  <r>
    <n v="918"/>
    <x v="33"/>
    <s v="Elderwood Health Plan"/>
    <s v="MCO"/>
    <s v="CDPAP"/>
    <s v="PA Hourly"/>
    <s v="T1019:U6"/>
    <x v="1"/>
    <x v="1"/>
    <s v="MC Medicaid CDPAP"/>
    <m/>
    <n v="1"/>
    <n v="36"/>
    <n v="360"/>
    <n v="1"/>
    <n v="36"/>
    <n v="360"/>
    <s v=""/>
    <m/>
    <s v=""/>
    <x v="1"/>
  </r>
  <r>
    <n v="920"/>
    <x v="33"/>
    <s v="Fidelis Care (CDP)"/>
    <s v="LHCSA"/>
    <s v="CDPAP"/>
    <s v="T1019:U6"/>
    <s v="T1019:U6"/>
    <x v="1"/>
    <x v="1"/>
    <s v="MC Medicaid CDPAP"/>
    <m/>
    <n v="18"/>
    <n v="2221"/>
    <n v="9862"/>
    <n v="18"/>
    <n v="2221"/>
    <n v="9862"/>
    <s v=""/>
    <m/>
    <s v=""/>
    <x v="1"/>
  </r>
  <r>
    <n v="923"/>
    <x v="33"/>
    <s v="Nascentia Health Options CDPAP"/>
    <s v="MLTC"/>
    <s v="CDPAP"/>
    <s v="PA Hourly"/>
    <s v="T1019:U6"/>
    <x v="1"/>
    <x v="1"/>
    <s v="MC Medicaid CDPAP"/>
    <m/>
    <n v="7"/>
    <n v="1206"/>
    <n v="6175.5"/>
    <n v="7"/>
    <n v="1206"/>
    <n v="6175.5"/>
    <s v=""/>
    <m/>
    <s v=""/>
    <x v="1"/>
  </r>
  <r>
    <n v="925"/>
    <x v="33"/>
    <s v="VNS Health Health Plans (CDP)"/>
    <s v="MLTC"/>
    <s v="CDPAP"/>
    <s v="T1019U6 NIA"/>
    <s v="T1019:U6"/>
    <x v="1"/>
    <x v="1"/>
    <s v="MC Medicaid CDPAP"/>
    <m/>
    <n v="2"/>
    <n v="78"/>
    <n v="690.75"/>
    <n v="2"/>
    <n v="78"/>
    <n v="690.75"/>
    <s v=""/>
    <m/>
    <s v=""/>
    <x v="1"/>
  </r>
  <r>
    <n v="926"/>
    <x v="33"/>
    <s v="VNSNY CHOICE CDPAP"/>
    <s v="MLTC"/>
    <s v="CDPAP"/>
    <s v="PA Hourly"/>
    <s v="T1019:U6"/>
    <x v="1"/>
    <x v="1"/>
    <s v="MC Medicaid CDPAP"/>
    <m/>
    <n v="1"/>
    <n v="18"/>
    <n v="180"/>
    <n v="1"/>
    <n v="18"/>
    <n v="180"/>
    <s v=""/>
    <m/>
    <s v=""/>
    <x v="1"/>
  </r>
  <r>
    <n v="928"/>
    <x v="34"/>
    <s v="Fidelis Care (CDP)"/>
    <s v="LHCSA"/>
    <s v="CDPAP"/>
    <s v="T1019:U6"/>
    <s v="T1019:U6"/>
    <x v="1"/>
    <x v="1"/>
    <s v="MC Medicaid CDPAP"/>
    <m/>
    <n v="18"/>
    <n v="2974"/>
    <n v="10685.5"/>
    <n v="18"/>
    <n v="2974"/>
    <n v="10685.5"/>
    <s v=""/>
    <m/>
    <s v=""/>
    <x v="1"/>
  </r>
  <r>
    <n v="930"/>
    <x v="34"/>
    <s v="Nascentia Health Options CDPAP"/>
    <s v="MLTC"/>
    <s v="CDPAP"/>
    <s v="PA Hourly"/>
    <s v="T1019:U6"/>
    <x v="1"/>
    <x v="1"/>
    <s v="MC Medicaid CDPAP"/>
    <m/>
    <n v="4"/>
    <n v="489"/>
    <n v="2170.75"/>
    <n v="4"/>
    <n v="489"/>
    <n v="2170.75"/>
    <s v=""/>
    <m/>
    <s v=""/>
    <x v="1"/>
  </r>
  <r>
    <n v="933"/>
    <x v="34"/>
    <s v="VNS Health Health Plans (CDP)"/>
    <s v="MLTC"/>
    <s v="CDPAP"/>
    <s v="T1019U6 ONE"/>
    <s v="T1019:U6"/>
    <x v="1"/>
    <x v="1"/>
    <s v="MC Medicaid CDPAP"/>
    <m/>
    <n v="20"/>
    <n v="3776"/>
    <n v="14770.75"/>
    <n v="20"/>
    <n v="3776"/>
    <n v="14770.75"/>
    <s v=""/>
    <m/>
    <s v=""/>
    <x v="1"/>
  </r>
  <r>
    <n v="937"/>
    <x v="35"/>
    <s v="Fidelis Care (CDP)"/>
    <s v="LHCSA"/>
    <s v="CDPAP"/>
    <s v="T1019:U6"/>
    <s v="T1019:U6"/>
    <x v="1"/>
    <x v="1"/>
    <s v="MC Medicaid CDPAP"/>
    <m/>
    <n v="37"/>
    <n v="5356"/>
    <n v="26517.25"/>
    <n v="36"/>
    <n v="5330"/>
    <n v="26407.25"/>
    <s v=""/>
    <m/>
    <s v=""/>
    <x v="1"/>
  </r>
  <r>
    <n v="938"/>
    <x v="35"/>
    <s v="Fidelis Care (CDP)"/>
    <s v="LHCSA"/>
    <s v="CDPAP"/>
    <s v="T1019:U7"/>
    <s v="T1019:U7"/>
    <x v="10"/>
    <x v="1"/>
    <s v="MC Medicaid CDPAP"/>
    <m/>
    <n v="2"/>
    <n v="76"/>
    <n v="152"/>
    <n v="2"/>
    <n v="76"/>
    <n v="152"/>
    <s v=""/>
    <m/>
    <s v=""/>
    <x v="1"/>
  </r>
  <r>
    <n v="941"/>
    <x v="35"/>
    <s v="Nascentia Health Options CDPAP"/>
    <s v="MLTC"/>
    <s v="CDPAP"/>
    <s v="PA Hourly"/>
    <s v="T1019:U6"/>
    <x v="1"/>
    <x v="1"/>
    <s v="MC Medicaid CDPAP"/>
    <m/>
    <n v="6"/>
    <n v="1295"/>
    <n v="5090"/>
    <n v="6"/>
    <n v="1295"/>
    <n v="5090"/>
    <s v=""/>
    <m/>
    <s v=""/>
    <x v="1"/>
  </r>
  <r>
    <n v="945"/>
    <x v="35"/>
    <s v="VNS Health Health Plans (CDP)"/>
    <s v="MLTC"/>
    <s v="CDPAP"/>
    <s v="T1019U6 ONO"/>
    <s v="T1019:U6"/>
    <x v="1"/>
    <x v="1"/>
    <s v="MC Medicaid CDPAP"/>
    <m/>
    <n v="36"/>
    <n v="8423"/>
    <n v="34658.25"/>
    <n v="36"/>
    <n v="8423"/>
    <n v="34658.25"/>
    <s v=""/>
    <m/>
    <s v=""/>
    <x v="1"/>
  </r>
  <r>
    <n v="946"/>
    <x v="35"/>
    <s v="VNS Health Health Plans (CDP)"/>
    <s v="MLTC"/>
    <s v="CDPAP"/>
    <s v="T1019U7 ONO"/>
    <s v="T1019:U7"/>
    <x v="10"/>
    <x v="1"/>
    <s v="MC Medicaid CDPAP"/>
    <m/>
    <n v="6"/>
    <n v="2178"/>
    <n v="19859"/>
    <n v="6"/>
    <n v="2178"/>
    <n v="19859"/>
    <s v=""/>
    <m/>
    <s v=""/>
    <x v="1"/>
  </r>
  <r>
    <n v="950"/>
    <x v="36"/>
    <s v="Fidelis Care (CDP)"/>
    <s v="LHCSA"/>
    <s v="CDPAP"/>
    <s v="T1019:U6"/>
    <s v="T1019:U6"/>
    <x v="1"/>
    <x v="1"/>
    <s v="MC Medicaid CDPAP"/>
    <m/>
    <n v="7"/>
    <n v="1393"/>
    <n v="6954.5"/>
    <n v="7"/>
    <n v="1393"/>
    <n v="6954.5"/>
    <s v=""/>
    <m/>
    <s v=""/>
    <x v="1"/>
  </r>
  <r>
    <n v="953"/>
    <x v="36"/>
    <s v="Nascentia Health Options CDPAP"/>
    <s v="MLTC"/>
    <s v="CDPAP"/>
    <s v="PA Hourly"/>
    <s v="T1019:U6"/>
    <x v="1"/>
    <x v="1"/>
    <s v="MC Medicaid CDPAP"/>
    <m/>
    <n v="4"/>
    <n v="891"/>
    <n v="4934.75"/>
    <n v="4"/>
    <n v="891"/>
    <n v="4934.75"/>
    <s v=""/>
    <m/>
    <s v=""/>
    <x v="1"/>
  </r>
  <r>
    <n v="955"/>
    <x v="37"/>
    <s v="Amerigroup (Empire) CDPAP"/>
    <s v="MLTC"/>
    <s v="CDPAP"/>
    <s v="PA HOURLY"/>
    <s v="T1019:U6"/>
    <x v="1"/>
    <x v="1"/>
    <s v="MC Medicaid CDPAP"/>
    <m/>
    <n v="1"/>
    <n v="71"/>
    <n v="422.75"/>
    <n v="1"/>
    <n v="71"/>
    <n v="422.75"/>
    <s v=""/>
    <m/>
    <s v=""/>
    <x v="1"/>
  </r>
  <r>
    <n v="958"/>
    <x v="37"/>
    <s v="Elderplan MJHS (CDP)"/>
    <s v="MLTC"/>
    <s v="CDPAP"/>
    <s v="T1019:U6"/>
    <s v="T1019:U6"/>
    <x v="1"/>
    <x v="1"/>
    <s v="MC Medicaid CDPAP"/>
    <m/>
    <n v="8"/>
    <n v="673"/>
    <n v="3447"/>
    <n v="7"/>
    <n v="644"/>
    <n v="3318.75"/>
    <s v=""/>
    <m/>
    <s v=""/>
    <x v="1"/>
  </r>
  <r>
    <n v="959"/>
    <x v="37"/>
    <s v="Fidelis Care (ANT)"/>
    <s v="LHCSA"/>
    <s v="MLTC"/>
    <s v="T1019:U1"/>
    <s v="T1019:U1"/>
    <x v="2"/>
    <x v="0"/>
    <s v="MC Medicaid HHA"/>
    <m/>
    <n v="1"/>
    <n v="3"/>
    <n v="10.5"/>
    <n v="1"/>
    <n v="3"/>
    <n v="10.5"/>
    <s v=""/>
    <m/>
    <s v=""/>
    <x v="1"/>
  </r>
  <r>
    <n v="962"/>
    <x v="37"/>
    <s v="Fidelis Care (CDP)"/>
    <s v="LHCSA"/>
    <s v="CDPAP"/>
    <s v="T1019:U6"/>
    <s v="T1019:U6"/>
    <x v="1"/>
    <x v="1"/>
    <s v="MC Medicaid CDPAP"/>
    <m/>
    <n v="9"/>
    <n v="1162"/>
    <n v="4331.75"/>
    <n v="9"/>
    <n v="1162"/>
    <n v="4331.75"/>
    <s v=""/>
    <m/>
    <s v=""/>
    <x v="1"/>
  </r>
  <r>
    <n v="963"/>
    <x v="37"/>
    <s v="Fidelis Care PCA (Non Live)"/>
    <s v="MLTC"/>
    <s v="MLTC"/>
    <s v="Rn initial assement"/>
    <s v="G0162"/>
    <x v="3"/>
    <x v="0"/>
    <s v="MC Medicaid HHA"/>
    <m/>
    <n v="1"/>
    <n v="1"/>
    <n v="1"/>
    <n v="0"/>
    <n v="0"/>
    <n v="0"/>
    <s v="nursing"/>
    <m/>
    <s v=""/>
    <x v="1"/>
  </r>
  <r>
    <n v="965"/>
    <x v="37"/>
    <s v="Hamaspik Choice (MLTC) CDPAP"/>
    <s v="MCO"/>
    <s v="CDPAP"/>
    <s v="PA Hourly - Mutual Upstate"/>
    <s v="T1019:U7"/>
    <x v="10"/>
    <x v="1"/>
    <s v="MC Medicaid CDPAP"/>
    <m/>
    <n v="2"/>
    <n v="133"/>
    <n v="906.5"/>
    <n v="2"/>
    <n v="133"/>
    <n v="906.5"/>
    <s v=""/>
    <m/>
    <s v=""/>
    <x v="1"/>
  </r>
  <r>
    <n v="966"/>
    <x v="37"/>
    <s v="Hamaspik Choice (MLTC) CDPAP"/>
    <s v="MCO"/>
    <s v="CDPAP"/>
    <s v="PA Hourly Upstate"/>
    <s v="T1019:U6"/>
    <x v="1"/>
    <x v="1"/>
    <s v="MC Medicaid CDPAP"/>
    <m/>
    <n v="5"/>
    <n v="1110"/>
    <n v="4694.75"/>
    <n v="5"/>
    <n v="1110"/>
    <n v="4694.75"/>
    <s v=""/>
    <m/>
    <s v=""/>
    <x v="1"/>
  </r>
  <r>
    <n v="969"/>
    <x v="37"/>
    <s v="Hamaspik MAP CDPAP"/>
    <s v="MCO"/>
    <s v="CDPAP"/>
    <s v="PA Hourly Upstate"/>
    <s v="T1019:U6"/>
    <x v="1"/>
    <x v="1"/>
    <s v="MC Medicaid CDPAP"/>
    <m/>
    <n v="1"/>
    <n v="186"/>
    <n v="557"/>
    <n v="1"/>
    <n v="186"/>
    <n v="557"/>
    <s v=""/>
    <m/>
    <s v=""/>
    <x v="1"/>
  </r>
  <r>
    <n v="972"/>
    <x v="37"/>
    <s v="MVP Health Care CDPAP"/>
    <s v="MLTC"/>
    <s v="CDPAP"/>
    <s v="PA Hourly"/>
    <s v="T1019:U6"/>
    <x v="1"/>
    <x v="1"/>
    <s v="MC Medicaid CDPAP"/>
    <m/>
    <n v="1"/>
    <n v="259"/>
    <n v="985"/>
    <n v="1"/>
    <n v="259"/>
    <n v="985"/>
    <s v=""/>
    <m/>
    <s v=""/>
    <x v="1"/>
  </r>
  <r>
    <n v="975"/>
    <x v="37"/>
    <s v="VNS Health Health Plans (CDP)"/>
    <s v="MLTC"/>
    <s v="CDPAP"/>
    <s v="T1019U6 ORA"/>
    <s v="T1019:U6"/>
    <x v="1"/>
    <x v="1"/>
    <s v="MC Medicaid CDPAP"/>
    <m/>
    <n v="28"/>
    <n v="6842"/>
    <n v="32486"/>
    <n v="27"/>
    <n v="6826"/>
    <n v="32394"/>
    <s v=""/>
    <m/>
    <s v=""/>
    <x v="1"/>
  </r>
  <r>
    <n v="976"/>
    <x v="37"/>
    <s v="VNS Health Health Plans (CDP)"/>
    <s v="MLTC"/>
    <s v="CDPAP"/>
    <s v="T1019U6 ULS"/>
    <s v="T1019:U6"/>
    <x v="1"/>
    <x v="1"/>
    <s v="MC Medicaid CDPAP"/>
    <m/>
    <n v="1"/>
    <n v="87"/>
    <n v="221.25"/>
    <n v="1"/>
    <n v="87"/>
    <n v="221.25"/>
    <s v=""/>
    <m/>
    <s v=""/>
    <x v="1"/>
  </r>
  <r>
    <n v="977"/>
    <x v="38"/>
    <s v="Elderwood Health Plan"/>
    <s v="MCO"/>
    <s v="CDPAP"/>
    <s v="PA Hourly"/>
    <s v="T1019:U6"/>
    <x v="1"/>
    <x v="1"/>
    <s v="MC Medicaid CDPAP"/>
    <m/>
    <n v="2"/>
    <n v="102"/>
    <n v="582.5"/>
    <n v="2"/>
    <n v="102"/>
    <n v="582.5"/>
    <s v=""/>
    <m/>
    <s v=""/>
    <x v="1"/>
  </r>
  <r>
    <n v="979"/>
    <x v="38"/>
    <s v="Fidelis Care (CDP)"/>
    <s v="LHCSA"/>
    <s v="CDPAP"/>
    <s v="T1019:U6"/>
    <s v="T1019:U6"/>
    <x v="1"/>
    <x v="1"/>
    <s v="MC Medicaid CDPAP"/>
    <m/>
    <n v="3"/>
    <n v="613"/>
    <n v="2834"/>
    <n v="3"/>
    <n v="613"/>
    <n v="2834"/>
    <s v=""/>
    <m/>
    <s v=""/>
    <x v="1"/>
  </r>
  <r>
    <n v="981"/>
    <x v="38"/>
    <s v="Nascentia Health Options CDPAP"/>
    <s v="MLTC"/>
    <s v="CDPAP"/>
    <s v="PA Hourly"/>
    <s v="T1019:U6"/>
    <x v="1"/>
    <x v="1"/>
    <s v="MC Medicaid CDPAP"/>
    <m/>
    <n v="1"/>
    <n v="75"/>
    <n v="251.25"/>
    <n v="1"/>
    <n v="75"/>
    <n v="251.25"/>
    <s v=""/>
    <m/>
    <s v=""/>
    <x v="1"/>
  </r>
  <r>
    <n v="983"/>
    <x v="38"/>
    <s v="VNS Health Health Plans (CDP)"/>
    <s v="MLTC"/>
    <s v="CDPAP"/>
    <s v="T1019U6 ORL"/>
    <s v="T1019:U6"/>
    <x v="1"/>
    <x v="1"/>
    <s v="MC Medicaid CDPAP"/>
    <m/>
    <n v="2"/>
    <n v="150"/>
    <n v="938.25"/>
    <n v="1"/>
    <n v="78"/>
    <n v="568.5"/>
    <s v=""/>
    <m/>
    <s v=""/>
    <x v="1"/>
  </r>
  <r>
    <n v="984"/>
    <x v="38"/>
    <s v="VNSNY CHOICE CDPAP"/>
    <s v="MLTC"/>
    <s v="CDPAP"/>
    <s v="PA Hourly"/>
    <s v="T1019:U6"/>
    <x v="1"/>
    <x v="1"/>
    <s v="MC Medicaid CDPAP"/>
    <m/>
    <n v="2"/>
    <n v="58"/>
    <n v="357"/>
    <n v="2"/>
    <n v="58"/>
    <n v="357"/>
    <s v=""/>
    <m/>
    <s v=""/>
    <x v="1"/>
  </r>
  <r>
    <n v="987"/>
    <x v="39"/>
    <s v="Fidelis Care (CDP)"/>
    <s v="LHCSA"/>
    <s v="CDPAP"/>
    <s v="T1019:U6"/>
    <s v="T1019:U6"/>
    <x v="1"/>
    <x v="1"/>
    <s v="MC Medicaid CDPAP"/>
    <m/>
    <n v="12"/>
    <n v="1669"/>
    <n v="8234"/>
    <n v="12"/>
    <n v="1669"/>
    <n v="8234"/>
    <s v=""/>
    <m/>
    <s v=""/>
    <x v="1"/>
  </r>
  <r>
    <n v="990"/>
    <x v="39"/>
    <s v="Nascentia Health Options CDPAP"/>
    <s v="MLTC"/>
    <s v="CDPAP"/>
    <s v="PA Hourly"/>
    <s v="T1019:U6"/>
    <x v="1"/>
    <x v="1"/>
    <s v="MC Medicaid CDPAP"/>
    <m/>
    <n v="7"/>
    <n v="1206"/>
    <n v="6990.5"/>
    <n v="7"/>
    <n v="1206"/>
    <n v="6990.5"/>
    <s v=""/>
    <m/>
    <s v=""/>
    <x v="1"/>
  </r>
  <r>
    <n v="993"/>
    <x v="40"/>
    <s v="Fidelis Care (CDP)"/>
    <s v="LHCSA"/>
    <s v="CDPAP"/>
    <s v="T1019:U6"/>
    <s v="T1019:U6"/>
    <x v="1"/>
    <x v="1"/>
    <s v="MC Medicaid CDPAP"/>
    <m/>
    <n v="5"/>
    <n v="457"/>
    <n v="2912.75"/>
    <n v="5"/>
    <n v="457"/>
    <n v="2912.75"/>
    <s v=""/>
    <m/>
    <s v=""/>
    <x v="1"/>
  </r>
  <r>
    <n v="995"/>
    <x v="40"/>
    <s v="Nascentia Health Options CDPAP"/>
    <s v="MLTC"/>
    <s v="CDPAP"/>
    <s v="PA Hourly"/>
    <s v="T1019:U6"/>
    <x v="1"/>
    <x v="1"/>
    <s v="MC Medicaid CDPAP"/>
    <m/>
    <n v="2"/>
    <n v="387"/>
    <n v="1466.75"/>
    <n v="2"/>
    <n v="387"/>
    <n v="1466.75"/>
    <s v=""/>
    <m/>
    <s v=""/>
    <x v="1"/>
  </r>
  <r>
    <n v="998"/>
    <x v="40"/>
    <s v="VNS Health Health Plans (CDP)"/>
    <s v="MLTC"/>
    <s v="CDPAP"/>
    <s v="T1019U6 OTS"/>
    <s v="T1019:U6"/>
    <x v="1"/>
    <x v="1"/>
    <s v="MC Medicaid CDPAP"/>
    <m/>
    <n v="3"/>
    <n v="548"/>
    <n v="2097.75"/>
    <n v="3"/>
    <n v="548"/>
    <n v="2097.75"/>
    <s v=""/>
    <m/>
    <s v=""/>
    <x v="1"/>
  </r>
  <r>
    <n v="1000"/>
    <x v="41"/>
    <s v="Amerigroup (Empire) CDPAP"/>
    <s v="MLTC"/>
    <s v="CDPAP"/>
    <s v="PA HOURLY"/>
    <s v="T1019:U6"/>
    <x v="1"/>
    <x v="1"/>
    <s v="MC Medicaid CDPAP"/>
    <m/>
    <n v="1"/>
    <n v="6"/>
    <n v="30"/>
    <n v="1"/>
    <n v="6"/>
    <n v="30"/>
    <s v=""/>
    <m/>
    <s v=""/>
    <x v="1"/>
  </r>
  <r>
    <n v="1003"/>
    <x v="41"/>
    <s v="Elderplan MJHS (CDP)"/>
    <s v="MLTC"/>
    <s v="CDPAP"/>
    <s v="T1019:U6"/>
    <s v="T1019:U6"/>
    <x v="1"/>
    <x v="1"/>
    <s v="MC Medicaid CDPAP"/>
    <m/>
    <n v="2"/>
    <n v="282"/>
    <n v="1597.5"/>
    <n v="2"/>
    <n v="282"/>
    <n v="1597.5"/>
    <s v=""/>
    <m/>
    <s v=""/>
    <x v="1"/>
  </r>
  <r>
    <n v="1005"/>
    <x v="41"/>
    <s v="Fidelis Care (CDP)"/>
    <s v="LHCSA"/>
    <s v="CDPAP"/>
    <s v="T1019:U6"/>
    <s v="T1019:U6"/>
    <x v="1"/>
    <x v="1"/>
    <s v="MC Medicaid CDPAP"/>
    <m/>
    <n v="3"/>
    <n v="320"/>
    <n v="1093.75"/>
    <n v="3"/>
    <n v="320"/>
    <n v="1093.75"/>
    <s v=""/>
    <m/>
    <s v=""/>
    <x v="1"/>
  </r>
  <r>
    <n v="1006"/>
    <x v="3"/>
    <s v="Americare"/>
    <s v="CHHA"/>
    <s v="CHHA"/>
    <s v="HHA1"/>
    <s v="S9122"/>
    <x v="0"/>
    <x v="0"/>
    <s v="Other"/>
    <s v="CHHA"/>
    <n v="31"/>
    <n v="748"/>
    <n v="2943.75"/>
    <n v="22"/>
    <n v="568"/>
    <n v="2258.5"/>
    <s v=""/>
    <m/>
    <s v=""/>
    <x v="0"/>
  </r>
  <r>
    <n v="1007"/>
    <x v="3"/>
    <s v="Americare"/>
    <s v="CHHA"/>
    <s v="CHHA"/>
    <s v="HHAPEDSV"/>
    <s v="S9122"/>
    <x v="0"/>
    <x v="0"/>
    <s v="Other"/>
    <s v="CHHA"/>
    <n v="212"/>
    <n v="26991"/>
    <n v="181303"/>
    <n v="181"/>
    <n v="25501"/>
    <n v="171376"/>
    <s v=""/>
    <m/>
    <s v=""/>
    <x v="0"/>
  </r>
  <r>
    <n v="1009"/>
    <x v="3"/>
    <s v="Amerigroup (Empire) CDPAP"/>
    <s v="MLTC"/>
    <s v="CDPAP"/>
    <s v="PA HOURLY"/>
    <s v="T1019:U6"/>
    <x v="1"/>
    <x v="1"/>
    <s v="MC Medicaid CDPAP"/>
    <m/>
    <n v="2"/>
    <n v="30"/>
    <n v="119.75"/>
    <n v="2"/>
    <n v="30"/>
    <n v="119.75"/>
    <s v=""/>
    <m/>
    <s v=""/>
    <x v="1"/>
  </r>
  <r>
    <n v="1010"/>
    <x v="3"/>
    <s v="Archcare Community Life CDPAP"/>
    <s v="MCO"/>
    <s v="CDPAP"/>
    <s v="PA Hourly"/>
    <s v="T1019:U6"/>
    <x v="1"/>
    <x v="1"/>
    <s v="MC Medicaid CDPAP"/>
    <m/>
    <n v="5"/>
    <n v="358"/>
    <n v="1884.25"/>
    <n v="4"/>
    <n v="344"/>
    <n v="1780.25"/>
    <s v=""/>
    <m/>
    <s v=""/>
    <x v="1"/>
  </r>
  <r>
    <n v="1011"/>
    <x v="3"/>
    <s v="Archcare Community Life PCA"/>
    <s v="MCO"/>
    <s v="MLTC"/>
    <s v="PCA Hourly"/>
    <s v="T1019:U1"/>
    <x v="2"/>
    <x v="0"/>
    <s v="MC Medicaid HHA"/>
    <m/>
    <n v="8"/>
    <n v="430"/>
    <n v="2439"/>
    <n v="7"/>
    <n v="387"/>
    <n v="2269.5"/>
    <s v=""/>
    <m/>
    <s v=""/>
    <x v="1"/>
  </r>
  <r>
    <n v="1012"/>
    <x v="3"/>
    <s v="Archcare Community Life PCA"/>
    <s v="MCO"/>
    <s v="MLTC"/>
    <s v="RN Initial (NB)"/>
    <m/>
    <x v="3"/>
    <x v="0"/>
    <s v="MC Medicaid HHA"/>
    <m/>
    <n v="2"/>
    <n v="2"/>
    <n v="2"/>
    <n v="1"/>
    <n v="1"/>
    <n v="1"/>
    <s v="Nursing override"/>
    <m/>
    <s v=""/>
    <x v="1"/>
  </r>
  <r>
    <n v="1013"/>
    <x v="3"/>
    <s v="Archcare Community Life PCA"/>
    <s v="MCO"/>
    <s v="MLTC"/>
    <s v="RN Reassessment (NB)"/>
    <m/>
    <x v="3"/>
    <x v="0"/>
    <s v="MC Medicaid HHA"/>
    <m/>
    <n v="3"/>
    <n v="3"/>
    <n v="3"/>
    <n v="3"/>
    <n v="3"/>
    <n v="3"/>
    <s v="Nursing override"/>
    <m/>
    <s v=""/>
    <x v="1"/>
  </r>
  <r>
    <n v="1014"/>
    <x v="3"/>
    <s v="Centerlight CHHA / Cassena Care At Home"/>
    <s v="CHHA"/>
    <s v="CHHA"/>
    <s v="HHA Hourly"/>
    <s v="HH11"/>
    <x v="0"/>
    <x v="0"/>
    <s v="Other"/>
    <s v="CHHA"/>
    <n v="7"/>
    <n v="44"/>
    <n v="162.5"/>
    <n v="6"/>
    <n v="34"/>
    <n v="128.5"/>
    <s v=""/>
    <m/>
    <s v=""/>
    <x v="0"/>
  </r>
  <r>
    <n v="1015"/>
    <x v="3"/>
    <s v="CenterLight HealthCare (PACE) (ANT)"/>
    <s v="Other"/>
    <s v="MLTC"/>
    <s v="RN Initial (NB)"/>
    <m/>
    <x v="4"/>
    <x v="0"/>
    <s v="Other"/>
    <m/>
    <n v="1"/>
    <n v="1"/>
    <n v="1"/>
    <n v="1"/>
    <n v="1"/>
    <n v="1"/>
    <s v="Nursing override"/>
    <m/>
    <s v=""/>
    <x v="0"/>
  </r>
  <r>
    <n v="1016"/>
    <x v="3"/>
    <s v="CenterLight HealthCare (PACE) (ANT)"/>
    <s v="Other"/>
    <s v="MLTC"/>
    <s v="T1019:U1"/>
    <s v="T1019:U1"/>
    <x v="4"/>
    <x v="0"/>
    <s v="Other"/>
    <m/>
    <n v="1"/>
    <n v="8"/>
    <n v="36.25"/>
    <n v="1"/>
    <n v="8"/>
    <n v="36.25"/>
    <s v=""/>
    <m/>
    <s v=""/>
    <x v="0"/>
  </r>
  <r>
    <n v="1017"/>
    <x v="3"/>
    <s v="CenterLight HealthCare (PACE) (CDP)"/>
    <s v="Other"/>
    <s v="CDPAP"/>
    <s v="T1019:U6"/>
    <s v="T1019:U6"/>
    <x v="4"/>
    <x v="0"/>
    <s v="Other"/>
    <m/>
    <n v="2"/>
    <n v="253"/>
    <n v="2034.5"/>
    <n v="2"/>
    <n v="253"/>
    <n v="2034.5"/>
    <s v=""/>
    <m/>
    <s v=""/>
    <x v="0"/>
  </r>
  <r>
    <n v="1018"/>
    <x v="3"/>
    <s v="Centers Plan For Health Living PCA"/>
    <s v="MLTC"/>
    <s v="MLTC"/>
    <s v="PCA Hourly"/>
    <s v="T1019:U1"/>
    <x v="2"/>
    <x v="0"/>
    <s v="MC Medicaid HHA"/>
    <m/>
    <n v="90"/>
    <n v="10993"/>
    <n v="52611"/>
    <n v="87"/>
    <n v="10869"/>
    <n v="51726.75"/>
    <s v=""/>
    <m/>
    <s v=""/>
    <x v="1"/>
  </r>
  <r>
    <n v="1019"/>
    <x v="3"/>
    <s v="Centers Plan For Health Living PCA"/>
    <s v="MLTC"/>
    <s v="MLTC"/>
    <s v="PCA Live-In"/>
    <s v="T1020"/>
    <x v="8"/>
    <x v="0"/>
    <s v="MC Medicaid HHA"/>
    <m/>
    <n v="1"/>
    <n v="23"/>
    <n v="299"/>
    <n v="1"/>
    <n v="23"/>
    <n v="299"/>
    <s v=""/>
    <m/>
    <n v="13"/>
    <x v="1"/>
  </r>
  <r>
    <n v="1020"/>
    <x v="3"/>
    <s v="Centers Plan For Health Living PCA"/>
    <s v="MLTC"/>
    <s v="MLTC"/>
    <s v="PRN (NB)"/>
    <m/>
    <x v="3"/>
    <x v="0"/>
    <s v="MC Medicaid HHA"/>
    <m/>
    <n v="2"/>
    <n v="2"/>
    <n v="2"/>
    <n v="2"/>
    <n v="2"/>
    <n v="2"/>
    <s v="Nursing override"/>
    <m/>
    <s v=""/>
    <x v="1"/>
  </r>
  <r>
    <n v="1021"/>
    <x v="3"/>
    <s v="Centers Plan For Health Living PCA"/>
    <s v="MLTC"/>
    <s v="MLTC"/>
    <s v="RN Initial (NB)"/>
    <m/>
    <x v="3"/>
    <x v="0"/>
    <s v="MC Medicaid HHA"/>
    <m/>
    <n v="49"/>
    <n v="49"/>
    <n v="49"/>
    <n v="48"/>
    <n v="48"/>
    <n v="48"/>
    <s v="Nursing override"/>
    <m/>
    <s v=""/>
    <x v="1"/>
  </r>
  <r>
    <n v="1022"/>
    <x v="3"/>
    <s v="Centers Plan For Health Living PCA"/>
    <s v="MLTC"/>
    <s v="MLTC"/>
    <s v="RN Reassessment (NB)"/>
    <m/>
    <x v="3"/>
    <x v="0"/>
    <s v="MC Medicaid HHA"/>
    <m/>
    <n v="41"/>
    <n v="61"/>
    <n v="61"/>
    <n v="41"/>
    <n v="61"/>
    <n v="61"/>
    <s v="Nursing override"/>
    <m/>
    <s v=""/>
    <x v="1"/>
  </r>
  <r>
    <n v="1025"/>
    <x v="3"/>
    <s v="Centers Plan For Healthy Living CDPAP "/>
    <s v="MLTC"/>
    <s v="CDPAP"/>
    <s v="PA Hourly - 5 Boroughs"/>
    <s v="T1019:U6"/>
    <x v="1"/>
    <x v="1"/>
    <s v="MC Medicaid CDPAP"/>
    <m/>
    <n v="85"/>
    <n v="16110"/>
    <n v="66145.5"/>
    <n v="80"/>
    <n v="15847"/>
    <n v="64895"/>
    <s v=""/>
    <m/>
    <s v=""/>
    <x v="1"/>
  </r>
  <r>
    <n v="1026"/>
    <x v="3"/>
    <s v="Centers Plan For Healthy Living CDPAP "/>
    <s v="MLTC"/>
    <s v="CDPAP"/>
    <s v="PA Hourly - Nassau/Suffolk/Westchester:"/>
    <s v="T1019:U6"/>
    <x v="1"/>
    <x v="1"/>
    <s v="MC Medicaid CDPAP"/>
    <m/>
    <n v="2"/>
    <n v="253"/>
    <n v="1462.5"/>
    <n v="2"/>
    <n v="253"/>
    <n v="1462.5"/>
    <s v=""/>
    <m/>
    <s v=""/>
    <x v="1"/>
  </r>
  <r>
    <n v="1027"/>
    <x v="3"/>
    <s v="Elderplan MJHS (ANT)"/>
    <s v="MLTC"/>
    <s v="MLTC"/>
    <s v="PRN (NB)"/>
    <m/>
    <x v="3"/>
    <x v="0"/>
    <s v="MC Medicaid HHA"/>
    <m/>
    <n v="3"/>
    <n v="3"/>
    <n v="3"/>
    <n v="3"/>
    <n v="3"/>
    <n v="3"/>
    <s v="Nursing override"/>
    <m/>
    <s v=""/>
    <x v="1"/>
  </r>
  <r>
    <n v="1028"/>
    <x v="3"/>
    <s v="Elderplan MJHS (ANT)"/>
    <s v="MLTC"/>
    <s v="MLTC"/>
    <s v="RN Initial (NB)"/>
    <m/>
    <x v="3"/>
    <x v="0"/>
    <s v="MC Medicaid HHA"/>
    <m/>
    <n v="16"/>
    <n v="16"/>
    <n v="16"/>
    <n v="14"/>
    <n v="14"/>
    <n v="14"/>
    <s v="Nursing override"/>
    <m/>
    <s v=""/>
    <x v="1"/>
  </r>
  <r>
    <n v="1029"/>
    <x v="3"/>
    <s v="Elderplan MJHS (ANT)"/>
    <s v="MLTC"/>
    <s v="MLTC"/>
    <s v="RN Reassessment (NB)"/>
    <m/>
    <x v="3"/>
    <x v="0"/>
    <s v="MC Medicaid HHA"/>
    <m/>
    <n v="11"/>
    <n v="17"/>
    <n v="17"/>
    <n v="11"/>
    <n v="17"/>
    <n v="17"/>
    <s v="Nursing override"/>
    <m/>
    <s v=""/>
    <x v="1"/>
  </r>
  <r>
    <n v="1030"/>
    <x v="3"/>
    <s v="Elderplan MJHS (ANT)"/>
    <s v="MLTC"/>
    <s v="MLTC"/>
    <s v="T1019:U1"/>
    <s v="T1019:U1"/>
    <x v="2"/>
    <x v="0"/>
    <s v="MC Medicaid HHA"/>
    <m/>
    <n v="30"/>
    <n v="2971"/>
    <n v="13954.25"/>
    <n v="27"/>
    <n v="2808"/>
    <n v="13007"/>
    <s v=""/>
    <m/>
    <s v=""/>
    <x v="1"/>
  </r>
  <r>
    <n v="1031"/>
    <x v="3"/>
    <s v="Elderplan MJHS (ANT)"/>
    <s v="MLTC"/>
    <s v="MLTC"/>
    <s v="T1020"/>
    <s v="T1020"/>
    <x v="8"/>
    <x v="0"/>
    <s v="MC Medicaid HHA"/>
    <m/>
    <n v="1"/>
    <n v="25"/>
    <n v="325"/>
    <n v="1"/>
    <n v="25"/>
    <n v="325"/>
    <s v=""/>
    <m/>
    <n v="13"/>
    <x v="1"/>
  </r>
  <r>
    <n v="1034"/>
    <x v="3"/>
    <s v="Elderplan MJHS (CDP)"/>
    <s v="MLTC"/>
    <s v="CDPAP"/>
    <s v="RN Initial (NB)"/>
    <m/>
    <x v="3"/>
    <x v="0"/>
    <s v="MC Medicaid HHA"/>
    <m/>
    <n v="1"/>
    <n v="1"/>
    <n v="1"/>
    <n v="1"/>
    <n v="1"/>
    <n v="1"/>
    <s v="Nursing override"/>
    <m/>
    <s v=""/>
    <x v="1"/>
  </r>
  <r>
    <n v="1035"/>
    <x v="3"/>
    <s v="Elderplan MJHS (CDP)"/>
    <s v="MLTC"/>
    <s v="CDPAP"/>
    <s v="T1019:U6"/>
    <s v="T1019:U6"/>
    <x v="1"/>
    <x v="1"/>
    <s v="MC Medicaid CDPAP"/>
    <m/>
    <n v="22"/>
    <n v="3135"/>
    <n v="15123.75"/>
    <n v="22"/>
    <n v="3135"/>
    <n v="15123.75"/>
    <s v=""/>
    <m/>
    <s v=""/>
    <x v="1"/>
  </r>
  <r>
    <n v="1038"/>
    <x v="3"/>
    <s v="ElderServe/Riverspring (CDPAP)"/>
    <s v="MLTC"/>
    <s v="CDPAP"/>
    <s v="PA Hourly"/>
    <s v="T1019:U6"/>
    <x v="1"/>
    <x v="1"/>
    <s v="MC Medicaid CDPAP"/>
    <m/>
    <n v="10"/>
    <n v="1798"/>
    <n v="10335.5"/>
    <n v="10"/>
    <n v="1798"/>
    <n v="10335.5"/>
    <s v=""/>
    <m/>
    <s v=""/>
    <x v="1"/>
  </r>
  <r>
    <n v="1039"/>
    <x v="3"/>
    <s v="ElderServe/Riverspring (CDPAP)"/>
    <s v="MLTC"/>
    <s v="CDPAP"/>
    <s v="PA Hourly Mutual"/>
    <s v="T1019:U7"/>
    <x v="10"/>
    <x v="1"/>
    <s v="MC Medicaid CDPAP"/>
    <m/>
    <n v="2"/>
    <n v="476"/>
    <n v="1888.75"/>
    <n v="2"/>
    <n v="476"/>
    <n v="1888.75"/>
    <s v=""/>
    <m/>
    <s v=""/>
    <x v="1"/>
  </r>
  <r>
    <n v="1040"/>
    <x v="3"/>
    <s v="ElderServe/Riverspring (PCA)"/>
    <s v="MLTC"/>
    <s v="MLTC"/>
    <s v="PCA Hourly NYC"/>
    <s v="T1019:U1"/>
    <x v="2"/>
    <x v="0"/>
    <s v="MC Medicaid HHA"/>
    <m/>
    <n v="6"/>
    <n v="323"/>
    <n v="1309.25"/>
    <n v="6"/>
    <n v="323"/>
    <n v="1309.25"/>
    <s v=""/>
    <m/>
    <s v=""/>
    <x v="1"/>
  </r>
  <r>
    <n v="1041"/>
    <x v="3"/>
    <s v="ElderServe/Riverspring (PCA)"/>
    <s v="MLTC"/>
    <s v="MLTC"/>
    <s v="PCA Live-In NYC"/>
    <s v="T1020"/>
    <x v="8"/>
    <x v="0"/>
    <s v="MC Medicaid HHA"/>
    <m/>
    <n v="1"/>
    <n v="4"/>
    <n v="52"/>
    <n v="1"/>
    <n v="4"/>
    <n v="52"/>
    <s v=""/>
    <m/>
    <n v="13"/>
    <x v="1"/>
  </r>
  <r>
    <n v="1042"/>
    <x v="3"/>
    <s v="ElderServe/Riverspring (PCA)"/>
    <s v="MLTC"/>
    <s v="MLTC"/>
    <s v="RN Initial (NB)"/>
    <m/>
    <x v="3"/>
    <x v="0"/>
    <s v="MC Medicaid HHA"/>
    <m/>
    <n v="3"/>
    <n v="3"/>
    <n v="3"/>
    <n v="3"/>
    <n v="3"/>
    <n v="3"/>
    <s v="Nursing override"/>
    <m/>
    <s v=""/>
    <x v="1"/>
  </r>
  <r>
    <n v="1043"/>
    <x v="3"/>
    <s v="ElderServe/Riverspring (PCA)"/>
    <s v="MLTC"/>
    <s v="MLTC"/>
    <s v="RN Reassessment (NB)"/>
    <m/>
    <x v="3"/>
    <x v="0"/>
    <s v="MC Medicaid HHA"/>
    <m/>
    <n v="1"/>
    <n v="2"/>
    <n v="2"/>
    <n v="1"/>
    <n v="2"/>
    <n v="2"/>
    <s v="Nursing override"/>
    <m/>
    <s v=""/>
    <x v="1"/>
  </r>
  <r>
    <n v="1046"/>
    <x v="3"/>
    <s v="Empire Blue Cross Blue Shield (CDPAP)"/>
    <s v="Other"/>
    <s v="CDPAP"/>
    <s v="PA Hourly (New)"/>
    <s v="T1019:U6"/>
    <x v="1"/>
    <x v="1"/>
    <s v="MC Medicaid CDPAP"/>
    <m/>
    <n v="47"/>
    <n v="10212"/>
    <n v="64790.5"/>
    <n v="46"/>
    <n v="10148"/>
    <n v="64410.5"/>
    <s v=""/>
    <m/>
    <s v=""/>
    <x v="1"/>
  </r>
  <r>
    <n v="1047"/>
    <x v="3"/>
    <s v="Empire Blue Cross Blue Shield (PCA)"/>
    <s v="Other"/>
    <s v="MLTC"/>
    <s v="PCA Hourly NYC"/>
    <s v="T1019:U1"/>
    <x v="2"/>
    <x v="0"/>
    <s v="MC Medicaid HHA"/>
    <m/>
    <n v="31"/>
    <n v="3736"/>
    <n v="26311.25"/>
    <n v="30"/>
    <n v="3659"/>
    <n v="25853.75"/>
    <s v=""/>
    <m/>
    <s v=""/>
    <x v="1"/>
  </r>
  <r>
    <n v="1048"/>
    <x v="3"/>
    <s v="Empire Blue Cross Blue Shield (PCA)"/>
    <s v="Other"/>
    <s v="MLTC"/>
    <s v="PCA Live In"/>
    <s v="T1020"/>
    <x v="8"/>
    <x v="0"/>
    <s v="MC Medicaid HHA"/>
    <m/>
    <n v="4"/>
    <n v="420"/>
    <n v="5460"/>
    <n v="4"/>
    <n v="420"/>
    <n v="5460"/>
    <s v=""/>
    <m/>
    <n v="13"/>
    <x v="1"/>
  </r>
  <r>
    <n v="1049"/>
    <x v="3"/>
    <s v="Empire Blue Cross Blue Shield (PCA)"/>
    <s v="Other"/>
    <s v="MLTC"/>
    <s v="PRN (NB)"/>
    <m/>
    <x v="3"/>
    <x v="0"/>
    <s v="MC Medicaid HHA"/>
    <m/>
    <n v="3"/>
    <n v="4"/>
    <n v="4"/>
    <n v="3"/>
    <n v="4"/>
    <n v="4"/>
    <s v="Nursing override"/>
    <m/>
    <s v=""/>
    <x v="1"/>
  </r>
  <r>
    <n v="1050"/>
    <x v="3"/>
    <s v="Empire Blue Cross Blue Shield (PCA)"/>
    <s v="Other"/>
    <s v="MLTC"/>
    <s v="RN Initial (NB)"/>
    <m/>
    <x v="3"/>
    <x v="0"/>
    <s v="MC Medicaid HHA"/>
    <m/>
    <n v="18"/>
    <n v="19"/>
    <n v="19"/>
    <n v="18"/>
    <n v="19"/>
    <n v="19"/>
    <s v="Nursing override"/>
    <m/>
    <s v=""/>
    <x v="1"/>
  </r>
  <r>
    <n v="1051"/>
    <x v="3"/>
    <s v="Empire Blue Cross Blue Shield (PCA)"/>
    <s v="Other"/>
    <s v="MLTC"/>
    <s v="RN Reassessment (NB)"/>
    <m/>
    <x v="3"/>
    <x v="0"/>
    <s v="MC Medicaid HHA"/>
    <m/>
    <n v="16"/>
    <n v="22"/>
    <n v="22"/>
    <n v="16"/>
    <n v="22"/>
    <n v="22"/>
    <s v="Nursing override"/>
    <m/>
    <s v=""/>
    <x v="1"/>
  </r>
  <r>
    <n v="1052"/>
    <x v="3"/>
    <s v="Excellent Home Care Services"/>
    <s v="CHHA"/>
    <s v="CHHA"/>
    <s v="Rate3"/>
    <m/>
    <x v="0"/>
    <x v="0"/>
    <s v="Other"/>
    <s v="CHHA"/>
    <n v="42"/>
    <n v="5305"/>
    <n v="25873.25"/>
    <n v="38"/>
    <n v="5174"/>
    <n v="25339.25"/>
    <s v=""/>
    <m/>
    <s v=""/>
    <x v="0"/>
  </r>
  <r>
    <n v="1053"/>
    <x v="3"/>
    <s v="Extended Home Care"/>
    <s v="CHHA"/>
    <s v="CHHA"/>
    <s v="PedCode95"/>
    <s v="-"/>
    <x v="0"/>
    <x v="0"/>
    <s v="Other"/>
    <s v="CHHA"/>
    <n v="25"/>
    <n v="1370"/>
    <n v="9517"/>
    <n v="21"/>
    <n v="1187"/>
    <n v="8372.75"/>
    <s v=""/>
    <m/>
    <s v=""/>
    <x v="0"/>
  </r>
  <r>
    <n v="1054"/>
    <x v="3"/>
    <s v="Extended Home Care"/>
    <s v="CHHA"/>
    <s v="CHHA"/>
    <s v="Rate1"/>
    <m/>
    <x v="0"/>
    <x v="0"/>
    <s v="Other"/>
    <s v="CHHA"/>
    <n v="78"/>
    <n v="5090"/>
    <n v="24045.5"/>
    <n v="68"/>
    <n v="4940"/>
    <n v="23298.75"/>
    <s v=""/>
    <m/>
    <s v=""/>
    <x v="0"/>
  </r>
  <r>
    <n v="1055"/>
    <x v="3"/>
    <s v="Extended Home Care"/>
    <s v="CHHA"/>
    <s v="CHHA"/>
    <s v="Rate4HMO"/>
    <s v="0"/>
    <x v="0"/>
    <x v="0"/>
    <s v="Other"/>
    <s v="CHHA"/>
    <n v="1"/>
    <n v="70"/>
    <n v="279.25"/>
    <n v="1"/>
    <n v="70"/>
    <n v="279.25"/>
    <s v=""/>
    <m/>
    <s v=""/>
    <x v="0"/>
  </r>
  <r>
    <n v="1057"/>
    <x v="3"/>
    <s v="Fidelis Care (ANT)"/>
    <s v="LHCSA"/>
    <s v="MLTC"/>
    <s v="PRN (NB)"/>
    <m/>
    <x v="3"/>
    <x v="0"/>
    <s v="MC Medicaid HHA"/>
    <m/>
    <n v="10"/>
    <n v="12"/>
    <n v="12"/>
    <n v="10"/>
    <n v="12"/>
    <n v="12"/>
    <s v="Nursing override"/>
    <m/>
    <s v=""/>
    <x v="1"/>
  </r>
  <r>
    <n v="1058"/>
    <x v="3"/>
    <s v="Fidelis Care (ANT)"/>
    <s v="LHCSA"/>
    <s v="MLTC"/>
    <s v="RN Initial (NB)"/>
    <m/>
    <x v="3"/>
    <x v="0"/>
    <s v="MC Medicaid HHA"/>
    <m/>
    <n v="60"/>
    <n v="60"/>
    <n v="60"/>
    <n v="58"/>
    <n v="58"/>
    <n v="58"/>
    <s v="Nursing override"/>
    <m/>
    <s v=""/>
    <x v="1"/>
  </r>
  <r>
    <n v="1059"/>
    <x v="3"/>
    <s v="Fidelis Care (ANT)"/>
    <s v="LHCSA"/>
    <s v="MLTC"/>
    <s v="RN Initial Assement"/>
    <s v="T2024"/>
    <x v="3"/>
    <x v="0"/>
    <s v="MC Medicaid HHA"/>
    <m/>
    <n v="29"/>
    <n v="29"/>
    <n v="29"/>
    <n v="26"/>
    <n v="26"/>
    <n v="26"/>
    <s v="nursing"/>
    <m/>
    <s v=""/>
    <x v="1"/>
  </r>
  <r>
    <n v="1060"/>
    <x v="3"/>
    <s v="Fidelis Care (ANT)"/>
    <s v="LHCSA"/>
    <s v="MLTC"/>
    <s v="Rn re-assessment"/>
    <m/>
    <x v="3"/>
    <x v="0"/>
    <s v="MC Medicaid HHA"/>
    <m/>
    <n v="1"/>
    <n v="1"/>
    <n v="1"/>
    <n v="1"/>
    <n v="1"/>
    <n v="1"/>
    <s v="nursing"/>
    <m/>
    <s v=""/>
    <x v="1"/>
  </r>
  <r>
    <n v="1061"/>
    <x v="3"/>
    <s v="Fidelis Care (ANT)"/>
    <s v="LHCSA"/>
    <s v="MLTC"/>
    <s v="RN Reassessment (NB)"/>
    <m/>
    <x v="3"/>
    <x v="0"/>
    <s v="MC Medicaid HHA"/>
    <m/>
    <n v="61"/>
    <n v="77"/>
    <n v="77"/>
    <n v="59"/>
    <n v="75"/>
    <n v="75"/>
    <s v="Nursing override"/>
    <m/>
    <s v=""/>
    <x v="1"/>
  </r>
  <r>
    <n v="1062"/>
    <x v="3"/>
    <s v="Fidelis Care (ANT)"/>
    <s v="LHCSA"/>
    <s v="MLTC"/>
    <s v="S5130:U1"/>
    <s v="S5130:U1::::Homemaker"/>
    <x v="6"/>
    <x v="0"/>
    <s v="MC Medicaid HHA"/>
    <m/>
    <n v="4"/>
    <n v="52"/>
    <n v="306.75"/>
    <n v="3"/>
    <n v="31"/>
    <n v="138.75"/>
    <s v=""/>
    <m/>
    <s v=""/>
    <x v="1"/>
  </r>
  <r>
    <n v="1063"/>
    <x v="3"/>
    <s v="Fidelis Care (ANT)"/>
    <s v="LHCSA"/>
    <s v="MLTC"/>
    <s v="T1019:U1"/>
    <s v="T1019:U1"/>
    <x v="2"/>
    <x v="0"/>
    <s v="MC Medicaid HHA"/>
    <m/>
    <n v="142"/>
    <n v="14733"/>
    <n v="79489"/>
    <n v="133"/>
    <n v="14314"/>
    <n v="77412.25"/>
    <s v=""/>
    <m/>
    <s v=""/>
    <x v="1"/>
  </r>
  <r>
    <n v="1064"/>
    <x v="3"/>
    <s v="Fidelis Care (ANT)"/>
    <s v="LHCSA"/>
    <s v="MLTC"/>
    <s v="T1019:U6"/>
    <s v="T1019:U6"/>
    <x v="1"/>
    <x v="1"/>
    <s v="MC Medicaid CDPAP"/>
    <m/>
    <n v="3"/>
    <n v="157"/>
    <n v="703.5"/>
    <n v="3"/>
    <n v="157"/>
    <n v="703.5"/>
    <s v=""/>
    <m/>
    <s v=""/>
    <x v="1"/>
  </r>
  <r>
    <n v="1065"/>
    <x v="3"/>
    <s v="Fidelis Care (ANT)"/>
    <s v="LHCSA"/>
    <s v="MLTC"/>
    <s v="T1020"/>
    <s v="T1020"/>
    <x v="8"/>
    <x v="0"/>
    <s v="MC Medicaid HHA"/>
    <m/>
    <n v="3"/>
    <n v="303"/>
    <n v="3939"/>
    <n v="3"/>
    <n v="303"/>
    <n v="3939"/>
    <s v=""/>
    <m/>
    <n v="13"/>
    <x v="1"/>
  </r>
  <r>
    <n v="1070"/>
    <x v="3"/>
    <s v="Fidelis Care (CDP)"/>
    <s v="LHCSA"/>
    <s v="CDPAP"/>
    <s v="T1019:U1"/>
    <s v="T1019:U1"/>
    <x v="2"/>
    <x v="0"/>
    <s v="MC Medicaid HHA"/>
    <m/>
    <n v="1"/>
    <n v="1"/>
    <n v="1"/>
    <n v="1"/>
    <n v="1"/>
    <n v="1"/>
    <s v=""/>
    <m/>
    <s v=""/>
    <x v="1"/>
  </r>
  <r>
    <n v="1071"/>
    <x v="3"/>
    <s v="Fidelis Care (CDP)"/>
    <s v="LHCSA"/>
    <s v="CDPAP"/>
    <s v="T1019:U6"/>
    <s v="T1019:U6"/>
    <x v="1"/>
    <x v="1"/>
    <s v="MC Medicaid CDPAP"/>
    <m/>
    <n v="99"/>
    <n v="13026"/>
    <n v="72370.5"/>
    <n v="94"/>
    <n v="12839"/>
    <n v="71248"/>
    <s v=""/>
    <m/>
    <s v=""/>
    <x v="1"/>
  </r>
  <r>
    <n v="1072"/>
    <x v="3"/>
    <s v="Fidelis Care PCA (Non Live)"/>
    <s v="MLTC"/>
    <s v="MLTC"/>
    <s v="RN Initial (NB)"/>
    <s v="G0162"/>
    <x v="3"/>
    <x v="0"/>
    <s v="MC Medicaid HHA"/>
    <m/>
    <n v="8"/>
    <n v="8"/>
    <n v="8"/>
    <n v="8"/>
    <n v="8"/>
    <n v="8"/>
    <s v="Nursing override"/>
    <m/>
    <s v=""/>
    <x v="1"/>
  </r>
  <r>
    <n v="1073"/>
    <x v="3"/>
    <s v="Fidelis Care PCA (Non Live)"/>
    <s v="MLTC"/>
    <s v="MLTC"/>
    <s v="Rn initial assement"/>
    <s v="G0162"/>
    <x v="3"/>
    <x v="0"/>
    <s v="MC Medicaid HHA"/>
    <m/>
    <n v="3"/>
    <n v="3"/>
    <n v="3"/>
    <n v="3"/>
    <n v="3"/>
    <n v="3"/>
    <s v="nursing"/>
    <m/>
    <s v=""/>
    <x v="1"/>
  </r>
  <r>
    <n v="1074"/>
    <x v="3"/>
    <s v="Fidelis Care PCA (Non Live)"/>
    <s v="MLTC"/>
    <s v="MLTC"/>
    <s v="RN Reassessment (NB)"/>
    <m/>
    <x v="3"/>
    <x v="0"/>
    <s v="MC Medicaid HHA"/>
    <m/>
    <n v="2"/>
    <n v="2"/>
    <n v="2"/>
    <n v="2"/>
    <n v="2"/>
    <n v="2"/>
    <s v="Nursing override"/>
    <m/>
    <s v=""/>
    <x v="1"/>
  </r>
  <r>
    <n v="1075"/>
    <x v="3"/>
    <s v="Girling Health Care Of New York"/>
    <s v="CHHA"/>
    <s v="CHHA"/>
    <s v="Rate1"/>
    <m/>
    <x v="0"/>
    <x v="0"/>
    <s v="Other"/>
    <s v="CHHA"/>
    <n v="37"/>
    <n v="1303"/>
    <n v="6074.25"/>
    <n v="29"/>
    <n v="1168"/>
    <n v="5534.75"/>
    <s v=""/>
    <m/>
    <s v=""/>
    <x v="0"/>
  </r>
  <r>
    <n v="1076"/>
    <x v="3"/>
    <s v="Girling Health Care Of New York"/>
    <s v="CHHA"/>
    <s v="CHHA"/>
    <s v="Rate4"/>
    <m/>
    <x v="0"/>
    <x v="0"/>
    <s v="Other"/>
    <s v="CHHA"/>
    <n v="7"/>
    <n v="34"/>
    <n v="126"/>
    <n v="5"/>
    <n v="20"/>
    <n v="70.25"/>
    <s v=""/>
    <m/>
    <s v=""/>
    <x v="0"/>
  </r>
  <r>
    <n v="1078"/>
    <x v="3"/>
    <s v="Hamaspik Choice (MLTC) CDPAP"/>
    <s v="MCO"/>
    <s v="CDPAP"/>
    <s v="PA Hourly NYC , Nassau, Westchester"/>
    <s v="T1019:U6"/>
    <x v="1"/>
    <x v="1"/>
    <s v="MC Medicaid CDPAP"/>
    <m/>
    <n v="2"/>
    <n v="143"/>
    <n v="834.75"/>
    <n v="2"/>
    <n v="143"/>
    <n v="834.75"/>
    <s v=""/>
    <m/>
    <s v=""/>
    <x v="1"/>
  </r>
  <r>
    <n v="1080"/>
    <x v="3"/>
    <s v="Hamaspik Choice MLTC (PCA)"/>
    <s v="MLTC"/>
    <s v="MLTC"/>
    <s v="PCA Hourly"/>
    <s v="T1019:U1"/>
    <x v="2"/>
    <x v="0"/>
    <s v="MC Medicaid HHA"/>
    <m/>
    <n v="8"/>
    <n v="472"/>
    <n v="1950"/>
    <n v="8"/>
    <n v="472"/>
    <n v="1950"/>
    <s v=""/>
    <m/>
    <s v=""/>
    <x v="1"/>
  </r>
  <r>
    <n v="1081"/>
    <x v="3"/>
    <s v="Hamaspik Choice MLTC (PCA)"/>
    <s v="MLTC"/>
    <s v="MLTC"/>
    <s v="RN Initial (NB)"/>
    <m/>
    <x v="3"/>
    <x v="0"/>
    <s v="MC Medicaid HHA"/>
    <m/>
    <n v="4"/>
    <n v="4"/>
    <n v="4"/>
    <n v="4"/>
    <n v="4"/>
    <n v="4"/>
    <s v="Nursing override"/>
    <m/>
    <s v=""/>
    <x v="1"/>
  </r>
  <r>
    <n v="1082"/>
    <x v="3"/>
    <s v="Hamaspik Choice MLTC (PCA)"/>
    <s v="MLTC"/>
    <s v="MLTC"/>
    <s v="RN Reassessment (NB)"/>
    <m/>
    <x v="3"/>
    <x v="0"/>
    <s v="MC Medicaid HHA"/>
    <m/>
    <n v="1"/>
    <n v="1"/>
    <n v="1"/>
    <n v="1"/>
    <n v="1"/>
    <n v="1"/>
    <s v="Nursing override"/>
    <m/>
    <s v=""/>
    <x v="1"/>
  </r>
  <r>
    <n v="1085"/>
    <x v="3"/>
    <s v="Hamaspik MAP CDPAP"/>
    <s v="MCO"/>
    <s v="CDPAP"/>
    <s v="PA Hourly (NYC, LI, &amp; Westchester)"/>
    <s v="T1019:U6"/>
    <x v="1"/>
    <x v="1"/>
    <s v="MC Medicaid CDPAP"/>
    <m/>
    <n v="5"/>
    <n v="941"/>
    <n v="5867.5"/>
    <n v="4"/>
    <n v="876"/>
    <n v="5259.75"/>
    <s v=""/>
    <m/>
    <s v=""/>
    <x v="1"/>
  </r>
  <r>
    <n v="1088"/>
    <x v="3"/>
    <s v="Hamaspik MAP PCA"/>
    <s v="MCO"/>
    <s v="MLTC"/>
    <s v="PCA Hourly"/>
    <s v="T1019:U1"/>
    <x v="2"/>
    <x v="0"/>
    <s v="MC Medicaid HHA"/>
    <m/>
    <n v="8"/>
    <n v="715"/>
    <n v="3723.5"/>
    <n v="8"/>
    <n v="715"/>
    <n v="3723.5"/>
    <s v=""/>
    <m/>
    <s v=""/>
    <x v="1"/>
  </r>
  <r>
    <n v="1089"/>
    <x v="3"/>
    <s v="Hamaspik MAP PCA"/>
    <s v="MCO"/>
    <s v="MLTC"/>
    <s v="RN Initial (NB)"/>
    <m/>
    <x v="3"/>
    <x v="0"/>
    <s v="MC Medicaid HHA"/>
    <m/>
    <n v="3"/>
    <n v="3"/>
    <n v="3"/>
    <n v="3"/>
    <n v="3"/>
    <n v="3"/>
    <s v="Nursing override"/>
    <m/>
    <s v=""/>
    <x v="1"/>
  </r>
  <r>
    <n v="1090"/>
    <x v="3"/>
    <s v="Hamaspik MAP PCA"/>
    <s v="MCO"/>
    <s v="MLTC"/>
    <s v="RN Reassessment (NB)"/>
    <m/>
    <x v="3"/>
    <x v="0"/>
    <s v="MC Medicaid HHA"/>
    <m/>
    <n v="2"/>
    <n v="4"/>
    <n v="4"/>
    <n v="2"/>
    <n v="4"/>
    <n v="4"/>
    <s v="Nursing override"/>
    <m/>
    <s v=""/>
    <x v="1"/>
  </r>
  <r>
    <n v="1091"/>
    <x v="3"/>
    <s v="Healthfirst (ANT)"/>
    <s v="CHHA"/>
    <s v="MLTC"/>
    <s v="PRN (NB)"/>
    <m/>
    <x v="3"/>
    <x v="0"/>
    <s v="MC Medicaid HHA"/>
    <m/>
    <n v="2"/>
    <n v="2"/>
    <n v="2"/>
    <n v="2"/>
    <n v="2"/>
    <n v="2"/>
    <s v="Nursing override"/>
    <m/>
    <s v=""/>
    <x v="1"/>
  </r>
  <r>
    <n v="1092"/>
    <x v="3"/>
    <s v="Healthfirst (ANT)"/>
    <s v="CHHA"/>
    <s v="MLTC"/>
    <s v="RN Initial (NB)"/>
    <m/>
    <x v="3"/>
    <x v="0"/>
    <s v="MC Medicaid HHA"/>
    <m/>
    <n v="36"/>
    <n v="36"/>
    <n v="36"/>
    <n v="36"/>
    <n v="36"/>
    <n v="36"/>
    <s v="Nursing override"/>
    <m/>
    <s v=""/>
    <x v="1"/>
  </r>
  <r>
    <n v="1093"/>
    <x v="3"/>
    <s v="Healthfirst (ANT)"/>
    <s v="CHHA"/>
    <s v="MLTC"/>
    <s v="RN Reassessment (NB)"/>
    <m/>
    <x v="3"/>
    <x v="0"/>
    <s v="MC Medicaid HHA"/>
    <m/>
    <n v="37"/>
    <n v="53"/>
    <n v="53"/>
    <n v="36"/>
    <n v="52"/>
    <n v="52"/>
    <s v="Nursing override"/>
    <m/>
    <s v=""/>
    <x v="1"/>
  </r>
  <r>
    <n v="1094"/>
    <x v="3"/>
    <s v="Healthfirst (ANT)"/>
    <s v="CHHA"/>
    <s v="MLTC"/>
    <s v="T1019:U1"/>
    <s v="T1019:U1"/>
    <x v="2"/>
    <x v="0"/>
    <s v="MC Medicaid HHA"/>
    <m/>
    <n v="67"/>
    <n v="6938"/>
    <n v="41620.5"/>
    <n v="64"/>
    <n v="6743"/>
    <n v="40415.5"/>
    <s v=""/>
    <m/>
    <s v=""/>
    <x v="1"/>
  </r>
  <r>
    <n v="1095"/>
    <x v="3"/>
    <s v="Healthfirst (ANT)"/>
    <s v="CHHA"/>
    <s v="MLTC"/>
    <s v="T1020"/>
    <s v="T1020"/>
    <x v="8"/>
    <x v="0"/>
    <s v="MC Medicaid HHA"/>
    <m/>
    <n v="1"/>
    <n v="86"/>
    <n v="1118"/>
    <n v="1"/>
    <n v="86"/>
    <n v="1118"/>
    <s v=""/>
    <m/>
    <n v="13"/>
    <x v="1"/>
  </r>
  <r>
    <n v="1098"/>
    <x v="3"/>
    <s v="Healthfirst (CDP)"/>
    <s v="CHHA"/>
    <s v="CDPAP"/>
    <s v="RN Initial (NB)"/>
    <m/>
    <x v="3"/>
    <x v="0"/>
    <s v="MC Medicaid HHA"/>
    <m/>
    <n v="1"/>
    <n v="1"/>
    <n v="1"/>
    <n v="1"/>
    <n v="1"/>
    <n v="1"/>
    <s v="Nursing override"/>
    <m/>
    <s v=""/>
    <x v="1"/>
  </r>
  <r>
    <n v="1099"/>
    <x v="3"/>
    <s v="Healthfirst (CDP)"/>
    <s v="CHHA"/>
    <s v="CDPAP"/>
    <s v="T1019:U6"/>
    <s v="T1019:U6"/>
    <x v="1"/>
    <x v="1"/>
    <s v="MC Medicaid CDPAP"/>
    <m/>
    <n v="67"/>
    <n v="7953"/>
    <n v="36322.5"/>
    <n v="65"/>
    <n v="7814"/>
    <n v="35751"/>
    <s v=""/>
    <m/>
    <s v=""/>
    <x v="1"/>
  </r>
  <r>
    <n v="1100"/>
    <x v="3"/>
    <s v="Healthfirst (CDP)"/>
    <s v="CHHA"/>
    <s v="CDPAP"/>
    <s v="T1019:U6:CC"/>
    <s v="T1019:U6"/>
    <x v="1"/>
    <x v="1"/>
    <s v="MC Medicaid CDPAP"/>
    <m/>
    <n v="1"/>
    <n v="71"/>
    <n v="354.75"/>
    <n v="1"/>
    <n v="71"/>
    <n v="354.75"/>
    <s v=""/>
    <m/>
    <s v=""/>
    <x v="1"/>
  </r>
  <r>
    <n v="1101"/>
    <x v="3"/>
    <s v="Healthfirst PCA MAP (Complete Care) (Non Live)"/>
    <s v="MCO"/>
    <s v="MLTC"/>
    <s v="RN Initial (NB)"/>
    <m/>
    <x v="3"/>
    <x v="0"/>
    <s v="MC Medicaid HHA"/>
    <m/>
    <n v="1"/>
    <n v="1"/>
    <n v="1"/>
    <n v="1"/>
    <n v="1"/>
    <n v="1"/>
    <s v="Nursing override"/>
    <m/>
    <s v=""/>
    <x v="1"/>
  </r>
  <r>
    <n v="1102"/>
    <x v="3"/>
    <s v="NHTD"/>
    <s v="LHCSA"/>
    <s v="Medicaid"/>
    <s v="HCSS 9795 LI Nassau Westchester Suffolk"/>
    <s v="9795"/>
    <x v="4"/>
    <x v="0"/>
    <s v="Other"/>
    <m/>
    <n v="2"/>
    <n v="277"/>
    <n v="3262.5"/>
    <n v="2"/>
    <n v="277"/>
    <n v="3262.5"/>
    <s v=""/>
    <m/>
    <s v=""/>
    <x v="0"/>
  </r>
  <r>
    <n v="1103"/>
    <x v="3"/>
    <s v="NHTD"/>
    <s v="LHCSA"/>
    <s v="Medicaid"/>
    <s v="HCSS 9795 NYC"/>
    <s v="9795"/>
    <x v="4"/>
    <x v="0"/>
    <s v="Other"/>
    <m/>
    <n v="124"/>
    <n v="46157"/>
    <n v="522702.5"/>
    <n v="121"/>
    <n v="45913"/>
    <n v="519880.75"/>
    <s v=""/>
    <m/>
    <s v=""/>
    <x v="0"/>
  </r>
  <r>
    <n v="1104"/>
    <x v="3"/>
    <s v="NHTD"/>
    <s v="LHCSA"/>
    <s v="Medicaid"/>
    <s v="HCSS 9795 Rest of State"/>
    <s v="9795"/>
    <x v="4"/>
    <x v="0"/>
    <s v="Other"/>
    <m/>
    <n v="2"/>
    <n v="159"/>
    <n v="1763"/>
    <n v="2"/>
    <n v="159"/>
    <n v="1763"/>
    <s v=""/>
    <m/>
    <s v=""/>
    <x v="0"/>
  </r>
  <r>
    <n v="1105"/>
    <x v="3"/>
    <s v="NHTD"/>
    <s v="LHCSA"/>
    <s v="Medicaid"/>
    <s v="Initial RN Visit 9799 (Hourly)"/>
    <s v="9799"/>
    <x v="4"/>
    <x v="0"/>
    <s v="Other"/>
    <m/>
    <n v="53"/>
    <n v="53"/>
    <n v="52.25"/>
    <n v="51"/>
    <n v="51"/>
    <n v="51"/>
    <m/>
    <m/>
    <s v=""/>
    <x v="0"/>
  </r>
  <r>
    <n v="1106"/>
    <x v="3"/>
    <s v="NHTD"/>
    <s v="LHCSA"/>
    <s v="Medicaid"/>
    <s v="PRN (NB)"/>
    <m/>
    <x v="4"/>
    <x v="0"/>
    <s v="Other"/>
    <m/>
    <n v="8"/>
    <n v="10"/>
    <n v="10"/>
    <n v="8"/>
    <n v="10"/>
    <n v="10"/>
    <m/>
    <m/>
    <s v=""/>
    <x v="0"/>
  </r>
  <r>
    <n v="1107"/>
    <x v="3"/>
    <s v="NHTD"/>
    <s v="LHCSA"/>
    <s v="Medicaid"/>
    <s v="RN Initial (NB)"/>
    <m/>
    <x v="4"/>
    <x v="0"/>
    <s v="Other"/>
    <m/>
    <n v="4"/>
    <n v="4"/>
    <n v="4"/>
    <n v="4"/>
    <n v="4"/>
    <n v="4"/>
    <m/>
    <m/>
    <s v=""/>
    <x v="0"/>
  </r>
  <r>
    <n v="1108"/>
    <x v="3"/>
    <s v="NHTD"/>
    <s v="LHCSA"/>
    <s v="Medicaid"/>
    <s v="RN Reassessment (NB)"/>
    <m/>
    <x v="4"/>
    <x v="0"/>
    <s v="Other"/>
    <m/>
    <n v="2"/>
    <n v="2"/>
    <n v="2"/>
    <n v="2"/>
    <n v="2"/>
    <n v="2"/>
    <m/>
    <m/>
    <s v=""/>
    <x v="0"/>
  </r>
  <r>
    <n v="1109"/>
    <x v="3"/>
    <s v="NHTD"/>
    <s v="LHCSA"/>
    <s v="Medicaid"/>
    <s v="RN Visit 9799 (Hourly)"/>
    <s v="9799"/>
    <x v="4"/>
    <x v="0"/>
    <s v="Other"/>
    <m/>
    <n v="94"/>
    <n v="143"/>
    <n v="141.5"/>
    <n v="93"/>
    <n v="142"/>
    <n v="142"/>
    <m/>
    <m/>
    <s v=""/>
    <x v="0"/>
  </r>
  <r>
    <n v="1110"/>
    <x v="3"/>
    <s v="Non Billable"/>
    <s v="Other"/>
    <s v="Insurance"/>
    <s v="PCA Hourly"/>
    <m/>
    <x v="5"/>
    <x v="0"/>
    <s v="Private Pay"/>
    <m/>
    <n v="33"/>
    <n v="65"/>
    <n v="247.25"/>
    <n v="32"/>
    <n v="64"/>
    <n v="246"/>
    <s v=""/>
    <m/>
    <s v=""/>
    <x v="0"/>
  </r>
  <r>
    <n v="1111"/>
    <x v="3"/>
    <s v="Prime Home Health Services"/>
    <s v="CHHA"/>
    <s v="CHHA"/>
    <s v="HHAHRPED"/>
    <s v="99999"/>
    <x v="0"/>
    <x v="0"/>
    <s v="Other"/>
    <s v="CHHA"/>
    <n v="5"/>
    <n v="659"/>
    <n v="4803.75"/>
    <n v="5"/>
    <n v="659"/>
    <n v="4803.75"/>
    <s v=""/>
    <m/>
    <s v=""/>
    <x v="0"/>
  </r>
  <r>
    <n v="1112"/>
    <x v="3"/>
    <s v="Private Pay"/>
    <s v="Other"/>
    <s v="Private"/>
    <s v="Live In (H)"/>
    <m/>
    <x v="5"/>
    <x v="0"/>
    <s v="Private Pay"/>
    <m/>
    <n v="1"/>
    <n v="25"/>
    <n v="24.75"/>
    <n v="1"/>
    <n v="25"/>
    <n v="24.75"/>
    <s v=""/>
    <m/>
    <n v="0.99"/>
    <x v="0"/>
  </r>
  <r>
    <n v="1113"/>
    <x v="3"/>
    <s v="Private Pay"/>
    <s v="Other"/>
    <s v="Private"/>
    <s v="Live In - 1 Hour"/>
    <m/>
    <x v="5"/>
    <x v="0"/>
    <s v="Private Pay"/>
    <m/>
    <n v="1"/>
    <n v="335"/>
    <n v="332"/>
    <n v="1"/>
    <n v="335"/>
    <n v="332"/>
    <s v=""/>
    <m/>
    <n v="0.991044776119403"/>
    <x v="0"/>
  </r>
  <r>
    <n v="1114"/>
    <x v="3"/>
    <s v="Private Pay"/>
    <s v="Other"/>
    <s v="Private"/>
    <s v="Live In - 4 Hours"/>
    <m/>
    <x v="5"/>
    <x v="0"/>
    <s v="Private Pay"/>
    <m/>
    <n v="1"/>
    <n v="213"/>
    <n v="844.5"/>
    <n v="1"/>
    <n v="213"/>
    <n v="844.5"/>
    <s v=""/>
    <m/>
    <n v="3.964788732394366"/>
    <x v="0"/>
  </r>
  <r>
    <n v="1115"/>
    <x v="3"/>
    <s v="Private Pay"/>
    <s v="Other"/>
    <s v="Private"/>
    <s v="Live-In"/>
    <m/>
    <x v="5"/>
    <x v="0"/>
    <s v="Private Pay"/>
    <m/>
    <n v="1"/>
    <n v="3"/>
    <n v="69.75"/>
    <n v="1"/>
    <n v="3"/>
    <n v="39"/>
    <s v=""/>
    <m/>
    <n v="13"/>
    <x v="0"/>
  </r>
  <r>
    <n v="1116"/>
    <x v="3"/>
    <s v="Private Pay"/>
    <s v="Other"/>
    <s v="Private"/>
    <s v="PCA Hourly"/>
    <m/>
    <x v="5"/>
    <x v="0"/>
    <s v="Private Pay"/>
    <m/>
    <n v="20"/>
    <n v="56"/>
    <n v="281"/>
    <n v="19"/>
    <n v="50"/>
    <n v="221"/>
    <s v=""/>
    <m/>
    <s v=""/>
    <x v="0"/>
  </r>
  <r>
    <n v="1117"/>
    <x v="3"/>
    <s v="Private Pay"/>
    <s v="Other"/>
    <s v="Private"/>
    <s v="RN Initial (NB)"/>
    <m/>
    <x v="5"/>
    <x v="0"/>
    <s v="Private Pay"/>
    <m/>
    <n v="1"/>
    <n v="1"/>
    <n v="0.5"/>
    <n v="1"/>
    <n v="1"/>
    <n v="1"/>
    <s v=""/>
    <m/>
    <s v=""/>
    <x v="0"/>
  </r>
  <r>
    <n v="1118"/>
    <x v="3"/>
    <s v="Private Pay"/>
    <s v="Other"/>
    <s v="Private"/>
    <s v="RN Re-Assessment"/>
    <m/>
    <x v="5"/>
    <x v="0"/>
    <s v="Private Pay"/>
    <m/>
    <n v="1"/>
    <n v="1"/>
    <n v="1"/>
    <n v="1"/>
    <n v="1"/>
    <n v="1"/>
    <s v=""/>
    <m/>
    <s v=""/>
    <x v="0"/>
  </r>
  <r>
    <n v="1119"/>
    <x v="3"/>
    <s v="Private Pay"/>
    <s v="Other"/>
    <s v="Private"/>
    <s v="RN Reassessment (NB)"/>
    <m/>
    <x v="5"/>
    <x v="0"/>
    <s v="Private Pay"/>
    <m/>
    <n v="1"/>
    <n v="1"/>
    <n v="0.5"/>
    <n v="1"/>
    <n v="1"/>
    <n v="1"/>
    <s v=""/>
    <m/>
    <s v=""/>
    <x v="0"/>
  </r>
  <r>
    <n v="1120"/>
    <x v="3"/>
    <s v="Private Pay - Select"/>
    <s v="Other"/>
    <s v="Private"/>
    <s v="HHA Hourly"/>
    <m/>
    <x v="5"/>
    <x v="0"/>
    <s v="Private Pay"/>
    <m/>
    <n v="1"/>
    <n v="2"/>
    <n v="8"/>
    <n v="1"/>
    <n v="2"/>
    <n v="8"/>
    <s v=""/>
    <m/>
    <s v=""/>
    <x v="0"/>
  </r>
  <r>
    <n v="1121"/>
    <x v="3"/>
    <s v="Private Pay - Select"/>
    <s v="Other"/>
    <s v="Private"/>
    <s v="PCA Hourly"/>
    <m/>
    <x v="5"/>
    <x v="0"/>
    <s v="Private Pay"/>
    <m/>
    <n v="14"/>
    <n v="1479"/>
    <n v="11598.25"/>
    <n v="11"/>
    <n v="1445"/>
    <n v="11301.5"/>
    <s v=""/>
    <m/>
    <s v=""/>
    <x v="0"/>
  </r>
  <r>
    <n v="1122"/>
    <x v="3"/>
    <s v="Private Pay - Select"/>
    <s v="Other"/>
    <s v="Private"/>
    <s v="PCA Hourly Mutual"/>
    <m/>
    <x v="5"/>
    <x v="0"/>
    <s v="Private Pay"/>
    <m/>
    <n v="2"/>
    <n v="2"/>
    <n v="6"/>
    <n v="2"/>
    <n v="2"/>
    <n v="6"/>
    <s v=""/>
    <m/>
    <s v=""/>
    <x v="0"/>
  </r>
  <r>
    <n v="1123"/>
    <x v="3"/>
    <s v="Private Pay - Select"/>
    <s v="Other"/>
    <s v="Private"/>
    <s v="PCA Live-in"/>
    <m/>
    <x v="5"/>
    <x v="0"/>
    <s v="Private Pay"/>
    <m/>
    <n v="1"/>
    <n v="30"/>
    <n v="716.75"/>
    <n v="1"/>
    <n v="30"/>
    <n v="390"/>
    <s v=""/>
    <m/>
    <n v="13"/>
    <x v="0"/>
  </r>
  <r>
    <n v="1124"/>
    <x v="3"/>
    <s v="Private Pay - Select"/>
    <s v="Other"/>
    <s v="Private"/>
    <s v="RN Initial (NB)"/>
    <m/>
    <x v="5"/>
    <x v="0"/>
    <s v="Private Pay"/>
    <m/>
    <n v="13"/>
    <n v="13"/>
    <n v="7"/>
    <n v="11"/>
    <n v="11"/>
    <n v="11"/>
    <s v=""/>
    <m/>
    <s v=""/>
    <x v="0"/>
  </r>
  <r>
    <n v="1125"/>
    <x v="3"/>
    <s v="Private Pay - Select"/>
    <s v="Other"/>
    <s v="Private"/>
    <s v="RN Reassessment (NB)"/>
    <m/>
    <x v="5"/>
    <x v="0"/>
    <s v="Private Pay"/>
    <m/>
    <n v="6"/>
    <n v="7"/>
    <n v="5"/>
    <n v="6"/>
    <n v="7"/>
    <n v="7"/>
    <s v=""/>
    <m/>
    <s v=""/>
    <x v="0"/>
  </r>
  <r>
    <n v="1126"/>
    <x v="3"/>
    <s v="Private Pay - Select"/>
    <s v="Other"/>
    <s v="Private"/>
    <s v="RN skilled visit"/>
    <m/>
    <x v="5"/>
    <x v="0"/>
    <s v="Private Pay"/>
    <m/>
    <n v="1"/>
    <n v="4"/>
    <n v="2"/>
    <n v="1"/>
    <n v="4"/>
    <n v="4"/>
    <s v=""/>
    <m/>
    <s v=""/>
    <x v="0"/>
  </r>
  <r>
    <n v="1127"/>
    <x v="3"/>
    <s v="Revival Home Health Care"/>
    <s v="CHHA"/>
    <s v="CHHA"/>
    <s v="Rate1"/>
    <s v="S9122"/>
    <x v="0"/>
    <x v="0"/>
    <s v="Other"/>
    <s v="CHHA"/>
    <n v="5"/>
    <n v="42"/>
    <n v="157"/>
    <n v="4"/>
    <n v="32"/>
    <n v="117.25"/>
    <s v=""/>
    <m/>
    <s v=""/>
    <x v="0"/>
  </r>
  <r>
    <n v="1128"/>
    <x v="3"/>
    <s v="Royal Care Certified"/>
    <s v="Other"/>
    <s v="CHHA"/>
    <s v="Rate1"/>
    <m/>
    <x v="0"/>
    <x v="0"/>
    <s v="Other"/>
    <s v="CHHA"/>
    <n v="40"/>
    <n v="606"/>
    <n v="2550.25"/>
    <n v="30"/>
    <n v="471"/>
    <n v="2022"/>
    <s v=""/>
    <m/>
    <s v=""/>
    <x v="0"/>
  </r>
  <r>
    <n v="1129"/>
    <x v="3"/>
    <s v="Royal Care Certified"/>
    <s v="Other"/>
    <s v="CHHA"/>
    <s v="Rate2"/>
    <m/>
    <x v="0"/>
    <x v="0"/>
    <s v="Other"/>
    <s v="CHHA"/>
    <n v="34"/>
    <n v="4869"/>
    <n v="28750.5"/>
    <n v="34"/>
    <n v="4869"/>
    <n v="28750.5"/>
    <s v=""/>
    <m/>
    <s v=""/>
    <x v="0"/>
  </r>
  <r>
    <n v="1130"/>
    <x v="3"/>
    <s v="SWHNY-MLTC (ANT)"/>
    <s v="Other"/>
    <s v="MLTC"/>
    <s v="RN Initial (NB)"/>
    <m/>
    <x v="3"/>
    <x v="0"/>
    <s v="MC Medicaid HHA"/>
    <m/>
    <n v="4"/>
    <n v="4"/>
    <n v="4"/>
    <n v="4"/>
    <n v="4"/>
    <n v="4"/>
    <s v="Nursing override"/>
    <m/>
    <s v=""/>
    <x v="1"/>
  </r>
  <r>
    <n v="1131"/>
    <x v="3"/>
    <s v="SWHNY-MLTC (ANT)"/>
    <s v="Other"/>
    <s v="MLTC"/>
    <s v="RN Reassessment (NB)"/>
    <m/>
    <x v="3"/>
    <x v="0"/>
    <s v="MC Medicaid HHA"/>
    <m/>
    <n v="11"/>
    <n v="16"/>
    <n v="16"/>
    <n v="11"/>
    <n v="16"/>
    <n v="16"/>
    <s v="Nursing override"/>
    <m/>
    <s v=""/>
    <x v="1"/>
  </r>
  <r>
    <n v="1132"/>
    <x v="3"/>
    <s v="SWHNY-MLTC (ANT)"/>
    <s v="Other"/>
    <s v="MLTC"/>
    <s v="T1019:U1"/>
    <s v="T1019:U1"/>
    <x v="2"/>
    <x v="0"/>
    <s v="MC Medicaid HHA"/>
    <m/>
    <n v="13"/>
    <n v="1569"/>
    <n v="10322.75"/>
    <n v="13"/>
    <n v="1569"/>
    <n v="10322.75"/>
    <s v=""/>
    <m/>
    <s v=""/>
    <x v="1"/>
  </r>
  <r>
    <n v="1133"/>
    <x v="3"/>
    <s v="SWHNY-MLTC (ANT)"/>
    <s v="Other"/>
    <s v="MLTC"/>
    <s v="T1020"/>
    <s v="T1020"/>
    <x v="8"/>
    <x v="0"/>
    <s v="MC Medicaid HHA"/>
    <m/>
    <n v="4"/>
    <n v="650"/>
    <n v="8450"/>
    <n v="4"/>
    <n v="650"/>
    <n v="8450"/>
    <s v=""/>
    <m/>
    <n v="13"/>
    <x v="1"/>
  </r>
  <r>
    <n v="1137"/>
    <x v="3"/>
    <s v="SWHNY-MLTC (CDP)"/>
    <s v="Other"/>
    <s v="CDPAP"/>
    <s v="T1019:U6"/>
    <s v="T1019:U6"/>
    <x v="1"/>
    <x v="1"/>
    <s v="MC Medicaid CDPAP"/>
    <m/>
    <n v="23"/>
    <n v="6036"/>
    <n v="38724.75"/>
    <n v="22"/>
    <n v="5995"/>
    <n v="38439.75"/>
    <s v=""/>
    <m/>
    <s v=""/>
    <x v="1"/>
  </r>
  <r>
    <n v="1138"/>
    <x v="3"/>
    <s v="TBI"/>
    <s v="LHCSA"/>
    <s v="Medicaid"/>
    <s v="HCSS 9879"/>
    <s v="9879"/>
    <x v="4"/>
    <x v="0"/>
    <s v="Other"/>
    <m/>
    <n v="3"/>
    <n v="1205"/>
    <n v="13519.5"/>
    <n v="3"/>
    <n v="1205"/>
    <n v="13519.5"/>
    <s v=""/>
    <m/>
    <s v=""/>
    <x v="0"/>
  </r>
  <r>
    <n v="1139"/>
    <x v="3"/>
    <s v="TBI"/>
    <s v="LHCSA"/>
    <s v="Medicaid"/>
    <s v="RN Initial (NB)"/>
    <m/>
    <x v="4"/>
    <x v="0"/>
    <s v="Other"/>
    <m/>
    <n v="1"/>
    <n v="1"/>
    <n v="1"/>
    <n v="1"/>
    <n v="1"/>
    <n v="1"/>
    <m/>
    <m/>
    <s v=""/>
    <x v="0"/>
  </r>
  <r>
    <n v="1140"/>
    <x v="3"/>
    <s v="TBI"/>
    <s v="LHCSA"/>
    <s v="Medicaid"/>
    <s v="RN Reassessment (NB)"/>
    <m/>
    <x v="4"/>
    <x v="0"/>
    <s v="Other"/>
    <m/>
    <n v="2"/>
    <n v="3"/>
    <n v="2.5"/>
    <n v="2"/>
    <n v="3"/>
    <n v="3"/>
    <m/>
    <m/>
    <s v=""/>
    <x v="0"/>
  </r>
  <r>
    <n v="1141"/>
    <x v="3"/>
    <s v="United Healthcare CDPAP"/>
    <s v="MCO"/>
    <s v="CDPAP"/>
    <s v="PA Hourly"/>
    <s v="T1019:U6"/>
    <x v="1"/>
    <x v="1"/>
    <s v="MC Medicaid CDPAP"/>
    <m/>
    <n v="1"/>
    <n v="58"/>
    <n v="330"/>
    <n v="1"/>
    <n v="58"/>
    <n v="330"/>
    <s v=""/>
    <m/>
    <s v=""/>
    <x v="1"/>
  </r>
  <r>
    <n v="1146"/>
    <x v="3"/>
    <s v="VillageCare CDPAP"/>
    <s v="MCO"/>
    <s v="CDPAP"/>
    <s v="PA Hourly"/>
    <s v="T1019:U6"/>
    <x v="1"/>
    <x v="1"/>
    <s v="MC Medicaid CDPAP"/>
    <m/>
    <n v="173"/>
    <n v="25202"/>
    <n v="135337.25"/>
    <n v="167"/>
    <n v="24782"/>
    <n v="131403"/>
    <s v=""/>
    <m/>
    <s v=""/>
    <x v="1"/>
  </r>
  <r>
    <n v="1147"/>
    <x v="3"/>
    <s v="VillageCare CDPAP"/>
    <s v="MCO"/>
    <s v="CDPAP"/>
    <s v="PA Hourly Mutual"/>
    <s v="T1019:U7"/>
    <x v="10"/>
    <x v="1"/>
    <s v="MC Medicaid CDPAP"/>
    <m/>
    <n v="2"/>
    <n v="63"/>
    <n v="318.75"/>
    <n v="2"/>
    <n v="63"/>
    <n v="318.75"/>
    <s v=""/>
    <m/>
    <s v=""/>
    <x v="1"/>
  </r>
  <r>
    <n v="1148"/>
    <x v="3"/>
    <s v="VillageCare PCA"/>
    <s v="MLTC"/>
    <s v="MLTC"/>
    <s v="HHA Hourly - S5125"/>
    <s v="S5125"/>
    <x v="6"/>
    <x v="0"/>
    <s v="MC Medicaid HHA"/>
    <m/>
    <n v="1"/>
    <n v="142"/>
    <n v="695.5"/>
    <n v="1"/>
    <n v="142"/>
    <n v="695.5"/>
    <s v=""/>
    <m/>
    <s v=""/>
    <x v="1"/>
  </r>
  <r>
    <n v="1149"/>
    <x v="3"/>
    <s v="VillageCare PCA"/>
    <s v="MLTC"/>
    <s v="MLTC"/>
    <s v="PCA - Live In"/>
    <s v="T1020"/>
    <x v="8"/>
    <x v="0"/>
    <s v="MC Medicaid HHA"/>
    <m/>
    <n v="1"/>
    <n v="3"/>
    <n v="39"/>
    <n v="1"/>
    <n v="3"/>
    <n v="39"/>
    <s v=""/>
    <m/>
    <n v="13"/>
    <x v="1"/>
  </r>
  <r>
    <n v="1150"/>
    <x v="3"/>
    <s v="VillageCare PCA"/>
    <s v="MLTC"/>
    <s v="MLTC"/>
    <s v="PCA - Live In TV"/>
    <s v="T1020:TV"/>
    <x v="8"/>
    <x v="0"/>
    <s v="MC Medicaid HHA"/>
    <m/>
    <n v="1"/>
    <n v="14"/>
    <n v="182"/>
    <n v="1"/>
    <n v="14"/>
    <n v="182"/>
    <s v=""/>
    <m/>
    <n v="13"/>
    <x v="1"/>
  </r>
  <r>
    <n v="1151"/>
    <x v="3"/>
    <s v="VillageCare PCA"/>
    <s v="MLTC"/>
    <s v="MLTC"/>
    <s v="PCA Cluster Care"/>
    <s v="T1019:U3"/>
    <x v="11"/>
    <x v="0"/>
    <s v="MC Medicaid HHA"/>
    <m/>
    <n v="7"/>
    <n v="284"/>
    <n v="587"/>
    <n v="7"/>
    <n v="284"/>
    <n v="587"/>
    <s v=""/>
    <m/>
    <s v=""/>
    <x v="1"/>
  </r>
  <r>
    <n v="1152"/>
    <x v="3"/>
    <s v="VillageCare PCA"/>
    <s v="MLTC"/>
    <s v="MLTC"/>
    <s v="PCA Hourly"/>
    <s v="T1019:U1"/>
    <x v="2"/>
    <x v="0"/>
    <s v="MC Medicaid HHA"/>
    <m/>
    <n v="211"/>
    <n v="17866"/>
    <n v="98131"/>
    <n v="193"/>
    <n v="17176"/>
    <n v="95331.75"/>
    <s v=""/>
    <m/>
    <s v=""/>
    <x v="1"/>
  </r>
  <r>
    <n v="1153"/>
    <x v="3"/>
    <s v="VillageCare PCA"/>
    <s v="MLTC"/>
    <s v="MLTC"/>
    <s v="PCA Hourly"/>
    <s v="T1019:U1:TV"/>
    <x v="2"/>
    <x v="0"/>
    <s v="MC Medicaid HHA"/>
    <m/>
    <n v="90"/>
    <n v="3607"/>
    <n v="23806.5"/>
    <n v="79"/>
    <n v="3323"/>
    <n v="21690"/>
    <s v=""/>
    <m/>
    <s v=""/>
    <x v="1"/>
  </r>
  <r>
    <n v="1154"/>
    <x v="3"/>
    <s v="VillageCare PCA"/>
    <s v="MLTC"/>
    <s v="MLTC"/>
    <s v="PCA Hourly Mutual"/>
    <s v="T1019:U2"/>
    <x v="11"/>
    <x v="0"/>
    <s v="MC Medicaid HHA"/>
    <m/>
    <n v="6"/>
    <n v="312"/>
    <n v="1229.75"/>
    <n v="4"/>
    <n v="273"/>
    <n v="1088.5"/>
    <s v=""/>
    <m/>
    <s v=""/>
    <x v="1"/>
  </r>
  <r>
    <n v="1155"/>
    <x v="3"/>
    <s v="VillageCare PCA"/>
    <s v="MLTC"/>
    <s v="MLTC"/>
    <s v="PCA Hourly Mutual TV"/>
    <s v="T1019:U2:TV"/>
    <x v="11"/>
    <x v="0"/>
    <s v="MC Medicaid HHA"/>
    <m/>
    <n v="3"/>
    <n v="28"/>
    <n v="111.25"/>
    <n v="2"/>
    <n v="27"/>
    <n v="108.25"/>
    <s v=""/>
    <m/>
    <s v=""/>
    <x v="1"/>
  </r>
  <r>
    <n v="1156"/>
    <x v="3"/>
    <s v="VillageCare PCA"/>
    <s v="MLTC"/>
    <s v="MLTC"/>
    <s v="PCA Hourly TV"/>
    <s v="T1019:U1:TV"/>
    <x v="2"/>
    <x v="0"/>
    <s v="MC Medicaid HHA"/>
    <m/>
    <n v="43"/>
    <n v="487"/>
    <n v="2799.5"/>
    <n v="42"/>
    <n v="485"/>
    <n v="2791.5"/>
    <s v=""/>
    <m/>
    <s v=""/>
    <x v="1"/>
  </r>
  <r>
    <n v="1157"/>
    <x v="3"/>
    <s v="VillageCare PCA"/>
    <s v="MLTC"/>
    <s v="MLTC"/>
    <s v="PRN (NB)"/>
    <m/>
    <x v="3"/>
    <x v="0"/>
    <s v="MC Medicaid HHA"/>
    <m/>
    <n v="21"/>
    <n v="22"/>
    <n v="22"/>
    <n v="20"/>
    <n v="21"/>
    <n v="21"/>
    <s v="Nursing override"/>
    <m/>
    <s v=""/>
    <x v="1"/>
  </r>
  <r>
    <n v="1158"/>
    <x v="3"/>
    <s v="VillageCare PCA"/>
    <s v="MLTC"/>
    <s v="MLTC"/>
    <s v="RN Initial (NB)"/>
    <m/>
    <x v="3"/>
    <x v="0"/>
    <s v="MC Medicaid HHA"/>
    <m/>
    <n v="2"/>
    <n v="2"/>
    <n v="2"/>
    <n v="2"/>
    <n v="2"/>
    <n v="2"/>
    <s v="Nursing override"/>
    <m/>
    <s v=""/>
    <x v="1"/>
  </r>
  <r>
    <n v="1159"/>
    <x v="3"/>
    <s v="VillageCare PCA"/>
    <s v="MLTC"/>
    <s v="MLTC"/>
    <s v="RN Initial Visit"/>
    <s v="T1030"/>
    <x v="7"/>
    <x v="0"/>
    <s v="MC Medicaid HHA"/>
    <m/>
    <n v="132"/>
    <n v="132"/>
    <n v="132"/>
    <n v="119"/>
    <n v="119"/>
    <n v="119"/>
    <s v="nursing"/>
    <m/>
    <s v=""/>
    <x v="1"/>
  </r>
  <r>
    <n v="1160"/>
    <x v="3"/>
    <s v="VillageCare PCA"/>
    <s v="MLTC"/>
    <s v="MLTC"/>
    <s v="RN Reassessment (NB)"/>
    <m/>
    <x v="3"/>
    <x v="0"/>
    <s v="MC Medicaid HHA"/>
    <m/>
    <n v="87"/>
    <n v="131"/>
    <n v="131"/>
    <n v="83"/>
    <n v="125"/>
    <n v="125"/>
    <s v="Nursing override"/>
    <m/>
    <s v=""/>
    <x v="1"/>
  </r>
  <r>
    <n v="1161"/>
    <x v="3"/>
    <s v="VNS Health Health Plans (ANT)"/>
    <s v="MLTC"/>
    <s v="MLTC"/>
    <s v="PRN (NB)"/>
    <m/>
    <x v="3"/>
    <x v="0"/>
    <s v="MC Medicaid HHA"/>
    <m/>
    <n v="9"/>
    <n v="11"/>
    <n v="11"/>
    <n v="7"/>
    <n v="8"/>
    <n v="8"/>
    <s v="Nursing override"/>
    <m/>
    <s v=""/>
    <x v="1"/>
  </r>
  <r>
    <n v="1162"/>
    <x v="3"/>
    <s v="VNS Health Health Plans (ANT)"/>
    <s v="MLTC"/>
    <s v="MLTC"/>
    <s v="RN Initial (NB)"/>
    <m/>
    <x v="3"/>
    <x v="0"/>
    <s v="MC Medicaid HHA"/>
    <m/>
    <n v="37"/>
    <n v="38"/>
    <n v="38"/>
    <n v="35"/>
    <n v="36"/>
    <n v="36"/>
    <s v="Nursing override"/>
    <m/>
    <s v=""/>
    <x v="1"/>
  </r>
  <r>
    <n v="1163"/>
    <x v="3"/>
    <s v="VNS Health Health Plans (ANT)"/>
    <s v="MLTC"/>
    <s v="MLTC"/>
    <s v="RN Reassessment (NB)"/>
    <m/>
    <x v="3"/>
    <x v="0"/>
    <s v="MC Medicaid HHA"/>
    <m/>
    <n v="48"/>
    <n v="75"/>
    <n v="75"/>
    <n v="47"/>
    <n v="74"/>
    <n v="74"/>
    <s v="Nursing override"/>
    <m/>
    <s v=""/>
    <x v="1"/>
  </r>
  <r>
    <n v="1164"/>
    <x v="3"/>
    <s v="VNS Health Health Plans (ANT)"/>
    <s v="MLTC"/>
    <s v="MLTC"/>
    <s v="T1019U1 NAS"/>
    <s v="T1019:U1"/>
    <x v="2"/>
    <x v="0"/>
    <s v="MC Medicaid HHA"/>
    <m/>
    <n v="2"/>
    <n v="232"/>
    <n v="987.75"/>
    <n v="2"/>
    <n v="232"/>
    <n v="987.75"/>
    <s v=""/>
    <m/>
    <s v=""/>
    <x v="1"/>
  </r>
  <r>
    <n v="1165"/>
    <x v="3"/>
    <s v="VNS Health Health Plans (ANT)"/>
    <s v="MLTC"/>
    <s v="MLTC"/>
    <s v="T1019U1 QNS"/>
    <s v="T1019:U1"/>
    <x v="2"/>
    <x v="0"/>
    <s v="MC Medicaid HHA"/>
    <m/>
    <n v="87"/>
    <n v="10833"/>
    <n v="73922.75"/>
    <n v="79"/>
    <n v="10390"/>
    <n v="71124"/>
    <s v=""/>
    <m/>
    <s v=""/>
    <x v="1"/>
  </r>
  <r>
    <n v="1166"/>
    <x v="3"/>
    <s v="VNS Health Health Plans (ANT)"/>
    <s v="MLTC"/>
    <s v="MLTC"/>
    <s v="T1019U1 QNS MAP"/>
    <s v="T1019:U1"/>
    <x v="2"/>
    <x v="0"/>
    <s v="MC Medicaid HHA"/>
    <m/>
    <n v="4"/>
    <n v="557"/>
    <n v="5296"/>
    <n v="3"/>
    <n v="527"/>
    <n v="5132.5"/>
    <s v=""/>
    <m/>
    <s v=""/>
    <x v="1"/>
  </r>
  <r>
    <n v="1167"/>
    <x v="3"/>
    <s v="VNS Health Health Plans (ANT)"/>
    <s v="MLTC"/>
    <s v="MLTC"/>
    <s v="T1019U2 QNS"/>
    <s v="T1019:U2"/>
    <x v="11"/>
    <x v="0"/>
    <s v="MC Medicaid HHA"/>
    <m/>
    <n v="12"/>
    <n v="1768"/>
    <n v="14877"/>
    <n v="11"/>
    <n v="1709"/>
    <n v="14297"/>
    <s v=""/>
    <m/>
    <s v=""/>
    <x v="1"/>
  </r>
  <r>
    <n v="1168"/>
    <x v="3"/>
    <s v="VNS Health Health Plans (ANT)"/>
    <s v="MLTC"/>
    <s v="MLTC"/>
    <s v="T1020 QNS"/>
    <s v="T1020"/>
    <x v="8"/>
    <x v="0"/>
    <s v="MC Medicaid HHA"/>
    <m/>
    <n v="4"/>
    <n v="563"/>
    <n v="7319"/>
    <n v="4"/>
    <n v="563"/>
    <n v="7319"/>
    <s v=""/>
    <m/>
    <n v="13"/>
    <x v="1"/>
  </r>
  <r>
    <n v="1172"/>
    <x v="3"/>
    <s v="VNS Health Health Plans (CDP)"/>
    <s v="MLTC"/>
    <s v="CDPAP"/>
    <s v="T1019U6 K"/>
    <s v="T1019:U6"/>
    <x v="1"/>
    <x v="1"/>
    <s v="MC Medicaid CDPAP"/>
    <m/>
    <n v="1"/>
    <n v="184"/>
    <n v="1050"/>
    <n v="1"/>
    <n v="184"/>
    <n v="1050"/>
    <s v=""/>
    <m/>
    <s v=""/>
    <x v="1"/>
  </r>
  <r>
    <n v="1173"/>
    <x v="3"/>
    <s v="VNS Health Health Plans (CDP)"/>
    <s v="MLTC"/>
    <s v="CDPAP"/>
    <s v="T1019U6 NAS"/>
    <s v="T1019:U6"/>
    <x v="1"/>
    <x v="1"/>
    <s v="MC Medicaid CDPAP"/>
    <m/>
    <n v="1"/>
    <n v="249"/>
    <n v="845.5"/>
    <n v="1"/>
    <n v="249"/>
    <n v="845.5"/>
    <s v=""/>
    <m/>
    <s v=""/>
    <x v="1"/>
  </r>
  <r>
    <n v="1174"/>
    <x v="3"/>
    <s v="VNS Health Health Plans (CDP)"/>
    <s v="MLTC"/>
    <s v="CDPAP"/>
    <s v="T1019U6 QNS"/>
    <s v="T1019:U6"/>
    <x v="1"/>
    <x v="1"/>
    <s v="MC Medicaid CDPAP"/>
    <m/>
    <n v="71"/>
    <n v="14242"/>
    <n v="75838.75"/>
    <n v="68"/>
    <n v="14123"/>
    <n v="75110"/>
    <s v=""/>
    <m/>
    <s v=""/>
    <x v="1"/>
  </r>
  <r>
    <n v="1175"/>
    <x v="3"/>
    <s v="VNS Health Health Plans (CDP)"/>
    <s v="MLTC"/>
    <s v="CDPAP"/>
    <s v="T1019U6 SCH"/>
    <s v="T1019:U6"/>
    <x v="1"/>
    <x v="1"/>
    <s v="MC Medicaid CDPAP"/>
    <m/>
    <n v="1"/>
    <n v="158"/>
    <n v="588.75"/>
    <n v="1"/>
    <n v="158"/>
    <n v="588.75"/>
    <s v=""/>
    <m/>
    <s v=""/>
    <x v="1"/>
  </r>
  <r>
    <n v="1176"/>
    <x v="3"/>
    <s v="VNS Health Health Plans (CDP)"/>
    <s v="MLTC"/>
    <s v="CDPAP"/>
    <s v="T1019U6 SI"/>
    <s v="T1019:U6"/>
    <x v="1"/>
    <x v="1"/>
    <s v="MC Medicaid CDPAP"/>
    <m/>
    <n v="1"/>
    <n v="207"/>
    <n v="1241.25"/>
    <n v="1"/>
    <n v="207"/>
    <n v="1241.25"/>
    <s v=""/>
    <m/>
    <s v=""/>
    <x v="1"/>
  </r>
  <r>
    <n v="1177"/>
    <x v="3"/>
    <s v="VNS Health Health Plans (CDP)"/>
    <s v="MLTC"/>
    <s v="CDPAP"/>
    <s v="T1019U7 QNS"/>
    <s v="T1019:U7"/>
    <x v="10"/>
    <x v="1"/>
    <s v="MC Medicaid CDPAP"/>
    <m/>
    <n v="2"/>
    <n v="341"/>
    <n v="3675.75"/>
    <n v="0"/>
    <n v="0"/>
    <m/>
    <s v=""/>
    <m/>
    <s v=""/>
    <x v="1"/>
  </r>
  <r>
    <n v="1178"/>
    <x v="3"/>
    <s v="VNSNY CHOICE PCA"/>
    <s v="LHCSA"/>
    <s v="MLTC"/>
    <s v="PCA Hourly"/>
    <s v="T1019:U1"/>
    <x v="2"/>
    <x v="0"/>
    <s v="MC Medicaid HHA"/>
    <m/>
    <n v="1"/>
    <n v="2"/>
    <n v="6"/>
    <n v="1"/>
    <n v="2"/>
    <n v="6"/>
    <s v=""/>
    <m/>
    <s v=""/>
    <x v="1"/>
  </r>
  <r>
    <n v="1179"/>
    <x v="3"/>
    <s v="VNSNY CHOICE PCA"/>
    <s v="LHCSA"/>
    <s v="MLTC"/>
    <s v="RN Reassessment (NB)"/>
    <m/>
    <x v="3"/>
    <x v="0"/>
    <s v="MC Medicaid HHA"/>
    <m/>
    <n v="1"/>
    <n v="2"/>
    <n v="2"/>
    <n v="1"/>
    <n v="2"/>
    <n v="2"/>
    <s v="Nursing override"/>
    <m/>
    <s v=""/>
    <x v="1"/>
  </r>
  <r>
    <n v="1180"/>
    <x v="3"/>
    <s v="Your Choice at Home"/>
    <s v="CHHA"/>
    <s v="CHHA"/>
    <s v="2610"/>
    <s v="2610"/>
    <x v="0"/>
    <x v="0"/>
    <s v="Other"/>
    <s v="CHHA"/>
    <n v="23"/>
    <n v="1418"/>
    <n v="13736.25"/>
    <n v="23"/>
    <n v="1418"/>
    <n v="13736.25"/>
    <s v=""/>
    <m/>
    <s v=""/>
    <x v="0"/>
  </r>
  <r>
    <n v="1181"/>
    <x v="3"/>
    <s v="Your Choice at Home"/>
    <s v="CHHA"/>
    <s v="CHHA"/>
    <s v="G0156"/>
    <s v="G0156"/>
    <x v="0"/>
    <x v="0"/>
    <s v="Other"/>
    <s v="CHHA"/>
    <n v="1"/>
    <n v="13"/>
    <n v="51.75"/>
    <n v="1"/>
    <n v="13"/>
    <n v="51.75"/>
    <s v=""/>
    <m/>
    <s v=""/>
    <x v="0"/>
  </r>
  <r>
    <n v="1182"/>
    <x v="3"/>
    <s v="Your Choice at Home"/>
    <s v="CHHA"/>
    <s v="CHHA"/>
    <s v="S9122"/>
    <s v="S9122"/>
    <x v="0"/>
    <x v="0"/>
    <s v="Other"/>
    <s v="CHHA"/>
    <n v="1"/>
    <n v="6"/>
    <n v="23.75"/>
    <n v="0"/>
    <n v="0"/>
    <m/>
    <s v=""/>
    <m/>
    <s v=""/>
    <x v="0"/>
  </r>
  <r>
    <n v="1183"/>
    <x v="42"/>
    <s v="EDDY SeniorCare VNA (Pace Plan)"/>
    <s v="MCO"/>
    <s v="MCO"/>
    <s v="PCA Hourly Weekday"/>
    <s v="T1019:U1"/>
    <x v="4"/>
    <x v="0"/>
    <s v="Other"/>
    <m/>
    <n v="3"/>
    <n v="31"/>
    <n v="153"/>
    <n v="3"/>
    <n v="31"/>
    <n v="153"/>
    <s v=""/>
    <m/>
    <s v=""/>
    <x v="0"/>
  </r>
  <r>
    <n v="1184"/>
    <x v="42"/>
    <s v="EDDY SeniorCare VNA (Pace Plan)"/>
    <s v="MCO"/>
    <s v="MCO"/>
    <s v="RN Initial Visit-NB"/>
    <s v="T1019:U1"/>
    <x v="4"/>
    <x v="0"/>
    <s v="Other"/>
    <m/>
    <n v="3"/>
    <n v="3"/>
    <n v="3"/>
    <n v="3"/>
    <n v="3"/>
    <n v="3"/>
    <s v="Nursing override"/>
    <m/>
    <s v=""/>
    <x v="0"/>
  </r>
  <r>
    <n v="1185"/>
    <x v="42"/>
    <s v="Fidelis Care (ANT)"/>
    <s v="LHCSA"/>
    <s v="MLTC"/>
    <s v="PRN (NB)"/>
    <m/>
    <x v="3"/>
    <x v="0"/>
    <s v="MC Medicaid HHA"/>
    <m/>
    <n v="1"/>
    <n v="1"/>
    <n v="1"/>
    <n v="0"/>
    <n v="0"/>
    <n v="0"/>
    <s v="Nursing override"/>
    <m/>
    <s v=""/>
    <x v="1"/>
  </r>
  <r>
    <n v="1186"/>
    <x v="42"/>
    <s v="Fidelis Care (ANT)"/>
    <s v="LHCSA"/>
    <s v="MLTC"/>
    <s v="RN Initial (NB)"/>
    <m/>
    <x v="3"/>
    <x v="0"/>
    <s v="MC Medicaid HHA"/>
    <m/>
    <n v="8"/>
    <n v="9"/>
    <n v="9"/>
    <n v="7"/>
    <n v="8"/>
    <n v="8"/>
    <s v="Nursing override"/>
    <m/>
    <s v=""/>
    <x v="1"/>
  </r>
  <r>
    <n v="1187"/>
    <x v="42"/>
    <s v="Fidelis Care (ANT)"/>
    <s v="LHCSA"/>
    <s v="MLTC"/>
    <s v="RN Initial Assement"/>
    <s v="T2024"/>
    <x v="3"/>
    <x v="0"/>
    <s v="MC Medicaid HHA"/>
    <m/>
    <n v="2"/>
    <n v="2"/>
    <n v="2"/>
    <n v="2"/>
    <n v="2"/>
    <n v="2"/>
    <s v="nursing"/>
    <m/>
    <s v=""/>
    <x v="1"/>
  </r>
  <r>
    <n v="1188"/>
    <x v="42"/>
    <s v="Fidelis Care (ANT)"/>
    <s v="LHCSA"/>
    <s v="MLTC"/>
    <s v="RN Reassessment (NB)"/>
    <m/>
    <x v="3"/>
    <x v="0"/>
    <s v="MC Medicaid HHA"/>
    <m/>
    <n v="5"/>
    <n v="6"/>
    <n v="6"/>
    <n v="4"/>
    <n v="4"/>
    <n v="4"/>
    <s v="Nursing override"/>
    <m/>
    <s v=""/>
    <x v="1"/>
  </r>
  <r>
    <n v="1189"/>
    <x v="42"/>
    <s v="Fidelis Care (ANT)"/>
    <s v="LHCSA"/>
    <s v="MLTC"/>
    <s v="T1019:U1"/>
    <s v="T1019:U1"/>
    <x v="2"/>
    <x v="0"/>
    <s v="MC Medicaid HHA"/>
    <m/>
    <n v="14"/>
    <n v="1165"/>
    <n v="4647.5"/>
    <n v="12"/>
    <n v="971"/>
    <n v="3659.75"/>
    <s v=""/>
    <m/>
    <s v=""/>
    <x v="1"/>
  </r>
  <r>
    <n v="1196"/>
    <x v="42"/>
    <s v="Fidelis Care (CDP)"/>
    <s v="LHCSA"/>
    <s v="CDPAP"/>
    <s v="T1019:U6"/>
    <s v="T1019:U6"/>
    <x v="1"/>
    <x v="1"/>
    <s v="MC Medicaid CDPAP"/>
    <m/>
    <n v="31"/>
    <n v="5117"/>
    <n v="25749.5"/>
    <n v="29"/>
    <n v="4999"/>
    <n v="24930.25"/>
    <s v=""/>
    <m/>
    <s v=""/>
    <x v="1"/>
  </r>
  <r>
    <n v="1197"/>
    <x v="42"/>
    <s v="Fidelis Care (CDP)"/>
    <s v="LHCSA"/>
    <s v="CDPAP"/>
    <s v="T1020:U6"/>
    <s v="T1020:U6"/>
    <x v="9"/>
    <x v="1"/>
    <s v="MC Medicaid CDPAP"/>
    <m/>
    <n v="1"/>
    <n v="6"/>
    <n v="78"/>
    <n v="1"/>
    <n v="6"/>
    <n v="78"/>
    <s v=""/>
    <m/>
    <n v="13"/>
    <x v="1"/>
  </r>
  <r>
    <n v="1199"/>
    <x v="42"/>
    <s v="Nascentia Health Options CDPAP"/>
    <s v="MLTC"/>
    <s v="CDPAP"/>
    <s v="PA Hourly"/>
    <s v="T1019:U6"/>
    <x v="1"/>
    <x v="1"/>
    <s v="MC Medicaid CDPAP"/>
    <m/>
    <n v="4"/>
    <n v="273"/>
    <n v="1547.5"/>
    <n v="3"/>
    <n v="271"/>
    <n v="1542.5"/>
    <s v=""/>
    <m/>
    <s v=""/>
    <x v="1"/>
  </r>
  <r>
    <n v="1200"/>
    <x v="42"/>
    <s v="Nascentia PCA"/>
    <s v="MLTC"/>
    <s v="MLTC"/>
    <s v="PCA Hourly"/>
    <s v="T1019:U1"/>
    <x v="2"/>
    <x v="0"/>
    <s v="MC Medicaid HHA"/>
    <m/>
    <n v="4"/>
    <n v="75"/>
    <n v="387.25"/>
    <n v="3"/>
    <n v="47"/>
    <n v="233.25"/>
    <s v=""/>
    <m/>
    <s v=""/>
    <x v="1"/>
  </r>
  <r>
    <n v="1201"/>
    <x v="42"/>
    <s v="Nascentia PCA"/>
    <s v="MLTC"/>
    <s v="MLTC"/>
    <s v="Rn initial assesment non billable"/>
    <m/>
    <x v="3"/>
    <x v="0"/>
    <s v="MC Medicaid HHA"/>
    <m/>
    <n v="4"/>
    <n v="4"/>
    <n v="4"/>
    <n v="3"/>
    <n v="3"/>
    <n v="3"/>
    <s v="Nursing override"/>
    <m/>
    <s v=""/>
    <x v="1"/>
  </r>
  <r>
    <n v="1202"/>
    <x v="42"/>
    <s v="Private Pay"/>
    <s v="Other"/>
    <s v="Private"/>
    <s v="PCA Hourly"/>
    <m/>
    <x v="5"/>
    <x v="0"/>
    <s v="Private Pay"/>
    <m/>
    <n v="1"/>
    <n v="7"/>
    <n v="84"/>
    <n v="1"/>
    <n v="7"/>
    <n v="84"/>
    <s v=""/>
    <m/>
    <s v=""/>
    <x v="0"/>
  </r>
  <r>
    <n v="1203"/>
    <x v="42"/>
    <s v="VNS Health Health Plans (ANT)"/>
    <s v="MLTC"/>
    <s v="MLTC"/>
    <s v="PRN (NB)"/>
    <m/>
    <x v="3"/>
    <x v="0"/>
    <s v="MC Medicaid HHA"/>
    <m/>
    <n v="2"/>
    <n v="2"/>
    <n v="2"/>
    <n v="1"/>
    <n v="1"/>
    <n v="1"/>
    <s v="Nursing override"/>
    <m/>
    <s v=""/>
    <x v="1"/>
  </r>
  <r>
    <n v="1204"/>
    <x v="42"/>
    <s v="VNS Health Health Plans (ANT)"/>
    <s v="MLTC"/>
    <s v="MLTC"/>
    <s v="RN Initial (NB)"/>
    <m/>
    <x v="3"/>
    <x v="0"/>
    <s v="MC Medicaid HHA"/>
    <m/>
    <n v="11"/>
    <n v="12"/>
    <n v="12"/>
    <n v="9"/>
    <n v="9"/>
    <n v="9"/>
    <s v="Nursing override"/>
    <m/>
    <s v=""/>
    <x v="1"/>
  </r>
  <r>
    <n v="1205"/>
    <x v="42"/>
    <s v="VNS Health Health Plans (ANT)"/>
    <s v="MLTC"/>
    <s v="MLTC"/>
    <s v="RN Reassessment (NB)"/>
    <m/>
    <x v="3"/>
    <x v="0"/>
    <s v="MC Medicaid HHA"/>
    <m/>
    <n v="7"/>
    <n v="10"/>
    <n v="10"/>
    <n v="7"/>
    <n v="10"/>
    <n v="10"/>
    <s v="Nursing override"/>
    <m/>
    <s v=""/>
    <x v="1"/>
  </r>
  <r>
    <n v="1206"/>
    <x v="42"/>
    <s v="VNS Health Health Plans (ANT)"/>
    <s v="MLTC"/>
    <s v="MLTC"/>
    <s v="T1019U1 REN"/>
    <s v="T1019:U1"/>
    <x v="2"/>
    <x v="0"/>
    <s v="MC Medicaid HHA"/>
    <m/>
    <n v="18"/>
    <n v="1282"/>
    <n v="5186.5"/>
    <n v="15"/>
    <n v="1107"/>
    <n v="4529"/>
    <s v=""/>
    <m/>
    <s v=""/>
    <x v="1"/>
  </r>
  <r>
    <n v="1207"/>
    <x v="42"/>
    <s v="VNS Health Health Plans (ANT)"/>
    <s v="MLTC"/>
    <s v="MLTC"/>
    <s v="T1019U6 REN"/>
    <s v="T1019:U6"/>
    <x v="1"/>
    <x v="1"/>
    <s v="MC Medicaid CDPAP"/>
    <m/>
    <n v="1"/>
    <n v="96"/>
    <n v="467"/>
    <n v="1"/>
    <n v="96"/>
    <n v="467"/>
    <s v=""/>
    <m/>
    <s v=""/>
    <x v="1"/>
  </r>
  <r>
    <n v="1210"/>
    <x v="42"/>
    <s v="VNS Health Health Plans (CDP)"/>
    <s v="MLTC"/>
    <s v="CDPAP"/>
    <s v="T1019U6 REN"/>
    <s v="T1019:U6"/>
    <x v="1"/>
    <x v="1"/>
    <s v="MC Medicaid CDPAP"/>
    <m/>
    <n v="31"/>
    <n v="4740"/>
    <n v="20321.75"/>
    <n v="28"/>
    <n v="4421"/>
    <n v="19199.75"/>
    <s v=""/>
    <m/>
    <s v=""/>
    <x v="1"/>
  </r>
  <r>
    <n v="1211"/>
    <x v="2"/>
    <s v="Americare"/>
    <s v="CHHA"/>
    <s v="CHHA"/>
    <s v="HHA1"/>
    <s v="S9122"/>
    <x v="0"/>
    <x v="0"/>
    <s v="Other"/>
    <s v="CHHA"/>
    <n v="10"/>
    <n v="148"/>
    <n v="572.75"/>
    <n v="5"/>
    <n v="58"/>
    <n v="223"/>
    <s v=""/>
    <m/>
    <s v=""/>
    <x v="0"/>
  </r>
  <r>
    <n v="1212"/>
    <x v="2"/>
    <s v="Americare"/>
    <s v="CHHA"/>
    <s v="CHHA"/>
    <s v="HHAPEDSV"/>
    <s v="S9122"/>
    <x v="0"/>
    <x v="0"/>
    <s v="Other"/>
    <s v="CHHA"/>
    <n v="40"/>
    <n v="4964"/>
    <n v="33164.5"/>
    <n v="36"/>
    <n v="4798"/>
    <n v="32267.25"/>
    <s v=""/>
    <m/>
    <s v=""/>
    <x v="0"/>
  </r>
  <r>
    <n v="1213"/>
    <x v="2"/>
    <s v="Anchor Health"/>
    <s v="Other"/>
    <s v="Private"/>
    <s v="Non Billable"/>
    <m/>
    <x v="5"/>
    <x v="0"/>
    <s v="Private Pay"/>
    <m/>
    <n v="1"/>
    <n v="2"/>
    <n v="3.5"/>
    <n v="1"/>
    <n v="2"/>
    <n v="3.5"/>
    <s v=""/>
    <m/>
    <s v=""/>
    <x v="0"/>
  </r>
  <r>
    <n v="1214"/>
    <x v="2"/>
    <s v="Archcare Community Life CDPAP"/>
    <s v="MCO"/>
    <s v="CDPAP"/>
    <s v="PA Hourly"/>
    <s v="T1019:U6"/>
    <x v="1"/>
    <x v="1"/>
    <s v="MC Medicaid CDPAP"/>
    <m/>
    <n v="8"/>
    <n v="771"/>
    <n v="3758.75"/>
    <n v="8"/>
    <n v="771"/>
    <n v="3758.75"/>
    <s v=""/>
    <m/>
    <s v=""/>
    <x v="1"/>
  </r>
  <r>
    <n v="1215"/>
    <x v="2"/>
    <s v="Archcare Community Life PCA"/>
    <s v="MCO"/>
    <s v="MLTC"/>
    <s v="PCA Hourly"/>
    <s v="T1019:U1"/>
    <x v="2"/>
    <x v="0"/>
    <s v="MC Medicaid HHA"/>
    <m/>
    <n v="8"/>
    <n v="723"/>
    <n v="6020.75"/>
    <n v="8"/>
    <n v="723"/>
    <n v="6020.75"/>
    <s v=""/>
    <m/>
    <s v=""/>
    <x v="1"/>
  </r>
  <r>
    <n v="1216"/>
    <x v="2"/>
    <s v="Archcare Community Life PCA"/>
    <s v="MCO"/>
    <s v="MLTC"/>
    <s v="PRN (NB)"/>
    <m/>
    <x v="3"/>
    <x v="0"/>
    <s v="MC Medicaid HHA"/>
    <m/>
    <n v="1"/>
    <n v="1"/>
    <n v="1"/>
    <n v="1"/>
    <n v="1"/>
    <n v="1"/>
    <s v="Nursing override"/>
    <m/>
    <s v=""/>
    <x v="1"/>
  </r>
  <r>
    <n v="1217"/>
    <x v="2"/>
    <s v="Archcare Community Life PCA"/>
    <s v="MCO"/>
    <s v="MLTC"/>
    <s v="RN Reassessment (NB)"/>
    <m/>
    <x v="3"/>
    <x v="0"/>
    <s v="MC Medicaid HHA"/>
    <m/>
    <n v="4"/>
    <n v="4"/>
    <n v="4"/>
    <n v="4"/>
    <n v="4"/>
    <n v="4"/>
    <s v="Nursing override"/>
    <m/>
    <s v=""/>
    <x v="1"/>
  </r>
  <r>
    <n v="1218"/>
    <x v="2"/>
    <s v="Archcare Senior Life PCA &quot;PACE Plan&quot;"/>
    <s v="MCO"/>
    <s v="MLTC"/>
    <s v="HHA Hourly - S5125"/>
    <s v="S5125"/>
    <x v="4"/>
    <x v="0"/>
    <s v="Other"/>
    <m/>
    <n v="1"/>
    <n v="550"/>
    <n v="3178.75"/>
    <n v="1"/>
    <n v="550"/>
    <n v="3178.75"/>
    <s v=""/>
    <m/>
    <s v=""/>
    <x v="0"/>
  </r>
  <r>
    <n v="1219"/>
    <x v="2"/>
    <s v="Archcare Senior Life PCA &quot;PACE Plan&quot;"/>
    <s v="MCO"/>
    <s v="MLTC"/>
    <s v="HHA Live IN - S5126"/>
    <s v="S5126"/>
    <x v="4"/>
    <x v="0"/>
    <s v="Other"/>
    <m/>
    <n v="1"/>
    <n v="21"/>
    <n v="273"/>
    <n v="1"/>
    <n v="21"/>
    <n v="273"/>
    <s v=""/>
    <m/>
    <n v="13"/>
    <x v="0"/>
  </r>
  <r>
    <n v="1220"/>
    <x v="2"/>
    <s v="Archcare Senior Life PCA &quot;PACE Plan&quot;"/>
    <s v="MCO"/>
    <s v="MLTC"/>
    <s v="PCA Hourly"/>
    <s v="T1019:U1"/>
    <x v="4"/>
    <x v="0"/>
    <s v="Other"/>
    <m/>
    <n v="2"/>
    <n v="242"/>
    <n v="2016"/>
    <n v="2"/>
    <n v="242"/>
    <n v="2016"/>
    <s v=""/>
    <m/>
    <s v=""/>
    <x v="0"/>
  </r>
  <r>
    <n v="1221"/>
    <x v="2"/>
    <s v="Archcare Senior Life PCA &quot;PACE Plan&quot;"/>
    <s v="MCO"/>
    <s v="MLTC"/>
    <s v="PRN (NB)"/>
    <m/>
    <x v="4"/>
    <x v="0"/>
    <s v="Other"/>
    <m/>
    <n v="1"/>
    <n v="1"/>
    <n v="1"/>
    <n v="1"/>
    <n v="1"/>
    <n v="1"/>
    <s v="Nursing override"/>
    <m/>
    <s v=""/>
    <x v="0"/>
  </r>
  <r>
    <n v="1222"/>
    <x v="2"/>
    <s v="Archcare Senior Life PCA &quot;PACE Plan&quot;"/>
    <s v="MCO"/>
    <s v="MLTC"/>
    <s v="RN Reassessment (NB)"/>
    <m/>
    <x v="4"/>
    <x v="0"/>
    <s v="Other"/>
    <m/>
    <n v="2"/>
    <n v="4"/>
    <n v="4"/>
    <n v="2"/>
    <n v="4"/>
    <n v="4"/>
    <s v="Nursing override"/>
    <m/>
    <s v=""/>
    <x v="0"/>
  </r>
  <r>
    <n v="1223"/>
    <x v="2"/>
    <s v="CenterLight HealthCare (PACE) (ANT)"/>
    <s v="Other"/>
    <s v="MLTC"/>
    <s v="RN Reassessment (NB)"/>
    <m/>
    <x v="4"/>
    <x v="0"/>
    <s v="Other"/>
    <m/>
    <n v="1"/>
    <n v="1"/>
    <n v="1"/>
    <n v="1"/>
    <n v="1"/>
    <n v="1"/>
    <s v="Nursing override"/>
    <m/>
    <s v=""/>
    <x v="0"/>
  </r>
  <r>
    <n v="1224"/>
    <x v="2"/>
    <s v="CenterLight HealthCare (PACE) (ANT)"/>
    <s v="Other"/>
    <s v="MLTC"/>
    <s v="T1019:U1"/>
    <s v="T1019:U1"/>
    <x v="4"/>
    <x v="0"/>
    <s v="Other"/>
    <m/>
    <n v="1"/>
    <n v="142"/>
    <n v="609.75"/>
    <n v="1"/>
    <n v="142"/>
    <n v="609.75"/>
    <s v=""/>
    <m/>
    <s v=""/>
    <x v="0"/>
  </r>
  <r>
    <n v="1225"/>
    <x v="2"/>
    <s v="Centers Plan For Health Living PCA"/>
    <s v="MLTC"/>
    <s v="MLTC"/>
    <s v="PCA Hourly"/>
    <s v="T1019:U1"/>
    <x v="2"/>
    <x v="0"/>
    <s v="MC Medicaid HHA"/>
    <m/>
    <n v="94"/>
    <n v="12619"/>
    <n v="71127.5"/>
    <n v="88"/>
    <n v="12338"/>
    <n v="69632.75"/>
    <s v=""/>
    <m/>
    <s v=""/>
    <x v="1"/>
  </r>
  <r>
    <n v="1226"/>
    <x v="2"/>
    <s v="Centers Plan For Health Living PCA"/>
    <s v="MLTC"/>
    <s v="MLTC"/>
    <s v="PCA Live-In"/>
    <s v="T1020"/>
    <x v="8"/>
    <x v="0"/>
    <s v="MC Medicaid HHA"/>
    <m/>
    <n v="5"/>
    <n v="1093"/>
    <n v="14209"/>
    <n v="5"/>
    <n v="1093"/>
    <n v="14209"/>
    <s v=""/>
    <m/>
    <n v="13"/>
    <x v="1"/>
  </r>
  <r>
    <n v="1227"/>
    <x v="2"/>
    <s v="Centers Plan For Health Living PCA"/>
    <s v="MLTC"/>
    <s v="MLTC"/>
    <s v="PRN (NB)"/>
    <m/>
    <x v="3"/>
    <x v="0"/>
    <s v="MC Medicaid HHA"/>
    <m/>
    <n v="8"/>
    <n v="8"/>
    <n v="8"/>
    <n v="8"/>
    <n v="8"/>
    <n v="8"/>
    <s v="Nursing override"/>
    <m/>
    <s v=""/>
    <x v="1"/>
  </r>
  <r>
    <n v="1228"/>
    <x v="2"/>
    <s v="Centers Plan For Health Living PCA"/>
    <s v="MLTC"/>
    <s v="MLTC"/>
    <s v="RN Initial (NB)"/>
    <m/>
    <x v="3"/>
    <x v="0"/>
    <s v="MC Medicaid HHA"/>
    <m/>
    <n v="49"/>
    <n v="49"/>
    <n v="49"/>
    <n v="47"/>
    <n v="47"/>
    <n v="47"/>
    <s v="Nursing override"/>
    <m/>
    <s v=""/>
    <x v="1"/>
  </r>
  <r>
    <n v="1229"/>
    <x v="2"/>
    <s v="Centers Plan For Health Living PCA"/>
    <s v="MLTC"/>
    <s v="MLTC"/>
    <s v="RN Initial Assessment"/>
    <m/>
    <x v="3"/>
    <x v="0"/>
    <s v="MC Medicaid HHA"/>
    <m/>
    <n v="1"/>
    <n v="1"/>
    <n v="1"/>
    <n v="1"/>
    <n v="1"/>
    <n v="1"/>
    <s v="nursing"/>
    <m/>
    <s v=""/>
    <x v="1"/>
  </r>
  <r>
    <n v="1230"/>
    <x v="2"/>
    <s v="Centers Plan For Health Living PCA"/>
    <s v="MLTC"/>
    <s v="MLTC"/>
    <s v="RN Reassessment (NB)"/>
    <m/>
    <x v="3"/>
    <x v="0"/>
    <s v="MC Medicaid HHA"/>
    <m/>
    <n v="53"/>
    <n v="83"/>
    <n v="83"/>
    <n v="52"/>
    <n v="82"/>
    <n v="82"/>
    <s v="Nursing override"/>
    <m/>
    <s v=""/>
    <x v="1"/>
  </r>
  <r>
    <n v="1235"/>
    <x v="2"/>
    <s v="Centers Plan For Healthy Living CDPAP "/>
    <s v="MLTC"/>
    <s v="CDPAP"/>
    <s v="PA Hourly - 5 Boroughs"/>
    <s v="T1019:U6"/>
    <x v="1"/>
    <x v="1"/>
    <s v="MC Medicaid CDPAP"/>
    <m/>
    <n v="49"/>
    <n v="11864"/>
    <n v="54709.75"/>
    <n v="48"/>
    <n v="11840"/>
    <n v="54424"/>
    <s v=""/>
    <m/>
    <s v=""/>
    <x v="1"/>
  </r>
  <r>
    <n v="1236"/>
    <x v="2"/>
    <s v="Elderplan MJHS (ANT)"/>
    <s v="MLTC"/>
    <s v="MLTC"/>
    <s v="RN Initial (NB)"/>
    <m/>
    <x v="3"/>
    <x v="0"/>
    <s v="MC Medicaid HHA"/>
    <m/>
    <n v="12"/>
    <n v="12"/>
    <n v="12"/>
    <n v="11"/>
    <n v="11"/>
    <n v="11"/>
    <s v="Nursing override"/>
    <m/>
    <s v=""/>
    <x v="1"/>
  </r>
  <r>
    <n v="1237"/>
    <x v="2"/>
    <s v="Elderplan MJHS (ANT)"/>
    <s v="MLTC"/>
    <s v="MLTC"/>
    <s v="RN Reassessment (NB)"/>
    <m/>
    <x v="3"/>
    <x v="0"/>
    <s v="MC Medicaid HHA"/>
    <m/>
    <n v="6"/>
    <n v="9"/>
    <n v="9"/>
    <n v="6"/>
    <n v="9"/>
    <n v="9"/>
    <s v="Nursing override"/>
    <m/>
    <s v=""/>
    <x v="1"/>
  </r>
  <r>
    <n v="1238"/>
    <x v="2"/>
    <s v="Elderplan MJHS (ANT)"/>
    <s v="MLTC"/>
    <s v="MLTC"/>
    <s v="T1019:U1"/>
    <s v="T1019:U1"/>
    <x v="2"/>
    <x v="0"/>
    <s v="MC Medicaid HHA"/>
    <m/>
    <n v="17"/>
    <n v="1833"/>
    <n v="9339.75"/>
    <n v="14"/>
    <n v="1775"/>
    <n v="8953.5"/>
    <s v=""/>
    <m/>
    <s v=""/>
    <x v="1"/>
  </r>
  <r>
    <n v="1239"/>
    <x v="2"/>
    <s v="Elderplan MJHS (ANT)"/>
    <s v="MLTC"/>
    <s v="MLTC"/>
    <s v="T1020"/>
    <s v="T1020"/>
    <x v="8"/>
    <x v="0"/>
    <s v="MC Medicaid HHA"/>
    <m/>
    <n v="2"/>
    <n v="93"/>
    <n v="1209"/>
    <n v="2"/>
    <n v="93"/>
    <n v="1209"/>
    <s v=""/>
    <m/>
    <n v="13"/>
    <x v="1"/>
  </r>
  <r>
    <n v="1242"/>
    <x v="2"/>
    <s v="Elderplan MJHS (CDP)"/>
    <s v="MLTC"/>
    <s v="CDPAP"/>
    <s v="T1019:U6"/>
    <s v="T1019:U6"/>
    <x v="1"/>
    <x v="1"/>
    <s v="MC Medicaid CDPAP"/>
    <m/>
    <n v="12"/>
    <n v="2473"/>
    <n v="12336"/>
    <n v="12"/>
    <n v="2473"/>
    <n v="12336"/>
    <s v=""/>
    <m/>
    <s v=""/>
    <x v="1"/>
  </r>
  <r>
    <n v="1245"/>
    <x v="2"/>
    <s v="ElderServe/Riverspring (CDPAP)"/>
    <s v="MLTC"/>
    <s v="CDPAP"/>
    <s v="PA Hourly"/>
    <s v="T1019:U6"/>
    <x v="1"/>
    <x v="1"/>
    <s v="MC Medicaid CDPAP"/>
    <m/>
    <n v="3"/>
    <n v="383"/>
    <n v="2323.25"/>
    <n v="3"/>
    <n v="383"/>
    <n v="2323.25"/>
    <s v=""/>
    <m/>
    <s v=""/>
    <x v="1"/>
  </r>
  <r>
    <n v="1246"/>
    <x v="2"/>
    <s v="ElderServe/Riverspring (PCA)"/>
    <s v="MLTC"/>
    <s v="MLTC"/>
    <s v="PCA Hourly NYC"/>
    <s v="T1019:U1"/>
    <x v="2"/>
    <x v="0"/>
    <s v="MC Medicaid HHA"/>
    <m/>
    <n v="2"/>
    <n v="97"/>
    <n v="543"/>
    <n v="2"/>
    <n v="97"/>
    <n v="543"/>
    <s v=""/>
    <m/>
    <s v=""/>
    <x v="1"/>
  </r>
  <r>
    <n v="1247"/>
    <x v="2"/>
    <s v="ElderServe/Riverspring (PCA)"/>
    <s v="MLTC"/>
    <s v="MLTC"/>
    <s v="RN Initial (NB)"/>
    <m/>
    <x v="3"/>
    <x v="0"/>
    <s v="MC Medicaid HHA"/>
    <m/>
    <n v="2"/>
    <n v="2"/>
    <n v="2"/>
    <n v="2"/>
    <n v="2"/>
    <n v="2"/>
    <s v="Nursing override"/>
    <m/>
    <s v=""/>
    <x v="1"/>
  </r>
  <r>
    <n v="1252"/>
    <x v="2"/>
    <s v="Empire Blue Cross Blue Shield (CDPAP)"/>
    <s v="Other"/>
    <s v="CDPAP"/>
    <s v="PA Hourly (New)"/>
    <s v="T1019:U6"/>
    <x v="1"/>
    <x v="1"/>
    <s v="MC Medicaid CDPAP"/>
    <m/>
    <n v="30"/>
    <n v="6190"/>
    <n v="36430.5"/>
    <n v="27"/>
    <n v="6108"/>
    <n v="35667.75"/>
    <s v=""/>
    <m/>
    <s v=""/>
    <x v="1"/>
  </r>
  <r>
    <n v="1253"/>
    <x v="2"/>
    <s v="Empire Blue Cross Blue Shield (CDPAP)"/>
    <s v="Other"/>
    <s v="CDPAP"/>
    <s v="PA Live-In"/>
    <s v="T1020:U6"/>
    <x v="9"/>
    <x v="1"/>
    <s v="MC Medicaid CDPAP"/>
    <m/>
    <n v="2"/>
    <n v="495"/>
    <n v="6435"/>
    <n v="2"/>
    <n v="495"/>
    <n v="6435"/>
    <s v=""/>
    <m/>
    <n v="13"/>
    <x v="1"/>
  </r>
  <r>
    <n v="1254"/>
    <x v="2"/>
    <s v="Empire Blue Cross Blue Shield (PCA)"/>
    <s v="Other"/>
    <s v="MLTC"/>
    <s v="PCA Hourly NYC"/>
    <s v="T1019:U1"/>
    <x v="2"/>
    <x v="0"/>
    <s v="MC Medicaid HHA"/>
    <m/>
    <n v="21"/>
    <n v="3155"/>
    <n v="19337.25"/>
    <n v="19"/>
    <n v="3096"/>
    <n v="18900.25"/>
    <s v=""/>
    <m/>
    <s v=""/>
    <x v="1"/>
  </r>
  <r>
    <n v="1255"/>
    <x v="2"/>
    <s v="Empire Blue Cross Blue Shield (PCA)"/>
    <s v="Other"/>
    <s v="MLTC"/>
    <s v="PCA Live In"/>
    <s v="T1020"/>
    <x v="8"/>
    <x v="0"/>
    <s v="MC Medicaid HHA"/>
    <m/>
    <n v="1"/>
    <n v="98"/>
    <n v="1274"/>
    <n v="0"/>
    <n v="0"/>
    <n v="0"/>
    <s v=""/>
    <m/>
    <e v="#DIV/0!"/>
    <x v="1"/>
  </r>
  <r>
    <n v="1256"/>
    <x v="2"/>
    <s v="Empire Blue Cross Blue Shield (PCA)"/>
    <s v="Other"/>
    <s v="MLTC"/>
    <s v="PRN (NB)"/>
    <m/>
    <x v="3"/>
    <x v="0"/>
    <s v="MC Medicaid HHA"/>
    <m/>
    <n v="2"/>
    <n v="2"/>
    <n v="2"/>
    <n v="2"/>
    <n v="2"/>
    <n v="2"/>
    <s v="Nursing override"/>
    <m/>
    <s v=""/>
    <x v="1"/>
  </r>
  <r>
    <n v="1257"/>
    <x v="2"/>
    <s v="Empire Blue Cross Blue Shield (PCA)"/>
    <s v="Other"/>
    <s v="MLTC"/>
    <s v="RN Initial (NB)"/>
    <m/>
    <x v="3"/>
    <x v="0"/>
    <s v="MC Medicaid HHA"/>
    <m/>
    <n v="9"/>
    <n v="9"/>
    <n v="9"/>
    <n v="7"/>
    <n v="7"/>
    <n v="7"/>
    <s v="Nursing override"/>
    <m/>
    <s v=""/>
    <x v="1"/>
  </r>
  <r>
    <n v="1258"/>
    <x v="2"/>
    <s v="Empire Blue Cross Blue Shield (PCA)"/>
    <s v="Other"/>
    <s v="MLTC"/>
    <s v="RN Reassessment (NB)"/>
    <m/>
    <x v="3"/>
    <x v="0"/>
    <s v="MC Medicaid HHA"/>
    <m/>
    <n v="11"/>
    <n v="19"/>
    <n v="19"/>
    <n v="11"/>
    <n v="19"/>
    <n v="19"/>
    <s v="Nursing override"/>
    <m/>
    <s v=""/>
    <x v="1"/>
  </r>
  <r>
    <n v="1259"/>
    <x v="2"/>
    <s v="Extended Home Care"/>
    <s v="CHHA"/>
    <s v="CHHA"/>
    <s v="PedCode95"/>
    <s v="-"/>
    <x v="0"/>
    <x v="0"/>
    <s v="Other"/>
    <s v="CHHA"/>
    <n v="9"/>
    <n v="439"/>
    <n v="2399.75"/>
    <n v="8"/>
    <n v="419"/>
    <n v="2288.25"/>
    <s v=""/>
    <m/>
    <s v=""/>
    <x v="0"/>
  </r>
  <r>
    <n v="1260"/>
    <x v="2"/>
    <s v="Extended Home Care"/>
    <s v="CHHA"/>
    <s v="CHHA"/>
    <s v="Rate1"/>
    <m/>
    <x v="0"/>
    <x v="0"/>
    <s v="Other"/>
    <s v="CHHA"/>
    <n v="24"/>
    <n v="1364"/>
    <n v="6228.5"/>
    <n v="22"/>
    <n v="1306"/>
    <n v="6019.75"/>
    <s v=""/>
    <m/>
    <s v=""/>
    <x v="0"/>
  </r>
  <r>
    <n v="1261"/>
    <x v="2"/>
    <s v="Extended Home Care"/>
    <s v="CHHA"/>
    <s v="CHHA"/>
    <s v="Rate4HMO"/>
    <s v="0"/>
    <x v="0"/>
    <x v="0"/>
    <s v="Other"/>
    <s v="CHHA"/>
    <n v="1"/>
    <n v="4"/>
    <n v="16"/>
    <n v="1"/>
    <n v="4"/>
    <n v="16"/>
    <s v=""/>
    <m/>
    <s v=""/>
    <x v="0"/>
  </r>
  <r>
    <n v="1262"/>
    <x v="2"/>
    <s v="Fidelis Care (ANT)"/>
    <s v="LHCSA"/>
    <s v="MLTC"/>
    <s v="PRN (NB)"/>
    <m/>
    <x v="3"/>
    <x v="0"/>
    <s v="MC Medicaid HHA"/>
    <m/>
    <n v="5"/>
    <n v="6"/>
    <n v="6"/>
    <n v="5"/>
    <n v="6"/>
    <n v="6"/>
    <s v="Nursing override"/>
    <m/>
    <s v=""/>
    <x v="1"/>
  </r>
  <r>
    <n v="1263"/>
    <x v="2"/>
    <s v="Fidelis Care (ANT)"/>
    <s v="LHCSA"/>
    <s v="MLTC"/>
    <s v="RN Initial (NB)"/>
    <m/>
    <x v="3"/>
    <x v="0"/>
    <s v="MC Medicaid HHA"/>
    <m/>
    <n v="30"/>
    <n v="30"/>
    <n v="30"/>
    <n v="30"/>
    <n v="30"/>
    <n v="30"/>
    <s v="Nursing override"/>
    <m/>
    <s v=""/>
    <x v="1"/>
  </r>
  <r>
    <n v="1264"/>
    <x v="2"/>
    <s v="Fidelis Care (ANT)"/>
    <s v="LHCSA"/>
    <s v="MLTC"/>
    <s v="RN Initial Assement"/>
    <s v="T2024"/>
    <x v="3"/>
    <x v="0"/>
    <s v="MC Medicaid HHA"/>
    <m/>
    <n v="13"/>
    <n v="13"/>
    <n v="13"/>
    <n v="13"/>
    <n v="13"/>
    <n v="13"/>
    <s v="nursing"/>
    <m/>
    <s v=""/>
    <x v="1"/>
  </r>
  <r>
    <n v="1265"/>
    <x v="2"/>
    <s v="Fidelis Care (ANT)"/>
    <s v="LHCSA"/>
    <s v="MLTC"/>
    <s v="RN Reassessment (NB)"/>
    <m/>
    <x v="3"/>
    <x v="0"/>
    <s v="MC Medicaid HHA"/>
    <m/>
    <n v="33"/>
    <n v="40"/>
    <n v="40"/>
    <n v="33"/>
    <n v="40"/>
    <n v="40"/>
    <s v="Nursing override"/>
    <m/>
    <s v=""/>
    <x v="1"/>
  </r>
  <r>
    <n v="1266"/>
    <x v="2"/>
    <s v="Fidelis Care (ANT)"/>
    <s v="LHCSA"/>
    <s v="MLTC"/>
    <s v="S5130:U1"/>
    <s v="S5130:U1::::Homemaker"/>
    <x v="6"/>
    <x v="0"/>
    <s v="MC Medicaid HHA"/>
    <m/>
    <n v="1"/>
    <n v="2"/>
    <n v="10"/>
    <n v="1"/>
    <n v="2"/>
    <n v="10"/>
    <s v=""/>
    <m/>
    <s v=""/>
    <x v="1"/>
  </r>
  <r>
    <n v="1267"/>
    <x v="2"/>
    <s v="Fidelis Care (ANT)"/>
    <s v="LHCSA"/>
    <s v="MLTC"/>
    <s v="T1019:U1"/>
    <s v="T1019:U1"/>
    <x v="2"/>
    <x v="0"/>
    <s v="MC Medicaid HHA"/>
    <m/>
    <n v="79"/>
    <n v="8762"/>
    <n v="50727.75"/>
    <n v="76"/>
    <n v="8720"/>
    <n v="50552.25"/>
    <s v=""/>
    <m/>
    <s v=""/>
    <x v="1"/>
  </r>
  <r>
    <n v="1268"/>
    <x v="2"/>
    <s v="Fidelis Care (ANT)"/>
    <s v="LHCSA"/>
    <s v="MLTC"/>
    <s v="T1020"/>
    <s v="T1020"/>
    <x v="8"/>
    <x v="0"/>
    <s v="MC Medicaid HHA"/>
    <m/>
    <n v="2"/>
    <n v="105"/>
    <n v="1365"/>
    <n v="2"/>
    <n v="105"/>
    <n v="1365"/>
    <s v=""/>
    <m/>
    <n v="13"/>
    <x v="1"/>
  </r>
  <r>
    <n v="1271"/>
    <x v="2"/>
    <s v="Fidelis Care (CDP)"/>
    <s v="LHCSA"/>
    <s v="CDPAP"/>
    <s v="T1019:U6"/>
    <s v="T1019:U6"/>
    <x v="1"/>
    <x v="1"/>
    <s v="MC Medicaid CDPAP"/>
    <m/>
    <n v="28"/>
    <n v="4454"/>
    <n v="21993.5"/>
    <n v="27"/>
    <n v="4449"/>
    <n v="21955.5"/>
    <s v=""/>
    <m/>
    <s v=""/>
    <x v="1"/>
  </r>
  <r>
    <n v="1272"/>
    <x v="2"/>
    <s v="Fidelis Care PCA (Non Live)"/>
    <s v="MLTC"/>
    <s v="MLTC"/>
    <s v="PCA Hourly"/>
    <s v="T1019:U1"/>
    <x v="2"/>
    <x v="0"/>
    <s v="MC Medicaid HHA"/>
    <m/>
    <n v="1"/>
    <n v="1"/>
    <n v="1"/>
    <n v="1"/>
    <n v="1"/>
    <n v="1"/>
    <s v=""/>
    <m/>
    <s v=""/>
    <x v="1"/>
  </r>
  <r>
    <n v="1273"/>
    <x v="2"/>
    <s v="Fidelis Care PCA (Non Live)"/>
    <s v="MLTC"/>
    <s v="MLTC"/>
    <s v="RN Initial (NB)"/>
    <s v="G0162"/>
    <x v="3"/>
    <x v="0"/>
    <s v="MC Medicaid HHA"/>
    <m/>
    <n v="4"/>
    <n v="4"/>
    <n v="4"/>
    <n v="3"/>
    <n v="3"/>
    <n v="3"/>
    <s v="Nursing override"/>
    <m/>
    <s v=""/>
    <x v="1"/>
  </r>
  <r>
    <n v="1274"/>
    <x v="2"/>
    <s v="Fidelis Care PCA (Non Live)"/>
    <s v="MLTC"/>
    <s v="MLTC"/>
    <s v="Rn initial assement"/>
    <s v="G0162"/>
    <x v="3"/>
    <x v="0"/>
    <s v="MC Medicaid HHA"/>
    <m/>
    <n v="12"/>
    <n v="12"/>
    <n v="12"/>
    <n v="11"/>
    <n v="11"/>
    <n v="11"/>
    <s v="nursing"/>
    <m/>
    <s v=""/>
    <x v="1"/>
  </r>
  <r>
    <n v="1276"/>
    <x v="2"/>
    <s v="Hamaspik Choice (MLTC) CDPAP"/>
    <s v="MCO"/>
    <s v="CDPAP"/>
    <s v="PA Hourly NYC , Nassau, Westchester"/>
    <s v="T1019:U6"/>
    <x v="1"/>
    <x v="1"/>
    <s v="MC Medicaid CDPAP"/>
    <m/>
    <n v="1"/>
    <n v="366"/>
    <n v="1097.75"/>
    <n v="1"/>
    <n v="366"/>
    <n v="1097.75"/>
    <s v=""/>
    <m/>
    <s v=""/>
    <x v="1"/>
  </r>
  <r>
    <n v="1278"/>
    <x v="2"/>
    <s v="Hamaspik Choice MLTC (PCA)"/>
    <s v="MLTC"/>
    <s v="MLTC"/>
    <s v="PCA Hourly"/>
    <s v="T1019:U1"/>
    <x v="2"/>
    <x v="0"/>
    <s v="MC Medicaid HHA"/>
    <m/>
    <n v="8"/>
    <n v="1103"/>
    <n v="7958.25"/>
    <n v="8"/>
    <n v="1103"/>
    <n v="7958.25"/>
    <s v=""/>
    <m/>
    <s v=""/>
    <x v="1"/>
  </r>
  <r>
    <n v="1279"/>
    <x v="2"/>
    <s v="Hamaspik Choice MLTC (PCA)"/>
    <s v="MLTC"/>
    <s v="MLTC"/>
    <s v="PCA Live In"/>
    <s v="T1020"/>
    <x v="8"/>
    <x v="0"/>
    <s v="MC Medicaid HHA"/>
    <m/>
    <n v="2"/>
    <n v="68"/>
    <n v="884"/>
    <n v="2"/>
    <n v="68"/>
    <n v="884"/>
    <s v=""/>
    <m/>
    <n v="13"/>
    <x v="1"/>
  </r>
  <r>
    <n v="1280"/>
    <x v="2"/>
    <s v="Hamaspik Choice MLTC (PCA)"/>
    <s v="MLTC"/>
    <s v="MLTC"/>
    <s v="RN Initial (NB)"/>
    <m/>
    <x v="3"/>
    <x v="0"/>
    <s v="MC Medicaid HHA"/>
    <m/>
    <n v="5"/>
    <n v="5"/>
    <n v="5"/>
    <n v="5"/>
    <n v="5"/>
    <n v="5"/>
    <s v="Nursing override"/>
    <m/>
    <s v=""/>
    <x v="1"/>
  </r>
  <r>
    <n v="1281"/>
    <x v="2"/>
    <s v="Hamaspik Choice MLTC (PCA)"/>
    <s v="MLTC"/>
    <s v="MLTC"/>
    <s v="RN Reassessment (NB)"/>
    <m/>
    <x v="3"/>
    <x v="0"/>
    <s v="MC Medicaid HHA"/>
    <m/>
    <n v="4"/>
    <n v="6"/>
    <n v="6"/>
    <n v="4"/>
    <n v="6"/>
    <n v="6"/>
    <s v="Nursing override"/>
    <m/>
    <s v=""/>
    <x v="1"/>
  </r>
  <r>
    <n v="1283"/>
    <x v="2"/>
    <s v="Hamaspik MAP CDPAP"/>
    <s v="MCO"/>
    <s v="CDPAP"/>
    <s v="PA Hourly (NYC, LI, &amp; Westchester)"/>
    <s v="T1019:U6"/>
    <x v="1"/>
    <x v="1"/>
    <s v="MC Medicaid CDPAP"/>
    <m/>
    <n v="1"/>
    <n v="175"/>
    <n v="1529"/>
    <n v="1"/>
    <n v="175"/>
    <n v="1529"/>
    <s v=""/>
    <m/>
    <s v=""/>
    <x v="1"/>
  </r>
  <r>
    <n v="1285"/>
    <x v="2"/>
    <s v="Hamaspik MAP PCA"/>
    <s v="MCO"/>
    <s v="MLTC"/>
    <s v="PCA Hourly"/>
    <s v="T1019:U1"/>
    <x v="2"/>
    <x v="0"/>
    <s v="MC Medicaid HHA"/>
    <m/>
    <n v="5"/>
    <n v="740"/>
    <n v="3494"/>
    <n v="3"/>
    <n v="642"/>
    <n v="3103"/>
    <s v=""/>
    <m/>
    <s v=""/>
    <x v="1"/>
  </r>
  <r>
    <n v="1286"/>
    <x v="2"/>
    <s v="Hamaspik MAP PCA"/>
    <s v="MCO"/>
    <s v="MLTC"/>
    <s v="PRN (NB)"/>
    <m/>
    <x v="3"/>
    <x v="0"/>
    <s v="MC Medicaid HHA"/>
    <m/>
    <n v="2"/>
    <n v="2"/>
    <n v="2"/>
    <n v="2"/>
    <n v="2"/>
    <n v="2"/>
    <s v="Nursing override"/>
    <m/>
    <s v=""/>
    <x v="1"/>
  </r>
  <r>
    <n v="1287"/>
    <x v="2"/>
    <s v="Hamaspik MAP PCA"/>
    <s v="MCO"/>
    <s v="MLTC"/>
    <s v="RN Initial (NB)"/>
    <m/>
    <x v="3"/>
    <x v="0"/>
    <s v="MC Medicaid HHA"/>
    <m/>
    <n v="2"/>
    <n v="2"/>
    <n v="2"/>
    <n v="1"/>
    <n v="1"/>
    <n v="1"/>
    <s v="Nursing override"/>
    <m/>
    <s v=""/>
    <x v="1"/>
  </r>
  <r>
    <n v="1288"/>
    <x v="2"/>
    <s v="Hamaspik MAP PCA"/>
    <s v="MCO"/>
    <s v="MLTC"/>
    <s v="RN Reassessment (NB)"/>
    <m/>
    <x v="3"/>
    <x v="0"/>
    <s v="MC Medicaid HHA"/>
    <m/>
    <n v="4"/>
    <n v="4"/>
    <n v="4"/>
    <n v="3"/>
    <n v="3"/>
    <n v="3"/>
    <s v="Nursing override"/>
    <m/>
    <s v=""/>
    <x v="1"/>
  </r>
  <r>
    <n v="1289"/>
    <x v="2"/>
    <s v="Healthfirst (ANT)"/>
    <s v="CHHA"/>
    <s v="MLTC"/>
    <s v="RN Initial (NB)"/>
    <m/>
    <x v="3"/>
    <x v="0"/>
    <s v="MC Medicaid HHA"/>
    <m/>
    <n v="10"/>
    <n v="10"/>
    <n v="10"/>
    <n v="10"/>
    <n v="10"/>
    <n v="10"/>
    <s v="Nursing override"/>
    <m/>
    <s v=""/>
    <x v="1"/>
  </r>
  <r>
    <n v="1290"/>
    <x v="2"/>
    <s v="Healthfirst (ANT)"/>
    <s v="CHHA"/>
    <s v="MLTC"/>
    <s v="RN Reassessment (NB)"/>
    <m/>
    <x v="3"/>
    <x v="0"/>
    <s v="MC Medicaid HHA"/>
    <m/>
    <n v="15"/>
    <n v="21"/>
    <n v="21"/>
    <n v="15"/>
    <n v="21"/>
    <n v="21"/>
    <s v="Nursing override"/>
    <m/>
    <s v=""/>
    <x v="1"/>
  </r>
  <r>
    <n v="1291"/>
    <x v="2"/>
    <s v="Healthfirst (ANT)"/>
    <s v="CHHA"/>
    <s v="MLTC"/>
    <s v="S5130:U1"/>
    <s v="S5130:U1"/>
    <x v="6"/>
    <x v="0"/>
    <s v="MC Medicaid HHA"/>
    <m/>
    <n v="3"/>
    <n v="95"/>
    <n v="589.75"/>
    <n v="3"/>
    <n v="95"/>
    <n v="589.75"/>
    <s v=""/>
    <m/>
    <s v=""/>
    <x v="1"/>
  </r>
  <r>
    <n v="1292"/>
    <x v="2"/>
    <s v="Healthfirst (ANT)"/>
    <s v="CHHA"/>
    <s v="MLTC"/>
    <s v="T1019:U1"/>
    <s v="T1019:U1"/>
    <x v="2"/>
    <x v="0"/>
    <s v="MC Medicaid HHA"/>
    <m/>
    <n v="22"/>
    <n v="1832"/>
    <n v="8942.25"/>
    <n v="21"/>
    <n v="1813"/>
    <n v="8828.5"/>
    <s v=""/>
    <m/>
    <s v=""/>
    <x v="1"/>
  </r>
  <r>
    <n v="1293"/>
    <x v="2"/>
    <s v="Healthfirst (ANT)"/>
    <s v="CHHA"/>
    <s v="MLTC"/>
    <s v="T1020"/>
    <s v="T1020"/>
    <x v="8"/>
    <x v="0"/>
    <s v="MC Medicaid HHA"/>
    <m/>
    <n v="1"/>
    <n v="90"/>
    <n v="1170"/>
    <n v="1"/>
    <n v="90"/>
    <n v="1170"/>
    <s v=""/>
    <m/>
    <n v="13"/>
    <x v="1"/>
  </r>
  <r>
    <n v="1295"/>
    <x v="2"/>
    <s v="Healthfirst (CDP)"/>
    <s v="CHHA"/>
    <s v="CDPAP"/>
    <s v="T1019:U6"/>
    <s v="T1019:U6"/>
    <x v="1"/>
    <x v="1"/>
    <s v="MC Medicaid CDPAP"/>
    <m/>
    <n v="18"/>
    <n v="1724"/>
    <n v="8581.5"/>
    <n v="16"/>
    <n v="1603"/>
    <n v="8065.25"/>
    <s v=""/>
    <m/>
    <s v=""/>
    <x v="1"/>
  </r>
  <r>
    <n v="1296"/>
    <x v="2"/>
    <s v="NHTD"/>
    <s v="LHCSA"/>
    <s v="Medicaid"/>
    <s v="HCSS 9795 NYC"/>
    <s v="9795"/>
    <x v="4"/>
    <x v="0"/>
    <s v="Other"/>
    <m/>
    <n v="67"/>
    <n v="27910"/>
    <n v="305613.5"/>
    <n v="64"/>
    <n v="27769"/>
    <n v="303990.5"/>
    <s v=""/>
    <m/>
    <s v=""/>
    <x v="0"/>
  </r>
  <r>
    <n v="1297"/>
    <x v="2"/>
    <s v="NHTD"/>
    <s v="LHCSA"/>
    <s v="Medicaid"/>
    <s v="HCSS 9795 Rest of State"/>
    <s v="9795"/>
    <x v="4"/>
    <x v="0"/>
    <s v="Other"/>
    <m/>
    <n v="1"/>
    <n v="128"/>
    <n v="1331.75"/>
    <n v="1"/>
    <n v="128"/>
    <n v="1331.75"/>
    <s v=""/>
    <m/>
    <s v=""/>
    <x v="0"/>
  </r>
  <r>
    <n v="1298"/>
    <x v="2"/>
    <s v="NHTD"/>
    <s v="LHCSA"/>
    <s v="Medicaid"/>
    <s v="Initial RN Visit 9799 (Hourly)"/>
    <s v="9799"/>
    <x v="4"/>
    <x v="0"/>
    <s v="Other"/>
    <m/>
    <n v="22"/>
    <n v="22"/>
    <n v="23"/>
    <n v="20"/>
    <n v="20"/>
    <n v="20"/>
    <m/>
    <m/>
    <s v=""/>
    <x v="0"/>
  </r>
  <r>
    <n v="1299"/>
    <x v="2"/>
    <s v="NHTD"/>
    <s v="LHCSA"/>
    <s v="Medicaid"/>
    <s v="PRN (NB)"/>
    <m/>
    <x v="4"/>
    <x v="0"/>
    <s v="Other"/>
    <m/>
    <n v="3"/>
    <n v="3"/>
    <n v="3"/>
    <n v="3"/>
    <n v="3"/>
    <n v="3"/>
    <m/>
    <m/>
    <s v=""/>
    <x v="0"/>
  </r>
  <r>
    <n v="1300"/>
    <x v="2"/>
    <s v="NHTD"/>
    <s v="LHCSA"/>
    <s v="Medicaid"/>
    <s v="RN Initial (NB)"/>
    <m/>
    <x v="4"/>
    <x v="0"/>
    <s v="Other"/>
    <m/>
    <n v="6"/>
    <n v="6"/>
    <n v="6"/>
    <n v="6"/>
    <n v="6"/>
    <n v="6"/>
    <m/>
    <m/>
    <s v=""/>
    <x v="0"/>
  </r>
  <r>
    <n v="1301"/>
    <x v="2"/>
    <s v="NHTD"/>
    <s v="LHCSA"/>
    <s v="Medicaid"/>
    <s v="RN Reassessment (NB)"/>
    <m/>
    <x v="4"/>
    <x v="0"/>
    <s v="Other"/>
    <m/>
    <n v="1"/>
    <n v="1"/>
    <n v="1"/>
    <n v="1"/>
    <n v="1"/>
    <n v="1"/>
    <m/>
    <m/>
    <s v=""/>
    <x v="0"/>
  </r>
  <r>
    <n v="1302"/>
    <x v="2"/>
    <s v="NHTD"/>
    <s v="LHCSA"/>
    <s v="Medicaid"/>
    <s v="RN Visit 9799 (Hourly)"/>
    <s v="9799"/>
    <x v="4"/>
    <x v="0"/>
    <s v="Other"/>
    <m/>
    <n v="55"/>
    <n v="92"/>
    <n v="90.5"/>
    <n v="54"/>
    <n v="90"/>
    <n v="90"/>
    <m/>
    <m/>
    <s v=""/>
    <x v="0"/>
  </r>
  <r>
    <n v="1303"/>
    <x v="2"/>
    <s v="Non Billable"/>
    <s v="Other"/>
    <s v="Insurance"/>
    <s v="PCA Hourly"/>
    <m/>
    <x v="5"/>
    <x v="0"/>
    <s v="Private Pay"/>
    <m/>
    <n v="13"/>
    <n v="16"/>
    <n v="44.25"/>
    <n v="13"/>
    <n v="16"/>
    <n v="44.25"/>
    <s v=""/>
    <m/>
    <s v=""/>
    <x v="0"/>
  </r>
  <r>
    <n v="1304"/>
    <x v="2"/>
    <s v="Prime Home Health Services"/>
    <s v="CHHA"/>
    <s v="CHHA"/>
    <s v="HHAHOUR"/>
    <m/>
    <x v="0"/>
    <x v="0"/>
    <s v="Other"/>
    <s v="CHHA"/>
    <n v="1"/>
    <n v="11"/>
    <n v="42.75"/>
    <n v="1"/>
    <n v="11"/>
    <n v="42.75"/>
    <s v=""/>
    <m/>
    <s v=""/>
    <x v="0"/>
  </r>
  <r>
    <n v="1305"/>
    <x v="2"/>
    <s v="Private Pay"/>
    <s v="Other"/>
    <s v="Private"/>
    <s v="Live In - 3 Hours"/>
    <m/>
    <x v="5"/>
    <x v="0"/>
    <s v="Private Pay"/>
    <m/>
    <n v="1"/>
    <n v="22"/>
    <n v="296.5"/>
    <n v="1"/>
    <n v="22"/>
    <n v="286"/>
    <s v=""/>
    <m/>
    <n v="13"/>
    <x v="0"/>
  </r>
  <r>
    <n v="1306"/>
    <x v="2"/>
    <s v="Private Pay"/>
    <s v="Other"/>
    <s v="Private"/>
    <s v="PCA Hourly"/>
    <m/>
    <x v="5"/>
    <x v="0"/>
    <s v="Private Pay"/>
    <m/>
    <n v="9"/>
    <n v="73"/>
    <n v="217"/>
    <n v="7"/>
    <n v="14"/>
    <n v="48"/>
    <s v=""/>
    <m/>
    <s v=""/>
    <x v="0"/>
  </r>
  <r>
    <n v="1307"/>
    <x v="2"/>
    <s v="Private Pay - Select"/>
    <s v="Other"/>
    <s v="Private"/>
    <s v="HHA Live-in"/>
    <m/>
    <x v="5"/>
    <x v="0"/>
    <s v="Private Pay"/>
    <m/>
    <n v="1"/>
    <n v="366"/>
    <n v="8610.25"/>
    <n v="1"/>
    <n v="366"/>
    <n v="4758"/>
    <s v=""/>
    <m/>
    <n v="13"/>
    <x v="0"/>
  </r>
  <r>
    <n v="1308"/>
    <x v="2"/>
    <s v="Private Pay - Select"/>
    <s v="Other"/>
    <s v="Private"/>
    <s v="PCA Hourly"/>
    <m/>
    <x v="5"/>
    <x v="0"/>
    <s v="Private Pay"/>
    <m/>
    <n v="2"/>
    <n v="217"/>
    <n v="2941.25"/>
    <n v="2"/>
    <n v="217"/>
    <n v="2941.25"/>
    <s v=""/>
    <m/>
    <s v=""/>
    <x v="0"/>
  </r>
  <r>
    <n v="1309"/>
    <x v="2"/>
    <s v="Private Pay - Select"/>
    <s v="Other"/>
    <s v="Private"/>
    <s v="PCA Live-in"/>
    <m/>
    <x v="5"/>
    <x v="0"/>
    <s v="Private Pay"/>
    <m/>
    <n v="1"/>
    <n v="6"/>
    <n v="55.5"/>
    <n v="1"/>
    <n v="6"/>
    <n v="55.5"/>
    <s v=""/>
    <m/>
    <n v="9.25"/>
    <x v="0"/>
  </r>
  <r>
    <n v="1310"/>
    <x v="2"/>
    <s v="Private Pay - Select"/>
    <s v="Other"/>
    <s v="Private"/>
    <s v="RN Initial (NB)"/>
    <m/>
    <x v="5"/>
    <x v="0"/>
    <s v="Private Pay"/>
    <m/>
    <n v="1"/>
    <n v="1"/>
    <n v="1.5"/>
    <n v="1"/>
    <n v="1"/>
    <n v="1"/>
    <s v=""/>
    <m/>
    <s v=""/>
    <x v="0"/>
  </r>
  <r>
    <n v="1311"/>
    <x v="2"/>
    <s v="Private Pay - Select"/>
    <s v="Other"/>
    <s v="Private"/>
    <s v="RN Reassessment (NB)"/>
    <m/>
    <x v="5"/>
    <x v="0"/>
    <s v="Private Pay"/>
    <m/>
    <n v="1"/>
    <n v="2"/>
    <n v="1.5"/>
    <n v="1"/>
    <n v="2"/>
    <n v="2"/>
    <s v=""/>
    <m/>
    <s v=""/>
    <x v="0"/>
  </r>
  <r>
    <n v="1312"/>
    <x v="2"/>
    <s v="Revival Home Health Care"/>
    <s v="CHHA"/>
    <s v="CHHA"/>
    <s v="Rate1"/>
    <s v="S9122"/>
    <x v="0"/>
    <x v="0"/>
    <s v="Other"/>
    <s v="CHHA"/>
    <n v="11"/>
    <n v="109"/>
    <n v="414"/>
    <n v="7"/>
    <n v="94"/>
    <n v="365.75"/>
    <s v=""/>
    <m/>
    <s v=""/>
    <x v="0"/>
  </r>
  <r>
    <n v="1313"/>
    <x v="2"/>
    <s v="TBI"/>
    <s v="LHCSA"/>
    <s v="Medicaid"/>
    <s v="HCSS 9879"/>
    <s v="9879"/>
    <x v="4"/>
    <x v="0"/>
    <s v="Other"/>
    <m/>
    <n v="1"/>
    <n v="48"/>
    <n v="418"/>
    <n v="1"/>
    <n v="48"/>
    <n v="418"/>
    <s v=""/>
    <m/>
    <s v=""/>
    <x v="0"/>
  </r>
  <r>
    <n v="1319"/>
    <x v="2"/>
    <s v="VillageCare CDPAP"/>
    <s v="MCO"/>
    <s v="CDPAP"/>
    <s v="PA Hourly"/>
    <s v="T1019:U6"/>
    <x v="1"/>
    <x v="1"/>
    <s v="MC Medicaid CDPAP"/>
    <m/>
    <n v="24"/>
    <n v="2347"/>
    <n v="13476"/>
    <n v="22"/>
    <n v="2286"/>
    <n v="13117"/>
    <s v=""/>
    <m/>
    <s v=""/>
    <x v="1"/>
  </r>
  <r>
    <n v="1320"/>
    <x v="2"/>
    <s v="VillageCare CDPAP"/>
    <s v="MCO"/>
    <s v="CDPAP"/>
    <s v="PA Hourly Mutual"/>
    <s v="T1019:U7"/>
    <x v="10"/>
    <x v="1"/>
    <s v="MC Medicaid CDPAP"/>
    <m/>
    <n v="3"/>
    <n v="80"/>
    <n v="356.25"/>
    <n v="3"/>
    <n v="80"/>
    <n v="356.25"/>
    <s v=""/>
    <m/>
    <s v=""/>
    <x v="1"/>
  </r>
  <r>
    <n v="1321"/>
    <x v="2"/>
    <s v="VillageCare PCA"/>
    <s v="MLTC"/>
    <s v="MLTC"/>
    <s v="PCA Cluster Care"/>
    <s v="T1019:U3"/>
    <x v="11"/>
    <x v="0"/>
    <s v="MC Medicaid HHA"/>
    <m/>
    <n v="3"/>
    <n v="166"/>
    <n v="407.5"/>
    <n v="3"/>
    <n v="166"/>
    <n v="407.5"/>
    <s v=""/>
    <m/>
    <s v=""/>
    <x v="1"/>
  </r>
  <r>
    <n v="1322"/>
    <x v="2"/>
    <s v="VillageCare PCA"/>
    <s v="MLTC"/>
    <s v="MLTC"/>
    <s v="PCA Hourly"/>
    <s v="T1019:U1"/>
    <x v="2"/>
    <x v="0"/>
    <s v="MC Medicaid HHA"/>
    <m/>
    <n v="36"/>
    <n v="2074"/>
    <n v="13077.75"/>
    <n v="36"/>
    <n v="2074"/>
    <n v="13077.75"/>
    <s v=""/>
    <m/>
    <s v=""/>
    <x v="1"/>
  </r>
  <r>
    <n v="1323"/>
    <x v="2"/>
    <s v="VillageCare PCA"/>
    <s v="MLTC"/>
    <s v="MLTC"/>
    <s v="PCA Hourly"/>
    <s v="T1019:U1:TV"/>
    <x v="2"/>
    <x v="0"/>
    <s v="MC Medicaid HHA"/>
    <m/>
    <n v="8"/>
    <n v="282"/>
    <n v="2676.25"/>
    <n v="8"/>
    <n v="282"/>
    <n v="2676.25"/>
    <s v=""/>
    <m/>
    <s v=""/>
    <x v="1"/>
  </r>
  <r>
    <n v="1324"/>
    <x v="2"/>
    <s v="VillageCare PCA"/>
    <s v="MLTC"/>
    <s v="MLTC"/>
    <s v="PCA Hourly Mutual"/>
    <s v="T1019:U2"/>
    <x v="11"/>
    <x v="0"/>
    <s v="MC Medicaid HHA"/>
    <m/>
    <n v="4"/>
    <n v="102"/>
    <n v="310.75"/>
    <n v="2"/>
    <n v="59"/>
    <n v="180.75"/>
    <s v=""/>
    <m/>
    <s v=""/>
    <x v="1"/>
  </r>
  <r>
    <n v="1325"/>
    <x v="2"/>
    <s v="VillageCare PCA"/>
    <s v="MLTC"/>
    <s v="MLTC"/>
    <s v="PCA Hourly Mutual TV"/>
    <s v="T1019:U2:TV"/>
    <x v="11"/>
    <x v="0"/>
    <s v="MC Medicaid HHA"/>
    <m/>
    <n v="1"/>
    <n v="14"/>
    <n v="40.5"/>
    <n v="1"/>
    <n v="14"/>
    <n v="40.5"/>
    <s v=""/>
    <m/>
    <s v=""/>
    <x v="1"/>
  </r>
  <r>
    <n v="1326"/>
    <x v="2"/>
    <s v="VillageCare PCA"/>
    <s v="MLTC"/>
    <s v="MLTC"/>
    <s v="PCA Hourly TV"/>
    <s v="T1019:U1:TV"/>
    <x v="2"/>
    <x v="0"/>
    <s v="MC Medicaid HHA"/>
    <m/>
    <n v="17"/>
    <n v="183"/>
    <n v="967.5"/>
    <n v="17"/>
    <n v="183"/>
    <n v="967.5"/>
    <s v=""/>
    <m/>
    <s v=""/>
    <x v="1"/>
  </r>
  <r>
    <n v="1327"/>
    <x v="2"/>
    <s v="VillageCare PCA"/>
    <s v="MLTC"/>
    <s v="MLTC"/>
    <s v="PRN (NB)"/>
    <m/>
    <x v="3"/>
    <x v="0"/>
    <s v="MC Medicaid HHA"/>
    <m/>
    <n v="3"/>
    <n v="3"/>
    <n v="3"/>
    <n v="3"/>
    <n v="3"/>
    <n v="3"/>
    <s v="Nursing override"/>
    <m/>
    <s v=""/>
    <x v="1"/>
  </r>
  <r>
    <n v="1328"/>
    <x v="2"/>
    <s v="VillageCare PCA"/>
    <s v="MLTC"/>
    <s v="MLTC"/>
    <s v="RN Initial Visit"/>
    <s v="T1030"/>
    <x v="7"/>
    <x v="0"/>
    <s v="MC Medicaid HHA"/>
    <m/>
    <n v="34"/>
    <n v="34"/>
    <n v="34"/>
    <n v="32"/>
    <n v="32"/>
    <n v="32"/>
    <s v="nursing"/>
    <m/>
    <s v=""/>
    <x v="1"/>
  </r>
  <r>
    <n v="1329"/>
    <x v="2"/>
    <s v="VillageCare PCA"/>
    <s v="MLTC"/>
    <s v="MLTC"/>
    <s v="RN Reassessment (NB)"/>
    <m/>
    <x v="3"/>
    <x v="0"/>
    <s v="MC Medicaid HHA"/>
    <m/>
    <n v="4"/>
    <n v="5"/>
    <n v="5"/>
    <n v="4"/>
    <n v="5"/>
    <n v="5"/>
    <s v="Nursing override"/>
    <m/>
    <s v=""/>
    <x v="1"/>
  </r>
  <r>
    <n v="1330"/>
    <x v="2"/>
    <s v="VNS Health Health Plans (ANT)"/>
    <s v="MLTC"/>
    <s v="MLTC"/>
    <s v="Aide Supervision (NB)"/>
    <m/>
    <x v="7"/>
    <x v="0"/>
    <s v="MC Medicaid HHA"/>
    <m/>
    <n v="1"/>
    <n v="1"/>
    <n v="1"/>
    <n v="0"/>
    <n v="0"/>
    <n v="0"/>
    <s v="Nursing override"/>
    <m/>
    <s v=""/>
    <x v="1"/>
  </r>
  <r>
    <n v="1331"/>
    <x v="2"/>
    <s v="VNS Health Health Plans (ANT)"/>
    <s v="MLTC"/>
    <s v="MLTC"/>
    <s v="PRN (NB)"/>
    <m/>
    <x v="3"/>
    <x v="0"/>
    <s v="MC Medicaid HHA"/>
    <m/>
    <n v="9"/>
    <n v="11"/>
    <n v="11"/>
    <n v="9"/>
    <n v="11"/>
    <n v="11"/>
    <s v="Nursing override"/>
    <m/>
    <s v=""/>
    <x v="1"/>
  </r>
  <r>
    <n v="1332"/>
    <x v="2"/>
    <s v="VNS Health Health Plans (ANT)"/>
    <s v="MLTC"/>
    <s v="MLTC"/>
    <s v="RN - Initial Visit"/>
    <m/>
    <x v="3"/>
    <x v="0"/>
    <s v="MC Medicaid HHA"/>
    <m/>
    <n v="1"/>
    <n v="1"/>
    <n v="1"/>
    <n v="1"/>
    <n v="1"/>
    <n v="1"/>
    <s v="nursing"/>
    <m/>
    <s v=""/>
    <x v="1"/>
  </r>
  <r>
    <n v="1333"/>
    <x v="2"/>
    <s v="VNS Health Health Plans (ANT)"/>
    <s v="MLTC"/>
    <s v="MLTC"/>
    <s v="RN Initial (NB)"/>
    <m/>
    <x v="3"/>
    <x v="0"/>
    <s v="MC Medicaid HHA"/>
    <m/>
    <n v="33"/>
    <n v="34"/>
    <n v="34"/>
    <n v="27"/>
    <n v="28"/>
    <n v="28"/>
    <s v="Nursing override"/>
    <m/>
    <s v=""/>
    <x v="1"/>
  </r>
  <r>
    <n v="1334"/>
    <x v="2"/>
    <s v="VNS Health Health Plans (ANT)"/>
    <s v="MLTC"/>
    <s v="MLTC"/>
    <s v="RN Reassessment (NB)"/>
    <m/>
    <x v="3"/>
    <x v="0"/>
    <s v="MC Medicaid HHA"/>
    <m/>
    <n v="73"/>
    <n v="126"/>
    <n v="126"/>
    <n v="68"/>
    <n v="117"/>
    <n v="117"/>
    <s v="Nursing override"/>
    <m/>
    <s v=""/>
    <x v="1"/>
  </r>
  <r>
    <n v="1335"/>
    <x v="2"/>
    <s v="VNS Health Health Plans (ANT)"/>
    <s v="MLTC"/>
    <s v="MLTC"/>
    <s v="T1019U1 K"/>
    <s v="T1019:U1"/>
    <x v="2"/>
    <x v="0"/>
    <s v="MC Medicaid HHA"/>
    <m/>
    <n v="1"/>
    <n v="304"/>
    <n v="3612.5"/>
    <n v="1"/>
    <n v="304"/>
    <n v="3612.5"/>
    <s v=""/>
    <m/>
    <s v=""/>
    <x v="1"/>
  </r>
  <r>
    <n v="1336"/>
    <x v="2"/>
    <s v="VNS Health Health Plans (ANT)"/>
    <s v="MLTC"/>
    <s v="MLTC"/>
    <s v="T1019U1 SI"/>
    <s v="T1019:U1"/>
    <x v="2"/>
    <x v="0"/>
    <s v="MC Medicaid HHA"/>
    <m/>
    <n v="102"/>
    <n v="14170"/>
    <n v="94715.5"/>
    <n v="89"/>
    <n v="12950"/>
    <n v="86054.25"/>
    <s v=""/>
    <m/>
    <s v=""/>
    <x v="1"/>
  </r>
  <r>
    <n v="1337"/>
    <x v="2"/>
    <s v="VNS Health Health Plans (ANT)"/>
    <s v="MLTC"/>
    <s v="MLTC"/>
    <s v="T1019U1 SI MAP"/>
    <s v="T1019:U1"/>
    <x v="2"/>
    <x v="0"/>
    <s v="MC Medicaid HHA"/>
    <m/>
    <n v="1"/>
    <n v="65"/>
    <n v="327.25"/>
    <n v="1"/>
    <n v="65"/>
    <n v="327.25"/>
    <s v=""/>
    <m/>
    <s v=""/>
    <x v="1"/>
  </r>
  <r>
    <n v="1338"/>
    <x v="2"/>
    <s v="VNS Health Health Plans (ANT)"/>
    <s v="MLTC"/>
    <s v="MLTC"/>
    <s v="T1019U2 SI"/>
    <s v="T1019:U2"/>
    <x v="11"/>
    <x v="0"/>
    <s v="MC Medicaid HHA"/>
    <m/>
    <n v="20"/>
    <n v="1042"/>
    <n v="8445.75"/>
    <n v="20"/>
    <n v="1042"/>
    <n v="8445.75"/>
    <s v=""/>
    <m/>
    <s v=""/>
    <x v="1"/>
  </r>
  <r>
    <n v="1339"/>
    <x v="2"/>
    <s v="VNS Health Health Plans (ANT)"/>
    <s v="MLTC"/>
    <s v="MLTC"/>
    <s v="T1019U3 SI"/>
    <s v="T1019:U3"/>
    <x v="11"/>
    <x v="0"/>
    <s v="MC Medicaid HHA"/>
    <m/>
    <n v="3"/>
    <n v="120"/>
    <n v="469"/>
    <n v="3"/>
    <n v="120"/>
    <n v="469"/>
    <s v=""/>
    <m/>
    <s v=""/>
    <x v="1"/>
  </r>
  <r>
    <n v="1340"/>
    <x v="2"/>
    <s v="VNS Health Health Plans (ANT)"/>
    <s v="MLTC"/>
    <s v="MLTC"/>
    <s v="T1020 SI"/>
    <s v="T1020"/>
    <x v="8"/>
    <x v="0"/>
    <s v="MC Medicaid HHA"/>
    <m/>
    <n v="2"/>
    <n v="12"/>
    <n v="156"/>
    <n v="2"/>
    <n v="12"/>
    <n v="156"/>
    <s v=""/>
    <m/>
    <n v="13"/>
    <x v="1"/>
  </r>
  <r>
    <n v="1341"/>
    <x v="2"/>
    <s v="VNS Health Health Plans (ANT)"/>
    <s v="MLTC"/>
    <s v="MLTC"/>
    <s v="T1020 SI MAP"/>
    <s v="T1020"/>
    <x v="8"/>
    <x v="0"/>
    <s v="MC Medicaid HHA"/>
    <m/>
    <n v="1"/>
    <n v="152"/>
    <n v="1976"/>
    <n v="1"/>
    <n v="152"/>
    <n v="1976"/>
    <s v=""/>
    <m/>
    <n v="13"/>
    <x v="1"/>
  </r>
  <r>
    <n v="1342"/>
    <x v="2"/>
    <s v="VNS Health Health Plans (ANT)"/>
    <s v="MLTC"/>
    <s v="MLTC"/>
    <s v="T1020U2 SI"/>
    <s v="T1020:U2"/>
    <x v="8"/>
    <x v="0"/>
    <s v="MC Medicaid HHA"/>
    <m/>
    <n v="2"/>
    <n v="205"/>
    <n v="2665"/>
    <n v="2"/>
    <n v="205"/>
    <n v="2665"/>
    <s v=""/>
    <m/>
    <n v="13"/>
    <x v="1"/>
  </r>
  <r>
    <n v="1348"/>
    <x v="2"/>
    <s v="VNS Health Health Plans (CDP)"/>
    <s v="MLTC"/>
    <s v="CDPAP"/>
    <s v="T1019U6 NAS"/>
    <s v="T1019:U6"/>
    <x v="1"/>
    <x v="1"/>
    <s v="MC Medicaid CDPAP"/>
    <m/>
    <n v="1"/>
    <n v="716"/>
    <n v="3881.75"/>
    <n v="1"/>
    <n v="716"/>
    <n v="3881.75"/>
    <s v=""/>
    <m/>
    <s v=""/>
    <x v="1"/>
  </r>
  <r>
    <n v="1349"/>
    <x v="2"/>
    <s v="VNS Health Health Plans (CDP)"/>
    <s v="MLTC"/>
    <s v="CDPAP"/>
    <s v="T1019U6 SI"/>
    <s v="T1019:U6"/>
    <x v="1"/>
    <x v="1"/>
    <s v="MC Medicaid CDPAP"/>
    <m/>
    <n v="72"/>
    <n v="15218"/>
    <n v="89542.75"/>
    <n v="64"/>
    <n v="14719"/>
    <n v="86699.5"/>
    <s v=""/>
    <m/>
    <s v=""/>
    <x v="1"/>
  </r>
  <r>
    <n v="1350"/>
    <x v="2"/>
    <s v="VNS Health Health Plans (CDP)"/>
    <s v="MLTC"/>
    <s v="CDPAP"/>
    <s v="T1019U6 WES"/>
    <s v="T1019:U6"/>
    <x v="1"/>
    <x v="1"/>
    <s v="MC Medicaid CDPAP"/>
    <m/>
    <n v="1"/>
    <n v="333"/>
    <n v="1996.75"/>
    <n v="1"/>
    <n v="333"/>
    <n v="1996.75"/>
    <s v=""/>
    <m/>
    <s v=""/>
    <x v="1"/>
  </r>
  <r>
    <n v="1351"/>
    <x v="2"/>
    <s v="VNS Health Health Plans (CDP)"/>
    <s v="MLTC"/>
    <s v="CDPAP"/>
    <s v="T1019U7 SI"/>
    <s v="T1019:U7"/>
    <x v="10"/>
    <x v="1"/>
    <s v="MC Medicaid CDPAP"/>
    <m/>
    <n v="4"/>
    <n v="503"/>
    <n v="1633.75"/>
    <n v="4"/>
    <n v="503"/>
    <n v="1633.75"/>
    <s v=""/>
    <m/>
    <s v=""/>
    <x v="1"/>
  </r>
  <r>
    <n v="1352"/>
    <x v="2"/>
    <s v="VNS Health Health Plans (CDP)"/>
    <s v="MLTC"/>
    <s v="CDPAP"/>
    <s v="T1020U6 SI"/>
    <s v="T1020:U6"/>
    <x v="9"/>
    <x v="1"/>
    <s v="MC Medicaid CDPAP"/>
    <m/>
    <n v="1"/>
    <n v="299"/>
    <n v="3887"/>
    <n v="1"/>
    <n v="299"/>
    <n v="3887"/>
    <s v=""/>
    <m/>
    <n v="13"/>
    <x v="1"/>
  </r>
  <r>
    <n v="1353"/>
    <x v="2"/>
    <s v="VNS Health Health Plans (CDP)"/>
    <s v="MLTC"/>
    <s v="CDPAP"/>
    <s v="T1020U7 SI MAP"/>
    <s v="T1020:U7"/>
    <x v="15"/>
    <x v="1"/>
    <s v="MC Medicaid CDPAP"/>
    <m/>
    <n v="1"/>
    <n v="1"/>
    <n v="13"/>
    <n v="1"/>
    <n v="1"/>
    <n v="13"/>
    <s v=""/>
    <m/>
    <n v="13"/>
    <x v="1"/>
  </r>
  <r>
    <n v="1354"/>
    <x v="2"/>
    <s v="VNSNY CHOICE PCA"/>
    <s v="LHCSA"/>
    <s v="MLTC"/>
    <s v="PCA Hourly"/>
    <s v="T1019:U1"/>
    <x v="2"/>
    <x v="0"/>
    <s v="MC Medicaid HHA"/>
    <m/>
    <n v="2"/>
    <n v="61"/>
    <n v="216.75"/>
    <n v="1"/>
    <n v="59"/>
    <n v="211.75"/>
    <s v=""/>
    <m/>
    <s v=""/>
    <x v="1"/>
  </r>
  <r>
    <n v="1355"/>
    <x v="2"/>
    <s v="VNSNY CHOICE PCA"/>
    <s v="LHCSA"/>
    <s v="MLTC"/>
    <s v="PCA Hourly Mutual U3"/>
    <s v="T1019:U2"/>
    <x v="11"/>
    <x v="0"/>
    <s v="MC Medicaid HHA"/>
    <m/>
    <n v="3"/>
    <n v="20"/>
    <n v="74.25"/>
    <n v="3"/>
    <n v="20"/>
    <n v="74.25"/>
    <s v=""/>
    <m/>
    <s v=""/>
    <x v="1"/>
  </r>
  <r>
    <n v="1356"/>
    <x v="2"/>
    <s v="VNSNY CHOICE PCA"/>
    <s v="LHCSA"/>
    <s v="MLTC"/>
    <s v="RN Reassessment (NB)"/>
    <m/>
    <x v="3"/>
    <x v="0"/>
    <s v="MC Medicaid HHA"/>
    <m/>
    <n v="4"/>
    <n v="4"/>
    <n v="4"/>
    <n v="3"/>
    <n v="3"/>
    <n v="3"/>
    <s v="Nursing override"/>
    <m/>
    <s v=""/>
    <x v="1"/>
  </r>
  <r>
    <n v="1358"/>
    <x v="43"/>
    <s v="Centers Plan For Healthy Living CDPAP "/>
    <s v="MLTC"/>
    <s v="CDPAP"/>
    <s v="PA Hourly - Nassau/Suffolk/Westchester:"/>
    <s v="T1019:U6"/>
    <x v="1"/>
    <x v="1"/>
    <s v="MC Medicaid CDPAP"/>
    <m/>
    <n v="3"/>
    <n v="828"/>
    <n v="2863.5"/>
    <n v="3"/>
    <n v="828"/>
    <n v="2863.5"/>
    <s v=""/>
    <m/>
    <s v=""/>
    <x v="1"/>
  </r>
  <r>
    <n v="1359"/>
    <x v="43"/>
    <s v="Centers Plan For Healthy Living CDPAP "/>
    <s v="MLTC"/>
    <s v="CDPAP"/>
    <s v="PA Hourly - Rockland"/>
    <s v="T1019:U6"/>
    <x v="1"/>
    <x v="1"/>
    <s v="MC Medicaid CDPAP"/>
    <m/>
    <n v="5"/>
    <n v="774"/>
    <n v="3324.5"/>
    <n v="5"/>
    <n v="774"/>
    <n v="3324.5"/>
    <s v=""/>
    <m/>
    <s v=""/>
    <x v="1"/>
  </r>
  <r>
    <n v="1361"/>
    <x v="43"/>
    <s v="Elderplan MJHS (CDP)"/>
    <s v="MLTC"/>
    <s v="CDPAP"/>
    <s v="T1019:U6"/>
    <s v="T1019:U6"/>
    <x v="1"/>
    <x v="1"/>
    <s v="MC Medicaid CDPAP"/>
    <m/>
    <n v="2"/>
    <n v="225"/>
    <n v="2043.75"/>
    <n v="2"/>
    <n v="225"/>
    <n v="2043.75"/>
    <s v=""/>
    <m/>
    <s v=""/>
    <x v="1"/>
  </r>
  <r>
    <n v="1363"/>
    <x v="43"/>
    <s v="Fidelis Care (CDP)"/>
    <s v="LHCSA"/>
    <s v="CDPAP"/>
    <s v="T1019:U6"/>
    <s v="T1019:U6"/>
    <x v="1"/>
    <x v="1"/>
    <s v="MC Medicaid CDPAP"/>
    <m/>
    <n v="9"/>
    <n v="1070"/>
    <n v="4178.25"/>
    <n v="9"/>
    <n v="1070"/>
    <n v="4178.25"/>
    <s v=""/>
    <m/>
    <s v=""/>
    <x v="1"/>
  </r>
  <r>
    <n v="1365"/>
    <x v="43"/>
    <s v="Hamaspik Choice (MLTC) CDPAP"/>
    <s v="MCO"/>
    <s v="CDPAP"/>
    <s v="PA Hourly NYC , Nassau, Westchester"/>
    <s v="T1019:U6"/>
    <x v="1"/>
    <x v="1"/>
    <s v="MC Medicaid CDPAP"/>
    <m/>
    <n v="1"/>
    <n v="127"/>
    <n v="1102.25"/>
    <n v="1"/>
    <n v="127"/>
    <n v="1102.25"/>
    <s v=""/>
    <m/>
    <s v=""/>
    <x v="1"/>
  </r>
  <r>
    <n v="1366"/>
    <x v="43"/>
    <s v="Hamaspik Choice (MLTC) CDPAP"/>
    <s v="MCO"/>
    <s v="CDPAP"/>
    <s v="PA Hourly Upstate"/>
    <s v="T1019:U6"/>
    <x v="1"/>
    <x v="1"/>
    <s v="MC Medicaid CDPAP"/>
    <m/>
    <n v="2"/>
    <n v="524"/>
    <n v="2088"/>
    <n v="2"/>
    <n v="524"/>
    <n v="2088"/>
    <s v=""/>
    <m/>
    <s v=""/>
    <x v="1"/>
  </r>
  <r>
    <n v="1369"/>
    <x v="43"/>
    <s v="Healthfirst (CDP)"/>
    <s v="CHHA"/>
    <s v="CDPAP"/>
    <s v="T1019:U6"/>
    <s v="T1019:U6"/>
    <x v="1"/>
    <x v="1"/>
    <s v="MC Medicaid CDPAP"/>
    <m/>
    <n v="1"/>
    <n v="230"/>
    <n v="1422.5"/>
    <n v="1"/>
    <n v="230"/>
    <n v="1422.5"/>
    <s v=""/>
    <m/>
    <s v=""/>
    <x v="1"/>
  </r>
  <r>
    <n v="1372"/>
    <x v="43"/>
    <s v="VNS Health Health Plans (CDP)"/>
    <s v="MLTC"/>
    <s v="CDPAP"/>
    <s v="T1019U6 RKL"/>
    <s v="T1019:U6"/>
    <x v="1"/>
    <x v="1"/>
    <s v="MC Medicaid CDPAP"/>
    <m/>
    <n v="11"/>
    <n v="3066"/>
    <n v="17324.75"/>
    <n v="10"/>
    <n v="2888"/>
    <n v="16612.75"/>
    <s v=""/>
    <m/>
    <s v=""/>
    <x v="1"/>
  </r>
  <r>
    <n v="1374"/>
    <x v="44"/>
    <s v="Fidelis Care (CDP)"/>
    <s v="LHCSA"/>
    <s v="CDPAP"/>
    <s v="T1019:U6"/>
    <s v="T1019:U6"/>
    <x v="1"/>
    <x v="1"/>
    <s v="MC Medicaid CDPAP"/>
    <m/>
    <n v="10"/>
    <n v="1206"/>
    <n v="5194.25"/>
    <n v="10"/>
    <n v="1206"/>
    <n v="5194.25"/>
    <s v=""/>
    <m/>
    <s v=""/>
    <x v="1"/>
  </r>
  <r>
    <n v="1377"/>
    <x v="44"/>
    <s v="Nascentia Health Options CDPAP"/>
    <s v="MLTC"/>
    <s v="CDPAP"/>
    <s v="PA Hourly"/>
    <s v="T1019:U6"/>
    <x v="1"/>
    <x v="1"/>
    <s v="MC Medicaid CDPAP"/>
    <m/>
    <n v="2"/>
    <n v="650"/>
    <n v="4618.75"/>
    <n v="2"/>
    <n v="650"/>
    <n v="4618.75"/>
    <s v=""/>
    <m/>
    <s v=""/>
    <x v="1"/>
  </r>
  <r>
    <n v="1378"/>
    <x v="45"/>
    <s v="Fidelis Care (ANT)"/>
    <s v="LHCSA"/>
    <s v="MLTC"/>
    <s v="RN Initial (NB)"/>
    <m/>
    <x v="3"/>
    <x v="0"/>
    <s v="MC Medicaid HHA"/>
    <m/>
    <n v="1"/>
    <n v="1"/>
    <n v="1"/>
    <n v="1"/>
    <n v="1"/>
    <n v="1"/>
    <s v="Nursing override"/>
    <m/>
    <s v=""/>
    <x v="1"/>
  </r>
  <r>
    <n v="1379"/>
    <x v="45"/>
    <s v="Fidelis Care (ANT)"/>
    <s v="LHCSA"/>
    <s v="MLTC"/>
    <s v="T1019:U1"/>
    <s v="T1019:U1"/>
    <x v="2"/>
    <x v="0"/>
    <s v="MC Medicaid HHA"/>
    <m/>
    <n v="2"/>
    <n v="36"/>
    <n v="162.75"/>
    <n v="2"/>
    <n v="36"/>
    <n v="162.75"/>
    <s v=""/>
    <m/>
    <s v=""/>
    <x v="1"/>
  </r>
  <r>
    <n v="1380"/>
    <x v="45"/>
    <s v="Fidelis Care (ANT)"/>
    <s v="LHCSA"/>
    <s v="MLTC"/>
    <s v="T1019:U6"/>
    <s v="T1019:U6"/>
    <x v="1"/>
    <x v="1"/>
    <s v="MC Medicaid CDPAP"/>
    <m/>
    <n v="1"/>
    <n v="17"/>
    <n v="69"/>
    <n v="1"/>
    <n v="17"/>
    <n v="69"/>
    <s v=""/>
    <m/>
    <s v=""/>
    <x v="1"/>
  </r>
  <r>
    <n v="1383"/>
    <x v="45"/>
    <s v="Fidelis Care (CDP)"/>
    <s v="LHCSA"/>
    <s v="CDPAP"/>
    <s v="RN Initial (NB)"/>
    <m/>
    <x v="3"/>
    <x v="0"/>
    <s v="MC Medicaid HHA"/>
    <m/>
    <n v="1"/>
    <n v="1"/>
    <n v="1"/>
    <n v="1"/>
    <n v="1"/>
    <n v="1"/>
    <s v="Nursing override"/>
    <m/>
    <s v=""/>
    <x v="1"/>
  </r>
  <r>
    <n v="1384"/>
    <x v="45"/>
    <s v="Fidelis Care (CDP)"/>
    <s v="LHCSA"/>
    <s v="CDPAP"/>
    <s v="T1019:U1"/>
    <s v="T1019:U1"/>
    <x v="2"/>
    <x v="0"/>
    <s v="MC Medicaid HHA"/>
    <m/>
    <n v="1"/>
    <n v="27"/>
    <n v="107"/>
    <n v="1"/>
    <n v="27"/>
    <n v="107"/>
    <s v=""/>
    <m/>
    <s v=""/>
    <x v="1"/>
  </r>
  <r>
    <n v="1385"/>
    <x v="45"/>
    <s v="Fidelis Care (CDP)"/>
    <s v="LHCSA"/>
    <s v="CDPAP"/>
    <s v="T1019:U6"/>
    <s v="T1019:U6"/>
    <x v="1"/>
    <x v="1"/>
    <s v="MC Medicaid CDPAP"/>
    <m/>
    <n v="13"/>
    <n v="1181"/>
    <n v="6850.25"/>
    <n v="11"/>
    <n v="1162"/>
    <n v="6759.5"/>
    <s v=""/>
    <m/>
    <s v=""/>
    <x v="1"/>
  </r>
  <r>
    <n v="1388"/>
    <x v="45"/>
    <s v="Nascentia Health Options CDPAP"/>
    <s v="MLTC"/>
    <s v="CDPAP"/>
    <s v="PA Hourly"/>
    <s v="T1019:U6"/>
    <x v="1"/>
    <x v="1"/>
    <s v="MC Medicaid CDPAP"/>
    <m/>
    <n v="2"/>
    <n v="1162"/>
    <n v="3813.5"/>
    <n v="2"/>
    <n v="1162"/>
    <n v="3813.5"/>
    <s v=""/>
    <m/>
    <s v=""/>
    <x v="1"/>
  </r>
  <r>
    <n v="1389"/>
    <x v="45"/>
    <s v="VNS Health Health Plans (ANT)"/>
    <s v="MLTC"/>
    <s v="MLTC"/>
    <s v="RN Initial (NB)"/>
    <m/>
    <x v="3"/>
    <x v="0"/>
    <s v="MC Medicaid HHA"/>
    <m/>
    <n v="3"/>
    <n v="3"/>
    <n v="3"/>
    <n v="3"/>
    <n v="3"/>
    <n v="3"/>
    <s v="Nursing override"/>
    <m/>
    <s v=""/>
    <x v="1"/>
  </r>
  <r>
    <n v="1390"/>
    <x v="45"/>
    <s v="VNS Health Health Plans (ANT)"/>
    <s v="MLTC"/>
    <s v="MLTC"/>
    <s v="RN Reassessment (NB)"/>
    <m/>
    <x v="3"/>
    <x v="0"/>
    <s v="MC Medicaid HHA"/>
    <m/>
    <n v="2"/>
    <n v="2"/>
    <n v="2"/>
    <n v="2"/>
    <n v="2"/>
    <n v="2"/>
    <s v="Nursing override"/>
    <m/>
    <s v=""/>
    <x v="1"/>
  </r>
  <r>
    <n v="1391"/>
    <x v="45"/>
    <s v="VNS Health Health Plans (ANT)"/>
    <s v="MLTC"/>
    <s v="MLTC"/>
    <s v="T1019U1 SAR"/>
    <s v="T1019:U1"/>
    <x v="2"/>
    <x v="0"/>
    <s v="MC Medicaid HHA"/>
    <m/>
    <n v="3"/>
    <n v="195"/>
    <n v="1034.75"/>
    <n v="3"/>
    <n v="195"/>
    <n v="1034.75"/>
    <s v=""/>
    <m/>
    <s v=""/>
    <x v="1"/>
  </r>
  <r>
    <n v="1394"/>
    <x v="45"/>
    <s v="VNS Health Health Plans (CDP)"/>
    <s v="MLTC"/>
    <s v="CDPAP"/>
    <s v="T1019U6 SAR"/>
    <s v="T1019:U6"/>
    <x v="1"/>
    <x v="1"/>
    <s v="MC Medicaid CDPAP"/>
    <m/>
    <n v="16"/>
    <n v="3063"/>
    <n v="13927"/>
    <n v="16"/>
    <n v="3063"/>
    <n v="13927"/>
    <s v=""/>
    <m/>
    <s v=""/>
    <x v="1"/>
  </r>
  <r>
    <n v="1395"/>
    <x v="45"/>
    <s v="VNS Health Health Plans (CDP)"/>
    <s v="MLTC"/>
    <s v="CDPAP"/>
    <s v="T1019U6 SAR MAP"/>
    <s v="T1019:U6"/>
    <x v="1"/>
    <x v="1"/>
    <s v="MC Medicaid CDPAP"/>
    <m/>
    <n v="1"/>
    <n v="24"/>
    <n v="120"/>
    <n v="1"/>
    <n v="24"/>
    <n v="120"/>
    <s v=""/>
    <m/>
    <s v=""/>
    <x v="1"/>
  </r>
  <r>
    <n v="1396"/>
    <x v="46"/>
    <s v="EDDY SeniorCare VNA (Pace Plan)"/>
    <s v="MCO"/>
    <s v="MCO"/>
    <s v="PCA Hourly Weekday"/>
    <s v="T1019:U1"/>
    <x v="4"/>
    <x v="0"/>
    <s v="Other"/>
    <m/>
    <n v="1"/>
    <n v="38"/>
    <n v="185"/>
    <n v="1"/>
    <n v="38"/>
    <n v="185"/>
    <s v=""/>
    <m/>
    <s v=""/>
    <x v="0"/>
  </r>
  <r>
    <n v="1397"/>
    <x v="46"/>
    <s v="EDDY SeniorCare VNA (Pace Plan)"/>
    <s v="MCO"/>
    <s v="MCO"/>
    <s v="RN Reassessment-NB"/>
    <s v="T1019:U1"/>
    <x v="4"/>
    <x v="0"/>
    <s v="Other"/>
    <m/>
    <n v="1"/>
    <n v="1"/>
    <n v="1"/>
    <n v="1"/>
    <n v="1"/>
    <n v="1"/>
    <s v="Nursing override"/>
    <m/>
    <s v=""/>
    <x v="0"/>
  </r>
  <r>
    <n v="1398"/>
    <x v="46"/>
    <s v="Fidelis Care (ANT)"/>
    <s v="LHCSA"/>
    <s v="MLTC"/>
    <s v="RN Initial (NB)"/>
    <m/>
    <x v="3"/>
    <x v="0"/>
    <s v="MC Medicaid HHA"/>
    <m/>
    <n v="15"/>
    <n v="15"/>
    <n v="15"/>
    <n v="15"/>
    <n v="15"/>
    <n v="15"/>
    <s v="Nursing override"/>
    <m/>
    <s v=""/>
    <x v="1"/>
  </r>
  <r>
    <n v="1399"/>
    <x v="46"/>
    <s v="Fidelis Care (ANT)"/>
    <s v="LHCSA"/>
    <s v="MLTC"/>
    <s v="RN Initial Assement"/>
    <s v="T2024"/>
    <x v="3"/>
    <x v="0"/>
    <s v="MC Medicaid HHA"/>
    <m/>
    <n v="6"/>
    <n v="6"/>
    <n v="6"/>
    <n v="6"/>
    <n v="6"/>
    <n v="6"/>
    <s v="nursing"/>
    <m/>
    <s v=""/>
    <x v="1"/>
  </r>
  <r>
    <n v="1400"/>
    <x v="46"/>
    <s v="Fidelis Care (ANT)"/>
    <s v="LHCSA"/>
    <s v="MLTC"/>
    <s v="RN Reassessment (NB)"/>
    <m/>
    <x v="3"/>
    <x v="0"/>
    <s v="MC Medicaid HHA"/>
    <m/>
    <n v="11"/>
    <n v="13"/>
    <n v="13"/>
    <n v="11"/>
    <n v="13"/>
    <n v="13"/>
    <s v="Nursing override"/>
    <m/>
    <s v=""/>
    <x v="1"/>
  </r>
  <r>
    <n v="1401"/>
    <x v="46"/>
    <s v="Fidelis Care (ANT)"/>
    <s v="LHCSA"/>
    <s v="MLTC"/>
    <s v="T1019:U1"/>
    <s v="T1019:U1"/>
    <x v="2"/>
    <x v="0"/>
    <s v="MC Medicaid HHA"/>
    <m/>
    <n v="31"/>
    <n v="2252"/>
    <n v="10117.25"/>
    <n v="30"/>
    <n v="2245"/>
    <n v="10103"/>
    <s v=""/>
    <m/>
    <s v=""/>
    <x v="1"/>
  </r>
  <r>
    <n v="1402"/>
    <x v="46"/>
    <s v="Fidelis Care (ANT)"/>
    <s v="LHCSA"/>
    <s v="MLTC"/>
    <s v="T1019:U6"/>
    <s v="T1019:U6"/>
    <x v="1"/>
    <x v="1"/>
    <s v="MC Medicaid CDPAP"/>
    <m/>
    <n v="1"/>
    <n v="63"/>
    <n v="250.75"/>
    <n v="1"/>
    <n v="63"/>
    <n v="250.75"/>
    <s v=""/>
    <m/>
    <s v=""/>
    <x v="1"/>
  </r>
  <r>
    <n v="1406"/>
    <x v="46"/>
    <s v="Fidelis Care (CDP)"/>
    <s v="LHCSA"/>
    <s v="CDPAP"/>
    <s v="T1019:U6"/>
    <s v="T1019:U6"/>
    <x v="1"/>
    <x v="1"/>
    <s v="MC Medicaid CDPAP"/>
    <m/>
    <n v="79"/>
    <n v="12153"/>
    <n v="54295.25"/>
    <n v="76"/>
    <n v="11992"/>
    <n v="53160.25"/>
    <s v=""/>
    <m/>
    <s v=""/>
    <x v="1"/>
  </r>
  <r>
    <n v="1407"/>
    <x v="46"/>
    <s v="Fidelis Care PCA (Non Live)"/>
    <s v="MLTC"/>
    <s v="MLTC"/>
    <s v="PCA Hourly"/>
    <s v="T1019:U1"/>
    <x v="2"/>
    <x v="0"/>
    <s v="MC Medicaid HHA"/>
    <m/>
    <n v="2"/>
    <n v="3"/>
    <n v="6"/>
    <n v="2"/>
    <n v="3"/>
    <n v="6"/>
    <s v=""/>
    <m/>
    <s v=""/>
    <x v="1"/>
  </r>
  <r>
    <n v="1408"/>
    <x v="46"/>
    <s v="Fidelis Care PCA (Non Live)"/>
    <s v="MLTC"/>
    <s v="MLTC"/>
    <s v="Rn initial assement"/>
    <s v="G0162"/>
    <x v="3"/>
    <x v="0"/>
    <s v="MC Medicaid HHA"/>
    <m/>
    <n v="5"/>
    <n v="5"/>
    <n v="5"/>
    <n v="4"/>
    <n v="4"/>
    <n v="4"/>
    <s v="nursing"/>
    <m/>
    <s v=""/>
    <x v="1"/>
  </r>
  <r>
    <n v="1410"/>
    <x v="46"/>
    <s v="Nascentia Health Options CDPAP"/>
    <s v="MLTC"/>
    <s v="CDPAP"/>
    <s v="PA Hourly"/>
    <s v="T1019:U6"/>
    <x v="1"/>
    <x v="1"/>
    <s v="MC Medicaid CDPAP"/>
    <m/>
    <n v="4"/>
    <n v="603"/>
    <n v="3138.75"/>
    <n v="4"/>
    <n v="603"/>
    <n v="3138.75"/>
    <s v=""/>
    <m/>
    <s v=""/>
    <x v="1"/>
  </r>
  <r>
    <n v="1411"/>
    <x v="46"/>
    <s v="Nascentia PCA"/>
    <s v="MLTC"/>
    <s v="MLTC"/>
    <s v="PCA Hourly"/>
    <s v="T1019:U1"/>
    <x v="2"/>
    <x v="0"/>
    <s v="MC Medicaid HHA"/>
    <m/>
    <n v="2"/>
    <n v="53"/>
    <n v="136"/>
    <n v="1"/>
    <n v="38"/>
    <n v="70"/>
    <s v=""/>
    <m/>
    <s v=""/>
    <x v="1"/>
  </r>
  <r>
    <n v="1412"/>
    <x v="46"/>
    <s v="Nascentia PCA"/>
    <s v="MLTC"/>
    <s v="MLTC"/>
    <s v="Rn initial assesment non billable"/>
    <m/>
    <x v="3"/>
    <x v="0"/>
    <s v="MC Medicaid HHA"/>
    <m/>
    <n v="2"/>
    <n v="2"/>
    <n v="2"/>
    <n v="1"/>
    <n v="1"/>
    <n v="1"/>
    <s v="Nursing override"/>
    <m/>
    <s v=""/>
    <x v="1"/>
  </r>
  <r>
    <n v="1413"/>
    <x v="46"/>
    <s v="Non Billable"/>
    <s v="Other"/>
    <s v="Insurance"/>
    <s v="PA Hourly"/>
    <m/>
    <x v="5"/>
    <x v="0"/>
    <s v="Private Pay"/>
    <m/>
    <n v="1"/>
    <n v="11"/>
    <n v="40.25"/>
    <n v="1"/>
    <n v="11"/>
    <n v="40.25"/>
    <s v=""/>
    <m/>
    <s v=""/>
    <x v="0"/>
  </r>
  <r>
    <n v="1414"/>
    <x v="46"/>
    <s v="Private Pay - Select"/>
    <s v="Other"/>
    <s v="Private"/>
    <s v="PCA Hourly"/>
    <m/>
    <x v="5"/>
    <x v="0"/>
    <s v="Private Pay"/>
    <m/>
    <n v="1"/>
    <n v="4"/>
    <n v="7.25"/>
    <n v="1"/>
    <n v="4"/>
    <n v="7.25"/>
    <s v=""/>
    <m/>
    <s v=""/>
    <x v="0"/>
  </r>
  <r>
    <n v="1415"/>
    <x v="46"/>
    <s v="Private Pay - Select"/>
    <s v="Other"/>
    <s v="Private"/>
    <s v="RN Initial (NB)"/>
    <m/>
    <x v="5"/>
    <x v="0"/>
    <s v="Private Pay"/>
    <m/>
    <n v="1"/>
    <n v="1"/>
    <n v="0.5"/>
    <n v="1"/>
    <n v="1"/>
    <n v="1"/>
    <s v=""/>
    <m/>
    <s v=""/>
    <x v="0"/>
  </r>
  <r>
    <n v="1416"/>
    <x v="46"/>
    <s v="VNS Health Health Plans (ANT)"/>
    <s v="MLTC"/>
    <s v="MLTC"/>
    <s v="RN Initial (NB)"/>
    <m/>
    <x v="3"/>
    <x v="0"/>
    <s v="MC Medicaid HHA"/>
    <m/>
    <n v="23"/>
    <n v="23"/>
    <n v="23"/>
    <n v="21"/>
    <n v="21"/>
    <n v="21"/>
    <s v="Nursing override"/>
    <m/>
    <s v=""/>
    <x v="1"/>
  </r>
  <r>
    <n v="1417"/>
    <x v="46"/>
    <s v="VNS Health Health Plans (ANT)"/>
    <s v="MLTC"/>
    <s v="MLTC"/>
    <s v="RN Reassessment (NB)"/>
    <m/>
    <x v="3"/>
    <x v="0"/>
    <s v="MC Medicaid HHA"/>
    <m/>
    <n v="11"/>
    <n v="16"/>
    <n v="16"/>
    <n v="11"/>
    <n v="16"/>
    <n v="16"/>
    <s v="Nursing override"/>
    <m/>
    <s v=""/>
    <x v="1"/>
  </r>
  <r>
    <n v="1418"/>
    <x v="46"/>
    <s v="VNS Health Health Plans (ANT)"/>
    <s v="MLTC"/>
    <s v="MLTC"/>
    <s v="T1019U1 SCH"/>
    <s v="T1019:U1"/>
    <x v="2"/>
    <x v="0"/>
    <s v="MC Medicaid HHA"/>
    <m/>
    <n v="34"/>
    <n v="2720"/>
    <n v="14287.75"/>
    <n v="29"/>
    <n v="2652"/>
    <n v="14018.25"/>
    <s v=""/>
    <m/>
    <s v=""/>
    <x v="1"/>
  </r>
  <r>
    <n v="1419"/>
    <x v="46"/>
    <s v="VNS Health Health Plans (ANT)"/>
    <s v="MLTC"/>
    <s v="MLTC"/>
    <s v="T1020 SCH"/>
    <s v="T1020"/>
    <x v="8"/>
    <x v="0"/>
    <s v="MC Medicaid HHA"/>
    <m/>
    <n v="1"/>
    <n v="36"/>
    <n v="468"/>
    <n v="1"/>
    <n v="36"/>
    <n v="468"/>
    <s v=""/>
    <m/>
    <n v="13"/>
    <x v="1"/>
  </r>
  <r>
    <n v="1424"/>
    <x v="46"/>
    <s v="VNS Health Health Plans (CDP)"/>
    <s v="MLTC"/>
    <s v="CDPAP"/>
    <s v="RN Initial (NB)"/>
    <m/>
    <x v="3"/>
    <x v="0"/>
    <s v="MC Medicaid HHA"/>
    <m/>
    <n v="1"/>
    <n v="1"/>
    <n v="1"/>
    <n v="1"/>
    <n v="1"/>
    <n v="1"/>
    <s v="Nursing override"/>
    <m/>
    <s v=""/>
    <x v="1"/>
  </r>
  <r>
    <n v="1425"/>
    <x v="46"/>
    <s v="VNS Health Health Plans (CDP)"/>
    <s v="MLTC"/>
    <s v="CDPAP"/>
    <s v="T1019U1 SCH"/>
    <s v="T1019:U1"/>
    <x v="2"/>
    <x v="0"/>
    <s v="MC Medicaid HHA"/>
    <m/>
    <n v="1"/>
    <n v="36"/>
    <n v="136.5"/>
    <n v="1"/>
    <n v="36"/>
    <n v="136.5"/>
    <s v=""/>
    <m/>
    <s v=""/>
    <x v="1"/>
  </r>
  <r>
    <n v="1426"/>
    <x v="46"/>
    <s v="VNS Health Health Plans (CDP)"/>
    <s v="MLTC"/>
    <s v="CDPAP"/>
    <s v="T1019U6 ALB"/>
    <s v="T1019:U6"/>
    <x v="1"/>
    <x v="1"/>
    <s v="MC Medicaid CDPAP"/>
    <m/>
    <n v="2"/>
    <n v="219"/>
    <n v="778.25"/>
    <n v="2"/>
    <n v="219"/>
    <n v="778.25"/>
    <s v=""/>
    <m/>
    <s v=""/>
    <x v="1"/>
  </r>
  <r>
    <n v="1427"/>
    <x v="46"/>
    <s v="VNS Health Health Plans (CDP)"/>
    <s v="MLTC"/>
    <s v="CDPAP"/>
    <s v="T1019U6 QNS"/>
    <s v="T1019:U6"/>
    <x v="1"/>
    <x v="1"/>
    <s v="MC Medicaid CDPAP"/>
    <m/>
    <n v="1"/>
    <n v="82"/>
    <n v="656"/>
    <n v="1"/>
    <n v="82"/>
    <n v="656"/>
    <s v=""/>
    <m/>
    <s v=""/>
    <x v="1"/>
  </r>
  <r>
    <n v="1428"/>
    <x v="46"/>
    <s v="VNS Health Health Plans (CDP)"/>
    <s v="MLTC"/>
    <s v="CDPAP"/>
    <s v="T1019U6 REN"/>
    <s v="T1019:U6"/>
    <x v="1"/>
    <x v="1"/>
    <s v="MC Medicaid CDPAP"/>
    <m/>
    <n v="1"/>
    <n v="57"/>
    <n v="252.25"/>
    <n v="1"/>
    <n v="57"/>
    <n v="252.25"/>
    <s v=""/>
    <m/>
    <s v=""/>
    <x v="1"/>
  </r>
  <r>
    <n v="1429"/>
    <x v="46"/>
    <s v="VNS Health Health Plans (CDP)"/>
    <s v="MLTC"/>
    <s v="CDPAP"/>
    <s v="T1019U6 SCH"/>
    <s v="T1019:U6"/>
    <x v="1"/>
    <x v="1"/>
    <s v="MC Medicaid CDPAP"/>
    <m/>
    <n v="82"/>
    <n v="17154"/>
    <n v="84821"/>
    <n v="76"/>
    <n v="16871"/>
    <n v="82993.25"/>
    <s v=""/>
    <m/>
    <s v=""/>
    <x v="1"/>
  </r>
  <r>
    <n v="1430"/>
    <x v="46"/>
    <s v="VNS Health Health Plans (CDP)"/>
    <s v="MLTC"/>
    <s v="CDPAP"/>
    <s v="T1019U7 SCH"/>
    <s v="T1019:U7"/>
    <x v="10"/>
    <x v="1"/>
    <s v="MC Medicaid CDPAP"/>
    <m/>
    <n v="2"/>
    <n v="134"/>
    <n v="1217.75"/>
    <n v="2"/>
    <n v="134"/>
    <n v="1217.75"/>
    <s v=""/>
    <m/>
    <s v=""/>
    <x v="1"/>
  </r>
  <r>
    <n v="1431"/>
    <x v="46"/>
    <s v="VNSNY CHOICE PCA"/>
    <s v="LHCSA"/>
    <s v="MLTC"/>
    <s v="PCA Hourly"/>
    <s v="T1019:U1"/>
    <x v="2"/>
    <x v="0"/>
    <s v="MC Medicaid HHA"/>
    <m/>
    <n v="1"/>
    <n v="1"/>
    <n v="6"/>
    <n v="1"/>
    <n v="1"/>
    <n v="6"/>
    <s v=""/>
    <m/>
    <s v=""/>
    <x v="1"/>
  </r>
  <r>
    <n v="1434"/>
    <x v="47"/>
    <s v="Fidelis Care (CDP)"/>
    <s v="LHCSA"/>
    <s v="CDPAP"/>
    <s v="T1019:U6"/>
    <s v="T1019:U6"/>
    <x v="1"/>
    <x v="1"/>
    <s v="MC Medicaid CDPAP"/>
    <m/>
    <n v="4"/>
    <n v="571"/>
    <n v="2573.75"/>
    <n v="4"/>
    <n v="571"/>
    <n v="2573.75"/>
    <s v=""/>
    <m/>
    <s v=""/>
    <x v="1"/>
  </r>
  <r>
    <n v="1437"/>
    <x v="47"/>
    <s v="VNS Health Health Plans (CDP)"/>
    <s v="MLTC"/>
    <s v="CDPAP"/>
    <s v="T1019U6 SCHO"/>
    <s v="T1019:U6"/>
    <x v="1"/>
    <x v="1"/>
    <s v="MC Medicaid CDPAP"/>
    <m/>
    <n v="7"/>
    <n v="1371"/>
    <n v="6695.25"/>
    <n v="7"/>
    <n v="1371"/>
    <n v="6695.25"/>
    <s v=""/>
    <m/>
    <s v=""/>
    <x v="1"/>
  </r>
  <r>
    <n v="1439"/>
    <x v="48"/>
    <s v="Fidelis Care (CDP)"/>
    <s v="LHCSA"/>
    <s v="CDPAP"/>
    <s v="T1019:U6"/>
    <s v="T1019:U6"/>
    <x v="1"/>
    <x v="1"/>
    <s v="MC Medicaid CDPAP"/>
    <m/>
    <n v="3"/>
    <n v="335"/>
    <n v="1640.5"/>
    <n v="3"/>
    <n v="335"/>
    <n v="1640.5"/>
    <s v=""/>
    <m/>
    <s v=""/>
    <x v="1"/>
  </r>
  <r>
    <n v="1441"/>
    <x v="48"/>
    <s v="Nascentia Health Options CDPAP"/>
    <s v="MLTC"/>
    <s v="CDPAP"/>
    <s v="PA Hourly"/>
    <s v="T1019:U6"/>
    <x v="1"/>
    <x v="1"/>
    <s v="MC Medicaid CDPAP"/>
    <m/>
    <n v="3"/>
    <n v="147"/>
    <n v="786.25"/>
    <n v="3"/>
    <n v="147"/>
    <n v="786.25"/>
    <s v=""/>
    <m/>
    <s v=""/>
    <x v="1"/>
  </r>
  <r>
    <n v="1443"/>
    <x v="49"/>
    <s v="Fidelis Care (CDP)"/>
    <s v="LHCSA"/>
    <s v="CDPAP"/>
    <s v="T1019:U6"/>
    <s v="T1019:U6"/>
    <x v="1"/>
    <x v="1"/>
    <s v="MC Medicaid CDPAP"/>
    <m/>
    <n v="1"/>
    <n v="84"/>
    <n v="349.5"/>
    <n v="1"/>
    <n v="84"/>
    <n v="349.5"/>
    <s v=""/>
    <m/>
    <s v=""/>
    <x v="1"/>
  </r>
  <r>
    <n v="1445"/>
    <x v="49"/>
    <s v="Nascentia Health Options CDPAP"/>
    <s v="MLTC"/>
    <s v="CDPAP"/>
    <s v="PA Hourly"/>
    <s v="T1019:U6"/>
    <x v="1"/>
    <x v="1"/>
    <s v="MC Medicaid CDPAP"/>
    <m/>
    <n v="2"/>
    <n v="273"/>
    <n v="1631.5"/>
    <n v="2"/>
    <n v="273"/>
    <n v="1631.5"/>
    <s v=""/>
    <m/>
    <s v=""/>
    <x v="1"/>
  </r>
  <r>
    <n v="1447"/>
    <x v="50"/>
    <s v="Fidelis Care (CDP)"/>
    <s v="LHCSA"/>
    <s v="CDPAP"/>
    <s v="T1019:U6"/>
    <s v="T1019:U6"/>
    <x v="1"/>
    <x v="1"/>
    <s v="MC Medicaid CDPAP"/>
    <m/>
    <n v="10"/>
    <n v="1280"/>
    <n v="5225.5"/>
    <n v="10"/>
    <n v="1280"/>
    <n v="5225.5"/>
    <s v=""/>
    <m/>
    <s v=""/>
    <x v="1"/>
  </r>
  <r>
    <n v="1449"/>
    <x v="50"/>
    <s v="Nascentia Health Options CDPAP"/>
    <s v="MLTC"/>
    <s v="CDPAP"/>
    <s v="PA Hourly"/>
    <s v="T1019:U6"/>
    <x v="1"/>
    <x v="1"/>
    <s v="MC Medicaid CDPAP"/>
    <m/>
    <n v="8"/>
    <n v="1242"/>
    <n v="5560.25"/>
    <n v="8"/>
    <n v="1242"/>
    <n v="5560.25"/>
    <s v=""/>
    <m/>
    <s v=""/>
    <x v="1"/>
  </r>
  <r>
    <n v="1450"/>
    <x v="51"/>
    <s v="Americare"/>
    <s v="CHHA"/>
    <s v="CHHA"/>
    <s v="HHAPEDSV"/>
    <s v="S9122"/>
    <x v="0"/>
    <x v="0"/>
    <s v="Other"/>
    <s v="CHHA"/>
    <n v="2"/>
    <n v="50"/>
    <n v="327.5"/>
    <n v="1"/>
    <n v="45"/>
    <n v="312.5"/>
    <s v=""/>
    <m/>
    <s v=""/>
    <x v="0"/>
  </r>
  <r>
    <n v="1452"/>
    <x v="51"/>
    <s v="Amerigroup (Empire) CDPAP"/>
    <s v="MLTC"/>
    <s v="CDPAP"/>
    <s v="PA HOURLY"/>
    <s v="T1019:U6"/>
    <x v="1"/>
    <x v="1"/>
    <s v="MC Medicaid CDPAP"/>
    <m/>
    <n v="1"/>
    <n v="87"/>
    <n v="261"/>
    <n v="1"/>
    <n v="87"/>
    <n v="261"/>
    <s v=""/>
    <m/>
    <s v=""/>
    <x v="1"/>
  </r>
  <r>
    <n v="1458"/>
    <x v="51"/>
    <s v="Centers Plan For Healthy Living CDPAP "/>
    <s v="MLTC"/>
    <s v="CDPAP"/>
    <s v="PA Hourly - 5 Boroughs"/>
    <s v="T1019:U6"/>
    <x v="1"/>
    <x v="1"/>
    <s v="MC Medicaid CDPAP"/>
    <m/>
    <n v="4"/>
    <n v="691"/>
    <n v="2719"/>
    <n v="4"/>
    <n v="691"/>
    <n v="2719"/>
    <s v=""/>
    <m/>
    <s v=""/>
    <x v="1"/>
  </r>
  <r>
    <n v="1459"/>
    <x v="51"/>
    <s v="Centers Plan For Healthy Living CDPAP "/>
    <s v="MLTC"/>
    <s v="CDPAP"/>
    <s v="PA Hourly - Nassau/Suffolk/Westchester:"/>
    <s v="T1019:U6"/>
    <x v="1"/>
    <x v="1"/>
    <s v="MC Medicaid CDPAP"/>
    <m/>
    <n v="53"/>
    <n v="10780"/>
    <n v="43678.25"/>
    <n v="53"/>
    <n v="10780"/>
    <n v="43678.25"/>
    <s v=""/>
    <m/>
    <s v=""/>
    <x v="1"/>
  </r>
  <r>
    <n v="1460"/>
    <x v="51"/>
    <s v="Centers Plan For Healthy Living CDPAP "/>
    <s v="MLTC"/>
    <s v="CDPAP"/>
    <s v="PA Live-In -  Nassau/Suffolk/Westchester:"/>
    <s v="T1020:U6"/>
    <x v="9"/>
    <x v="1"/>
    <s v="MC Medicaid CDPAP"/>
    <m/>
    <n v="1"/>
    <n v="358"/>
    <n v="4654"/>
    <n v="1"/>
    <n v="358"/>
    <n v="4654"/>
    <s v=""/>
    <m/>
    <n v="13"/>
    <x v="1"/>
  </r>
  <r>
    <n v="1463"/>
    <x v="51"/>
    <s v="ElderServe/Riverspring (CDPAP)"/>
    <s v="MLTC"/>
    <s v="CDPAP"/>
    <s v="PA Hourly - Long Island &amp; Westchester"/>
    <s v="T1019:U6:U4"/>
    <x v="12"/>
    <x v="1"/>
    <s v="MC Medicaid CDPAP"/>
    <m/>
    <n v="1"/>
    <n v="262"/>
    <n v="1990.5"/>
    <n v="1"/>
    <n v="262"/>
    <n v="1990.5"/>
    <s v=""/>
    <m/>
    <s v=""/>
    <x v="1"/>
  </r>
  <r>
    <n v="1466"/>
    <x v="51"/>
    <s v="Empire Blue Cross Blue Shield (CDPAP)"/>
    <s v="Other"/>
    <s v="CDPAP"/>
    <s v="PA Hourly (New)"/>
    <s v="T1019:U6"/>
    <x v="1"/>
    <x v="1"/>
    <s v="MC Medicaid CDPAP"/>
    <m/>
    <n v="3"/>
    <n v="771"/>
    <n v="4021.75"/>
    <n v="3"/>
    <n v="771"/>
    <n v="4021.75"/>
    <s v=""/>
    <m/>
    <s v=""/>
    <x v="1"/>
  </r>
  <r>
    <n v="1467"/>
    <x v="51"/>
    <s v="Empire Blue Cross Blue Shield (CDPAP)"/>
    <s v="Other"/>
    <s v="CDPAP"/>
    <s v="PA Hourly - Long Island &amp; Westchester"/>
    <s v="T1019:U6"/>
    <x v="1"/>
    <x v="1"/>
    <s v="MC Medicaid CDPAP"/>
    <m/>
    <n v="10"/>
    <n v="2111"/>
    <n v="11207"/>
    <n v="10"/>
    <n v="2111"/>
    <n v="11207"/>
    <s v=""/>
    <m/>
    <s v=""/>
    <x v="1"/>
  </r>
  <r>
    <n v="1468"/>
    <x v="51"/>
    <s v="Empire Blue Cross Blue Shield (PCA)"/>
    <s v="Other"/>
    <s v="MLTC"/>
    <s v="PCA Hourly NYC"/>
    <s v="T1019:U1"/>
    <x v="2"/>
    <x v="0"/>
    <s v="MC Medicaid HHA"/>
    <m/>
    <n v="1"/>
    <n v="26"/>
    <n v="76.75"/>
    <n v="1"/>
    <n v="26"/>
    <n v="76.75"/>
    <s v=""/>
    <m/>
    <s v=""/>
    <x v="1"/>
  </r>
  <r>
    <n v="1469"/>
    <x v="51"/>
    <s v="Empire Blue Cross Blue Shield (PCA)"/>
    <s v="Other"/>
    <s v="MLTC"/>
    <s v="RN Initial (NB)"/>
    <m/>
    <x v="3"/>
    <x v="0"/>
    <s v="MC Medicaid HHA"/>
    <m/>
    <n v="1"/>
    <n v="1"/>
    <n v="1"/>
    <n v="0"/>
    <n v="0"/>
    <n v="0"/>
    <s v="Nursing override"/>
    <m/>
    <s v=""/>
    <x v="1"/>
  </r>
  <r>
    <n v="1470"/>
    <x v="51"/>
    <s v="Extended Home Care"/>
    <s v="CHHA"/>
    <s v="CHHA"/>
    <s v="Rate1"/>
    <m/>
    <x v="0"/>
    <x v="0"/>
    <s v="Other"/>
    <s v="CHHA"/>
    <n v="1"/>
    <n v="131"/>
    <n v="514.25"/>
    <n v="1"/>
    <n v="131"/>
    <n v="514.25"/>
    <s v=""/>
    <m/>
    <s v=""/>
    <x v="0"/>
  </r>
  <r>
    <n v="1473"/>
    <x v="51"/>
    <s v="Fidelis Care (CDP)"/>
    <s v="LHCSA"/>
    <s v="CDPAP"/>
    <s v="T1019:U6"/>
    <s v="T1019:U6"/>
    <x v="1"/>
    <x v="1"/>
    <s v="MC Medicaid CDPAP"/>
    <m/>
    <n v="40"/>
    <n v="5204"/>
    <n v="26658.5"/>
    <n v="40"/>
    <n v="5204"/>
    <n v="26658.5"/>
    <s v=""/>
    <m/>
    <s v=""/>
    <x v="1"/>
  </r>
  <r>
    <n v="1474"/>
    <x v="51"/>
    <s v="Fidelis Care (CDP)"/>
    <s v="LHCSA"/>
    <s v="CDPAP"/>
    <s v="T1019:U7"/>
    <s v="T1019:U7"/>
    <x v="10"/>
    <x v="1"/>
    <s v="MC Medicaid CDPAP"/>
    <m/>
    <n v="2"/>
    <n v="68"/>
    <n v="629"/>
    <n v="2"/>
    <n v="68"/>
    <n v="629"/>
    <s v=""/>
    <m/>
    <s v=""/>
    <x v="1"/>
  </r>
  <r>
    <n v="1476"/>
    <x v="51"/>
    <s v="Hamaspik Choice (MLTC) CDPAP"/>
    <s v="MCO"/>
    <s v="CDPAP"/>
    <s v="PA Hourly NYC , Nassau, Westchester"/>
    <s v="T1019:U6"/>
    <x v="1"/>
    <x v="1"/>
    <s v="MC Medicaid CDPAP"/>
    <m/>
    <n v="1"/>
    <n v="332"/>
    <n v="966.75"/>
    <n v="1"/>
    <n v="332"/>
    <n v="966.75"/>
    <s v=""/>
    <m/>
    <s v=""/>
    <x v="1"/>
  </r>
  <r>
    <n v="1480"/>
    <x v="51"/>
    <s v="Healthfirst (CDP)"/>
    <s v="CHHA"/>
    <s v="CDPAP"/>
    <s v="T1019:U6"/>
    <s v="T1019:U6"/>
    <x v="1"/>
    <x v="1"/>
    <s v="MC Medicaid CDPAP"/>
    <m/>
    <n v="11"/>
    <n v="1101"/>
    <n v="5662.5"/>
    <n v="11"/>
    <n v="1101"/>
    <n v="5662.5"/>
    <s v=""/>
    <m/>
    <s v=""/>
    <x v="1"/>
  </r>
  <r>
    <n v="1483"/>
    <x v="51"/>
    <s v="SWHNY-MLTC (CDP)"/>
    <s v="Other"/>
    <s v="CDPAP"/>
    <s v="T1019:U6"/>
    <s v="T1019:U6"/>
    <x v="1"/>
    <x v="1"/>
    <s v="MC Medicaid CDPAP"/>
    <m/>
    <n v="3"/>
    <n v="657"/>
    <n v="3931.5"/>
    <n v="3"/>
    <n v="657"/>
    <n v="3931.5"/>
    <s v=""/>
    <m/>
    <s v=""/>
    <x v="1"/>
  </r>
  <r>
    <n v="1489"/>
    <x v="51"/>
    <s v="VNS Health Health Plans (CDP)"/>
    <s v="MLTC"/>
    <s v="CDPAP"/>
    <s v="T1019U6 SUF"/>
    <s v="T1019:U6"/>
    <x v="1"/>
    <x v="1"/>
    <s v="MC Medicaid CDPAP"/>
    <m/>
    <n v="69"/>
    <n v="13385"/>
    <n v="69494.75"/>
    <n v="65"/>
    <n v="13089"/>
    <n v="67666.25"/>
    <s v=""/>
    <m/>
    <s v=""/>
    <x v="1"/>
  </r>
  <r>
    <n v="1490"/>
    <x v="51"/>
    <s v="VNS Health Health Plans (CDP)"/>
    <s v="MLTC"/>
    <s v="CDPAP"/>
    <s v="T1019U7 SUF"/>
    <s v="T1019:U7"/>
    <x v="10"/>
    <x v="1"/>
    <s v="MC Medicaid CDPAP"/>
    <m/>
    <n v="6"/>
    <n v="1140"/>
    <n v="8534.5"/>
    <n v="6"/>
    <n v="1140"/>
    <n v="8534.5"/>
    <s v=""/>
    <m/>
    <s v=""/>
    <x v="1"/>
  </r>
  <r>
    <n v="1491"/>
    <x v="51"/>
    <s v="VNS Health Health Plans (CDP)"/>
    <s v="MLTC"/>
    <s v="CDPAP"/>
    <s v="T1020U6 SUF"/>
    <s v="T1020:U6"/>
    <x v="9"/>
    <x v="1"/>
    <s v="MC Medicaid CDPAP"/>
    <m/>
    <n v="1"/>
    <n v="75"/>
    <n v="975"/>
    <n v="1"/>
    <n v="75"/>
    <n v="975"/>
    <s v=""/>
    <m/>
    <n v="13"/>
    <x v="1"/>
  </r>
  <r>
    <n v="1493"/>
    <x v="52"/>
    <s v="Elderplan MJHS (CDP)"/>
    <s v="MLTC"/>
    <s v="CDPAP"/>
    <s v="T1019:U6"/>
    <s v="T1019:U6"/>
    <x v="1"/>
    <x v="1"/>
    <s v="MC Medicaid CDPAP"/>
    <m/>
    <n v="2"/>
    <n v="375"/>
    <n v="2131.25"/>
    <n v="2"/>
    <n v="375"/>
    <n v="2131.25"/>
    <s v=""/>
    <m/>
    <s v=""/>
    <x v="1"/>
  </r>
  <r>
    <n v="1495"/>
    <x v="52"/>
    <s v="Fidelis Care (CDP)"/>
    <s v="LHCSA"/>
    <s v="CDPAP"/>
    <s v="T1019:U6"/>
    <s v="T1019:U6"/>
    <x v="1"/>
    <x v="1"/>
    <s v="MC Medicaid CDPAP"/>
    <m/>
    <n v="5"/>
    <n v="389"/>
    <n v="1851"/>
    <n v="5"/>
    <n v="389"/>
    <n v="1851"/>
    <s v=""/>
    <m/>
    <s v=""/>
    <x v="1"/>
  </r>
  <r>
    <n v="1497"/>
    <x v="52"/>
    <s v="VNS Health Health Plans (CDP)"/>
    <s v="MLTC"/>
    <s v="CDPAP"/>
    <s v="T1019U6 SUL"/>
    <s v="T1019:U6"/>
    <x v="1"/>
    <x v="1"/>
    <s v="MC Medicaid CDPAP"/>
    <m/>
    <n v="6"/>
    <n v="1352"/>
    <n v="6097.75"/>
    <n v="6"/>
    <n v="1352"/>
    <n v="6097.75"/>
    <s v=""/>
    <m/>
    <s v=""/>
    <x v="1"/>
  </r>
  <r>
    <n v="1499"/>
    <x v="53"/>
    <s v="Fidelis Care (CDP)"/>
    <s v="LHCSA"/>
    <s v="CDPAP"/>
    <s v="T1019:U6"/>
    <s v="T1019:U6"/>
    <x v="1"/>
    <x v="1"/>
    <s v="MC Medicaid CDPAP"/>
    <m/>
    <n v="7"/>
    <n v="713"/>
    <n v="2323"/>
    <n v="7"/>
    <n v="713"/>
    <n v="2323"/>
    <s v=""/>
    <m/>
    <s v=""/>
    <x v="1"/>
  </r>
  <r>
    <n v="1501"/>
    <x v="53"/>
    <s v="Nascentia Health Options CDPAP"/>
    <s v="MLTC"/>
    <s v="CDPAP"/>
    <s v="PA Hourly"/>
    <s v="T1019:U6"/>
    <x v="1"/>
    <x v="1"/>
    <s v="MC Medicaid CDPAP"/>
    <m/>
    <n v="6"/>
    <n v="769"/>
    <n v="3538.5"/>
    <n v="5"/>
    <n v="729"/>
    <n v="3258.5"/>
    <s v=""/>
    <m/>
    <s v=""/>
    <x v="1"/>
  </r>
  <r>
    <n v="1503"/>
    <x v="54"/>
    <s v="Fidelis Care (CDP)"/>
    <s v="LHCSA"/>
    <s v="CDPAP"/>
    <s v="T1019:U6"/>
    <s v="T1019:U6"/>
    <x v="1"/>
    <x v="1"/>
    <s v="MC Medicaid CDPAP"/>
    <m/>
    <n v="3"/>
    <n v="361"/>
    <n v="1335.5"/>
    <n v="3"/>
    <n v="361"/>
    <n v="1335.5"/>
    <s v=""/>
    <m/>
    <s v=""/>
    <x v="1"/>
  </r>
  <r>
    <n v="1505"/>
    <x v="54"/>
    <s v="Nascentia Health Options CDPAP"/>
    <s v="MLTC"/>
    <s v="CDPAP"/>
    <s v="PA Hourly"/>
    <s v="T1019:U6"/>
    <x v="1"/>
    <x v="1"/>
    <s v="MC Medicaid CDPAP"/>
    <m/>
    <n v="7"/>
    <n v="583"/>
    <n v="2697"/>
    <n v="7"/>
    <n v="583"/>
    <n v="2697"/>
    <s v=""/>
    <m/>
    <s v=""/>
    <x v="1"/>
  </r>
  <r>
    <n v="1507"/>
    <x v="55"/>
    <s v="Elderplan MJHS (CDP)"/>
    <s v="MLTC"/>
    <s v="CDPAP"/>
    <s v="T1019:U6"/>
    <s v="T1019:U6"/>
    <x v="1"/>
    <x v="1"/>
    <s v="MC Medicaid CDPAP"/>
    <m/>
    <n v="2"/>
    <n v="312"/>
    <n v="1611.5"/>
    <n v="2"/>
    <n v="312"/>
    <n v="1611.5"/>
    <s v=""/>
    <m/>
    <s v=""/>
    <x v="1"/>
  </r>
  <r>
    <n v="1512"/>
    <x v="55"/>
    <s v="Fidelis Care (CDP)"/>
    <s v="LHCSA"/>
    <s v="CDPAP"/>
    <s v="T1019:U6"/>
    <s v="T1019:U6"/>
    <x v="1"/>
    <x v="1"/>
    <s v="MC Medicaid CDPAP"/>
    <m/>
    <n v="11"/>
    <n v="1916"/>
    <n v="13764"/>
    <n v="11"/>
    <n v="1916"/>
    <n v="13764"/>
    <s v=""/>
    <m/>
    <s v=""/>
    <x v="1"/>
  </r>
  <r>
    <n v="1515"/>
    <x v="55"/>
    <s v="Hamaspik Choice (MLTC) CDPAP"/>
    <s v="MCO"/>
    <s v="CDPAP"/>
    <s v="PA Hourly NYC , Nassau, Westchester"/>
    <s v="T1019:U6"/>
    <x v="1"/>
    <x v="1"/>
    <s v="MC Medicaid CDPAP"/>
    <m/>
    <n v="2"/>
    <n v="339"/>
    <n v="1061.25"/>
    <n v="2"/>
    <n v="339"/>
    <n v="1061.25"/>
    <s v=""/>
    <m/>
    <s v=""/>
    <x v="1"/>
  </r>
  <r>
    <n v="1516"/>
    <x v="55"/>
    <s v="Hamaspik Choice (MLTC) CDPAP"/>
    <s v="MCO"/>
    <s v="CDPAP"/>
    <s v="PA Hourly Upstate"/>
    <s v="T1019:U6"/>
    <x v="1"/>
    <x v="1"/>
    <s v="MC Medicaid CDPAP"/>
    <m/>
    <n v="2"/>
    <n v="407"/>
    <n v="1520.25"/>
    <n v="2"/>
    <n v="407"/>
    <n v="1520.25"/>
    <s v=""/>
    <m/>
    <s v=""/>
    <x v="1"/>
  </r>
  <r>
    <n v="1520"/>
    <x v="55"/>
    <s v="Hamaspik MAP CDPAP"/>
    <s v="MCO"/>
    <s v="CDPAP"/>
    <s v="PA Hourly Upstate"/>
    <s v="T1019:U6"/>
    <x v="1"/>
    <x v="1"/>
    <s v="MC Medicaid CDPAP"/>
    <m/>
    <n v="1"/>
    <n v="313"/>
    <n v="1564.5"/>
    <n v="1"/>
    <n v="313"/>
    <n v="1564.5"/>
    <s v=""/>
    <m/>
    <s v=""/>
    <x v="1"/>
  </r>
  <r>
    <n v="1524"/>
    <x v="55"/>
    <s v="VNS Health Health Plans (CDP)"/>
    <s v="MLTC"/>
    <s v="CDPAP"/>
    <s v="T1019U6 ULS"/>
    <s v="T1019:U6"/>
    <x v="1"/>
    <x v="1"/>
    <s v="MC Medicaid CDPAP"/>
    <m/>
    <n v="13"/>
    <n v="3089"/>
    <n v="14408"/>
    <n v="12"/>
    <n v="2948"/>
    <n v="13602"/>
    <s v=""/>
    <m/>
    <s v=""/>
    <x v="1"/>
  </r>
  <r>
    <n v="1525"/>
    <x v="55"/>
    <s v="VNS Health Health Plans (CDP)"/>
    <s v="MLTC"/>
    <s v="CDPAP"/>
    <s v="T1019U6 ULS MAP"/>
    <s v="T1019:U6"/>
    <x v="1"/>
    <x v="1"/>
    <s v="MC Medicaid CDPAP"/>
    <m/>
    <n v="1"/>
    <n v="14"/>
    <n v="56"/>
    <n v="1"/>
    <n v="14"/>
    <n v="56"/>
    <s v=""/>
    <m/>
    <s v=""/>
    <x v="1"/>
  </r>
  <r>
    <n v="1527"/>
    <x v="56"/>
    <s v="Fidelis Care (CDP)"/>
    <s v="LHCSA"/>
    <s v="CDPAP"/>
    <s v="T1019:U6"/>
    <s v="T1019:U6"/>
    <x v="1"/>
    <x v="1"/>
    <s v="MC Medicaid CDPAP"/>
    <m/>
    <n v="6"/>
    <n v="636"/>
    <n v="3315"/>
    <n v="6"/>
    <n v="636"/>
    <n v="3315"/>
    <s v=""/>
    <m/>
    <s v=""/>
    <x v="1"/>
  </r>
  <r>
    <n v="1529"/>
    <x v="56"/>
    <s v="Nascentia Health Options CDPAP"/>
    <s v="MLTC"/>
    <s v="CDPAP"/>
    <s v="PA Hourly"/>
    <s v="T1019:U6"/>
    <x v="1"/>
    <x v="1"/>
    <s v="MC Medicaid CDPAP"/>
    <m/>
    <n v="2"/>
    <n v="61"/>
    <n v="251.25"/>
    <n v="2"/>
    <n v="61"/>
    <n v="251.25"/>
    <s v=""/>
    <m/>
    <s v=""/>
    <x v="1"/>
  </r>
  <r>
    <n v="1531"/>
    <x v="56"/>
    <s v="VNS Health Health Plans (CDP)"/>
    <s v="MLTC"/>
    <s v="CDPAP"/>
    <s v="T1019U6 SAR"/>
    <s v="T1019:U6"/>
    <x v="1"/>
    <x v="1"/>
    <s v="MC Medicaid CDPAP"/>
    <m/>
    <n v="1"/>
    <n v="215"/>
    <n v="1408"/>
    <n v="1"/>
    <n v="215"/>
    <n v="1408"/>
    <s v=""/>
    <m/>
    <s v=""/>
    <x v="1"/>
  </r>
  <r>
    <n v="1532"/>
    <x v="56"/>
    <s v="VNS Health Health Plans (CDP)"/>
    <s v="MLTC"/>
    <s v="CDPAP"/>
    <s v="T1019U6 WAR"/>
    <s v="T1019:U6"/>
    <x v="1"/>
    <x v="1"/>
    <s v="MC Medicaid CDPAP"/>
    <m/>
    <n v="2"/>
    <n v="177"/>
    <n v="583"/>
    <n v="2"/>
    <n v="177"/>
    <n v="583"/>
    <s v=""/>
    <m/>
    <s v=""/>
    <x v="1"/>
  </r>
  <r>
    <n v="1534"/>
    <x v="57"/>
    <s v="Fidelis Care (CDP)"/>
    <s v="LHCSA"/>
    <s v="CDPAP"/>
    <s v="T1019:U6"/>
    <s v="T1019:U6"/>
    <x v="1"/>
    <x v="1"/>
    <s v="MC Medicaid CDPAP"/>
    <m/>
    <n v="5"/>
    <n v="553"/>
    <n v="2346.5"/>
    <n v="5"/>
    <n v="553"/>
    <n v="2346.5"/>
    <s v=""/>
    <m/>
    <s v=""/>
    <x v="1"/>
  </r>
  <r>
    <n v="1536"/>
    <x v="57"/>
    <s v="Nascentia Health Options CDPAP"/>
    <s v="MLTC"/>
    <s v="CDPAP"/>
    <s v="PA Hourly"/>
    <s v="T1019:U6"/>
    <x v="1"/>
    <x v="1"/>
    <s v="MC Medicaid CDPAP"/>
    <m/>
    <n v="1"/>
    <n v="250"/>
    <n v="1551.5"/>
    <n v="1"/>
    <n v="250"/>
    <n v="1551.5"/>
    <s v=""/>
    <m/>
    <s v=""/>
    <x v="1"/>
  </r>
  <r>
    <n v="1539"/>
    <x v="57"/>
    <s v="VNS Health Health Plans (CDP)"/>
    <s v="MLTC"/>
    <s v="CDPAP"/>
    <s v="T1019U6 WAS"/>
    <s v="T1019:U6"/>
    <x v="1"/>
    <x v="1"/>
    <s v="MC Medicaid CDPAP"/>
    <m/>
    <n v="7"/>
    <n v="1139"/>
    <n v="4870.75"/>
    <n v="7"/>
    <n v="1139"/>
    <n v="4870.75"/>
    <s v=""/>
    <m/>
    <s v=""/>
    <x v="1"/>
  </r>
  <r>
    <n v="1541"/>
    <x v="58"/>
    <s v="Fidelis Care (CDP)"/>
    <s v="LHCSA"/>
    <s v="CDPAP"/>
    <s v="T1019:U6"/>
    <s v="T1019:U6"/>
    <x v="1"/>
    <x v="1"/>
    <s v="MC Medicaid CDPAP"/>
    <m/>
    <n v="4"/>
    <n v="439"/>
    <n v="1778.25"/>
    <n v="4"/>
    <n v="439"/>
    <n v="1778.25"/>
    <s v=""/>
    <m/>
    <s v=""/>
    <x v="1"/>
  </r>
  <r>
    <n v="1543"/>
    <x v="58"/>
    <s v="Nascentia Health Options CDPAP"/>
    <s v="MLTC"/>
    <s v="CDPAP"/>
    <s v="PA Hourly"/>
    <s v="T1019:U6"/>
    <x v="1"/>
    <x v="1"/>
    <s v="MC Medicaid CDPAP"/>
    <m/>
    <n v="2"/>
    <n v="284"/>
    <n v="1623"/>
    <n v="2"/>
    <n v="284"/>
    <n v="1623"/>
    <s v=""/>
    <m/>
    <s v=""/>
    <x v="1"/>
  </r>
  <r>
    <n v="1544"/>
    <x v="59"/>
    <s v="Americare"/>
    <s v="CHHA"/>
    <s v="CHHA"/>
    <s v="HHA1"/>
    <s v="S9122"/>
    <x v="0"/>
    <x v="0"/>
    <s v="Other"/>
    <s v="CHHA"/>
    <n v="8"/>
    <n v="97"/>
    <n v="378.5"/>
    <n v="7"/>
    <n v="80"/>
    <n v="311.75"/>
    <s v=""/>
    <m/>
    <s v=""/>
    <x v="0"/>
  </r>
  <r>
    <n v="1545"/>
    <x v="59"/>
    <s v="Americare"/>
    <s v="CHHA"/>
    <s v="CHHA"/>
    <s v="HHAPEDSV"/>
    <s v="S9122"/>
    <x v="0"/>
    <x v="0"/>
    <s v="Other"/>
    <s v="CHHA"/>
    <n v="47"/>
    <n v="5870"/>
    <n v="33030.75"/>
    <n v="46"/>
    <n v="5857"/>
    <n v="32956.75"/>
    <s v=""/>
    <m/>
    <s v=""/>
    <x v="0"/>
  </r>
  <r>
    <n v="1546"/>
    <x v="59"/>
    <s v="Amerigroup (Empire) CDPAP"/>
    <s v="MLTC"/>
    <s v="CDPAP"/>
    <s v="PA HOURLY"/>
    <s v="T1019:U6"/>
    <x v="1"/>
    <x v="1"/>
    <s v="MC Medicaid CDPAP"/>
    <m/>
    <n v="1"/>
    <n v="192"/>
    <n v="725.25"/>
    <n v="1"/>
    <n v="192"/>
    <n v="725.25"/>
    <s v=""/>
    <m/>
    <s v=""/>
    <x v="1"/>
  </r>
  <r>
    <n v="1547"/>
    <x v="59"/>
    <s v="Amerigroup (Empire) PCA"/>
    <s v="MCO"/>
    <s v="Medicaid"/>
    <s v="PCA HOURLY"/>
    <s v="T1019:U1"/>
    <x v="2"/>
    <x v="0"/>
    <s v="MC Medicaid HHA"/>
    <m/>
    <n v="1"/>
    <n v="12"/>
    <n v="59.5"/>
    <n v="0"/>
    <n v="0"/>
    <m/>
    <s v=""/>
    <m/>
    <s v=""/>
    <x v="1"/>
  </r>
  <r>
    <n v="1548"/>
    <x v="59"/>
    <s v="Archcare Community Life PCA"/>
    <s v="MCO"/>
    <s v="MLTC"/>
    <s v="PCA Hourly"/>
    <s v="T1019:U1"/>
    <x v="2"/>
    <x v="0"/>
    <s v="MC Medicaid HHA"/>
    <m/>
    <n v="2"/>
    <n v="63"/>
    <n v="412"/>
    <n v="2"/>
    <n v="63"/>
    <n v="412"/>
    <s v=""/>
    <m/>
    <s v=""/>
    <x v="1"/>
  </r>
  <r>
    <n v="1549"/>
    <x v="59"/>
    <s v="Archcare Community Life PCA"/>
    <s v="MCO"/>
    <s v="MLTC"/>
    <s v="RN Initial (NB)"/>
    <m/>
    <x v="3"/>
    <x v="0"/>
    <s v="MC Medicaid HHA"/>
    <m/>
    <n v="2"/>
    <n v="2"/>
    <n v="2"/>
    <n v="2"/>
    <n v="2"/>
    <n v="2"/>
    <s v="Nursing override"/>
    <m/>
    <s v=""/>
    <x v="1"/>
  </r>
  <r>
    <n v="1550"/>
    <x v="59"/>
    <s v="Centers Plan For Health Living PCA"/>
    <s v="MLTC"/>
    <s v="MLTC"/>
    <s v="PCA Hourly"/>
    <s v="T1019:U1"/>
    <x v="2"/>
    <x v="0"/>
    <s v="MC Medicaid HHA"/>
    <m/>
    <n v="6"/>
    <n v="969"/>
    <n v="4002"/>
    <n v="6"/>
    <n v="969"/>
    <n v="4002"/>
    <s v=""/>
    <m/>
    <s v=""/>
    <x v="1"/>
  </r>
  <r>
    <n v="1551"/>
    <x v="59"/>
    <s v="Centers Plan For Health Living PCA"/>
    <s v="MLTC"/>
    <s v="MLTC"/>
    <s v="PCA Hourly LI &amp; Westchester"/>
    <s v="T1019:U1"/>
    <x v="2"/>
    <x v="0"/>
    <s v="MC Medicaid HHA"/>
    <m/>
    <n v="2"/>
    <n v="101"/>
    <n v="215.75"/>
    <n v="2"/>
    <n v="101"/>
    <n v="215.75"/>
    <s v=""/>
    <m/>
    <s v=""/>
    <x v="1"/>
  </r>
  <r>
    <n v="1552"/>
    <x v="59"/>
    <s v="Centers Plan For Health Living PCA"/>
    <s v="MLTC"/>
    <s v="MLTC"/>
    <s v="RN Initial (NB)"/>
    <m/>
    <x v="3"/>
    <x v="0"/>
    <s v="MC Medicaid HHA"/>
    <m/>
    <n v="7"/>
    <n v="7"/>
    <n v="7"/>
    <n v="7"/>
    <n v="7"/>
    <n v="7"/>
    <s v="Nursing override"/>
    <m/>
    <s v=""/>
    <x v="1"/>
  </r>
  <r>
    <n v="1553"/>
    <x v="59"/>
    <s v="Centers Plan For Health Living PCA"/>
    <s v="MLTC"/>
    <s v="MLTC"/>
    <s v="RN Reassessment (NB)"/>
    <m/>
    <x v="3"/>
    <x v="0"/>
    <s v="MC Medicaid HHA"/>
    <m/>
    <n v="6"/>
    <n v="8"/>
    <n v="8"/>
    <n v="6"/>
    <n v="8"/>
    <n v="8"/>
    <s v="Nursing override"/>
    <m/>
    <s v=""/>
    <x v="1"/>
  </r>
  <r>
    <n v="1555"/>
    <x v="59"/>
    <s v="Centers Plan For Healthy Living CDPAP "/>
    <s v="MLTC"/>
    <s v="CDPAP"/>
    <s v="PA Hourly - 5 Boroughs"/>
    <s v="T1019:U6"/>
    <x v="1"/>
    <x v="1"/>
    <s v="MC Medicaid CDPAP"/>
    <m/>
    <n v="2"/>
    <n v="335"/>
    <n v="1233.25"/>
    <n v="2"/>
    <n v="335"/>
    <n v="1233.25"/>
    <s v=""/>
    <m/>
    <s v=""/>
    <x v="1"/>
  </r>
  <r>
    <n v="1556"/>
    <x v="59"/>
    <s v="Centers Plan For Healthy Living CDPAP "/>
    <s v="MLTC"/>
    <s v="CDPAP"/>
    <s v="PA Hourly - Nassau/Suffolk/Westchester:"/>
    <s v="T1019:U6"/>
    <x v="1"/>
    <x v="1"/>
    <s v="MC Medicaid CDPAP"/>
    <m/>
    <n v="13"/>
    <n v="2338"/>
    <n v="9569"/>
    <n v="12"/>
    <n v="2303"/>
    <n v="9394.25"/>
    <s v=""/>
    <m/>
    <s v=""/>
    <x v="1"/>
  </r>
  <r>
    <n v="1557"/>
    <x v="59"/>
    <s v="Elderplan MJHS (ANT)"/>
    <s v="MLTC"/>
    <s v="MLTC"/>
    <s v="RN Initial (NB)"/>
    <m/>
    <x v="3"/>
    <x v="0"/>
    <s v="MC Medicaid HHA"/>
    <m/>
    <n v="12"/>
    <n v="13"/>
    <n v="13"/>
    <n v="11"/>
    <n v="12"/>
    <n v="12"/>
    <s v="Nursing override"/>
    <m/>
    <s v=""/>
    <x v="1"/>
  </r>
  <r>
    <n v="1558"/>
    <x v="59"/>
    <s v="Elderplan MJHS (ANT)"/>
    <s v="MLTC"/>
    <s v="MLTC"/>
    <s v="RN Reassessment (NB)"/>
    <m/>
    <x v="3"/>
    <x v="0"/>
    <s v="MC Medicaid HHA"/>
    <m/>
    <n v="3"/>
    <n v="4"/>
    <n v="4"/>
    <n v="3"/>
    <n v="4"/>
    <n v="4"/>
    <s v="Nursing override"/>
    <m/>
    <s v=""/>
    <x v="1"/>
  </r>
  <r>
    <n v="1559"/>
    <x v="59"/>
    <s v="Elderplan MJHS (ANT)"/>
    <s v="MLTC"/>
    <s v="MLTC"/>
    <s v="T1019:U1"/>
    <s v="T1019:U1"/>
    <x v="2"/>
    <x v="0"/>
    <s v="MC Medicaid HHA"/>
    <m/>
    <n v="13"/>
    <n v="1220"/>
    <n v="5728"/>
    <n v="12"/>
    <n v="1193"/>
    <n v="5620"/>
    <s v=""/>
    <m/>
    <s v=""/>
    <x v="1"/>
  </r>
  <r>
    <n v="1561"/>
    <x v="59"/>
    <s v="Elderplan MJHS (CDP)"/>
    <s v="MLTC"/>
    <s v="CDPAP"/>
    <s v="T1019:U6"/>
    <s v="T1019:U6"/>
    <x v="1"/>
    <x v="1"/>
    <s v="MC Medicaid CDPAP"/>
    <m/>
    <n v="9"/>
    <n v="1269"/>
    <n v="6298.75"/>
    <n v="6"/>
    <n v="1101"/>
    <n v="5125.5"/>
    <s v=""/>
    <m/>
    <s v=""/>
    <x v="1"/>
  </r>
  <r>
    <n v="1564"/>
    <x v="59"/>
    <s v="ElderServe/Riverspring (CDPAP)"/>
    <s v="MLTC"/>
    <s v="CDPAP"/>
    <s v="PA Hourly"/>
    <s v="T1019:U6"/>
    <x v="1"/>
    <x v="1"/>
    <s v="MC Medicaid CDPAP"/>
    <m/>
    <n v="1"/>
    <n v="3"/>
    <n v="21"/>
    <n v="1"/>
    <n v="3"/>
    <n v="21"/>
    <s v=""/>
    <m/>
    <s v=""/>
    <x v="1"/>
  </r>
  <r>
    <n v="1565"/>
    <x v="59"/>
    <s v="ElderServe/Riverspring (CDPAP)"/>
    <s v="MLTC"/>
    <s v="CDPAP"/>
    <s v="PA Hourly - Long Island &amp; Westchester"/>
    <s v="T1019:U6:U4"/>
    <x v="12"/>
    <x v="1"/>
    <s v="MC Medicaid CDPAP"/>
    <m/>
    <n v="6"/>
    <n v="323"/>
    <n v="2828.25"/>
    <n v="5"/>
    <n v="315"/>
    <n v="2776.25"/>
    <s v=""/>
    <m/>
    <s v=""/>
    <x v="1"/>
  </r>
  <r>
    <n v="1566"/>
    <x v="59"/>
    <s v="ElderServe/Riverspring (PCA)"/>
    <s v="MLTC"/>
    <s v="MLTC"/>
    <s v="PCA Hourly - LI Westchester"/>
    <s v="T1019:U4"/>
    <x v="14"/>
    <x v="0"/>
    <s v="MC Medicaid HHA"/>
    <m/>
    <n v="7"/>
    <n v="275"/>
    <n v="1184.75"/>
    <n v="6"/>
    <n v="270"/>
    <n v="1171"/>
    <s v=""/>
    <m/>
    <s v=""/>
    <x v="1"/>
  </r>
  <r>
    <n v="1567"/>
    <x v="59"/>
    <s v="ElderServe/Riverspring (PCA)"/>
    <s v="MLTC"/>
    <s v="MLTC"/>
    <s v="RN Initial (NB)"/>
    <m/>
    <x v="3"/>
    <x v="0"/>
    <s v="MC Medicaid HHA"/>
    <m/>
    <n v="7"/>
    <n v="7"/>
    <n v="7"/>
    <n v="6"/>
    <n v="6"/>
    <n v="6"/>
    <s v="Nursing override"/>
    <m/>
    <s v=""/>
    <x v="1"/>
  </r>
  <r>
    <n v="1568"/>
    <x v="59"/>
    <s v="ElderServe/Riverspring (PCA)"/>
    <s v="MLTC"/>
    <s v="MLTC"/>
    <s v="RN Reassessment (NB)"/>
    <m/>
    <x v="3"/>
    <x v="0"/>
    <s v="MC Medicaid HHA"/>
    <m/>
    <n v="1"/>
    <n v="1"/>
    <n v="1"/>
    <n v="1"/>
    <n v="1"/>
    <n v="1"/>
    <s v="Nursing override"/>
    <m/>
    <s v=""/>
    <x v="1"/>
  </r>
  <r>
    <n v="1571"/>
    <x v="59"/>
    <s v="Empire Blue Cross Blue Shield (CDPAP)"/>
    <s v="Other"/>
    <s v="CDPAP"/>
    <s v="PA Hourly (New)"/>
    <s v="T1019:U6"/>
    <x v="1"/>
    <x v="1"/>
    <s v="MC Medicaid CDPAP"/>
    <m/>
    <n v="4"/>
    <n v="814"/>
    <n v="4595.75"/>
    <n v="4"/>
    <n v="814"/>
    <n v="4595.75"/>
    <s v=""/>
    <m/>
    <s v=""/>
    <x v="1"/>
  </r>
  <r>
    <n v="1572"/>
    <x v="59"/>
    <s v="Empire Blue Cross Blue Shield (CDPAP)"/>
    <s v="Other"/>
    <s v="CDPAP"/>
    <s v="PA Hourly - Long Island &amp; Westchester"/>
    <s v="T1019:U6"/>
    <x v="1"/>
    <x v="1"/>
    <s v="MC Medicaid CDPAP"/>
    <m/>
    <n v="6"/>
    <n v="642"/>
    <n v="2686.5"/>
    <n v="6"/>
    <n v="642"/>
    <n v="2686.5"/>
    <s v=""/>
    <m/>
    <s v=""/>
    <x v="1"/>
  </r>
  <r>
    <n v="1573"/>
    <x v="59"/>
    <s v="Empire Blue Cross Blue Shield (PCA)"/>
    <s v="Other"/>
    <s v="MLTC"/>
    <s v="PCA Hourly LI &amp; Westchester"/>
    <s v="T1019:U1"/>
    <x v="2"/>
    <x v="0"/>
    <s v="MC Medicaid HHA"/>
    <m/>
    <n v="4"/>
    <n v="246"/>
    <n v="1445.75"/>
    <n v="3"/>
    <n v="163"/>
    <n v="872.75"/>
    <s v=""/>
    <m/>
    <s v=""/>
    <x v="1"/>
  </r>
  <r>
    <n v="1574"/>
    <x v="59"/>
    <s v="Empire Blue Cross Blue Shield (PCA)"/>
    <s v="Other"/>
    <s v="MLTC"/>
    <s v="PCA Hourly NYC"/>
    <s v="T1019:U1"/>
    <x v="2"/>
    <x v="0"/>
    <s v="MC Medicaid HHA"/>
    <m/>
    <n v="1"/>
    <n v="129"/>
    <n v="924"/>
    <n v="1"/>
    <n v="129"/>
    <n v="924"/>
    <s v=""/>
    <m/>
    <s v=""/>
    <x v="1"/>
  </r>
  <r>
    <n v="1575"/>
    <x v="59"/>
    <s v="Empire Blue Cross Blue Shield (PCA)"/>
    <s v="Other"/>
    <s v="MLTC"/>
    <s v="PCA Live In"/>
    <s v="T1020"/>
    <x v="8"/>
    <x v="0"/>
    <s v="MC Medicaid HHA"/>
    <m/>
    <n v="1"/>
    <n v="346"/>
    <n v="4498"/>
    <n v="1"/>
    <n v="346"/>
    <n v="4498"/>
    <s v=""/>
    <m/>
    <n v="13"/>
    <x v="1"/>
  </r>
  <r>
    <n v="1576"/>
    <x v="59"/>
    <s v="Empire Blue Cross Blue Shield (PCA)"/>
    <s v="Other"/>
    <s v="MLTC"/>
    <s v="PRN (NB)"/>
    <m/>
    <x v="3"/>
    <x v="0"/>
    <s v="MC Medicaid HHA"/>
    <m/>
    <n v="1"/>
    <n v="1"/>
    <n v="1"/>
    <n v="1"/>
    <n v="1"/>
    <n v="1"/>
    <s v="Nursing override"/>
    <m/>
    <s v=""/>
    <x v="1"/>
  </r>
  <r>
    <n v="1577"/>
    <x v="59"/>
    <s v="Empire Blue Cross Blue Shield (PCA)"/>
    <s v="Other"/>
    <s v="MLTC"/>
    <s v="RN Initial (NB)"/>
    <m/>
    <x v="3"/>
    <x v="0"/>
    <s v="MC Medicaid HHA"/>
    <m/>
    <n v="5"/>
    <n v="5"/>
    <n v="5"/>
    <n v="3"/>
    <n v="3"/>
    <n v="3"/>
    <s v="Nursing override"/>
    <m/>
    <s v=""/>
    <x v="1"/>
  </r>
  <r>
    <n v="1578"/>
    <x v="59"/>
    <s v="Empire Blue Cross Blue Shield (PCA)"/>
    <s v="Other"/>
    <s v="MLTC"/>
    <s v="RN Reassessment (NB)"/>
    <m/>
    <x v="3"/>
    <x v="0"/>
    <s v="MC Medicaid HHA"/>
    <m/>
    <n v="2"/>
    <n v="3"/>
    <n v="3"/>
    <n v="2"/>
    <n v="3"/>
    <n v="3"/>
    <s v="Nursing override"/>
    <m/>
    <s v=""/>
    <x v="1"/>
  </r>
  <r>
    <n v="1579"/>
    <x v="59"/>
    <s v="Fidelis Care (ANT)"/>
    <s v="LHCSA"/>
    <s v="MLTC"/>
    <s v="PRN (NB)"/>
    <m/>
    <x v="3"/>
    <x v="0"/>
    <s v="MC Medicaid HHA"/>
    <m/>
    <n v="2"/>
    <n v="2"/>
    <n v="2"/>
    <n v="2"/>
    <n v="2"/>
    <n v="2"/>
    <s v="Nursing override"/>
    <m/>
    <s v=""/>
    <x v="1"/>
  </r>
  <r>
    <n v="1580"/>
    <x v="59"/>
    <s v="Fidelis Care (ANT)"/>
    <s v="LHCSA"/>
    <s v="MLTC"/>
    <s v="RN Initial (NB)"/>
    <m/>
    <x v="3"/>
    <x v="0"/>
    <s v="MC Medicaid HHA"/>
    <m/>
    <n v="16"/>
    <n v="16"/>
    <n v="16"/>
    <n v="16"/>
    <n v="16"/>
    <n v="16"/>
    <s v="Nursing override"/>
    <m/>
    <s v=""/>
    <x v="1"/>
  </r>
  <r>
    <n v="1581"/>
    <x v="59"/>
    <s v="Fidelis Care (ANT)"/>
    <s v="LHCSA"/>
    <s v="MLTC"/>
    <s v="RN Initial Assement"/>
    <s v="T2024"/>
    <x v="3"/>
    <x v="0"/>
    <s v="MC Medicaid HHA"/>
    <m/>
    <n v="11"/>
    <n v="11"/>
    <n v="11"/>
    <n v="11"/>
    <n v="11"/>
    <n v="11"/>
    <s v="nursing"/>
    <m/>
    <s v=""/>
    <x v="1"/>
  </r>
  <r>
    <n v="1582"/>
    <x v="59"/>
    <s v="Fidelis Care (ANT)"/>
    <s v="LHCSA"/>
    <s v="MLTC"/>
    <s v="RN Reassessment (NB)"/>
    <m/>
    <x v="3"/>
    <x v="0"/>
    <s v="MC Medicaid HHA"/>
    <m/>
    <n v="10"/>
    <n v="13"/>
    <n v="13"/>
    <n v="10"/>
    <n v="13"/>
    <n v="13"/>
    <s v="Nursing override"/>
    <m/>
    <s v=""/>
    <x v="1"/>
  </r>
  <r>
    <n v="1583"/>
    <x v="59"/>
    <s v="Fidelis Care (ANT)"/>
    <s v="LHCSA"/>
    <s v="MLTC"/>
    <s v="S5130:U1"/>
    <s v="S5130:U1::::Homemaker"/>
    <x v="6"/>
    <x v="0"/>
    <s v="MC Medicaid HHA"/>
    <m/>
    <n v="1"/>
    <n v="4"/>
    <n v="13.25"/>
    <n v="1"/>
    <n v="4"/>
    <n v="13.25"/>
    <s v=""/>
    <m/>
    <s v=""/>
    <x v="1"/>
  </r>
  <r>
    <n v="1584"/>
    <x v="59"/>
    <s v="Fidelis Care (ANT)"/>
    <s v="LHCSA"/>
    <s v="MLTC"/>
    <s v="T1019:U1"/>
    <s v="T1019:U1"/>
    <x v="2"/>
    <x v="0"/>
    <s v="MC Medicaid HHA"/>
    <m/>
    <n v="34"/>
    <n v="2646"/>
    <n v="12426.75"/>
    <n v="33"/>
    <n v="2583"/>
    <n v="12043.5"/>
    <s v=""/>
    <m/>
    <s v=""/>
    <x v="1"/>
  </r>
  <r>
    <n v="1585"/>
    <x v="59"/>
    <s v="Fidelis Care (ANT)"/>
    <s v="LHCSA"/>
    <s v="MLTC"/>
    <s v="T1020"/>
    <s v="T1020"/>
    <x v="8"/>
    <x v="0"/>
    <s v="MC Medicaid HHA"/>
    <m/>
    <n v="1"/>
    <n v="236"/>
    <n v="3068"/>
    <n v="1"/>
    <n v="236"/>
    <n v="3068"/>
    <s v=""/>
    <m/>
    <n v="13"/>
    <x v="1"/>
  </r>
  <r>
    <n v="1588"/>
    <x v="59"/>
    <s v="Fidelis Care (CDP)"/>
    <s v="LHCSA"/>
    <s v="CDPAP"/>
    <s v="T1019:U6"/>
    <s v="T1019:U6"/>
    <x v="1"/>
    <x v="1"/>
    <s v="MC Medicaid CDPAP"/>
    <m/>
    <n v="35"/>
    <n v="4609"/>
    <n v="24043"/>
    <n v="34"/>
    <n v="4539"/>
    <n v="23214"/>
    <s v=""/>
    <m/>
    <s v=""/>
    <x v="1"/>
  </r>
  <r>
    <n v="1589"/>
    <x v="59"/>
    <s v="Fidelis Care PCA (Non Live)"/>
    <s v="MLTC"/>
    <s v="MLTC"/>
    <s v="RN Initial (NB)"/>
    <s v="G0162"/>
    <x v="3"/>
    <x v="0"/>
    <s v="MC Medicaid HHA"/>
    <m/>
    <n v="2"/>
    <n v="2"/>
    <n v="2"/>
    <n v="2"/>
    <n v="2"/>
    <n v="2"/>
    <s v="Nursing override"/>
    <m/>
    <s v=""/>
    <x v="1"/>
  </r>
  <r>
    <n v="1590"/>
    <x v="59"/>
    <s v="Fidelis Care PCA (Non Live)"/>
    <s v="MLTC"/>
    <s v="MLTC"/>
    <s v="Rn initial assement"/>
    <s v="G0162"/>
    <x v="3"/>
    <x v="0"/>
    <s v="MC Medicaid HHA"/>
    <m/>
    <n v="2"/>
    <n v="2"/>
    <n v="2"/>
    <n v="2"/>
    <n v="2"/>
    <n v="2"/>
    <s v="nursing"/>
    <m/>
    <s v=""/>
    <x v="1"/>
  </r>
  <r>
    <n v="1592"/>
    <x v="59"/>
    <s v="Hamaspik MAP CDPAP"/>
    <s v="MCO"/>
    <s v="CDPAP"/>
    <s v="PA Hourly (NYC, LI, &amp; Westchester)"/>
    <s v="T1019:U6"/>
    <x v="1"/>
    <x v="1"/>
    <s v="MC Medicaid CDPAP"/>
    <m/>
    <n v="5"/>
    <n v="674"/>
    <n v="2361.25"/>
    <n v="4"/>
    <n v="659"/>
    <n v="2256.25"/>
    <s v=""/>
    <m/>
    <s v=""/>
    <x v="1"/>
  </r>
  <r>
    <n v="1594"/>
    <x v="59"/>
    <s v="Hamaspik MAP PCA"/>
    <s v="MCO"/>
    <s v="MLTC"/>
    <s v="PCA Hourly"/>
    <s v="T1019:U1"/>
    <x v="2"/>
    <x v="0"/>
    <s v="MC Medicaid HHA"/>
    <m/>
    <n v="1"/>
    <n v="7"/>
    <n v="35"/>
    <n v="1"/>
    <n v="7"/>
    <n v="35"/>
    <s v=""/>
    <m/>
    <s v=""/>
    <x v="1"/>
  </r>
  <r>
    <n v="1595"/>
    <x v="59"/>
    <s v="Hamaspik MAP PCA"/>
    <s v="MCO"/>
    <s v="MLTC"/>
    <s v="RN Initial (NB)"/>
    <m/>
    <x v="3"/>
    <x v="0"/>
    <s v="MC Medicaid HHA"/>
    <m/>
    <n v="1"/>
    <n v="1"/>
    <n v="1"/>
    <n v="1"/>
    <n v="1"/>
    <n v="1"/>
    <s v="Nursing override"/>
    <m/>
    <s v=""/>
    <x v="1"/>
  </r>
  <r>
    <n v="1596"/>
    <x v="59"/>
    <s v="Healthfirst (ANT)"/>
    <s v="CHHA"/>
    <s v="MLTC"/>
    <s v="PRN (NB)"/>
    <m/>
    <x v="3"/>
    <x v="0"/>
    <s v="MC Medicaid HHA"/>
    <m/>
    <n v="1"/>
    <n v="1"/>
    <n v="1"/>
    <n v="1"/>
    <n v="1"/>
    <n v="1"/>
    <s v="Nursing override"/>
    <m/>
    <s v=""/>
    <x v="1"/>
  </r>
  <r>
    <n v="1597"/>
    <x v="59"/>
    <s v="Healthfirst (ANT)"/>
    <s v="CHHA"/>
    <s v="MLTC"/>
    <s v="RN Initial (NB)"/>
    <m/>
    <x v="3"/>
    <x v="0"/>
    <s v="MC Medicaid HHA"/>
    <m/>
    <n v="9"/>
    <n v="9"/>
    <n v="9"/>
    <n v="9"/>
    <n v="9"/>
    <n v="9"/>
    <s v="Nursing override"/>
    <m/>
    <s v=""/>
    <x v="1"/>
  </r>
  <r>
    <n v="1598"/>
    <x v="59"/>
    <s v="Healthfirst (ANT)"/>
    <s v="CHHA"/>
    <s v="MLTC"/>
    <s v="RN Reassessment (NB)"/>
    <m/>
    <x v="3"/>
    <x v="0"/>
    <s v="MC Medicaid HHA"/>
    <m/>
    <n v="9"/>
    <n v="14"/>
    <n v="14"/>
    <n v="9"/>
    <n v="14"/>
    <n v="14"/>
    <s v="Nursing override"/>
    <m/>
    <s v=""/>
    <x v="1"/>
  </r>
  <r>
    <n v="1599"/>
    <x v="59"/>
    <s v="Healthfirst (ANT)"/>
    <s v="CHHA"/>
    <s v="MLTC"/>
    <s v="T1019:U1"/>
    <s v="T1019:U1"/>
    <x v="2"/>
    <x v="0"/>
    <s v="MC Medicaid HHA"/>
    <m/>
    <n v="18"/>
    <n v="1642"/>
    <n v="10152.25"/>
    <n v="18"/>
    <n v="1642"/>
    <n v="10152.25"/>
    <s v=""/>
    <m/>
    <s v=""/>
    <x v="1"/>
  </r>
  <r>
    <n v="1600"/>
    <x v="59"/>
    <s v="Healthfirst (ANT)"/>
    <s v="CHHA"/>
    <s v="MLTC"/>
    <s v="T1020"/>
    <s v="T1020"/>
    <x v="8"/>
    <x v="0"/>
    <s v="MC Medicaid HHA"/>
    <m/>
    <n v="1"/>
    <n v="99"/>
    <n v="1287"/>
    <n v="1"/>
    <n v="99"/>
    <n v="1287"/>
    <s v=""/>
    <m/>
    <n v="13"/>
    <x v="1"/>
  </r>
  <r>
    <n v="1602"/>
    <x v="59"/>
    <s v="Healthfirst (CDP)"/>
    <s v="CHHA"/>
    <s v="CDPAP"/>
    <s v="T1019:U6"/>
    <s v="T1019:U6"/>
    <x v="1"/>
    <x v="1"/>
    <s v="MC Medicaid CDPAP"/>
    <m/>
    <n v="9"/>
    <n v="1028"/>
    <n v="5369.5"/>
    <n v="7"/>
    <n v="982"/>
    <n v="5155.5"/>
    <s v=""/>
    <m/>
    <s v=""/>
    <x v="1"/>
  </r>
  <r>
    <n v="1603"/>
    <x v="59"/>
    <s v="NHTD"/>
    <s v="LHCSA"/>
    <s v="Medicaid"/>
    <s v="HCSS 9795 LI Nassau Westchester Suffolk"/>
    <s v="9795"/>
    <x v="4"/>
    <x v="0"/>
    <s v="Other"/>
    <m/>
    <n v="32"/>
    <n v="7654"/>
    <n v="85574.5"/>
    <n v="30"/>
    <n v="7607"/>
    <n v="85153.75"/>
    <s v=""/>
    <m/>
    <s v=""/>
    <x v="0"/>
  </r>
  <r>
    <n v="1604"/>
    <x v="59"/>
    <s v="NHTD"/>
    <s v="LHCSA"/>
    <s v="Medicaid"/>
    <s v="HCSS 9795 NYC"/>
    <s v="9795"/>
    <x v="4"/>
    <x v="0"/>
    <s v="Other"/>
    <m/>
    <n v="18"/>
    <n v="2290"/>
    <n v="26288.5"/>
    <n v="18"/>
    <n v="2290"/>
    <n v="26288.5"/>
    <s v=""/>
    <m/>
    <s v=""/>
    <x v="0"/>
  </r>
  <r>
    <n v="1605"/>
    <x v="59"/>
    <s v="NHTD"/>
    <s v="LHCSA"/>
    <s v="Medicaid"/>
    <s v="Initial RN Visit 9799 (Hourly)"/>
    <s v="9799"/>
    <x v="4"/>
    <x v="0"/>
    <s v="Other"/>
    <m/>
    <n v="24"/>
    <n v="24"/>
    <n v="23.5"/>
    <n v="22"/>
    <n v="22"/>
    <n v="22"/>
    <m/>
    <m/>
    <s v=""/>
    <x v="0"/>
  </r>
  <r>
    <n v="1606"/>
    <x v="59"/>
    <s v="NHTD"/>
    <s v="LHCSA"/>
    <s v="Medicaid"/>
    <s v="PRN (NB)"/>
    <m/>
    <x v="4"/>
    <x v="0"/>
    <s v="Other"/>
    <m/>
    <n v="2"/>
    <n v="2"/>
    <n v="1"/>
    <n v="2"/>
    <n v="2"/>
    <n v="2"/>
    <m/>
    <m/>
    <s v=""/>
    <x v="0"/>
  </r>
  <r>
    <n v="1607"/>
    <x v="59"/>
    <s v="NHTD"/>
    <s v="LHCSA"/>
    <s v="Medicaid"/>
    <s v="RN Initial (NB)"/>
    <m/>
    <x v="4"/>
    <x v="0"/>
    <s v="Other"/>
    <m/>
    <n v="3"/>
    <n v="3"/>
    <n v="3"/>
    <n v="3"/>
    <n v="3"/>
    <n v="3"/>
    <m/>
    <m/>
    <s v=""/>
    <x v="0"/>
  </r>
  <r>
    <n v="1608"/>
    <x v="59"/>
    <s v="NHTD"/>
    <s v="LHCSA"/>
    <s v="Medicaid"/>
    <s v="RN Visit 9799 (Hourly)"/>
    <s v="9799"/>
    <x v="4"/>
    <x v="0"/>
    <s v="Other"/>
    <m/>
    <n v="21"/>
    <n v="28"/>
    <n v="27.5"/>
    <n v="21"/>
    <n v="28"/>
    <n v="28"/>
    <m/>
    <m/>
    <s v=""/>
    <x v="0"/>
  </r>
  <r>
    <n v="1609"/>
    <x v="59"/>
    <s v="Non Billable"/>
    <s v="Other"/>
    <s v="Insurance"/>
    <s v="PCA Hourly"/>
    <m/>
    <x v="5"/>
    <x v="0"/>
    <s v="Private Pay"/>
    <m/>
    <n v="5"/>
    <n v="17"/>
    <n v="55.75"/>
    <n v="4"/>
    <n v="16"/>
    <n v="50.75"/>
    <s v=""/>
    <m/>
    <s v=""/>
    <x v="0"/>
  </r>
  <r>
    <n v="1610"/>
    <x v="59"/>
    <s v="Preferred Certified"/>
    <s v="MCO"/>
    <s v="Insurance"/>
    <s v="HHA hourly"/>
    <m/>
    <x v="0"/>
    <x v="0"/>
    <s v="Other"/>
    <s v="CHHA"/>
    <n v="1"/>
    <n v="10"/>
    <n v="29.5"/>
    <n v="1"/>
    <n v="10"/>
    <n v="29.5"/>
    <s v=""/>
    <m/>
    <s v=""/>
    <x v="0"/>
  </r>
  <r>
    <n v="1611"/>
    <x v="59"/>
    <s v="Preferred Certified"/>
    <s v="MCO"/>
    <s v="Insurance"/>
    <s v="PCA Hourly"/>
    <m/>
    <x v="0"/>
    <x v="0"/>
    <s v="Other"/>
    <s v="CHHA"/>
    <n v="1"/>
    <n v="2"/>
    <n v="5.5"/>
    <n v="1"/>
    <n v="2"/>
    <n v="5.5"/>
    <s v=""/>
    <m/>
    <s v=""/>
    <x v="0"/>
  </r>
  <r>
    <n v="1612"/>
    <x v="59"/>
    <s v="Preferred Certified"/>
    <s v="MCO"/>
    <s v="Insurance"/>
    <s v="RN Initial Visit-NB"/>
    <s v="T2024"/>
    <x v="0"/>
    <x v="0"/>
    <s v="Other"/>
    <s v="CHHA"/>
    <n v="1"/>
    <n v="1"/>
    <n v="0.5"/>
    <n v="1"/>
    <n v="1"/>
    <n v="0.5"/>
    <s v=""/>
    <m/>
    <s v=""/>
    <x v="0"/>
  </r>
  <r>
    <n v="1613"/>
    <x v="59"/>
    <s v="Prime Home Health Services"/>
    <s v="CHHA"/>
    <s v="CHHA"/>
    <s v="HHAHOUR"/>
    <m/>
    <x v="0"/>
    <x v="0"/>
    <s v="Other"/>
    <s v="CHHA"/>
    <n v="9"/>
    <n v="335"/>
    <n v="2070.75"/>
    <n v="7"/>
    <n v="299"/>
    <n v="1914"/>
    <s v=""/>
    <m/>
    <s v=""/>
    <x v="0"/>
  </r>
  <r>
    <n v="1614"/>
    <x v="59"/>
    <s v="Prime Home Health Services"/>
    <s v="CHHA"/>
    <s v="CHHA"/>
    <s v="HHAHRPED"/>
    <s v="99999"/>
    <x v="0"/>
    <x v="0"/>
    <s v="Other"/>
    <s v="CHHA"/>
    <n v="1"/>
    <n v="276"/>
    <n v="1359.25"/>
    <n v="1"/>
    <n v="276"/>
    <n v="1359.25"/>
    <s v=""/>
    <m/>
    <s v=""/>
    <x v="0"/>
  </r>
  <r>
    <n v="1615"/>
    <x v="59"/>
    <s v="Private Pay"/>
    <s v="Other"/>
    <s v="Private"/>
    <s v="PCA Hourly"/>
    <m/>
    <x v="5"/>
    <x v="0"/>
    <s v="Private Pay"/>
    <m/>
    <n v="2"/>
    <n v="16"/>
    <n v="66"/>
    <n v="2"/>
    <n v="16"/>
    <n v="66"/>
    <s v=""/>
    <m/>
    <s v=""/>
    <x v="0"/>
  </r>
  <r>
    <n v="1616"/>
    <x v="59"/>
    <s v="Revival Home Health Care"/>
    <s v="CHHA"/>
    <s v="CHHA"/>
    <s v="Rate1"/>
    <s v="S9122"/>
    <x v="0"/>
    <x v="0"/>
    <s v="Other"/>
    <s v="CHHA"/>
    <n v="9"/>
    <n v="62"/>
    <n v="236.75"/>
    <n v="7"/>
    <n v="52"/>
    <n v="197.75"/>
    <s v=""/>
    <m/>
    <s v=""/>
    <x v="0"/>
  </r>
  <r>
    <n v="1617"/>
    <x v="59"/>
    <s v="Royal Care Certified of NY"/>
    <s v="Other"/>
    <m/>
    <s v="Rate 1"/>
    <s v="na"/>
    <x v="0"/>
    <x v="0"/>
    <s v="Other"/>
    <s v="CHHA"/>
    <n v="1"/>
    <n v="1"/>
    <n v="4"/>
    <n v="1"/>
    <n v="1"/>
    <n v="4"/>
    <s v=""/>
    <m/>
    <s v=""/>
    <x v="0"/>
  </r>
  <r>
    <n v="1618"/>
    <x v="59"/>
    <s v="SWHNY-MLTC (ANT)"/>
    <s v="Other"/>
    <s v="MLTC"/>
    <s v="T1019:U1"/>
    <s v="T1019:U1"/>
    <x v="2"/>
    <x v="0"/>
    <s v="MC Medicaid HHA"/>
    <m/>
    <n v="1"/>
    <n v="114"/>
    <n v="1312.5"/>
    <n v="1"/>
    <n v="114"/>
    <n v="1312.5"/>
    <s v=""/>
    <m/>
    <s v=""/>
    <x v="1"/>
  </r>
  <r>
    <n v="1621"/>
    <x v="59"/>
    <s v="SWHNY-MLTC (CDP)"/>
    <s v="Other"/>
    <s v="CDPAP"/>
    <s v="T1019:U6"/>
    <s v="T1019:U6"/>
    <x v="1"/>
    <x v="1"/>
    <s v="MC Medicaid CDPAP"/>
    <m/>
    <n v="3"/>
    <n v="478"/>
    <n v="3086.5"/>
    <n v="3"/>
    <n v="478"/>
    <n v="3086.5"/>
    <s v=""/>
    <m/>
    <s v=""/>
    <x v="1"/>
  </r>
  <r>
    <n v="1623"/>
    <x v="59"/>
    <s v="VillageCare CDPAP"/>
    <s v="MCO"/>
    <s v="CDPAP"/>
    <s v="PA Hourly"/>
    <s v="T1019:U6"/>
    <x v="1"/>
    <x v="1"/>
    <s v="MC Medicaid CDPAP"/>
    <m/>
    <n v="7"/>
    <n v="351"/>
    <n v="1683.5"/>
    <n v="7"/>
    <n v="351"/>
    <n v="1683.5"/>
    <s v=""/>
    <m/>
    <s v=""/>
    <x v="1"/>
  </r>
  <r>
    <n v="1624"/>
    <x v="59"/>
    <s v="VillageCare CDPAP"/>
    <s v="MCO"/>
    <s v="CDPAP"/>
    <s v="PA Hourly Mutual"/>
    <s v="T1019:U7"/>
    <x v="10"/>
    <x v="1"/>
    <s v="MC Medicaid CDPAP"/>
    <m/>
    <n v="2"/>
    <n v="28"/>
    <n v="224"/>
    <n v="2"/>
    <n v="28"/>
    <n v="224"/>
    <s v=""/>
    <m/>
    <s v=""/>
    <x v="1"/>
  </r>
  <r>
    <n v="1625"/>
    <x v="59"/>
    <s v="VillageCare PCA"/>
    <s v="MLTC"/>
    <s v="MLTC"/>
    <s v="PCA Hourly"/>
    <s v="T1019:U1"/>
    <x v="2"/>
    <x v="0"/>
    <s v="MC Medicaid HHA"/>
    <m/>
    <n v="13"/>
    <n v="520"/>
    <n v="2340.25"/>
    <n v="13"/>
    <n v="520"/>
    <n v="2340.25"/>
    <s v=""/>
    <m/>
    <s v=""/>
    <x v="1"/>
  </r>
  <r>
    <n v="1626"/>
    <x v="59"/>
    <s v="VillageCare PCA"/>
    <s v="MLTC"/>
    <s v="MLTC"/>
    <s v="PCA Hourly"/>
    <s v="T1019:U1:TV"/>
    <x v="2"/>
    <x v="0"/>
    <s v="MC Medicaid HHA"/>
    <m/>
    <n v="3"/>
    <n v="46"/>
    <n v="231"/>
    <n v="3"/>
    <n v="46"/>
    <n v="231"/>
    <s v=""/>
    <m/>
    <s v=""/>
    <x v="1"/>
  </r>
  <r>
    <n v="1627"/>
    <x v="59"/>
    <s v="VillageCare PCA"/>
    <s v="MLTC"/>
    <s v="MLTC"/>
    <s v="PCA Hourly TV"/>
    <s v="T1019:U1:TV"/>
    <x v="2"/>
    <x v="0"/>
    <s v="MC Medicaid HHA"/>
    <m/>
    <n v="5"/>
    <n v="70"/>
    <n v="318.75"/>
    <n v="5"/>
    <n v="70"/>
    <n v="318.75"/>
    <s v=""/>
    <m/>
    <s v=""/>
    <x v="1"/>
  </r>
  <r>
    <n v="1628"/>
    <x v="59"/>
    <s v="VillageCare PCA"/>
    <s v="MLTC"/>
    <s v="MLTC"/>
    <s v="PRN (NB)"/>
    <m/>
    <x v="3"/>
    <x v="0"/>
    <s v="MC Medicaid HHA"/>
    <m/>
    <n v="1"/>
    <n v="1"/>
    <n v="1"/>
    <n v="1"/>
    <n v="1"/>
    <n v="1"/>
    <s v="Nursing override"/>
    <m/>
    <s v=""/>
    <x v="1"/>
  </r>
  <r>
    <n v="1629"/>
    <x v="59"/>
    <s v="VillageCare PCA"/>
    <s v="MLTC"/>
    <s v="MLTC"/>
    <s v="RN Initial Visit"/>
    <s v="T1030"/>
    <x v="7"/>
    <x v="0"/>
    <s v="MC Medicaid HHA"/>
    <m/>
    <n v="10"/>
    <n v="10"/>
    <n v="10"/>
    <n v="10"/>
    <n v="10"/>
    <n v="10"/>
    <s v="nursing"/>
    <m/>
    <s v=""/>
    <x v="1"/>
  </r>
  <r>
    <n v="1630"/>
    <x v="59"/>
    <s v="VNS Health Health Plans (ANT)"/>
    <s v="MLTC"/>
    <s v="MLTC"/>
    <s v="PRN (NB)"/>
    <m/>
    <x v="3"/>
    <x v="0"/>
    <s v="MC Medicaid HHA"/>
    <m/>
    <n v="5"/>
    <n v="6"/>
    <n v="6"/>
    <n v="5"/>
    <n v="6"/>
    <n v="6"/>
    <s v="Nursing override"/>
    <m/>
    <s v=""/>
    <x v="1"/>
  </r>
  <r>
    <n v="1631"/>
    <x v="59"/>
    <s v="VNS Health Health Plans (ANT)"/>
    <s v="MLTC"/>
    <s v="MLTC"/>
    <s v="RN Initial (NB)"/>
    <m/>
    <x v="3"/>
    <x v="0"/>
    <s v="MC Medicaid HHA"/>
    <m/>
    <n v="30"/>
    <n v="30"/>
    <n v="30"/>
    <n v="24"/>
    <n v="24"/>
    <n v="24"/>
    <s v="Nursing override"/>
    <m/>
    <s v=""/>
    <x v="1"/>
  </r>
  <r>
    <n v="1632"/>
    <x v="59"/>
    <s v="VNS Health Health Plans (ANT)"/>
    <s v="MLTC"/>
    <s v="MLTC"/>
    <s v="RN Reassessment (NB)"/>
    <m/>
    <x v="3"/>
    <x v="0"/>
    <s v="MC Medicaid HHA"/>
    <m/>
    <n v="12"/>
    <n v="16"/>
    <n v="16"/>
    <n v="12"/>
    <n v="16"/>
    <n v="16"/>
    <s v="Nursing override"/>
    <m/>
    <s v=""/>
    <x v="1"/>
  </r>
  <r>
    <n v="1633"/>
    <x v="59"/>
    <s v="VNS Health Health Plans (ANT)"/>
    <s v="MLTC"/>
    <s v="MLTC"/>
    <s v="T1019U1 BX"/>
    <s v="T1019:U1"/>
    <x v="2"/>
    <x v="0"/>
    <s v="MC Medicaid HHA"/>
    <m/>
    <n v="1"/>
    <n v="53"/>
    <n v="220"/>
    <n v="1"/>
    <n v="53"/>
    <n v="220"/>
    <s v=""/>
    <m/>
    <s v=""/>
    <x v="1"/>
  </r>
  <r>
    <n v="1634"/>
    <x v="59"/>
    <s v="VNS Health Health Plans (ANT)"/>
    <s v="MLTC"/>
    <s v="MLTC"/>
    <s v="T1019U1 WES"/>
    <s v="T1019:U1"/>
    <x v="2"/>
    <x v="0"/>
    <s v="MC Medicaid HHA"/>
    <m/>
    <n v="35"/>
    <n v="2045"/>
    <n v="14270.5"/>
    <n v="30"/>
    <n v="1986"/>
    <n v="13964.5"/>
    <s v=""/>
    <m/>
    <s v=""/>
    <x v="1"/>
  </r>
  <r>
    <n v="1635"/>
    <x v="59"/>
    <s v="VNS Health Health Plans (ANT)"/>
    <s v="MLTC"/>
    <s v="MLTC"/>
    <s v="T1019U2 WES"/>
    <s v="T1019:U2"/>
    <x v="11"/>
    <x v="0"/>
    <s v="MC Medicaid HHA"/>
    <m/>
    <n v="4"/>
    <n v="116"/>
    <n v="441"/>
    <n v="4"/>
    <n v="116"/>
    <n v="441"/>
    <s v=""/>
    <m/>
    <s v=""/>
    <x v="1"/>
  </r>
  <r>
    <n v="1636"/>
    <x v="59"/>
    <s v="VNS Health Health Plans (ANT)"/>
    <s v="MLTC"/>
    <s v="MLTC"/>
    <s v="T1020 WES"/>
    <s v="T1020"/>
    <x v="8"/>
    <x v="0"/>
    <s v="MC Medicaid HHA"/>
    <m/>
    <n v="2"/>
    <n v="407"/>
    <n v="5291"/>
    <n v="2"/>
    <n v="407"/>
    <n v="5291"/>
    <s v=""/>
    <m/>
    <n v="13"/>
    <x v="1"/>
  </r>
  <r>
    <n v="1641"/>
    <x v="59"/>
    <s v="VNS Health Health Plans (CDP)"/>
    <s v="MLTC"/>
    <s v="CDPAP"/>
    <s v="T1019U6 WES"/>
    <s v="T1019:U6"/>
    <x v="1"/>
    <x v="1"/>
    <s v="MC Medicaid CDPAP"/>
    <m/>
    <n v="33"/>
    <n v="6227"/>
    <n v="31780"/>
    <n v="31"/>
    <n v="6137"/>
    <n v="31368.5"/>
    <s v=""/>
    <m/>
    <s v=""/>
    <x v="1"/>
  </r>
  <r>
    <n v="1642"/>
    <x v="59"/>
    <s v="VNS Health Health Plans (CDP)"/>
    <s v="MLTC"/>
    <s v="CDPAP"/>
    <s v="T1019U6 WES MAP"/>
    <s v="T1019:U6"/>
    <x v="1"/>
    <x v="1"/>
    <s v="MC Medicaid CDPAP"/>
    <m/>
    <n v="1"/>
    <n v="40"/>
    <n v="159.5"/>
    <n v="1"/>
    <n v="40"/>
    <n v="159.5"/>
    <s v=""/>
    <m/>
    <s v=""/>
    <x v="1"/>
  </r>
  <r>
    <n v="1644"/>
    <x v="60"/>
    <s v="Fidelis Care (CDP)"/>
    <s v="LHCSA"/>
    <s v="CDPAP"/>
    <s v="T1019:U6"/>
    <s v="T1019:U6"/>
    <x v="1"/>
    <x v="1"/>
    <s v="MC Medicaid CDPAP"/>
    <m/>
    <n v="3"/>
    <n v="477"/>
    <n v="2342.25"/>
    <n v="3"/>
    <n v="477"/>
    <n v="2342.25"/>
    <s v=""/>
    <m/>
    <s v=""/>
    <x v="1"/>
  </r>
  <r>
    <n v="1646"/>
    <x v="61"/>
    <s v="Fidelis Care (CDP)"/>
    <s v="LHCSA"/>
    <s v="CDPAP"/>
    <s v="T1019:U6"/>
    <s v="T1019:U6"/>
    <x v="1"/>
    <x v="1"/>
    <s v="MC Medicaid CDPAP"/>
    <m/>
    <n v="2"/>
    <n v="369"/>
    <n v="1960.5"/>
    <n v="2"/>
    <n v="369"/>
    <n v="1960.5"/>
    <s v=""/>
    <m/>
    <s v=""/>
    <x v="1"/>
  </r>
  <r>
    <n v="1648"/>
    <x v="61"/>
    <s v="Nascentia Health Options CDPAP"/>
    <s v="MLTC"/>
    <s v="CDPAP"/>
    <s v="PA Hourly"/>
    <s v="T1019:U6"/>
    <x v="1"/>
    <x v="1"/>
    <s v="MC Medicaid CDPAP"/>
    <m/>
    <n v="1"/>
    <n v="252"/>
    <n v="1247.75"/>
    <n v="1"/>
    <n v="252"/>
    <n v="1247.75"/>
    <s v=""/>
    <m/>
    <s v=""/>
    <x v="1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  <r>
    <m/>
    <x v="62"/>
    <m/>
    <m/>
    <m/>
    <m/>
    <m/>
    <x v="16"/>
    <x v="2"/>
    <m/>
    <m/>
    <m/>
    <m/>
    <m/>
    <m/>
    <m/>
    <m/>
    <m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00000000}" name="PivotTable16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F7:H49" firstHeaderRow="1" firstDataRow="2" firstDataCol="1"/>
  <pivotFields count="18">
    <pivotField showAll="0"/>
    <pivotField axis="axisRow" subtotalTop="0" showAll="0" sortType="ascending">
      <items count="65">
        <item m="1" x="63"/>
        <item x="6"/>
        <item x="7"/>
        <item x="5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"/>
        <item x="28"/>
        <item x="29"/>
        <item x="30"/>
        <item x="4"/>
        <item x="31"/>
        <item x="0"/>
        <item x="32"/>
        <item x="33"/>
        <item x="34"/>
        <item x="35"/>
        <item x="36"/>
        <item x="37"/>
        <item x="38"/>
        <item x="39"/>
        <item x="40"/>
        <item x="41"/>
        <item x="3"/>
        <item x="42"/>
        <item x="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t="default"/>
      </items>
    </pivotField>
    <pivotField showAll="0"/>
    <pivotField showAll="0"/>
    <pivotField showAll="0"/>
    <pivotField showAll="0"/>
    <pivotField showAll="0"/>
    <pivotField axis="axisRow" multipleItemSelectionAllowed="1" showAll="0" sortType="ascending">
      <items count="22">
        <item h="1" x="1"/>
        <item h="1" x="12"/>
        <item h="1" x="9"/>
        <item h="1" x="10"/>
        <item h="1" x="13"/>
        <item h="1" x="15"/>
        <item h="1" x="5"/>
        <item h="1" m="1" x="18"/>
        <item h="1" x="8"/>
        <item h="1" x="3"/>
        <item h="1" x="7"/>
        <item h="1" m="1" x="20"/>
        <item x="4"/>
        <item h="1" x="6"/>
        <item h="1" x="2"/>
        <item h="1" x="14"/>
        <item h="1" m="1" x="17"/>
        <item h="1" x="11"/>
        <item h="1" m="1" x="19"/>
        <item h="1" x="0"/>
        <item h="1" x="16"/>
        <item t="default"/>
      </items>
    </pivotField>
    <pivotField axis="axisCol" showAll="0" defaultSubtotal="0">
      <items count="4">
        <item x="1"/>
        <item x="0"/>
        <item x="2"/>
        <item m="1" x="3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/>
    <pivotField dataField="1" showAll="0"/>
    <pivotField axis="axisRow" showAll="0">
      <items count="11">
        <item x="6"/>
        <item h="1" x="4"/>
        <item x="7"/>
        <item x="8"/>
        <item h="1" x="5"/>
        <item h="1" x="3"/>
        <item h="1" x="2"/>
        <item h="1" x="1"/>
        <item x="0"/>
        <item h="1" x="9"/>
        <item t="default"/>
      </items>
    </pivotField>
  </pivotFields>
  <rowFields count="3">
    <field x="1"/>
    <field x="17"/>
    <field x="7"/>
  </rowFields>
  <rowItems count="41">
    <i>
      <x v="1"/>
    </i>
    <i r="1">
      <x v="8"/>
    </i>
    <i r="2">
      <x v="12"/>
    </i>
    <i t="default">
      <x v="1"/>
    </i>
    <i>
      <x v="3"/>
    </i>
    <i r="1">
      <x v="8"/>
    </i>
    <i r="2">
      <x v="12"/>
    </i>
    <i t="default">
      <x v="3"/>
    </i>
    <i>
      <x v="24"/>
    </i>
    <i r="1">
      <x v="8"/>
    </i>
    <i r="2">
      <x v="12"/>
    </i>
    <i t="default">
      <x v="24"/>
    </i>
    <i>
      <x v="30"/>
    </i>
    <i r="1">
      <x v="8"/>
    </i>
    <i r="2">
      <x v="12"/>
    </i>
    <i t="default">
      <x v="30"/>
    </i>
    <i>
      <x v="31"/>
    </i>
    <i r="1">
      <x v="8"/>
    </i>
    <i r="2">
      <x v="12"/>
    </i>
    <i t="default">
      <x v="31"/>
    </i>
    <i>
      <x v="41"/>
    </i>
    <i r="1">
      <x v="8"/>
    </i>
    <i r="2">
      <x v="12"/>
    </i>
    <i t="default">
      <x v="41"/>
    </i>
    <i>
      <x v="42"/>
    </i>
    <i r="1">
      <x v="8"/>
    </i>
    <i r="2">
      <x v="12"/>
    </i>
    <i t="default">
      <x v="42"/>
    </i>
    <i>
      <x v="43"/>
    </i>
    <i r="1">
      <x v="8"/>
    </i>
    <i r="2">
      <x v="12"/>
    </i>
    <i t="default">
      <x v="43"/>
    </i>
    <i>
      <x v="47"/>
    </i>
    <i r="1">
      <x v="8"/>
    </i>
    <i r="2">
      <x v="12"/>
    </i>
    <i t="default">
      <x v="47"/>
    </i>
    <i>
      <x v="60"/>
    </i>
    <i r="1">
      <x v="8"/>
    </i>
    <i r="2">
      <x v="12"/>
    </i>
    <i t="default">
      <x v="60"/>
    </i>
    <i t="grand">
      <x/>
    </i>
  </rowItems>
  <colFields count="1">
    <field x="8"/>
  </colFields>
  <colItems count="2">
    <i>
      <x v="1"/>
    </i>
    <i t="grand">
      <x/>
    </i>
  </colItems>
  <dataFields count="1">
    <dataField name="Sum of Unique Billed Hours" fld="16" showDataAs="percentOfCol" baseField="1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ADF59E-197E-4E3A-B3C5-684C1207541C}" name="PivotTable5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>
  <location ref="K5:L8" firstHeaderRow="1" firstDataRow="1" firstDataCol="1" rowPageCount="1" colPageCount="1"/>
  <pivotFields count="19"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22">
        <item h="1" x="1"/>
        <item h="1" x="12"/>
        <item h="1" x="9"/>
        <item h="1" x="10"/>
        <item h="1" x="13"/>
        <item h="1" x="15"/>
        <item h="1" x="5"/>
        <item m="1" x="18"/>
        <item h="1" x="8"/>
        <item x="3"/>
        <item x="7"/>
        <item m="1" x="20"/>
        <item h="1" x="4"/>
        <item h="1" x="6"/>
        <item h="1" x="2"/>
        <item h="1" x="14"/>
        <item h="1" m="1" x="17"/>
        <item h="1" x="11"/>
        <item m="1" x="19"/>
        <item h="1" x="0"/>
        <item h="1"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Row" showAll="0">
      <items count="7">
        <item m="1" x="4"/>
        <item m="1" x="5"/>
        <item x="3"/>
        <item x="0"/>
        <item x="1"/>
        <item x="2"/>
        <item t="default"/>
      </items>
    </pivotField>
    <pivotField showAll="0" defaultSubtotal="0">
      <items count="15">
        <item x="0"/>
        <item x="1"/>
        <item x="2"/>
        <item x="3"/>
        <item x="4"/>
        <item x="5"/>
        <item x="6"/>
        <item x="9"/>
        <item x="10"/>
        <item x="11"/>
        <item x="12"/>
        <item x="13"/>
        <item x="14"/>
        <item x="8"/>
        <item x="7"/>
      </items>
    </pivotField>
  </pivotFields>
  <rowFields count="1">
    <field x="17"/>
  </rowFields>
  <rowItems count="3">
    <i>
      <x v="2"/>
    </i>
    <i>
      <x v="4"/>
    </i>
    <i t="grand">
      <x/>
    </i>
  </rowItems>
  <colItems count="1">
    <i/>
  </colItems>
  <pageFields count="1">
    <pageField fld="7" hier="-1"/>
  </pageFields>
  <dataFields count="1">
    <dataField name="Sum of Unique Visit Count" fld="15" showDataAs="percentOfCo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02000000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3:D277" firstHeaderRow="1" firstDataRow="2" firstDataCol="1"/>
  <pivotFields count="18">
    <pivotField showAll="0"/>
    <pivotField axis="axisRow" subtotalTop="0" showAll="0" sortType="ascending">
      <items count="65">
        <item m="1" x="63"/>
        <item x="6"/>
        <item x="7"/>
        <item x="5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"/>
        <item x="28"/>
        <item x="29"/>
        <item x="30"/>
        <item x="4"/>
        <item x="31"/>
        <item x="0"/>
        <item x="32"/>
        <item x="33"/>
        <item x="34"/>
        <item x="35"/>
        <item x="36"/>
        <item x="37"/>
        <item x="38"/>
        <item x="39"/>
        <item x="40"/>
        <item x="41"/>
        <item x="3"/>
        <item x="42"/>
        <item x="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t="default"/>
      </items>
    </pivotField>
    <pivotField showAll="0"/>
    <pivotField showAll="0"/>
    <pivotField showAll="0"/>
    <pivotField showAll="0"/>
    <pivotField showAll="0"/>
    <pivotField axis="axisRow" multipleItemSelectionAllowed="1" showAll="0" sortType="ascending">
      <items count="22">
        <item x="1"/>
        <item x="12"/>
        <item x="9"/>
        <item x="10"/>
        <item x="13"/>
        <item x="15"/>
        <item x="5"/>
        <item m="1" x="18"/>
        <item x="8"/>
        <item h="1" x="3"/>
        <item h="1" x="7"/>
        <item m="1" x="20"/>
        <item x="4"/>
        <item x="6"/>
        <item x="2"/>
        <item x="14"/>
        <item m="1" x="17"/>
        <item x="11"/>
        <item h="1" m="1" x="19"/>
        <item h="1" x="0"/>
        <item x="16"/>
        <item t="default"/>
      </items>
    </pivotField>
    <pivotField axis="axisCol" showAll="0" defaultSubtotal="0">
      <items count="4">
        <item x="1"/>
        <item x="0"/>
        <item h="1" x="2"/>
        <item h="1" m="1" x="3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/>
    <pivotField dataField="1" showAll="0"/>
    <pivotField showAll="0">
      <items count="11">
        <item x="6"/>
        <item x="4"/>
        <item x="7"/>
        <item x="8"/>
        <item x="5"/>
        <item x="3"/>
        <item x="2"/>
        <item h="1" x="1"/>
        <item x="0"/>
        <item h="1" x="9"/>
        <item t="default"/>
      </items>
    </pivotField>
  </pivotFields>
  <rowFields count="2">
    <field x="1"/>
    <field x="7"/>
  </rowFields>
  <rowItems count="273">
    <i>
      <x v="1"/>
    </i>
    <i r="1">
      <x/>
    </i>
    <i r="1">
      <x v="6"/>
    </i>
    <i r="1">
      <x v="12"/>
    </i>
    <i r="1">
      <x v="13"/>
    </i>
    <i r="1">
      <x v="14"/>
    </i>
    <i t="default">
      <x v="1"/>
    </i>
    <i>
      <x v="2"/>
    </i>
    <i r="1">
      <x/>
    </i>
    <i t="default">
      <x v="2"/>
    </i>
    <i>
      <x v="3"/>
    </i>
    <i r="1">
      <x/>
    </i>
    <i r="1">
      <x v="2"/>
    </i>
    <i r="1">
      <x v="3"/>
    </i>
    <i r="1">
      <x v="6"/>
    </i>
    <i r="1">
      <x v="8"/>
    </i>
    <i r="1">
      <x v="12"/>
    </i>
    <i r="1">
      <x v="13"/>
    </i>
    <i r="1">
      <x v="14"/>
    </i>
    <i r="1">
      <x v="17"/>
    </i>
    <i t="default">
      <x v="3"/>
    </i>
    <i>
      <x v="4"/>
    </i>
    <i r="1">
      <x/>
    </i>
    <i t="default">
      <x v="4"/>
    </i>
    <i>
      <x v="5"/>
    </i>
    <i r="1">
      <x/>
    </i>
    <i t="default">
      <x v="5"/>
    </i>
    <i>
      <x v="6"/>
    </i>
    <i r="1">
      <x/>
    </i>
    <i t="default">
      <x v="6"/>
    </i>
    <i>
      <x v="7"/>
    </i>
    <i r="1">
      <x/>
    </i>
    <i r="1">
      <x v="3"/>
    </i>
    <i t="default">
      <x v="7"/>
    </i>
    <i>
      <x v="8"/>
    </i>
    <i r="1">
      <x/>
    </i>
    <i t="default">
      <x v="8"/>
    </i>
    <i>
      <x v="9"/>
    </i>
    <i r="1">
      <x/>
    </i>
    <i t="default">
      <x v="9"/>
    </i>
    <i>
      <x v="10"/>
    </i>
    <i r="1">
      <x/>
    </i>
    <i t="default">
      <x v="10"/>
    </i>
    <i>
      <x v="11"/>
    </i>
    <i r="1">
      <x/>
    </i>
    <i r="1">
      <x v="14"/>
    </i>
    <i t="default">
      <x v="11"/>
    </i>
    <i>
      <x v="12"/>
    </i>
    <i r="1">
      <x/>
    </i>
    <i t="default">
      <x v="12"/>
    </i>
    <i>
      <x v="13"/>
    </i>
    <i r="1">
      <x/>
    </i>
    <i t="default">
      <x v="13"/>
    </i>
    <i>
      <x v="14"/>
    </i>
    <i r="1">
      <x/>
    </i>
    <i t="default">
      <x v="14"/>
    </i>
    <i>
      <x v="15"/>
    </i>
    <i r="1">
      <x/>
    </i>
    <i r="1">
      <x v="3"/>
    </i>
    <i t="default">
      <x v="15"/>
    </i>
    <i>
      <x v="16"/>
    </i>
    <i r="1">
      <x/>
    </i>
    <i t="default">
      <x v="16"/>
    </i>
    <i>
      <x v="17"/>
    </i>
    <i r="1">
      <x/>
    </i>
    <i t="default">
      <x v="17"/>
    </i>
    <i>
      <x v="18"/>
    </i>
    <i r="1">
      <x/>
    </i>
    <i t="default">
      <x v="18"/>
    </i>
    <i>
      <x v="19"/>
    </i>
    <i r="1">
      <x/>
    </i>
    <i t="default">
      <x v="19"/>
    </i>
    <i>
      <x v="20"/>
    </i>
    <i r="1">
      <x/>
    </i>
    <i t="default">
      <x v="20"/>
    </i>
    <i>
      <x v="21"/>
    </i>
    <i r="1">
      <x/>
    </i>
    <i t="default">
      <x v="21"/>
    </i>
    <i>
      <x v="22"/>
    </i>
    <i r="1">
      <x/>
    </i>
    <i t="default">
      <x v="22"/>
    </i>
    <i>
      <x v="23"/>
    </i>
    <i r="1">
      <x/>
    </i>
    <i r="1">
      <x v="2"/>
    </i>
    <i t="default">
      <x v="23"/>
    </i>
    <i>
      <x v="24"/>
    </i>
    <i r="1">
      <x/>
    </i>
    <i r="1">
      <x v="2"/>
    </i>
    <i r="1">
      <x v="3"/>
    </i>
    <i r="1">
      <x v="6"/>
    </i>
    <i r="1">
      <x v="8"/>
    </i>
    <i r="1">
      <x v="12"/>
    </i>
    <i r="1">
      <x v="13"/>
    </i>
    <i r="1">
      <x v="14"/>
    </i>
    <i r="1">
      <x v="17"/>
    </i>
    <i t="default">
      <x v="24"/>
    </i>
    <i>
      <x v="25"/>
    </i>
    <i r="1">
      <x/>
    </i>
    <i t="default">
      <x v="25"/>
    </i>
    <i>
      <x v="26"/>
    </i>
    <i r="1">
      <x/>
    </i>
    <i t="default">
      <x v="26"/>
    </i>
    <i>
      <x v="27"/>
    </i>
    <i r="1">
      <x/>
    </i>
    <i t="default">
      <x v="27"/>
    </i>
    <i>
      <x v="28"/>
    </i>
    <i r="1">
      <x/>
    </i>
    <i t="default">
      <x v="28"/>
    </i>
    <i>
      <x v="29"/>
    </i>
    <i r="1">
      <x/>
    </i>
    <i r="1">
      <x v="14"/>
    </i>
    <i t="default">
      <x v="29"/>
    </i>
    <i>
      <x v="30"/>
    </i>
    <i r="1">
      <x/>
    </i>
    <i r="1">
      <x v="1"/>
    </i>
    <i r="1">
      <x v="2"/>
    </i>
    <i r="1">
      <x v="3"/>
    </i>
    <i r="1">
      <x v="4"/>
    </i>
    <i r="1">
      <x v="6"/>
    </i>
    <i r="1">
      <x v="8"/>
    </i>
    <i r="1">
      <x v="12"/>
    </i>
    <i r="1">
      <x v="13"/>
    </i>
    <i r="1">
      <x v="14"/>
    </i>
    <i r="1">
      <x v="15"/>
    </i>
    <i r="1">
      <x v="17"/>
    </i>
    <i t="default">
      <x v="30"/>
    </i>
    <i>
      <x v="31"/>
    </i>
    <i r="1">
      <x/>
    </i>
    <i r="1">
      <x v="2"/>
    </i>
    <i r="1">
      <x v="3"/>
    </i>
    <i r="1">
      <x v="6"/>
    </i>
    <i r="1">
      <x v="8"/>
    </i>
    <i r="1">
      <x v="12"/>
    </i>
    <i r="1">
      <x v="13"/>
    </i>
    <i r="1">
      <x v="14"/>
    </i>
    <i r="1">
      <x v="17"/>
    </i>
    <i t="default">
      <x v="31"/>
    </i>
    <i>
      <x v="32"/>
    </i>
    <i r="1">
      <x/>
    </i>
    <i t="default">
      <x v="32"/>
    </i>
    <i>
      <x v="33"/>
    </i>
    <i r="1">
      <x/>
    </i>
    <i t="default">
      <x v="33"/>
    </i>
    <i>
      <x v="34"/>
    </i>
    <i r="1">
      <x/>
    </i>
    <i r="1">
      <x v="3"/>
    </i>
    <i t="default">
      <x v="34"/>
    </i>
    <i>
      <x v="35"/>
    </i>
    <i r="1">
      <x/>
    </i>
    <i t="default">
      <x v="35"/>
    </i>
    <i>
      <x v="36"/>
    </i>
    <i r="1">
      <x/>
    </i>
    <i r="1">
      <x v="3"/>
    </i>
    <i r="1">
      <x v="14"/>
    </i>
    <i t="default">
      <x v="36"/>
    </i>
    <i>
      <x v="37"/>
    </i>
    <i r="1">
      <x/>
    </i>
    <i t="default">
      <x v="37"/>
    </i>
    <i>
      <x v="38"/>
    </i>
    <i r="1">
      <x/>
    </i>
    <i t="default">
      <x v="38"/>
    </i>
    <i>
      <x v="39"/>
    </i>
    <i r="1">
      <x/>
    </i>
    <i t="default">
      <x v="39"/>
    </i>
    <i>
      <x v="40"/>
    </i>
    <i r="1">
      <x/>
    </i>
    <i t="default">
      <x v="40"/>
    </i>
    <i>
      <x v="41"/>
    </i>
    <i r="1">
      <x/>
    </i>
    <i r="1">
      <x v="3"/>
    </i>
    <i r="1">
      <x v="6"/>
    </i>
    <i r="1">
      <x v="8"/>
    </i>
    <i r="1">
      <x v="12"/>
    </i>
    <i r="1">
      <x v="13"/>
    </i>
    <i r="1">
      <x v="14"/>
    </i>
    <i r="1">
      <x v="17"/>
    </i>
    <i t="default">
      <x v="41"/>
    </i>
    <i>
      <x v="42"/>
    </i>
    <i r="1">
      <x/>
    </i>
    <i r="1">
      <x v="2"/>
    </i>
    <i r="1">
      <x v="6"/>
    </i>
    <i r="1">
      <x v="12"/>
    </i>
    <i r="1">
      <x v="14"/>
    </i>
    <i t="default">
      <x v="42"/>
    </i>
    <i>
      <x v="43"/>
    </i>
    <i r="1">
      <x/>
    </i>
    <i r="1">
      <x v="2"/>
    </i>
    <i r="1">
      <x v="3"/>
    </i>
    <i r="1">
      <x v="5"/>
    </i>
    <i r="1">
      <x v="6"/>
    </i>
    <i r="1">
      <x v="8"/>
    </i>
    <i r="1">
      <x v="12"/>
    </i>
    <i r="1">
      <x v="13"/>
    </i>
    <i r="1">
      <x v="14"/>
    </i>
    <i r="1">
      <x v="17"/>
    </i>
    <i t="default">
      <x v="43"/>
    </i>
    <i>
      <x v="44"/>
    </i>
    <i r="1">
      <x/>
    </i>
    <i t="default">
      <x v="44"/>
    </i>
    <i>
      <x v="45"/>
    </i>
    <i r="1">
      <x/>
    </i>
    <i t="default">
      <x v="45"/>
    </i>
    <i>
      <x v="46"/>
    </i>
    <i r="1">
      <x/>
    </i>
    <i r="1">
      <x v="14"/>
    </i>
    <i t="default">
      <x v="46"/>
    </i>
    <i>
      <x v="47"/>
    </i>
    <i r="1">
      <x/>
    </i>
    <i r="1">
      <x v="3"/>
    </i>
    <i r="1">
      <x v="6"/>
    </i>
    <i r="1">
      <x v="8"/>
    </i>
    <i r="1">
      <x v="12"/>
    </i>
    <i r="1">
      <x v="14"/>
    </i>
    <i t="default">
      <x v="47"/>
    </i>
    <i>
      <x v="48"/>
    </i>
    <i r="1">
      <x/>
    </i>
    <i t="default">
      <x v="48"/>
    </i>
    <i>
      <x v="49"/>
    </i>
    <i r="1">
      <x/>
    </i>
    <i t="default">
      <x v="49"/>
    </i>
    <i>
      <x v="50"/>
    </i>
    <i r="1">
      <x/>
    </i>
    <i t="default">
      <x v="50"/>
    </i>
    <i>
      <x v="51"/>
    </i>
    <i r="1">
      <x/>
    </i>
    <i t="default">
      <x v="51"/>
    </i>
    <i>
      <x v="52"/>
    </i>
    <i r="1">
      <x/>
    </i>
    <i r="1">
      <x v="1"/>
    </i>
    <i r="1">
      <x v="2"/>
    </i>
    <i r="1">
      <x v="3"/>
    </i>
    <i r="1">
      <x v="14"/>
    </i>
    <i t="default">
      <x v="52"/>
    </i>
    <i>
      <x v="53"/>
    </i>
    <i r="1">
      <x/>
    </i>
    <i t="default">
      <x v="53"/>
    </i>
    <i>
      <x v="54"/>
    </i>
    <i r="1">
      <x/>
    </i>
    <i t="default">
      <x v="54"/>
    </i>
    <i>
      <x v="55"/>
    </i>
    <i r="1">
      <x/>
    </i>
    <i t="default">
      <x v="55"/>
    </i>
    <i>
      <x v="56"/>
    </i>
    <i r="1">
      <x/>
    </i>
    <i t="default">
      <x v="56"/>
    </i>
    <i>
      <x v="57"/>
    </i>
    <i r="1">
      <x/>
    </i>
    <i t="default">
      <x v="57"/>
    </i>
    <i>
      <x v="58"/>
    </i>
    <i r="1">
      <x/>
    </i>
    <i t="default">
      <x v="58"/>
    </i>
    <i>
      <x v="59"/>
    </i>
    <i r="1">
      <x/>
    </i>
    <i t="default">
      <x v="59"/>
    </i>
    <i>
      <x v="60"/>
    </i>
    <i r="1">
      <x/>
    </i>
    <i r="1">
      <x v="1"/>
    </i>
    <i r="1">
      <x v="3"/>
    </i>
    <i r="1">
      <x v="6"/>
    </i>
    <i r="1">
      <x v="8"/>
    </i>
    <i r="1">
      <x v="12"/>
    </i>
    <i r="1">
      <x v="13"/>
    </i>
    <i r="1">
      <x v="14"/>
    </i>
    <i r="1">
      <x v="15"/>
    </i>
    <i r="1">
      <x v="17"/>
    </i>
    <i t="default">
      <x v="60"/>
    </i>
    <i>
      <x v="61"/>
    </i>
    <i r="1">
      <x/>
    </i>
    <i t="default">
      <x v="61"/>
    </i>
    <i>
      <x v="62"/>
    </i>
    <i r="1">
      <x/>
    </i>
    <i t="default">
      <x v="62"/>
    </i>
    <i t="grand">
      <x/>
    </i>
  </rowItems>
  <colFields count="1">
    <field x="8"/>
  </colFields>
  <colItems count="3">
    <i>
      <x/>
    </i>
    <i>
      <x v="1"/>
    </i>
    <i t="grand">
      <x/>
    </i>
  </colItems>
  <dataFields count="1">
    <dataField name="Sum of Unique Billed Hours" fld="16" showDataAs="percentOfCol" baseField="1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EE1A00-B747-4673-A7C8-DA3F870F901F}" name="PivotTable6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O3:Q75" firstHeaderRow="1" firstDataRow="2" firstDataCol="1"/>
  <pivotFields count="18">
    <pivotField showAll="0"/>
    <pivotField axis="axisRow" subtotalTop="0" showAll="0" sortType="ascending">
      <items count="65">
        <item m="1" x="63"/>
        <item x="6"/>
        <item x="7"/>
        <item x="5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"/>
        <item x="28"/>
        <item x="29"/>
        <item x="30"/>
        <item x="4"/>
        <item x="31"/>
        <item x="0"/>
        <item x="32"/>
        <item x="33"/>
        <item x="34"/>
        <item x="35"/>
        <item x="36"/>
        <item x="37"/>
        <item x="38"/>
        <item x="39"/>
        <item x="40"/>
        <item x="41"/>
        <item x="3"/>
        <item x="42"/>
        <item x="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t="default"/>
      </items>
    </pivotField>
    <pivotField showAll="0"/>
    <pivotField showAll="0"/>
    <pivotField showAll="0"/>
    <pivotField showAll="0"/>
    <pivotField showAll="0"/>
    <pivotField axis="axisRow" multipleItemSelectionAllowed="1" showAll="0" sortType="ascending">
      <items count="22">
        <item x="1"/>
        <item x="12"/>
        <item x="9"/>
        <item x="10"/>
        <item x="13"/>
        <item x="15"/>
        <item h="1" x="5"/>
        <item m="1" x="18"/>
        <item x="8"/>
        <item h="1" x="3"/>
        <item h="1" x="7"/>
        <item h="1" m="1" x="20"/>
        <item h="1" x="4"/>
        <item x="6"/>
        <item x="2"/>
        <item x="14"/>
        <item m="1" x="17"/>
        <item x="11"/>
        <item h="1" m="1" x="19"/>
        <item h="1" x="0"/>
        <item h="1" x="16"/>
        <item t="default"/>
      </items>
    </pivotField>
    <pivotField axis="axisCol" showAll="0" defaultSubtotal="0">
      <items count="4">
        <item h="1" x="1"/>
        <item x="0"/>
        <item x="2"/>
        <item h="1" m="1" x="3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/>
    <pivotField dataField="1" showAll="0"/>
    <pivotField showAll="0">
      <items count="11">
        <item x="7"/>
        <item x="6"/>
        <item h="1" x="5"/>
        <item x="3"/>
        <item x="8"/>
        <item x="4"/>
        <item h="1" x="2"/>
        <item x="1"/>
        <item h="1" x="0"/>
        <item h="1" x="9"/>
        <item t="default"/>
      </items>
    </pivotField>
  </pivotFields>
  <rowFields count="2">
    <field x="1"/>
    <field x="7"/>
  </rowFields>
  <rowItems count="71">
    <i>
      <x v="1"/>
    </i>
    <i r="1">
      <x v="13"/>
    </i>
    <i r="1">
      <x v="14"/>
    </i>
    <i t="default">
      <x v="1"/>
    </i>
    <i>
      <x v="3"/>
    </i>
    <i r="1">
      <x v="8"/>
    </i>
    <i r="1">
      <x v="13"/>
    </i>
    <i r="1">
      <x v="14"/>
    </i>
    <i r="1">
      <x v="17"/>
    </i>
    <i t="default">
      <x v="3"/>
    </i>
    <i>
      <x v="11"/>
    </i>
    <i r="1">
      <x v="14"/>
    </i>
    <i t="default">
      <x v="11"/>
    </i>
    <i>
      <x v="24"/>
    </i>
    <i r="1">
      <x v="8"/>
    </i>
    <i r="1">
      <x v="13"/>
    </i>
    <i r="1">
      <x v="14"/>
    </i>
    <i r="1">
      <x v="17"/>
    </i>
    <i t="default">
      <x v="24"/>
    </i>
    <i>
      <x v="29"/>
    </i>
    <i r="1">
      <x v="14"/>
    </i>
    <i t="default">
      <x v="29"/>
    </i>
    <i>
      <x v="30"/>
    </i>
    <i r="1">
      <x v="8"/>
    </i>
    <i r="1">
      <x v="13"/>
    </i>
    <i r="1">
      <x v="14"/>
    </i>
    <i r="1">
      <x v="15"/>
    </i>
    <i r="1">
      <x v="17"/>
    </i>
    <i t="default">
      <x v="30"/>
    </i>
    <i>
      <x v="31"/>
    </i>
    <i r="1">
      <x v="8"/>
    </i>
    <i r="1">
      <x v="13"/>
    </i>
    <i r="1">
      <x v="14"/>
    </i>
    <i r="1">
      <x v="17"/>
    </i>
    <i t="default">
      <x v="31"/>
    </i>
    <i>
      <x v="36"/>
    </i>
    <i r="1">
      <x v="14"/>
    </i>
    <i t="default">
      <x v="36"/>
    </i>
    <i>
      <x v="41"/>
    </i>
    <i r="1">
      <x v="8"/>
    </i>
    <i r="1">
      <x v="13"/>
    </i>
    <i r="1">
      <x v="14"/>
    </i>
    <i r="1">
      <x v="17"/>
    </i>
    <i t="default">
      <x v="41"/>
    </i>
    <i>
      <x v="42"/>
    </i>
    <i r="1">
      <x v="14"/>
    </i>
    <i t="default">
      <x v="42"/>
    </i>
    <i>
      <x v="43"/>
    </i>
    <i r="1">
      <x v="8"/>
    </i>
    <i r="1">
      <x v="13"/>
    </i>
    <i r="1">
      <x v="14"/>
    </i>
    <i r="1">
      <x v="17"/>
    </i>
    <i t="default">
      <x v="43"/>
    </i>
    <i>
      <x v="46"/>
    </i>
    <i r="1">
      <x v="14"/>
    </i>
    <i t="default">
      <x v="46"/>
    </i>
    <i>
      <x v="47"/>
    </i>
    <i r="1">
      <x v="8"/>
    </i>
    <i r="1">
      <x v="14"/>
    </i>
    <i t="default">
      <x v="47"/>
    </i>
    <i>
      <x v="52"/>
    </i>
    <i r="1">
      <x v="14"/>
    </i>
    <i t="default">
      <x v="52"/>
    </i>
    <i>
      <x v="60"/>
    </i>
    <i r="1">
      <x v="8"/>
    </i>
    <i r="1">
      <x v="13"/>
    </i>
    <i r="1">
      <x v="14"/>
    </i>
    <i r="1">
      <x v="15"/>
    </i>
    <i r="1">
      <x v="17"/>
    </i>
    <i t="default">
      <x v="60"/>
    </i>
    <i t="grand">
      <x/>
    </i>
  </rowItems>
  <colFields count="1">
    <field x="8"/>
  </colFields>
  <colItems count="2">
    <i>
      <x v="1"/>
    </i>
    <i t="grand">
      <x/>
    </i>
  </colItems>
  <dataFields count="1">
    <dataField name="Sum of Unique Billed Hours" fld="16" showDataAs="percentOfCol" baseField="1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A93E58-BB30-4769-9D46-C1F9AE8AB583}" name="PivotTable8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C3:AE125" firstHeaderRow="1" firstDataRow="2" firstDataCol="1"/>
  <pivotFields count="18">
    <pivotField showAll="0"/>
    <pivotField axis="axisRow" subtotalTop="0" showAll="0" sortType="ascending">
      <items count="65">
        <item m="1" x="63"/>
        <item x="6"/>
        <item x="7"/>
        <item x="5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"/>
        <item x="28"/>
        <item x="29"/>
        <item x="30"/>
        <item x="4"/>
        <item x="31"/>
        <item x="0"/>
        <item x="32"/>
        <item x="33"/>
        <item x="34"/>
        <item x="35"/>
        <item x="36"/>
        <item x="37"/>
        <item x="38"/>
        <item x="39"/>
        <item x="40"/>
        <item x="41"/>
        <item x="3"/>
        <item x="42"/>
        <item x="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t="default"/>
      </items>
    </pivotField>
    <pivotField showAll="0"/>
    <pivotField showAll="0"/>
    <pivotField showAll="0"/>
    <pivotField showAll="0"/>
    <pivotField showAll="0"/>
    <pivotField axis="axisRow" multipleItemSelectionAllowed="1" showAll="0" sortType="ascending">
      <items count="22">
        <item x="1"/>
        <item x="12"/>
        <item x="9"/>
        <item x="10"/>
        <item x="13"/>
        <item x="15"/>
        <item x="5"/>
        <item m="1" x="18"/>
        <item x="8"/>
        <item x="3"/>
        <item x="7"/>
        <item m="1" x="20"/>
        <item x="4"/>
        <item x="6"/>
        <item x="2"/>
        <item x="14"/>
        <item m="1" x="17"/>
        <item x="11"/>
        <item m="1" x="19"/>
        <item x="0"/>
        <item x="16"/>
        <item t="default"/>
      </items>
    </pivotField>
    <pivotField axis="axisCol" showAll="0" defaultSubtotal="0">
      <items count="4">
        <item h="1" x="1"/>
        <item x="0"/>
        <item h="1" x="2"/>
        <item h="1" m="1" x="3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/>
    <pivotField dataField="1" showAll="0"/>
    <pivotField showAll="0">
      <items count="11">
        <item x="7"/>
        <item x="6"/>
        <item h="1" x="5"/>
        <item h="1" x="3"/>
        <item x="8"/>
        <item x="4"/>
        <item h="1" x="2"/>
        <item h="1" x="1"/>
        <item h="1" x="0"/>
        <item h="1" x="9"/>
        <item t="default"/>
      </items>
    </pivotField>
  </pivotFields>
  <rowFields count="2">
    <field x="1"/>
    <field x="7"/>
  </rowFields>
  <rowItems count="121">
    <i>
      <x v="1"/>
    </i>
    <i r="1">
      <x v="6"/>
    </i>
    <i r="1">
      <x v="9"/>
    </i>
    <i r="1">
      <x v="10"/>
    </i>
    <i r="1">
      <x v="12"/>
    </i>
    <i r="1">
      <x v="13"/>
    </i>
    <i r="1">
      <x v="14"/>
    </i>
    <i t="default">
      <x v="1"/>
    </i>
    <i>
      <x v="3"/>
    </i>
    <i r="1">
      <x v="6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7"/>
    </i>
    <i r="1">
      <x v="19"/>
    </i>
    <i t="default">
      <x v="3"/>
    </i>
    <i>
      <x v="11"/>
    </i>
    <i r="1">
      <x v="9"/>
    </i>
    <i r="1">
      <x v="14"/>
    </i>
    <i t="default">
      <x v="11"/>
    </i>
    <i>
      <x v="24"/>
    </i>
    <i r="1">
      <x v="6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7"/>
    </i>
    <i r="1">
      <x v="19"/>
    </i>
    <i t="default">
      <x v="24"/>
    </i>
    <i>
      <x v="29"/>
    </i>
    <i r="1">
      <x v="9"/>
    </i>
    <i r="1">
      <x v="14"/>
    </i>
    <i t="default">
      <x v="29"/>
    </i>
    <i>
      <x v="30"/>
    </i>
    <i r="1">
      <x v="6"/>
    </i>
    <i r="1">
      <x v="8"/>
    </i>
    <i r="1">
      <x v="9"/>
    </i>
    <i r="1">
      <x v="12"/>
    </i>
    <i r="1">
      <x v="13"/>
    </i>
    <i r="1">
      <x v="14"/>
    </i>
    <i r="1">
      <x v="15"/>
    </i>
    <i r="1">
      <x v="17"/>
    </i>
    <i r="1">
      <x v="19"/>
    </i>
    <i t="default">
      <x v="30"/>
    </i>
    <i>
      <x v="31"/>
    </i>
    <i r="1">
      <x v="6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7"/>
    </i>
    <i r="1">
      <x v="19"/>
    </i>
    <i t="default">
      <x v="31"/>
    </i>
    <i>
      <x v="36"/>
    </i>
    <i r="1">
      <x v="9"/>
    </i>
    <i r="1">
      <x v="14"/>
    </i>
    <i t="default">
      <x v="36"/>
    </i>
    <i>
      <x v="41"/>
    </i>
    <i r="1">
      <x v="6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7"/>
    </i>
    <i r="1">
      <x v="19"/>
    </i>
    <i t="default">
      <x v="41"/>
    </i>
    <i>
      <x v="42"/>
    </i>
    <i r="1">
      <x v="6"/>
    </i>
    <i r="1">
      <x v="9"/>
    </i>
    <i r="1">
      <x v="12"/>
    </i>
    <i r="1">
      <x v="14"/>
    </i>
    <i t="default">
      <x v="42"/>
    </i>
    <i>
      <x v="43"/>
    </i>
    <i r="1">
      <x v="6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7"/>
    </i>
    <i r="1">
      <x v="19"/>
    </i>
    <i t="default">
      <x v="43"/>
    </i>
    <i>
      <x v="46"/>
    </i>
    <i r="1">
      <x v="9"/>
    </i>
    <i r="1">
      <x v="14"/>
    </i>
    <i t="default">
      <x v="46"/>
    </i>
    <i>
      <x v="47"/>
    </i>
    <i r="1">
      <x v="6"/>
    </i>
    <i r="1">
      <x v="8"/>
    </i>
    <i r="1">
      <x v="9"/>
    </i>
    <i r="1">
      <x v="12"/>
    </i>
    <i r="1">
      <x v="14"/>
    </i>
    <i t="default">
      <x v="47"/>
    </i>
    <i>
      <x v="52"/>
    </i>
    <i r="1">
      <x v="9"/>
    </i>
    <i r="1">
      <x v="14"/>
    </i>
    <i r="1">
      <x v="19"/>
    </i>
    <i t="default">
      <x v="52"/>
    </i>
    <i>
      <x v="60"/>
    </i>
    <i r="1">
      <x v="6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5"/>
    </i>
    <i r="1">
      <x v="17"/>
    </i>
    <i r="1">
      <x v="19"/>
    </i>
    <i t="default">
      <x v="60"/>
    </i>
    <i t="grand">
      <x/>
    </i>
  </rowItems>
  <colFields count="1">
    <field x="8"/>
  </colFields>
  <colItems count="2">
    <i>
      <x v="1"/>
    </i>
    <i t="grand">
      <x/>
    </i>
  </colItems>
  <dataFields count="1">
    <dataField name="Sum of Unique Billed Hours" fld="16" showDataAs="percentOfCol" baseField="1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11C3E4-B634-49C3-8C3D-2507CC1BA958}" name="PivotTable12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I3:AK61" firstHeaderRow="1" firstDataRow="2" firstDataCol="1"/>
  <pivotFields count="22">
    <pivotField showAll="0"/>
    <pivotField axis="axisRow" subtotalTop="0" showAll="0" sortType="ascending">
      <items count="64">
        <item x="6"/>
        <item x="7"/>
        <item x="5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"/>
        <item x="28"/>
        <item x="29"/>
        <item x="30"/>
        <item x="4"/>
        <item x="31"/>
        <item x="0"/>
        <item x="32"/>
        <item x="33"/>
        <item x="34"/>
        <item x="35"/>
        <item x="36"/>
        <item x="37"/>
        <item x="38"/>
        <item x="39"/>
        <item x="40"/>
        <item x="41"/>
        <item x="3"/>
        <item x="42"/>
        <item x="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t="default"/>
      </items>
    </pivotField>
    <pivotField showAll="0"/>
    <pivotField showAll="0"/>
    <pivotField showAll="0"/>
    <pivotField showAll="0"/>
    <pivotField showAll="0"/>
    <pivotField multipleItemSelectionAllowed="1" showAll="0" sortType="ascending">
      <items count="22">
        <item x="1"/>
        <item x="12"/>
        <item x="9"/>
        <item x="10"/>
        <item x="13"/>
        <item x="15"/>
        <item x="5"/>
        <item m="1" x="18"/>
        <item x="8"/>
        <item x="3"/>
        <item x="7"/>
        <item m="1" x="20"/>
        <item x="4"/>
        <item x="6"/>
        <item x="2"/>
        <item x="14"/>
        <item m="1" x="17"/>
        <item x="11"/>
        <item m="1" x="19"/>
        <item x="0"/>
        <item x="16"/>
        <item t="default"/>
      </items>
    </pivotField>
    <pivotField axis="axisCol" showAll="0" defaultSubtotal="0">
      <items count="3">
        <item h="1" x="1"/>
        <item x="0"/>
        <item h="1" x="2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>
      <items count="11">
        <item x="7"/>
        <item x="6"/>
        <item h="1" x="5"/>
        <item h="1" x="3"/>
        <item x="8"/>
        <item x="4"/>
        <item h="1" x="2"/>
        <item h="1" x="1"/>
        <item h="1" x="0"/>
        <item h="1" x="9"/>
        <item t="default"/>
      </items>
    </pivotField>
  </pivotFields>
  <rowFields count="2">
    <field x="1"/>
    <field x="20"/>
  </rowFields>
  <rowItems count="57">
    <i>
      <x/>
    </i>
    <i r="1">
      <x/>
    </i>
    <i r="1">
      <x v="1"/>
    </i>
    <i t="default">
      <x/>
    </i>
    <i>
      <x v="2"/>
    </i>
    <i r="1">
      <x/>
    </i>
    <i r="1">
      <x v="1"/>
    </i>
    <i t="default">
      <x v="2"/>
    </i>
    <i>
      <x v="10"/>
    </i>
    <i r="1">
      <x v="1"/>
    </i>
    <i t="default">
      <x v="10"/>
    </i>
    <i>
      <x v="23"/>
    </i>
    <i r="1">
      <x/>
    </i>
    <i r="1">
      <x v="1"/>
    </i>
    <i t="default">
      <x v="23"/>
    </i>
    <i>
      <x v="28"/>
    </i>
    <i r="1">
      <x v="1"/>
    </i>
    <i t="default">
      <x v="28"/>
    </i>
    <i>
      <x v="29"/>
    </i>
    <i r="1">
      <x/>
    </i>
    <i r="1">
      <x v="1"/>
    </i>
    <i t="default">
      <x v="29"/>
    </i>
    <i>
      <x v="30"/>
    </i>
    <i r="1">
      <x/>
    </i>
    <i r="1">
      <x v="1"/>
    </i>
    <i t="default">
      <x v="30"/>
    </i>
    <i>
      <x v="35"/>
    </i>
    <i r="1">
      <x v="1"/>
    </i>
    <i t="default">
      <x v="35"/>
    </i>
    <i>
      <x v="40"/>
    </i>
    <i r="1">
      <x/>
    </i>
    <i r="1">
      <x v="1"/>
    </i>
    <i t="default">
      <x v="40"/>
    </i>
    <i>
      <x v="41"/>
    </i>
    <i r="1">
      <x/>
    </i>
    <i r="1">
      <x v="1"/>
    </i>
    <i t="default">
      <x v="41"/>
    </i>
    <i>
      <x v="42"/>
    </i>
    <i r="1">
      <x/>
    </i>
    <i r="1">
      <x v="1"/>
    </i>
    <i t="default">
      <x v="42"/>
    </i>
    <i>
      <x v="45"/>
    </i>
    <i r="1">
      <x v="1"/>
    </i>
    <i t="default">
      <x v="45"/>
    </i>
    <i>
      <x v="46"/>
    </i>
    <i r="1">
      <x/>
    </i>
    <i r="1">
      <x v="1"/>
    </i>
    <i t="default">
      <x v="46"/>
    </i>
    <i>
      <x v="51"/>
    </i>
    <i r="1">
      <x/>
    </i>
    <i r="1">
      <x v="1"/>
    </i>
    <i t="default">
      <x v="51"/>
    </i>
    <i>
      <x v="59"/>
    </i>
    <i r="1">
      <x/>
    </i>
    <i r="1">
      <x v="1"/>
    </i>
    <i t="default">
      <x v="59"/>
    </i>
    <i t="grand">
      <x/>
    </i>
  </rowItems>
  <colFields count="1">
    <field x="8"/>
  </colFields>
  <colItems count="2">
    <i>
      <x v="1"/>
    </i>
    <i t="grand">
      <x/>
    </i>
  </colItems>
  <dataFields count="1">
    <dataField name="Sum of Unique Billed Hours" fld="16" showDataAs="percentOfCol" baseField="1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04000000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S3:V257" firstHeaderRow="1" firstDataRow="2" firstDataCol="1"/>
  <pivotFields count="18">
    <pivotField showAll="0"/>
    <pivotField axis="axisRow" subtotalTop="0" showAll="0" sortType="ascending">
      <items count="65">
        <item m="1" x="63"/>
        <item x="6"/>
        <item x="7"/>
        <item x="5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"/>
        <item x="28"/>
        <item x="29"/>
        <item x="30"/>
        <item x="4"/>
        <item x="31"/>
        <item x="0"/>
        <item x="32"/>
        <item x="33"/>
        <item x="34"/>
        <item x="35"/>
        <item x="36"/>
        <item x="37"/>
        <item x="38"/>
        <item x="39"/>
        <item x="40"/>
        <item x="41"/>
        <item x="3"/>
        <item x="42"/>
        <item x="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t="default"/>
      </items>
    </pivotField>
    <pivotField showAll="0"/>
    <pivotField showAll="0"/>
    <pivotField showAll="0"/>
    <pivotField showAll="0"/>
    <pivotField showAll="0"/>
    <pivotField axis="axisRow" multipleItemSelectionAllowed="1" showAll="0" sortType="ascending">
      <items count="22">
        <item x="1"/>
        <item x="12"/>
        <item x="9"/>
        <item x="10"/>
        <item x="13"/>
        <item x="15"/>
        <item h="1" x="5"/>
        <item m="1" x="18"/>
        <item x="8"/>
        <item h="1" x="3"/>
        <item h="1" x="7"/>
        <item h="1" m="1" x="20"/>
        <item h="1" x="4"/>
        <item x="6"/>
        <item x="2"/>
        <item x="14"/>
        <item m="1" x="17"/>
        <item x="11"/>
        <item h="1" m="1" x="19"/>
        <item h="1" x="0"/>
        <item h="1" x="16"/>
        <item t="default"/>
      </items>
    </pivotField>
    <pivotField axis="axisCol" showAll="0" defaultSubtotal="0">
      <items count="4">
        <item x="1"/>
        <item x="0"/>
        <item x="2"/>
        <item m="1" x="3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/>
    <pivotField dataField="1" showAll="0"/>
    <pivotField showAll="0">
      <items count="11">
        <item x="7"/>
        <item x="6"/>
        <item h="1" x="5"/>
        <item h="1" x="3"/>
        <item x="8"/>
        <item x="4"/>
        <item h="1" x="2"/>
        <item h="1" x="1"/>
        <item h="1" x="0"/>
        <item h="1" x="9"/>
        <item t="default"/>
      </items>
    </pivotField>
  </pivotFields>
  <rowFields count="2">
    <field x="1"/>
    <field x="7"/>
  </rowFields>
  <rowItems count="253">
    <i>
      <x v="1"/>
    </i>
    <i r="1">
      <x/>
    </i>
    <i r="1">
      <x v="13"/>
    </i>
    <i r="1">
      <x v="14"/>
    </i>
    <i t="default">
      <x v="1"/>
    </i>
    <i>
      <x v="2"/>
    </i>
    <i r="1">
      <x/>
    </i>
    <i t="default">
      <x v="2"/>
    </i>
    <i>
      <x v="3"/>
    </i>
    <i r="1">
      <x/>
    </i>
    <i r="1">
      <x v="2"/>
    </i>
    <i r="1">
      <x v="3"/>
    </i>
    <i r="1">
      <x v="8"/>
    </i>
    <i r="1">
      <x v="13"/>
    </i>
    <i r="1">
      <x v="14"/>
    </i>
    <i r="1">
      <x v="17"/>
    </i>
    <i t="default">
      <x v="3"/>
    </i>
    <i>
      <x v="4"/>
    </i>
    <i r="1">
      <x/>
    </i>
    <i t="default">
      <x v="4"/>
    </i>
    <i>
      <x v="5"/>
    </i>
    <i r="1">
      <x/>
    </i>
    <i t="default">
      <x v="5"/>
    </i>
    <i>
      <x v="6"/>
    </i>
    <i r="1">
      <x/>
    </i>
    <i t="default">
      <x v="6"/>
    </i>
    <i>
      <x v="7"/>
    </i>
    <i r="1">
      <x/>
    </i>
    <i r="1">
      <x v="3"/>
    </i>
    <i t="default">
      <x v="7"/>
    </i>
    <i>
      <x v="8"/>
    </i>
    <i r="1">
      <x/>
    </i>
    <i t="default">
      <x v="8"/>
    </i>
    <i>
      <x v="9"/>
    </i>
    <i r="1">
      <x/>
    </i>
    <i t="default">
      <x v="9"/>
    </i>
    <i>
      <x v="10"/>
    </i>
    <i r="1">
      <x/>
    </i>
    <i t="default">
      <x v="10"/>
    </i>
    <i>
      <x v="11"/>
    </i>
    <i r="1">
      <x/>
    </i>
    <i r="1">
      <x v="14"/>
    </i>
    <i t="default">
      <x v="11"/>
    </i>
    <i>
      <x v="12"/>
    </i>
    <i r="1">
      <x/>
    </i>
    <i t="default">
      <x v="12"/>
    </i>
    <i>
      <x v="13"/>
    </i>
    <i r="1">
      <x/>
    </i>
    <i t="default">
      <x v="13"/>
    </i>
    <i>
      <x v="14"/>
    </i>
    <i r="1">
      <x/>
    </i>
    <i t="default">
      <x v="14"/>
    </i>
    <i>
      <x v="15"/>
    </i>
    <i r="1">
      <x/>
    </i>
    <i r="1">
      <x v="3"/>
    </i>
    <i t="default">
      <x v="15"/>
    </i>
    <i>
      <x v="16"/>
    </i>
    <i r="1">
      <x/>
    </i>
    <i t="default">
      <x v="16"/>
    </i>
    <i>
      <x v="17"/>
    </i>
    <i r="1">
      <x/>
    </i>
    <i t="default">
      <x v="17"/>
    </i>
    <i>
      <x v="18"/>
    </i>
    <i r="1">
      <x/>
    </i>
    <i t="default">
      <x v="18"/>
    </i>
    <i>
      <x v="19"/>
    </i>
    <i r="1">
      <x/>
    </i>
    <i t="default">
      <x v="19"/>
    </i>
    <i>
      <x v="20"/>
    </i>
    <i r="1">
      <x/>
    </i>
    <i t="default">
      <x v="20"/>
    </i>
    <i>
      <x v="21"/>
    </i>
    <i r="1">
      <x/>
    </i>
    <i t="default">
      <x v="21"/>
    </i>
    <i>
      <x v="22"/>
    </i>
    <i r="1">
      <x/>
    </i>
    <i t="default">
      <x v="22"/>
    </i>
    <i>
      <x v="23"/>
    </i>
    <i r="1">
      <x/>
    </i>
    <i r="1">
      <x v="2"/>
    </i>
    <i t="default">
      <x v="23"/>
    </i>
    <i>
      <x v="24"/>
    </i>
    <i r="1">
      <x/>
    </i>
    <i r="1">
      <x v="2"/>
    </i>
    <i r="1">
      <x v="3"/>
    </i>
    <i r="1">
      <x v="8"/>
    </i>
    <i r="1">
      <x v="13"/>
    </i>
    <i r="1">
      <x v="14"/>
    </i>
    <i r="1">
      <x v="17"/>
    </i>
    <i t="default">
      <x v="24"/>
    </i>
    <i>
      <x v="25"/>
    </i>
    <i r="1">
      <x/>
    </i>
    <i t="default">
      <x v="25"/>
    </i>
    <i>
      <x v="26"/>
    </i>
    <i r="1">
      <x/>
    </i>
    <i t="default">
      <x v="26"/>
    </i>
    <i>
      <x v="27"/>
    </i>
    <i r="1">
      <x/>
    </i>
    <i t="default">
      <x v="27"/>
    </i>
    <i>
      <x v="28"/>
    </i>
    <i r="1">
      <x/>
    </i>
    <i t="default">
      <x v="28"/>
    </i>
    <i>
      <x v="29"/>
    </i>
    <i r="1">
      <x/>
    </i>
    <i r="1">
      <x v="14"/>
    </i>
    <i t="default">
      <x v="29"/>
    </i>
    <i>
      <x v="30"/>
    </i>
    <i r="1">
      <x/>
    </i>
    <i r="1">
      <x v="1"/>
    </i>
    <i r="1">
      <x v="2"/>
    </i>
    <i r="1">
      <x v="3"/>
    </i>
    <i r="1">
      <x v="4"/>
    </i>
    <i r="1">
      <x v="8"/>
    </i>
    <i r="1">
      <x v="13"/>
    </i>
    <i r="1">
      <x v="14"/>
    </i>
    <i r="1">
      <x v="15"/>
    </i>
    <i r="1">
      <x v="17"/>
    </i>
    <i t="default">
      <x v="30"/>
    </i>
    <i>
      <x v="31"/>
    </i>
    <i r="1">
      <x/>
    </i>
    <i r="1">
      <x v="2"/>
    </i>
    <i r="1">
      <x v="3"/>
    </i>
    <i r="1">
      <x v="8"/>
    </i>
    <i r="1">
      <x v="13"/>
    </i>
    <i r="1">
      <x v="14"/>
    </i>
    <i r="1">
      <x v="17"/>
    </i>
    <i t="default">
      <x v="31"/>
    </i>
    <i>
      <x v="32"/>
    </i>
    <i r="1">
      <x/>
    </i>
    <i t="default">
      <x v="32"/>
    </i>
    <i>
      <x v="33"/>
    </i>
    <i r="1">
      <x/>
    </i>
    <i t="default">
      <x v="33"/>
    </i>
    <i>
      <x v="34"/>
    </i>
    <i r="1">
      <x/>
    </i>
    <i r="1">
      <x v="3"/>
    </i>
    <i t="default">
      <x v="34"/>
    </i>
    <i>
      <x v="35"/>
    </i>
    <i r="1">
      <x/>
    </i>
    <i t="default">
      <x v="35"/>
    </i>
    <i>
      <x v="36"/>
    </i>
    <i r="1">
      <x/>
    </i>
    <i r="1">
      <x v="3"/>
    </i>
    <i r="1">
      <x v="14"/>
    </i>
    <i t="default">
      <x v="36"/>
    </i>
    <i>
      <x v="37"/>
    </i>
    <i r="1">
      <x/>
    </i>
    <i t="default">
      <x v="37"/>
    </i>
    <i>
      <x v="38"/>
    </i>
    <i r="1">
      <x/>
    </i>
    <i t="default">
      <x v="38"/>
    </i>
    <i>
      <x v="39"/>
    </i>
    <i r="1">
      <x/>
    </i>
    <i t="default">
      <x v="39"/>
    </i>
    <i>
      <x v="40"/>
    </i>
    <i r="1">
      <x/>
    </i>
    <i t="default">
      <x v="40"/>
    </i>
    <i>
      <x v="41"/>
    </i>
    <i r="1">
      <x/>
    </i>
    <i r="1">
      <x v="3"/>
    </i>
    <i r="1">
      <x v="8"/>
    </i>
    <i r="1">
      <x v="13"/>
    </i>
    <i r="1">
      <x v="14"/>
    </i>
    <i r="1">
      <x v="17"/>
    </i>
    <i t="default">
      <x v="41"/>
    </i>
    <i>
      <x v="42"/>
    </i>
    <i r="1">
      <x/>
    </i>
    <i r="1">
      <x v="2"/>
    </i>
    <i r="1">
      <x v="14"/>
    </i>
    <i t="default">
      <x v="42"/>
    </i>
    <i>
      <x v="43"/>
    </i>
    <i r="1">
      <x/>
    </i>
    <i r="1">
      <x v="2"/>
    </i>
    <i r="1">
      <x v="3"/>
    </i>
    <i r="1">
      <x v="5"/>
    </i>
    <i r="1">
      <x v="8"/>
    </i>
    <i r="1">
      <x v="13"/>
    </i>
    <i r="1">
      <x v="14"/>
    </i>
    <i r="1">
      <x v="17"/>
    </i>
    <i t="default">
      <x v="43"/>
    </i>
    <i>
      <x v="44"/>
    </i>
    <i r="1">
      <x/>
    </i>
    <i t="default">
      <x v="44"/>
    </i>
    <i>
      <x v="45"/>
    </i>
    <i r="1">
      <x/>
    </i>
    <i t="default">
      <x v="45"/>
    </i>
    <i>
      <x v="46"/>
    </i>
    <i r="1">
      <x/>
    </i>
    <i r="1">
      <x v="14"/>
    </i>
    <i t="default">
      <x v="46"/>
    </i>
    <i>
      <x v="47"/>
    </i>
    <i r="1">
      <x/>
    </i>
    <i r="1">
      <x v="3"/>
    </i>
    <i r="1">
      <x v="8"/>
    </i>
    <i r="1">
      <x v="14"/>
    </i>
    <i t="default">
      <x v="47"/>
    </i>
    <i>
      <x v="48"/>
    </i>
    <i r="1">
      <x/>
    </i>
    <i t="default">
      <x v="48"/>
    </i>
    <i>
      <x v="49"/>
    </i>
    <i r="1">
      <x/>
    </i>
    <i t="default">
      <x v="49"/>
    </i>
    <i>
      <x v="50"/>
    </i>
    <i r="1">
      <x/>
    </i>
    <i t="default">
      <x v="50"/>
    </i>
    <i>
      <x v="51"/>
    </i>
    <i r="1">
      <x/>
    </i>
    <i t="default">
      <x v="51"/>
    </i>
    <i>
      <x v="52"/>
    </i>
    <i r="1">
      <x/>
    </i>
    <i r="1">
      <x v="1"/>
    </i>
    <i r="1">
      <x v="2"/>
    </i>
    <i r="1">
      <x v="3"/>
    </i>
    <i r="1">
      <x v="14"/>
    </i>
    <i t="default">
      <x v="52"/>
    </i>
    <i>
      <x v="53"/>
    </i>
    <i r="1">
      <x/>
    </i>
    <i t="default">
      <x v="53"/>
    </i>
    <i>
      <x v="54"/>
    </i>
    <i r="1">
      <x/>
    </i>
    <i t="default">
      <x v="54"/>
    </i>
    <i>
      <x v="55"/>
    </i>
    <i r="1">
      <x/>
    </i>
    <i t="default">
      <x v="55"/>
    </i>
    <i>
      <x v="56"/>
    </i>
    <i r="1">
      <x/>
    </i>
    <i t="default">
      <x v="56"/>
    </i>
    <i>
      <x v="57"/>
    </i>
    <i r="1">
      <x/>
    </i>
    <i t="default">
      <x v="57"/>
    </i>
    <i>
      <x v="58"/>
    </i>
    <i r="1">
      <x/>
    </i>
    <i t="default">
      <x v="58"/>
    </i>
    <i>
      <x v="59"/>
    </i>
    <i r="1">
      <x/>
    </i>
    <i t="default">
      <x v="59"/>
    </i>
    <i>
      <x v="60"/>
    </i>
    <i r="1">
      <x/>
    </i>
    <i r="1">
      <x v="1"/>
    </i>
    <i r="1">
      <x v="3"/>
    </i>
    <i r="1">
      <x v="8"/>
    </i>
    <i r="1">
      <x v="13"/>
    </i>
    <i r="1">
      <x v="14"/>
    </i>
    <i r="1">
      <x v="15"/>
    </i>
    <i r="1">
      <x v="17"/>
    </i>
    <i t="default">
      <x v="60"/>
    </i>
    <i>
      <x v="61"/>
    </i>
    <i r="1">
      <x/>
    </i>
    <i t="default">
      <x v="61"/>
    </i>
    <i>
      <x v="62"/>
    </i>
    <i r="1">
      <x/>
    </i>
    <i t="default">
      <x v="62"/>
    </i>
    <i t="grand">
      <x/>
    </i>
  </rowItems>
  <colFields count="1">
    <field x="8"/>
  </colFields>
  <colItems count="3">
    <i>
      <x/>
    </i>
    <i>
      <x v="1"/>
    </i>
    <i t="grand">
      <x/>
    </i>
  </colItems>
  <dataFields count="1">
    <dataField name="Sum of Unique Billed Hours" fld="16" showDataAs="percentOfCol" baseField="1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1957EC-5883-4E65-A277-C0817ED4CD4B}" name="PivotTable4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K19:M64" firstHeaderRow="1" firstDataRow="2" firstDataCol="1" rowPageCount="1" colPageCount="1"/>
  <pivotFields count="19">
    <pivotField showAll="0"/>
    <pivotField axis="axisRow" subtotalTop="0" showAll="0" sortType="ascending">
      <items count="65">
        <item m="1" x="63"/>
        <item x="6"/>
        <item x="7"/>
        <item x="5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"/>
        <item x="28"/>
        <item x="29"/>
        <item x="30"/>
        <item x="4"/>
        <item x="31"/>
        <item x="0"/>
        <item x="32"/>
        <item x="33"/>
        <item x="34"/>
        <item x="35"/>
        <item x="36"/>
        <item x="37"/>
        <item x="38"/>
        <item x="39"/>
        <item x="40"/>
        <item x="41"/>
        <item x="3"/>
        <item x="42"/>
        <item x="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t="default"/>
      </items>
    </pivotField>
    <pivotField showAll="0"/>
    <pivotField showAll="0"/>
    <pivotField showAll="0"/>
    <pivotField showAll="0"/>
    <pivotField showAll="0"/>
    <pivotField axis="axisRow" multipleItemSelectionAllowed="1" showAll="0" sortType="ascending">
      <items count="22">
        <item h="1" x="1"/>
        <item h="1" x="12"/>
        <item h="1" x="9"/>
        <item h="1" x="10"/>
        <item h="1" x="13"/>
        <item h="1" x="15"/>
        <item h="1" x="5"/>
        <item h="1" m="1" x="18"/>
        <item h="1" x="8"/>
        <item x="3"/>
        <item x="7"/>
        <item h="1" m="1" x="20"/>
        <item h="1" x="4"/>
        <item h="1" x="6"/>
        <item h="1" x="2"/>
        <item h="1" x="14"/>
        <item h="1" m="1" x="17"/>
        <item h="1" x="11"/>
        <item h="1" m="1" x="19"/>
        <item h="1" x="0"/>
        <item h="1" x="16"/>
        <item t="default"/>
      </items>
    </pivotField>
    <pivotField axis="axisCol" showAll="0" defaultSubtotal="0">
      <items count="4">
        <item x="1"/>
        <item x="0"/>
        <item x="2"/>
        <item m="1" x="3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/>
    <pivotField dataField="1" showAll="0"/>
    <pivotField axis="axisPage" multipleItemSelectionAllowed="1" showAll="0">
      <items count="7">
        <item h="1" m="1" x="4"/>
        <item h="1" m="1" x="5"/>
        <item x="3"/>
        <item h="1" x="0"/>
        <item h="1" x="1"/>
        <item h="1" x="2"/>
        <item t="default"/>
      </items>
    </pivotField>
    <pivotField showAll="0">
      <items count="16">
        <item x="9"/>
        <item x="10"/>
        <item x="11"/>
        <item x="12"/>
        <item x="13"/>
        <item x="14"/>
        <item x="6"/>
        <item h="1" x="5"/>
        <item x="3"/>
        <item x="8"/>
        <item h="1" x="4"/>
        <item h="1" x="2"/>
        <item h="1" x="1"/>
        <item h="1" x="0"/>
        <item h="1" x="7"/>
        <item t="default"/>
      </items>
    </pivotField>
  </pivotFields>
  <rowFields count="2">
    <field x="1"/>
    <field x="7"/>
  </rowFields>
  <rowItems count="44">
    <i>
      <x v="1"/>
    </i>
    <i r="1">
      <x v="9"/>
    </i>
    <i r="1">
      <x v="10"/>
    </i>
    <i t="default">
      <x v="1"/>
    </i>
    <i>
      <x v="3"/>
    </i>
    <i r="1">
      <x v="9"/>
    </i>
    <i r="1">
      <x v="10"/>
    </i>
    <i t="default">
      <x v="3"/>
    </i>
    <i>
      <x v="24"/>
    </i>
    <i r="1">
      <x v="9"/>
    </i>
    <i r="1">
      <x v="10"/>
    </i>
    <i t="default">
      <x v="24"/>
    </i>
    <i>
      <x v="29"/>
    </i>
    <i r="1">
      <x v="9"/>
    </i>
    <i t="default">
      <x v="29"/>
    </i>
    <i>
      <x v="30"/>
    </i>
    <i r="1">
      <x v="9"/>
    </i>
    <i t="default">
      <x v="30"/>
    </i>
    <i>
      <x v="31"/>
    </i>
    <i r="1">
      <x v="9"/>
    </i>
    <i r="1">
      <x v="10"/>
    </i>
    <i t="default">
      <x v="31"/>
    </i>
    <i>
      <x v="36"/>
    </i>
    <i r="1">
      <x v="9"/>
    </i>
    <i t="default">
      <x v="36"/>
    </i>
    <i>
      <x v="41"/>
    </i>
    <i r="1">
      <x v="9"/>
    </i>
    <i r="1">
      <x v="10"/>
    </i>
    <i t="default">
      <x v="41"/>
    </i>
    <i>
      <x v="42"/>
    </i>
    <i r="1">
      <x v="9"/>
    </i>
    <i t="default">
      <x v="42"/>
    </i>
    <i>
      <x v="43"/>
    </i>
    <i r="1">
      <x v="9"/>
    </i>
    <i r="1">
      <x v="10"/>
    </i>
    <i t="default">
      <x v="43"/>
    </i>
    <i>
      <x v="47"/>
    </i>
    <i r="1">
      <x v="9"/>
    </i>
    <i t="default">
      <x v="47"/>
    </i>
    <i>
      <x v="60"/>
    </i>
    <i r="1">
      <x v="9"/>
    </i>
    <i r="1">
      <x v="10"/>
    </i>
    <i t="default">
      <x v="60"/>
    </i>
    <i t="grand">
      <x/>
    </i>
  </rowItems>
  <colFields count="1">
    <field x="8"/>
  </colFields>
  <colItems count="2">
    <i>
      <x v="1"/>
    </i>
    <i t="grand">
      <x/>
    </i>
  </colItems>
  <pageFields count="1">
    <pageField fld="17" hier="-1"/>
  </pageFields>
  <dataFields count="1">
    <dataField name="Sum of Unique Billed Hours" fld="16" showDataAs="percentOfCol" baseField="1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01000000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X3:AA265" firstHeaderRow="1" firstDataRow="2" firstDataCol="1"/>
  <pivotFields count="18">
    <pivotField showAll="0"/>
    <pivotField axis="axisRow" subtotalTop="0" showAll="0" sortType="ascending">
      <items count="65">
        <item m="1" x="63"/>
        <item x="6"/>
        <item x="7"/>
        <item x="5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"/>
        <item x="28"/>
        <item x="29"/>
        <item x="30"/>
        <item x="4"/>
        <item x="31"/>
        <item x="0"/>
        <item x="32"/>
        <item x="33"/>
        <item x="34"/>
        <item x="35"/>
        <item x="36"/>
        <item x="37"/>
        <item x="38"/>
        <item x="39"/>
        <item x="40"/>
        <item x="41"/>
        <item x="3"/>
        <item x="42"/>
        <item x="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t="default"/>
      </items>
    </pivotField>
    <pivotField showAll="0"/>
    <pivotField showAll="0"/>
    <pivotField showAll="0"/>
    <pivotField showAll="0"/>
    <pivotField showAll="0"/>
    <pivotField axis="axisRow" multipleItemSelectionAllowed="1" showAll="0" sortType="ascending">
      <items count="22">
        <item x="1"/>
        <item x="12"/>
        <item x="9"/>
        <item x="10"/>
        <item x="13"/>
        <item x="15"/>
        <item h="1" x="5"/>
        <item m="1" x="18"/>
        <item x="8"/>
        <item h="1" x="3"/>
        <item h="1" x="7"/>
        <item h="1" m="1" x="20"/>
        <item h="1" x="4"/>
        <item x="6"/>
        <item x="2"/>
        <item x="14"/>
        <item m="1" x="17"/>
        <item x="11"/>
        <item h="1" m="1" x="19"/>
        <item x="0"/>
        <item h="1" x="16"/>
        <item t="default"/>
      </items>
    </pivotField>
    <pivotField axis="axisCol" showAll="0" defaultSubtotal="0">
      <items count="4">
        <item x="1"/>
        <item x="0"/>
        <item x="2"/>
        <item m="1" x="3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/>
    <pivotField dataField="1" showAll="0"/>
    <pivotField showAll="0">
      <items count="11">
        <item x="7"/>
        <item x="6"/>
        <item h="1" x="5"/>
        <item x="3"/>
        <item x="8"/>
        <item x="4"/>
        <item h="1" x="2"/>
        <item x="1"/>
        <item h="1" x="0"/>
        <item h="1" x="9"/>
        <item t="default"/>
      </items>
    </pivotField>
  </pivotFields>
  <rowFields count="2">
    <field x="1"/>
    <field x="7"/>
  </rowFields>
  <rowItems count="261">
    <i>
      <x v="1"/>
    </i>
    <i r="1">
      <x/>
    </i>
    <i r="1">
      <x v="13"/>
    </i>
    <i r="1">
      <x v="14"/>
    </i>
    <i t="default">
      <x v="1"/>
    </i>
    <i>
      <x v="2"/>
    </i>
    <i r="1">
      <x/>
    </i>
    <i t="default">
      <x v="2"/>
    </i>
    <i>
      <x v="3"/>
    </i>
    <i r="1">
      <x/>
    </i>
    <i r="1">
      <x v="2"/>
    </i>
    <i r="1">
      <x v="3"/>
    </i>
    <i r="1">
      <x v="8"/>
    </i>
    <i r="1">
      <x v="13"/>
    </i>
    <i r="1">
      <x v="14"/>
    </i>
    <i r="1">
      <x v="17"/>
    </i>
    <i r="1">
      <x v="19"/>
    </i>
    <i t="default">
      <x v="3"/>
    </i>
    <i>
      <x v="4"/>
    </i>
    <i r="1">
      <x/>
    </i>
    <i t="default">
      <x v="4"/>
    </i>
    <i>
      <x v="5"/>
    </i>
    <i r="1">
      <x/>
    </i>
    <i t="default">
      <x v="5"/>
    </i>
    <i>
      <x v="6"/>
    </i>
    <i r="1">
      <x/>
    </i>
    <i t="default">
      <x v="6"/>
    </i>
    <i>
      <x v="7"/>
    </i>
    <i r="1">
      <x/>
    </i>
    <i r="1">
      <x v="3"/>
    </i>
    <i t="default">
      <x v="7"/>
    </i>
    <i>
      <x v="8"/>
    </i>
    <i r="1">
      <x/>
    </i>
    <i t="default">
      <x v="8"/>
    </i>
    <i>
      <x v="9"/>
    </i>
    <i r="1">
      <x/>
    </i>
    <i t="default">
      <x v="9"/>
    </i>
    <i>
      <x v="10"/>
    </i>
    <i r="1">
      <x/>
    </i>
    <i t="default">
      <x v="10"/>
    </i>
    <i>
      <x v="11"/>
    </i>
    <i r="1">
      <x/>
    </i>
    <i r="1">
      <x v="14"/>
    </i>
    <i t="default">
      <x v="11"/>
    </i>
    <i>
      <x v="12"/>
    </i>
    <i r="1">
      <x/>
    </i>
    <i t="default">
      <x v="12"/>
    </i>
    <i>
      <x v="13"/>
    </i>
    <i r="1">
      <x/>
    </i>
    <i t="default">
      <x v="13"/>
    </i>
    <i>
      <x v="14"/>
    </i>
    <i r="1">
      <x/>
    </i>
    <i t="default">
      <x v="14"/>
    </i>
    <i>
      <x v="15"/>
    </i>
    <i r="1">
      <x/>
    </i>
    <i r="1">
      <x v="3"/>
    </i>
    <i t="default">
      <x v="15"/>
    </i>
    <i>
      <x v="16"/>
    </i>
    <i r="1">
      <x/>
    </i>
    <i t="default">
      <x v="16"/>
    </i>
    <i>
      <x v="17"/>
    </i>
    <i r="1">
      <x/>
    </i>
    <i t="default">
      <x v="17"/>
    </i>
    <i>
      <x v="18"/>
    </i>
    <i r="1">
      <x/>
    </i>
    <i t="default">
      <x v="18"/>
    </i>
    <i>
      <x v="19"/>
    </i>
    <i r="1">
      <x/>
    </i>
    <i t="default">
      <x v="19"/>
    </i>
    <i>
      <x v="20"/>
    </i>
    <i r="1">
      <x/>
    </i>
    <i t="default">
      <x v="20"/>
    </i>
    <i>
      <x v="21"/>
    </i>
    <i r="1">
      <x/>
    </i>
    <i t="default">
      <x v="21"/>
    </i>
    <i>
      <x v="22"/>
    </i>
    <i r="1">
      <x/>
    </i>
    <i t="default">
      <x v="22"/>
    </i>
    <i>
      <x v="23"/>
    </i>
    <i r="1">
      <x/>
    </i>
    <i r="1">
      <x v="2"/>
    </i>
    <i t="default">
      <x v="23"/>
    </i>
    <i>
      <x v="24"/>
    </i>
    <i r="1">
      <x/>
    </i>
    <i r="1">
      <x v="2"/>
    </i>
    <i r="1">
      <x v="3"/>
    </i>
    <i r="1">
      <x v="8"/>
    </i>
    <i r="1">
      <x v="13"/>
    </i>
    <i r="1">
      <x v="14"/>
    </i>
    <i r="1">
      <x v="17"/>
    </i>
    <i r="1">
      <x v="19"/>
    </i>
    <i t="default">
      <x v="24"/>
    </i>
    <i>
      <x v="25"/>
    </i>
    <i r="1">
      <x/>
    </i>
    <i t="default">
      <x v="25"/>
    </i>
    <i>
      <x v="26"/>
    </i>
    <i r="1">
      <x/>
    </i>
    <i t="default">
      <x v="26"/>
    </i>
    <i>
      <x v="27"/>
    </i>
    <i r="1">
      <x/>
    </i>
    <i t="default">
      <x v="27"/>
    </i>
    <i>
      <x v="28"/>
    </i>
    <i r="1">
      <x/>
    </i>
    <i t="default">
      <x v="28"/>
    </i>
    <i>
      <x v="29"/>
    </i>
    <i r="1">
      <x/>
    </i>
    <i r="1">
      <x v="14"/>
    </i>
    <i t="default">
      <x v="29"/>
    </i>
    <i>
      <x v="30"/>
    </i>
    <i r="1">
      <x/>
    </i>
    <i r="1">
      <x v="1"/>
    </i>
    <i r="1">
      <x v="2"/>
    </i>
    <i r="1">
      <x v="3"/>
    </i>
    <i r="1">
      <x v="4"/>
    </i>
    <i r="1">
      <x v="8"/>
    </i>
    <i r="1">
      <x v="13"/>
    </i>
    <i r="1">
      <x v="14"/>
    </i>
    <i r="1">
      <x v="15"/>
    </i>
    <i r="1">
      <x v="17"/>
    </i>
    <i r="1">
      <x v="19"/>
    </i>
    <i t="default">
      <x v="30"/>
    </i>
    <i>
      <x v="31"/>
    </i>
    <i r="1">
      <x/>
    </i>
    <i r="1">
      <x v="2"/>
    </i>
    <i r="1">
      <x v="3"/>
    </i>
    <i r="1">
      <x v="8"/>
    </i>
    <i r="1">
      <x v="13"/>
    </i>
    <i r="1">
      <x v="14"/>
    </i>
    <i r="1">
      <x v="17"/>
    </i>
    <i r="1">
      <x v="19"/>
    </i>
    <i t="default">
      <x v="31"/>
    </i>
    <i>
      <x v="32"/>
    </i>
    <i r="1">
      <x/>
    </i>
    <i t="default">
      <x v="32"/>
    </i>
    <i>
      <x v="33"/>
    </i>
    <i r="1">
      <x/>
    </i>
    <i t="default">
      <x v="33"/>
    </i>
    <i>
      <x v="34"/>
    </i>
    <i r="1">
      <x/>
    </i>
    <i r="1">
      <x v="3"/>
    </i>
    <i t="default">
      <x v="34"/>
    </i>
    <i>
      <x v="35"/>
    </i>
    <i r="1">
      <x/>
    </i>
    <i t="default">
      <x v="35"/>
    </i>
    <i>
      <x v="36"/>
    </i>
    <i r="1">
      <x/>
    </i>
    <i r="1">
      <x v="3"/>
    </i>
    <i r="1">
      <x v="14"/>
    </i>
    <i t="default">
      <x v="36"/>
    </i>
    <i>
      <x v="37"/>
    </i>
    <i r="1">
      <x/>
    </i>
    <i t="default">
      <x v="37"/>
    </i>
    <i>
      <x v="38"/>
    </i>
    <i r="1">
      <x/>
    </i>
    <i t="default">
      <x v="38"/>
    </i>
    <i>
      <x v="39"/>
    </i>
    <i r="1">
      <x/>
    </i>
    <i t="default">
      <x v="39"/>
    </i>
    <i>
      <x v="40"/>
    </i>
    <i r="1">
      <x/>
    </i>
    <i t="default">
      <x v="40"/>
    </i>
    <i>
      <x v="41"/>
    </i>
    <i r="1">
      <x/>
    </i>
    <i r="1">
      <x v="3"/>
    </i>
    <i r="1">
      <x v="8"/>
    </i>
    <i r="1">
      <x v="13"/>
    </i>
    <i r="1">
      <x v="14"/>
    </i>
    <i r="1">
      <x v="17"/>
    </i>
    <i r="1">
      <x v="19"/>
    </i>
    <i t="default">
      <x v="41"/>
    </i>
    <i>
      <x v="42"/>
    </i>
    <i r="1">
      <x/>
    </i>
    <i r="1">
      <x v="2"/>
    </i>
    <i r="1">
      <x v="14"/>
    </i>
    <i t="default">
      <x v="42"/>
    </i>
    <i>
      <x v="43"/>
    </i>
    <i r="1">
      <x/>
    </i>
    <i r="1">
      <x v="2"/>
    </i>
    <i r="1">
      <x v="3"/>
    </i>
    <i r="1">
      <x v="5"/>
    </i>
    <i r="1">
      <x v="8"/>
    </i>
    <i r="1">
      <x v="13"/>
    </i>
    <i r="1">
      <x v="14"/>
    </i>
    <i r="1">
      <x v="17"/>
    </i>
    <i r="1">
      <x v="19"/>
    </i>
    <i t="default">
      <x v="43"/>
    </i>
    <i>
      <x v="44"/>
    </i>
    <i r="1">
      <x/>
    </i>
    <i t="default">
      <x v="44"/>
    </i>
    <i>
      <x v="45"/>
    </i>
    <i r="1">
      <x/>
    </i>
    <i t="default">
      <x v="45"/>
    </i>
    <i>
      <x v="46"/>
    </i>
    <i r="1">
      <x/>
    </i>
    <i r="1">
      <x v="14"/>
    </i>
    <i t="default">
      <x v="46"/>
    </i>
    <i>
      <x v="47"/>
    </i>
    <i r="1">
      <x/>
    </i>
    <i r="1">
      <x v="3"/>
    </i>
    <i r="1">
      <x v="8"/>
    </i>
    <i r="1">
      <x v="14"/>
    </i>
    <i t="default">
      <x v="47"/>
    </i>
    <i>
      <x v="48"/>
    </i>
    <i r="1">
      <x/>
    </i>
    <i t="default">
      <x v="48"/>
    </i>
    <i>
      <x v="49"/>
    </i>
    <i r="1">
      <x/>
    </i>
    <i t="default">
      <x v="49"/>
    </i>
    <i>
      <x v="50"/>
    </i>
    <i r="1">
      <x/>
    </i>
    <i t="default">
      <x v="50"/>
    </i>
    <i>
      <x v="51"/>
    </i>
    <i r="1">
      <x/>
    </i>
    <i t="default">
      <x v="51"/>
    </i>
    <i>
      <x v="52"/>
    </i>
    <i r="1">
      <x/>
    </i>
    <i r="1">
      <x v="1"/>
    </i>
    <i r="1">
      <x v="2"/>
    </i>
    <i r="1">
      <x v="3"/>
    </i>
    <i r="1">
      <x v="14"/>
    </i>
    <i r="1">
      <x v="19"/>
    </i>
    <i t="default">
      <x v="52"/>
    </i>
    <i>
      <x v="53"/>
    </i>
    <i r="1">
      <x/>
    </i>
    <i t="default">
      <x v="53"/>
    </i>
    <i>
      <x v="54"/>
    </i>
    <i r="1">
      <x/>
    </i>
    <i t="default">
      <x v="54"/>
    </i>
    <i>
      <x v="55"/>
    </i>
    <i r="1">
      <x/>
    </i>
    <i t="default">
      <x v="55"/>
    </i>
    <i>
      <x v="56"/>
    </i>
    <i r="1">
      <x/>
    </i>
    <i t="default">
      <x v="56"/>
    </i>
    <i>
      <x v="57"/>
    </i>
    <i r="1">
      <x/>
    </i>
    <i t="default">
      <x v="57"/>
    </i>
    <i>
      <x v="58"/>
    </i>
    <i r="1">
      <x/>
    </i>
    <i t="default">
      <x v="58"/>
    </i>
    <i>
      <x v="59"/>
    </i>
    <i r="1">
      <x/>
    </i>
    <i t="default">
      <x v="59"/>
    </i>
    <i>
      <x v="60"/>
    </i>
    <i r="1">
      <x/>
    </i>
    <i r="1">
      <x v="1"/>
    </i>
    <i r="1">
      <x v="3"/>
    </i>
    <i r="1">
      <x v="8"/>
    </i>
    <i r="1">
      <x v="13"/>
    </i>
    <i r="1">
      <x v="14"/>
    </i>
    <i r="1">
      <x v="15"/>
    </i>
    <i r="1">
      <x v="17"/>
    </i>
    <i r="1">
      <x v="19"/>
    </i>
    <i t="default">
      <x v="60"/>
    </i>
    <i>
      <x v="61"/>
    </i>
    <i r="1">
      <x/>
    </i>
    <i t="default">
      <x v="61"/>
    </i>
    <i>
      <x v="62"/>
    </i>
    <i r="1">
      <x/>
    </i>
    <i t="default">
      <x v="62"/>
    </i>
    <i t="grand">
      <x/>
    </i>
  </rowItems>
  <colFields count="1">
    <field x="8"/>
  </colFields>
  <colItems count="3">
    <i>
      <x/>
    </i>
    <i>
      <x v="1"/>
    </i>
    <i t="grand">
      <x/>
    </i>
  </colItems>
  <dataFields count="1">
    <dataField name="Sum of Unique Billed Hours" fld="16" showDataAs="percentOfCol" baseField="1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05000000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3:B7" firstHeaderRow="1" firstDataRow="1" firstDataCol="1"/>
  <pivotFields count="18">
    <pivotField showAll="0"/>
    <pivotField showAll="0"/>
    <pivotField showAll="0"/>
    <pivotField showAll="0"/>
    <pivotField showAll="0"/>
    <pivotField showAll="0"/>
    <pivotField showAll="0"/>
    <pivotField multipleItemSelectionAllowed="1" showAll="0">
      <items count="22">
        <item x="1"/>
        <item x="12"/>
        <item x="9"/>
        <item x="10"/>
        <item x="13"/>
        <item x="15"/>
        <item x="5"/>
        <item m="1" x="18"/>
        <item x="8"/>
        <item x="3"/>
        <item x="7"/>
        <item m="1" x="20"/>
        <item x="4"/>
        <item x="6"/>
        <item x="2"/>
        <item x="14"/>
        <item m="1" x="17"/>
        <item x="11"/>
        <item x="0"/>
        <item x="16"/>
        <item m="1" x="19"/>
        <item t="default"/>
      </items>
    </pivotField>
    <pivotField axis="axisRow" showAll="0" defaultSubtotal="0">
      <items count="4">
        <item x="1"/>
        <item x="0"/>
        <item x="2"/>
        <item m="1" x="3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/>
    <pivotField dataField="1" showAll="0"/>
    <pivotField showAll="0">
      <items count="11">
        <item x="6"/>
        <item x="2"/>
        <item x="4"/>
        <item x="7"/>
        <item x="8"/>
        <item x="5"/>
        <item x="0"/>
        <item x="1"/>
        <item x="3"/>
        <item x="9"/>
        <item t="default"/>
      </items>
    </pivotField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Unique Billed Hours" fld="16" showDataAs="percentOfTotal" baseField="8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159D01-0FE1-47D3-9F9B-2DE3CA5AC28D}" name="PivotTable3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K16:L34" firstHeaderRow="1" firstDataRow="1" firstDataCol="1" rowPageCount="1" colPageCount="1"/>
  <pivotFields count="20">
    <pivotField showAll="0"/>
    <pivotField showAll="0"/>
    <pivotField showAll="0"/>
    <pivotField showAll="0"/>
    <pivotField showAll="0"/>
    <pivotField showAll="0"/>
    <pivotField showAll="0"/>
    <pivotField axis="axisRow" showAll="0">
      <items count="22">
        <item x="1"/>
        <item x="12"/>
        <item x="9"/>
        <item x="10"/>
        <item x="13"/>
        <item x="15"/>
        <item x="5"/>
        <item m="1" x="18"/>
        <item x="8"/>
        <item x="3"/>
        <item x="7"/>
        <item m="1" x="20"/>
        <item x="4"/>
        <item x="6"/>
        <item x="2"/>
        <item x="14"/>
        <item m="1" x="17"/>
        <item x="11"/>
        <item m="1" x="19"/>
        <item x="0"/>
        <item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Page" multipleItemSelectionAllowed="1" showAll="0">
      <items count="3">
        <item h="1" x="1"/>
        <item x="0"/>
        <item t="default"/>
      </items>
    </pivotField>
    <pivotField showAll="0" defaultSubtotal="0">
      <items count="15">
        <item x="0"/>
        <item x="1"/>
        <item x="2"/>
        <item x="3"/>
        <item x="4"/>
        <item x="5"/>
        <item x="6"/>
        <item x="8"/>
        <item x="7"/>
        <item x="9"/>
        <item x="10"/>
        <item x="11"/>
        <item x="12"/>
        <item x="13"/>
        <item x="14"/>
      </items>
    </pivotField>
  </pivotFields>
  <rowFields count="1">
    <field x="7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>
      <x v="12"/>
    </i>
    <i>
      <x v="13"/>
    </i>
    <i>
      <x v="14"/>
    </i>
    <i>
      <x v="15"/>
    </i>
    <i>
      <x v="17"/>
    </i>
    <i>
      <x v="19"/>
    </i>
    <i>
      <x v="20"/>
    </i>
    <i t="grand">
      <x/>
    </i>
  </rowItems>
  <colItems count="1">
    <i/>
  </colItems>
  <pageFields count="1">
    <pageField fld="18" hier="-1"/>
  </pageFields>
  <dataFields count="1">
    <dataField name="Sum of Unique Billed Hours" fld="16" showDataAs="percentOfTotal" baseField="2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DC5187-9550-47E9-BBD6-56E196B6E5E8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4:M32" firstHeaderRow="1" firstDataRow="3" firstDataCol="1" rowPageCount="2" colPageCount="1"/>
  <pivotFields count="19">
    <pivotField showAll="0"/>
    <pivotField axis="axisRow" subtotalTop="0" showAll="0" sortType="ascending">
      <items count="65">
        <item m="1" x="63"/>
        <item sd="0" x="6"/>
        <item x="7"/>
        <item x="5"/>
        <item x="8"/>
        <item x="9"/>
        <item x="10"/>
        <item x="11"/>
        <item x="12"/>
        <item x="13"/>
        <item x="14"/>
        <item sd="0"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sd="0" x="1"/>
        <item x="28"/>
        <item x="29"/>
        <item x="30"/>
        <item x="4"/>
        <item sd="0" x="31"/>
        <item sd="0" x="0"/>
        <item sd="0" x="32"/>
        <item x="33"/>
        <item x="34"/>
        <item x="35"/>
        <item x="36"/>
        <item sd="0" x="37"/>
        <item x="38"/>
        <item x="39"/>
        <item x="40"/>
        <item x="41"/>
        <item sd="0" x="3"/>
        <item sd="0" x="42"/>
        <item sd="0" x="2"/>
        <item x="43"/>
        <item x="44"/>
        <item sd="0" x="45"/>
        <item sd="0" x="46"/>
        <item x="47"/>
        <item x="48"/>
        <item x="49"/>
        <item x="50"/>
        <item sd="0" x="51"/>
        <item x="52"/>
        <item x="53"/>
        <item x="54"/>
        <item x="55"/>
        <item x="56"/>
        <item x="57"/>
        <item x="58"/>
        <item sd="0" x="59"/>
        <item x="60"/>
        <item x="61"/>
        <item x="62"/>
        <item t="default"/>
      </items>
    </pivotField>
    <pivotField showAll="0"/>
    <pivotField subtotalTop="0" showAll="0"/>
    <pivotField subtotalTop="0" showAll="0"/>
    <pivotField subtotalTop="0" showAll="0"/>
    <pivotField subtotalTop="0" showAll="0"/>
    <pivotField axis="axisRow" subtotalTop="0" showAll="0">
      <items count="22">
        <item x="1"/>
        <item x="12"/>
        <item x="9"/>
        <item x="10"/>
        <item x="13"/>
        <item x="15"/>
        <item x="6"/>
        <item x="2"/>
        <item x="14"/>
        <item x="8"/>
        <item m="1" x="18"/>
        <item x="7"/>
        <item m="1" x="20"/>
        <item m="1" x="17"/>
        <item m="1" x="19"/>
        <item x="3"/>
        <item x="11"/>
        <item x="4"/>
        <item x="0"/>
        <item x="16"/>
        <item x="5"/>
        <item t="default"/>
      </items>
    </pivotField>
    <pivotField axis="axisPage" showAll="0" defaultSubtotal="0">
      <items count="4">
        <item x="1"/>
        <item x="0"/>
        <item x="2"/>
        <item m="1" x="3"/>
      </items>
    </pivotField>
    <pivotField axis="axisCol" showAll="0" defaultSubtotal="0">
      <items count="6">
        <item x="4"/>
        <item x="1"/>
        <item x="2"/>
        <item x="3"/>
        <item x="0"/>
        <item m="1" x="5"/>
      </items>
    </pivotField>
    <pivotField showAll="0" defaultSubtotal="0"/>
    <pivotField subtotalTop="0" showAll="0"/>
    <pivotField subtotalTop="0" showAll="0"/>
    <pivotField subtotalTop="0" showAll="0"/>
    <pivotField dataField="1" subtotalTop="0" showAll="0"/>
    <pivotField dataField="1" subtotalTop="0" showAll="0"/>
    <pivotField dataField="1" subtotalTop="0" showAll="0"/>
    <pivotField axis="axisPage" multipleItemSelectionAllowed="1" showAll="0">
      <items count="7">
        <item h="1" m="1" x="4"/>
        <item h="1" m="1" x="5"/>
        <item x="3"/>
        <item x="0"/>
        <item h="1" x="1"/>
        <item h="1" x="2"/>
        <item t="default"/>
      </items>
    </pivotField>
    <pivotField showAll="0">
      <items count="16">
        <item x="9"/>
        <item x="10"/>
        <item x="11"/>
        <item x="12"/>
        <item x="13"/>
        <item x="14"/>
        <item x="6"/>
        <item x="5"/>
        <item x="3"/>
        <item x="8"/>
        <item x="4"/>
        <item x="2"/>
        <item x="1"/>
        <item x="0"/>
        <item x="7"/>
        <item t="default"/>
      </items>
    </pivotField>
  </pivotFields>
  <rowFields count="2">
    <field x="1"/>
    <field x="7"/>
  </rowFields>
  <rowItems count="26">
    <i>
      <x v="1"/>
    </i>
    <i>
      <x v="3"/>
    </i>
    <i r="1">
      <x v="6"/>
    </i>
    <i r="1">
      <x v="7"/>
    </i>
    <i r="1">
      <x v="9"/>
    </i>
    <i r="1">
      <x v="11"/>
    </i>
    <i r="1">
      <x v="15"/>
    </i>
    <i r="1">
      <x v="16"/>
    </i>
    <i r="1">
      <x v="17"/>
    </i>
    <i r="1">
      <x v="18"/>
    </i>
    <i r="1">
      <x v="20"/>
    </i>
    <i t="default">
      <x v="3"/>
    </i>
    <i>
      <x v="11"/>
    </i>
    <i>
      <x v="24"/>
    </i>
    <i>
      <x v="29"/>
    </i>
    <i>
      <x v="30"/>
    </i>
    <i>
      <x v="31"/>
    </i>
    <i>
      <x v="36"/>
    </i>
    <i>
      <x v="41"/>
    </i>
    <i>
      <x v="42"/>
    </i>
    <i>
      <x v="43"/>
    </i>
    <i>
      <x v="46"/>
    </i>
    <i>
      <x v="47"/>
    </i>
    <i>
      <x v="52"/>
    </i>
    <i>
      <x v="60"/>
    </i>
    <i t="grand">
      <x/>
    </i>
  </rowItems>
  <colFields count="2">
    <field x="9"/>
    <field x="-2"/>
  </colFields>
  <colItems count="12">
    <i>
      <x v="2"/>
      <x/>
    </i>
    <i r="1" i="1">
      <x v="1"/>
    </i>
    <i r="1" i="2">
      <x v="2"/>
    </i>
    <i>
      <x v="3"/>
      <x/>
    </i>
    <i r="1" i="1">
      <x v="1"/>
    </i>
    <i r="1" i="2">
      <x v="2"/>
    </i>
    <i>
      <x v="4"/>
      <x/>
    </i>
    <i r="1" i="1">
      <x v="1"/>
    </i>
    <i r="1" i="2">
      <x v="2"/>
    </i>
    <i t="grand">
      <x/>
    </i>
    <i t="grand" i="1">
      <x/>
    </i>
    <i t="grand" i="2">
      <x/>
    </i>
  </colItems>
  <pageFields count="2">
    <pageField fld="8" item="1" hier="-1"/>
    <pageField fld="17" hier="-1"/>
  </pageFields>
  <dataFields count="3">
    <dataField name="Sum of Unique Patient Count" fld="14" baseField="0" baseItem="0"/>
    <dataField name="Sum of Unique Visit Count" fld="15" baseField="0" baseItem="0"/>
    <dataField name="Sum of Unique Billed Hours" fld="16" baseField="1" baseItem="0"/>
  </dataFields>
  <formats count="89">
    <format dxfId="758">
      <pivotArea type="origin" dataOnly="0" labelOnly="1" outline="0" fieldPosition="0"/>
    </format>
    <format dxfId="757">
      <pivotArea field="9" type="button" dataOnly="0" labelOnly="1" outline="0" axis="axisCol" fieldPosition="0"/>
    </format>
    <format dxfId="756">
      <pivotArea field="-2" type="button" dataOnly="0" labelOnly="1" outline="0" axis="axisCol" fieldPosition="1"/>
    </format>
    <format dxfId="755">
      <pivotArea type="topRight" dataOnly="0" labelOnly="1" outline="0" fieldPosition="0"/>
    </format>
    <format dxfId="754">
      <pivotArea field="1" type="button" dataOnly="0" labelOnly="1" outline="0" axis="axisRow" fieldPosition="0"/>
    </format>
    <format dxfId="753">
      <pivotArea dataOnly="0" labelOnly="1" fieldPosition="0">
        <references count="1">
          <reference field="9" count="3">
            <x v="2"/>
            <x v="3"/>
            <x v="4"/>
          </reference>
        </references>
      </pivotArea>
    </format>
    <format dxfId="752">
      <pivotArea field="9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751">
      <pivotArea field="9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750">
      <pivotArea field="9" dataOnly="0" labelOnly="1" grandCol="1" outline="0" axis="axisCol" fieldPosition="0">
        <references count="1">
          <reference field="4294967294" count="1" selected="0">
            <x v="2"/>
          </reference>
        </references>
      </pivotArea>
    </format>
    <format dxfId="749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9" count="1" selected="0">
            <x v="2"/>
          </reference>
        </references>
      </pivotArea>
    </format>
    <format dxfId="748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9" count="1" selected="0">
            <x v="3"/>
          </reference>
        </references>
      </pivotArea>
    </format>
    <format dxfId="747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9" count="1" selected="0">
            <x v="4"/>
          </reference>
        </references>
      </pivotArea>
    </format>
    <format dxfId="746">
      <pivotArea type="origin" dataOnly="0" labelOnly="1" outline="0" fieldPosition="0"/>
    </format>
    <format dxfId="745">
      <pivotArea field="9" type="button" dataOnly="0" labelOnly="1" outline="0" axis="axisCol" fieldPosition="0"/>
    </format>
    <format dxfId="744">
      <pivotArea field="-2" type="button" dataOnly="0" labelOnly="1" outline="0" axis="axisCol" fieldPosition="1"/>
    </format>
    <format dxfId="743">
      <pivotArea type="topRight" dataOnly="0" labelOnly="1" outline="0" fieldPosition="0"/>
    </format>
    <format dxfId="742">
      <pivotArea field="1" type="button" dataOnly="0" labelOnly="1" outline="0" axis="axisRow" fieldPosition="0"/>
    </format>
    <format dxfId="741">
      <pivotArea dataOnly="0" labelOnly="1" fieldPosition="0">
        <references count="1">
          <reference field="9" count="3">
            <x v="2"/>
            <x v="3"/>
            <x v="4"/>
          </reference>
        </references>
      </pivotArea>
    </format>
    <format dxfId="740">
      <pivotArea field="9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739">
      <pivotArea field="9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738">
      <pivotArea field="9" dataOnly="0" labelOnly="1" grandCol="1" outline="0" axis="axisCol" fieldPosition="0">
        <references count="1">
          <reference field="4294967294" count="1" selected="0">
            <x v="2"/>
          </reference>
        </references>
      </pivotArea>
    </format>
    <format dxfId="737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9" count="1" selected="0">
            <x v="2"/>
          </reference>
        </references>
      </pivotArea>
    </format>
    <format dxfId="736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9" count="1" selected="0">
            <x v="3"/>
          </reference>
        </references>
      </pivotArea>
    </format>
    <format dxfId="735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9" count="1" selected="0">
            <x v="4"/>
          </reference>
        </references>
      </pivotArea>
    </format>
    <format dxfId="734">
      <pivotArea type="origin" dataOnly="0" labelOnly="1" outline="0" fieldPosition="0"/>
    </format>
    <format dxfId="733">
      <pivotArea field="9" type="button" dataOnly="0" labelOnly="1" outline="0" axis="axisCol" fieldPosition="0"/>
    </format>
    <format dxfId="732">
      <pivotArea field="-2" type="button" dataOnly="0" labelOnly="1" outline="0" axis="axisCol" fieldPosition="1"/>
    </format>
    <format dxfId="731">
      <pivotArea type="topRight" dataOnly="0" labelOnly="1" outline="0" fieldPosition="0"/>
    </format>
    <format dxfId="730">
      <pivotArea field="1" type="button" dataOnly="0" labelOnly="1" outline="0" axis="axisRow" fieldPosition="0"/>
    </format>
    <format dxfId="729">
      <pivotArea dataOnly="0" labelOnly="1" fieldPosition="0">
        <references count="1">
          <reference field="9" count="3">
            <x v="2"/>
            <x v="3"/>
            <x v="4"/>
          </reference>
        </references>
      </pivotArea>
    </format>
    <format dxfId="728">
      <pivotArea field="9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727">
      <pivotArea field="9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726">
      <pivotArea field="9" dataOnly="0" labelOnly="1" grandCol="1" outline="0" axis="axisCol" fieldPosition="0">
        <references count="1">
          <reference field="4294967294" count="1" selected="0">
            <x v="2"/>
          </reference>
        </references>
      </pivotArea>
    </format>
    <format dxfId="725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9" count="1" selected="0">
            <x v="2"/>
          </reference>
        </references>
      </pivotArea>
    </format>
    <format dxfId="724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9" count="1" selected="0">
            <x v="3"/>
          </reference>
        </references>
      </pivotArea>
    </format>
    <format dxfId="723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9" count="1" selected="0">
            <x v="4"/>
          </reference>
        </references>
      </pivotArea>
    </format>
    <format dxfId="722">
      <pivotArea field="9" type="button" dataOnly="0" labelOnly="1" outline="0" axis="axisCol" fieldPosition="0"/>
    </format>
    <format dxfId="721">
      <pivotArea field="-2" type="button" dataOnly="0" labelOnly="1" outline="0" axis="axisCol" fieldPosition="1"/>
    </format>
    <format dxfId="720">
      <pivotArea type="topRight" dataOnly="0" labelOnly="1" outline="0" fieldPosition="0"/>
    </format>
    <format dxfId="719">
      <pivotArea dataOnly="0" labelOnly="1" fieldPosition="0">
        <references count="1">
          <reference field="9" count="3">
            <x v="2"/>
            <x v="3"/>
            <x v="4"/>
          </reference>
        </references>
      </pivotArea>
    </format>
    <format dxfId="718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9" count="1" selected="0">
            <x v="2"/>
          </reference>
        </references>
      </pivotArea>
    </format>
    <format dxfId="717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9" count="1" selected="0">
            <x v="3"/>
          </reference>
        </references>
      </pivotArea>
    </format>
    <format dxfId="716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9" count="1" selected="0">
            <x v="4"/>
          </reference>
        </references>
      </pivotArea>
    </format>
    <format dxfId="715">
      <pivotArea outline="0" collapsedLevelsAreSubtotals="1" fieldPosition="0">
        <references count="2">
          <reference field="4294967294" count="3" selected="0">
            <x v="0"/>
            <x v="1"/>
            <x v="2"/>
          </reference>
          <reference field="9" count="3" selected="0">
            <x v="2"/>
            <x v="3"/>
            <x v="4"/>
          </reference>
        </references>
      </pivotArea>
    </format>
    <format dxfId="714">
      <pivotArea field="9" type="button" dataOnly="0" labelOnly="1" outline="0" axis="axisCol" fieldPosition="0"/>
    </format>
    <format dxfId="713">
      <pivotArea field="-2" type="button" dataOnly="0" labelOnly="1" outline="0" axis="axisCol" fieldPosition="1"/>
    </format>
    <format dxfId="712">
      <pivotArea type="topRight" dataOnly="0" labelOnly="1" outline="0" fieldPosition="0"/>
    </format>
    <format dxfId="711">
      <pivotArea dataOnly="0" labelOnly="1" fieldPosition="0">
        <references count="1">
          <reference field="9" count="3">
            <x v="2"/>
            <x v="3"/>
            <x v="4"/>
          </reference>
        </references>
      </pivotArea>
    </format>
    <format dxfId="710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9" count="1" selected="0">
            <x v="2"/>
          </reference>
        </references>
      </pivotArea>
    </format>
    <format dxfId="709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9" count="1" selected="0">
            <x v="3"/>
          </reference>
        </references>
      </pivotArea>
    </format>
    <format dxfId="708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9" count="1" selected="0">
            <x v="4"/>
          </reference>
        </references>
      </pivotArea>
    </format>
    <format dxfId="707">
      <pivotArea outline="0" collapsedLevelsAreSubtotals="1" fieldPosition="0">
        <references count="2">
          <reference field="4294967294" count="3" selected="0">
            <x v="0"/>
            <x v="1"/>
            <x v="2"/>
          </reference>
          <reference field="9" count="3" selected="0">
            <x v="2"/>
            <x v="3"/>
            <x v="4"/>
          </reference>
        </references>
      </pivotArea>
    </format>
    <format dxfId="706">
      <pivotArea field="9" type="button" dataOnly="0" labelOnly="1" outline="0" axis="axisCol" fieldPosition="0"/>
    </format>
    <format dxfId="705">
      <pivotArea field="-2" type="button" dataOnly="0" labelOnly="1" outline="0" axis="axisCol" fieldPosition="1"/>
    </format>
    <format dxfId="704">
      <pivotArea type="topRight" dataOnly="0" labelOnly="1" outline="0" fieldPosition="0"/>
    </format>
    <format dxfId="703">
      <pivotArea dataOnly="0" labelOnly="1" fieldPosition="0">
        <references count="1">
          <reference field="9" count="3">
            <x v="2"/>
            <x v="3"/>
            <x v="4"/>
          </reference>
        </references>
      </pivotArea>
    </format>
    <format dxfId="702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9" count="1" selected="0">
            <x v="2"/>
          </reference>
        </references>
      </pivotArea>
    </format>
    <format dxfId="701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9" count="1" selected="0">
            <x v="3"/>
          </reference>
        </references>
      </pivotArea>
    </format>
    <format dxfId="700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9" count="1" selected="0">
            <x v="4"/>
          </reference>
        </references>
      </pivotArea>
    </format>
    <format dxfId="699">
      <pivotArea outline="0" collapsedLevelsAreSubtotals="1" fieldPosition="0">
        <references count="2">
          <reference field="4294967294" count="3" selected="0">
            <x v="0"/>
            <x v="1"/>
            <x v="2"/>
          </reference>
          <reference field="9" count="3" selected="0">
            <x v="2"/>
            <x v="3"/>
            <x v="4"/>
          </reference>
        </references>
      </pivotArea>
    </format>
    <format dxfId="698">
      <pivotArea field="9" type="button" dataOnly="0" labelOnly="1" outline="0" axis="axisCol" fieldPosition="0"/>
    </format>
    <format dxfId="697">
      <pivotArea field="-2" type="button" dataOnly="0" labelOnly="1" outline="0" axis="axisCol" fieldPosition="1"/>
    </format>
    <format dxfId="696">
      <pivotArea type="topRight" dataOnly="0" labelOnly="1" outline="0" fieldPosition="0"/>
    </format>
    <format dxfId="695">
      <pivotArea dataOnly="0" labelOnly="1" fieldPosition="0">
        <references count="1">
          <reference field="9" count="3">
            <x v="2"/>
            <x v="3"/>
            <x v="4"/>
          </reference>
        </references>
      </pivotArea>
    </format>
    <format dxfId="694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9" count="1" selected="0">
            <x v="2"/>
          </reference>
        </references>
      </pivotArea>
    </format>
    <format dxfId="693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9" count="1" selected="0">
            <x v="3"/>
          </reference>
        </references>
      </pivotArea>
    </format>
    <format dxfId="692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9" count="1" selected="0">
            <x v="4"/>
          </reference>
        </references>
      </pivotArea>
    </format>
    <format dxfId="691">
      <pivotArea type="all" dataOnly="0" outline="0" fieldPosition="0"/>
    </format>
    <format dxfId="690">
      <pivotArea outline="0" collapsedLevelsAreSubtotals="1" fieldPosition="0"/>
    </format>
    <format dxfId="689">
      <pivotArea type="origin" dataOnly="0" labelOnly="1" outline="0" fieldPosition="0"/>
    </format>
    <format dxfId="688">
      <pivotArea field="9" type="button" dataOnly="0" labelOnly="1" outline="0" axis="axisCol" fieldPosition="0"/>
    </format>
    <format dxfId="687">
      <pivotArea field="-2" type="button" dataOnly="0" labelOnly="1" outline="0" axis="axisCol" fieldPosition="1"/>
    </format>
    <format dxfId="686">
      <pivotArea type="topRight" dataOnly="0" labelOnly="1" outline="0" fieldPosition="0"/>
    </format>
    <format dxfId="685">
      <pivotArea field="1" type="button" dataOnly="0" labelOnly="1" outline="0" axis="axisRow" fieldPosition="0"/>
    </format>
    <format dxfId="684">
      <pivotArea dataOnly="0" labelOnly="1" fieldPosition="0">
        <references count="1">
          <reference field="1" count="5">
            <x v="3"/>
            <x v="24"/>
            <x v="31"/>
            <x v="41"/>
            <x v="43"/>
          </reference>
        </references>
      </pivotArea>
    </format>
    <format dxfId="683">
      <pivotArea dataOnly="0" labelOnly="1" fieldPosition="0">
        <references count="1">
          <reference field="1" count="5" defaultSubtotal="1">
            <x v="3"/>
            <x v="24"/>
            <x v="31"/>
            <x v="41"/>
            <x v="43"/>
          </reference>
        </references>
      </pivotArea>
    </format>
    <format dxfId="682">
      <pivotArea dataOnly="0" labelOnly="1" grandRow="1" outline="0" fieldPosition="0"/>
    </format>
    <format dxfId="681">
      <pivotArea dataOnly="0" labelOnly="1" fieldPosition="0">
        <references count="2">
          <reference field="1" count="1" selected="0">
            <x v="3"/>
          </reference>
          <reference field="7" count="3">
            <x v="7"/>
            <x v="9"/>
            <x v="15"/>
          </reference>
        </references>
      </pivotArea>
    </format>
    <format dxfId="680">
      <pivotArea dataOnly="0" labelOnly="1" fieldPosition="0">
        <references count="2">
          <reference field="1" count="1" selected="0">
            <x v="24"/>
          </reference>
          <reference field="7" count="8">
            <x v="7"/>
            <x v="9"/>
            <x v="11"/>
            <x v="15"/>
            <x v="16"/>
            <x v="17"/>
            <x v="18"/>
            <x v="20"/>
          </reference>
        </references>
      </pivotArea>
    </format>
    <format dxfId="679">
      <pivotArea dataOnly="0" labelOnly="1" fieldPosition="0">
        <references count="2">
          <reference field="1" count="1" selected="0">
            <x v="31"/>
          </reference>
          <reference field="7" count="8">
            <x v="7"/>
            <x v="9"/>
            <x v="11"/>
            <x v="15"/>
            <x v="16"/>
            <x v="17"/>
            <x v="18"/>
            <x v="20"/>
          </reference>
        </references>
      </pivotArea>
    </format>
    <format dxfId="678">
      <pivotArea dataOnly="0" labelOnly="1" fieldPosition="0">
        <references count="2">
          <reference field="1" count="1" selected="0">
            <x v="41"/>
          </reference>
          <reference field="7" count="8">
            <x v="7"/>
            <x v="9"/>
            <x v="11"/>
            <x v="15"/>
            <x v="16"/>
            <x v="17"/>
            <x v="18"/>
            <x v="20"/>
          </reference>
        </references>
      </pivotArea>
    </format>
    <format dxfId="677">
      <pivotArea dataOnly="0" labelOnly="1" fieldPosition="0">
        <references count="2">
          <reference field="1" count="1" selected="0">
            <x v="43"/>
          </reference>
          <reference field="7" count="8">
            <x v="7"/>
            <x v="9"/>
            <x v="11"/>
            <x v="15"/>
            <x v="16"/>
            <x v="17"/>
            <x v="18"/>
            <x v="20"/>
          </reference>
        </references>
      </pivotArea>
    </format>
    <format dxfId="676">
      <pivotArea dataOnly="0" labelOnly="1" fieldPosition="0">
        <references count="1">
          <reference field="9" count="3">
            <x v="2"/>
            <x v="3"/>
            <x v="4"/>
          </reference>
        </references>
      </pivotArea>
    </format>
    <format dxfId="675">
      <pivotArea field="9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674">
      <pivotArea field="9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673">
      <pivotArea field="9" dataOnly="0" labelOnly="1" grandCol="1" outline="0" axis="axisCol" fieldPosition="0">
        <references count="1">
          <reference field="4294967294" count="1" selected="0">
            <x v="2"/>
          </reference>
        </references>
      </pivotArea>
    </format>
    <format dxfId="672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9" count="1" selected="0">
            <x v="2"/>
          </reference>
        </references>
      </pivotArea>
    </format>
    <format dxfId="671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9" count="1" selected="0">
            <x v="3"/>
          </reference>
        </references>
      </pivotArea>
    </format>
    <format dxfId="670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9" count="1" selected="0"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08000000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3:G218" firstHeaderRow="1" firstDataRow="3" firstDataCol="1" rowPageCount="1" colPageCount="1"/>
  <pivotFields count="18">
    <pivotField showAll="0"/>
    <pivotField axis="axisRow" subtotalTop="0" showAll="0" sortType="ascending">
      <items count="65">
        <item m="1" x="63"/>
        <item x="6"/>
        <item x="7"/>
        <item x="5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"/>
        <item x="28"/>
        <item x="29"/>
        <item x="30"/>
        <item x="4"/>
        <item x="31"/>
        <item x="0"/>
        <item x="32"/>
        <item x="33"/>
        <item x="34"/>
        <item x="35"/>
        <item x="36"/>
        <item x="37"/>
        <item x="38"/>
        <item x="39"/>
        <item x="40"/>
        <item x="41"/>
        <item x="3"/>
        <item x="42"/>
        <item x="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t="default"/>
      </items>
    </pivotField>
    <pivotField showAll="0"/>
    <pivotField subtotalTop="0" showAll="0"/>
    <pivotField subtotalTop="0" showAll="0"/>
    <pivotField subtotalTop="0" showAll="0"/>
    <pivotField subtotalTop="0" showAll="0"/>
    <pivotField axis="axisRow" subtotalTop="0" showAll="0" sortType="ascending">
      <items count="22">
        <item x="1"/>
        <item x="12"/>
        <item x="9"/>
        <item x="10"/>
        <item x="13"/>
        <item x="15"/>
        <item x="5"/>
        <item m="1" x="18"/>
        <item x="8"/>
        <item x="3"/>
        <item x="7"/>
        <item m="1" x="20"/>
        <item x="4"/>
        <item x="6"/>
        <item x="2"/>
        <item x="14"/>
        <item m="1" x="17"/>
        <item x="11"/>
        <item m="1" x="19"/>
        <item x="0"/>
        <item x="16"/>
        <item t="default"/>
      </items>
    </pivotField>
    <pivotField axis="axisPage" showAll="0" defaultSubtotal="0">
      <items count="4">
        <item x="1"/>
        <item x="0"/>
        <item x="2"/>
        <item m="1" x="3"/>
      </items>
    </pivotField>
    <pivotField axis="axisCol" showAll="0" defaultSubtotal="0">
      <items count="6">
        <item x="4"/>
        <item x="0"/>
        <item x="1"/>
        <item x="2"/>
        <item x="3"/>
        <item m="1" x="5"/>
      </items>
    </pivotField>
    <pivotField showAll="0" defaultSubtotal="0"/>
    <pivotField subtotalTop="0" showAll="0"/>
    <pivotField subtotalTop="0" showAll="0"/>
    <pivotField subtotalTop="0" showAll="0"/>
    <pivotField dataField="1" subtotalTop="0" showAll="0"/>
    <pivotField dataField="1" subtotalTop="0" showAll="0"/>
    <pivotField dataField="1" subtotalTop="0" showAll="0"/>
    <pivotField showAll="0">
      <items count="11">
        <item x="7"/>
        <item x="6"/>
        <item x="5"/>
        <item x="3"/>
        <item x="8"/>
        <item x="4"/>
        <item x="2"/>
        <item x="1"/>
        <item x="0"/>
        <item x="9"/>
        <item t="default"/>
      </items>
    </pivotField>
  </pivotFields>
  <rowFields count="2">
    <field x="1"/>
    <field x="7"/>
  </rowFields>
  <rowItems count="213">
    <i>
      <x v="1"/>
    </i>
    <i r="1">
      <x/>
    </i>
    <i t="default">
      <x v="1"/>
    </i>
    <i>
      <x v="2"/>
    </i>
    <i r="1">
      <x/>
    </i>
    <i t="default">
      <x v="2"/>
    </i>
    <i>
      <x v="3"/>
    </i>
    <i r="1">
      <x/>
    </i>
    <i r="1">
      <x v="2"/>
    </i>
    <i r="1">
      <x v="3"/>
    </i>
    <i t="default">
      <x v="3"/>
    </i>
    <i>
      <x v="4"/>
    </i>
    <i r="1">
      <x/>
    </i>
    <i t="default">
      <x v="4"/>
    </i>
    <i>
      <x v="5"/>
    </i>
    <i r="1">
      <x/>
    </i>
    <i t="default">
      <x v="5"/>
    </i>
    <i>
      <x v="6"/>
    </i>
    <i r="1">
      <x/>
    </i>
    <i t="default">
      <x v="6"/>
    </i>
    <i>
      <x v="7"/>
    </i>
    <i r="1">
      <x/>
    </i>
    <i r="1">
      <x v="3"/>
    </i>
    <i t="default">
      <x v="7"/>
    </i>
    <i>
      <x v="8"/>
    </i>
    <i r="1">
      <x/>
    </i>
    <i t="default">
      <x v="8"/>
    </i>
    <i>
      <x v="9"/>
    </i>
    <i r="1">
      <x/>
    </i>
    <i t="default">
      <x v="9"/>
    </i>
    <i>
      <x v="10"/>
    </i>
    <i r="1">
      <x/>
    </i>
    <i t="default">
      <x v="10"/>
    </i>
    <i>
      <x v="11"/>
    </i>
    <i r="1">
      <x/>
    </i>
    <i t="default">
      <x v="11"/>
    </i>
    <i>
      <x v="12"/>
    </i>
    <i r="1">
      <x/>
    </i>
    <i t="default">
      <x v="12"/>
    </i>
    <i>
      <x v="13"/>
    </i>
    <i r="1">
      <x/>
    </i>
    <i t="default">
      <x v="13"/>
    </i>
    <i>
      <x v="14"/>
    </i>
    <i r="1">
      <x/>
    </i>
    <i t="default">
      <x v="14"/>
    </i>
    <i>
      <x v="15"/>
    </i>
    <i r="1">
      <x/>
    </i>
    <i r="1">
      <x v="3"/>
    </i>
    <i t="default">
      <x v="15"/>
    </i>
    <i>
      <x v="16"/>
    </i>
    <i r="1">
      <x/>
    </i>
    <i t="default">
      <x v="16"/>
    </i>
    <i>
      <x v="17"/>
    </i>
    <i r="1">
      <x/>
    </i>
    <i t="default">
      <x v="17"/>
    </i>
    <i>
      <x v="18"/>
    </i>
    <i r="1">
      <x/>
    </i>
    <i t="default">
      <x v="18"/>
    </i>
    <i>
      <x v="19"/>
    </i>
    <i r="1">
      <x/>
    </i>
    <i t="default">
      <x v="19"/>
    </i>
    <i>
      <x v="20"/>
    </i>
    <i r="1">
      <x/>
    </i>
    <i t="default">
      <x v="20"/>
    </i>
    <i>
      <x v="21"/>
    </i>
    <i r="1">
      <x/>
    </i>
    <i t="default">
      <x v="21"/>
    </i>
    <i>
      <x v="22"/>
    </i>
    <i r="1">
      <x/>
    </i>
    <i t="default">
      <x v="22"/>
    </i>
    <i>
      <x v="23"/>
    </i>
    <i r="1">
      <x/>
    </i>
    <i r="1">
      <x v="2"/>
    </i>
    <i t="default">
      <x v="23"/>
    </i>
    <i>
      <x v="24"/>
    </i>
    <i r="1">
      <x/>
    </i>
    <i r="1">
      <x v="2"/>
    </i>
    <i r="1">
      <x v="3"/>
    </i>
    <i t="default">
      <x v="24"/>
    </i>
    <i>
      <x v="25"/>
    </i>
    <i r="1">
      <x/>
    </i>
    <i t="default">
      <x v="25"/>
    </i>
    <i>
      <x v="26"/>
    </i>
    <i r="1">
      <x/>
    </i>
    <i t="default">
      <x v="26"/>
    </i>
    <i>
      <x v="27"/>
    </i>
    <i r="1">
      <x/>
    </i>
    <i t="default">
      <x v="27"/>
    </i>
    <i>
      <x v="28"/>
    </i>
    <i r="1">
      <x/>
    </i>
    <i t="default">
      <x v="28"/>
    </i>
    <i>
      <x v="29"/>
    </i>
    <i r="1">
      <x/>
    </i>
    <i t="default">
      <x v="29"/>
    </i>
    <i>
      <x v="30"/>
    </i>
    <i r="1">
      <x/>
    </i>
    <i r="1">
      <x v="1"/>
    </i>
    <i r="1">
      <x v="2"/>
    </i>
    <i r="1">
      <x v="3"/>
    </i>
    <i r="1">
      <x v="4"/>
    </i>
    <i t="default">
      <x v="30"/>
    </i>
    <i>
      <x v="31"/>
    </i>
    <i r="1">
      <x/>
    </i>
    <i r="1">
      <x v="2"/>
    </i>
    <i r="1">
      <x v="3"/>
    </i>
    <i t="default">
      <x v="31"/>
    </i>
    <i>
      <x v="32"/>
    </i>
    <i r="1">
      <x/>
    </i>
    <i t="default">
      <x v="32"/>
    </i>
    <i>
      <x v="33"/>
    </i>
    <i r="1">
      <x/>
    </i>
    <i t="default">
      <x v="33"/>
    </i>
    <i>
      <x v="34"/>
    </i>
    <i r="1">
      <x/>
    </i>
    <i r="1">
      <x v="3"/>
    </i>
    <i t="default">
      <x v="34"/>
    </i>
    <i>
      <x v="35"/>
    </i>
    <i r="1">
      <x/>
    </i>
    <i t="default">
      <x v="35"/>
    </i>
    <i>
      <x v="36"/>
    </i>
    <i r="1">
      <x/>
    </i>
    <i r="1">
      <x v="3"/>
    </i>
    <i t="default">
      <x v="36"/>
    </i>
    <i>
      <x v="37"/>
    </i>
    <i r="1">
      <x/>
    </i>
    <i t="default">
      <x v="37"/>
    </i>
    <i>
      <x v="38"/>
    </i>
    <i r="1">
      <x/>
    </i>
    <i t="default">
      <x v="38"/>
    </i>
    <i>
      <x v="39"/>
    </i>
    <i r="1">
      <x/>
    </i>
    <i t="default">
      <x v="39"/>
    </i>
    <i>
      <x v="40"/>
    </i>
    <i r="1">
      <x/>
    </i>
    <i t="default">
      <x v="40"/>
    </i>
    <i>
      <x v="41"/>
    </i>
    <i r="1">
      <x/>
    </i>
    <i r="1">
      <x v="3"/>
    </i>
    <i t="default">
      <x v="41"/>
    </i>
    <i>
      <x v="42"/>
    </i>
    <i r="1">
      <x/>
    </i>
    <i r="1">
      <x v="2"/>
    </i>
    <i t="default">
      <x v="42"/>
    </i>
    <i>
      <x v="43"/>
    </i>
    <i r="1">
      <x/>
    </i>
    <i r="1">
      <x v="2"/>
    </i>
    <i r="1">
      <x v="3"/>
    </i>
    <i r="1">
      <x v="5"/>
    </i>
    <i t="default">
      <x v="43"/>
    </i>
    <i>
      <x v="44"/>
    </i>
    <i r="1">
      <x/>
    </i>
    <i t="default">
      <x v="44"/>
    </i>
    <i>
      <x v="45"/>
    </i>
    <i r="1">
      <x/>
    </i>
    <i t="default">
      <x v="45"/>
    </i>
    <i>
      <x v="46"/>
    </i>
    <i r="1">
      <x/>
    </i>
    <i t="default">
      <x v="46"/>
    </i>
    <i>
      <x v="47"/>
    </i>
    <i r="1">
      <x/>
    </i>
    <i r="1">
      <x v="3"/>
    </i>
    <i t="default">
      <x v="47"/>
    </i>
    <i>
      <x v="48"/>
    </i>
    <i r="1">
      <x/>
    </i>
    <i t="default">
      <x v="48"/>
    </i>
    <i>
      <x v="49"/>
    </i>
    <i r="1">
      <x/>
    </i>
    <i t="default">
      <x v="49"/>
    </i>
    <i>
      <x v="50"/>
    </i>
    <i r="1">
      <x/>
    </i>
    <i t="default">
      <x v="50"/>
    </i>
    <i>
      <x v="51"/>
    </i>
    <i r="1">
      <x/>
    </i>
    <i t="default">
      <x v="51"/>
    </i>
    <i>
      <x v="52"/>
    </i>
    <i r="1">
      <x/>
    </i>
    <i r="1">
      <x v="1"/>
    </i>
    <i r="1">
      <x v="2"/>
    </i>
    <i r="1">
      <x v="3"/>
    </i>
    <i t="default">
      <x v="52"/>
    </i>
    <i>
      <x v="53"/>
    </i>
    <i r="1">
      <x/>
    </i>
    <i t="default">
      <x v="53"/>
    </i>
    <i>
      <x v="54"/>
    </i>
    <i r="1">
      <x/>
    </i>
    <i t="default">
      <x v="54"/>
    </i>
    <i>
      <x v="55"/>
    </i>
    <i r="1">
      <x/>
    </i>
    <i t="default">
      <x v="55"/>
    </i>
    <i>
      <x v="56"/>
    </i>
    <i r="1">
      <x/>
    </i>
    <i t="default">
      <x v="56"/>
    </i>
    <i>
      <x v="57"/>
    </i>
    <i r="1">
      <x/>
    </i>
    <i t="default">
      <x v="57"/>
    </i>
    <i>
      <x v="58"/>
    </i>
    <i r="1">
      <x/>
    </i>
    <i t="default">
      <x v="58"/>
    </i>
    <i>
      <x v="59"/>
    </i>
    <i r="1">
      <x/>
    </i>
    <i t="default">
      <x v="59"/>
    </i>
    <i>
      <x v="60"/>
    </i>
    <i r="1">
      <x/>
    </i>
    <i r="1">
      <x v="1"/>
    </i>
    <i r="1">
      <x v="3"/>
    </i>
    <i t="default">
      <x v="60"/>
    </i>
    <i>
      <x v="61"/>
    </i>
    <i r="1">
      <x/>
    </i>
    <i t="default">
      <x v="61"/>
    </i>
    <i>
      <x v="62"/>
    </i>
    <i r="1">
      <x/>
    </i>
    <i t="default">
      <x v="62"/>
    </i>
    <i t="grand">
      <x/>
    </i>
  </rowItems>
  <colFields count="2">
    <field x="9"/>
    <field x="-2"/>
  </colFields>
  <colItems count="6">
    <i>
      <x v="2"/>
      <x/>
    </i>
    <i r="1" i="1">
      <x v="1"/>
    </i>
    <i r="1" i="2">
      <x v="2"/>
    </i>
    <i t="grand">
      <x/>
    </i>
    <i t="grand" i="1">
      <x/>
    </i>
    <i t="grand" i="2">
      <x/>
    </i>
  </colItems>
  <pageFields count="1">
    <pageField fld="8" item="0" hier="-1"/>
  </pageFields>
  <dataFields count="3">
    <dataField name="Sum of Unique Patient Count" fld="14" baseField="0" baseItem="0"/>
    <dataField name="Sum of Unique Visit Count" fld="15" baseField="0" baseItem="0"/>
    <dataField name="Sum of Unique Billed Hours" fld="16" baseField="1" baseItem="0"/>
  </dataFields>
  <formats count="98">
    <format dxfId="669">
      <pivotArea outline="0" collapsedLevelsAreSubtotals="1" fieldPosition="0"/>
    </format>
    <format dxfId="668">
      <pivotArea dataOnly="0" labelOnly="1" outline="0" fieldPosition="0">
        <references count="1">
          <reference field="8" count="1">
            <x v="0"/>
          </reference>
        </references>
      </pivotArea>
    </format>
    <format dxfId="667">
      <pivotArea field="9" type="button" dataOnly="0" labelOnly="1" outline="0" axis="axisCol" fieldPosition="0"/>
    </format>
    <format dxfId="666">
      <pivotArea field="-2" type="button" dataOnly="0" labelOnly="1" outline="0" axis="axisCol" fieldPosition="1"/>
    </format>
    <format dxfId="665">
      <pivotArea type="topRight" dataOnly="0" labelOnly="1" outline="0" fieldPosition="0"/>
    </format>
    <format dxfId="664">
      <pivotArea dataOnly="0" labelOnly="1" fieldPosition="0">
        <references count="1">
          <reference field="9" count="1">
            <x v="2"/>
          </reference>
        </references>
      </pivotArea>
    </format>
    <format dxfId="663">
      <pivotArea field="9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662">
      <pivotArea field="9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661">
      <pivotArea field="9" dataOnly="0" labelOnly="1" grandCol="1" outline="0" axis="axisCol" fieldPosition="0">
        <references count="1">
          <reference field="4294967294" count="1" selected="0">
            <x v="2"/>
          </reference>
        </references>
      </pivotArea>
    </format>
    <format dxfId="660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9" count="1" selected="0">
            <x v="2"/>
          </reference>
        </references>
      </pivotArea>
    </format>
    <format dxfId="659">
      <pivotArea type="origin" dataOnly="0" labelOnly="1" outline="0" fieldPosition="0"/>
    </format>
    <format dxfId="658">
      <pivotArea field="9" type="button" dataOnly="0" labelOnly="1" outline="0" axis="axisCol" fieldPosition="0"/>
    </format>
    <format dxfId="657">
      <pivotArea field="-2" type="button" dataOnly="0" labelOnly="1" outline="0" axis="axisCol" fieldPosition="1"/>
    </format>
    <format dxfId="656">
      <pivotArea type="topRight" dataOnly="0" labelOnly="1" outline="0" fieldPosition="0"/>
    </format>
    <format dxfId="655">
      <pivotArea field="1" type="button" dataOnly="0" labelOnly="1" outline="0" axis="axisRow" fieldPosition="0"/>
    </format>
    <format dxfId="654">
      <pivotArea dataOnly="0" labelOnly="1" fieldPosition="0">
        <references count="1">
          <reference field="9" count="1">
            <x v="2"/>
          </reference>
        </references>
      </pivotArea>
    </format>
    <format dxfId="653">
      <pivotArea field="9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652">
      <pivotArea field="9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651">
      <pivotArea field="9" dataOnly="0" labelOnly="1" grandCol="1" outline="0" axis="axisCol" fieldPosition="0">
        <references count="1">
          <reference field="4294967294" count="1" selected="0">
            <x v="2"/>
          </reference>
        </references>
      </pivotArea>
    </format>
    <format dxfId="650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9" count="1" selected="0">
            <x v="2"/>
          </reference>
        </references>
      </pivotArea>
    </format>
    <format dxfId="649">
      <pivotArea type="origin" dataOnly="0" labelOnly="1" outline="0" fieldPosition="0"/>
    </format>
    <format dxfId="648">
      <pivotArea field="9" type="button" dataOnly="0" labelOnly="1" outline="0" axis="axisCol" fieldPosition="0"/>
    </format>
    <format dxfId="647">
      <pivotArea field="-2" type="button" dataOnly="0" labelOnly="1" outline="0" axis="axisCol" fieldPosition="1"/>
    </format>
    <format dxfId="646">
      <pivotArea type="topRight" dataOnly="0" labelOnly="1" outline="0" fieldPosition="0"/>
    </format>
    <format dxfId="645">
      <pivotArea field="1" type="button" dataOnly="0" labelOnly="1" outline="0" axis="axisRow" fieldPosition="0"/>
    </format>
    <format dxfId="644">
      <pivotArea dataOnly="0" labelOnly="1" fieldPosition="0">
        <references count="1">
          <reference field="9" count="1">
            <x v="2"/>
          </reference>
        </references>
      </pivotArea>
    </format>
    <format dxfId="643">
      <pivotArea field="9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642">
      <pivotArea field="9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641">
      <pivotArea field="9" dataOnly="0" labelOnly="1" grandCol="1" outline="0" axis="axisCol" fieldPosition="0">
        <references count="1">
          <reference field="4294967294" count="1" selected="0">
            <x v="2"/>
          </reference>
        </references>
      </pivotArea>
    </format>
    <format dxfId="640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9" count="1" selected="0">
            <x v="2"/>
          </reference>
        </references>
      </pivotArea>
    </format>
    <format dxfId="639">
      <pivotArea type="all" dataOnly="0" outline="0" fieldPosition="0"/>
    </format>
    <format dxfId="638">
      <pivotArea outline="0" collapsedLevelsAreSubtotals="1" fieldPosition="0"/>
    </format>
    <format dxfId="637">
      <pivotArea field="9" type="button" dataOnly="0" labelOnly="1" outline="0" axis="axisCol" fieldPosition="0"/>
    </format>
    <format dxfId="636">
      <pivotArea field="-2" type="button" dataOnly="0" labelOnly="1" outline="0" axis="axisCol" fieldPosition="1"/>
    </format>
    <format dxfId="635">
      <pivotArea type="topRight" dataOnly="0" labelOnly="1" outline="0" fieldPosition="0"/>
    </format>
    <format dxfId="634">
      <pivotArea dataOnly="0" labelOnly="1" fieldPosition="0">
        <references count="2">
          <reference field="1" count="1" selected="0">
            <x v="3"/>
          </reference>
          <reference field="7" count="6">
            <x v="0"/>
            <x v="1"/>
            <x v="2"/>
            <x v="3"/>
            <x v="4"/>
            <x v="5"/>
          </reference>
        </references>
      </pivotArea>
    </format>
    <format dxfId="633">
      <pivotArea dataOnly="0" labelOnly="1" fieldPosition="0">
        <references count="1">
          <reference field="9" count="1">
            <x v="2"/>
          </reference>
        </references>
      </pivotArea>
    </format>
    <format dxfId="632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9" count="1" selected="0">
            <x v="2"/>
          </reference>
        </references>
      </pivotArea>
    </format>
    <format dxfId="631">
      <pivotArea outline="0" collapsedLevelsAreSubtotals="1" fieldPosition="0"/>
    </format>
    <format dxfId="630">
      <pivotArea dataOnly="0" labelOnly="1" outline="0" fieldPosition="0">
        <references count="1">
          <reference field="8" count="1">
            <x v="0"/>
          </reference>
        </references>
      </pivotArea>
    </format>
    <format dxfId="629">
      <pivotArea field="9" type="button" dataOnly="0" labelOnly="1" outline="0" axis="axisCol" fieldPosition="0"/>
    </format>
    <format dxfId="628">
      <pivotArea field="-2" type="button" dataOnly="0" labelOnly="1" outline="0" axis="axisCol" fieldPosition="1"/>
    </format>
    <format dxfId="627">
      <pivotArea type="topRight" dataOnly="0" labelOnly="1" outline="0" fieldPosition="0"/>
    </format>
    <format dxfId="626">
      <pivotArea dataOnly="0" labelOnly="1" fieldPosition="0">
        <references count="1">
          <reference field="9" count="1">
            <x v="2"/>
          </reference>
        </references>
      </pivotArea>
    </format>
    <format dxfId="625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9" count="1" selected="0">
            <x v="2"/>
          </reference>
        </references>
      </pivotArea>
    </format>
    <format dxfId="624">
      <pivotArea outline="0" collapsedLevelsAreSubtotals="1" fieldPosition="0"/>
    </format>
    <format dxfId="623">
      <pivotArea dataOnly="0" labelOnly="1" outline="0" fieldPosition="0">
        <references count="1">
          <reference field="8" count="1">
            <x v="0"/>
          </reference>
        </references>
      </pivotArea>
    </format>
    <format dxfId="622">
      <pivotArea field="9" type="button" dataOnly="0" labelOnly="1" outline="0" axis="axisCol" fieldPosition="0"/>
    </format>
    <format dxfId="621">
      <pivotArea field="-2" type="button" dataOnly="0" labelOnly="1" outline="0" axis="axisCol" fieldPosition="1"/>
    </format>
    <format dxfId="620">
      <pivotArea type="topRight" dataOnly="0" labelOnly="1" outline="0" fieldPosition="0"/>
    </format>
    <format dxfId="619">
      <pivotArea dataOnly="0" labelOnly="1" fieldPosition="0">
        <references count="1">
          <reference field="9" count="1">
            <x v="2"/>
          </reference>
        </references>
      </pivotArea>
    </format>
    <format dxfId="618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9" count="1" selected="0">
            <x v="2"/>
          </reference>
        </references>
      </pivotArea>
    </format>
    <format dxfId="617">
      <pivotArea outline="0" collapsedLevelsAreSubtotals="1" fieldPosition="0"/>
    </format>
    <format dxfId="616">
      <pivotArea dataOnly="0" labelOnly="1" outline="0" fieldPosition="0">
        <references count="1">
          <reference field="8" count="1">
            <x v="0"/>
          </reference>
        </references>
      </pivotArea>
    </format>
    <format dxfId="615">
      <pivotArea field="9" type="button" dataOnly="0" labelOnly="1" outline="0" axis="axisCol" fieldPosition="0"/>
    </format>
    <format dxfId="614">
      <pivotArea field="-2" type="button" dataOnly="0" labelOnly="1" outline="0" axis="axisCol" fieldPosition="1"/>
    </format>
    <format dxfId="613">
      <pivotArea type="topRight" dataOnly="0" labelOnly="1" outline="0" fieldPosition="0"/>
    </format>
    <format dxfId="612">
      <pivotArea dataOnly="0" labelOnly="1" fieldPosition="0">
        <references count="1">
          <reference field="9" count="1">
            <x v="2"/>
          </reference>
        </references>
      </pivotArea>
    </format>
    <format dxfId="611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9" count="1" selected="0">
            <x v="2"/>
          </reference>
        </references>
      </pivotArea>
    </format>
    <format dxfId="610">
      <pivotArea type="all" dataOnly="0" outline="0" fieldPosition="0"/>
    </format>
    <format dxfId="609">
      <pivotArea outline="0" collapsedLevelsAreSubtotals="1" fieldPosition="0"/>
    </format>
    <format dxfId="608">
      <pivotArea type="origin" dataOnly="0" labelOnly="1" outline="0" fieldPosition="0"/>
    </format>
    <format dxfId="607">
      <pivotArea field="9" type="button" dataOnly="0" labelOnly="1" outline="0" axis="axisCol" fieldPosition="0"/>
    </format>
    <format dxfId="606">
      <pivotArea field="-2" type="button" dataOnly="0" labelOnly="1" outline="0" axis="axisCol" fieldPosition="1"/>
    </format>
    <format dxfId="605">
      <pivotArea type="topRight" dataOnly="0" labelOnly="1" outline="0" fieldPosition="0"/>
    </format>
    <format dxfId="604">
      <pivotArea field="1" type="button" dataOnly="0" labelOnly="1" outline="0" axis="axisRow" fieldPosition="0"/>
    </format>
    <format dxfId="603">
      <pivotArea dataOnly="0" labelOnly="1" fieldPosition="0">
        <references count="1">
          <reference field="1" count="7">
            <x v="3"/>
            <x v="24"/>
            <x v="30"/>
            <x v="31"/>
            <x v="41"/>
            <x v="43"/>
            <x v="52"/>
          </reference>
        </references>
      </pivotArea>
    </format>
    <format dxfId="602">
      <pivotArea dataOnly="0" labelOnly="1" fieldPosition="0">
        <references count="1">
          <reference field="1" count="7" defaultSubtotal="1">
            <x v="3"/>
            <x v="24"/>
            <x v="30"/>
            <x v="31"/>
            <x v="41"/>
            <x v="43"/>
            <x v="52"/>
          </reference>
        </references>
      </pivotArea>
    </format>
    <format dxfId="601">
      <pivotArea dataOnly="0" labelOnly="1" grandRow="1" outline="0" fieldPosition="0"/>
    </format>
    <format dxfId="600">
      <pivotArea dataOnly="0" labelOnly="1" fieldPosition="0">
        <references count="2">
          <reference field="1" count="1" selected="0">
            <x v="3"/>
          </reference>
          <reference field="7" count="1">
            <x v="0"/>
          </reference>
        </references>
      </pivotArea>
    </format>
    <format dxfId="599">
      <pivotArea dataOnly="0" labelOnly="1" fieldPosition="0">
        <references count="2">
          <reference field="1" count="1" selected="0">
            <x v="24"/>
          </reference>
          <reference field="7" count="4">
            <x v="0"/>
            <x v="2"/>
            <x v="3"/>
            <x v="5"/>
          </reference>
        </references>
      </pivotArea>
    </format>
    <format dxfId="598">
      <pivotArea type="origin" dataOnly="0" labelOnly="1" outline="0" fieldPosition="0"/>
    </format>
    <format dxfId="597">
      <pivotArea dataOnly="0" labelOnly="1" fieldPosition="0">
        <references count="2">
          <reference field="1" count="1" selected="0">
            <x v="30"/>
          </reference>
          <reference field="7" count="1">
            <x v="0"/>
          </reference>
        </references>
      </pivotArea>
    </format>
    <format dxfId="596">
      <pivotArea dataOnly="0" labelOnly="1" fieldPosition="0">
        <references count="2">
          <reference field="1" count="1" selected="0">
            <x v="31"/>
          </reference>
          <reference field="7" count="3">
            <x v="0"/>
            <x v="2"/>
            <x v="3"/>
          </reference>
        </references>
      </pivotArea>
    </format>
    <format dxfId="595">
      <pivotArea dataOnly="0" labelOnly="1" fieldPosition="0">
        <references count="2">
          <reference field="1" count="1" selected="0">
            <x v="41"/>
          </reference>
          <reference field="7" count="1">
            <x v="0"/>
          </reference>
        </references>
      </pivotArea>
    </format>
    <format dxfId="594">
      <pivotArea field="1" type="button" dataOnly="0" labelOnly="1" outline="0" axis="axisRow" fieldPosition="0"/>
    </format>
    <format dxfId="593">
      <pivotArea dataOnly="0" labelOnly="1" fieldPosition="0">
        <references count="1">
          <reference field="1" count="7">
            <x v="3"/>
            <x v="24"/>
            <x v="30"/>
            <x v="31"/>
            <x v="41"/>
            <x v="43"/>
            <x v="52"/>
          </reference>
        </references>
      </pivotArea>
    </format>
    <format dxfId="592">
      <pivotArea dataOnly="0" labelOnly="1" fieldPosition="0">
        <references count="1">
          <reference field="1" count="7" defaultSubtotal="1">
            <x v="3"/>
            <x v="24"/>
            <x v="30"/>
            <x v="31"/>
            <x v="41"/>
            <x v="43"/>
            <x v="52"/>
          </reference>
        </references>
      </pivotArea>
    </format>
    <format dxfId="591">
      <pivotArea dataOnly="0" labelOnly="1" grandRow="1" outline="0" fieldPosition="0"/>
    </format>
    <format dxfId="590">
      <pivotArea dataOnly="0" labelOnly="1" fieldPosition="0">
        <references count="2">
          <reference field="1" count="1" selected="0">
            <x v="43"/>
          </reference>
          <reference field="7" count="3">
            <x v="0"/>
            <x v="2"/>
            <x v="3"/>
          </reference>
        </references>
      </pivotArea>
    </format>
    <format dxfId="589">
      <pivotArea dataOnly="0" labelOnly="1" fieldPosition="0">
        <references count="2">
          <reference field="1" count="1" selected="0">
            <x v="24"/>
          </reference>
          <reference field="7" count="4">
            <x v="0"/>
            <x v="2"/>
            <x v="3"/>
            <x v="5"/>
          </reference>
        </references>
      </pivotArea>
    </format>
    <format dxfId="588">
      <pivotArea dataOnly="0" labelOnly="1" fieldPosition="0">
        <references count="2">
          <reference field="1" count="1" selected="0">
            <x v="30"/>
          </reference>
          <reference field="7" count="1">
            <x v="0"/>
          </reference>
        </references>
      </pivotArea>
    </format>
    <format dxfId="587">
      <pivotArea dataOnly="0" labelOnly="1" fieldPosition="0">
        <references count="2">
          <reference field="1" count="1" selected="0">
            <x v="31"/>
          </reference>
          <reference field="7" count="3">
            <x v="0"/>
            <x v="2"/>
            <x v="3"/>
          </reference>
        </references>
      </pivotArea>
    </format>
    <format dxfId="586">
      <pivotArea dataOnly="0" labelOnly="1" fieldPosition="0">
        <references count="2">
          <reference field="1" count="1" selected="0">
            <x v="41"/>
          </reference>
          <reference field="7" count="1">
            <x v="0"/>
          </reference>
        </references>
      </pivotArea>
    </format>
    <format dxfId="585">
      <pivotArea dataOnly="0" labelOnly="1" fieldPosition="0">
        <references count="2">
          <reference field="1" count="1" selected="0">
            <x v="43"/>
          </reference>
          <reference field="7" count="3">
            <x v="0"/>
            <x v="2"/>
            <x v="3"/>
          </reference>
        </references>
      </pivotArea>
    </format>
    <format dxfId="584">
      <pivotArea dataOnly="0" labelOnly="1" fieldPosition="0">
        <references count="2">
          <reference field="1" count="1" selected="0">
            <x v="52"/>
          </reference>
          <reference field="7" count="2">
            <x v="0"/>
            <x v="1"/>
          </reference>
        </references>
      </pivotArea>
    </format>
    <format dxfId="583">
      <pivotArea dataOnly="0" labelOnly="1" fieldPosition="0">
        <references count="2">
          <reference field="1" count="1" selected="0">
            <x v="52"/>
          </reference>
          <reference field="7" count="2">
            <x v="0"/>
            <x v="1"/>
          </reference>
        </references>
      </pivotArea>
    </format>
    <format dxfId="582">
      <pivotArea dataOnly="0" labelOnly="1" fieldPosition="0">
        <references count="1">
          <reference field="9" count="1">
            <x v="2"/>
          </reference>
        </references>
      </pivotArea>
    </format>
    <format dxfId="581">
      <pivotArea field="9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580">
      <pivotArea field="9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579">
      <pivotArea field="9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578">
      <pivotArea field="9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577">
      <pivotArea field="9" dataOnly="0" labelOnly="1" grandCol="1" outline="0" axis="axisCol" fieldPosition="0">
        <references count="1">
          <reference field="4294967294" count="1" selected="0">
            <x v="2"/>
          </reference>
        </references>
      </pivotArea>
    </format>
    <format dxfId="576">
      <pivotArea field="9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575">
      <pivotArea field="9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574">
      <pivotArea field="9" dataOnly="0" labelOnly="1" grandCol="1" outline="0" axis="axisCol" fieldPosition="0">
        <references count="1">
          <reference field="4294967294" count="1" selected="0">
            <x v="2"/>
          </reference>
        </references>
      </pivotArea>
    </format>
    <format dxfId="573">
      <pivotArea field="9" dataOnly="0" labelOnly="1" grandCol="1" outline="0" axis="axisCol" fieldPosition="0">
        <references count="1">
          <reference field="4294967294" count="1" selected="0">
            <x v="2"/>
          </reference>
        </references>
      </pivotArea>
    </format>
    <format dxfId="572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9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0A000000}" name="PivotTable1" cacheId="1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6" indent="0" outline="1" outlineData="1" multipleFieldFilters="0">
  <location ref="N3:P67" firstHeaderRow="1" firstDataRow="2" firstDataCol="1" rowPageCount="1" colPageCount="1"/>
  <pivotFields count="18">
    <pivotField showAll="0"/>
    <pivotField axis="axisRow" showAll="0" sortType="ascending">
      <items count="65">
        <item m="1" x="63"/>
        <item x="6"/>
        <item x="7"/>
        <item x="5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"/>
        <item x="28"/>
        <item x="29"/>
        <item x="30"/>
        <item x="4"/>
        <item x="31"/>
        <item x="0"/>
        <item x="32"/>
        <item x="33"/>
        <item x="34"/>
        <item x="35"/>
        <item x="36"/>
        <item x="37"/>
        <item x="38"/>
        <item x="39"/>
        <item x="40"/>
        <item x="41"/>
        <item x="3"/>
        <item x="42"/>
        <item x="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t="default"/>
      </items>
    </pivotField>
    <pivotField showAll="0"/>
    <pivotField showAll="0"/>
    <pivotField showAll="0"/>
    <pivotField showAll="0"/>
    <pivotField showAll="0"/>
    <pivotField axis="axisPage" multipleItemSelectionAllowed="1" showAll="0">
      <items count="22">
        <item x="1"/>
        <item x="12"/>
        <item x="9"/>
        <item x="10"/>
        <item x="13"/>
        <item x="15"/>
        <item h="1" x="5"/>
        <item m="1" x="18"/>
        <item x="8"/>
        <item h="1" x="3"/>
        <item h="1" x="7"/>
        <item m="1" x="20"/>
        <item h="1" x="4"/>
        <item x="6"/>
        <item x="2"/>
        <item x="14"/>
        <item m="1" x="17"/>
        <item x="11"/>
        <item h="1" x="0"/>
        <item h="1" x="16"/>
        <item m="1" x="19"/>
        <item t="default"/>
      </items>
    </pivotField>
    <pivotField showAll="0"/>
    <pivotField axis="axisCol" multipleItemSelectionAllowed="1" showAll="0">
      <items count="7">
        <item x="1"/>
        <item x="2"/>
        <item h="1" x="0"/>
        <item h="1" x="3"/>
        <item h="1" x="4"/>
        <item h="1" m="1" x="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</pivotFields>
  <rowFields count="1">
    <field x="1"/>
  </rowFields>
  <rowItems count="6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 t="grand">
      <x/>
    </i>
  </rowItems>
  <colFields count="1">
    <field x="9"/>
  </colFields>
  <colItems count="2">
    <i>
      <x/>
    </i>
    <i>
      <x v="1"/>
    </i>
  </colItems>
  <pageFields count="1">
    <pageField fld="7" hier="-1"/>
  </pageFields>
  <dataFields count="1">
    <dataField name="Sum of Unique Billed Hours" fld="16" showDataAs="percentOfCol" baseField="1" baseItem="2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0B000000}" name="PivotTable7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3:E19" firstHeaderRow="0" firstDataRow="1" firstDataCol="1" rowPageCount="1" colPageCount="1"/>
  <pivotFields count="11">
    <pivotField showAll="0"/>
    <pivotField showAll="0"/>
    <pivotField axis="axisRow" showAll="0" sortType="ascending">
      <items count="67">
        <item m="1" x="64"/>
        <item x="6"/>
        <item x="7"/>
        <item x="8"/>
        <item x="9"/>
        <item x="10"/>
        <item x="11"/>
        <item x="12"/>
        <item x="13"/>
        <item x="14"/>
        <item m="1" x="63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1"/>
        <item x="29"/>
        <item x="30"/>
        <item m="1" x="65"/>
        <item x="31"/>
        <item x="5"/>
        <item x="32"/>
        <item x="3"/>
        <item x="33"/>
        <item x="34"/>
        <item x="35"/>
        <item x="36"/>
        <item x="37"/>
        <item x="38"/>
        <item x="39"/>
        <item x="40"/>
        <item x="41"/>
        <item x="42"/>
        <item x="2"/>
        <item x="43"/>
        <item x="4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0"/>
        <item t="default"/>
      </items>
    </pivotField>
    <pivotField showAll="0"/>
    <pivotField showAll="0"/>
    <pivotField axis="axisPage" multipleItemSelectionAllowed="1" showAll="0">
      <items count="5">
        <item x="1"/>
        <item h="1" x="0"/>
        <item h="1" x="2"/>
        <item h="1" m="1" x="3"/>
        <item t="default"/>
      </items>
    </pivotField>
    <pivotField dataField="1" showAll="0"/>
    <pivotField dataField="1" showAll="0"/>
    <pivotField dataField="1" showAll="0"/>
    <pivotField dataField="1" showAll="0"/>
    <pivotField dragToRow="0" dragToCol="0" dragToPage="0" showAll="0" defaultSubtotal="0"/>
  </pivotFields>
  <rowFields count="1">
    <field x="2"/>
  </rowFields>
  <rowItems count="16">
    <i>
      <x v="1"/>
    </i>
    <i>
      <x v="3"/>
    </i>
    <i>
      <x v="12"/>
    </i>
    <i>
      <x v="25"/>
    </i>
    <i>
      <x v="31"/>
    </i>
    <i>
      <x v="32"/>
    </i>
    <i>
      <x v="33"/>
    </i>
    <i>
      <x v="38"/>
    </i>
    <i>
      <x v="43"/>
    </i>
    <i>
      <x v="44"/>
    </i>
    <i>
      <x v="45"/>
    </i>
    <i>
      <x v="48"/>
    </i>
    <i>
      <x v="49"/>
    </i>
    <i>
      <x v="54"/>
    </i>
    <i>
      <x v="6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5" hier="-1"/>
  </pageFields>
  <dataFields count="4">
    <dataField name="Sum of Employees as of 1/1" fld="6" baseField="0" baseItem="0"/>
    <dataField name="Sum of Employees Retained  as of 12/31 Who were employed on 1/1" fld="7" baseField="0" baseItem="0"/>
    <dataField name="Sum of Employees Hired between  1/1 -12/31" fld="8" baseField="0" baseItem="0"/>
    <dataField name="Sum of Employees Separated from Entity During The Year" fld="9" baseField="0" baseItem="0"/>
  </dataFields>
  <formats count="22">
    <format dxfId="559">
      <pivotArea dataOnly="0" fieldPosition="0">
        <references count="1">
          <reference field="2" count="1">
            <x v="32"/>
          </reference>
        </references>
      </pivotArea>
    </format>
    <format dxfId="558">
      <pivotArea dataOnly="0" fieldPosition="0">
        <references count="1">
          <reference field="2" count="1">
            <x v="45"/>
          </reference>
        </references>
      </pivotArea>
    </format>
    <format dxfId="557">
      <pivotArea collapsedLevelsAreSubtotals="1" fieldPosition="0">
        <references count="1">
          <reference field="2" count="1">
            <x v="33"/>
          </reference>
        </references>
      </pivotArea>
    </format>
    <format dxfId="556">
      <pivotArea dataOnly="0" labelOnly="1" fieldPosition="0">
        <references count="1">
          <reference field="2" count="1">
            <x v="33"/>
          </reference>
        </references>
      </pivotArea>
    </format>
    <format dxfId="555">
      <pivotArea collapsedLevelsAreSubtotals="1" fieldPosition="0">
        <references count="1">
          <reference field="2" count="1">
            <x v="43"/>
          </reference>
        </references>
      </pivotArea>
    </format>
    <format dxfId="554">
      <pivotArea dataOnly="0" labelOnly="1" fieldPosition="0">
        <references count="1">
          <reference field="2" count="1">
            <x v="43"/>
          </reference>
        </references>
      </pivotArea>
    </format>
    <format dxfId="553">
      <pivotArea collapsedLevelsAreSubtotals="1" fieldPosition="0">
        <references count="1">
          <reference field="2" count="1">
            <x v="25"/>
          </reference>
        </references>
      </pivotArea>
    </format>
    <format dxfId="552">
      <pivotArea dataOnly="0" labelOnly="1" fieldPosition="0">
        <references count="1">
          <reference field="2" count="1">
            <x v="25"/>
          </reference>
        </references>
      </pivotArea>
    </format>
    <format dxfId="551">
      <pivotArea collapsedLevelsAreSubtotals="1" fieldPosition="0">
        <references count="1">
          <reference field="2" count="1">
            <x v="3"/>
          </reference>
        </references>
      </pivotArea>
    </format>
    <format dxfId="550">
      <pivotArea dataOnly="0" labelOnly="1" fieldPosition="0">
        <references count="1">
          <reference field="2" count="1">
            <x v="3"/>
          </reference>
        </references>
      </pivotArea>
    </format>
    <format dxfId="549">
      <pivotArea collapsedLevelsAreSubtotals="1" fieldPosition="0">
        <references count="1">
          <reference field="2" count="1">
            <x v="3"/>
          </reference>
        </references>
      </pivotArea>
    </format>
    <format dxfId="548">
      <pivotArea dataOnly="0" labelOnly="1" fieldPosition="0">
        <references count="1">
          <reference field="2" count="1">
            <x v="3"/>
          </reference>
        </references>
      </pivotArea>
    </format>
    <format dxfId="547">
      <pivotArea collapsedLevelsAreSubtotals="1" fieldPosition="0">
        <references count="1">
          <reference field="2" count="1">
            <x v="25"/>
          </reference>
        </references>
      </pivotArea>
    </format>
    <format dxfId="546">
      <pivotArea dataOnly="0" labelOnly="1" fieldPosition="0">
        <references count="1">
          <reference field="2" count="1">
            <x v="25"/>
          </reference>
        </references>
      </pivotArea>
    </format>
    <format dxfId="545">
      <pivotArea collapsedLevelsAreSubtotals="1" fieldPosition="0">
        <references count="1">
          <reference field="2" count="1">
            <x v="43"/>
          </reference>
        </references>
      </pivotArea>
    </format>
    <format dxfId="544">
      <pivotArea dataOnly="0" labelOnly="1" fieldPosition="0">
        <references count="1">
          <reference field="2" count="1">
            <x v="43"/>
          </reference>
        </references>
      </pivotArea>
    </format>
    <format dxfId="543">
      <pivotArea collapsedLevelsAreSubtotals="1" fieldPosition="0">
        <references count="1">
          <reference field="2" count="1">
            <x v="33"/>
          </reference>
        </references>
      </pivotArea>
    </format>
    <format dxfId="542">
      <pivotArea dataOnly="0" labelOnly="1" fieldPosition="0">
        <references count="1">
          <reference field="2" count="1">
            <x v="33"/>
          </reference>
        </references>
      </pivotArea>
    </format>
    <format dxfId="541">
      <pivotArea collapsedLevelsAreSubtotals="1" fieldPosition="0">
        <references count="1">
          <reference field="2" count="1">
            <x v="45"/>
          </reference>
        </references>
      </pivotArea>
    </format>
    <format dxfId="540">
      <pivotArea dataOnly="0" labelOnly="1" fieldPosition="0">
        <references count="1">
          <reference field="2" count="1">
            <x v="45"/>
          </reference>
        </references>
      </pivotArea>
    </format>
    <format dxfId="539">
      <pivotArea collapsedLevelsAreSubtotals="1" fieldPosition="0">
        <references count="1">
          <reference field="2" count="1">
            <x v="32"/>
          </reference>
        </references>
      </pivotArea>
    </format>
    <format dxfId="538">
      <pivotArea dataOnly="0" labelOnly="1" fieldPosition="0">
        <references count="1">
          <reference field="2" count="1">
            <x v="3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4BAA14-AC9A-4E7E-9F7D-1BF9A355308E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3:E66" firstHeaderRow="0" firstDataRow="1" firstDataCol="1" rowPageCount="1" colPageCount="1"/>
  <pivotFields count="11">
    <pivotField showAll="0"/>
    <pivotField showAll="0"/>
    <pivotField axis="axisRow" showAll="0" sortType="ascending">
      <items count="67">
        <item m="1" x="64"/>
        <item x="6"/>
        <item x="7"/>
        <item x="8"/>
        <item x="9"/>
        <item x="10"/>
        <item x="11"/>
        <item x="12"/>
        <item x="13"/>
        <item x="14"/>
        <item m="1" x="63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1"/>
        <item x="29"/>
        <item x="30"/>
        <item m="1" x="65"/>
        <item x="31"/>
        <item x="5"/>
        <item x="32"/>
        <item x="3"/>
        <item x="33"/>
        <item x="34"/>
        <item x="35"/>
        <item x="36"/>
        <item x="37"/>
        <item x="38"/>
        <item x="39"/>
        <item x="40"/>
        <item x="41"/>
        <item x="42"/>
        <item x="2"/>
        <item x="43"/>
        <item x="4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0"/>
        <item t="default"/>
      </items>
    </pivotField>
    <pivotField showAll="0"/>
    <pivotField showAll="0"/>
    <pivotField axis="axisPage" multipleItemSelectionAllowed="1" showAll="0">
      <items count="5">
        <item x="2"/>
        <item h="1" x="1"/>
        <item h="1" x="0"/>
        <item m="1" x="3"/>
        <item t="default"/>
      </items>
    </pivotField>
    <pivotField dataField="1" showAll="0"/>
    <pivotField dataField="1" showAll="0"/>
    <pivotField dataField="1" showAll="0"/>
    <pivotField dataField="1" showAll="0"/>
    <pivotField dragToRow="0" dragToCol="0" dragToPage="0" showAll="0" defaultSubtotal="0"/>
  </pivotFields>
  <rowFields count="1">
    <field x="2"/>
  </rowFields>
  <rowItems count="6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5" hier="-1"/>
  </pageFields>
  <dataFields count="4">
    <dataField name="Sum of Employees as of 1/1" fld="6" baseField="0" baseItem="0"/>
    <dataField name="Sum of Employees Retained  as of 12/31 Who were employed on 1/1" fld="7" baseField="0" baseItem="0"/>
    <dataField name="Sum of Employees Hired between  1/1 -12/31" fld="8" baseField="0" baseItem="0"/>
    <dataField name="Sum of Employees Separated from Entity During The Year" fld="9" baseField="0" baseItem="0"/>
  </dataFields>
  <formats count="60">
    <format dxfId="537">
      <pivotArea collapsedLevelsAreSubtotals="1" fieldPosition="0">
        <references count="1">
          <reference field="2" count="1">
            <x v="30"/>
          </reference>
        </references>
      </pivotArea>
    </format>
    <format dxfId="536">
      <pivotArea dataOnly="0" labelOnly="1" fieldPosition="0">
        <references count="1">
          <reference field="2" count="1">
            <x v="30"/>
          </reference>
        </references>
      </pivotArea>
    </format>
    <format dxfId="535">
      <pivotArea collapsedLevelsAreSubtotals="1" fieldPosition="0">
        <references count="1">
          <reference field="2" count="1">
            <x v="3"/>
          </reference>
        </references>
      </pivotArea>
    </format>
    <format dxfId="534">
      <pivotArea dataOnly="0" labelOnly="1" fieldPosition="0">
        <references count="1">
          <reference field="2" count="1">
            <x v="3"/>
          </reference>
        </references>
      </pivotArea>
    </format>
    <format dxfId="533">
      <pivotArea collapsedLevelsAreSubtotals="1" fieldPosition="0">
        <references count="1">
          <reference field="2" count="1">
            <x v="15"/>
          </reference>
        </references>
      </pivotArea>
    </format>
    <format dxfId="532">
      <pivotArea dataOnly="0" labelOnly="1" fieldPosition="0">
        <references count="1">
          <reference field="2" count="1">
            <x v="15"/>
          </reference>
        </references>
      </pivotArea>
    </format>
    <format dxfId="531">
      <pivotArea collapsedLevelsAreSubtotals="1" fieldPosition="0">
        <references count="1">
          <reference field="2" count="1">
            <x v="25"/>
          </reference>
        </references>
      </pivotArea>
    </format>
    <format dxfId="530">
      <pivotArea dataOnly="0" labelOnly="1" fieldPosition="0">
        <references count="1">
          <reference field="2" count="1">
            <x v="25"/>
          </reference>
        </references>
      </pivotArea>
    </format>
    <format dxfId="529">
      <pivotArea dataOnly="0" fieldPosition="0">
        <references count="1">
          <reference field="2" count="1">
            <x v="32"/>
          </reference>
        </references>
      </pivotArea>
    </format>
    <format dxfId="528">
      <pivotArea collapsedLevelsAreSubtotals="1" fieldPosition="0">
        <references count="1">
          <reference field="2" count="1">
            <x v="33"/>
          </reference>
        </references>
      </pivotArea>
    </format>
    <format dxfId="527">
      <pivotArea dataOnly="0" labelOnly="1" fieldPosition="0">
        <references count="1">
          <reference field="2" count="1">
            <x v="33"/>
          </reference>
        </references>
      </pivotArea>
    </format>
    <format dxfId="526">
      <pivotArea collapsedLevelsAreSubtotals="1" fieldPosition="0">
        <references count="1">
          <reference field="2" count="1">
            <x v="35"/>
          </reference>
        </references>
      </pivotArea>
    </format>
    <format dxfId="525">
      <pivotArea dataOnly="0" labelOnly="1" fieldPosition="0">
        <references count="1">
          <reference field="2" count="1">
            <x v="35"/>
          </reference>
        </references>
      </pivotArea>
    </format>
    <format dxfId="524">
      <pivotArea collapsedLevelsAreSubtotals="1" fieldPosition="0">
        <references count="1">
          <reference field="2" count="1">
            <x v="42"/>
          </reference>
        </references>
      </pivotArea>
    </format>
    <format dxfId="523">
      <pivotArea dataOnly="0" labelOnly="1" fieldPosition="0">
        <references count="1">
          <reference field="2" count="1">
            <x v="42"/>
          </reference>
        </references>
      </pivotArea>
    </format>
    <format dxfId="522">
      <pivotArea collapsedLevelsAreSubtotals="1" fieldPosition="0">
        <references count="1">
          <reference field="2" count="1">
            <x v="62"/>
          </reference>
        </references>
      </pivotArea>
    </format>
    <format dxfId="521">
      <pivotArea dataOnly="0" labelOnly="1" fieldPosition="0">
        <references count="1">
          <reference field="2" count="1">
            <x v="62"/>
          </reference>
        </references>
      </pivotArea>
    </format>
    <format dxfId="520">
      <pivotArea collapsedLevelsAreSubtotals="1" fieldPosition="0">
        <references count="1">
          <reference field="2" count="1">
            <x v="58"/>
          </reference>
        </references>
      </pivotArea>
    </format>
    <format dxfId="519">
      <pivotArea dataOnly="0" labelOnly="1" fieldPosition="0">
        <references count="1">
          <reference field="2" count="1">
            <x v="58"/>
          </reference>
        </references>
      </pivotArea>
    </format>
    <format dxfId="518">
      <pivotArea collapsedLevelsAreSubtotals="1" fieldPosition="0">
        <references count="1">
          <reference field="2" count="1">
            <x v="43"/>
          </reference>
        </references>
      </pivotArea>
    </format>
    <format dxfId="517">
      <pivotArea dataOnly="0" labelOnly="1" fieldPosition="0">
        <references count="1">
          <reference field="2" count="1">
            <x v="43"/>
          </reference>
        </references>
      </pivotArea>
    </format>
    <format dxfId="516">
      <pivotArea collapsedLevelsAreSubtotals="1" fieldPosition="0">
        <references count="1">
          <reference field="2" count="1">
            <x v="45"/>
          </reference>
        </references>
      </pivotArea>
    </format>
    <format dxfId="515">
      <pivotArea dataOnly="0" labelOnly="1" fieldPosition="0">
        <references count="1">
          <reference field="2" count="1">
            <x v="45"/>
          </reference>
        </references>
      </pivotArea>
    </format>
    <format dxfId="514">
      <pivotArea collapsedLevelsAreSubtotals="1" fieldPosition="0">
        <references count="1">
          <reference field="2" count="1">
            <x v="54"/>
          </reference>
        </references>
      </pivotArea>
    </format>
    <format dxfId="513">
      <pivotArea dataOnly="0" labelOnly="1" fieldPosition="0">
        <references count="1">
          <reference field="2" count="1">
            <x v="54"/>
          </reference>
        </references>
      </pivotArea>
    </format>
    <format dxfId="512">
      <pivotArea collapsedLevelsAreSubtotals="1" fieldPosition="0">
        <references count="1">
          <reference field="2" count="1">
            <x v="50"/>
          </reference>
        </references>
      </pivotArea>
    </format>
    <format dxfId="511">
      <pivotArea dataOnly="0" labelOnly="1" fieldPosition="0">
        <references count="1">
          <reference field="2" count="1">
            <x v="50"/>
          </reference>
        </references>
      </pivotArea>
    </format>
    <format dxfId="510">
      <pivotArea dataOnly="0" fieldPosition="0">
        <references count="1">
          <reference field="2" count="1">
            <x v="46"/>
          </reference>
        </references>
      </pivotArea>
    </format>
    <format dxfId="509">
      <pivotArea collapsedLevelsAreSubtotals="1" fieldPosition="0">
        <references count="1">
          <reference field="2" count="1">
            <x v="30"/>
          </reference>
        </references>
      </pivotArea>
    </format>
    <format dxfId="508">
      <pivotArea dataOnly="0" labelOnly="1" fieldPosition="0">
        <references count="1">
          <reference field="2" count="1">
            <x v="30"/>
          </reference>
        </references>
      </pivotArea>
    </format>
    <format dxfId="507">
      <pivotArea collapsedLevelsAreSubtotals="1" fieldPosition="0">
        <references count="1">
          <reference field="2" count="1">
            <x v="3"/>
          </reference>
        </references>
      </pivotArea>
    </format>
    <format dxfId="506">
      <pivotArea dataOnly="0" labelOnly="1" fieldPosition="0">
        <references count="1">
          <reference field="2" count="1">
            <x v="3"/>
          </reference>
        </references>
      </pivotArea>
    </format>
    <format dxfId="505">
      <pivotArea collapsedLevelsAreSubtotals="1" fieldPosition="0">
        <references count="1">
          <reference field="2" count="1">
            <x v="15"/>
          </reference>
        </references>
      </pivotArea>
    </format>
    <format dxfId="504">
      <pivotArea dataOnly="0" labelOnly="1" fieldPosition="0">
        <references count="1">
          <reference field="2" count="1">
            <x v="15"/>
          </reference>
        </references>
      </pivotArea>
    </format>
    <format dxfId="503">
      <pivotArea collapsedLevelsAreSubtotals="1" fieldPosition="0">
        <references count="1">
          <reference field="2" count="1">
            <x v="25"/>
          </reference>
        </references>
      </pivotArea>
    </format>
    <format dxfId="502">
      <pivotArea dataOnly="0" labelOnly="1" fieldPosition="0">
        <references count="1">
          <reference field="2" count="1">
            <x v="25"/>
          </reference>
        </references>
      </pivotArea>
    </format>
    <format dxfId="501">
      <pivotArea collapsedLevelsAreSubtotals="1" fieldPosition="0">
        <references count="1">
          <reference field="2" count="1">
            <x v="32"/>
          </reference>
        </references>
      </pivotArea>
    </format>
    <format dxfId="500">
      <pivotArea dataOnly="0" labelOnly="1" fieldPosition="0">
        <references count="1">
          <reference field="2" count="1">
            <x v="32"/>
          </reference>
        </references>
      </pivotArea>
    </format>
    <format dxfId="499">
      <pivotArea collapsedLevelsAreSubtotals="1" fieldPosition="0">
        <references count="1">
          <reference field="2" count="1">
            <x v="33"/>
          </reference>
        </references>
      </pivotArea>
    </format>
    <format dxfId="498">
      <pivotArea dataOnly="0" labelOnly="1" fieldPosition="0">
        <references count="1">
          <reference field="2" count="1">
            <x v="33"/>
          </reference>
        </references>
      </pivotArea>
    </format>
    <format dxfId="497">
      <pivotArea collapsedLevelsAreSubtotals="1" fieldPosition="0">
        <references count="1">
          <reference field="2" count="1">
            <x v="35"/>
          </reference>
        </references>
      </pivotArea>
    </format>
    <format dxfId="496">
      <pivotArea dataOnly="0" labelOnly="1" fieldPosition="0">
        <references count="1">
          <reference field="2" count="1">
            <x v="35"/>
          </reference>
        </references>
      </pivotArea>
    </format>
    <format dxfId="495">
      <pivotArea collapsedLevelsAreSubtotals="1" fieldPosition="0">
        <references count="1">
          <reference field="2" count="1">
            <x v="42"/>
          </reference>
        </references>
      </pivotArea>
    </format>
    <format dxfId="494">
      <pivotArea dataOnly="0" labelOnly="1" fieldPosition="0">
        <references count="1">
          <reference field="2" count="1">
            <x v="42"/>
          </reference>
        </references>
      </pivotArea>
    </format>
    <format dxfId="493">
      <pivotArea collapsedLevelsAreSubtotals="1" fieldPosition="0">
        <references count="1">
          <reference field="2" count="1">
            <x v="62"/>
          </reference>
        </references>
      </pivotArea>
    </format>
    <format dxfId="492">
      <pivotArea dataOnly="0" labelOnly="1" fieldPosition="0">
        <references count="1">
          <reference field="2" count="1">
            <x v="62"/>
          </reference>
        </references>
      </pivotArea>
    </format>
    <format dxfId="491">
      <pivotArea collapsedLevelsAreSubtotals="1" fieldPosition="0">
        <references count="1">
          <reference field="2" count="1">
            <x v="58"/>
          </reference>
        </references>
      </pivotArea>
    </format>
    <format dxfId="490">
      <pivotArea dataOnly="0" labelOnly="1" fieldPosition="0">
        <references count="1">
          <reference field="2" count="1">
            <x v="58"/>
          </reference>
        </references>
      </pivotArea>
    </format>
    <format dxfId="489">
      <pivotArea collapsedLevelsAreSubtotals="1" fieldPosition="0">
        <references count="1">
          <reference field="2" count="1">
            <x v="43"/>
          </reference>
        </references>
      </pivotArea>
    </format>
    <format dxfId="488">
      <pivotArea dataOnly="0" labelOnly="1" fieldPosition="0">
        <references count="1">
          <reference field="2" count="1">
            <x v="43"/>
          </reference>
        </references>
      </pivotArea>
    </format>
    <format dxfId="487">
      <pivotArea collapsedLevelsAreSubtotals="1" fieldPosition="0">
        <references count="1">
          <reference field="2" count="1">
            <x v="45"/>
          </reference>
        </references>
      </pivotArea>
    </format>
    <format dxfId="486">
      <pivotArea dataOnly="0" labelOnly="1" fieldPosition="0">
        <references count="1">
          <reference field="2" count="1">
            <x v="45"/>
          </reference>
        </references>
      </pivotArea>
    </format>
    <format dxfId="485">
      <pivotArea collapsedLevelsAreSubtotals="1" fieldPosition="0">
        <references count="1">
          <reference field="2" count="1">
            <x v="54"/>
          </reference>
        </references>
      </pivotArea>
    </format>
    <format dxfId="484">
      <pivotArea dataOnly="0" labelOnly="1" fieldPosition="0">
        <references count="1">
          <reference field="2" count="1">
            <x v="54"/>
          </reference>
        </references>
      </pivotArea>
    </format>
    <format dxfId="483">
      <pivotArea collapsedLevelsAreSubtotals="1" fieldPosition="0">
        <references count="1">
          <reference field="2" count="1">
            <x v="46"/>
          </reference>
        </references>
      </pivotArea>
    </format>
    <format dxfId="482">
      <pivotArea dataOnly="0" labelOnly="1" fieldPosition="0">
        <references count="1">
          <reference field="2" count="1">
            <x v="46"/>
          </reference>
        </references>
      </pivotArea>
    </format>
    <format dxfId="481">
      <pivotArea collapsedLevelsAreSubtotals="1" fieldPosition="0">
        <references count="1">
          <reference field="2" count="1">
            <x v="50"/>
          </reference>
        </references>
      </pivotArea>
    </format>
    <format dxfId="480">
      <pivotArea dataOnly="0" labelOnly="1" fieldPosition="0">
        <references count="1">
          <reference field="2" count="1">
            <x v="50"/>
          </reference>
        </references>
      </pivotArea>
    </format>
    <format dxfId="479">
      <pivotArea field="2" type="button" dataOnly="0" labelOnly="1" outline="0" axis="axisRow" fieldPosition="0"/>
    </format>
    <format dxfId="47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0F000000}" name="PivotTable17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3:B16" firstHeaderRow="1" firstDataRow="1" firstDataCol="1" rowPageCount="1" colPageCount="1"/>
  <pivotFields count="18">
    <pivotField showAll="0"/>
    <pivotField showAll="0"/>
    <pivotField axis="axisRow" showAll="0">
      <items count="67">
        <item x="41"/>
        <item x="5"/>
        <item x="64"/>
        <item x="30"/>
        <item x="10"/>
        <item x="8"/>
        <item x="22"/>
        <item m="1" x="65"/>
        <item x="0"/>
        <item x="1"/>
        <item x="2"/>
        <item x="3"/>
        <item x="4"/>
        <item x="6"/>
        <item x="7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4"/>
        <item x="25"/>
        <item x="26"/>
        <item x="27"/>
        <item x="28"/>
        <item x="29"/>
        <item x="31"/>
        <item x="32"/>
        <item x="33"/>
        <item x="34"/>
        <item x="35"/>
        <item x="36"/>
        <item x="37"/>
        <item x="38"/>
        <item x="39"/>
        <item x="40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t="default"/>
      </items>
    </pivotField>
    <pivotField showAll="0"/>
    <pivotField showAll="0"/>
    <pivotField showAll="0"/>
    <pivotField showAll="0"/>
    <pivotField showAll="0">
      <items count="22">
        <item x="1"/>
        <item x="12"/>
        <item x="9"/>
        <item x="10"/>
        <item x="13"/>
        <item x="15"/>
        <item x="5"/>
        <item m="1" x="18"/>
        <item x="8"/>
        <item x="3"/>
        <item x="7"/>
        <item m="1" x="20"/>
        <item x="4"/>
        <item x="6"/>
        <item x="2"/>
        <item x="14"/>
        <item m="1" x="17"/>
        <item x="11"/>
        <item x="0"/>
        <item x="16"/>
        <item m="1" x="19"/>
        <item t="default"/>
      </items>
    </pivotField>
    <pivotField showAll="0"/>
    <pivotField showAll="0"/>
    <pivotField axis="axisPage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>
      <items count="11">
        <item x="6"/>
        <item x="2"/>
        <item x="4"/>
        <item x="7"/>
        <item x="8"/>
        <item x="5"/>
        <item x="0"/>
        <item x="1"/>
        <item x="3"/>
        <item x="9"/>
        <item t="default"/>
      </items>
    </pivotField>
  </pivotFields>
  <rowFields count="1">
    <field x="2"/>
  </rowFields>
  <rowItems count="13">
    <i>
      <x/>
    </i>
    <i>
      <x v="1"/>
    </i>
    <i>
      <x v="5"/>
    </i>
    <i>
      <x v="8"/>
    </i>
    <i>
      <x v="12"/>
    </i>
    <i>
      <x v="16"/>
    </i>
    <i>
      <x v="29"/>
    </i>
    <i>
      <x v="44"/>
    </i>
    <i>
      <x v="54"/>
    </i>
    <i>
      <x v="56"/>
    </i>
    <i>
      <x v="58"/>
    </i>
    <i>
      <x v="65"/>
    </i>
    <i t="grand">
      <x/>
    </i>
  </rowItems>
  <colItems count="1">
    <i/>
  </colItems>
  <pageFields count="1">
    <pageField fld="10" item="0" hier="-1"/>
  </pageFields>
  <dataFields count="1">
    <dataField name="Sum of Unique Billed Hours" fld="16" showDataAs="percentOfTotal" baseField="2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10000000}" name="PivotTable18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F3:G6" firstHeaderRow="1" firstDataRow="1" firstDataCol="1"/>
  <pivotFields count="18">
    <pivotField showAll="0"/>
    <pivotField showAll="0"/>
    <pivotField showAll="0"/>
    <pivotField showAll="0"/>
    <pivotField showAll="0"/>
    <pivotField showAll="0"/>
    <pivotField showAll="0"/>
    <pivotField showAll="0">
      <items count="22">
        <item x="1"/>
        <item x="12"/>
        <item x="9"/>
        <item x="10"/>
        <item x="13"/>
        <item x="15"/>
        <item x="5"/>
        <item m="1" x="18"/>
        <item x="8"/>
        <item x="3"/>
        <item x="7"/>
        <item m="1" x="20"/>
        <item x="4"/>
        <item x="6"/>
        <item x="2"/>
        <item x="14"/>
        <item m="1" x="17"/>
        <item x="11"/>
        <item x="0"/>
        <item x="16"/>
        <item m="1" x="19"/>
        <item t="default"/>
      </items>
    </pivotField>
    <pivotField showAll="0"/>
    <pivotField showAll="0"/>
    <pivotField axis="axisRow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>
      <items count="11">
        <item x="6"/>
        <item x="2"/>
        <item x="4"/>
        <item x="7"/>
        <item x="8"/>
        <item x="5"/>
        <item x="0"/>
        <item x="1"/>
        <item x="3"/>
        <item x="9"/>
        <item t="default"/>
      </items>
    </pivotField>
  </pivotFields>
  <rowFields count="1">
    <field x="10"/>
  </rowFields>
  <rowItems count="3">
    <i>
      <x/>
    </i>
    <i>
      <x v="1"/>
    </i>
    <i t="grand">
      <x/>
    </i>
  </rowItems>
  <colItems count="1">
    <i/>
  </colItems>
  <dataFields count="1">
    <dataField name="Sum of Unique Billed Hours" fld="16" showDataAs="percentOfTotal" baseField="1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11000000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D3:G7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showAll="0"/>
    <pivotField showAll="0"/>
    <pivotField axis="axisRow" showAll="0">
      <items count="22">
        <item h="1" x="1"/>
        <item h="1" x="10"/>
        <item h="1" x="15"/>
        <item h="1" x="5"/>
        <item h="1" x="8"/>
        <item h="1" x="3"/>
        <item h="1" x="2"/>
        <item h="1" x="11"/>
        <item x="0"/>
        <item h="1" x="16"/>
        <item x="4"/>
        <item h="1" m="1" x="18"/>
        <item h="1" x="6"/>
        <item h="1" m="1" x="20"/>
        <item h="1" x="9"/>
        <item h="1" x="14"/>
        <item h="1" x="7"/>
        <item h="1" m="1" x="17"/>
        <item h="1" x="12"/>
        <item h="1" x="13"/>
        <item h="1" m="1" x="19"/>
        <item t="default"/>
      </items>
    </pivotField>
    <pivotField showAll="0" defaultSubtotal="0"/>
    <pivotField axis="axisPage" showAll="0" defaultSubtotal="0">
      <items count="6">
        <item x="3"/>
        <item x="4"/>
        <item x="0"/>
        <item x="2"/>
        <item x="1"/>
        <item m="1" x="5"/>
      </items>
    </pivotField>
    <pivotField axis="axisCol" showAll="0" defaultSubtotal="0">
      <items count="3">
        <item x="0"/>
        <item x="1"/>
        <item m="1" x="2"/>
      </items>
    </pivotField>
    <pivotField showAll="0"/>
    <pivotField showAll="0"/>
    <pivotField showAll="0"/>
    <pivotField showAll="0"/>
    <pivotField showAll="0"/>
    <pivotField dataField="1" showAll="0"/>
    <pivotField showAll="0">
      <items count="11">
        <item x="6"/>
        <item x="2"/>
        <item x="7"/>
        <item x="8"/>
        <item x="1"/>
        <item x="3"/>
        <item x="0"/>
        <item x="4"/>
        <item x="5"/>
        <item x="9"/>
        <item t="default"/>
      </items>
    </pivotField>
  </pivotFields>
  <rowFields count="1">
    <field x="7"/>
  </rowFields>
  <rowItems count="3">
    <i>
      <x v="8"/>
    </i>
    <i>
      <x v="10"/>
    </i>
    <i t="grand">
      <x/>
    </i>
  </rowItems>
  <colFields count="1">
    <field x="10"/>
  </colFields>
  <colItems count="3">
    <i>
      <x/>
    </i>
    <i>
      <x v="1"/>
    </i>
    <i t="grand">
      <x/>
    </i>
  </colItems>
  <pageFields count="1">
    <pageField fld="9" item="2" hier="-1"/>
  </pageFields>
  <dataFields count="1">
    <dataField name="Sum of Unique Billed Hours" fld="16" showDataAs="percentOfTotal" baseField="9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12000000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3:B9" firstHeaderRow="1" firstDataRow="1" firstDataCol="1"/>
  <pivotFields count="18">
    <pivotField showAll="0"/>
    <pivotField showAll="0"/>
    <pivotField showAll="0"/>
    <pivotField showAll="0"/>
    <pivotField showAll="0"/>
    <pivotField showAll="0"/>
    <pivotField showAll="0"/>
    <pivotField showAll="0">
      <items count="22">
        <item x="1"/>
        <item x="12"/>
        <item x="9"/>
        <item x="10"/>
        <item x="13"/>
        <item x="15"/>
        <item x="5"/>
        <item m="1" x="18"/>
        <item x="8"/>
        <item x="3"/>
        <item x="7"/>
        <item m="1" x="20"/>
        <item x="4"/>
        <item x="6"/>
        <item x="2"/>
        <item x="14"/>
        <item m="1" x="17"/>
        <item x="11"/>
        <item x="0"/>
        <item x="16"/>
        <item m="1" x="19"/>
        <item t="default"/>
      </items>
    </pivotField>
    <pivotField showAll="0" defaultSubtotal="0"/>
    <pivotField axis="axisRow" showAll="0" defaultSubtotal="0">
      <items count="6">
        <item x="3"/>
        <item x="4"/>
        <item x="0"/>
        <item x="2"/>
        <item x="1"/>
        <item m="1" x="5"/>
      </items>
    </pivotField>
    <pivotField showAll="0" defaultSubtotal="0"/>
    <pivotField showAll="0"/>
    <pivotField showAll="0"/>
    <pivotField showAll="0"/>
    <pivotField showAll="0"/>
    <pivotField showAll="0"/>
    <pivotField dataField="1" showAll="0"/>
    <pivotField showAll="0">
      <items count="11">
        <item x="6"/>
        <item x="2"/>
        <item x="4"/>
        <item x="7"/>
        <item x="8"/>
        <item x="5"/>
        <item x="0"/>
        <item x="1"/>
        <item x="3"/>
        <item x="9"/>
        <item t="default"/>
      </items>
    </pivotField>
  </pivotFields>
  <rowFields count="1">
    <field x="9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Unique Billed Hours" fld="16" showDataAs="percentOfTotal" baseField="9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AE0096-51E4-4747-9A37-8FF01A8068CC}" name="PivotTable4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H30:I48" firstHeaderRow="1" firstDataRow="1" firstDataCol="1"/>
  <pivotFields count="18">
    <pivotField showAll="0"/>
    <pivotField showAll="0"/>
    <pivotField showAll="0"/>
    <pivotField showAll="0"/>
    <pivotField showAll="0"/>
    <pivotField showAll="0"/>
    <pivotField showAll="0"/>
    <pivotField axis="axisRow" showAll="0">
      <items count="22">
        <item x="1"/>
        <item x="12"/>
        <item x="9"/>
        <item x="10"/>
        <item x="13"/>
        <item x="15"/>
        <item x="5"/>
        <item m="1" x="18"/>
        <item x="8"/>
        <item x="3"/>
        <item x="7"/>
        <item m="1" x="20"/>
        <item x="4"/>
        <item x="6"/>
        <item x="2"/>
        <item x="14"/>
        <item m="1" x="17"/>
        <item x="11"/>
        <item m="1" x="19"/>
        <item x="0"/>
        <item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 defaultSubtotal="0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</pivotFields>
  <rowFields count="1">
    <field x="7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>
      <x v="12"/>
    </i>
    <i>
      <x v="13"/>
    </i>
    <i>
      <x v="14"/>
    </i>
    <i>
      <x v="15"/>
    </i>
    <i>
      <x v="17"/>
    </i>
    <i>
      <x v="19"/>
    </i>
    <i>
      <x v="20"/>
    </i>
    <i t="grand">
      <x/>
    </i>
  </rowItems>
  <colItems count="1">
    <i/>
  </colItems>
  <dataFields count="1">
    <dataField name="Sum of Unique Billed Hours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5" dT="2023-07-18T17:27:23.88" personId="{1A9FE12E-9DC1-49EF-A470-BC82721D68FE}" id="{7B68E510-2B06-4393-9E19-137BBA437DEE}">
    <text>CHHA</text>
  </threadedComment>
  <threadedComment ref="F5" dT="2023-07-18T17:26:53.92" personId="{1A9FE12E-9DC1-49EF-A470-BC82721D68FE}" id="{98E423C0-147B-43BB-9FBC-E7A69FAEB1BC}">
    <text>VA</text>
  </threadedComment>
  <threadedComment ref="F6" dT="2023-07-18T17:29:08.28" personId="{1A9FE12E-9DC1-49EF-A470-BC82721D68FE}" id="{8C99B0D6-DED3-4483-BA6D-E65D003B5D54}">
    <text>NHTD/PDN/HOSPICE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1.xm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0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4.bin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7.bin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0.bin"/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3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4.bin"/><Relationship Id="rId2" Type="http://schemas.openxmlformats.org/officeDocument/2006/relationships/pivotTable" Target="../pivotTables/pivotTable18.xml"/><Relationship Id="rId1" Type="http://schemas.openxmlformats.org/officeDocument/2006/relationships/pivotTable" Target="../pivotTables/pivotTable1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5.bin"/><Relationship Id="rId2" Type="http://schemas.openxmlformats.org/officeDocument/2006/relationships/pivotTable" Target="../pivotTables/pivotTable20.xml"/><Relationship Id="rId1" Type="http://schemas.openxmlformats.org/officeDocument/2006/relationships/pivotTable" Target="../pivotTables/pivotTable19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6.xml"/><Relationship Id="rId4" Type="http://schemas.openxmlformats.org/officeDocument/2006/relationships/vmlDrawing" Target="../drawings/vmlDrawing6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AE1310"/>
  <sheetViews>
    <sheetView workbookViewId="0">
      <selection activeCell="W1" sqref="W1"/>
    </sheetView>
  </sheetViews>
  <sheetFormatPr defaultColWidth="9.140625" defaultRowHeight="15" x14ac:dyDescent="0.25"/>
  <cols>
    <col min="1" max="1" width="6" style="813" customWidth="1"/>
    <col min="2" max="2" width="10.28515625" style="813" customWidth="1"/>
    <col min="3" max="3" width="27.42578125" style="813" customWidth="1"/>
    <col min="4" max="5" width="4.42578125" style="813" customWidth="1"/>
    <col min="6" max="6" width="18.42578125" style="813" customWidth="1"/>
    <col min="7" max="7" width="11.7109375" style="813" bestFit="1" customWidth="1"/>
    <col min="8" max="8" width="25.140625" style="819" bestFit="1" customWidth="1"/>
    <col min="9" max="9" width="12" style="820" bestFit="1" customWidth="1"/>
    <col min="10" max="10" width="18.140625" style="820" bestFit="1" customWidth="1"/>
    <col min="11" max="11" width="6" style="813" bestFit="1" customWidth="1"/>
    <col min="12" max="12" width="11" style="821" customWidth="1"/>
    <col min="13" max="14" width="11" style="637" customWidth="1"/>
    <col min="15" max="15" width="11" style="821" customWidth="1"/>
    <col min="16" max="16" width="11" style="637" customWidth="1"/>
    <col min="17" max="17" width="11.42578125" style="637" bestFit="1" customWidth="1"/>
    <col min="18" max="18" width="21.42578125" style="813" bestFit="1" customWidth="1"/>
    <col min="19" max="19" width="8.7109375" style="816" bestFit="1" customWidth="1"/>
    <col min="20" max="20" width="9.140625" style="815"/>
    <col min="21" max="21" width="38.42578125" style="730" bestFit="1" customWidth="1"/>
    <col min="22" max="22" width="13.28515625" style="730" bestFit="1" customWidth="1"/>
    <col min="23" max="23" width="25.28515625" style="730" bestFit="1" customWidth="1"/>
    <col min="24" max="24" width="12.140625" style="730" bestFit="1" customWidth="1"/>
    <col min="25" max="16384" width="9.140625" style="730"/>
  </cols>
  <sheetData>
    <row r="1" spans="1:31" x14ac:dyDescent="0.25">
      <c r="A1" s="801" t="s">
        <v>0</v>
      </c>
      <c r="B1" s="801" t="s">
        <v>1</v>
      </c>
      <c r="C1" s="801" t="s">
        <v>2</v>
      </c>
      <c r="D1" s="801" t="s">
        <v>3</v>
      </c>
      <c r="E1" s="801" t="s">
        <v>4</v>
      </c>
      <c r="F1" s="801" t="s">
        <v>5</v>
      </c>
      <c r="G1" s="801" t="s">
        <v>6</v>
      </c>
      <c r="H1" s="802" t="s">
        <v>283</v>
      </c>
      <c r="I1" s="801" t="s">
        <v>163</v>
      </c>
      <c r="J1" s="801" t="s">
        <v>284</v>
      </c>
      <c r="K1" s="801" t="s">
        <v>13</v>
      </c>
      <c r="L1" s="801" t="s">
        <v>7</v>
      </c>
      <c r="M1" s="801" t="s">
        <v>8</v>
      </c>
      <c r="N1" s="803" t="s">
        <v>9</v>
      </c>
      <c r="O1" s="801" t="s">
        <v>10</v>
      </c>
      <c r="P1" s="803" t="s">
        <v>11</v>
      </c>
      <c r="Q1" s="804" t="s">
        <v>12</v>
      </c>
      <c r="R1" s="805" t="s">
        <v>507</v>
      </c>
      <c r="S1" s="729" t="s">
        <v>519</v>
      </c>
      <c r="T1" s="806" t="s">
        <v>535</v>
      </c>
      <c r="U1" s="729" t="s">
        <v>148</v>
      </c>
      <c r="V1" s="729"/>
      <c r="W1" s="729"/>
      <c r="X1" s="729"/>
    </row>
    <row r="2" spans="1:31" x14ac:dyDescent="0.25">
      <c r="A2" s="807">
        <v>1</v>
      </c>
      <c r="B2" s="808" t="s">
        <v>329</v>
      </c>
      <c r="C2" s="807" t="s">
        <v>458</v>
      </c>
      <c r="D2" s="807" t="s">
        <v>13</v>
      </c>
      <c r="E2" s="807" t="s">
        <v>13</v>
      </c>
      <c r="F2" s="807" t="s">
        <v>859</v>
      </c>
      <c r="G2" s="807" t="s">
        <v>860</v>
      </c>
      <c r="H2" s="809" t="s">
        <v>391</v>
      </c>
      <c r="I2" s="810" t="s">
        <v>20</v>
      </c>
      <c r="J2" s="810" t="s">
        <v>16</v>
      </c>
      <c r="K2" s="807" t="s">
        <v>13</v>
      </c>
      <c r="L2" s="811">
        <v>3</v>
      </c>
      <c r="M2" s="812">
        <v>48</v>
      </c>
      <c r="N2" s="812">
        <v>179.25</v>
      </c>
      <c r="O2" s="811">
        <v>2</v>
      </c>
      <c r="P2" s="812">
        <v>10</v>
      </c>
      <c r="Q2" s="812">
        <v>34</v>
      </c>
      <c r="R2" s="813" t="s">
        <v>172</v>
      </c>
      <c r="S2" s="814"/>
      <c r="T2" s="891" t="s">
        <v>172</v>
      </c>
      <c r="U2" s="899" t="s">
        <v>1219</v>
      </c>
      <c r="V2" s="731"/>
      <c r="W2" s="732"/>
      <c r="X2" s="732"/>
    </row>
    <row r="3" spans="1:31" x14ac:dyDescent="0.25">
      <c r="A3" s="807">
        <v>3</v>
      </c>
      <c r="B3" s="808" t="s">
        <v>365</v>
      </c>
      <c r="C3" s="807" t="s">
        <v>861</v>
      </c>
      <c r="D3" s="807" t="s">
        <v>14</v>
      </c>
      <c r="E3" s="807" t="s">
        <v>15</v>
      </c>
      <c r="F3" s="807" t="s">
        <v>862</v>
      </c>
      <c r="G3" s="807" t="s">
        <v>863</v>
      </c>
      <c r="H3" s="809" t="s">
        <v>18</v>
      </c>
      <c r="I3" s="810" t="s">
        <v>15</v>
      </c>
      <c r="J3" s="810" t="s">
        <v>421</v>
      </c>
      <c r="K3" s="807"/>
      <c r="L3" s="811">
        <v>1</v>
      </c>
      <c r="M3" s="812">
        <v>10</v>
      </c>
      <c r="N3" s="812">
        <v>40</v>
      </c>
      <c r="O3" s="811">
        <v>0</v>
      </c>
      <c r="P3" s="812">
        <v>0</v>
      </c>
      <c r="Q3" s="812"/>
      <c r="R3" s="813" t="s">
        <v>172</v>
      </c>
      <c r="T3" s="891" t="s">
        <v>172</v>
      </c>
      <c r="U3" s="900" t="s">
        <v>1220</v>
      </c>
      <c r="V3" s="731"/>
      <c r="W3" s="732"/>
      <c r="X3" s="732"/>
    </row>
    <row r="4" spans="1:31" x14ac:dyDescent="0.25">
      <c r="A4" s="807">
        <v>6</v>
      </c>
      <c r="B4" s="808" t="s">
        <v>367</v>
      </c>
      <c r="C4" s="807" t="s">
        <v>864</v>
      </c>
      <c r="D4" s="807" t="s">
        <v>16</v>
      </c>
      <c r="E4" s="807" t="s">
        <v>15</v>
      </c>
      <c r="F4" s="807" t="s">
        <v>865</v>
      </c>
      <c r="G4" s="807" t="s">
        <v>863</v>
      </c>
      <c r="H4" s="809" t="s">
        <v>18</v>
      </c>
      <c r="I4" s="810" t="s">
        <v>15</v>
      </c>
      <c r="J4" s="810" t="s">
        <v>421</v>
      </c>
      <c r="K4" s="807"/>
      <c r="L4" s="811">
        <v>1</v>
      </c>
      <c r="M4" s="812">
        <v>183</v>
      </c>
      <c r="N4" s="812">
        <v>1528</v>
      </c>
      <c r="O4" s="811">
        <v>1</v>
      </c>
      <c r="P4" s="812">
        <v>183</v>
      </c>
      <c r="Q4" s="812">
        <v>1528</v>
      </c>
      <c r="R4" s="813" t="s">
        <v>172</v>
      </c>
      <c r="T4" s="891" t="s">
        <v>172</v>
      </c>
      <c r="U4" s="900" t="s">
        <v>1220</v>
      </c>
      <c r="V4" s="731"/>
      <c r="W4" s="732"/>
      <c r="X4" s="732"/>
    </row>
    <row r="5" spans="1:31" x14ac:dyDescent="0.25">
      <c r="A5" s="807">
        <v>7</v>
      </c>
      <c r="B5" s="808" t="s">
        <v>367</v>
      </c>
      <c r="C5" s="807" t="s">
        <v>866</v>
      </c>
      <c r="D5" s="807" t="s">
        <v>16</v>
      </c>
      <c r="E5" s="807" t="s">
        <v>14</v>
      </c>
      <c r="F5" s="807" t="s">
        <v>867</v>
      </c>
      <c r="G5" s="807" t="s">
        <v>868</v>
      </c>
      <c r="H5" s="809" t="s">
        <v>35</v>
      </c>
      <c r="I5" s="810" t="s">
        <v>20</v>
      </c>
      <c r="J5" s="810" t="s">
        <v>428</v>
      </c>
      <c r="K5" s="807"/>
      <c r="L5" s="811">
        <v>1</v>
      </c>
      <c r="M5" s="812">
        <v>20</v>
      </c>
      <c r="N5" s="812">
        <v>155</v>
      </c>
      <c r="O5" s="811">
        <v>1</v>
      </c>
      <c r="P5" s="812">
        <v>20</v>
      </c>
      <c r="Q5" s="812">
        <v>155</v>
      </c>
      <c r="R5" s="813" t="s">
        <v>172</v>
      </c>
      <c r="T5" s="891" t="s">
        <v>172</v>
      </c>
      <c r="U5" s="900" t="s">
        <v>1220</v>
      </c>
      <c r="V5" s="892"/>
      <c r="W5" s="893"/>
      <c r="X5" s="893"/>
      <c r="Y5" s="894"/>
    </row>
    <row r="6" spans="1:31" x14ac:dyDescent="0.25">
      <c r="A6" s="807">
        <v>8</v>
      </c>
      <c r="B6" s="808" t="s">
        <v>367</v>
      </c>
      <c r="C6" s="807" t="s">
        <v>866</v>
      </c>
      <c r="D6" s="807" t="s">
        <v>16</v>
      </c>
      <c r="E6" s="807" t="s">
        <v>14</v>
      </c>
      <c r="F6" s="807" t="s">
        <v>869</v>
      </c>
      <c r="G6" s="807"/>
      <c r="H6" s="809" t="s">
        <v>39</v>
      </c>
      <c r="I6" s="810" t="s">
        <v>20</v>
      </c>
      <c r="J6" s="810" t="s">
        <v>428</v>
      </c>
      <c r="K6" s="807"/>
      <c r="L6" s="811">
        <v>1</v>
      </c>
      <c r="M6" s="812">
        <v>1</v>
      </c>
      <c r="N6" s="812">
        <v>1</v>
      </c>
      <c r="O6" s="811">
        <v>1</v>
      </c>
      <c r="P6" s="812">
        <v>1</v>
      </c>
      <c r="Q6" s="812">
        <v>1</v>
      </c>
      <c r="R6" s="806" t="s">
        <v>507</v>
      </c>
      <c r="T6" s="891" t="s">
        <v>172</v>
      </c>
      <c r="U6" s="900" t="s">
        <v>1220</v>
      </c>
      <c r="V6" s="892"/>
      <c r="W6" s="893"/>
      <c r="X6" s="893"/>
      <c r="Y6" s="894"/>
    </row>
    <row r="7" spans="1:31" x14ac:dyDescent="0.25">
      <c r="A7" s="807">
        <v>9</v>
      </c>
      <c r="B7" s="808" t="s">
        <v>339</v>
      </c>
      <c r="C7" s="807" t="s">
        <v>870</v>
      </c>
      <c r="D7" s="807" t="s">
        <v>13</v>
      </c>
      <c r="E7" s="807" t="s">
        <v>13</v>
      </c>
      <c r="F7" s="807" t="s">
        <v>871</v>
      </c>
      <c r="G7" s="807"/>
      <c r="H7" s="809" t="s">
        <v>391</v>
      </c>
      <c r="I7" s="810" t="s">
        <v>20</v>
      </c>
      <c r="J7" s="810" t="s">
        <v>16</v>
      </c>
      <c r="K7" s="807" t="s">
        <v>13</v>
      </c>
      <c r="L7" s="811">
        <v>1</v>
      </c>
      <c r="M7" s="812">
        <v>1</v>
      </c>
      <c r="N7" s="812">
        <v>5</v>
      </c>
      <c r="O7" s="811">
        <v>1</v>
      </c>
      <c r="P7" s="812">
        <v>1</v>
      </c>
      <c r="Q7" s="812">
        <v>5</v>
      </c>
      <c r="R7" s="813" t="s">
        <v>172</v>
      </c>
      <c r="T7" s="891" t="s">
        <v>172</v>
      </c>
      <c r="U7" s="899" t="s">
        <v>1219</v>
      </c>
      <c r="V7" s="892"/>
      <c r="W7" s="893"/>
      <c r="X7" s="893"/>
      <c r="Y7" s="894"/>
      <c r="AE7" s="730" t="s">
        <v>34</v>
      </c>
    </row>
    <row r="8" spans="1:31" x14ac:dyDescent="0.25">
      <c r="A8" s="807">
        <v>10</v>
      </c>
      <c r="B8" s="808" t="s">
        <v>329</v>
      </c>
      <c r="C8" s="807" t="s">
        <v>465</v>
      </c>
      <c r="D8" s="807" t="s">
        <v>13</v>
      </c>
      <c r="E8" s="807" t="s">
        <v>13</v>
      </c>
      <c r="F8" s="807" t="s">
        <v>872</v>
      </c>
      <c r="G8" s="807" t="s">
        <v>873</v>
      </c>
      <c r="H8" s="809" t="s">
        <v>391</v>
      </c>
      <c r="I8" s="810" t="s">
        <v>20</v>
      </c>
      <c r="J8" s="810" t="s">
        <v>16</v>
      </c>
      <c r="K8" s="807" t="s">
        <v>13</v>
      </c>
      <c r="L8" s="811">
        <v>1</v>
      </c>
      <c r="M8" s="812">
        <v>158</v>
      </c>
      <c r="N8" s="812">
        <v>1278</v>
      </c>
      <c r="O8" s="811">
        <v>1</v>
      </c>
      <c r="P8" s="812">
        <v>158</v>
      </c>
      <c r="Q8" s="812">
        <v>1278</v>
      </c>
      <c r="R8" s="813" t="s">
        <v>172</v>
      </c>
      <c r="T8" s="891" t="s">
        <v>172</v>
      </c>
      <c r="U8" s="899" t="s">
        <v>1219</v>
      </c>
      <c r="V8" s="892"/>
      <c r="W8" s="893"/>
      <c r="X8" s="893"/>
      <c r="Y8" s="894"/>
      <c r="AE8" s="730" t="s">
        <v>39</v>
      </c>
    </row>
    <row r="9" spans="1:31" x14ac:dyDescent="0.25">
      <c r="A9" s="807">
        <v>11</v>
      </c>
      <c r="B9" s="808" t="s">
        <v>339</v>
      </c>
      <c r="C9" s="807" t="s">
        <v>874</v>
      </c>
      <c r="D9" s="807" t="s">
        <v>434</v>
      </c>
      <c r="E9" s="807" t="s">
        <v>14</v>
      </c>
      <c r="F9" s="807" t="s">
        <v>875</v>
      </c>
      <c r="G9" s="807"/>
      <c r="H9" s="809" t="s">
        <v>39</v>
      </c>
      <c r="I9" s="810" t="s">
        <v>20</v>
      </c>
      <c r="J9" s="810" t="s">
        <v>428</v>
      </c>
      <c r="K9" s="807"/>
      <c r="L9" s="811">
        <v>1</v>
      </c>
      <c r="M9" s="812">
        <v>2</v>
      </c>
      <c r="N9" s="812">
        <v>2</v>
      </c>
      <c r="O9" s="811">
        <v>1</v>
      </c>
      <c r="P9" s="812">
        <v>2</v>
      </c>
      <c r="Q9" s="812">
        <v>2</v>
      </c>
      <c r="R9" s="806" t="s">
        <v>507</v>
      </c>
      <c r="T9" s="891" t="s">
        <v>172</v>
      </c>
      <c r="U9" s="900" t="s">
        <v>1220</v>
      </c>
      <c r="V9" s="892"/>
      <c r="W9" s="893"/>
      <c r="X9" s="893"/>
      <c r="Y9" s="894"/>
      <c r="AE9" s="730" t="s">
        <v>40</v>
      </c>
    </row>
    <row r="10" spans="1:31" x14ac:dyDescent="0.25">
      <c r="A10" s="807">
        <v>12</v>
      </c>
      <c r="B10" s="808" t="s">
        <v>339</v>
      </c>
      <c r="C10" s="807" t="s">
        <v>874</v>
      </c>
      <c r="D10" s="807" t="s">
        <v>434</v>
      </c>
      <c r="E10" s="807" t="s">
        <v>14</v>
      </c>
      <c r="F10" s="807" t="s">
        <v>868</v>
      </c>
      <c r="G10" s="807" t="s">
        <v>868</v>
      </c>
      <c r="H10" s="809" t="s">
        <v>35</v>
      </c>
      <c r="I10" s="810" t="s">
        <v>20</v>
      </c>
      <c r="J10" s="810" t="s">
        <v>428</v>
      </c>
      <c r="K10" s="807"/>
      <c r="L10" s="811">
        <v>1</v>
      </c>
      <c r="M10" s="812">
        <v>171</v>
      </c>
      <c r="N10" s="812">
        <v>730</v>
      </c>
      <c r="O10" s="811">
        <v>1</v>
      </c>
      <c r="P10" s="812">
        <v>171</v>
      </c>
      <c r="Q10" s="812">
        <v>730</v>
      </c>
      <c r="R10" s="813" t="s">
        <v>172</v>
      </c>
      <c r="T10" s="891" t="s">
        <v>172</v>
      </c>
      <c r="U10" s="900" t="s">
        <v>1220</v>
      </c>
      <c r="V10" s="892"/>
      <c r="W10" s="893"/>
      <c r="X10" s="893"/>
      <c r="Y10" s="894"/>
      <c r="AE10" s="730" t="s">
        <v>41</v>
      </c>
    </row>
    <row r="11" spans="1:31" x14ac:dyDescent="0.25">
      <c r="A11" s="807">
        <v>14</v>
      </c>
      <c r="B11" s="808" t="s">
        <v>285</v>
      </c>
      <c r="C11" s="807" t="s">
        <v>876</v>
      </c>
      <c r="D11" s="807" t="s">
        <v>434</v>
      </c>
      <c r="E11" s="807" t="s">
        <v>15</v>
      </c>
      <c r="F11" s="807" t="s">
        <v>863</v>
      </c>
      <c r="G11" s="807" t="s">
        <v>863</v>
      </c>
      <c r="H11" s="809" t="s">
        <v>18</v>
      </c>
      <c r="I11" s="810" t="s">
        <v>15</v>
      </c>
      <c r="J11" s="810" t="s">
        <v>421</v>
      </c>
      <c r="K11" s="807"/>
      <c r="L11" s="811">
        <v>1</v>
      </c>
      <c r="M11" s="812">
        <v>181</v>
      </c>
      <c r="N11" s="812">
        <v>734</v>
      </c>
      <c r="O11" s="811">
        <v>1</v>
      </c>
      <c r="P11" s="812">
        <v>181</v>
      </c>
      <c r="Q11" s="812">
        <v>734</v>
      </c>
      <c r="R11" s="813" t="s">
        <v>172</v>
      </c>
      <c r="S11" s="814"/>
      <c r="T11" s="891" t="s">
        <v>172</v>
      </c>
      <c r="U11" s="900" t="s">
        <v>1220</v>
      </c>
      <c r="V11" s="892"/>
      <c r="W11" s="893"/>
      <c r="X11" s="893"/>
      <c r="Y11" s="894"/>
      <c r="AE11" s="730" t="s">
        <v>390</v>
      </c>
    </row>
    <row r="12" spans="1:31" x14ac:dyDescent="0.25">
      <c r="A12" s="807">
        <v>15</v>
      </c>
      <c r="B12" s="808" t="s">
        <v>339</v>
      </c>
      <c r="C12" s="807" t="s">
        <v>459</v>
      </c>
      <c r="D12" s="807" t="s">
        <v>13</v>
      </c>
      <c r="E12" s="807" t="s">
        <v>13</v>
      </c>
      <c r="F12" s="807" t="s">
        <v>877</v>
      </c>
      <c r="G12" s="807"/>
      <c r="H12" s="809" t="s">
        <v>391</v>
      </c>
      <c r="I12" s="810" t="s">
        <v>20</v>
      </c>
      <c r="J12" s="810" t="s">
        <v>16</v>
      </c>
      <c r="K12" s="807" t="s">
        <v>13</v>
      </c>
      <c r="L12" s="811">
        <v>4</v>
      </c>
      <c r="M12" s="812">
        <v>128</v>
      </c>
      <c r="N12" s="812">
        <v>603.25</v>
      </c>
      <c r="O12" s="811">
        <v>4</v>
      </c>
      <c r="P12" s="812">
        <v>128</v>
      </c>
      <c r="Q12" s="812">
        <v>603.25</v>
      </c>
      <c r="R12" s="813" t="s">
        <v>172</v>
      </c>
      <c r="T12" s="891" t="s">
        <v>172</v>
      </c>
      <c r="U12" s="899" t="s">
        <v>1219</v>
      </c>
      <c r="V12" s="892"/>
      <c r="W12" s="893"/>
      <c r="X12" s="893"/>
      <c r="Y12" s="894"/>
      <c r="AE12" s="730" t="s">
        <v>391</v>
      </c>
    </row>
    <row r="13" spans="1:31" x14ac:dyDescent="0.25">
      <c r="A13" s="807">
        <v>16</v>
      </c>
      <c r="B13" s="808" t="s">
        <v>339</v>
      </c>
      <c r="C13" s="807" t="s">
        <v>878</v>
      </c>
      <c r="D13" s="807" t="s">
        <v>434</v>
      </c>
      <c r="E13" s="807" t="s">
        <v>244</v>
      </c>
      <c r="F13" s="807" t="s">
        <v>879</v>
      </c>
      <c r="G13" s="807" t="s">
        <v>880</v>
      </c>
      <c r="H13" s="809" t="s">
        <v>390</v>
      </c>
      <c r="I13" s="810" t="s">
        <v>20</v>
      </c>
      <c r="J13" s="810" t="s">
        <v>16</v>
      </c>
      <c r="K13" s="807"/>
      <c r="L13" s="811">
        <v>2</v>
      </c>
      <c r="M13" s="812">
        <v>1033</v>
      </c>
      <c r="N13" s="812">
        <v>12092.25</v>
      </c>
      <c r="O13" s="811">
        <v>2</v>
      </c>
      <c r="P13" s="812">
        <v>1033</v>
      </c>
      <c r="Q13" s="812">
        <v>12092.25</v>
      </c>
      <c r="R13" s="813" t="s">
        <v>172</v>
      </c>
      <c r="T13" s="891" t="s">
        <v>172</v>
      </c>
      <c r="U13" s="899" t="s">
        <v>1219</v>
      </c>
      <c r="V13" s="892"/>
      <c r="W13" s="893"/>
      <c r="X13" s="893"/>
      <c r="Y13" s="894"/>
      <c r="AE13" s="730" t="s">
        <v>374</v>
      </c>
    </row>
    <row r="14" spans="1:31" x14ac:dyDescent="0.25">
      <c r="A14" s="807">
        <v>17</v>
      </c>
      <c r="B14" s="808" t="s">
        <v>305</v>
      </c>
      <c r="C14" s="807" t="s">
        <v>878</v>
      </c>
      <c r="D14" s="807" t="s">
        <v>434</v>
      </c>
      <c r="E14" s="807" t="s">
        <v>244</v>
      </c>
      <c r="F14" s="807" t="s">
        <v>881</v>
      </c>
      <c r="G14" s="807" t="s">
        <v>882</v>
      </c>
      <c r="H14" s="809" t="s">
        <v>390</v>
      </c>
      <c r="I14" s="810" t="s">
        <v>20</v>
      </c>
      <c r="J14" s="810" t="s">
        <v>16</v>
      </c>
      <c r="K14" s="807"/>
      <c r="L14" s="811">
        <v>1</v>
      </c>
      <c r="M14" s="812">
        <v>1</v>
      </c>
      <c r="N14" s="812">
        <v>1</v>
      </c>
      <c r="O14" s="811">
        <v>1</v>
      </c>
      <c r="P14" s="812">
        <v>1</v>
      </c>
      <c r="Q14" s="812">
        <v>1</v>
      </c>
      <c r="T14" s="891" t="s">
        <v>172</v>
      </c>
      <c r="U14" s="899" t="s">
        <v>1219</v>
      </c>
      <c r="V14" s="892"/>
      <c r="W14" s="893"/>
      <c r="X14" s="893"/>
      <c r="Y14" s="894"/>
      <c r="AE14" s="730" t="s">
        <v>18</v>
      </c>
    </row>
    <row r="15" spans="1:31" x14ac:dyDescent="0.25">
      <c r="A15" s="807">
        <v>18</v>
      </c>
      <c r="B15" s="808" t="s">
        <v>339</v>
      </c>
      <c r="C15" s="807" t="s">
        <v>878</v>
      </c>
      <c r="D15" s="807" t="s">
        <v>434</v>
      </c>
      <c r="E15" s="807" t="s">
        <v>244</v>
      </c>
      <c r="F15" s="807" t="s">
        <v>869</v>
      </c>
      <c r="G15" s="807"/>
      <c r="H15" s="809" t="s">
        <v>390</v>
      </c>
      <c r="I15" s="810" t="s">
        <v>20</v>
      </c>
      <c r="J15" s="810" t="s">
        <v>16</v>
      </c>
      <c r="K15" s="807"/>
      <c r="L15" s="811">
        <v>1</v>
      </c>
      <c r="M15" s="812">
        <v>1</v>
      </c>
      <c r="N15" s="812">
        <v>1</v>
      </c>
      <c r="O15" s="811">
        <v>1</v>
      </c>
      <c r="P15" s="812">
        <v>1</v>
      </c>
      <c r="Q15" s="812">
        <v>1</v>
      </c>
      <c r="T15" s="891" t="s">
        <v>172</v>
      </c>
      <c r="U15" s="899" t="s">
        <v>1219</v>
      </c>
      <c r="V15" s="892"/>
      <c r="W15" s="893"/>
      <c r="X15" s="893"/>
      <c r="Y15" s="894"/>
      <c r="AE15" s="730" t="s">
        <v>43</v>
      </c>
    </row>
    <row r="16" spans="1:31" x14ac:dyDescent="0.25">
      <c r="A16" s="807">
        <v>19</v>
      </c>
      <c r="B16" s="808" t="s">
        <v>339</v>
      </c>
      <c r="C16" s="807" t="s">
        <v>878</v>
      </c>
      <c r="D16" s="807" t="s">
        <v>434</v>
      </c>
      <c r="E16" s="807" t="s">
        <v>244</v>
      </c>
      <c r="F16" s="807" t="s">
        <v>883</v>
      </c>
      <c r="G16" s="807" t="s">
        <v>882</v>
      </c>
      <c r="H16" s="809" t="s">
        <v>390</v>
      </c>
      <c r="I16" s="810" t="s">
        <v>20</v>
      </c>
      <c r="J16" s="810" t="s">
        <v>16</v>
      </c>
      <c r="K16" s="807"/>
      <c r="L16" s="811">
        <v>2</v>
      </c>
      <c r="M16" s="812">
        <v>2</v>
      </c>
      <c r="N16" s="812">
        <v>2</v>
      </c>
      <c r="O16" s="811">
        <v>2</v>
      </c>
      <c r="P16" s="812">
        <v>2</v>
      </c>
      <c r="Q16" s="812">
        <v>2</v>
      </c>
      <c r="T16" s="891" t="s">
        <v>172</v>
      </c>
      <c r="U16" s="899" t="s">
        <v>1219</v>
      </c>
      <c r="V16" s="892"/>
      <c r="W16" s="893"/>
      <c r="X16" s="893"/>
      <c r="Y16" s="894"/>
      <c r="AE16" s="730" t="s">
        <v>44</v>
      </c>
    </row>
    <row r="17" spans="1:31" x14ac:dyDescent="0.25">
      <c r="A17" s="807">
        <v>20</v>
      </c>
      <c r="B17" s="808" t="s">
        <v>339</v>
      </c>
      <c r="C17" s="807" t="s">
        <v>248</v>
      </c>
      <c r="D17" s="807" t="s">
        <v>16</v>
      </c>
      <c r="E17" s="807" t="s">
        <v>884</v>
      </c>
      <c r="F17" s="807" t="s">
        <v>885</v>
      </c>
      <c r="G17" s="807"/>
      <c r="H17" s="809" t="s">
        <v>374</v>
      </c>
      <c r="I17" s="810" t="s">
        <v>20</v>
      </c>
      <c r="J17" s="810" t="s">
        <v>248</v>
      </c>
      <c r="K17" s="807"/>
      <c r="L17" s="811">
        <v>1</v>
      </c>
      <c r="M17" s="812">
        <v>5</v>
      </c>
      <c r="N17" s="812">
        <v>22</v>
      </c>
      <c r="O17" s="811">
        <v>1</v>
      </c>
      <c r="P17" s="812">
        <v>5</v>
      </c>
      <c r="Q17" s="812">
        <v>22</v>
      </c>
      <c r="R17" s="813" t="s">
        <v>172</v>
      </c>
      <c r="T17" s="891" t="s">
        <v>172</v>
      </c>
      <c r="U17" s="899" t="s">
        <v>1219</v>
      </c>
      <c r="V17" s="892"/>
      <c r="W17" s="893"/>
      <c r="X17" s="893"/>
      <c r="Y17" s="894"/>
      <c r="AE17" s="730" t="s">
        <v>45</v>
      </c>
    </row>
    <row r="18" spans="1:31" x14ac:dyDescent="0.25">
      <c r="A18" s="807">
        <v>21</v>
      </c>
      <c r="B18" s="808" t="s">
        <v>329</v>
      </c>
      <c r="C18" s="807" t="s">
        <v>491</v>
      </c>
      <c r="D18" s="807" t="s">
        <v>13</v>
      </c>
      <c r="E18" s="807" t="s">
        <v>13</v>
      </c>
      <c r="F18" s="807" t="s">
        <v>877</v>
      </c>
      <c r="G18" s="807" t="s">
        <v>860</v>
      </c>
      <c r="H18" s="809" t="s">
        <v>391</v>
      </c>
      <c r="I18" s="810" t="s">
        <v>20</v>
      </c>
      <c r="J18" s="810" t="s">
        <v>16</v>
      </c>
      <c r="K18" s="807" t="s">
        <v>13</v>
      </c>
      <c r="L18" s="811">
        <v>1</v>
      </c>
      <c r="M18" s="812">
        <v>3</v>
      </c>
      <c r="N18" s="812">
        <v>6</v>
      </c>
      <c r="O18" s="811">
        <v>1</v>
      </c>
      <c r="P18" s="812">
        <v>3</v>
      </c>
      <c r="Q18" s="812">
        <v>6</v>
      </c>
      <c r="R18" s="813" t="s">
        <v>172</v>
      </c>
      <c r="T18" s="891" t="s">
        <v>172</v>
      </c>
      <c r="U18" s="899" t="s">
        <v>1219</v>
      </c>
      <c r="V18" s="892"/>
      <c r="W18" s="893"/>
      <c r="X18" s="893"/>
      <c r="Y18" s="894"/>
      <c r="AE18" s="730" t="s">
        <v>46</v>
      </c>
    </row>
    <row r="19" spans="1:31" x14ac:dyDescent="0.25">
      <c r="A19" s="807">
        <v>22</v>
      </c>
      <c r="B19" s="808" t="s">
        <v>303</v>
      </c>
      <c r="C19" s="807" t="s">
        <v>886</v>
      </c>
      <c r="D19" s="807" t="s">
        <v>495</v>
      </c>
      <c r="E19" s="807" t="s">
        <v>495</v>
      </c>
      <c r="F19" s="807" t="s">
        <v>887</v>
      </c>
      <c r="G19" s="807" t="s">
        <v>868</v>
      </c>
      <c r="H19" s="809" t="s">
        <v>390</v>
      </c>
      <c r="I19" s="810" t="s">
        <v>20</v>
      </c>
      <c r="J19" s="810" t="s">
        <v>16</v>
      </c>
      <c r="K19" s="807"/>
      <c r="L19" s="811">
        <v>7</v>
      </c>
      <c r="M19" s="812">
        <v>42</v>
      </c>
      <c r="N19" s="812">
        <v>181</v>
      </c>
      <c r="O19" s="811">
        <v>7</v>
      </c>
      <c r="P19" s="812">
        <v>42</v>
      </c>
      <c r="Q19" s="812">
        <v>181</v>
      </c>
      <c r="R19" s="813" t="s">
        <v>172</v>
      </c>
      <c r="T19" s="891" t="s">
        <v>172</v>
      </c>
      <c r="U19" s="899" t="s">
        <v>1219</v>
      </c>
      <c r="V19" s="892"/>
      <c r="W19" s="893"/>
      <c r="X19" s="893"/>
      <c r="Y19" s="894"/>
      <c r="AE19" s="730" t="s">
        <v>390</v>
      </c>
    </row>
    <row r="20" spans="1:31" x14ac:dyDescent="0.25">
      <c r="A20" s="807">
        <v>23</v>
      </c>
      <c r="B20" s="808" t="s">
        <v>303</v>
      </c>
      <c r="C20" s="807" t="s">
        <v>886</v>
      </c>
      <c r="D20" s="807" t="s">
        <v>495</v>
      </c>
      <c r="E20" s="807" t="s">
        <v>495</v>
      </c>
      <c r="F20" s="807" t="s">
        <v>888</v>
      </c>
      <c r="G20" s="807" t="s">
        <v>868</v>
      </c>
      <c r="H20" s="809" t="s">
        <v>390</v>
      </c>
      <c r="I20" s="810" t="s">
        <v>20</v>
      </c>
      <c r="J20" s="810" t="s">
        <v>16</v>
      </c>
      <c r="K20" s="807"/>
      <c r="L20" s="811">
        <v>6</v>
      </c>
      <c r="M20" s="812">
        <v>6</v>
      </c>
      <c r="N20" s="812">
        <v>6</v>
      </c>
      <c r="O20" s="811">
        <v>6</v>
      </c>
      <c r="P20" s="812">
        <v>6</v>
      </c>
      <c r="Q20" s="812">
        <v>6</v>
      </c>
      <c r="R20" s="806" t="s">
        <v>507</v>
      </c>
      <c r="T20" s="891" t="s">
        <v>172</v>
      </c>
      <c r="U20" s="899" t="s">
        <v>1219</v>
      </c>
      <c r="V20" s="892"/>
      <c r="W20" s="893"/>
      <c r="X20" s="893"/>
      <c r="Y20" s="894"/>
    </row>
    <row r="21" spans="1:31" x14ac:dyDescent="0.25">
      <c r="A21" s="807">
        <v>24</v>
      </c>
      <c r="B21" s="808" t="s">
        <v>303</v>
      </c>
      <c r="C21" s="807" t="s">
        <v>874</v>
      </c>
      <c r="D21" s="807" t="s">
        <v>434</v>
      </c>
      <c r="E21" s="807" t="s">
        <v>14</v>
      </c>
      <c r="F21" s="807" t="s">
        <v>889</v>
      </c>
      <c r="G21" s="807"/>
      <c r="H21" s="809" t="s">
        <v>39</v>
      </c>
      <c r="I21" s="810" t="s">
        <v>20</v>
      </c>
      <c r="J21" s="810" t="s">
        <v>428</v>
      </c>
      <c r="K21" s="807"/>
      <c r="L21" s="811">
        <v>4</v>
      </c>
      <c r="M21" s="812">
        <v>4</v>
      </c>
      <c r="N21" s="812">
        <v>4</v>
      </c>
      <c r="O21" s="811">
        <v>4</v>
      </c>
      <c r="P21" s="812">
        <v>4</v>
      </c>
      <c r="Q21" s="812">
        <v>4</v>
      </c>
      <c r="R21" s="806" t="s">
        <v>507</v>
      </c>
      <c r="T21" s="891" t="s">
        <v>172</v>
      </c>
      <c r="U21" s="900" t="s">
        <v>1220</v>
      </c>
      <c r="V21" s="892"/>
      <c r="W21" s="893"/>
      <c r="X21" s="893"/>
      <c r="Y21" s="894"/>
    </row>
    <row r="22" spans="1:31" x14ac:dyDescent="0.25">
      <c r="A22" s="807">
        <v>25</v>
      </c>
      <c r="B22" s="808" t="s">
        <v>303</v>
      </c>
      <c r="C22" s="807" t="s">
        <v>874</v>
      </c>
      <c r="D22" s="807" t="s">
        <v>434</v>
      </c>
      <c r="E22" s="807" t="s">
        <v>14</v>
      </c>
      <c r="F22" s="807" t="s">
        <v>869</v>
      </c>
      <c r="G22" s="807"/>
      <c r="H22" s="809" t="s">
        <v>39</v>
      </c>
      <c r="I22" s="810" t="s">
        <v>20</v>
      </c>
      <c r="J22" s="810" t="s">
        <v>428</v>
      </c>
      <c r="K22" s="807"/>
      <c r="L22" s="811">
        <v>44</v>
      </c>
      <c r="M22" s="812">
        <v>44</v>
      </c>
      <c r="N22" s="812">
        <v>44</v>
      </c>
      <c r="O22" s="811">
        <v>39</v>
      </c>
      <c r="P22" s="812">
        <v>39</v>
      </c>
      <c r="Q22" s="812">
        <v>39</v>
      </c>
      <c r="R22" s="806" t="s">
        <v>507</v>
      </c>
      <c r="T22" s="891" t="s">
        <v>172</v>
      </c>
      <c r="U22" s="900" t="s">
        <v>1220</v>
      </c>
      <c r="V22" s="731"/>
      <c r="W22" s="732"/>
      <c r="X22" s="732"/>
      <c r="Y22" s="894"/>
    </row>
    <row r="23" spans="1:31" x14ac:dyDescent="0.25">
      <c r="A23" s="807">
        <v>26</v>
      </c>
      <c r="B23" s="807" t="s">
        <v>303</v>
      </c>
      <c r="C23" s="807" t="s">
        <v>874</v>
      </c>
      <c r="D23" s="807" t="s">
        <v>434</v>
      </c>
      <c r="E23" s="807" t="s">
        <v>14</v>
      </c>
      <c r="F23" s="807" t="s">
        <v>890</v>
      </c>
      <c r="G23" s="807" t="s">
        <v>891</v>
      </c>
      <c r="H23" s="809" t="s">
        <v>39</v>
      </c>
      <c r="I23" s="810" t="s">
        <v>20</v>
      </c>
      <c r="J23" s="810" t="s">
        <v>428</v>
      </c>
      <c r="K23" s="807"/>
      <c r="L23" s="811">
        <v>20</v>
      </c>
      <c r="M23" s="812">
        <v>20</v>
      </c>
      <c r="N23" s="812">
        <v>20</v>
      </c>
      <c r="O23" s="811">
        <v>20</v>
      </c>
      <c r="P23" s="812">
        <v>20</v>
      </c>
      <c r="Q23" s="812">
        <v>20</v>
      </c>
      <c r="R23" s="813" t="s">
        <v>529</v>
      </c>
      <c r="T23" s="891" t="s">
        <v>172</v>
      </c>
      <c r="U23" s="900" t="s">
        <v>1220</v>
      </c>
      <c r="V23" s="731"/>
      <c r="W23" s="732"/>
      <c r="X23" s="732"/>
      <c r="Y23" s="894"/>
    </row>
    <row r="24" spans="1:31" x14ac:dyDescent="0.25">
      <c r="A24" s="807">
        <v>27</v>
      </c>
      <c r="B24" s="807" t="s">
        <v>303</v>
      </c>
      <c r="C24" s="807" t="s">
        <v>874</v>
      </c>
      <c r="D24" s="807" t="s">
        <v>434</v>
      </c>
      <c r="E24" s="807" t="s">
        <v>14</v>
      </c>
      <c r="F24" s="807" t="s">
        <v>875</v>
      </c>
      <c r="G24" s="807"/>
      <c r="H24" s="809" t="s">
        <v>39</v>
      </c>
      <c r="I24" s="810" t="s">
        <v>20</v>
      </c>
      <c r="J24" s="810" t="s">
        <v>428</v>
      </c>
      <c r="K24" s="807"/>
      <c r="L24" s="811">
        <v>31</v>
      </c>
      <c r="M24" s="812">
        <v>39</v>
      </c>
      <c r="N24" s="812">
        <v>39</v>
      </c>
      <c r="O24" s="811">
        <v>31</v>
      </c>
      <c r="P24" s="812">
        <v>39</v>
      </c>
      <c r="Q24" s="812">
        <v>39</v>
      </c>
      <c r="R24" s="806" t="s">
        <v>507</v>
      </c>
      <c r="T24" s="891" t="s">
        <v>172</v>
      </c>
      <c r="U24" s="900" t="s">
        <v>1220</v>
      </c>
      <c r="V24" s="731"/>
      <c r="W24" s="732"/>
      <c r="X24" s="732"/>
      <c r="Y24" s="894"/>
    </row>
    <row r="25" spans="1:31" x14ac:dyDescent="0.25">
      <c r="A25" s="807">
        <v>28</v>
      </c>
      <c r="B25" s="807" t="s">
        <v>303</v>
      </c>
      <c r="C25" s="807" t="s">
        <v>874</v>
      </c>
      <c r="D25" s="807" t="s">
        <v>434</v>
      </c>
      <c r="E25" s="807" t="s">
        <v>14</v>
      </c>
      <c r="F25" s="807" t="s">
        <v>892</v>
      </c>
      <c r="G25" s="807" t="s">
        <v>893</v>
      </c>
      <c r="H25" s="809" t="s">
        <v>34</v>
      </c>
      <c r="I25" s="810" t="s">
        <v>20</v>
      </c>
      <c r="J25" s="810" t="s">
        <v>428</v>
      </c>
      <c r="K25" s="807"/>
      <c r="L25" s="811">
        <v>5</v>
      </c>
      <c r="M25" s="812">
        <v>208</v>
      </c>
      <c r="N25" s="812">
        <v>609.25</v>
      </c>
      <c r="O25" s="811">
        <v>5</v>
      </c>
      <c r="P25" s="812">
        <v>208</v>
      </c>
      <c r="Q25" s="812">
        <v>609.25</v>
      </c>
      <c r="R25" s="813" t="s">
        <v>172</v>
      </c>
      <c r="T25" s="891" t="s">
        <v>172</v>
      </c>
      <c r="U25" s="900" t="s">
        <v>1220</v>
      </c>
      <c r="V25" s="731"/>
      <c r="W25" s="732"/>
      <c r="X25" s="732"/>
    </row>
    <row r="26" spans="1:31" x14ac:dyDescent="0.25">
      <c r="A26" s="807">
        <v>29</v>
      </c>
      <c r="B26" s="807" t="s">
        <v>303</v>
      </c>
      <c r="C26" s="807" t="s">
        <v>874</v>
      </c>
      <c r="D26" s="807" t="s">
        <v>434</v>
      </c>
      <c r="E26" s="807" t="s">
        <v>14</v>
      </c>
      <c r="F26" s="807" t="s">
        <v>868</v>
      </c>
      <c r="G26" s="807" t="s">
        <v>868</v>
      </c>
      <c r="H26" s="809" t="s">
        <v>35</v>
      </c>
      <c r="I26" s="810" t="s">
        <v>20</v>
      </c>
      <c r="J26" s="810" t="s">
        <v>428</v>
      </c>
      <c r="K26" s="807"/>
      <c r="L26" s="811">
        <v>78</v>
      </c>
      <c r="M26" s="812">
        <v>6460</v>
      </c>
      <c r="N26" s="812">
        <v>26400.25</v>
      </c>
      <c r="O26" s="811">
        <v>72</v>
      </c>
      <c r="P26" s="812">
        <v>6345</v>
      </c>
      <c r="Q26" s="812">
        <v>25970</v>
      </c>
      <c r="R26" s="813" t="s">
        <v>172</v>
      </c>
      <c r="T26" s="815" t="s">
        <v>172</v>
      </c>
      <c r="U26" s="900" t="s">
        <v>1220</v>
      </c>
      <c r="V26" s="731"/>
      <c r="W26" s="732"/>
      <c r="X26" s="732"/>
    </row>
    <row r="27" spans="1:31" x14ac:dyDescent="0.25">
      <c r="A27" s="807">
        <v>30</v>
      </c>
      <c r="B27" s="807" t="s">
        <v>303</v>
      </c>
      <c r="C27" s="807" t="s">
        <v>874</v>
      </c>
      <c r="D27" s="807" t="s">
        <v>434</v>
      </c>
      <c r="E27" s="807" t="s">
        <v>14</v>
      </c>
      <c r="F27" s="807" t="s">
        <v>863</v>
      </c>
      <c r="G27" s="807" t="s">
        <v>863</v>
      </c>
      <c r="H27" s="809" t="s">
        <v>18</v>
      </c>
      <c r="I27" s="810" t="s">
        <v>15</v>
      </c>
      <c r="J27" s="810" t="s">
        <v>421</v>
      </c>
      <c r="K27" s="807"/>
      <c r="L27" s="811">
        <v>1</v>
      </c>
      <c r="M27" s="812">
        <v>60</v>
      </c>
      <c r="N27" s="812">
        <v>315.75</v>
      </c>
      <c r="O27" s="811">
        <v>1</v>
      </c>
      <c r="P27" s="812">
        <v>60</v>
      </c>
      <c r="Q27" s="812">
        <v>315.75</v>
      </c>
      <c r="R27" s="813" t="s">
        <v>172</v>
      </c>
      <c r="T27" s="815" t="s">
        <v>172</v>
      </c>
      <c r="U27" s="900" t="s">
        <v>1220</v>
      </c>
      <c r="V27" s="731"/>
      <c r="W27" s="732"/>
      <c r="X27" s="732"/>
    </row>
    <row r="28" spans="1:31" x14ac:dyDescent="0.25">
      <c r="A28" s="807">
        <v>34</v>
      </c>
      <c r="B28" s="807" t="s">
        <v>303</v>
      </c>
      <c r="C28" s="807" t="s">
        <v>876</v>
      </c>
      <c r="D28" s="807" t="s">
        <v>434</v>
      </c>
      <c r="E28" s="807" t="s">
        <v>15</v>
      </c>
      <c r="F28" s="807" t="s">
        <v>869</v>
      </c>
      <c r="G28" s="807"/>
      <c r="H28" s="809" t="s">
        <v>39</v>
      </c>
      <c r="I28" s="810" t="s">
        <v>20</v>
      </c>
      <c r="J28" s="810" t="s">
        <v>428</v>
      </c>
      <c r="K28" s="807"/>
      <c r="L28" s="811">
        <v>2</v>
      </c>
      <c r="M28" s="812">
        <v>2</v>
      </c>
      <c r="N28" s="812">
        <v>2</v>
      </c>
      <c r="O28" s="811">
        <v>2</v>
      </c>
      <c r="P28" s="812">
        <v>2</v>
      </c>
      <c r="Q28" s="812">
        <v>2</v>
      </c>
      <c r="R28" s="806" t="s">
        <v>507</v>
      </c>
      <c r="T28" s="815" t="s">
        <v>172</v>
      </c>
      <c r="U28" s="900" t="s">
        <v>1220</v>
      </c>
      <c r="V28" s="731"/>
      <c r="W28" s="732"/>
      <c r="X28" s="732"/>
    </row>
    <row r="29" spans="1:31" x14ac:dyDescent="0.25">
      <c r="A29" s="807">
        <v>35</v>
      </c>
      <c r="B29" s="807" t="s">
        <v>303</v>
      </c>
      <c r="C29" s="807" t="s">
        <v>876</v>
      </c>
      <c r="D29" s="807" t="s">
        <v>434</v>
      </c>
      <c r="E29" s="807" t="s">
        <v>15</v>
      </c>
      <c r="F29" s="807" t="s">
        <v>868</v>
      </c>
      <c r="G29" s="807" t="s">
        <v>868</v>
      </c>
      <c r="H29" s="809" t="s">
        <v>35</v>
      </c>
      <c r="I29" s="810" t="s">
        <v>20</v>
      </c>
      <c r="J29" s="810" t="s">
        <v>428</v>
      </c>
      <c r="K29" s="807"/>
      <c r="L29" s="811">
        <v>2</v>
      </c>
      <c r="M29" s="812">
        <v>21</v>
      </c>
      <c r="N29" s="812">
        <v>57.25</v>
      </c>
      <c r="O29" s="811">
        <v>2</v>
      </c>
      <c r="P29" s="812">
        <v>21</v>
      </c>
      <c r="Q29" s="812">
        <v>57.25</v>
      </c>
      <c r="R29" s="813" t="s">
        <v>172</v>
      </c>
      <c r="T29" s="815" t="s">
        <v>172</v>
      </c>
      <c r="U29" s="900" t="s">
        <v>1220</v>
      </c>
      <c r="V29" s="731"/>
      <c r="W29" s="732"/>
      <c r="X29" s="732"/>
    </row>
    <row r="30" spans="1:31" x14ac:dyDescent="0.25">
      <c r="A30" s="807">
        <v>36</v>
      </c>
      <c r="B30" s="807" t="s">
        <v>303</v>
      </c>
      <c r="C30" s="807" t="s">
        <v>876</v>
      </c>
      <c r="D30" s="807" t="s">
        <v>434</v>
      </c>
      <c r="E30" s="807" t="s">
        <v>15</v>
      </c>
      <c r="F30" s="807" t="s">
        <v>863</v>
      </c>
      <c r="G30" s="807" t="s">
        <v>863</v>
      </c>
      <c r="H30" s="809" t="s">
        <v>18</v>
      </c>
      <c r="I30" s="810" t="s">
        <v>15</v>
      </c>
      <c r="J30" s="810" t="s">
        <v>421</v>
      </c>
      <c r="K30" s="807"/>
      <c r="L30" s="811">
        <v>69</v>
      </c>
      <c r="M30" s="812">
        <v>8705</v>
      </c>
      <c r="N30" s="812">
        <v>43347.75</v>
      </c>
      <c r="O30" s="811">
        <v>68</v>
      </c>
      <c r="P30" s="812">
        <v>8669</v>
      </c>
      <c r="Q30" s="812">
        <v>43104.5</v>
      </c>
      <c r="R30" s="813" t="s">
        <v>172</v>
      </c>
      <c r="T30" s="815" t="s">
        <v>172</v>
      </c>
      <c r="U30" s="900" t="s">
        <v>1220</v>
      </c>
      <c r="V30" s="731"/>
      <c r="W30" s="732"/>
      <c r="X30" s="732"/>
    </row>
    <row r="31" spans="1:31" x14ac:dyDescent="0.25">
      <c r="A31" s="807">
        <v>37</v>
      </c>
      <c r="B31" s="807" t="s">
        <v>303</v>
      </c>
      <c r="C31" s="807" t="s">
        <v>894</v>
      </c>
      <c r="D31" s="807" t="s">
        <v>14</v>
      </c>
      <c r="E31" s="807" t="s">
        <v>14</v>
      </c>
      <c r="F31" s="807" t="s">
        <v>869</v>
      </c>
      <c r="G31" s="807" t="s">
        <v>895</v>
      </c>
      <c r="H31" s="809" t="s">
        <v>39</v>
      </c>
      <c r="I31" s="810" t="s">
        <v>20</v>
      </c>
      <c r="J31" s="810" t="s">
        <v>428</v>
      </c>
      <c r="K31" s="807"/>
      <c r="L31" s="811">
        <v>1</v>
      </c>
      <c r="M31" s="812">
        <v>1</v>
      </c>
      <c r="N31" s="812">
        <v>1</v>
      </c>
      <c r="O31" s="811">
        <v>1</v>
      </c>
      <c r="P31" s="812">
        <v>1</v>
      </c>
      <c r="Q31" s="812">
        <v>1</v>
      </c>
      <c r="R31" s="806" t="s">
        <v>507</v>
      </c>
      <c r="T31" s="815" t="s">
        <v>172</v>
      </c>
      <c r="U31" s="900" t="s">
        <v>1220</v>
      </c>
      <c r="V31" s="731"/>
      <c r="W31" s="732"/>
      <c r="X31" s="732"/>
    </row>
    <row r="32" spans="1:31" x14ac:dyDescent="0.25">
      <c r="A32" s="807">
        <v>38</v>
      </c>
      <c r="B32" s="807" t="s">
        <v>303</v>
      </c>
      <c r="C32" s="807" t="s">
        <v>894</v>
      </c>
      <c r="D32" s="807" t="s">
        <v>14</v>
      </c>
      <c r="E32" s="807" t="s">
        <v>14</v>
      </c>
      <c r="F32" s="807" t="s">
        <v>896</v>
      </c>
      <c r="G32" s="807" t="s">
        <v>895</v>
      </c>
      <c r="H32" s="809" t="s">
        <v>39</v>
      </c>
      <c r="I32" s="810" t="s">
        <v>20</v>
      </c>
      <c r="J32" s="810" t="s">
        <v>428</v>
      </c>
      <c r="K32" s="807"/>
      <c r="L32" s="811">
        <v>1</v>
      </c>
      <c r="M32" s="812">
        <v>1</v>
      </c>
      <c r="N32" s="812">
        <v>1</v>
      </c>
      <c r="O32" s="811">
        <v>1</v>
      </c>
      <c r="P32" s="812">
        <v>1</v>
      </c>
      <c r="Q32" s="812">
        <v>1</v>
      </c>
      <c r="R32" s="813" t="s">
        <v>529</v>
      </c>
      <c r="T32" s="815" t="s">
        <v>172</v>
      </c>
      <c r="U32" s="900" t="s">
        <v>1220</v>
      </c>
      <c r="V32" s="731"/>
      <c r="W32" s="732"/>
      <c r="X32" s="732"/>
    </row>
    <row r="33" spans="1:24" x14ac:dyDescent="0.25">
      <c r="A33" s="807">
        <v>40</v>
      </c>
      <c r="B33" s="807" t="s">
        <v>303</v>
      </c>
      <c r="C33" s="807" t="s">
        <v>897</v>
      </c>
      <c r="D33" s="807" t="s">
        <v>14</v>
      </c>
      <c r="E33" s="807" t="s">
        <v>15</v>
      </c>
      <c r="F33" s="807" t="s">
        <v>898</v>
      </c>
      <c r="G33" s="807" t="s">
        <v>863</v>
      </c>
      <c r="H33" s="809" t="s">
        <v>18</v>
      </c>
      <c r="I33" s="810" t="s">
        <v>15</v>
      </c>
      <c r="J33" s="810" t="s">
        <v>421</v>
      </c>
      <c r="K33" s="807"/>
      <c r="L33" s="811">
        <v>19</v>
      </c>
      <c r="M33" s="812">
        <v>2942</v>
      </c>
      <c r="N33" s="812">
        <v>14642.5</v>
      </c>
      <c r="O33" s="811">
        <v>19</v>
      </c>
      <c r="P33" s="812">
        <v>2942</v>
      </c>
      <c r="Q33" s="812">
        <v>14642.5</v>
      </c>
      <c r="R33" s="813" t="s">
        <v>172</v>
      </c>
      <c r="T33" s="815" t="s">
        <v>172</v>
      </c>
      <c r="U33" s="900" t="s">
        <v>1220</v>
      </c>
      <c r="V33" s="731"/>
      <c r="W33" s="732"/>
      <c r="X33" s="732"/>
    </row>
    <row r="34" spans="1:24" x14ac:dyDescent="0.25">
      <c r="A34" s="807">
        <v>41</v>
      </c>
      <c r="B34" s="807" t="s">
        <v>303</v>
      </c>
      <c r="C34" s="807" t="s">
        <v>899</v>
      </c>
      <c r="D34" s="807" t="s">
        <v>14</v>
      </c>
      <c r="E34" s="807" t="s">
        <v>14</v>
      </c>
      <c r="F34" s="807" t="s">
        <v>885</v>
      </c>
      <c r="G34" s="807" t="s">
        <v>868</v>
      </c>
      <c r="H34" s="809" t="s">
        <v>35</v>
      </c>
      <c r="I34" s="810" t="s">
        <v>20</v>
      </c>
      <c r="J34" s="810" t="s">
        <v>428</v>
      </c>
      <c r="K34" s="807"/>
      <c r="L34" s="811">
        <v>4</v>
      </c>
      <c r="M34" s="812">
        <v>244</v>
      </c>
      <c r="N34" s="812">
        <v>822.5</v>
      </c>
      <c r="O34" s="811">
        <v>4</v>
      </c>
      <c r="P34" s="812">
        <v>244</v>
      </c>
      <c r="Q34" s="812">
        <v>822.5</v>
      </c>
      <c r="R34" s="813" t="s">
        <v>172</v>
      </c>
      <c r="T34" s="815" t="s">
        <v>172</v>
      </c>
      <c r="U34" s="900" t="s">
        <v>1220</v>
      </c>
      <c r="V34" s="731"/>
      <c r="W34" s="732"/>
      <c r="X34" s="732"/>
    </row>
    <row r="35" spans="1:24" x14ac:dyDescent="0.25">
      <c r="A35" s="807">
        <v>42</v>
      </c>
      <c r="B35" s="807" t="s">
        <v>303</v>
      </c>
      <c r="C35" s="807" t="s">
        <v>899</v>
      </c>
      <c r="D35" s="807" t="s">
        <v>14</v>
      </c>
      <c r="E35" s="807" t="s">
        <v>14</v>
      </c>
      <c r="F35" s="807" t="s">
        <v>900</v>
      </c>
      <c r="G35" s="807"/>
      <c r="H35" s="809" t="s">
        <v>39</v>
      </c>
      <c r="I35" s="810" t="s">
        <v>20</v>
      </c>
      <c r="J35" s="810" t="s">
        <v>428</v>
      </c>
      <c r="K35" s="807"/>
      <c r="L35" s="811">
        <v>2</v>
      </c>
      <c r="M35" s="812">
        <v>2</v>
      </c>
      <c r="N35" s="812">
        <v>2</v>
      </c>
      <c r="O35" s="811">
        <v>2</v>
      </c>
      <c r="P35" s="812">
        <v>2</v>
      </c>
      <c r="Q35" s="812">
        <v>2</v>
      </c>
      <c r="R35" s="806" t="s">
        <v>507</v>
      </c>
      <c r="T35" s="815" t="s">
        <v>172</v>
      </c>
      <c r="U35" s="900" t="s">
        <v>1220</v>
      </c>
      <c r="V35" s="731"/>
      <c r="W35" s="732"/>
      <c r="X35" s="732"/>
    </row>
    <row r="36" spans="1:24" x14ac:dyDescent="0.25">
      <c r="A36" s="807">
        <v>43</v>
      </c>
      <c r="B36" s="807" t="s">
        <v>303</v>
      </c>
      <c r="C36" s="807" t="s">
        <v>899</v>
      </c>
      <c r="D36" s="807" t="s">
        <v>14</v>
      </c>
      <c r="E36" s="807" t="s">
        <v>14</v>
      </c>
      <c r="F36" s="807" t="s">
        <v>901</v>
      </c>
      <c r="G36" s="807"/>
      <c r="H36" s="809" t="s">
        <v>39</v>
      </c>
      <c r="I36" s="810" t="s">
        <v>20</v>
      </c>
      <c r="J36" s="810" t="s">
        <v>428</v>
      </c>
      <c r="K36" s="807"/>
      <c r="L36" s="811">
        <v>1</v>
      </c>
      <c r="M36" s="812">
        <v>1</v>
      </c>
      <c r="N36" s="812">
        <v>1</v>
      </c>
      <c r="O36" s="811">
        <v>1</v>
      </c>
      <c r="P36" s="812">
        <v>1</v>
      </c>
      <c r="Q36" s="812">
        <v>1</v>
      </c>
      <c r="R36" s="806" t="s">
        <v>507</v>
      </c>
      <c r="T36" s="815" t="s">
        <v>172</v>
      </c>
      <c r="U36" s="900" t="s">
        <v>1220</v>
      </c>
      <c r="V36" s="731"/>
      <c r="W36" s="732"/>
      <c r="X36" s="732"/>
    </row>
    <row r="37" spans="1:24" x14ac:dyDescent="0.25">
      <c r="A37" s="807">
        <v>44</v>
      </c>
      <c r="B37" s="807" t="s">
        <v>303</v>
      </c>
      <c r="C37" s="807" t="s">
        <v>899</v>
      </c>
      <c r="D37" s="807" t="s">
        <v>14</v>
      </c>
      <c r="E37" s="807" t="s">
        <v>14</v>
      </c>
      <c r="F37" s="807" t="s">
        <v>902</v>
      </c>
      <c r="G37" s="807" t="s">
        <v>903</v>
      </c>
      <c r="H37" s="809" t="s">
        <v>38</v>
      </c>
      <c r="I37" s="810" t="s">
        <v>20</v>
      </c>
      <c r="J37" s="810" t="s">
        <v>428</v>
      </c>
      <c r="K37" s="807"/>
      <c r="L37" s="811">
        <v>1</v>
      </c>
      <c r="M37" s="812">
        <v>1</v>
      </c>
      <c r="N37" s="812">
        <v>1</v>
      </c>
      <c r="O37" s="811">
        <v>1</v>
      </c>
      <c r="P37" s="812">
        <v>1</v>
      </c>
      <c r="Q37" s="812">
        <v>1</v>
      </c>
      <c r="R37" s="813" t="s">
        <v>529</v>
      </c>
      <c r="T37" s="815" t="s">
        <v>172</v>
      </c>
      <c r="U37" s="900" t="s">
        <v>1220</v>
      </c>
      <c r="V37" s="731"/>
      <c r="W37" s="732"/>
      <c r="X37" s="732"/>
    </row>
    <row r="38" spans="1:24" x14ac:dyDescent="0.25">
      <c r="A38" s="807">
        <v>45</v>
      </c>
      <c r="B38" s="807" t="s">
        <v>303</v>
      </c>
      <c r="C38" s="807" t="s">
        <v>899</v>
      </c>
      <c r="D38" s="807" t="s">
        <v>14</v>
      </c>
      <c r="E38" s="807" t="s">
        <v>14</v>
      </c>
      <c r="F38" s="807" t="s">
        <v>904</v>
      </c>
      <c r="G38" s="807" t="s">
        <v>903</v>
      </c>
      <c r="H38" s="809" t="s">
        <v>38</v>
      </c>
      <c r="I38" s="810" t="s">
        <v>20</v>
      </c>
      <c r="J38" s="810" t="s">
        <v>428</v>
      </c>
      <c r="K38" s="807"/>
      <c r="L38" s="811">
        <v>1</v>
      </c>
      <c r="M38" s="812">
        <v>1</v>
      </c>
      <c r="N38" s="812">
        <v>1</v>
      </c>
      <c r="O38" s="811">
        <v>1</v>
      </c>
      <c r="P38" s="812">
        <v>1</v>
      </c>
      <c r="Q38" s="812">
        <v>1</v>
      </c>
      <c r="R38" s="813" t="s">
        <v>529</v>
      </c>
      <c r="T38" s="815" t="s">
        <v>172</v>
      </c>
      <c r="U38" s="900" t="s">
        <v>1220</v>
      </c>
      <c r="V38" s="731"/>
      <c r="W38" s="732"/>
      <c r="X38" s="732"/>
    </row>
    <row r="39" spans="1:24" x14ac:dyDescent="0.25">
      <c r="A39" s="807">
        <v>46</v>
      </c>
      <c r="B39" s="807" t="s">
        <v>303</v>
      </c>
      <c r="C39" s="807" t="s">
        <v>492</v>
      </c>
      <c r="D39" s="807" t="s">
        <v>16</v>
      </c>
      <c r="E39" s="807" t="s">
        <v>82</v>
      </c>
      <c r="F39" s="807" t="s">
        <v>885</v>
      </c>
      <c r="G39" s="807"/>
      <c r="H39" s="809" t="s">
        <v>374</v>
      </c>
      <c r="I39" s="810" t="s">
        <v>20</v>
      </c>
      <c r="J39" s="810" t="s">
        <v>248</v>
      </c>
      <c r="K39" s="807"/>
      <c r="L39" s="811">
        <v>2</v>
      </c>
      <c r="M39" s="812">
        <v>3</v>
      </c>
      <c r="N39" s="812">
        <v>2.5</v>
      </c>
      <c r="O39" s="811">
        <v>2</v>
      </c>
      <c r="P39" s="812">
        <v>3</v>
      </c>
      <c r="Q39" s="812">
        <v>2.5</v>
      </c>
      <c r="R39" s="813" t="s">
        <v>172</v>
      </c>
      <c r="T39" s="815" t="s">
        <v>172</v>
      </c>
      <c r="U39" s="899" t="s">
        <v>1219</v>
      </c>
      <c r="V39" s="731"/>
      <c r="W39" s="732"/>
      <c r="X39" s="732"/>
    </row>
    <row r="40" spans="1:24" x14ac:dyDescent="0.25">
      <c r="A40" s="807">
        <v>47</v>
      </c>
      <c r="B40" s="807" t="s">
        <v>303</v>
      </c>
      <c r="C40" s="807" t="s">
        <v>248</v>
      </c>
      <c r="D40" s="807" t="s">
        <v>16</v>
      </c>
      <c r="E40" s="807" t="s">
        <v>884</v>
      </c>
      <c r="F40" s="807" t="s">
        <v>885</v>
      </c>
      <c r="G40" s="807"/>
      <c r="H40" s="809" t="s">
        <v>374</v>
      </c>
      <c r="I40" s="810" t="s">
        <v>20</v>
      </c>
      <c r="J40" s="810" t="s">
        <v>248</v>
      </c>
      <c r="K40" s="807"/>
      <c r="L40" s="811">
        <v>1</v>
      </c>
      <c r="M40" s="812">
        <v>4</v>
      </c>
      <c r="N40" s="812">
        <v>8</v>
      </c>
      <c r="O40" s="811">
        <v>1</v>
      </c>
      <c r="P40" s="812">
        <v>4</v>
      </c>
      <c r="Q40" s="812">
        <v>8</v>
      </c>
      <c r="R40" s="813" t="s">
        <v>172</v>
      </c>
      <c r="T40" s="815" t="s">
        <v>172</v>
      </c>
      <c r="U40" s="899" t="s">
        <v>1219</v>
      </c>
      <c r="V40" s="731"/>
      <c r="W40" s="732"/>
      <c r="X40" s="732"/>
    </row>
    <row r="41" spans="1:24" x14ac:dyDescent="0.25">
      <c r="A41" s="807">
        <v>48</v>
      </c>
      <c r="B41" s="807" t="s">
        <v>303</v>
      </c>
      <c r="C41" s="807" t="s">
        <v>905</v>
      </c>
      <c r="D41" s="807" t="s">
        <v>16</v>
      </c>
      <c r="E41" s="807" t="s">
        <v>884</v>
      </c>
      <c r="F41" s="807" t="s">
        <v>885</v>
      </c>
      <c r="G41" s="807"/>
      <c r="H41" s="809" t="s">
        <v>374</v>
      </c>
      <c r="I41" s="810" t="s">
        <v>20</v>
      </c>
      <c r="J41" s="810" t="s">
        <v>248</v>
      </c>
      <c r="K41" s="807"/>
      <c r="L41" s="811">
        <v>1</v>
      </c>
      <c r="M41" s="812">
        <v>149</v>
      </c>
      <c r="N41" s="812">
        <v>301.5</v>
      </c>
      <c r="O41" s="811">
        <v>1</v>
      </c>
      <c r="P41" s="812">
        <v>149</v>
      </c>
      <c r="Q41" s="812">
        <v>301.5</v>
      </c>
      <c r="R41" s="813" t="s">
        <v>172</v>
      </c>
      <c r="T41" s="815" t="s">
        <v>172</v>
      </c>
      <c r="U41" s="899" t="s">
        <v>1219</v>
      </c>
      <c r="V41" s="731"/>
      <c r="W41" s="732"/>
      <c r="X41" s="732"/>
    </row>
    <row r="42" spans="1:24" x14ac:dyDescent="0.25">
      <c r="A42" s="807">
        <v>49</v>
      </c>
      <c r="B42" s="807" t="s">
        <v>303</v>
      </c>
      <c r="C42" s="807" t="s">
        <v>905</v>
      </c>
      <c r="D42" s="807" t="s">
        <v>16</v>
      </c>
      <c r="E42" s="807" t="s">
        <v>884</v>
      </c>
      <c r="F42" s="807" t="s">
        <v>869</v>
      </c>
      <c r="G42" s="807"/>
      <c r="H42" s="809" t="s">
        <v>374</v>
      </c>
      <c r="I42" s="810" t="s">
        <v>20</v>
      </c>
      <c r="J42" s="810" t="s">
        <v>248</v>
      </c>
      <c r="K42" s="807"/>
      <c r="L42" s="811">
        <v>1</v>
      </c>
      <c r="M42" s="812">
        <v>1</v>
      </c>
      <c r="N42" s="812">
        <v>1</v>
      </c>
      <c r="O42" s="811">
        <v>1</v>
      </c>
      <c r="P42" s="812">
        <v>1</v>
      </c>
      <c r="Q42" s="812">
        <v>1</v>
      </c>
      <c r="R42" s="813" t="s">
        <v>172</v>
      </c>
      <c r="T42" s="815" t="s">
        <v>172</v>
      </c>
      <c r="U42" s="899" t="s">
        <v>1219</v>
      </c>
      <c r="V42" s="731"/>
      <c r="W42" s="732"/>
      <c r="X42" s="732"/>
    </row>
    <row r="43" spans="1:24" x14ac:dyDescent="0.25">
      <c r="A43" s="807">
        <v>50</v>
      </c>
      <c r="B43" s="807" t="s">
        <v>303</v>
      </c>
      <c r="C43" s="807" t="s">
        <v>905</v>
      </c>
      <c r="D43" s="807" t="s">
        <v>16</v>
      </c>
      <c r="E43" s="807" t="s">
        <v>884</v>
      </c>
      <c r="F43" s="807" t="s">
        <v>875</v>
      </c>
      <c r="G43" s="807"/>
      <c r="H43" s="809" t="s">
        <v>374</v>
      </c>
      <c r="I43" s="810" t="s">
        <v>20</v>
      </c>
      <c r="J43" s="810" t="s">
        <v>248</v>
      </c>
      <c r="K43" s="807"/>
      <c r="L43" s="811">
        <v>1</v>
      </c>
      <c r="M43" s="812">
        <v>1</v>
      </c>
      <c r="N43" s="812">
        <v>0.5</v>
      </c>
      <c r="O43" s="811">
        <v>1</v>
      </c>
      <c r="P43" s="812">
        <v>1</v>
      </c>
      <c r="Q43" s="812">
        <v>1</v>
      </c>
      <c r="R43" s="813" t="s">
        <v>172</v>
      </c>
      <c r="T43" s="815" t="s">
        <v>172</v>
      </c>
      <c r="U43" s="899" t="s">
        <v>1219</v>
      </c>
      <c r="V43" s="731"/>
      <c r="W43" s="732"/>
      <c r="X43" s="732"/>
    </row>
    <row r="44" spans="1:24" x14ac:dyDescent="0.25">
      <c r="A44" s="807">
        <v>52</v>
      </c>
      <c r="B44" s="807" t="s">
        <v>303</v>
      </c>
      <c r="C44" s="807" t="s">
        <v>906</v>
      </c>
      <c r="D44" s="807" t="s">
        <v>14</v>
      </c>
      <c r="E44" s="807" t="s">
        <v>14</v>
      </c>
      <c r="F44" s="807" t="s">
        <v>889</v>
      </c>
      <c r="G44" s="807"/>
      <c r="H44" s="809" t="s">
        <v>39</v>
      </c>
      <c r="I44" s="810" t="s">
        <v>20</v>
      </c>
      <c r="J44" s="810" t="s">
        <v>428</v>
      </c>
      <c r="K44" s="807"/>
      <c r="L44" s="811">
        <v>3</v>
      </c>
      <c r="M44" s="812">
        <v>3</v>
      </c>
      <c r="N44" s="812">
        <v>3</v>
      </c>
      <c r="O44" s="811">
        <v>3</v>
      </c>
      <c r="P44" s="812">
        <v>3</v>
      </c>
      <c r="Q44" s="812">
        <v>3</v>
      </c>
      <c r="R44" s="806" t="s">
        <v>507</v>
      </c>
      <c r="T44" s="815" t="s">
        <v>172</v>
      </c>
      <c r="U44" s="900" t="s">
        <v>1220</v>
      </c>
      <c r="V44" s="731"/>
      <c r="W44" s="732"/>
      <c r="X44" s="732"/>
    </row>
    <row r="45" spans="1:24" x14ac:dyDescent="0.25">
      <c r="A45" s="807">
        <v>53</v>
      </c>
      <c r="B45" s="807" t="s">
        <v>303</v>
      </c>
      <c r="C45" s="807" t="s">
        <v>906</v>
      </c>
      <c r="D45" s="807" t="s">
        <v>14</v>
      </c>
      <c r="E45" s="807" t="s">
        <v>14</v>
      </c>
      <c r="F45" s="807" t="s">
        <v>907</v>
      </c>
      <c r="G45" s="807"/>
      <c r="H45" s="809" t="s">
        <v>39</v>
      </c>
      <c r="I45" s="810" t="s">
        <v>20</v>
      </c>
      <c r="J45" s="810" t="s">
        <v>428</v>
      </c>
      <c r="K45" s="807"/>
      <c r="L45" s="811">
        <v>1</v>
      </c>
      <c r="M45" s="812">
        <v>1</v>
      </c>
      <c r="N45" s="812">
        <v>1</v>
      </c>
      <c r="O45" s="811">
        <v>1</v>
      </c>
      <c r="P45" s="812">
        <v>1</v>
      </c>
      <c r="Q45" s="812">
        <v>1</v>
      </c>
      <c r="R45" s="813" t="s">
        <v>529</v>
      </c>
      <c r="T45" s="815" t="s">
        <v>172</v>
      </c>
      <c r="U45" s="900" t="s">
        <v>1220</v>
      </c>
      <c r="V45" s="731"/>
      <c r="W45" s="732"/>
      <c r="X45" s="732"/>
    </row>
    <row r="46" spans="1:24" x14ac:dyDescent="0.25">
      <c r="A46" s="807">
        <v>54</v>
      </c>
      <c r="B46" s="807" t="s">
        <v>303</v>
      </c>
      <c r="C46" s="807" t="s">
        <v>906</v>
      </c>
      <c r="D46" s="807" t="s">
        <v>14</v>
      </c>
      <c r="E46" s="807" t="s">
        <v>14</v>
      </c>
      <c r="F46" s="807" t="s">
        <v>869</v>
      </c>
      <c r="G46" s="807"/>
      <c r="H46" s="809" t="s">
        <v>39</v>
      </c>
      <c r="I46" s="810" t="s">
        <v>20</v>
      </c>
      <c r="J46" s="810" t="s">
        <v>428</v>
      </c>
      <c r="K46" s="807"/>
      <c r="L46" s="811">
        <v>58</v>
      </c>
      <c r="M46" s="812">
        <v>58</v>
      </c>
      <c r="N46" s="812">
        <v>58</v>
      </c>
      <c r="O46" s="811">
        <v>51</v>
      </c>
      <c r="P46" s="812">
        <v>51</v>
      </c>
      <c r="Q46" s="812">
        <v>51</v>
      </c>
      <c r="R46" s="806" t="s">
        <v>507</v>
      </c>
      <c r="T46" s="815" t="s">
        <v>172</v>
      </c>
      <c r="U46" s="900" t="s">
        <v>1220</v>
      </c>
      <c r="V46" s="731"/>
      <c r="W46" s="732"/>
      <c r="X46" s="732"/>
    </row>
    <row r="47" spans="1:24" x14ac:dyDescent="0.25">
      <c r="A47" s="807">
        <v>55</v>
      </c>
      <c r="B47" s="807" t="s">
        <v>303</v>
      </c>
      <c r="C47" s="807" t="s">
        <v>906</v>
      </c>
      <c r="D47" s="807" t="s">
        <v>14</v>
      </c>
      <c r="E47" s="807" t="s">
        <v>14</v>
      </c>
      <c r="F47" s="807" t="s">
        <v>875</v>
      </c>
      <c r="G47" s="807"/>
      <c r="H47" s="809" t="s">
        <v>39</v>
      </c>
      <c r="I47" s="810" t="s">
        <v>20</v>
      </c>
      <c r="J47" s="810" t="s">
        <v>428</v>
      </c>
      <c r="K47" s="807"/>
      <c r="L47" s="811">
        <v>33</v>
      </c>
      <c r="M47" s="812">
        <v>39</v>
      </c>
      <c r="N47" s="812">
        <v>39</v>
      </c>
      <c r="O47" s="811">
        <v>31</v>
      </c>
      <c r="P47" s="812">
        <v>37</v>
      </c>
      <c r="Q47" s="812">
        <v>37</v>
      </c>
      <c r="R47" s="806" t="s">
        <v>507</v>
      </c>
      <c r="T47" s="815" t="s">
        <v>172</v>
      </c>
      <c r="U47" s="900" t="s">
        <v>1220</v>
      </c>
      <c r="V47" s="731"/>
      <c r="W47" s="732"/>
      <c r="X47" s="732"/>
    </row>
    <row r="48" spans="1:24" x14ac:dyDescent="0.25">
      <c r="A48" s="807">
        <v>56</v>
      </c>
      <c r="B48" s="807" t="s">
        <v>303</v>
      </c>
      <c r="C48" s="807" t="s">
        <v>906</v>
      </c>
      <c r="D48" s="807" t="s">
        <v>14</v>
      </c>
      <c r="E48" s="807" t="s">
        <v>14</v>
      </c>
      <c r="F48" s="807" t="s">
        <v>908</v>
      </c>
      <c r="G48" s="807" t="s">
        <v>868</v>
      </c>
      <c r="H48" s="809" t="s">
        <v>35</v>
      </c>
      <c r="I48" s="810" t="s">
        <v>20</v>
      </c>
      <c r="J48" s="810" t="s">
        <v>428</v>
      </c>
      <c r="K48" s="807"/>
      <c r="L48" s="811">
        <v>77</v>
      </c>
      <c r="M48" s="812">
        <v>6431</v>
      </c>
      <c r="N48" s="812">
        <v>31750</v>
      </c>
      <c r="O48" s="811">
        <v>68</v>
      </c>
      <c r="P48" s="812">
        <v>6042</v>
      </c>
      <c r="Q48" s="812">
        <v>29983</v>
      </c>
      <c r="R48" s="813" t="s">
        <v>172</v>
      </c>
      <c r="T48" s="815" t="s">
        <v>172</v>
      </c>
      <c r="U48" s="900" t="s">
        <v>1220</v>
      </c>
      <c r="V48" s="731"/>
      <c r="W48" s="732"/>
      <c r="X48" s="732"/>
    </row>
    <row r="49" spans="1:24" x14ac:dyDescent="0.25">
      <c r="A49" s="807">
        <v>61</v>
      </c>
      <c r="B49" s="807" t="s">
        <v>303</v>
      </c>
      <c r="C49" s="807" t="s">
        <v>909</v>
      </c>
      <c r="D49" s="807" t="s">
        <v>14</v>
      </c>
      <c r="E49" s="807" t="s">
        <v>15</v>
      </c>
      <c r="F49" s="807" t="s">
        <v>908</v>
      </c>
      <c r="G49" s="807" t="s">
        <v>868</v>
      </c>
      <c r="H49" s="809" t="s">
        <v>35</v>
      </c>
      <c r="I49" s="810" t="s">
        <v>20</v>
      </c>
      <c r="J49" s="810" t="s">
        <v>428</v>
      </c>
      <c r="K49" s="807"/>
      <c r="L49" s="811">
        <v>1</v>
      </c>
      <c r="M49" s="812">
        <v>1</v>
      </c>
      <c r="N49" s="812">
        <v>1</v>
      </c>
      <c r="O49" s="811">
        <v>1</v>
      </c>
      <c r="P49" s="812">
        <v>1</v>
      </c>
      <c r="Q49" s="812">
        <v>1</v>
      </c>
      <c r="R49" s="813" t="s">
        <v>172</v>
      </c>
      <c r="T49" s="815" t="s">
        <v>172</v>
      </c>
      <c r="U49" s="900" t="s">
        <v>1220</v>
      </c>
      <c r="V49" s="731"/>
      <c r="W49" s="732"/>
      <c r="X49" s="732"/>
    </row>
    <row r="50" spans="1:24" x14ac:dyDescent="0.25">
      <c r="A50" s="807">
        <v>62</v>
      </c>
      <c r="B50" s="807" t="s">
        <v>303</v>
      </c>
      <c r="C50" s="807" t="s">
        <v>909</v>
      </c>
      <c r="D50" s="807" t="s">
        <v>14</v>
      </c>
      <c r="E50" s="807" t="s">
        <v>15</v>
      </c>
      <c r="F50" s="807" t="s">
        <v>910</v>
      </c>
      <c r="G50" s="807" t="s">
        <v>863</v>
      </c>
      <c r="H50" s="809" t="s">
        <v>18</v>
      </c>
      <c r="I50" s="810" t="s">
        <v>15</v>
      </c>
      <c r="J50" s="810" t="s">
        <v>421</v>
      </c>
      <c r="K50" s="807"/>
      <c r="L50" s="811">
        <v>77</v>
      </c>
      <c r="M50" s="812">
        <v>12450</v>
      </c>
      <c r="N50" s="812">
        <v>52281.5</v>
      </c>
      <c r="O50" s="811">
        <v>75</v>
      </c>
      <c r="P50" s="812">
        <v>12374</v>
      </c>
      <c r="Q50" s="812">
        <v>52110</v>
      </c>
      <c r="R50" s="813" t="s">
        <v>172</v>
      </c>
      <c r="T50" s="815" t="s">
        <v>172</v>
      </c>
      <c r="U50" s="900" t="s">
        <v>1220</v>
      </c>
      <c r="V50" s="731"/>
      <c r="W50" s="732"/>
      <c r="X50" s="732"/>
    </row>
    <row r="51" spans="1:24" x14ac:dyDescent="0.25">
      <c r="A51" s="807">
        <v>63</v>
      </c>
      <c r="B51" s="807" t="s">
        <v>303</v>
      </c>
      <c r="C51" s="807" t="s">
        <v>909</v>
      </c>
      <c r="D51" s="807" t="s">
        <v>14</v>
      </c>
      <c r="E51" s="807" t="s">
        <v>15</v>
      </c>
      <c r="F51" s="807" t="s">
        <v>911</v>
      </c>
      <c r="G51" s="807" t="s">
        <v>863</v>
      </c>
      <c r="H51" s="809" t="s">
        <v>18</v>
      </c>
      <c r="I51" s="810" t="s">
        <v>15</v>
      </c>
      <c r="J51" s="810" t="s">
        <v>421</v>
      </c>
      <c r="K51" s="807"/>
      <c r="L51" s="811">
        <v>1</v>
      </c>
      <c r="M51" s="812">
        <v>43</v>
      </c>
      <c r="N51" s="812">
        <v>220.5</v>
      </c>
      <c r="O51" s="811">
        <v>1</v>
      </c>
      <c r="P51" s="812">
        <v>43</v>
      </c>
      <c r="Q51" s="812">
        <v>220.5</v>
      </c>
      <c r="R51" s="813" t="s">
        <v>172</v>
      </c>
      <c r="T51" s="815" t="s">
        <v>172</v>
      </c>
      <c r="U51" s="900" t="s">
        <v>1220</v>
      </c>
      <c r="V51" s="731"/>
      <c r="W51" s="732"/>
      <c r="X51" s="732"/>
    </row>
    <row r="52" spans="1:24" x14ac:dyDescent="0.25">
      <c r="A52" s="807">
        <v>64</v>
      </c>
      <c r="B52" s="807" t="s">
        <v>303</v>
      </c>
      <c r="C52" s="807" t="s">
        <v>909</v>
      </c>
      <c r="D52" s="807" t="s">
        <v>14</v>
      </c>
      <c r="E52" s="807" t="s">
        <v>15</v>
      </c>
      <c r="F52" s="807" t="s">
        <v>912</v>
      </c>
      <c r="G52" s="807" t="s">
        <v>863</v>
      </c>
      <c r="H52" s="809" t="s">
        <v>18</v>
      </c>
      <c r="I52" s="810" t="s">
        <v>15</v>
      </c>
      <c r="J52" s="810" t="s">
        <v>421</v>
      </c>
      <c r="K52" s="807"/>
      <c r="L52" s="811">
        <v>1</v>
      </c>
      <c r="M52" s="812">
        <v>308</v>
      </c>
      <c r="N52" s="812">
        <v>805.75</v>
      </c>
      <c r="O52" s="811">
        <v>1</v>
      </c>
      <c r="P52" s="812">
        <v>308</v>
      </c>
      <c r="Q52" s="812">
        <v>805.75</v>
      </c>
      <c r="R52" s="813" t="s">
        <v>172</v>
      </c>
      <c r="T52" s="815" t="s">
        <v>172</v>
      </c>
      <c r="U52" s="900" t="s">
        <v>1220</v>
      </c>
      <c r="V52" s="731"/>
      <c r="W52" s="732"/>
      <c r="X52" s="732"/>
    </row>
    <row r="53" spans="1:24" x14ac:dyDescent="0.25">
      <c r="A53" s="807">
        <v>65</v>
      </c>
      <c r="B53" s="807" t="s">
        <v>303</v>
      </c>
      <c r="C53" s="807" t="s">
        <v>909</v>
      </c>
      <c r="D53" s="807" t="s">
        <v>14</v>
      </c>
      <c r="E53" s="807" t="s">
        <v>15</v>
      </c>
      <c r="F53" s="807" t="s">
        <v>913</v>
      </c>
      <c r="G53" s="807" t="s">
        <v>863</v>
      </c>
      <c r="H53" s="809" t="s">
        <v>18</v>
      </c>
      <c r="I53" s="810" t="s">
        <v>15</v>
      </c>
      <c r="J53" s="810" t="s">
        <v>421</v>
      </c>
      <c r="K53" s="807"/>
      <c r="L53" s="811">
        <v>1</v>
      </c>
      <c r="M53" s="812">
        <v>359</v>
      </c>
      <c r="N53" s="812">
        <v>1097.25</v>
      </c>
      <c r="O53" s="811">
        <v>1</v>
      </c>
      <c r="P53" s="812">
        <v>359</v>
      </c>
      <c r="Q53" s="812">
        <v>1097.25</v>
      </c>
      <c r="R53" s="813" t="s">
        <v>172</v>
      </c>
      <c r="T53" s="815" t="s">
        <v>172</v>
      </c>
      <c r="U53" s="900" t="s">
        <v>1220</v>
      </c>
      <c r="V53" s="731"/>
      <c r="W53" s="732"/>
      <c r="X53" s="732"/>
    </row>
    <row r="54" spans="1:24" x14ac:dyDescent="0.25">
      <c r="A54" s="807">
        <v>66</v>
      </c>
      <c r="B54" s="807" t="s">
        <v>303</v>
      </c>
      <c r="C54" s="807" t="s">
        <v>914</v>
      </c>
      <c r="D54" s="807" t="s">
        <v>434</v>
      </c>
      <c r="E54" s="807" t="s">
        <v>14</v>
      </c>
      <c r="F54" s="807" t="s">
        <v>885</v>
      </c>
      <c r="G54" s="807" t="s">
        <v>868</v>
      </c>
      <c r="H54" s="809" t="s">
        <v>35</v>
      </c>
      <c r="I54" s="810" t="s">
        <v>20</v>
      </c>
      <c r="J54" s="810" t="s">
        <v>428</v>
      </c>
      <c r="K54" s="807"/>
      <c r="L54" s="811">
        <v>2</v>
      </c>
      <c r="M54" s="812">
        <v>21</v>
      </c>
      <c r="N54" s="812">
        <v>85.5</v>
      </c>
      <c r="O54" s="811">
        <v>1</v>
      </c>
      <c r="P54" s="812">
        <v>7</v>
      </c>
      <c r="Q54" s="812">
        <v>17.5</v>
      </c>
      <c r="R54" s="813" t="s">
        <v>172</v>
      </c>
      <c r="T54" s="815" t="s">
        <v>172</v>
      </c>
      <c r="U54" s="900" t="s">
        <v>1220</v>
      </c>
      <c r="V54" s="731"/>
      <c r="W54" s="732"/>
      <c r="X54" s="732"/>
    </row>
    <row r="55" spans="1:24" x14ac:dyDescent="0.25">
      <c r="A55" s="807">
        <v>67</v>
      </c>
      <c r="B55" s="807" t="s">
        <v>303</v>
      </c>
      <c r="C55" s="807" t="s">
        <v>914</v>
      </c>
      <c r="D55" s="807" t="s">
        <v>434</v>
      </c>
      <c r="E55" s="807" t="s">
        <v>14</v>
      </c>
      <c r="F55" s="807" t="s">
        <v>869</v>
      </c>
      <c r="G55" s="807"/>
      <c r="H55" s="809" t="s">
        <v>39</v>
      </c>
      <c r="I55" s="810" t="s">
        <v>20</v>
      </c>
      <c r="J55" s="810" t="s">
        <v>428</v>
      </c>
      <c r="K55" s="807"/>
      <c r="L55" s="811">
        <v>1</v>
      </c>
      <c r="M55" s="812">
        <v>1</v>
      </c>
      <c r="N55" s="812">
        <v>1</v>
      </c>
      <c r="O55" s="811">
        <v>0</v>
      </c>
      <c r="P55" s="812">
        <v>0</v>
      </c>
      <c r="Q55" s="812">
        <v>0</v>
      </c>
      <c r="R55" s="806" t="s">
        <v>507</v>
      </c>
      <c r="T55" s="815" t="s">
        <v>172</v>
      </c>
      <c r="U55" s="900" t="s">
        <v>1220</v>
      </c>
      <c r="V55" s="731"/>
      <c r="W55" s="732"/>
      <c r="X55" s="732"/>
    </row>
    <row r="56" spans="1:24" x14ac:dyDescent="0.25">
      <c r="A56" s="807">
        <v>69</v>
      </c>
      <c r="B56" s="807" t="s">
        <v>304</v>
      </c>
      <c r="C56" s="807" t="s">
        <v>876</v>
      </c>
      <c r="D56" s="807" t="s">
        <v>434</v>
      </c>
      <c r="E56" s="807" t="s">
        <v>15</v>
      </c>
      <c r="F56" s="807" t="s">
        <v>863</v>
      </c>
      <c r="G56" s="807" t="s">
        <v>863</v>
      </c>
      <c r="H56" s="809" t="s">
        <v>18</v>
      </c>
      <c r="I56" s="810" t="s">
        <v>15</v>
      </c>
      <c r="J56" s="810" t="s">
        <v>421</v>
      </c>
      <c r="K56" s="807"/>
      <c r="L56" s="811">
        <v>3</v>
      </c>
      <c r="M56" s="812">
        <v>330</v>
      </c>
      <c r="N56" s="812">
        <v>1833.5</v>
      </c>
      <c r="O56" s="811">
        <v>3</v>
      </c>
      <c r="P56" s="812">
        <v>330</v>
      </c>
      <c r="Q56" s="812">
        <v>1833.5</v>
      </c>
      <c r="R56" s="813" t="s">
        <v>172</v>
      </c>
      <c r="T56" s="815" t="s">
        <v>172</v>
      </c>
      <c r="U56" s="900" t="s">
        <v>1220</v>
      </c>
      <c r="V56" s="731"/>
      <c r="W56" s="732"/>
      <c r="X56" s="732"/>
    </row>
    <row r="57" spans="1:24" x14ac:dyDescent="0.25">
      <c r="A57" s="807">
        <v>71</v>
      </c>
      <c r="B57" s="807" t="s">
        <v>304</v>
      </c>
      <c r="C57" s="807" t="s">
        <v>897</v>
      </c>
      <c r="D57" s="807" t="s">
        <v>14</v>
      </c>
      <c r="E57" s="807" t="s">
        <v>15</v>
      </c>
      <c r="F57" s="807" t="s">
        <v>898</v>
      </c>
      <c r="G57" s="807" t="s">
        <v>863</v>
      </c>
      <c r="H57" s="809" t="s">
        <v>18</v>
      </c>
      <c r="I57" s="810" t="s">
        <v>15</v>
      </c>
      <c r="J57" s="810" t="s">
        <v>421</v>
      </c>
      <c r="K57" s="807"/>
      <c r="L57" s="811">
        <v>1</v>
      </c>
      <c r="M57" s="812">
        <v>181</v>
      </c>
      <c r="N57" s="812">
        <v>520.5</v>
      </c>
      <c r="O57" s="811">
        <v>1</v>
      </c>
      <c r="P57" s="812">
        <v>181</v>
      </c>
      <c r="Q57" s="812">
        <v>520.5</v>
      </c>
      <c r="R57" s="813" t="s">
        <v>172</v>
      </c>
      <c r="T57" s="815" t="s">
        <v>172</v>
      </c>
      <c r="U57" s="900" t="s">
        <v>1220</v>
      </c>
      <c r="V57" s="731"/>
      <c r="W57" s="732"/>
      <c r="X57" s="732"/>
    </row>
    <row r="58" spans="1:24" x14ac:dyDescent="0.25">
      <c r="A58" s="807">
        <v>72</v>
      </c>
      <c r="B58" s="807" t="s">
        <v>305</v>
      </c>
      <c r="C58" s="807" t="s">
        <v>458</v>
      </c>
      <c r="D58" s="807" t="s">
        <v>13</v>
      </c>
      <c r="E58" s="807" t="s">
        <v>13</v>
      </c>
      <c r="F58" s="807" t="s">
        <v>859</v>
      </c>
      <c r="G58" s="807" t="s">
        <v>860</v>
      </c>
      <c r="H58" s="809" t="s">
        <v>391</v>
      </c>
      <c r="I58" s="810" t="s">
        <v>20</v>
      </c>
      <c r="J58" s="810" t="s">
        <v>16</v>
      </c>
      <c r="K58" s="807" t="s">
        <v>13</v>
      </c>
      <c r="L58" s="811">
        <v>16</v>
      </c>
      <c r="M58" s="812">
        <v>285</v>
      </c>
      <c r="N58" s="812">
        <v>1098.5</v>
      </c>
      <c r="O58" s="811">
        <v>11</v>
      </c>
      <c r="P58" s="812">
        <v>162</v>
      </c>
      <c r="Q58" s="812">
        <v>612.25</v>
      </c>
      <c r="R58" s="813" t="s">
        <v>172</v>
      </c>
      <c r="T58" s="815" t="s">
        <v>172</v>
      </c>
      <c r="U58" s="899" t="s">
        <v>1219</v>
      </c>
      <c r="V58" s="731"/>
      <c r="W58" s="732"/>
      <c r="X58" s="732"/>
    </row>
    <row r="59" spans="1:24" x14ac:dyDescent="0.25">
      <c r="A59" s="807">
        <v>73</v>
      </c>
      <c r="B59" s="807" t="s">
        <v>305</v>
      </c>
      <c r="C59" s="807" t="s">
        <v>458</v>
      </c>
      <c r="D59" s="807" t="s">
        <v>13</v>
      </c>
      <c r="E59" s="807" t="s">
        <v>13</v>
      </c>
      <c r="F59" s="807" t="s">
        <v>915</v>
      </c>
      <c r="G59" s="807" t="s">
        <v>860</v>
      </c>
      <c r="H59" s="809" t="s">
        <v>391</v>
      </c>
      <c r="I59" s="810" t="s">
        <v>20</v>
      </c>
      <c r="J59" s="810" t="s">
        <v>16</v>
      </c>
      <c r="K59" s="807" t="s">
        <v>13</v>
      </c>
      <c r="L59" s="811">
        <v>238</v>
      </c>
      <c r="M59" s="812">
        <v>33641</v>
      </c>
      <c r="N59" s="812">
        <v>232792.25</v>
      </c>
      <c r="O59" s="811">
        <v>218</v>
      </c>
      <c r="P59" s="812">
        <v>32623</v>
      </c>
      <c r="Q59" s="812">
        <v>226018.5</v>
      </c>
      <c r="R59" s="813" t="s">
        <v>172</v>
      </c>
      <c r="T59" s="815" t="s">
        <v>172</v>
      </c>
      <c r="U59" s="899" t="s">
        <v>1219</v>
      </c>
      <c r="V59" s="731"/>
      <c r="W59" s="732"/>
      <c r="X59" s="732"/>
    </row>
    <row r="60" spans="1:24" x14ac:dyDescent="0.25">
      <c r="A60" s="807">
        <v>74</v>
      </c>
      <c r="B60" s="807" t="s">
        <v>305</v>
      </c>
      <c r="C60" s="807" t="s">
        <v>916</v>
      </c>
      <c r="D60" s="807" t="s">
        <v>495</v>
      </c>
      <c r="E60" s="807" t="s">
        <v>244</v>
      </c>
      <c r="F60" s="807" t="s">
        <v>917</v>
      </c>
      <c r="G60" s="807" t="s">
        <v>868</v>
      </c>
      <c r="H60" s="809" t="s">
        <v>35</v>
      </c>
      <c r="I60" s="810" t="s">
        <v>20</v>
      </c>
      <c r="J60" s="810" t="s">
        <v>428</v>
      </c>
      <c r="K60" s="807"/>
      <c r="L60" s="811">
        <v>2</v>
      </c>
      <c r="M60" s="812">
        <v>127</v>
      </c>
      <c r="N60" s="812">
        <v>691.75</v>
      </c>
      <c r="O60" s="811">
        <v>2</v>
      </c>
      <c r="P60" s="812">
        <v>127</v>
      </c>
      <c r="Q60" s="812">
        <v>691.75</v>
      </c>
      <c r="R60" s="813" t="s">
        <v>172</v>
      </c>
      <c r="T60" s="815" t="s">
        <v>172</v>
      </c>
      <c r="U60" s="900" t="s">
        <v>1220</v>
      </c>
      <c r="V60" s="731"/>
      <c r="W60" s="732"/>
      <c r="X60" s="732"/>
    </row>
    <row r="61" spans="1:24" x14ac:dyDescent="0.25">
      <c r="A61" s="807">
        <v>75</v>
      </c>
      <c r="B61" s="807" t="s">
        <v>305</v>
      </c>
      <c r="C61" s="807" t="s">
        <v>918</v>
      </c>
      <c r="D61" s="807" t="s">
        <v>495</v>
      </c>
      <c r="E61" s="807" t="s">
        <v>15</v>
      </c>
      <c r="F61" s="807" t="s">
        <v>898</v>
      </c>
      <c r="G61" s="807" t="s">
        <v>863</v>
      </c>
      <c r="H61" s="809" t="s">
        <v>18</v>
      </c>
      <c r="I61" s="810" t="s">
        <v>15</v>
      </c>
      <c r="J61" s="810" t="s">
        <v>421</v>
      </c>
      <c r="K61" s="807"/>
      <c r="L61" s="811">
        <v>3</v>
      </c>
      <c r="M61" s="812">
        <v>351</v>
      </c>
      <c r="N61" s="812">
        <v>2018</v>
      </c>
      <c r="O61" s="811">
        <v>3</v>
      </c>
      <c r="P61" s="812">
        <v>351</v>
      </c>
      <c r="Q61" s="812">
        <v>2018</v>
      </c>
      <c r="R61" s="813" t="s">
        <v>172</v>
      </c>
      <c r="T61" s="815" t="s">
        <v>172</v>
      </c>
      <c r="U61" s="900" t="s">
        <v>1220</v>
      </c>
      <c r="V61" s="731"/>
      <c r="W61" s="732"/>
      <c r="X61" s="732"/>
    </row>
    <row r="62" spans="1:24" x14ac:dyDescent="0.25">
      <c r="A62" s="807">
        <v>76</v>
      </c>
      <c r="B62" s="807" t="s">
        <v>305</v>
      </c>
      <c r="C62" s="807" t="s">
        <v>919</v>
      </c>
      <c r="D62" s="807" t="s">
        <v>495</v>
      </c>
      <c r="E62" s="807" t="s">
        <v>14</v>
      </c>
      <c r="F62" s="807" t="s">
        <v>885</v>
      </c>
      <c r="G62" s="807" t="s">
        <v>868</v>
      </c>
      <c r="H62" s="809" t="s">
        <v>35</v>
      </c>
      <c r="I62" s="810" t="s">
        <v>20</v>
      </c>
      <c r="J62" s="810" t="s">
        <v>428</v>
      </c>
      <c r="K62" s="807"/>
      <c r="L62" s="811">
        <v>6</v>
      </c>
      <c r="M62" s="812">
        <v>830</v>
      </c>
      <c r="N62" s="812">
        <v>6828.75</v>
      </c>
      <c r="O62" s="811">
        <v>6</v>
      </c>
      <c r="P62" s="812">
        <v>830</v>
      </c>
      <c r="Q62" s="812">
        <v>6828.75</v>
      </c>
      <c r="R62" s="813" t="s">
        <v>172</v>
      </c>
      <c r="T62" s="815" t="s">
        <v>172</v>
      </c>
      <c r="U62" s="900" t="s">
        <v>1220</v>
      </c>
      <c r="V62" s="731"/>
      <c r="W62" s="732"/>
      <c r="X62" s="732"/>
    </row>
    <row r="63" spans="1:24" x14ac:dyDescent="0.25">
      <c r="A63" s="807">
        <v>77</v>
      </c>
      <c r="B63" s="807" t="s">
        <v>305</v>
      </c>
      <c r="C63" s="807" t="s">
        <v>919</v>
      </c>
      <c r="D63" s="807" t="s">
        <v>495</v>
      </c>
      <c r="E63" s="807" t="s">
        <v>14</v>
      </c>
      <c r="F63" s="807" t="s">
        <v>889</v>
      </c>
      <c r="G63" s="807"/>
      <c r="H63" s="809" t="s">
        <v>39</v>
      </c>
      <c r="I63" s="810" t="s">
        <v>20</v>
      </c>
      <c r="J63" s="810" t="s">
        <v>428</v>
      </c>
      <c r="K63" s="807"/>
      <c r="L63" s="811">
        <v>1</v>
      </c>
      <c r="M63" s="812">
        <v>3</v>
      </c>
      <c r="N63" s="812">
        <v>3</v>
      </c>
      <c r="O63" s="811">
        <v>1</v>
      </c>
      <c r="P63" s="812">
        <v>3</v>
      </c>
      <c r="Q63" s="812">
        <v>3</v>
      </c>
      <c r="R63" s="806" t="s">
        <v>507</v>
      </c>
      <c r="T63" s="815" t="s">
        <v>172</v>
      </c>
      <c r="U63" s="900" t="s">
        <v>1220</v>
      </c>
      <c r="V63" s="731"/>
      <c r="W63" s="732"/>
      <c r="X63" s="732"/>
    </row>
    <row r="64" spans="1:24" x14ac:dyDescent="0.25">
      <c r="A64" s="807">
        <v>78</v>
      </c>
      <c r="B64" s="807" t="s">
        <v>305</v>
      </c>
      <c r="C64" s="807" t="s">
        <v>919</v>
      </c>
      <c r="D64" s="807" t="s">
        <v>495</v>
      </c>
      <c r="E64" s="807" t="s">
        <v>14</v>
      </c>
      <c r="F64" s="807" t="s">
        <v>869</v>
      </c>
      <c r="G64" s="807"/>
      <c r="H64" s="809" t="s">
        <v>39</v>
      </c>
      <c r="I64" s="810" t="s">
        <v>20</v>
      </c>
      <c r="J64" s="810" t="s">
        <v>428</v>
      </c>
      <c r="K64" s="807"/>
      <c r="L64" s="811">
        <v>1</v>
      </c>
      <c r="M64" s="812">
        <v>1</v>
      </c>
      <c r="N64" s="812">
        <v>1</v>
      </c>
      <c r="O64" s="811">
        <v>1</v>
      </c>
      <c r="P64" s="812">
        <v>1</v>
      </c>
      <c r="Q64" s="812">
        <v>1</v>
      </c>
      <c r="R64" s="806" t="s">
        <v>507</v>
      </c>
      <c r="T64" s="815" t="s">
        <v>172</v>
      </c>
      <c r="U64" s="900" t="s">
        <v>1220</v>
      </c>
      <c r="V64" s="731"/>
      <c r="W64" s="732"/>
      <c r="X64" s="732"/>
    </row>
    <row r="65" spans="1:24" x14ac:dyDescent="0.25">
      <c r="A65" s="807">
        <v>79</v>
      </c>
      <c r="B65" s="807" t="s">
        <v>305</v>
      </c>
      <c r="C65" s="807" t="s">
        <v>919</v>
      </c>
      <c r="D65" s="807" t="s">
        <v>495</v>
      </c>
      <c r="E65" s="807" t="s">
        <v>14</v>
      </c>
      <c r="F65" s="807" t="s">
        <v>875</v>
      </c>
      <c r="G65" s="807"/>
      <c r="H65" s="809" t="s">
        <v>39</v>
      </c>
      <c r="I65" s="810" t="s">
        <v>20</v>
      </c>
      <c r="J65" s="810" t="s">
        <v>428</v>
      </c>
      <c r="K65" s="807"/>
      <c r="L65" s="811">
        <v>3</v>
      </c>
      <c r="M65" s="812">
        <v>3</v>
      </c>
      <c r="N65" s="812">
        <v>3</v>
      </c>
      <c r="O65" s="811">
        <v>3</v>
      </c>
      <c r="P65" s="812">
        <v>3</v>
      </c>
      <c r="Q65" s="812">
        <v>3</v>
      </c>
      <c r="R65" s="806" t="s">
        <v>507</v>
      </c>
      <c r="T65" s="815" t="s">
        <v>172</v>
      </c>
      <c r="U65" s="900" t="s">
        <v>1220</v>
      </c>
      <c r="V65" s="731"/>
      <c r="W65" s="732"/>
      <c r="X65" s="732"/>
    </row>
    <row r="66" spans="1:24" x14ac:dyDescent="0.25">
      <c r="A66" s="807">
        <v>80</v>
      </c>
      <c r="B66" s="807" t="s">
        <v>305</v>
      </c>
      <c r="C66" s="807" t="s">
        <v>920</v>
      </c>
      <c r="D66" s="807" t="s">
        <v>495</v>
      </c>
      <c r="E66" s="807" t="s">
        <v>495</v>
      </c>
      <c r="F66" s="807" t="s">
        <v>898</v>
      </c>
      <c r="G66" s="807" t="s">
        <v>863</v>
      </c>
      <c r="H66" s="809" t="s">
        <v>18</v>
      </c>
      <c r="I66" s="810" t="s">
        <v>15</v>
      </c>
      <c r="J66" s="810" t="s">
        <v>421</v>
      </c>
      <c r="K66" s="807"/>
      <c r="L66" s="811">
        <v>1</v>
      </c>
      <c r="M66" s="812">
        <v>42</v>
      </c>
      <c r="N66" s="812">
        <v>248.5</v>
      </c>
      <c r="O66" s="811">
        <v>1</v>
      </c>
      <c r="P66" s="812">
        <v>42</v>
      </c>
      <c r="Q66" s="812">
        <v>248.5</v>
      </c>
      <c r="R66" s="813" t="s">
        <v>172</v>
      </c>
      <c r="T66" s="815" t="s">
        <v>172</v>
      </c>
      <c r="U66" s="900" t="s">
        <v>1220</v>
      </c>
      <c r="V66" s="731"/>
      <c r="W66" s="732"/>
      <c r="X66" s="732"/>
    </row>
    <row r="67" spans="1:24" x14ac:dyDescent="0.25">
      <c r="A67" s="807">
        <v>81</v>
      </c>
      <c r="B67" s="807" t="s">
        <v>305</v>
      </c>
      <c r="C67" s="807" t="s">
        <v>921</v>
      </c>
      <c r="D67" s="807" t="s">
        <v>13</v>
      </c>
      <c r="E67" s="807" t="s">
        <v>13</v>
      </c>
      <c r="F67" s="807" t="s">
        <v>922</v>
      </c>
      <c r="G67" s="807" t="s">
        <v>923</v>
      </c>
      <c r="H67" s="809" t="s">
        <v>391</v>
      </c>
      <c r="I67" s="810" t="s">
        <v>20</v>
      </c>
      <c r="J67" s="810" t="s">
        <v>16</v>
      </c>
      <c r="K67" s="807" t="s">
        <v>13</v>
      </c>
      <c r="L67" s="811">
        <v>1</v>
      </c>
      <c r="M67" s="812">
        <v>4</v>
      </c>
      <c r="N67" s="812">
        <v>15.5</v>
      </c>
      <c r="O67" s="811">
        <v>1</v>
      </c>
      <c r="P67" s="812">
        <v>4</v>
      </c>
      <c r="Q67" s="812">
        <v>15.5</v>
      </c>
      <c r="R67" s="813" t="s">
        <v>172</v>
      </c>
      <c r="T67" s="815" t="s">
        <v>172</v>
      </c>
      <c r="U67" s="899" t="s">
        <v>1219</v>
      </c>
      <c r="V67" s="731"/>
      <c r="W67" s="732"/>
      <c r="X67" s="732"/>
    </row>
    <row r="68" spans="1:24" x14ac:dyDescent="0.25">
      <c r="A68" s="807">
        <v>82</v>
      </c>
      <c r="B68" s="807" t="s">
        <v>305</v>
      </c>
      <c r="C68" s="807" t="s">
        <v>924</v>
      </c>
      <c r="D68" s="807" t="s">
        <v>16</v>
      </c>
      <c r="E68" s="807" t="s">
        <v>14</v>
      </c>
      <c r="F68" s="807" t="s">
        <v>868</v>
      </c>
      <c r="G68" s="807" t="s">
        <v>868</v>
      </c>
      <c r="H68" s="809" t="s">
        <v>390</v>
      </c>
      <c r="I68" s="810" t="s">
        <v>20</v>
      </c>
      <c r="J68" s="810" t="s">
        <v>16</v>
      </c>
      <c r="K68" s="807"/>
      <c r="L68" s="811">
        <v>1</v>
      </c>
      <c r="M68" s="812">
        <v>1</v>
      </c>
      <c r="N68" s="812">
        <v>5</v>
      </c>
      <c r="O68" s="811">
        <v>1</v>
      </c>
      <c r="P68" s="812">
        <v>1</v>
      </c>
      <c r="Q68" s="812">
        <v>5</v>
      </c>
      <c r="R68" s="813" t="s">
        <v>172</v>
      </c>
      <c r="T68" s="815" t="s">
        <v>172</v>
      </c>
      <c r="U68" s="899" t="s">
        <v>1219</v>
      </c>
      <c r="V68" s="731"/>
      <c r="W68" s="732"/>
      <c r="X68" s="732"/>
    </row>
    <row r="69" spans="1:24" x14ac:dyDescent="0.25">
      <c r="A69" s="807">
        <v>83</v>
      </c>
      <c r="B69" s="807" t="s">
        <v>305</v>
      </c>
      <c r="C69" s="807" t="s">
        <v>925</v>
      </c>
      <c r="D69" s="807" t="s">
        <v>16</v>
      </c>
      <c r="E69" s="807" t="s">
        <v>15</v>
      </c>
      <c r="F69" s="807" t="s">
        <v>863</v>
      </c>
      <c r="G69" s="807" t="s">
        <v>863</v>
      </c>
      <c r="H69" s="809" t="s">
        <v>390</v>
      </c>
      <c r="I69" s="810" t="s">
        <v>20</v>
      </c>
      <c r="J69" s="810" t="s">
        <v>16</v>
      </c>
      <c r="K69" s="807"/>
      <c r="L69" s="811">
        <v>2</v>
      </c>
      <c r="M69" s="812">
        <v>588</v>
      </c>
      <c r="N69" s="812">
        <v>3076.75</v>
      </c>
      <c r="O69" s="811">
        <v>2</v>
      </c>
      <c r="P69" s="812">
        <v>588</v>
      </c>
      <c r="Q69" s="812">
        <v>3076.75</v>
      </c>
      <c r="R69" s="813" t="s">
        <v>172</v>
      </c>
      <c r="T69" s="815" t="s">
        <v>172</v>
      </c>
      <c r="U69" s="899" t="s">
        <v>1219</v>
      </c>
      <c r="V69" s="731"/>
      <c r="W69" s="732"/>
      <c r="X69" s="732"/>
    </row>
    <row r="70" spans="1:24" x14ac:dyDescent="0.25">
      <c r="A70" s="807">
        <v>84</v>
      </c>
      <c r="B70" s="807" t="s">
        <v>305</v>
      </c>
      <c r="C70" s="807" t="s">
        <v>926</v>
      </c>
      <c r="D70" s="807" t="s">
        <v>14</v>
      </c>
      <c r="E70" s="807" t="s">
        <v>14</v>
      </c>
      <c r="F70" s="807" t="s">
        <v>885</v>
      </c>
      <c r="G70" s="807" t="s">
        <v>868</v>
      </c>
      <c r="H70" s="809" t="s">
        <v>35</v>
      </c>
      <c r="I70" s="810" t="s">
        <v>20</v>
      </c>
      <c r="J70" s="810" t="s">
        <v>428</v>
      </c>
      <c r="K70" s="807"/>
      <c r="L70" s="811">
        <v>45</v>
      </c>
      <c r="M70" s="812">
        <v>6328</v>
      </c>
      <c r="N70" s="812">
        <v>31502.75</v>
      </c>
      <c r="O70" s="811">
        <v>41</v>
      </c>
      <c r="P70" s="812">
        <v>6182</v>
      </c>
      <c r="Q70" s="812">
        <v>30943.25</v>
      </c>
      <c r="R70" s="813" t="s">
        <v>172</v>
      </c>
      <c r="T70" s="815" t="s">
        <v>172</v>
      </c>
      <c r="U70" s="900" t="s">
        <v>1220</v>
      </c>
      <c r="V70" s="731"/>
      <c r="W70" s="732"/>
    </row>
    <row r="71" spans="1:24" x14ac:dyDescent="0.25">
      <c r="A71" s="807">
        <v>85</v>
      </c>
      <c r="B71" s="807" t="s">
        <v>305</v>
      </c>
      <c r="C71" s="807" t="s">
        <v>926</v>
      </c>
      <c r="D71" s="807" t="s">
        <v>14</v>
      </c>
      <c r="E71" s="807" t="s">
        <v>14</v>
      </c>
      <c r="F71" s="807" t="s">
        <v>889</v>
      </c>
      <c r="G71" s="807"/>
      <c r="H71" s="809" t="s">
        <v>39</v>
      </c>
      <c r="I71" s="810" t="s">
        <v>20</v>
      </c>
      <c r="J71" s="810" t="s">
        <v>428</v>
      </c>
      <c r="K71" s="807"/>
      <c r="L71" s="811">
        <v>2</v>
      </c>
      <c r="M71" s="812">
        <v>2</v>
      </c>
      <c r="N71" s="812">
        <v>2</v>
      </c>
      <c r="O71" s="811">
        <v>2</v>
      </c>
      <c r="P71" s="812">
        <v>2</v>
      </c>
      <c r="Q71" s="812">
        <v>2</v>
      </c>
      <c r="R71" s="806" t="s">
        <v>507</v>
      </c>
      <c r="T71" s="815" t="s">
        <v>172</v>
      </c>
      <c r="U71" s="900" t="s">
        <v>1220</v>
      </c>
      <c r="V71" s="731"/>
      <c r="W71" s="732"/>
    </row>
    <row r="72" spans="1:24" x14ac:dyDescent="0.25">
      <c r="A72" s="807">
        <v>86</v>
      </c>
      <c r="B72" s="807" t="s">
        <v>305</v>
      </c>
      <c r="C72" s="807" t="s">
        <v>926</v>
      </c>
      <c r="D72" s="807" t="s">
        <v>14</v>
      </c>
      <c r="E72" s="807" t="s">
        <v>14</v>
      </c>
      <c r="F72" s="807" t="s">
        <v>869</v>
      </c>
      <c r="G72" s="807"/>
      <c r="H72" s="809" t="s">
        <v>39</v>
      </c>
      <c r="I72" s="810" t="s">
        <v>20</v>
      </c>
      <c r="J72" s="810" t="s">
        <v>428</v>
      </c>
      <c r="K72" s="807"/>
      <c r="L72" s="811">
        <v>19</v>
      </c>
      <c r="M72" s="812">
        <v>19</v>
      </c>
      <c r="N72" s="812">
        <v>19</v>
      </c>
      <c r="O72" s="811">
        <v>16</v>
      </c>
      <c r="P72" s="812">
        <v>16</v>
      </c>
      <c r="Q72" s="812">
        <v>16</v>
      </c>
      <c r="R72" s="806" t="s">
        <v>507</v>
      </c>
      <c r="T72" s="815" t="s">
        <v>172</v>
      </c>
      <c r="U72" s="900" t="s">
        <v>1220</v>
      </c>
      <c r="V72" s="731"/>
      <c r="W72" s="732"/>
    </row>
    <row r="73" spans="1:24" x14ac:dyDescent="0.25">
      <c r="A73" s="807">
        <v>87</v>
      </c>
      <c r="B73" s="807" t="s">
        <v>305</v>
      </c>
      <c r="C73" s="807" t="s">
        <v>926</v>
      </c>
      <c r="D73" s="807" t="s">
        <v>14</v>
      </c>
      <c r="E73" s="807" t="s">
        <v>14</v>
      </c>
      <c r="F73" s="807" t="s">
        <v>875</v>
      </c>
      <c r="G73" s="807"/>
      <c r="H73" s="809" t="s">
        <v>39</v>
      </c>
      <c r="I73" s="810" t="s">
        <v>20</v>
      </c>
      <c r="J73" s="810" t="s">
        <v>428</v>
      </c>
      <c r="K73" s="807"/>
      <c r="L73" s="811">
        <v>25</v>
      </c>
      <c r="M73" s="812">
        <v>39</v>
      </c>
      <c r="N73" s="812">
        <v>39</v>
      </c>
      <c r="O73" s="811">
        <v>25</v>
      </c>
      <c r="P73" s="812">
        <v>39</v>
      </c>
      <c r="Q73" s="812">
        <v>39</v>
      </c>
      <c r="R73" s="806" t="s">
        <v>507</v>
      </c>
      <c r="T73" s="815" t="s">
        <v>172</v>
      </c>
      <c r="U73" s="900" t="s">
        <v>1220</v>
      </c>
      <c r="V73" s="731"/>
      <c r="W73" s="732"/>
    </row>
    <row r="74" spans="1:24" x14ac:dyDescent="0.25">
      <c r="A74" s="807">
        <v>91</v>
      </c>
      <c r="B74" s="807" t="s">
        <v>305</v>
      </c>
      <c r="C74" s="807" t="s">
        <v>861</v>
      </c>
      <c r="D74" s="807" t="s">
        <v>14</v>
      </c>
      <c r="E74" s="807" t="s">
        <v>15</v>
      </c>
      <c r="F74" s="807" t="s">
        <v>862</v>
      </c>
      <c r="G74" s="807" t="s">
        <v>863</v>
      </c>
      <c r="H74" s="809" t="s">
        <v>18</v>
      </c>
      <c r="I74" s="810" t="s">
        <v>15</v>
      </c>
      <c r="J74" s="810" t="s">
        <v>421</v>
      </c>
      <c r="K74" s="807"/>
      <c r="L74" s="811">
        <v>52</v>
      </c>
      <c r="M74" s="812">
        <v>9543</v>
      </c>
      <c r="N74" s="812">
        <v>36531.5</v>
      </c>
      <c r="O74" s="811">
        <v>50</v>
      </c>
      <c r="P74" s="812">
        <v>9437</v>
      </c>
      <c r="Q74" s="812">
        <v>36049.25</v>
      </c>
      <c r="R74" s="813" t="s">
        <v>172</v>
      </c>
      <c r="T74" s="815" t="s">
        <v>172</v>
      </c>
      <c r="U74" s="900" t="s">
        <v>1220</v>
      </c>
      <c r="V74" s="731"/>
      <c r="W74" s="732"/>
    </row>
    <row r="75" spans="1:24" x14ac:dyDescent="0.25">
      <c r="A75" s="807">
        <v>92</v>
      </c>
      <c r="B75" s="807" t="s">
        <v>305</v>
      </c>
      <c r="C75" s="807" t="s">
        <v>927</v>
      </c>
      <c r="D75" s="807" t="s">
        <v>14</v>
      </c>
      <c r="E75" s="807" t="s">
        <v>14</v>
      </c>
      <c r="F75" s="807" t="s">
        <v>869</v>
      </c>
      <c r="G75" s="807"/>
      <c r="H75" s="809" t="s">
        <v>39</v>
      </c>
      <c r="I75" s="810" t="s">
        <v>20</v>
      </c>
      <c r="J75" s="810" t="s">
        <v>428</v>
      </c>
      <c r="K75" s="807"/>
      <c r="L75" s="811">
        <v>26</v>
      </c>
      <c r="M75" s="812">
        <v>27</v>
      </c>
      <c r="N75" s="812">
        <v>27</v>
      </c>
      <c r="O75" s="811">
        <v>25</v>
      </c>
      <c r="P75" s="812">
        <v>26</v>
      </c>
      <c r="Q75" s="812">
        <v>26</v>
      </c>
      <c r="R75" s="806" t="s">
        <v>507</v>
      </c>
      <c r="T75" s="815" t="s">
        <v>172</v>
      </c>
      <c r="U75" s="900" t="s">
        <v>1220</v>
      </c>
      <c r="V75" s="731"/>
      <c r="W75" s="732"/>
    </row>
    <row r="76" spans="1:24" x14ac:dyDescent="0.25">
      <c r="A76" s="807">
        <v>93</v>
      </c>
      <c r="B76" s="807" t="s">
        <v>305</v>
      </c>
      <c r="C76" s="807" t="s">
        <v>927</v>
      </c>
      <c r="D76" s="807" t="s">
        <v>14</v>
      </c>
      <c r="E76" s="807" t="s">
        <v>14</v>
      </c>
      <c r="F76" s="807" t="s">
        <v>875</v>
      </c>
      <c r="G76" s="807"/>
      <c r="H76" s="809" t="s">
        <v>39</v>
      </c>
      <c r="I76" s="810" t="s">
        <v>20</v>
      </c>
      <c r="J76" s="810" t="s">
        <v>428</v>
      </c>
      <c r="K76" s="807"/>
      <c r="L76" s="811">
        <v>13</v>
      </c>
      <c r="M76" s="812">
        <v>15</v>
      </c>
      <c r="N76" s="812">
        <v>15</v>
      </c>
      <c r="O76" s="811">
        <v>13</v>
      </c>
      <c r="P76" s="812">
        <v>15</v>
      </c>
      <c r="Q76" s="812">
        <v>15</v>
      </c>
      <c r="R76" s="806" t="s">
        <v>507</v>
      </c>
      <c r="T76" s="815" t="s">
        <v>172</v>
      </c>
      <c r="U76" s="900" t="s">
        <v>1220</v>
      </c>
      <c r="V76" s="731"/>
      <c r="W76" s="732"/>
    </row>
    <row r="77" spans="1:24" x14ac:dyDescent="0.25">
      <c r="A77" s="807">
        <v>94</v>
      </c>
      <c r="B77" s="807" t="s">
        <v>305</v>
      </c>
      <c r="C77" s="807" t="s">
        <v>927</v>
      </c>
      <c r="D77" s="807" t="s">
        <v>14</v>
      </c>
      <c r="E77" s="807" t="s">
        <v>14</v>
      </c>
      <c r="F77" s="807" t="s">
        <v>868</v>
      </c>
      <c r="G77" s="807" t="s">
        <v>868</v>
      </c>
      <c r="H77" s="809" t="s">
        <v>35</v>
      </c>
      <c r="I77" s="810" t="s">
        <v>20</v>
      </c>
      <c r="J77" s="810" t="s">
        <v>428</v>
      </c>
      <c r="K77" s="807"/>
      <c r="L77" s="811">
        <v>36</v>
      </c>
      <c r="M77" s="812">
        <v>3731</v>
      </c>
      <c r="N77" s="812">
        <v>17403.75</v>
      </c>
      <c r="O77" s="811">
        <v>34</v>
      </c>
      <c r="P77" s="812">
        <v>3614</v>
      </c>
      <c r="Q77" s="812">
        <v>16368</v>
      </c>
      <c r="R77" s="813" t="s">
        <v>172</v>
      </c>
      <c r="T77" s="815" t="s">
        <v>172</v>
      </c>
      <c r="U77" s="900" t="s">
        <v>1220</v>
      </c>
      <c r="V77" s="731"/>
      <c r="W77" s="732"/>
    </row>
    <row r="78" spans="1:24" x14ac:dyDescent="0.25">
      <c r="A78" s="807">
        <v>97</v>
      </c>
      <c r="B78" s="807" t="s">
        <v>305</v>
      </c>
      <c r="C78" s="807" t="s">
        <v>928</v>
      </c>
      <c r="D78" s="807" t="s">
        <v>14</v>
      </c>
      <c r="E78" s="807" t="s">
        <v>15</v>
      </c>
      <c r="F78" s="807" t="s">
        <v>863</v>
      </c>
      <c r="G78" s="807" t="s">
        <v>863</v>
      </c>
      <c r="H78" s="809" t="s">
        <v>18</v>
      </c>
      <c r="I78" s="810" t="s">
        <v>15</v>
      </c>
      <c r="J78" s="810" t="s">
        <v>421</v>
      </c>
      <c r="K78" s="807"/>
      <c r="L78" s="811">
        <v>20</v>
      </c>
      <c r="M78" s="812">
        <v>3354</v>
      </c>
      <c r="N78" s="812">
        <v>16185.25</v>
      </c>
      <c r="O78" s="811">
        <v>17</v>
      </c>
      <c r="P78" s="812">
        <v>3211</v>
      </c>
      <c r="Q78" s="812">
        <v>15546</v>
      </c>
      <c r="R78" s="813" t="s">
        <v>172</v>
      </c>
      <c r="T78" s="815" t="s">
        <v>172</v>
      </c>
      <c r="U78" s="900" t="s">
        <v>1220</v>
      </c>
      <c r="V78" s="731"/>
      <c r="W78" s="732"/>
    </row>
    <row r="79" spans="1:24" x14ac:dyDescent="0.25">
      <c r="A79" s="807">
        <v>98</v>
      </c>
      <c r="B79" s="807" t="s">
        <v>305</v>
      </c>
      <c r="C79" s="807" t="s">
        <v>928</v>
      </c>
      <c r="D79" s="807" t="s">
        <v>14</v>
      </c>
      <c r="E79" s="807" t="s">
        <v>15</v>
      </c>
      <c r="F79" s="807" t="s">
        <v>929</v>
      </c>
      <c r="G79" s="807" t="s">
        <v>863</v>
      </c>
      <c r="H79" s="809" t="s">
        <v>18</v>
      </c>
      <c r="I79" s="810" t="s">
        <v>15</v>
      </c>
      <c r="J79" s="810" t="s">
        <v>421</v>
      </c>
      <c r="K79" s="807"/>
      <c r="L79" s="811">
        <v>2</v>
      </c>
      <c r="M79" s="812">
        <v>83</v>
      </c>
      <c r="N79" s="812">
        <v>497</v>
      </c>
      <c r="O79" s="811">
        <v>2</v>
      </c>
      <c r="P79" s="812">
        <v>83</v>
      </c>
      <c r="Q79" s="812">
        <v>497</v>
      </c>
      <c r="R79" s="813" t="s">
        <v>172</v>
      </c>
      <c r="T79" s="815" t="s">
        <v>172</v>
      </c>
      <c r="U79" s="900" t="s">
        <v>1220</v>
      </c>
      <c r="V79" s="731"/>
      <c r="W79" s="732"/>
    </row>
    <row r="80" spans="1:24" x14ac:dyDescent="0.25">
      <c r="A80" s="807">
        <v>101</v>
      </c>
      <c r="B80" s="807" t="s">
        <v>305</v>
      </c>
      <c r="C80" s="807" t="s">
        <v>930</v>
      </c>
      <c r="D80" s="807" t="s">
        <v>14</v>
      </c>
      <c r="E80" s="807" t="s">
        <v>15</v>
      </c>
      <c r="F80" s="807" t="s">
        <v>898</v>
      </c>
      <c r="G80" s="807" t="s">
        <v>863</v>
      </c>
      <c r="H80" s="809" t="s">
        <v>18</v>
      </c>
      <c r="I80" s="810" t="s">
        <v>15</v>
      </c>
      <c r="J80" s="810" t="s">
        <v>421</v>
      </c>
      <c r="K80" s="807"/>
      <c r="L80" s="811">
        <v>8</v>
      </c>
      <c r="M80" s="812">
        <v>1602</v>
      </c>
      <c r="N80" s="812">
        <v>10031.25</v>
      </c>
      <c r="O80" s="811">
        <v>6</v>
      </c>
      <c r="P80" s="812">
        <v>1347</v>
      </c>
      <c r="Q80" s="812">
        <v>7930.25</v>
      </c>
      <c r="R80" s="813" t="s">
        <v>172</v>
      </c>
      <c r="T80" s="815" t="s">
        <v>172</v>
      </c>
      <c r="U80" s="900" t="s">
        <v>1220</v>
      </c>
      <c r="V80" s="731"/>
      <c r="W80" s="732"/>
    </row>
    <row r="81" spans="1:23" x14ac:dyDescent="0.25">
      <c r="A81" s="807">
        <v>102</v>
      </c>
      <c r="B81" s="807" t="s">
        <v>305</v>
      </c>
      <c r="C81" s="807" t="s">
        <v>931</v>
      </c>
      <c r="D81" s="807" t="s">
        <v>14</v>
      </c>
      <c r="E81" s="807" t="s">
        <v>14</v>
      </c>
      <c r="F81" s="807" t="s">
        <v>867</v>
      </c>
      <c r="G81" s="807" t="s">
        <v>868</v>
      </c>
      <c r="H81" s="809" t="s">
        <v>35</v>
      </c>
      <c r="I81" s="810" t="s">
        <v>20</v>
      </c>
      <c r="J81" s="810" t="s">
        <v>428</v>
      </c>
      <c r="K81" s="807"/>
      <c r="L81" s="811">
        <v>4</v>
      </c>
      <c r="M81" s="812">
        <v>219</v>
      </c>
      <c r="N81" s="812">
        <v>1379.75</v>
      </c>
      <c r="O81" s="811">
        <v>4</v>
      </c>
      <c r="P81" s="812">
        <v>219</v>
      </c>
      <c r="Q81" s="812">
        <v>1379.75</v>
      </c>
      <c r="R81" s="813" t="s">
        <v>172</v>
      </c>
      <c r="T81" s="815" t="s">
        <v>172</v>
      </c>
      <c r="U81" s="900" t="s">
        <v>1220</v>
      </c>
      <c r="V81" s="731"/>
      <c r="W81" s="732"/>
    </row>
    <row r="82" spans="1:23" x14ac:dyDescent="0.25">
      <c r="A82" s="807">
        <v>103</v>
      </c>
      <c r="B82" s="807" t="s">
        <v>305</v>
      </c>
      <c r="C82" s="807" t="s">
        <v>931</v>
      </c>
      <c r="D82" s="807" t="s">
        <v>14</v>
      </c>
      <c r="E82" s="807" t="s">
        <v>14</v>
      </c>
      <c r="F82" s="807" t="s">
        <v>869</v>
      </c>
      <c r="G82" s="807"/>
      <c r="H82" s="809" t="s">
        <v>39</v>
      </c>
      <c r="I82" s="810" t="s">
        <v>20</v>
      </c>
      <c r="J82" s="810" t="s">
        <v>428</v>
      </c>
      <c r="K82" s="807"/>
      <c r="L82" s="811">
        <v>4</v>
      </c>
      <c r="M82" s="812">
        <v>4</v>
      </c>
      <c r="N82" s="812">
        <v>4</v>
      </c>
      <c r="O82" s="811">
        <v>4</v>
      </c>
      <c r="P82" s="812">
        <v>4</v>
      </c>
      <c r="Q82" s="812">
        <v>4</v>
      </c>
      <c r="R82" s="806" t="s">
        <v>507</v>
      </c>
      <c r="T82" s="815" t="s">
        <v>172</v>
      </c>
      <c r="U82" s="900" t="s">
        <v>1220</v>
      </c>
      <c r="V82" s="731"/>
      <c r="W82" s="732"/>
    </row>
    <row r="83" spans="1:23" x14ac:dyDescent="0.25">
      <c r="A83" s="807">
        <v>106</v>
      </c>
      <c r="B83" s="807" t="s">
        <v>305</v>
      </c>
      <c r="C83" s="807" t="s">
        <v>864</v>
      </c>
      <c r="D83" s="807" t="s">
        <v>16</v>
      </c>
      <c r="E83" s="807" t="s">
        <v>15</v>
      </c>
      <c r="F83" s="807" t="s">
        <v>865</v>
      </c>
      <c r="G83" s="807" t="s">
        <v>863</v>
      </c>
      <c r="H83" s="809" t="s">
        <v>18</v>
      </c>
      <c r="I83" s="810" t="s">
        <v>15</v>
      </c>
      <c r="J83" s="810" t="s">
        <v>421</v>
      </c>
      <c r="K83" s="807"/>
      <c r="L83" s="811">
        <v>36</v>
      </c>
      <c r="M83" s="812">
        <v>6798</v>
      </c>
      <c r="N83" s="812">
        <v>39980.25</v>
      </c>
      <c r="O83" s="811">
        <v>35</v>
      </c>
      <c r="P83" s="812">
        <v>6648</v>
      </c>
      <c r="Q83" s="812">
        <v>39088.25</v>
      </c>
      <c r="R83" s="813" t="s">
        <v>172</v>
      </c>
      <c r="T83" s="815" t="s">
        <v>172</v>
      </c>
      <c r="U83" s="900" t="s">
        <v>1220</v>
      </c>
      <c r="V83" s="731"/>
      <c r="W83" s="732"/>
    </row>
    <row r="84" spans="1:23" x14ac:dyDescent="0.25">
      <c r="A84" s="807">
        <v>107</v>
      </c>
      <c r="B84" s="807" t="s">
        <v>305</v>
      </c>
      <c r="C84" s="807" t="s">
        <v>866</v>
      </c>
      <c r="D84" s="807" t="s">
        <v>16</v>
      </c>
      <c r="E84" s="807" t="s">
        <v>14</v>
      </c>
      <c r="F84" s="807" t="s">
        <v>867</v>
      </c>
      <c r="G84" s="807" t="s">
        <v>868</v>
      </c>
      <c r="H84" s="809" t="s">
        <v>35</v>
      </c>
      <c r="I84" s="810" t="s">
        <v>20</v>
      </c>
      <c r="J84" s="810" t="s">
        <v>428</v>
      </c>
      <c r="K84" s="807"/>
      <c r="L84" s="811">
        <v>28</v>
      </c>
      <c r="M84" s="812">
        <v>3400</v>
      </c>
      <c r="N84" s="812">
        <v>20283.5</v>
      </c>
      <c r="O84" s="811">
        <v>28</v>
      </c>
      <c r="P84" s="812">
        <v>3400</v>
      </c>
      <c r="Q84" s="812">
        <v>20283.5</v>
      </c>
      <c r="R84" s="813" t="s">
        <v>172</v>
      </c>
      <c r="T84" s="815" t="s">
        <v>172</v>
      </c>
      <c r="U84" s="900" t="s">
        <v>1220</v>
      </c>
      <c r="V84" s="731"/>
      <c r="W84" s="732"/>
    </row>
    <row r="85" spans="1:23" x14ac:dyDescent="0.25">
      <c r="A85" s="807">
        <v>108</v>
      </c>
      <c r="B85" s="807" t="s">
        <v>305</v>
      </c>
      <c r="C85" s="807" t="s">
        <v>866</v>
      </c>
      <c r="D85" s="807" t="s">
        <v>16</v>
      </c>
      <c r="E85" s="807" t="s">
        <v>14</v>
      </c>
      <c r="F85" s="807" t="s">
        <v>932</v>
      </c>
      <c r="G85" s="807" t="s">
        <v>933</v>
      </c>
      <c r="H85" s="809" t="s">
        <v>37</v>
      </c>
      <c r="I85" s="810" t="s">
        <v>20</v>
      </c>
      <c r="J85" s="810" t="s">
        <v>428</v>
      </c>
      <c r="K85" s="807"/>
      <c r="L85" s="811">
        <v>2</v>
      </c>
      <c r="M85" s="812">
        <v>594</v>
      </c>
      <c r="N85" s="812">
        <v>7722</v>
      </c>
      <c r="O85" s="811">
        <v>2</v>
      </c>
      <c r="P85" s="812">
        <v>594</v>
      </c>
      <c r="Q85" s="812">
        <v>7722</v>
      </c>
      <c r="R85" s="813" t="s">
        <v>172</v>
      </c>
      <c r="T85" s="815">
        <v>13</v>
      </c>
      <c r="U85" s="900" t="s">
        <v>1220</v>
      </c>
      <c r="V85" s="731"/>
      <c r="W85" s="732"/>
    </row>
    <row r="86" spans="1:23" x14ac:dyDescent="0.25">
      <c r="A86" s="807">
        <v>109</v>
      </c>
      <c r="B86" s="807" t="s">
        <v>305</v>
      </c>
      <c r="C86" s="807" t="s">
        <v>866</v>
      </c>
      <c r="D86" s="807" t="s">
        <v>16</v>
      </c>
      <c r="E86" s="807" t="s">
        <v>14</v>
      </c>
      <c r="F86" s="807" t="s">
        <v>869</v>
      </c>
      <c r="G86" s="807"/>
      <c r="H86" s="809" t="s">
        <v>39</v>
      </c>
      <c r="I86" s="810" t="s">
        <v>20</v>
      </c>
      <c r="J86" s="810" t="s">
        <v>428</v>
      </c>
      <c r="K86" s="807"/>
      <c r="L86" s="811">
        <v>16</v>
      </c>
      <c r="M86" s="812">
        <v>17</v>
      </c>
      <c r="N86" s="812">
        <v>17</v>
      </c>
      <c r="O86" s="811">
        <v>16</v>
      </c>
      <c r="P86" s="812">
        <v>17</v>
      </c>
      <c r="Q86" s="812">
        <v>17</v>
      </c>
      <c r="R86" s="806" t="s">
        <v>507</v>
      </c>
      <c r="T86" s="815" t="s">
        <v>172</v>
      </c>
      <c r="U86" s="900" t="s">
        <v>1220</v>
      </c>
      <c r="V86" s="731"/>
      <c r="W86" s="732"/>
    </row>
    <row r="87" spans="1:23" x14ac:dyDescent="0.25">
      <c r="A87" s="807">
        <v>110</v>
      </c>
      <c r="B87" s="807" t="s">
        <v>305</v>
      </c>
      <c r="C87" s="807" t="s">
        <v>866</v>
      </c>
      <c r="D87" s="807" t="s">
        <v>16</v>
      </c>
      <c r="E87" s="807" t="s">
        <v>14</v>
      </c>
      <c r="F87" s="807" t="s">
        <v>875</v>
      </c>
      <c r="G87" s="807"/>
      <c r="H87" s="809" t="s">
        <v>39</v>
      </c>
      <c r="I87" s="810" t="s">
        <v>20</v>
      </c>
      <c r="J87" s="810" t="s">
        <v>428</v>
      </c>
      <c r="K87" s="807"/>
      <c r="L87" s="811">
        <v>20</v>
      </c>
      <c r="M87" s="812">
        <v>28</v>
      </c>
      <c r="N87" s="812">
        <v>28</v>
      </c>
      <c r="O87" s="811">
        <v>20</v>
      </c>
      <c r="P87" s="812">
        <v>28</v>
      </c>
      <c r="Q87" s="812">
        <v>28</v>
      </c>
      <c r="R87" s="806" t="s">
        <v>507</v>
      </c>
      <c r="T87" s="815" t="s">
        <v>172</v>
      </c>
      <c r="U87" s="900" t="s">
        <v>1220</v>
      </c>
      <c r="V87" s="731"/>
      <c r="W87" s="732"/>
    </row>
    <row r="88" spans="1:23" x14ac:dyDescent="0.25">
      <c r="A88" s="807">
        <v>111</v>
      </c>
      <c r="B88" s="807" t="s">
        <v>305</v>
      </c>
      <c r="C88" s="807" t="s">
        <v>870</v>
      </c>
      <c r="D88" s="807" t="s">
        <v>13</v>
      </c>
      <c r="E88" s="807" t="s">
        <v>13</v>
      </c>
      <c r="F88" s="807" t="s">
        <v>871</v>
      </c>
      <c r="G88" s="807"/>
      <c r="H88" s="809" t="s">
        <v>391</v>
      </c>
      <c r="I88" s="810" t="s">
        <v>20</v>
      </c>
      <c r="J88" s="810" t="s">
        <v>16</v>
      </c>
      <c r="K88" s="807" t="s">
        <v>13</v>
      </c>
      <c r="L88" s="811">
        <v>44</v>
      </c>
      <c r="M88" s="812">
        <v>6417</v>
      </c>
      <c r="N88" s="812">
        <v>35497.25</v>
      </c>
      <c r="O88" s="811">
        <v>43</v>
      </c>
      <c r="P88" s="812">
        <v>6346</v>
      </c>
      <c r="Q88" s="812">
        <v>35020.25</v>
      </c>
      <c r="R88" s="813" t="s">
        <v>172</v>
      </c>
      <c r="T88" s="815" t="s">
        <v>172</v>
      </c>
      <c r="U88" s="899" t="s">
        <v>1219</v>
      </c>
      <c r="V88" s="731"/>
      <c r="W88" s="732"/>
    </row>
    <row r="89" spans="1:23" x14ac:dyDescent="0.25">
      <c r="A89" s="807">
        <v>112</v>
      </c>
      <c r="B89" s="807" t="s">
        <v>305</v>
      </c>
      <c r="C89" s="807" t="s">
        <v>465</v>
      </c>
      <c r="D89" s="807" t="s">
        <v>13</v>
      </c>
      <c r="E89" s="807" t="s">
        <v>13</v>
      </c>
      <c r="F89" s="807" t="s">
        <v>872</v>
      </c>
      <c r="G89" s="807" t="s">
        <v>873</v>
      </c>
      <c r="H89" s="809" t="s">
        <v>391</v>
      </c>
      <c r="I89" s="810" t="s">
        <v>20</v>
      </c>
      <c r="J89" s="810" t="s">
        <v>16</v>
      </c>
      <c r="K89" s="807" t="s">
        <v>13</v>
      </c>
      <c r="L89" s="811">
        <v>44</v>
      </c>
      <c r="M89" s="812">
        <v>4731</v>
      </c>
      <c r="N89" s="812">
        <v>29662.25</v>
      </c>
      <c r="O89" s="811">
        <v>42</v>
      </c>
      <c r="P89" s="812">
        <v>4692</v>
      </c>
      <c r="Q89" s="812">
        <v>29494.5</v>
      </c>
      <c r="R89" s="813" t="s">
        <v>172</v>
      </c>
      <c r="T89" s="815" t="s">
        <v>172</v>
      </c>
      <c r="U89" s="899" t="s">
        <v>1219</v>
      </c>
      <c r="V89" s="731"/>
      <c r="W89" s="732"/>
    </row>
    <row r="90" spans="1:23" x14ac:dyDescent="0.25">
      <c r="A90" s="807">
        <v>113</v>
      </c>
      <c r="B90" s="807" t="s">
        <v>305</v>
      </c>
      <c r="C90" s="807" t="s">
        <v>465</v>
      </c>
      <c r="D90" s="807" t="s">
        <v>13</v>
      </c>
      <c r="E90" s="807" t="s">
        <v>13</v>
      </c>
      <c r="F90" s="807" t="s">
        <v>877</v>
      </c>
      <c r="G90" s="807"/>
      <c r="H90" s="809" t="s">
        <v>391</v>
      </c>
      <c r="I90" s="810" t="s">
        <v>20</v>
      </c>
      <c r="J90" s="810" t="s">
        <v>16</v>
      </c>
      <c r="K90" s="807" t="s">
        <v>13</v>
      </c>
      <c r="L90" s="811">
        <v>76</v>
      </c>
      <c r="M90" s="812">
        <v>5561</v>
      </c>
      <c r="N90" s="812">
        <v>24434.25</v>
      </c>
      <c r="O90" s="811">
        <v>66</v>
      </c>
      <c r="P90" s="812">
        <v>5304</v>
      </c>
      <c r="Q90" s="812">
        <v>23444</v>
      </c>
      <c r="R90" s="813" t="s">
        <v>172</v>
      </c>
      <c r="T90" s="815" t="s">
        <v>172</v>
      </c>
      <c r="U90" s="899" t="s">
        <v>1219</v>
      </c>
      <c r="V90" s="731"/>
      <c r="W90" s="732"/>
    </row>
    <row r="91" spans="1:23" x14ac:dyDescent="0.25">
      <c r="A91" s="807">
        <v>115</v>
      </c>
      <c r="B91" s="807" t="s">
        <v>305</v>
      </c>
      <c r="C91" s="807" t="s">
        <v>874</v>
      </c>
      <c r="D91" s="807" t="s">
        <v>434</v>
      </c>
      <c r="E91" s="807" t="s">
        <v>14</v>
      </c>
      <c r="F91" s="807" t="s">
        <v>889</v>
      </c>
      <c r="G91" s="807"/>
      <c r="H91" s="809" t="s">
        <v>39</v>
      </c>
      <c r="I91" s="810" t="s">
        <v>20</v>
      </c>
      <c r="J91" s="810" t="s">
        <v>428</v>
      </c>
      <c r="K91" s="807"/>
      <c r="L91" s="811">
        <v>2</v>
      </c>
      <c r="M91" s="812">
        <v>2</v>
      </c>
      <c r="N91" s="812">
        <v>2</v>
      </c>
      <c r="O91" s="811">
        <v>1</v>
      </c>
      <c r="P91" s="812">
        <v>1</v>
      </c>
      <c r="Q91" s="812">
        <v>1</v>
      </c>
      <c r="R91" s="806" t="s">
        <v>507</v>
      </c>
      <c r="T91" s="815" t="s">
        <v>172</v>
      </c>
      <c r="U91" s="900" t="s">
        <v>1220</v>
      </c>
      <c r="V91" s="731"/>
      <c r="W91" s="732"/>
    </row>
    <row r="92" spans="1:23" x14ac:dyDescent="0.25">
      <c r="A92" s="807">
        <v>116</v>
      </c>
      <c r="B92" s="807" t="s">
        <v>305</v>
      </c>
      <c r="C92" s="807" t="s">
        <v>874</v>
      </c>
      <c r="D92" s="807" t="s">
        <v>434</v>
      </c>
      <c r="E92" s="807" t="s">
        <v>14</v>
      </c>
      <c r="F92" s="807" t="s">
        <v>869</v>
      </c>
      <c r="G92" s="807"/>
      <c r="H92" s="809" t="s">
        <v>39</v>
      </c>
      <c r="I92" s="810" t="s">
        <v>20</v>
      </c>
      <c r="J92" s="810" t="s">
        <v>428</v>
      </c>
      <c r="K92" s="807"/>
      <c r="L92" s="811">
        <v>50</v>
      </c>
      <c r="M92" s="812">
        <v>50</v>
      </c>
      <c r="N92" s="812">
        <v>50</v>
      </c>
      <c r="O92" s="811">
        <v>42</v>
      </c>
      <c r="P92" s="812">
        <v>42</v>
      </c>
      <c r="Q92" s="812">
        <v>42</v>
      </c>
      <c r="R92" s="806" t="s">
        <v>507</v>
      </c>
      <c r="T92" s="815" t="s">
        <v>172</v>
      </c>
      <c r="U92" s="900" t="s">
        <v>1220</v>
      </c>
      <c r="V92" s="731"/>
      <c r="W92" s="732"/>
    </row>
    <row r="93" spans="1:23" x14ac:dyDescent="0.25">
      <c r="A93" s="807">
        <v>117</v>
      </c>
      <c r="B93" s="807" t="s">
        <v>305</v>
      </c>
      <c r="C93" s="807" t="s">
        <v>874</v>
      </c>
      <c r="D93" s="807" t="s">
        <v>434</v>
      </c>
      <c r="E93" s="807" t="s">
        <v>14</v>
      </c>
      <c r="F93" s="807" t="s">
        <v>890</v>
      </c>
      <c r="G93" s="807" t="s">
        <v>891</v>
      </c>
      <c r="H93" s="809" t="s">
        <v>39</v>
      </c>
      <c r="I93" s="810" t="s">
        <v>20</v>
      </c>
      <c r="J93" s="810" t="s">
        <v>428</v>
      </c>
      <c r="K93" s="807"/>
      <c r="L93" s="811">
        <v>14</v>
      </c>
      <c r="M93" s="812">
        <v>14</v>
      </c>
      <c r="N93" s="812">
        <v>14</v>
      </c>
      <c r="O93" s="811">
        <v>13</v>
      </c>
      <c r="P93" s="812">
        <v>13</v>
      </c>
      <c r="Q93" s="812">
        <v>13</v>
      </c>
      <c r="R93" s="813" t="s">
        <v>529</v>
      </c>
      <c r="T93" s="815" t="s">
        <v>172</v>
      </c>
      <c r="U93" s="900" t="s">
        <v>1220</v>
      </c>
      <c r="V93" s="731"/>
      <c r="W93" s="732"/>
    </row>
    <row r="94" spans="1:23" x14ac:dyDescent="0.25">
      <c r="A94" s="807">
        <v>118</v>
      </c>
      <c r="B94" s="807" t="s">
        <v>305</v>
      </c>
      <c r="C94" s="807" t="s">
        <v>874</v>
      </c>
      <c r="D94" s="807" t="s">
        <v>434</v>
      </c>
      <c r="E94" s="807" t="s">
        <v>14</v>
      </c>
      <c r="F94" s="807" t="s">
        <v>875</v>
      </c>
      <c r="G94" s="807"/>
      <c r="H94" s="809" t="s">
        <v>39</v>
      </c>
      <c r="I94" s="810" t="s">
        <v>20</v>
      </c>
      <c r="J94" s="810" t="s">
        <v>428</v>
      </c>
      <c r="K94" s="807"/>
      <c r="L94" s="811">
        <v>35</v>
      </c>
      <c r="M94" s="812">
        <v>47</v>
      </c>
      <c r="N94" s="812">
        <v>47</v>
      </c>
      <c r="O94" s="811">
        <v>35</v>
      </c>
      <c r="P94" s="812">
        <v>47</v>
      </c>
      <c r="Q94" s="812">
        <v>47</v>
      </c>
      <c r="R94" s="806" t="s">
        <v>507</v>
      </c>
      <c r="T94" s="815" t="s">
        <v>172</v>
      </c>
      <c r="U94" s="900" t="s">
        <v>1220</v>
      </c>
      <c r="V94" s="731"/>
      <c r="W94" s="732"/>
    </row>
    <row r="95" spans="1:23" x14ac:dyDescent="0.25">
      <c r="A95" s="807">
        <v>119</v>
      </c>
      <c r="B95" s="807" t="s">
        <v>305</v>
      </c>
      <c r="C95" s="807" t="s">
        <v>874</v>
      </c>
      <c r="D95" s="807" t="s">
        <v>434</v>
      </c>
      <c r="E95" s="807" t="s">
        <v>14</v>
      </c>
      <c r="F95" s="807" t="s">
        <v>892</v>
      </c>
      <c r="G95" s="807" t="s">
        <v>893</v>
      </c>
      <c r="H95" s="809" t="s">
        <v>34</v>
      </c>
      <c r="I95" s="810" t="s">
        <v>20</v>
      </c>
      <c r="J95" s="810" t="s">
        <v>428</v>
      </c>
      <c r="K95" s="807"/>
      <c r="L95" s="811">
        <v>2</v>
      </c>
      <c r="M95" s="812">
        <v>47</v>
      </c>
      <c r="N95" s="812">
        <v>169.75</v>
      </c>
      <c r="O95" s="811">
        <v>2</v>
      </c>
      <c r="P95" s="812">
        <v>47</v>
      </c>
      <c r="Q95" s="812">
        <v>169.75</v>
      </c>
      <c r="R95" s="813" t="s">
        <v>172</v>
      </c>
      <c r="T95" s="815" t="s">
        <v>172</v>
      </c>
      <c r="U95" s="900" t="s">
        <v>1220</v>
      </c>
      <c r="V95" s="731"/>
      <c r="W95" s="732"/>
    </row>
    <row r="96" spans="1:23" x14ac:dyDescent="0.25">
      <c r="A96" s="807">
        <v>120</v>
      </c>
      <c r="B96" s="807" t="s">
        <v>305</v>
      </c>
      <c r="C96" s="807" t="s">
        <v>874</v>
      </c>
      <c r="D96" s="807" t="s">
        <v>434</v>
      </c>
      <c r="E96" s="807" t="s">
        <v>14</v>
      </c>
      <c r="F96" s="807" t="s">
        <v>868</v>
      </c>
      <c r="G96" s="807" t="s">
        <v>868</v>
      </c>
      <c r="H96" s="809" t="s">
        <v>35</v>
      </c>
      <c r="I96" s="810" t="s">
        <v>20</v>
      </c>
      <c r="J96" s="810" t="s">
        <v>428</v>
      </c>
      <c r="K96" s="807"/>
      <c r="L96" s="811">
        <v>96</v>
      </c>
      <c r="M96" s="812">
        <v>7180</v>
      </c>
      <c r="N96" s="812">
        <v>34459</v>
      </c>
      <c r="O96" s="811">
        <v>81</v>
      </c>
      <c r="P96" s="812">
        <v>6736</v>
      </c>
      <c r="Q96" s="812">
        <v>32102.5</v>
      </c>
      <c r="R96" s="813" t="s">
        <v>172</v>
      </c>
      <c r="T96" s="815" t="s">
        <v>172</v>
      </c>
      <c r="U96" s="900" t="s">
        <v>1220</v>
      </c>
      <c r="V96" s="731"/>
      <c r="W96" s="732"/>
    </row>
    <row r="97" spans="1:23" x14ac:dyDescent="0.25">
      <c r="A97" s="807">
        <v>121</v>
      </c>
      <c r="B97" s="807" t="s">
        <v>305</v>
      </c>
      <c r="C97" s="807" t="s">
        <v>874</v>
      </c>
      <c r="D97" s="807" t="s">
        <v>434</v>
      </c>
      <c r="E97" s="807" t="s">
        <v>14</v>
      </c>
      <c r="F97" s="807" t="s">
        <v>863</v>
      </c>
      <c r="G97" s="807" t="s">
        <v>863</v>
      </c>
      <c r="H97" s="809" t="s">
        <v>18</v>
      </c>
      <c r="I97" s="810" t="s">
        <v>15</v>
      </c>
      <c r="J97" s="810" t="s">
        <v>421</v>
      </c>
      <c r="K97" s="807"/>
      <c r="L97" s="811">
        <v>1</v>
      </c>
      <c r="M97" s="812">
        <v>8</v>
      </c>
      <c r="N97" s="812">
        <v>40</v>
      </c>
      <c r="O97" s="811">
        <v>1</v>
      </c>
      <c r="P97" s="812">
        <v>8</v>
      </c>
      <c r="Q97" s="812">
        <v>40</v>
      </c>
      <c r="R97" s="813" t="s">
        <v>172</v>
      </c>
      <c r="T97" s="815" t="s">
        <v>172</v>
      </c>
      <c r="U97" s="900" t="s">
        <v>1220</v>
      </c>
      <c r="V97" s="731"/>
      <c r="W97" s="732"/>
    </row>
    <row r="98" spans="1:23" x14ac:dyDescent="0.25">
      <c r="A98" s="807">
        <v>122</v>
      </c>
      <c r="B98" s="807" t="s">
        <v>305</v>
      </c>
      <c r="C98" s="807" t="s">
        <v>874</v>
      </c>
      <c r="D98" s="807" t="s">
        <v>434</v>
      </c>
      <c r="E98" s="807" t="s">
        <v>14</v>
      </c>
      <c r="F98" s="807" t="s">
        <v>933</v>
      </c>
      <c r="G98" s="807" t="s">
        <v>933</v>
      </c>
      <c r="H98" s="809" t="s">
        <v>37</v>
      </c>
      <c r="I98" s="810" t="s">
        <v>20</v>
      </c>
      <c r="J98" s="810" t="s">
        <v>428</v>
      </c>
      <c r="K98" s="807"/>
      <c r="L98" s="811">
        <v>3</v>
      </c>
      <c r="M98" s="812">
        <v>348</v>
      </c>
      <c r="N98" s="812">
        <v>4524</v>
      </c>
      <c r="O98" s="811">
        <v>3</v>
      </c>
      <c r="P98" s="812">
        <v>348</v>
      </c>
      <c r="Q98" s="812">
        <v>4524</v>
      </c>
      <c r="R98" s="813" t="s">
        <v>172</v>
      </c>
      <c r="T98" s="815">
        <v>13</v>
      </c>
      <c r="U98" s="900" t="s">
        <v>1220</v>
      </c>
      <c r="V98" s="731"/>
      <c r="W98" s="732"/>
    </row>
    <row r="99" spans="1:23" x14ac:dyDescent="0.25">
      <c r="A99" s="807">
        <v>127</v>
      </c>
      <c r="B99" s="807" t="s">
        <v>305</v>
      </c>
      <c r="C99" s="807" t="s">
        <v>876</v>
      </c>
      <c r="D99" s="807" t="s">
        <v>434</v>
      </c>
      <c r="E99" s="807" t="s">
        <v>15</v>
      </c>
      <c r="F99" s="807" t="s">
        <v>890</v>
      </c>
      <c r="G99" s="807"/>
      <c r="H99" s="809" t="s">
        <v>39</v>
      </c>
      <c r="I99" s="810" t="s">
        <v>20</v>
      </c>
      <c r="J99" s="810" t="s">
        <v>428</v>
      </c>
      <c r="K99" s="807"/>
      <c r="L99" s="811">
        <v>1</v>
      </c>
      <c r="M99" s="812">
        <v>1</v>
      </c>
      <c r="N99" s="812">
        <v>1</v>
      </c>
      <c r="O99" s="811">
        <v>1</v>
      </c>
      <c r="P99" s="812">
        <v>1</v>
      </c>
      <c r="Q99" s="812">
        <v>1</v>
      </c>
      <c r="R99" s="813" t="s">
        <v>529</v>
      </c>
      <c r="T99" s="815" t="s">
        <v>172</v>
      </c>
      <c r="U99" s="900" t="s">
        <v>1220</v>
      </c>
      <c r="V99" s="731"/>
      <c r="W99" s="732"/>
    </row>
    <row r="100" spans="1:23" x14ac:dyDescent="0.25">
      <c r="A100" s="807">
        <v>128</v>
      </c>
      <c r="B100" s="807" t="s">
        <v>305</v>
      </c>
      <c r="C100" s="807" t="s">
        <v>876</v>
      </c>
      <c r="D100" s="807" t="s">
        <v>434</v>
      </c>
      <c r="E100" s="807" t="s">
        <v>15</v>
      </c>
      <c r="F100" s="807" t="s">
        <v>868</v>
      </c>
      <c r="G100" s="807" t="s">
        <v>868</v>
      </c>
      <c r="H100" s="809" t="s">
        <v>35</v>
      </c>
      <c r="I100" s="810" t="s">
        <v>20</v>
      </c>
      <c r="J100" s="810" t="s">
        <v>428</v>
      </c>
      <c r="K100" s="807"/>
      <c r="L100" s="811">
        <v>1</v>
      </c>
      <c r="M100" s="812">
        <v>6</v>
      </c>
      <c r="N100" s="812">
        <v>22</v>
      </c>
      <c r="O100" s="811">
        <v>1</v>
      </c>
      <c r="P100" s="812">
        <v>6</v>
      </c>
      <c r="Q100" s="812">
        <v>22</v>
      </c>
      <c r="R100" s="813" t="s">
        <v>172</v>
      </c>
      <c r="T100" s="815" t="s">
        <v>172</v>
      </c>
      <c r="U100" s="900" t="s">
        <v>1220</v>
      </c>
      <c r="V100" s="731"/>
      <c r="W100" s="732"/>
    </row>
    <row r="101" spans="1:23" x14ac:dyDescent="0.25">
      <c r="A101" s="807">
        <v>129</v>
      </c>
      <c r="B101" s="807" t="s">
        <v>305</v>
      </c>
      <c r="C101" s="807" t="s">
        <v>876</v>
      </c>
      <c r="D101" s="807" t="s">
        <v>434</v>
      </c>
      <c r="E101" s="807" t="s">
        <v>15</v>
      </c>
      <c r="F101" s="807" t="s">
        <v>863</v>
      </c>
      <c r="G101" s="807" t="s">
        <v>863</v>
      </c>
      <c r="H101" s="809" t="s">
        <v>18</v>
      </c>
      <c r="I101" s="810" t="s">
        <v>15</v>
      </c>
      <c r="J101" s="810" t="s">
        <v>421</v>
      </c>
      <c r="K101" s="807"/>
      <c r="L101" s="811">
        <v>91</v>
      </c>
      <c r="M101" s="812">
        <v>12522</v>
      </c>
      <c r="N101" s="812">
        <v>56128.25</v>
      </c>
      <c r="O101" s="811">
        <v>88</v>
      </c>
      <c r="P101" s="812">
        <v>12213</v>
      </c>
      <c r="Q101" s="812">
        <v>54710.75</v>
      </c>
      <c r="R101" s="813" t="s">
        <v>172</v>
      </c>
      <c r="T101" s="815" t="s">
        <v>172</v>
      </c>
      <c r="U101" s="900" t="s">
        <v>1220</v>
      </c>
      <c r="V101" s="731"/>
      <c r="W101" s="732"/>
    </row>
    <row r="102" spans="1:23" x14ac:dyDescent="0.25">
      <c r="A102" s="807">
        <v>130</v>
      </c>
      <c r="B102" s="807" t="s">
        <v>305</v>
      </c>
      <c r="C102" s="807" t="s">
        <v>876</v>
      </c>
      <c r="D102" s="807" t="s">
        <v>434</v>
      </c>
      <c r="E102" s="807" t="s">
        <v>15</v>
      </c>
      <c r="F102" s="807" t="s">
        <v>934</v>
      </c>
      <c r="G102" s="807" t="s">
        <v>934</v>
      </c>
      <c r="H102" s="809" t="s">
        <v>43</v>
      </c>
      <c r="I102" s="810" t="s">
        <v>15</v>
      </c>
      <c r="J102" s="810" t="s">
        <v>421</v>
      </c>
      <c r="K102" s="807"/>
      <c r="L102" s="811">
        <v>1</v>
      </c>
      <c r="M102" s="812">
        <v>365</v>
      </c>
      <c r="N102" s="812">
        <v>4745</v>
      </c>
      <c r="O102" s="811">
        <v>1</v>
      </c>
      <c r="P102" s="812">
        <v>365</v>
      </c>
      <c r="Q102" s="812">
        <v>4745</v>
      </c>
      <c r="R102" s="813" t="s">
        <v>172</v>
      </c>
      <c r="T102" s="815">
        <v>13</v>
      </c>
      <c r="U102" s="900" t="s">
        <v>1220</v>
      </c>
      <c r="V102" s="731"/>
      <c r="W102" s="732"/>
    </row>
    <row r="103" spans="1:23" x14ac:dyDescent="0.25">
      <c r="A103" s="807">
        <v>131</v>
      </c>
      <c r="B103" s="807" t="s">
        <v>305</v>
      </c>
      <c r="C103" s="807" t="s">
        <v>894</v>
      </c>
      <c r="D103" s="807" t="s">
        <v>14</v>
      </c>
      <c r="E103" s="807" t="s">
        <v>14</v>
      </c>
      <c r="F103" s="807" t="s">
        <v>885</v>
      </c>
      <c r="G103" s="807" t="s">
        <v>868</v>
      </c>
      <c r="H103" s="809" t="s">
        <v>35</v>
      </c>
      <c r="I103" s="810" t="s">
        <v>20</v>
      </c>
      <c r="J103" s="810" t="s">
        <v>428</v>
      </c>
      <c r="K103" s="807"/>
      <c r="L103" s="811">
        <v>2</v>
      </c>
      <c r="M103" s="812">
        <v>14</v>
      </c>
      <c r="N103" s="812">
        <v>53</v>
      </c>
      <c r="O103" s="811">
        <v>1</v>
      </c>
      <c r="P103" s="812">
        <v>1</v>
      </c>
      <c r="Q103" s="812">
        <v>1</v>
      </c>
      <c r="R103" s="813" t="s">
        <v>172</v>
      </c>
      <c r="T103" s="815" t="s">
        <v>172</v>
      </c>
      <c r="U103" s="900" t="s">
        <v>1220</v>
      </c>
      <c r="V103" s="731"/>
      <c r="W103" s="732"/>
    </row>
    <row r="104" spans="1:23" x14ac:dyDescent="0.25">
      <c r="A104" s="807">
        <v>132</v>
      </c>
      <c r="B104" s="807" t="s">
        <v>305</v>
      </c>
      <c r="C104" s="807" t="s">
        <v>894</v>
      </c>
      <c r="D104" s="807" t="s">
        <v>14</v>
      </c>
      <c r="E104" s="807" t="s">
        <v>14</v>
      </c>
      <c r="F104" s="807" t="s">
        <v>869</v>
      </c>
      <c r="G104" s="807" t="s">
        <v>895</v>
      </c>
      <c r="H104" s="809" t="s">
        <v>39</v>
      </c>
      <c r="I104" s="810" t="s">
        <v>20</v>
      </c>
      <c r="J104" s="810" t="s">
        <v>428</v>
      </c>
      <c r="K104" s="807"/>
      <c r="L104" s="811">
        <v>2</v>
      </c>
      <c r="M104" s="812">
        <v>2</v>
      </c>
      <c r="N104" s="812">
        <v>2</v>
      </c>
      <c r="O104" s="811">
        <v>1</v>
      </c>
      <c r="P104" s="812">
        <v>1</v>
      </c>
      <c r="Q104" s="812">
        <v>1</v>
      </c>
      <c r="R104" s="806" t="s">
        <v>507</v>
      </c>
      <c r="T104" s="815" t="s">
        <v>172</v>
      </c>
      <c r="U104" s="900" t="s">
        <v>1220</v>
      </c>
      <c r="V104" s="731"/>
      <c r="W104" s="732"/>
    </row>
    <row r="105" spans="1:23" x14ac:dyDescent="0.25">
      <c r="A105" s="807">
        <v>133</v>
      </c>
      <c r="B105" s="807" t="s">
        <v>305</v>
      </c>
      <c r="C105" s="807" t="s">
        <v>894</v>
      </c>
      <c r="D105" s="807" t="s">
        <v>14</v>
      </c>
      <c r="E105" s="807" t="s">
        <v>14</v>
      </c>
      <c r="F105" s="807" t="s">
        <v>896</v>
      </c>
      <c r="G105" s="807" t="s">
        <v>895</v>
      </c>
      <c r="H105" s="809" t="s">
        <v>39</v>
      </c>
      <c r="I105" s="810" t="s">
        <v>20</v>
      </c>
      <c r="J105" s="810" t="s">
        <v>428</v>
      </c>
      <c r="K105" s="807"/>
      <c r="L105" s="811">
        <v>7</v>
      </c>
      <c r="M105" s="812">
        <v>7</v>
      </c>
      <c r="N105" s="812">
        <v>7</v>
      </c>
      <c r="O105" s="811">
        <v>7</v>
      </c>
      <c r="P105" s="812">
        <v>7</v>
      </c>
      <c r="Q105" s="812">
        <v>7</v>
      </c>
      <c r="R105" s="813" t="s">
        <v>529</v>
      </c>
      <c r="T105" s="815" t="s">
        <v>172</v>
      </c>
      <c r="U105" s="900" t="s">
        <v>1220</v>
      </c>
      <c r="V105" s="731"/>
      <c r="W105" s="732"/>
    </row>
    <row r="106" spans="1:23" x14ac:dyDescent="0.25">
      <c r="A106" s="807">
        <v>134</v>
      </c>
      <c r="B106" s="807" t="s">
        <v>305</v>
      </c>
      <c r="C106" s="807" t="s">
        <v>894</v>
      </c>
      <c r="D106" s="807" t="s">
        <v>14</v>
      </c>
      <c r="E106" s="807" t="s">
        <v>14</v>
      </c>
      <c r="F106" s="807" t="s">
        <v>875</v>
      </c>
      <c r="G106" s="807"/>
      <c r="H106" s="809" t="s">
        <v>39</v>
      </c>
      <c r="I106" s="810" t="s">
        <v>20</v>
      </c>
      <c r="J106" s="810" t="s">
        <v>428</v>
      </c>
      <c r="K106" s="807"/>
      <c r="L106" s="811">
        <v>1</v>
      </c>
      <c r="M106" s="812">
        <v>1</v>
      </c>
      <c r="N106" s="812">
        <v>1</v>
      </c>
      <c r="O106" s="811">
        <v>1</v>
      </c>
      <c r="P106" s="812">
        <v>1</v>
      </c>
      <c r="Q106" s="812">
        <v>1</v>
      </c>
      <c r="R106" s="806" t="s">
        <v>507</v>
      </c>
      <c r="T106" s="815" t="s">
        <v>172</v>
      </c>
      <c r="U106" s="900" t="s">
        <v>1220</v>
      </c>
      <c r="V106" s="731"/>
      <c r="W106" s="732"/>
    </row>
    <row r="107" spans="1:23" x14ac:dyDescent="0.25">
      <c r="A107" s="807">
        <v>137</v>
      </c>
      <c r="B107" s="807" t="s">
        <v>305</v>
      </c>
      <c r="C107" s="807" t="s">
        <v>935</v>
      </c>
      <c r="D107" s="807" t="s">
        <v>495</v>
      </c>
      <c r="E107" s="807" t="s">
        <v>15</v>
      </c>
      <c r="F107" s="807" t="s">
        <v>936</v>
      </c>
      <c r="G107" s="807" t="s">
        <v>863</v>
      </c>
      <c r="H107" s="809" t="s">
        <v>18</v>
      </c>
      <c r="I107" s="810" t="s">
        <v>15</v>
      </c>
      <c r="J107" s="810" t="s">
        <v>421</v>
      </c>
      <c r="K107" s="807"/>
      <c r="L107" s="811">
        <v>4</v>
      </c>
      <c r="M107" s="812">
        <v>1065</v>
      </c>
      <c r="N107" s="812">
        <v>4956.75</v>
      </c>
      <c r="O107" s="811">
        <v>4</v>
      </c>
      <c r="P107" s="812">
        <v>1065</v>
      </c>
      <c r="Q107" s="812">
        <v>4956.75</v>
      </c>
      <c r="R107" s="813" t="s">
        <v>172</v>
      </c>
      <c r="T107" s="815" t="s">
        <v>172</v>
      </c>
      <c r="U107" s="900" t="s">
        <v>1220</v>
      </c>
      <c r="V107" s="731"/>
      <c r="W107" s="732"/>
    </row>
    <row r="108" spans="1:23" x14ac:dyDescent="0.25">
      <c r="A108" s="807">
        <v>140</v>
      </c>
      <c r="B108" s="807" t="s">
        <v>305</v>
      </c>
      <c r="C108" s="807" t="s">
        <v>937</v>
      </c>
      <c r="D108" s="807" t="s">
        <v>14</v>
      </c>
      <c r="E108" s="807" t="s">
        <v>14</v>
      </c>
      <c r="F108" s="807" t="s">
        <v>885</v>
      </c>
      <c r="G108" s="807" t="s">
        <v>868</v>
      </c>
      <c r="H108" s="809" t="s">
        <v>35</v>
      </c>
      <c r="I108" s="810" t="s">
        <v>20</v>
      </c>
      <c r="J108" s="810" t="s">
        <v>428</v>
      </c>
      <c r="K108" s="807"/>
      <c r="L108" s="811">
        <v>4</v>
      </c>
      <c r="M108" s="812">
        <v>628</v>
      </c>
      <c r="N108" s="812">
        <v>2389.25</v>
      </c>
      <c r="O108" s="811">
        <v>4</v>
      </c>
      <c r="P108" s="812">
        <v>628</v>
      </c>
      <c r="Q108" s="812">
        <v>2389.25</v>
      </c>
      <c r="R108" s="813" t="s">
        <v>172</v>
      </c>
      <c r="T108" s="815" t="s">
        <v>172</v>
      </c>
      <c r="U108" s="900" t="s">
        <v>1220</v>
      </c>
      <c r="V108" s="731"/>
      <c r="W108" s="732"/>
    </row>
    <row r="109" spans="1:23" x14ac:dyDescent="0.25">
      <c r="A109" s="807">
        <v>141</v>
      </c>
      <c r="B109" s="807" t="s">
        <v>305</v>
      </c>
      <c r="C109" s="807" t="s">
        <v>937</v>
      </c>
      <c r="D109" s="807" t="s">
        <v>14</v>
      </c>
      <c r="E109" s="807" t="s">
        <v>14</v>
      </c>
      <c r="F109" s="807" t="s">
        <v>932</v>
      </c>
      <c r="G109" s="807" t="s">
        <v>933</v>
      </c>
      <c r="H109" s="809" t="s">
        <v>37</v>
      </c>
      <c r="I109" s="810" t="s">
        <v>20</v>
      </c>
      <c r="J109" s="810" t="s">
        <v>428</v>
      </c>
      <c r="K109" s="807"/>
      <c r="L109" s="811">
        <v>1</v>
      </c>
      <c r="M109" s="812">
        <v>10</v>
      </c>
      <c r="N109" s="812">
        <v>130</v>
      </c>
      <c r="O109" s="811">
        <v>1</v>
      </c>
      <c r="P109" s="812">
        <v>10</v>
      </c>
      <c r="Q109" s="812">
        <v>130</v>
      </c>
      <c r="R109" s="813" t="s">
        <v>172</v>
      </c>
      <c r="T109" s="815">
        <v>13</v>
      </c>
      <c r="U109" s="900" t="s">
        <v>1220</v>
      </c>
      <c r="V109" s="731"/>
      <c r="W109" s="732"/>
    </row>
    <row r="110" spans="1:23" x14ac:dyDescent="0.25">
      <c r="A110" s="807">
        <v>142</v>
      </c>
      <c r="B110" s="807" t="s">
        <v>305</v>
      </c>
      <c r="C110" s="807" t="s">
        <v>937</v>
      </c>
      <c r="D110" s="807" t="s">
        <v>14</v>
      </c>
      <c r="E110" s="807" t="s">
        <v>14</v>
      </c>
      <c r="F110" s="807" t="s">
        <v>869</v>
      </c>
      <c r="G110" s="807"/>
      <c r="H110" s="809" t="s">
        <v>39</v>
      </c>
      <c r="I110" s="810" t="s">
        <v>20</v>
      </c>
      <c r="J110" s="810" t="s">
        <v>428</v>
      </c>
      <c r="K110" s="807"/>
      <c r="L110" s="811">
        <v>4</v>
      </c>
      <c r="M110" s="812">
        <v>4</v>
      </c>
      <c r="N110" s="812">
        <v>4</v>
      </c>
      <c r="O110" s="811">
        <v>4</v>
      </c>
      <c r="P110" s="812">
        <v>4</v>
      </c>
      <c r="Q110" s="812">
        <v>4</v>
      </c>
      <c r="R110" s="806" t="s">
        <v>507</v>
      </c>
      <c r="T110" s="815" t="s">
        <v>172</v>
      </c>
      <c r="U110" s="900" t="s">
        <v>1220</v>
      </c>
      <c r="V110" s="731"/>
      <c r="W110" s="732"/>
    </row>
    <row r="111" spans="1:23" x14ac:dyDescent="0.25">
      <c r="A111" s="807">
        <v>143</v>
      </c>
      <c r="B111" s="807" t="s">
        <v>305</v>
      </c>
      <c r="C111" s="807" t="s">
        <v>937</v>
      </c>
      <c r="D111" s="807" t="s">
        <v>14</v>
      </c>
      <c r="E111" s="807" t="s">
        <v>14</v>
      </c>
      <c r="F111" s="807" t="s">
        <v>875</v>
      </c>
      <c r="G111" s="807"/>
      <c r="H111" s="809" t="s">
        <v>39</v>
      </c>
      <c r="I111" s="810" t="s">
        <v>20</v>
      </c>
      <c r="J111" s="810" t="s">
        <v>428</v>
      </c>
      <c r="K111" s="807"/>
      <c r="L111" s="811">
        <v>2</v>
      </c>
      <c r="M111" s="812">
        <v>2</v>
      </c>
      <c r="N111" s="812">
        <v>2</v>
      </c>
      <c r="O111" s="811">
        <v>2</v>
      </c>
      <c r="P111" s="812">
        <v>2</v>
      </c>
      <c r="Q111" s="812">
        <v>2</v>
      </c>
      <c r="R111" s="806" t="s">
        <v>507</v>
      </c>
      <c r="T111" s="815" t="s">
        <v>172</v>
      </c>
      <c r="U111" s="900" t="s">
        <v>1220</v>
      </c>
      <c r="V111" s="731"/>
      <c r="W111" s="732"/>
    </row>
    <row r="112" spans="1:23" x14ac:dyDescent="0.25">
      <c r="A112" s="807">
        <v>146</v>
      </c>
      <c r="B112" s="807" t="s">
        <v>305</v>
      </c>
      <c r="C112" s="807" t="s">
        <v>938</v>
      </c>
      <c r="D112" s="807" t="s">
        <v>495</v>
      </c>
      <c r="E112" s="807" t="s">
        <v>15</v>
      </c>
      <c r="F112" s="807" t="s">
        <v>939</v>
      </c>
      <c r="G112" s="807" t="s">
        <v>863</v>
      </c>
      <c r="H112" s="809" t="s">
        <v>18</v>
      </c>
      <c r="I112" s="810" t="s">
        <v>15</v>
      </c>
      <c r="J112" s="810" t="s">
        <v>421</v>
      </c>
      <c r="K112" s="807"/>
      <c r="L112" s="811">
        <v>4</v>
      </c>
      <c r="M112" s="812">
        <v>731</v>
      </c>
      <c r="N112" s="812">
        <v>3622.25</v>
      </c>
      <c r="O112" s="811">
        <v>4</v>
      </c>
      <c r="P112" s="812">
        <v>731</v>
      </c>
      <c r="Q112" s="812">
        <v>3622.25</v>
      </c>
      <c r="R112" s="813" t="s">
        <v>172</v>
      </c>
      <c r="T112" s="815" t="s">
        <v>172</v>
      </c>
      <c r="U112" s="900" t="s">
        <v>1220</v>
      </c>
      <c r="V112" s="731"/>
      <c r="W112" s="732"/>
    </row>
    <row r="113" spans="1:23" x14ac:dyDescent="0.25">
      <c r="A113" s="807">
        <v>149</v>
      </c>
      <c r="B113" s="807" t="s">
        <v>305</v>
      </c>
      <c r="C113" s="807" t="s">
        <v>940</v>
      </c>
      <c r="D113" s="807" t="s">
        <v>495</v>
      </c>
      <c r="E113" s="807" t="s">
        <v>14</v>
      </c>
      <c r="F113" s="807" t="s">
        <v>885</v>
      </c>
      <c r="G113" s="807" t="s">
        <v>868</v>
      </c>
      <c r="H113" s="809" t="s">
        <v>35</v>
      </c>
      <c r="I113" s="810" t="s">
        <v>20</v>
      </c>
      <c r="J113" s="810" t="s">
        <v>428</v>
      </c>
      <c r="K113" s="807"/>
      <c r="L113" s="811">
        <v>9</v>
      </c>
      <c r="M113" s="812">
        <v>711</v>
      </c>
      <c r="N113" s="812">
        <v>3766.25</v>
      </c>
      <c r="O113" s="811">
        <v>9</v>
      </c>
      <c r="P113" s="812">
        <v>711</v>
      </c>
      <c r="Q113" s="812">
        <v>3766.25</v>
      </c>
      <c r="R113" s="813" t="s">
        <v>172</v>
      </c>
      <c r="T113" s="815" t="s">
        <v>172</v>
      </c>
      <c r="U113" s="900" t="s">
        <v>1220</v>
      </c>
      <c r="V113" s="731"/>
      <c r="W113" s="732"/>
    </row>
    <row r="114" spans="1:23" x14ac:dyDescent="0.25">
      <c r="A114" s="807">
        <v>150</v>
      </c>
      <c r="B114" s="807" t="s">
        <v>305</v>
      </c>
      <c r="C114" s="807" t="s">
        <v>940</v>
      </c>
      <c r="D114" s="807" t="s">
        <v>495</v>
      </c>
      <c r="E114" s="807" t="s">
        <v>14</v>
      </c>
      <c r="F114" s="807" t="s">
        <v>889</v>
      </c>
      <c r="G114" s="807"/>
      <c r="H114" s="809" t="s">
        <v>39</v>
      </c>
      <c r="I114" s="810" t="s">
        <v>20</v>
      </c>
      <c r="J114" s="810" t="s">
        <v>428</v>
      </c>
      <c r="K114" s="807"/>
      <c r="L114" s="811">
        <v>1</v>
      </c>
      <c r="M114" s="812">
        <v>2</v>
      </c>
      <c r="N114" s="812">
        <v>2</v>
      </c>
      <c r="O114" s="811">
        <v>1</v>
      </c>
      <c r="P114" s="812">
        <v>2</v>
      </c>
      <c r="Q114" s="812">
        <v>2</v>
      </c>
      <c r="R114" s="806" t="s">
        <v>507</v>
      </c>
      <c r="T114" s="815" t="s">
        <v>172</v>
      </c>
      <c r="U114" s="900" t="s">
        <v>1220</v>
      </c>
      <c r="V114" s="731"/>
      <c r="W114" s="732"/>
    </row>
    <row r="115" spans="1:23" x14ac:dyDescent="0.25">
      <c r="A115" s="807">
        <v>151</v>
      </c>
      <c r="B115" s="807" t="s">
        <v>305</v>
      </c>
      <c r="C115" s="807" t="s">
        <v>940</v>
      </c>
      <c r="D115" s="807" t="s">
        <v>495</v>
      </c>
      <c r="E115" s="807" t="s">
        <v>14</v>
      </c>
      <c r="F115" s="807" t="s">
        <v>869</v>
      </c>
      <c r="G115" s="807"/>
      <c r="H115" s="809" t="s">
        <v>39</v>
      </c>
      <c r="I115" s="810" t="s">
        <v>20</v>
      </c>
      <c r="J115" s="810" t="s">
        <v>428</v>
      </c>
      <c r="K115" s="807"/>
      <c r="L115" s="811">
        <v>7</v>
      </c>
      <c r="M115" s="812">
        <v>7</v>
      </c>
      <c r="N115" s="812">
        <v>7</v>
      </c>
      <c r="O115" s="811">
        <v>7</v>
      </c>
      <c r="P115" s="812">
        <v>7</v>
      </c>
      <c r="Q115" s="812">
        <v>7</v>
      </c>
      <c r="R115" s="806" t="s">
        <v>507</v>
      </c>
      <c r="T115" s="815" t="s">
        <v>172</v>
      </c>
      <c r="U115" s="900" t="s">
        <v>1220</v>
      </c>
      <c r="V115" s="731"/>
      <c r="W115" s="732"/>
    </row>
    <row r="116" spans="1:23" x14ac:dyDescent="0.25">
      <c r="A116" s="807">
        <v>152</v>
      </c>
      <c r="B116" s="807" t="s">
        <v>305</v>
      </c>
      <c r="C116" s="807" t="s">
        <v>940</v>
      </c>
      <c r="D116" s="807" t="s">
        <v>495</v>
      </c>
      <c r="E116" s="807" t="s">
        <v>14</v>
      </c>
      <c r="F116" s="807" t="s">
        <v>875</v>
      </c>
      <c r="G116" s="807"/>
      <c r="H116" s="809" t="s">
        <v>39</v>
      </c>
      <c r="I116" s="810" t="s">
        <v>20</v>
      </c>
      <c r="J116" s="810" t="s">
        <v>428</v>
      </c>
      <c r="K116" s="807"/>
      <c r="L116" s="811">
        <v>1</v>
      </c>
      <c r="M116" s="812">
        <v>1</v>
      </c>
      <c r="N116" s="812">
        <v>1</v>
      </c>
      <c r="O116" s="811">
        <v>1</v>
      </c>
      <c r="P116" s="812">
        <v>1</v>
      </c>
      <c r="Q116" s="812">
        <v>1</v>
      </c>
      <c r="R116" s="806" t="s">
        <v>507</v>
      </c>
      <c r="T116" s="815" t="s">
        <v>172</v>
      </c>
      <c r="U116" s="900" t="s">
        <v>1220</v>
      </c>
      <c r="V116" s="731"/>
      <c r="W116" s="732"/>
    </row>
    <row r="117" spans="1:23" x14ac:dyDescent="0.25">
      <c r="A117" s="807">
        <v>154</v>
      </c>
      <c r="B117" s="807" t="s">
        <v>305</v>
      </c>
      <c r="C117" s="807" t="s">
        <v>941</v>
      </c>
      <c r="D117" s="807" t="s">
        <v>13</v>
      </c>
      <c r="E117" s="807" t="s">
        <v>14</v>
      </c>
      <c r="F117" s="807" t="s">
        <v>889</v>
      </c>
      <c r="G117" s="807"/>
      <c r="H117" s="809" t="s">
        <v>39</v>
      </c>
      <c r="I117" s="810" t="s">
        <v>20</v>
      </c>
      <c r="J117" s="810" t="s">
        <v>428</v>
      </c>
      <c r="K117" s="807"/>
      <c r="L117" s="811">
        <v>4</v>
      </c>
      <c r="M117" s="812">
        <v>5</v>
      </c>
      <c r="N117" s="812">
        <v>5</v>
      </c>
      <c r="O117" s="811">
        <v>4</v>
      </c>
      <c r="P117" s="812">
        <v>5</v>
      </c>
      <c r="Q117" s="812">
        <v>5</v>
      </c>
      <c r="R117" s="806" t="s">
        <v>507</v>
      </c>
      <c r="T117" s="815" t="s">
        <v>172</v>
      </c>
      <c r="U117" s="900" t="s">
        <v>1220</v>
      </c>
      <c r="V117" s="731"/>
      <c r="W117" s="732"/>
    </row>
    <row r="118" spans="1:23" x14ac:dyDescent="0.25">
      <c r="A118" s="807">
        <v>155</v>
      </c>
      <c r="B118" s="807" t="s">
        <v>305</v>
      </c>
      <c r="C118" s="807" t="s">
        <v>941</v>
      </c>
      <c r="D118" s="807" t="s">
        <v>13</v>
      </c>
      <c r="E118" s="807" t="s">
        <v>14</v>
      </c>
      <c r="F118" s="807" t="s">
        <v>869</v>
      </c>
      <c r="G118" s="807"/>
      <c r="H118" s="809" t="s">
        <v>39</v>
      </c>
      <c r="I118" s="810" t="s">
        <v>20</v>
      </c>
      <c r="J118" s="810" t="s">
        <v>428</v>
      </c>
      <c r="K118" s="807"/>
      <c r="L118" s="811">
        <v>32</v>
      </c>
      <c r="M118" s="812">
        <v>32</v>
      </c>
      <c r="N118" s="812">
        <v>32</v>
      </c>
      <c r="O118" s="811">
        <v>25</v>
      </c>
      <c r="P118" s="812">
        <v>25</v>
      </c>
      <c r="Q118" s="812">
        <v>25</v>
      </c>
      <c r="R118" s="806" t="s">
        <v>507</v>
      </c>
      <c r="T118" s="815" t="s">
        <v>172</v>
      </c>
      <c r="U118" s="900" t="s">
        <v>1220</v>
      </c>
      <c r="V118" s="731"/>
      <c r="W118" s="732"/>
    </row>
    <row r="119" spans="1:23" x14ac:dyDescent="0.25">
      <c r="A119" s="807">
        <v>156</v>
      </c>
      <c r="B119" s="807" t="s">
        <v>305</v>
      </c>
      <c r="C119" s="807" t="s">
        <v>941</v>
      </c>
      <c r="D119" s="807" t="s">
        <v>13</v>
      </c>
      <c r="E119" s="807" t="s">
        <v>14</v>
      </c>
      <c r="F119" s="807" t="s">
        <v>875</v>
      </c>
      <c r="G119" s="807"/>
      <c r="H119" s="809" t="s">
        <v>39</v>
      </c>
      <c r="I119" s="810" t="s">
        <v>20</v>
      </c>
      <c r="J119" s="810" t="s">
        <v>428</v>
      </c>
      <c r="K119" s="807"/>
      <c r="L119" s="811">
        <v>29</v>
      </c>
      <c r="M119" s="812">
        <v>44</v>
      </c>
      <c r="N119" s="812">
        <v>44</v>
      </c>
      <c r="O119" s="811">
        <v>28</v>
      </c>
      <c r="P119" s="812">
        <v>43</v>
      </c>
      <c r="Q119" s="812">
        <v>43</v>
      </c>
      <c r="R119" s="806" t="s">
        <v>507</v>
      </c>
      <c r="T119" s="815" t="s">
        <v>172</v>
      </c>
      <c r="U119" s="900" t="s">
        <v>1220</v>
      </c>
      <c r="V119" s="731"/>
      <c r="W119" s="732"/>
    </row>
    <row r="120" spans="1:23" x14ac:dyDescent="0.25">
      <c r="A120" s="807">
        <v>157</v>
      </c>
      <c r="B120" s="807" t="s">
        <v>305</v>
      </c>
      <c r="C120" s="807" t="s">
        <v>941</v>
      </c>
      <c r="D120" s="807" t="s">
        <v>13</v>
      </c>
      <c r="E120" s="807" t="s">
        <v>14</v>
      </c>
      <c r="F120" s="807" t="s">
        <v>868</v>
      </c>
      <c r="G120" s="807" t="s">
        <v>868</v>
      </c>
      <c r="H120" s="809" t="s">
        <v>35</v>
      </c>
      <c r="I120" s="810" t="s">
        <v>20</v>
      </c>
      <c r="J120" s="810" t="s">
        <v>428</v>
      </c>
      <c r="K120" s="807"/>
      <c r="L120" s="811">
        <v>67</v>
      </c>
      <c r="M120" s="812">
        <v>6630</v>
      </c>
      <c r="N120" s="812">
        <v>39056</v>
      </c>
      <c r="O120" s="811">
        <v>57</v>
      </c>
      <c r="P120" s="812">
        <v>6349</v>
      </c>
      <c r="Q120" s="812">
        <v>37650.5</v>
      </c>
      <c r="R120" s="813" t="s">
        <v>172</v>
      </c>
      <c r="T120" s="815" t="s">
        <v>172</v>
      </c>
      <c r="U120" s="900" t="s">
        <v>1220</v>
      </c>
      <c r="V120" s="731"/>
      <c r="W120" s="732"/>
    </row>
    <row r="121" spans="1:23" x14ac:dyDescent="0.25">
      <c r="A121" s="807">
        <v>158</v>
      </c>
      <c r="B121" s="807" t="s">
        <v>305</v>
      </c>
      <c r="C121" s="807" t="s">
        <v>941</v>
      </c>
      <c r="D121" s="807" t="s">
        <v>13</v>
      </c>
      <c r="E121" s="807" t="s">
        <v>14</v>
      </c>
      <c r="F121" s="807" t="s">
        <v>942</v>
      </c>
      <c r="G121" s="807" t="s">
        <v>868</v>
      </c>
      <c r="H121" s="809" t="s">
        <v>35</v>
      </c>
      <c r="I121" s="810" t="s">
        <v>20</v>
      </c>
      <c r="J121" s="810" t="s">
        <v>428</v>
      </c>
      <c r="K121" s="807"/>
      <c r="L121" s="811">
        <v>1</v>
      </c>
      <c r="M121" s="812">
        <v>8</v>
      </c>
      <c r="N121" s="812">
        <v>62.5</v>
      </c>
      <c r="O121" s="811">
        <v>1</v>
      </c>
      <c r="P121" s="812">
        <v>8</v>
      </c>
      <c r="Q121" s="812">
        <v>62.5</v>
      </c>
      <c r="R121" s="813" t="s">
        <v>172</v>
      </c>
      <c r="T121" s="815" t="s">
        <v>172</v>
      </c>
      <c r="U121" s="900" t="s">
        <v>1220</v>
      </c>
      <c r="V121" s="731"/>
      <c r="W121" s="732"/>
    </row>
    <row r="122" spans="1:23" x14ac:dyDescent="0.25">
      <c r="A122" s="807">
        <v>159</v>
      </c>
      <c r="B122" s="807" t="s">
        <v>305</v>
      </c>
      <c r="C122" s="807" t="s">
        <v>941</v>
      </c>
      <c r="D122" s="807" t="s">
        <v>13</v>
      </c>
      <c r="E122" s="807" t="s">
        <v>14</v>
      </c>
      <c r="F122" s="807" t="s">
        <v>863</v>
      </c>
      <c r="G122" s="807" t="s">
        <v>863</v>
      </c>
      <c r="H122" s="809" t="s">
        <v>18</v>
      </c>
      <c r="I122" s="810" t="s">
        <v>15</v>
      </c>
      <c r="J122" s="810" t="s">
        <v>421</v>
      </c>
      <c r="K122" s="807"/>
      <c r="L122" s="811">
        <v>1</v>
      </c>
      <c r="M122" s="812">
        <v>39</v>
      </c>
      <c r="N122" s="812">
        <v>175.5</v>
      </c>
      <c r="O122" s="811">
        <v>1</v>
      </c>
      <c r="P122" s="812">
        <v>39</v>
      </c>
      <c r="Q122" s="812">
        <v>175.5</v>
      </c>
      <c r="R122" s="813" t="s">
        <v>172</v>
      </c>
      <c r="T122" s="815" t="s">
        <v>172</v>
      </c>
      <c r="U122" s="900" t="s">
        <v>1220</v>
      </c>
      <c r="V122" s="731"/>
      <c r="W122" s="732"/>
    </row>
    <row r="123" spans="1:23" x14ac:dyDescent="0.25">
      <c r="A123" s="807">
        <v>160</v>
      </c>
      <c r="B123" s="807" t="s">
        <v>305</v>
      </c>
      <c r="C123" s="807" t="s">
        <v>941</v>
      </c>
      <c r="D123" s="807" t="s">
        <v>13</v>
      </c>
      <c r="E123" s="807" t="s">
        <v>14</v>
      </c>
      <c r="F123" s="807" t="s">
        <v>933</v>
      </c>
      <c r="G123" s="807" t="s">
        <v>933</v>
      </c>
      <c r="H123" s="809" t="s">
        <v>37</v>
      </c>
      <c r="I123" s="810" t="s">
        <v>20</v>
      </c>
      <c r="J123" s="810" t="s">
        <v>428</v>
      </c>
      <c r="K123" s="807"/>
      <c r="L123" s="811">
        <v>1</v>
      </c>
      <c r="M123" s="812">
        <v>31</v>
      </c>
      <c r="N123" s="812">
        <v>403</v>
      </c>
      <c r="O123" s="811">
        <v>1</v>
      </c>
      <c r="P123" s="812">
        <v>31</v>
      </c>
      <c r="Q123" s="812">
        <v>403</v>
      </c>
      <c r="R123" s="813" t="s">
        <v>172</v>
      </c>
      <c r="T123" s="815">
        <v>13</v>
      </c>
      <c r="U123" s="900" t="s">
        <v>1220</v>
      </c>
      <c r="V123" s="731"/>
      <c r="W123" s="732"/>
    </row>
    <row r="124" spans="1:23" x14ac:dyDescent="0.25">
      <c r="A124" s="807">
        <v>164</v>
      </c>
      <c r="B124" s="807" t="s">
        <v>305</v>
      </c>
      <c r="C124" s="807" t="s">
        <v>943</v>
      </c>
      <c r="D124" s="807" t="s">
        <v>13</v>
      </c>
      <c r="E124" s="807" t="s">
        <v>15</v>
      </c>
      <c r="F124" s="807" t="s">
        <v>863</v>
      </c>
      <c r="G124" s="807" t="s">
        <v>863</v>
      </c>
      <c r="H124" s="809" t="s">
        <v>18</v>
      </c>
      <c r="I124" s="810" t="s">
        <v>15</v>
      </c>
      <c r="J124" s="810" t="s">
        <v>421</v>
      </c>
      <c r="K124" s="807"/>
      <c r="L124" s="811">
        <v>81</v>
      </c>
      <c r="M124" s="812">
        <v>8998</v>
      </c>
      <c r="N124" s="812">
        <v>47170.75</v>
      </c>
      <c r="O124" s="811">
        <v>77</v>
      </c>
      <c r="P124" s="812">
        <v>8803</v>
      </c>
      <c r="Q124" s="812">
        <v>46284</v>
      </c>
      <c r="R124" s="813" t="s">
        <v>172</v>
      </c>
      <c r="T124" s="815" t="s">
        <v>172</v>
      </c>
      <c r="U124" s="900" t="s">
        <v>1220</v>
      </c>
      <c r="V124" s="731"/>
      <c r="W124" s="732"/>
    </row>
    <row r="125" spans="1:23" x14ac:dyDescent="0.25">
      <c r="A125" s="807">
        <v>165</v>
      </c>
      <c r="B125" s="807" t="s">
        <v>305</v>
      </c>
      <c r="C125" s="807" t="s">
        <v>943</v>
      </c>
      <c r="D125" s="807" t="s">
        <v>13</v>
      </c>
      <c r="E125" s="807" t="s">
        <v>15</v>
      </c>
      <c r="F125" s="807" t="s">
        <v>944</v>
      </c>
      <c r="G125" s="807" t="s">
        <v>863</v>
      </c>
      <c r="H125" s="809" t="s">
        <v>18</v>
      </c>
      <c r="I125" s="810" t="s">
        <v>15</v>
      </c>
      <c r="J125" s="810" t="s">
        <v>421</v>
      </c>
      <c r="K125" s="807"/>
      <c r="L125" s="811">
        <v>1</v>
      </c>
      <c r="M125" s="812">
        <v>262</v>
      </c>
      <c r="N125" s="812">
        <v>1362</v>
      </c>
      <c r="O125" s="811">
        <v>1</v>
      </c>
      <c r="P125" s="812">
        <v>262</v>
      </c>
      <c r="Q125" s="812">
        <v>1362</v>
      </c>
      <c r="R125" s="813" t="s">
        <v>172</v>
      </c>
      <c r="T125" s="815" t="s">
        <v>172</v>
      </c>
      <c r="U125" s="900" t="s">
        <v>1220</v>
      </c>
      <c r="V125" s="731"/>
      <c r="W125" s="732"/>
    </row>
    <row r="126" spans="1:23" x14ac:dyDescent="0.25">
      <c r="A126" s="807">
        <v>166</v>
      </c>
      <c r="B126" s="807" t="s">
        <v>305</v>
      </c>
      <c r="C126" s="807" t="s">
        <v>945</v>
      </c>
      <c r="D126" s="807" t="s">
        <v>495</v>
      </c>
      <c r="E126" s="807" t="s">
        <v>14</v>
      </c>
      <c r="F126" s="807" t="s">
        <v>875</v>
      </c>
      <c r="G126" s="807"/>
      <c r="H126" s="809" t="s">
        <v>39</v>
      </c>
      <c r="I126" s="810" t="s">
        <v>20</v>
      </c>
      <c r="J126" s="810" t="s">
        <v>428</v>
      </c>
      <c r="K126" s="807"/>
      <c r="L126" s="811">
        <v>1</v>
      </c>
      <c r="M126" s="812">
        <v>1</v>
      </c>
      <c r="N126" s="812">
        <v>1</v>
      </c>
      <c r="O126" s="811">
        <v>1</v>
      </c>
      <c r="P126" s="812">
        <v>1</v>
      </c>
      <c r="Q126" s="812">
        <v>1</v>
      </c>
      <c r="R126" s="806" t="s">
        <v>507</v>
      </c>
      <c r="T126" s="815" t="s">
        <v>172</v>
      </c>
      <c r="U126" s="900" t="s">
        <v>1220</v>
      </c>
      <c r="V126" s="731"/>
      <c r="W126" s="732"/>
    </row>
    <row r="127" spans="1:23" x14ac:dyDescent="0.25">
      <c r="A127" s="807">
        <v>167</v>
      </c>
      <c r="B127" s="807" t="s">
        <v>305</v>
      </c>
      <c r="C127" s="807" t="s">
        <v>946</v>
      </c>
      <c r="D127" s="807" t="s">
        <v>13</v>
      </c>
      <c r="E127" s="807" t="s">
        <v>495</v>
      </c>
      <c r="F127" s="807" t="s">
        <v>885</v>
      </c>
      <c r="G127" s="807" t="s">
        <v>868</v>
      </c>
      <c r="H127" s="809" t="s">
        <v>35</v>
      </c>
      <c r="I127" s="810" t="s">
        <v>20</v>
      </c>
      <c r="J127" s="810" t="s">
        <v>428</v>
      </c>
      <c r="K127" s="807"/>
      <c r="L127" s="811">
        <v>1</v>
      </c>
      <c r="M127" s="812">
        <v>1</v>
      </c>
      <c r="N127" s="812">
        <v>1</v>
      </c>
      <c r="O127" s="811">
        <v>1</v>
      </c>
      <c r="P127" s="812">
        <v>1</v>
      </c>
      <c r="Q127" s="812">
        <v>1</v>
      </c>
      <c r="R127" s="813" t="s">
        <v>172</v>
      </c>
      <c r="T127" s="815" t="s">
        <v>172</v>
      </c>
      <c r="U127" s="900" t="s">
        <v>1220</v>
      </c>
      <c r="V127" s="731"/>
      <c r="W127" s="732"/>
    </row>
    <row r="128" spans="1:23" x14ac:dyDescent="0.25">
      <c r="A128" s="807">
        <v>168</v>
      </c>
      <c r="B128" s="807" t="s">
        <v>305</v>
      </c>
      <c r="C128" s="807" t="s">
        <v>946</v>
      </c>
      <c r="D128" s="807" t="s">
        <v>13</v>
      </c>
      <c r="E128" s="807" t="s">
        <v>495</v>
      </c>
      <c r="F128" s="807" t="s">
        <v>869</v>
      </c>
      <c r="G128" s="807"/>
      <c r="H128" s="809" t="s">
        <v>39</v>
      </c>
      <c r="I128" s="810" t="s">
        <v>20</v>
      </c>
      <c r="J128" s="810" t="s">
        <v>428</v>
      </c>
      <c r="K128" s="807"/>
      <c r="L128" s="811">
        <v>1</v>
      </c>
      <c r="M128" s="812">
        <v>1</v>
      </c>
      <c r="N128" s="812">
        <v>1</v>
      </c>
      <c r="O128" s="811">
        <v>1</v>
      </c>
      <c r="P128" s="812">
        <v>1</v>
      </c>
      <c r="Q128" s="812">
        <v>1</v>
      </c>
      <c r="R128" s="806" t="s">
        <v>507</v>
      </c>
      <c r="T128" s="815" t="s">
        <v>172</v>
      </c>
      <c r="U128" s="900" t="s">
        <v>1220</v>
      </c>
      <c r="V128" s="731"/>
      <c r="W128" s="732"/>
    </row>
    <row r="129" spans="1:23" x14ac:dyDescent="0.25">
      <c r="A129" s="807">
        <v>169</v>
      </c>
      <c r="B129" s="807" t="s">
        <v>305</v>
      </c>
      <c r="C129" s="807" t="s">
        <v>878</v>
      </c>
      <c r="D129" s="807" t="s">
        <v>434</v>
      </c>
      <c r="E129" s="807" t="s">
        <v>244</v>
      </c>
      <c r="F129" s="807" t="s">
        <v>879</v>
      </c>
      <c r="G129" s="807" t="s">
        <v>880</v>
      </c>
      <c r="H129" s="809" t="s">
        <v>390</v>
      </c>
      <c r="I129" s="810" t="s">
        <v>20</v>
      </c>
      <c r="J129" s="810" t="s">
        <v>16</v>
      </c>
      <c r="K129" s="807"/>
      <c r="L129" s="811">
        <v>68</v>
      </c>
      <c r="M129" s="812">
        <v>23886</v>
      </c>
      <c r="N129" s="812">
        <v>268079.25</v>
      </c>
      <c r="O129" s="811">
        <v>68</v>
      </c>
      <c r="P129" s="812">
        <v>23886</v>
      </c>
      <c r="Q129" s="812">
        <v>268079.25</v>
      </c>
      <c r="R129" s="813" t="s">
        <v>172</v>
      </c>
      <c r="T129" s="815" t="s">
        <v>172</v>
      </c>
      <c r="U129" s="899" t="s">
        <v>1219</v>
      </c>
      <c r="V129" s="731"/>
      <c r="W129" s="732"/>
    </row>
    <row r="130" spans="1:23" x14ac:dyDescent="0.25">
      <c r="A130" s="807">
        <v>170</v>
      </c>
      <c r="B130" s="807" t="s">
        <v>305</v>
      </c>
      <c r="C130" s="807" t="s">
        <v>878</v>
      </c>
      <c r="D130" s="807" t="s">
        <v>434</v>
      </c>
      <c r="E130" s="807" t="s">
        <v>244</v>
      </c>
      <c r="F130" s="807" t="s">
        <v>881</v>
      </c>
      <c r="G130" s="807" t="s">
        <v>882</v>
      </c>
      <c r="H130" s="809" t="s">
        <v>390</v>
      </c>
      <c r="I130" s="810" t="s">
        <v>20</v>
      </c>
      <c r="J130" s="810" t="s">
        <v>16</v>
      </c>
      <c r="K130" s="807"/>
      <c r="L130" s="811">
        <v>39</v>
      </c>
      <c r="M130" s="812">
        <v>39</v>
      </c>
      <c r="N130" s="812">
        <v>38</v>
      </c>
      <c r="O130" s="811">
        <v>39</v>
      </c>
      <c r="P130" s="812">
        <v>39</v>
      </c>
      <c r="Q130" s="812">
        <v>39</v>
      </c>
      <c r="T130" s="815" t="s">
        <v>172</v>
      </c>
      <c r="U130" s="899" t="s">
        <v>1219</v>
      </c>
      <c r="V130" s="731"/>
      <c r="W130" s="732"/>
    </row>
    <row r="131" spans="1:23" x14ac:dyDescent="0.25">
      <c r="A131" s="807">
        <v>171</v>
      </c>
      <c r="B131" s="807" t="s">
        <v>305</v>
      </c>
      <c r="C131" s="807" t="s">
        <v>878</v>
      </c>
      <c r="D131" s="807" t="s">
        <v>434</v>
      </c>
      <c r="E131" s="807" t="s">
        <v>244</v>
      </c>
      <c r="F131" s="807" t="s">
        <v>947</v>
      </c>
      <c r="G131" s="807"/>
      <c r="H131" s="809" t="s">
        <v>390</v>
      </c>
      <c r="I131" s="810" t="s">
        <v>20</v>
      </c>
      <c r="J131" s="810" t="s">
        <v>16</v>
      </c>
      <c r="K131" s="807"/>
      <c r="L131" s="811">
        <v>1</v>
      </c>
      <c r="M131" s="812">
        <v>4</v>
      </c>
      <c r="N131" s="812">
        <v>48</v>
      </c>
      <c r="O131" s="811">
        <v>1</v>
      </c>
      <c r="P131" s="812">
        <v>4</v>
      </c>
      <c r="Q131" s="812">
        <v>48</v>
      </c>
      <c r="R131" s="813" t="s">
        <v>172</v>
      </c>
      <c r="T131" s="815" t="s">
        <v>172</v>
      </c>
      <c r="U131" s="899" t="s">
        <v>1219</v>
      </c>
      <c r="V131" s="731"/>
      <c r="W131" s="732"/>
    </row>
    <row r="132" spans="1:23" x14ac:dyDescent="0.25">
      <c r="A132" s="807">
        <v>172</v>
      </c>
      <c r="B132" s="807" t="s">
        <v>305</v>
      </c>
      <c r="C132" s="807" t="s">
        <v>878</v>
      </c>
      <c r="D132" s="807" t="s">
        <v>434</v>
      </c>
      <c r="E132" s="807" t="s">
        <v>244</v>
      </c>
      <c r="F132" s="807" t="s">
        <v>889</v>
      </c>
      <c r="G132" s="807"/>
      <c r="H132" s="809" t="s">
        <v>390</v>
      </c>
      <c r="I132" s="810" t="s">
        <v>20</v>
      </c>
      <c r="J132" s="810" t="s">
        <v>16</v>
      </c>
      <c r="K132" s="807"/>
      <c r="L132" s="811">
        <v>2</v>
      </c>
      <c r="M132" s="812">
        <v>2</v>
      </c>
      <c r="N132" s="812">
        <v>2</v>
      </c>
      <c r="O132" s="811">
        <v>2</v>
      </c>
      <c r="P132" s="812">
        <v>2</v>
      </c>
      <c r="Q132" s="812">
        <v>2</v>
      </c>
      <c r="T132" s="815" t="s">
        <v>172</v>
      </c>
      <c r="U132" s="899" t="s">
        <v>1219</v>
      </c>
      <c r="V132" s="731"/>
      <c r="W132" s="732"/>
    </row>
    <row r="133" spans="1:23" x14ac:dyDescent="0.25">
      <c r="A133" s="807">
        <v>173</v>
      </c>
      <c r="B133" s="807" t="s">
        <v>305</v>
      </c>
      <c r="C133" s="807" t="s">
        <v>878</v>
      </c>
      <c r="D133" s="807" t="s">
        <v>434</v>
      </c>
      <c r="E133" s="807" t="s">
        <v>244</v>
      </c>
      <c r="F133" s="807" t="s">
        <v>869</v>
      </c>
      <c r="G133" s="807"/>
      <c r="H133" s="809" t="s">
        <v>390</v>
      </c>
      <c r="I133" s="810" t="s">
        <v>20</v>
      </c>
      <c r="J133" s="810" t="s">
        <v>16</v>
      </c>
      <c r="K133" s="807"/>
      <c r="L133" s="811">
        <v>5</v>
      </c>
      <c r="M133" s="812">
        <v>5</v>
      </c>
      <c r="N133" s="812">
        <v>5</v>
      </c>
      <c r="O133" s="811">
        <v>5</v>
      </c>
      <c r="P133" s="812">
        <v>5</v>
      </c>
      <c r="Q133" s="812">
        <v>5</v>
      </c>
      <c r="T133" s="815" t="s">
        <v>172</v>
      </c>
      <c r="U133" s="899" t="s">
        <v>1219</v>
      </c>
      <c r="V133" s="731"/>
      <c r="W133" s="732"/>
    </row>
    <row r="134" spans="1:23" x14ac:dyDescent="0.25">
      <c r="A134" s="807">
        <v>174</v>
      </c>
      <c r="B134" s="807" t="s">
        <v>305</v>
      </c>
      <c r="C134" s="807" t="s">
        <v>878</v>
      </c>
      <c r="D134" s="807" t="s">
        <v>434</v>
      </c>
      <c r="E134" s="807" t="s">
        <v>244</v>
      </c>
      <c r="F134" s="807" t="s">
        <v>875</v>
      </c>
      <c r="G134" s="807"/>
      <c r="H134" s="809" t="s">
        <v>390</v>
      </c>
      <c r="I134" s="810" t="s">
        <v>20</v>
      </c>
      <c r="J134" s="810" t="s">
        <v>16</v>
      </c>
      <c r="K134" s="807"/>
      <c r="L134" s="811">
        <v>2</v>
      </c>
      <c r="M134" s="812">
        <v>2</v>
      </c>
      <c r="N134" s="812">
        <v>2</v>
      </c>
      <c r="O134" s="811">
        <v>2</v>
      </c>
      <c r="P134" s="812">
        <v>2</v>
      </c>
      <c r="Q134" s="812">
        <v>2</v>
      </c>
      <c r="T134" s="815" t="s">
        <v>172</v>
      </c>
      <c r="U134" s="899" t="s">
        <v>1219</v>
      </c>
      <c r="V134" s="731"/>
      <c r="W134" s="732"/>
    </row>
    <row r="135" spans="1:23" x14ac:dyDescent="0.25">
      <c r="A135" s="807">
        <v>175</v>
      </c>
      <c r="B135" s="807" t="s">
        <v>305</v>
      </c>
      <c r="C135" s="807" t="s">
        <v>878</v>
      </c>
      <c r="D135" s="807" t="s">
        <v>434</v>
      </c>
      <c r="E135" s="807" t="s">
        <v>244</v>
      </c>
      <c r="F135" s="807" t="s">
        <v>883</v>
      </c>
      <c r="G135" s="807" t="s">
        <v>882</v>
      </c>
      <c r="H135" s="809" t="s">
        <v>390</v>
      </c>
      <c r="I135" s="810" t="s">
        <v>20</v>
      </c>
      <c r="J135" s="810" t="s">
        <v>16</v>
      </c>
      <c r="K135" s="807"/>
      <c r="L135" s="811">
        <v>44</v>
      </c>
      <c r="M135" s="812">
        <v>70</v>
      </c>
      <c r="N135" s="812">
        <v>67.5</v>
      </c>
      <c r="O135" s="811">
        <v>44</v>
      </c>
      <c r="P135" s="812">
        <v>70</v>
      </c>
      <c r="Q135" s="812">
        <v>70</v>
      </c>
      <c r="T135" s="815" t="s">
        <v>172</v>
      </c>
      <c r="U135" s="899" t="s">
        <v>1219</v>
      </c>
      <c r="V135" s="731"/>
      <c r="W135" s="732"/>
    </row>
    <row r="136" spans="1:23" x14ac:dyDescent="0.25">
      <c r="A136" s="807">
        <v>176</v>
      </c>
      <c r="B136" s="807" t="s">
        <v>305</v>
      </c>
      <c r="C136" s="807" t="s">
        <v>492</v>
      </c>
      <c r="D136" s="807" t="s">
        <v>16</v>
      </c>
      <c r="E136" s="807" t="s">
        <v>82</v>
      </c>
      <c r="F136" s="807" t="s">
        <v>898</v>
      </c>
      <c r="G136" s="807"/>
      <c r="H136" s="809" t="s">
        <v>374</v>
      </c>
      <c r="I136" s="810" t="s">
        <v>20</v>
      </c>
      <c r="J136" s="810" t="s">
        <v>248</v>
      </c>
      <c r="K136" s="807"/>
      <c r="L136" s="811">
        <v>2</v>
      </c>
      <c r="M136" s="812">
        <v>8</v>
      </c>
      <c r="N136" s="812">
        <v>38</v>
      </c>
      <c r="O136" s="811">
        <v>2</v>
      </c>
      <c r="P136" s="812">
        <v>8</v>
      </c>
      <c r="Q136" s="812">
        <v>38</v>
      </c>
      <c r="R136" s="813" t="s">
        <v>172</v>
      </c>
      <c r="T136" s="815" t="s">
        <v>172</v>
      </c>
      <c r="U136" s="899" t="s">
        <v>1219</v>
      </c>
      <c r="V136" s="731"/>
      <c r="W136" s="732"/>
    </row>
    <row r="137" spans="1:23" x14ac:dyDescent="0.25">
      <c r="A137" s="807">
        <v>177</v>
      </c>
      <c r="B137" s="807" t="s">
        <v>305</v>
      </c>
      <c r="C137" s="807" t="s">
        <v>492</v>
      </c>
      <c r="D137" s="807" t="s">
        <v>16</v>
      </c>
      <c r="E137" s="807" t="s">
        <v>82</v>
      </c>
      <c r="F137" s="807" t="s">
        <v>885</v>
      </c>
      <c r="G137" s="807"/>
      <c r="H137" s="809" t="s">
        <v>374</v>
      </c>
      <c r="I137" s="810" t="s">
        <v>20</v>
      </c>
      <c r="J137" s="810" t="s">
        <v>248</v>
      </c>
      <c r="K137" s="807"/>
      <c r="L137" s="811">
        <v>21</v>
      </c>
      <c r="M137" s="812">
        <v>33</v>
      </c>
      <c r="N137" s="812">
        <v>97.75</v>
      </c>
      <c r="O137" s="811">
        <v>21</v>
      </c>
      <c r="P137" s="812">
        <v>33</v>
      </c>
      <c r="Q137" s="812">
        <v>97.75</v>
      </c>
      <c r="R137" s="813" t="s">
        <v>172</v>
      </c>
      <c r="T137" s="815" t="s">
        <v>172</v>
      </c>
      <c r="U137" s="899" t="s">
        <v>1219</v>
      </c>
      <c r="V137" s="731"/>
      <c r="W137" s="732"/>
    </row>
    <row r="138" spans="1:23" x14ac:dyDescent="0.25">
      <c r="A138" s="807">
        <v>178</v>
      </c>
      <c r="B138" s="807" t="s">
        <v>305</v>
      </c>
      <c r="C138" s="807" t="s">
        <v>464</v>
      </c>
      <c r="D138" s="807" t="s">
        <v>13</v>
      </c>
      <c r="E138" s="807" t="s">
        <v>13</v>
      </c>
      <c r="F138" s="807" t="s">
        <v>948</v>
      </c>
      <c r="G138" s="807" t="s">
        <v>949</v>
      </c>
      <c r="H138" s="809" t="s">
        <v>391</v>
      </c>
      <c r="I138" s="810" t="s">
        <v>20</v>
      </c>
      <c r="J138" s="810" t="s">
        <v>16</v>
      </c>
      <c r="K138" s="807" t="s">
        <v>13</v>
      </c>
      <c r="L138" s="811">
        <v>6</v>
      </c>
      <c r="M138" s="812">
        <v>271</v>
      </c>
      <c r="N138" s="812">
        <v>2013.5</v>
      </c>
      <c r="O138" s="811">
        <v>6</v>
      </c>
      <c r="P138" s="812">
        <v>271</v>
      </c>
      <c r="Q138" s="812">
        <v>2013.5</v>
      </c>
      <c r="R138" s="813" t="s">
        <v>172</v>
      </c>
      <c r="T138" s="815" t="s">
        <v>172</v>
      </c>
      <c r="U138" s="899" t="s">
        <v>1219</v>
      </c>
      <c r="V138" s="731"/>
      <c r="W138" s="732"/>
    </row>
    <row r="139" spans="1:23" x14ac:dyDescent="0.25">
      <c r="A139" s="807">
        <v>179</v>
      </c>
      <c r="B139" s="807" t="s">
        <v>305</v>
      </c>
      <c r="C139" s="807" t="s">
        <v>248</v>
      </c>
      <c r="D139" s="807" t="s">
        <v>16</v>
      </c>
      <c r="E139" s="807" t="s">
        <v>884</v>
      </c>
      <c r="F139" s="807" t="s">
        <v>885</v>
      </c>
      <c r="G139" s="807"/>
      <c r="H139" s="809" t="s">
        <v>374</v>
      </c>
      <c r="I139" s="810" t="s">
        <v>20</v>
      </c>
      <c r="J139" s="810" t="s">
        <v>248</v>
      </c>
      <c r="K139" s="807"/>
      <c r="L139" s="811">
        <v>9</v>
      </c>
      <c r="M139" s="812">
        <v>17</v>
      </c>
      <c r="N139" s="812">
        <v>60.25</v>
      </c>
      <c r="O139" s="811">
        <v>7</v>
      </c>
      <c r="P139" s="812">
        <v>10</v>
      </c>
      <c r="Q139" s="812">
        <v>34.25</v>
      </c>
      <c r="R139" s="813" t="s">
        <v>172</v>
      </c>
      <c r="T139" s="815" t="s">
        <v>172</v>
      </c>
      <c r="U139" s="899" t="s">
        <v>1219</v>
      </c>
      <c r="V139" s="731"/>
      <c r="W139" s="732"/>
    </row>
    <row r="140" spans="1:23" x14ac:dyDescent="0.25">
      <c r="A140" s="807">
        <v>180</v>
      </c>
      <c r="B140" s="807" t="s">
        <v>305</v>
      </c>
      <c r="C140" s="807" t="s">
        <v>905</v>
      </c>
      <c r="D140" s="807" t="s">
        <v>16</v>
      </c>
      <c r="E140" s="807" t="s">
        <v>884</v>
      </c>
      <c r="F140" s="807" t="s">
        <v>885</v>
      </c>
      <c r="G140" s="807"/>
      <c r="H140" s="809" t="s">
        <v>374</v>
      </c>
      <c r="I140" s="810" t="s">
        <v>20</v>
      </c>
      <c r="J140" s="810" t="s">
        <v>248</v>
      </c>
      <c r="K140" s="807"/>
      <c r="L140" s="811">
        <v>2</v>
      </c>
      <c r="M140" s="812">
        <v>210</v>
      </c>
      <c r="N140" s="812">
        <v>1126.5</v>
      </c>
      <c r="O140" s="811">
        <v>2</v>
      </c>
      <c r="P140" s="812">
        <v>210</v>
      </c>
      <c r="Q140" s="812">
        <v>1126.5</v>
      </c>
      <c r="R140" s="813" t="s">
        <v>172</v>
      </c>
      <c r="T140" s="815" t="s">
        <v>172</v>
      </c>
      <c r="U140" s="899" t="s">
        <v>1219</v>
      </c>
      <c r="V140" s="731"/>
      <c r="W140" s="732"/>
    </row>
    <row r="141" spans="1:23" x14ac:dyDescent="0.25">
      <c r="A141" s="807">
        <v>181</v>
      </c>
      <c r="B141" s="807" t="s">
        <v>305</v>
      </c>
      <c r="C141" s="807" t="s">
        <v>905</v>
      </c>
      <c r="D141" s="807" t="s">
        <v>16</v>
      </c>
      <c r="E141" s="807" t="s">
        <v>884</v>
      </c>
      <c r="F141" s="807" t="s">
        <v>869</v>
      </c>
      <c r="G141" s="807"/>
      <c r="H141" s="809" t="s">
        <v>374</v>
      </c>
      <c r="I141" s="810" t="s">
        <v>20</v>
      </c>
      <c r="J141" s="810" t="s">
        <v>248</v>
      </c>
      <c r="K141" s="807"/>
      <c r="L141" s="811">
        <v>1</v>
      </c>
      <c r="M141" s="812">
        <v>1</v>
      </c>
      <c r="N141" s="812">
        <v>0.5</v>
      </c>
      <c r="O141" s="811">
        <v>1</v>
      </c>
      <c r="P141" s="812">
        <v>1</v>
      </c>
      <c r="Q141" s="812">
        <v>1</v>
      </c>
      <c r="R141" s="813" t="s">
        <v>172</v>
      </c>
      <c r="T141" s="815" t="s">
        <v>172</v>
      </c>
      <c r="U141" s="899" t="s">
        <v>1219</v>
      </c>
      <c r="V141" s="731"/>
      <c r="W141" s="732"/>
    </row>
    <row r="142" spans="1:23" x14ac:dyDescent="0.25">
      <c r="A142" s="807">
        <v>182</v>
      </c>
      <c r="B142" s="807" t="s">
        <v>305</v>
      </c>
      <c r="C142" s="807" t="s">
        <v>905</v>
      </c>
      <c r="D142" s="807" t="s">
        <v>16</v>
      </c>
      <c r="E142" s="807" t="s">
        <v>884</v>
      </c>
      <c r="F142" s="807" t="s">
        <v>875</v>
      </c>
      <c r="G142" s="807"/>
      <c r="H142" s="809" t="s">
        <v>374</v>
      </c>
      <c r="I142" s="810" t="s">
        <v>20</v>
      </c>
      <c r="J142" s="810" t="s">
        <v>248</v>
      </c>
      <c r="K142" s="807"/>
      <c r="L142" s="811">
        <v>1</v>
      </c>
      <c r="M142" s="812">
        <v>2</v>
      </c>
      <c r="N142" s="812">
        <v>1</v>
      </c>
      <c r="O142" s="811">
        <v>1</v>
      </c>
      <c r="P142" s="812">
        <v>2</v>
      </c>
      <c r="Q142" s="812">
        <v>2</v>
      </c>
      <c r="R142" s="813" t="s">
        <v>172</v>
      </c>
      <c r="T142" s="815" t="s">
        <v>172</v>
      </c>
      <c r="U142" s="899" t="s">
        <v>1219</v>
      </c>
      <c r="V142" s="731"/>
      <c r="W142" s="732"/>
    </row>
    <row r="143" spans="1:23" x14ac:dyDescent="0.25">
      <c r="A143" s="807">
        <v>183</v>
      </c>
      <c r="B143" s="807" t="s">
        <v>305</v>
      </c>
      <c r="C143" s="807" t="s">
        <v>491</v>
      </c>
      <c r="D143" s="807" t="s">
        <v>13</v>
      </c>
      <c r="E143" s="807" t="s">
        <v>13</v>
      </c>
      <c r="F143" s="807" t="s">
        <v>877</v>
      </c>
      <c r="G143" s="807" t="s">
        <v>860</v>
      </c>
      <c r="H143" s="809" t="s">
        <v>391</v>
      </c>
      <c r="I143" s="810" t="s">
        <v>20</v>
      </c>
      <c r="J143" s="810" t="s">
        <v>16</v>
      </c>
      <c r="K143" s="807" t="s">
        <v>13</v>
      </c>
      <c r="L143" s="811">
        <v>1</v>
      </c>
      <c r="M143" s="812">
        <v>1</v>
      </c>
      <c r="N143" s="812">
        <v>4</v>
      </c>
      <c r="O143" s="811">
        <v>1</v>
      </c>
      <c r="P143" s="812">
        <v>1</v>
      </c>
      <c r="Q143" s="812">
        <v>4</v>
      </c>
      <c r="R143" s="813" t="s">
        <v>172</v>
      </c>
      <c r="T143" s="815" t="s">
        <v>172</v>
      </c>
      <c r="U143" s="899" t="s">
        <v>1219</v>
      </c>
      <c r="V143" s="731"/>
      <c r="W143" s="732"/>
    </row>
    <row r="144" spans="1:23" x14ac:dyDescent="0.25">
      <c r="A144" s="807">
        <v>184</v>
      </c>
      <c r="B144" s="807" t="s">
        <v>305</v>
      </c>
      <c r="C144" s="807" t="s">
        <v>950</v>
      </c>
      <c r="D144" s="807" t="s">
        <v>16</v>
      </c>
      <c r="E144" s="807"/>
      <c r="F144" s="807" t="s">
        <v>951</v>
      </c>
      <c r="G144" s="807" t="s">
        <v>952</v>
      </c>
      <c r="H144" s="809" t="s">
        <v>391</v>
      </c>
      <c r="I144" s="810" t="s">
        <v>20</v>
      </c>
      <c r="J144" s="810" t="s">
        <v>16</v>
      </c>
      <c r="K144" s="807" t="s">
        <v>13</v>
      </c>
      <c r="L144" s="811">
        <v>2</v>
      </c>
      <c r="M144" s="812">
        <v>6</v>
      </c>
      <c r="N144" s="812">
        <v>23</v>
      </c>
      <c r="O144" s="811">
        <v>1</v>
      </c>
      <c r="P144" s="812">
        <v>4</v>
      </c>
      <c r="Q144" s="812">
        <v>15</v>
      </c>
      <c r="R144" s="813" t="s">
        <v>172</v>
      </c>
      <c r="T144" s="815" t="s">
        <v>172</v>
      </c>
      <c r="U144" s="899" t="s">
        <v>1219</v>
      </c>
      <c r="V144" s="731"/>
      <c r="W144" s="732"/>
    </row>
    <row r="145" spans="1:23" x14ac:dyDescent="0.25">
      <c r="A145" s="807">
        <v>185</v>
      </c>
      <c r="B145" s="807" t="s">
        <v>305</v>
      </c>
      <c r="C145" s="807" t="s">
        <v>953</v>
      </c>
      <c r="D145" s="807" t="s">
        <v>16</v>
      </c>
      <c r="E145" s="807" t="s">
        <v>14</v>
      </c>
      <c r="F145" s="807" t="s">
        <v>889</v>
      </c>
      <c r="G145" s="807"/>
      <c r="H145" s="809" t="s">
        <v>39</v>
      </c>
      <c r="I145" s="810" t="s">
        <v>20</v>
      </c>
      <c r="J145" s="810" t="s">
        <v>428</v>
      </c>
      <c r="K145" s="807"/>
      <c r="L145" s="811">
        <v>2</v>
      </c>
      <c r="M145" s="812">
        <v>2</v>
      </c>
      <c r="N145" s="812">
        <v>2</v>
      </c>
      <c r="O145" s="811">
        <v>2</v>
      </c>
      <c r="P145" s="812">
        <v>2</v>
      </c>
      <c r="Q145" s="812">
        <v>2</v>
      </c>
      <c r="R145" s="806" t="s">
        <v>507</v>
      </c>
      <c r="T145" s="815" t="s">
        <v>172</v>
      </c>
      <c r="U145" s="900" t="s">
        <v>1220</v>
      </c>
      <c r="V145" s="731"/>
      <c r="W145" s="732"/>
    </row>
    <row r="146" spans="1:23" x14ac:dyDescent="0.25">
      <c r="A146" s="807">
        <v>186</v>
      </c>
      <c r="B146" s="807" t="s">
        <v>305</v>
      </c>
      <c r="C146" s="807" t="s">
        <v>953</v>
      </c>
      <c r="D146" s="807" t="s">
        <v>16</v>
      </c>
      <c r="E146" s="807" t="s">
        <v>14</v>
      </c>
      <c r="F146" s="807" t="s">
        <v>869</v>
      </c>
      <c r="G146" s="807"/>
      <c r="H146" s="809" t="s">
        <v>39</v>
      </c>
      <c r="I146" s="810" t="s">
        <v>20</v>
      </c>
      <c r="J146" s="810" t="s">
        <v>428</v>
      </c>
      <c r="K146" s="807"/>
      <c r="L146" s="811">
        <v>1</v>
      </c>
      <c r="M146" s="812">
        <v>1</v>
      </c>
      <c r="N146" s="812">
        <v>1</v>
      </c>
      <c r="O146" s="811">
        <v>1</v>
      </c>
      <c r="P146" s="812">
        <v>1</v>
      </c>
      <c r="Q146" s="812">
        <v>1</v>
      </c>
      <c r="R146" s="806" t="s">
        <v>507</v>
      </c>
      <c r="T146" s="815" t="s">
        <v>172</v>
      </c>
      <c r="U146" s="900" t="s">
        <v>1220</v>
      </c>
      <c r="V146" s="731"/>
      <c r="W146" s="732"/>
    </row>
    <row r="147" spans="1:23" x14ac:dyDescent="0.25">
      <c r="A147" s="807">
        <v>187</v>
      </c>
      <c r="B147" s="807" t="s">
        <v>305</v>
      </c>
      <c r="C147" s="807" t="s">
        <v>953</v>
      </c>
      <c r="D147" s="807" t="s">
        <v>16</v>
      </c>
      <c r="E147" s="807" t="s">
        <v>14</v>
      </c>
      <c r="F147" s="807" t="s">
        <v>875</v>
      </c>
      <c r="G147" s="807"/>
      <c r="H147" s="809" t="s">
        <v>39</v>
      </c>
      <c r="I147" s="810" t="s">
        <v>20</v>
      </c>
      <c r="J147" s="810" t="s">
        <v>428</v>
      </c>
      <c r="K147" s="807"/>
      <c r="L147" s="811">
        <v>5</v>
      </c>
      <c r="M147" s="812">
        <v>9</v>
      </c>
      <c r="N147" s="812">
        <v>9</v>
      </c>
      <c r="O147" s="811">
        <v>5</v>
      </c>
      <c r="P147" s="812">
        <v>9</v>
      </c>
      <c r="Q147" s="812">
        <v>9</v>
      </c>
      <c r="R147" s="806" t="s">
        <v>507</v>
      </c>
      <c r="T147" s="815" t="s">
        <v>172</v>
      </c>
      <c r="U147" s="900" t="s">
        <v>1220</v>
      </c>
      <c r="V147" s="731"/>
      <c r="W147" s="732"/>
    </row>
    <row r="148" spans="1:23" x14ac:dyDescent="0.25">
      <c r="A148" s="807">
        <v>188</v>
      </c>
      <c r="B148" s="807" t="s">
        <v>305</v>
      </c>
      <c r="C148" s="807" t="s">
        <v>953</v>
      </c>
      <c r="D148" s="807" t="s">
        <v>16</v>
      </c>
      <c r="E148" s="807" t="s">
        <v>14</v>
      </c>
      <c r="F148" s="807" t="s">
        <v>868</v>
      </c>
      <c r="G148" s="807" t="s">
        <v>868</v>
      </c>
      <c r="H148" s="809" t="s">
        <v>35</v>
      </c>
      <c r="I148" s="810" t="s">
        <v>20</v>
      </c>
      <c r="J148" s="810" t="s">
        <v>428</v>
      </c>
      <c r="K148" s="807"/>
      <c r="L148" s="811">
        <v>10</v>
      </c>
      <c r="M148" s="812">
        <v>1412</v>
      </c>
      <c r="N148" s="812">
        <v>11659.75</v>
      </c>
      <c r="O148" s="811">
        <v>10</v>
      </c>
      <c r="P148" s="812">
        <v>1412</v>
      </c>
      <c r="Q148" s="812">
        <v>11659.75</v>
      </c>
      <c r="R148" s="813" t="s">
        <v>172</v>
      </c>
      <c r="T148" s="815" t="s">
        <v>172</v>
      </c>
      <c r="U148" s="900" t="s">
        <v>1220</v>
      </c>
      <c r="V148" s="731"/>
      <c r="W148" s="732"/>
    </row>
    <row r="149" spans="1:23" x14ac:dyDescent="0.25">
      <c r="A149" s="807">
        <v>193</v>
      </c>
      <c r="B149" s="807" t="s">
        <v>305</v>
      </c>
      <c r="C149" s="807" t="s">
        <v>954</v>
      </c>
      <c r="D149" s="807" t="s">
        <v>16</v>
      </c>
      <c r="E149" s="807" t="s">
        <v>15</v>
      </c>
      <c r="F149" s="807" t="s">
        <v>863</v>
      </c>
      <c r="G149" s="807" t="s">
        <v>863</v>
      </c>
      <c r="H149" s="809" t="s">
        <v>18</v>
      </c>
      <c r="I149" s="810" t="s">
        <v>15</v>
      </c>
      <c r="J149" s="810" t="s">
        <v>421</v>
      </c>
      <c r="K149" s="817"/>
      <c r="L149" s="811">
        <v>28</v>
      </c>
      <c r="M149" s="812">
        <v>6681</v>
      </c>
      <c r="N149" s="812">
        <v>37952.5</v>
      </c>
      <c r="O149" s="811">
        <v>26</v>
      </c>
      <c r="P149" s="812">
        <v>6584</v>
      </c>
      <c r="Q149" s="812">
        <v>37068.5</v>
      </c>
      <c r="R149" s="813" t="s">
        <v>172</v>
      </c>
      <c r="T149" s="815" t="s">
        <v>172</v>
      </c>
      <c r="U149" s="900" t="s">
        <v>1220</v>
      </c>
      <c r="V149" s="731"/>
      <c r="W149" s="732"/>
    </row>
    <row r="150" spans="1:23" x14ac:dyDescent="0.25">
      <c r="A150" s="807">
        <v>194</v>
      </c>
      <c r="B150" s="807" t="s">
        <v>305</v>
      </c>
      <c r="C150" s="807" t="s">
        <v>954</v>
      </c>
      <c r="D150" s="807" t="s">
        <v>16</v>
      </c>
      <c r="E150" s="807" t="s">
        <v>15</v>
      </c>
      <c r="F150" s="807" t="s">
        <v>934</v>
      </c>
      <c r="G150" s="807" t="s">
        <v>934</v>
      </c>
      <c r="H150" s="809" t="s">
        <v>43</v>
      </c>
      <c r="I150" s="810" t="s">
        <v>15</v>
      </c>
      <c r="J150" s="810" t="s">
        <v>421</v>
      </c>
      <c r="K150" s="817"/>
      <c r="L150" s="811">
        <v>1</v>
      </c>
      <c r="M150" s="812">
        <v>366</v>
      </c>
      <c r="N150" s="812">
        <v>4758</v>
      </c>
      <c r="O150" s="811">
        <v>1</v>
      </c>
      <c r="P150" s="812">
        <v>366</v>
      </c>
      <c r="Q150" s="812">
        <v>4758</v>
      </c>
      <c r="R150" s="813" t="s">
        <v>172</v>
      </c>
      <c r="T150" s="815">
        <v>13</v>
      </c>
      <c r="U150" s="900" t="s">
        <v>1220</v>
      </c>
      <c r="V150" s="731"/>
      <c r="W150" s="732"/>
    </row>
    <row r="151" spans="1:23" x14ac:dyDescent="0.25">
      <c r="A151" s="807">
        <v>197</v>
      </c>
      <c r="B151" s="807" t="s">
        <v>305</v>
      </c>
      <c r="C151" s="807" t="s">
        <v>955</v>
      </c>
      <c r="D151" s="807" t="s">
        <v>495</v>
      </c>
      <c r="E151" s="807" t="s">
        <v>15</v>
      </c>
      <c r="F151" s="807" t="s">
        <v>898</v>
      </c>
      <c r="G151" s="807" t="s">
        <v>863</v>
      </c>
      <c r="H151" s="809" t="s">
        <v>18</v>
      </c>
      <c r="I151" s="810" t="s">
        <v>15</v>
      </c>
      <c r="J151" s="810" t="s">
        <v>421</v>
      </c>
      <c r="K151" s="817"/>
      <c r="L151" s="811">
        <v>124</v>
      </c>
      <c r="M151" s="812">
        <v>15367</v>
      </c>
      <c r="N151" s="812">
        <v>81625.25</v>
      </c>
      <c r="O151" s="811">
        <v>113</v>
      </c>
      <c r="P151" s="812">
        <v>15017</v>
      </c>
      <c r="Q151" s="812">
        <v>79356.75</v>
      </c>
      <c r="R151" s="813" t="s">
        <v>172</v>
      </c>
      <c r="T151" s="815" t="s">
        <v>172</v>
      </c>
      <c r="U151" s="900" t="s">
        <v>1220</v>
      </c>
      <c r="V151" s="731"/>
      <c r="W151" s="732"/>
    </row>
    <row r="152" spans="1:23" x14ac:dyDescent="0.25">
      <c r="A152" s="807">
        <v>198</v>
      </c>
      <c r="B152" s="807" t="s">
        <v>305</v>
      </c>
      <c r="C152" s="807" t="s">
        <v>955</v>
      </c>
      <c r="D152" s="807" t="s">
        <v>495</v>
      </c>
      <c r="E152" s="807" t="s">
        <v>15</v>
      </c>
      <c r="F152" s="807" t="s">
        <v>956</v>
      </c>
      <c r="G152" s="807" t="s">
        <v>957</v>
      </c>
      <c r="H152" s="809" t="s">
        <v>44</v>
      </c>
      <c r="I152" s="810" t="s">
        <v>15</v>
      </c>
      <c r="J152" s="810" t="s">
        <v>421</v>
      </c>
      <c r="K152" s="817"/>
      <c r="L152" s="811">
        <v>3</v>
      </c>
      <c r="M152" s="812">
        <v>326</v>
      </c>
      <c r="N152" s="812">
        <v>1002.75</v>
      </c>
      <c r="O152" s="811">
        <v>3</v>
      </c>
      <c r="P152" s="812">
        <v>326</v>
      </c>
      <c r="Q152" s="812">
        <v>1002.75</v>
      </c>
      <c r="R152" s="813" t="s">
        <v>172</v>
      </c>
      <c r="T152" s="815" t="s">
        <v>172</v>
      </c>
      <c r="U152" s="900" t="s">
        <v>1220</v>
      </c>
      <c r="V152" s="731"/>
      <c r="W152" s="732"/>
    </row>
    <row r="153" spans="1:23" x14ac:dyDescent="0.25">
      <c r="A153" s="807">
        <v>199</v>
      </c>
      <c r="B153" s="807" t="s">
        <v>305</v>
      </c>
      <c r="C153" s="807" t="s">
        <v>958</v>
      </c>
      <c r="D153" s="807" t="s">
        <v>14</v>
      </c>
      <c r="E153" s="807" t="s">
        <v>14</v>
      </c>
      <c r="F153" s="807" t="s">
        <v>959</v>
      </c>
      <c r="G153" s="807"/>
      <c r="H153" s="809" t="s">
        <v>38</v>
      </c>
      <c r="I153" s="810" t="s">
        <v>20</v>
      </c>
      <c r="J153" s="810" t="s">
        <v>428</v>
      </c>
      <c r="K153" s="817"/>
      <c r="L153" s="811">
        <v>2</v>
      </c>
      <c r="M153" s="812">
        <v>2</v>
      </c>
      <c r="N153" s="812">
        <v>2</v>
      </c>
      <c r="O153" s="811">
        <v>2</v>
      </c>
      <c r="P153" s="812">
        <v>2</v>
      </c>
      <c r="Q153" s="812">
        <v>2</v>
      </c>
      <c r="R153" s="806" t="s">
        <v>507</v>
      </c>
      <c r="T153" s="815" t="s">
        <v>172</v>
      </c>
      <c r="U153" s="900" t="s">
        <v>1220</v>
      </c>
      <c r="V153" s="731"/>
      <c r="W153" s="732"/>
    </row>
    <row r="154" spans="1:23" x14ac:dyDescent="0.25">
      <c r="A154" s="807">
        <v>200</v>
      </c>
      <c r="B154" s="807" t="s">
        <v>305</v>
      </c>
      <c r="C154" s="807" t="s">
        <v>958</v>
      </c>
      <c r="D154" s="807" t="s">
        <v>14</v>
      </c>
      <c r="E154" s="807" t="s">
        <v>14</v>
      </c>
      <c r="F154" s="807" t="s">
        <v>960</v>
      </c>
      <c r="G154" s="807" t="s">
        <v>933</v>
      </c>
      <c r="H154" s="809" t="s">
        <v>37</v>
      </c>
      <c r="I154" s="810" t="s">
        <v>20</v>
      </c>
      <c r="J154" s="810" t="s">
        <v>428</v>
      </c>
      <c r="K154" s="817"/>
      <c r="L154" s="811">
        <v>3</v>
      </c>
      <c r="M154" s="812">
        <v>134</v>
      </c>
      <c r="N154" s="812">
        <v>1742</v>
      </c>
      <c r="O154" s="811">
        <v>3</v>
      </c>
      <c r="P154" s="812">
        <v>134</v>
      </c>
      <c r="Q154" s="812">
        <v>1742</v>
      </c>
      <c r="R154" s="813" t="s">
        <v>172</v>
      </c>
      <c r="T154" s="815">
        <v>13</v>
      </c>
      <c r="U154" s="900" t="s">
        <v>1220</v>
      </c>
      <c r="V154" s="731"/>
      <c r="W154" s="732"/>
    </row>
    <row r="155" spans="1:23" x14ac:dyDescent="0.25">
      <c r="A155" s="807">
        <v>201</v>
      </c>
      <c r="B155" s="807" t="s">
        <v>305</v>
      </c>
      <c r="C155" s="807" t="s">
        <v>958</v>
      </c>
      <c r="D155" s="807" t="s">
        <v>14</v>
      </c>
      <c r="E155" s="807" t="s">
        <v>14</v>
      </c>
      <c r="F155" s="807" t="s">
        <v>961</v>
      </c>
      <c r="G155" s="807" t="s">
        <v>962</v>
      </c>
      <c r="H155" s="809" t="s">
        <v>37</v>
      </c>
      <c r="I155" s="810" t="s">
        <v>20</v>
      </c>
      <c r="J155" s="810" t="s">
        <v>428</v>
      </c>
      <c r="K155" s="817"/>
      <c r="L155" s="811">
        <v>2</v>
      </c>
      <c r="M155" s="812">
        <v>16</v>
      </c>
      <c r="N155" s="812">
        <v>208</v>
      </c>
      <c r="O155" s="811">
        <v>2</v>
      </c>
      <c r="P155" s="812">
        <v>16</v>
      </c>
      <c r="Q155" s="812">
        <v>208</v>
      </c>
      <c r="R155" s="813" t="s">
        <v>172</v>
      </c>
      <c r="T155" s="815">
        <v>13</v>
      </c>
      <c r="U155" s="900" t="s">
        <v>1220</v>
      </c>
      <c r="V155" s="731"/>
      <c r="W155" s="732"/>
    </row>
    <row r="156" spans="1:23" x14ac:dyDescent="0.25">
      <c r="A156" s="807">
        <v>202</v>
      </c>
      <c r="B156" s="807" t="s">
        <v>305</v>
      </c>
      <c r="C156" s="807" t="s">
        <v>958</v>
      </c>
      <c r="D156" s="807" t="s">
        <v>14</v>
      </c>
      <c r="E156" s="807" t="s">
        <v>14</v>
      </c>
      <c r="F156" s="807" t="s">
        <v>963</v>
      </c>
      <c r="G156" s="807" t="s">
        <v>964</v>
      </c>
      <c r="H156" s="809" t="s">
        <v>41</v>
      </c>
      <c r="I156" s="810" t="s">
        <v>20</v>
      </c>
      <c r="J156" s="810" t="s">
        <v>428</v>
      </c>
      <c r="K156" s="817"/>
      <c r="L156" s="811">
        <v>63</v>
      </c>
      <c r="M156" s="812">
        <v>6809</v>
      </c>
      <c r="N156" s="812">
        <v>11883.25</v>
      </c>
      <c r="O156" s="811">
        <v>63</v>
      </c>
      <c r="P156" s="812">
        <v>6809</v>
      </c>
      <c r="Q156" s="812">
        <v>11883.25</v>
      </c>
      <c r="R156" s="813" t="s">
        <v>172</v>
      </c>
      <c r="T156" s="815" t="s">
        <v>172</v>
      </c>
      <c r="U156" s="900" t="s">
        <v>1220</v>
      </c>
      <c r="V156" s="731"/>
      <c r="W156" s="732"/>
    </row>
    <row r="157" spans="1:23" x14ac:dyDescent="0.25">
      <c r="A157" s="807">
        <v>203</v>
      </c>
      <c r="B157" s="807" t="s">
        <v>305</v>
      </c>
      <c r="C157" s="807" t="s">
        <v>958</v>
      </c>
      <c r="D157" s="807" t="s">
        <v>14</v>
      </c>
      <c r="E157" s="807" t="s">
        <v>14</v>
      </c>
      <c r="F157" s="807" t="s">
        <v>885</v>
      </c>
      <c r="G157" s="807" t="s">
        <v>868</v>
      </c>
      <c r="H157" s="809" t="s">
        <v>35</v>
      </c>
      <c r="I157" s="810" t="s">
        <v>20</v>
      </c>
      <c r="J157" s="810" t="s">
        <v>428</v>
      </c>
      <c r="K157" s="817"/>
      <c r="L157" s="811">
        <v>185</v>
      </c>
      <c r="M157" s="812">
        <v>15754</v>
      </c>
      <c r="N157" s="812">
        <v>79717.25</v>
      </c>
      <c r="O157" s="811">
        <v>179</v>
      </c>
      <c r="P157" s="812">
        <v>15592</v>
      </c>
      <c r="Q157" s="812">
        <v>78632.25</v>
      </c>
      <c r="R157" s="813" t="s">
        <v>172</v>
      </c>
      <c r="T157" s="815" t="s">
        <v>172</v>
      </c>
      <c r="U157" s="900" t="s">
        <v>1220</v>
      </c>
      <c r="V157" s="731"/>
      <c r="W157" s="732"/>
    </row>
    <row r="158" spans="1:23" x14ac:dyDescent="0.25">
      <c r="A158" s="807">
        <v>204</v>
      </c>
      <c r="B158" s="807" t="s">
        <v>305</v>
      </c>
      <c r="C158" s="807" t="s">
        <v>958</v>
      </c>
      <c r="D158" s="807" t="s">
        <v>14</v>
      </c>
      <c r="E158" s="807" t="s">
        <v>14</v>
      </c>
      <c r="F158" s="807" t="s">
        <v>885</v>
      </c>
      <c r="G158" s="807" t="s">
        <v>965</v>
      </c>
      <c r="H158" s="809" t="s">
        <v>35</v>
      </c>
      <c r="I158" s="810" t="s">
        <v>20</v>
      </c>
      <c r="J158" s="810" t="s">
        <v>428</v>
      </c>
      <c r="K158" s="817"/>
      <c r="L158" s="811">
        <v>75</v>
      </c>
      <c r="M158" s="812">
        <v>2448</v>
      </c>
      <c r="N158" s="812">
        <v>14957.75</v>
      </c>
      <c r="O158" s="811">
        <v>71</v>
      </c>
      <c r="P158" s="812">
        <v>2395</v>
      </c>
      <c r="Q158" s="812">
        <v>14615.25</v>
      </c>
      <c r="R158" s="813" t="s">
        <v>172</v>
      </c>
      <c r="T158" s="815" t="s">
        <v>172</v>
      </c>
      <c r="U158" s="900" t="s">
        <v>1220</v>
      </c>
      <c r="V158" s="731"/>
      <c r="W158" s="732"/>
    </row>
    <row r="159" spans="1:23" x14ac:dyDescent="0.25">
      <c r="A159" s="807">
        <v>205</v>
      </c>
      <c r="B159" s="807" t="s">
        <v>305</v>
      </c>
      <c r="C159" s="807" t="s">
        <v>958</v>
      </c>
      <c r="D159" s="807" t="s">
        <v>14</v>
      </c>
      <c r="E159" s="807" t="s">
        <v>14</v>
      </c>
      <c r="F159" s="807" t="s">
        <v>966</v>
      </c>
      <c r="G159" s="807" t="s">
        <v>967</v>
      </c>
      <c r="H159" s="809" t="s">
        <v>41</v>
      </c>
      <c r="I159" s="810" t="s">
        <v>20</v>
      </c>
      <c r="J159" s="810" t="s">
        <v>428</v>
      </c>
      <c r="K159" s="817"/>
      <c r="L159" s="811">
        <v>2</v>
      </c>
      <c r="M159" s="812">
        <v>264</v>
      </c>
      <c r="N159" s="812">
        <v>786.5</v>
      </c>
      <c r="O159" s="811">
        <v>2</v>
      </c>
      <c r="P159" s="812">
        <v>264</v>
      </c>
      <c r="Q159" s="812">
        <v>786.5</v>
      </c>
      <c r="R159" s="813" t="s">
        <v>172</v>
      </c>
      <c r="T159" s="815" t="s">
        <v>172</v>
      </c>
      <c r="U159" s="900" t="s">
        <v>1220</v>
      </c>
      <c r="V159" s="731"/>
      <c r="W159" s="732"/>
    </row>
    <row r="160" spans="1:23" x14ac:dyDescent="0.25">
      <c r="A160" s="807">
        <v>206</v>
      </c>
      <c r="B160" s="807" t="s">
        <v>305</v>
      </c>
      <c r="C160" s="807" t="s">
        <v>958</v>
      </c>
      <c r="D160" s="807" t="s">
        <v>14</v>
      </c>
      <c r="E160" s="807" t="s">
        <v>14</v>
      </c>
      <c r="F160" s="807" t="s">
        <v>968</v>
      </c>
      <c r="G160" s="807" t="s">
        <v>969</v>
      </c>
      <c r="H160" s="809" t="s">
        <v>41</v>
      </c>
      <c r="I160" s="810" t="s">
        <v>20</v>
      </c>
      <c r="J160" s="810" t="s">
        <v>428</v>
      </c>
      <c r="K160" s="807"/>
      <c r="L160" s="811">
        <v>1</v>
      </c>
      <c r="M160" s="812">
        <v>6</v>
      </c>
      <c r="N160" s="812">
        <v>16.75</v>
      </c>
      <c r="O160" s="811">
        <v>1</v>
      </c>
      <c r="P160" s="812">
        <v>6</v>
      </c>
      <c r="Q160" s="812">
        <v>16.75</v>
      </c>
      <c r="R160" s="813" t="s">
        <v>172</v>
      </c>
      <c r="T160" s="815" t="s">
        <v>172</v>
      </c>
      <c r="U160" s="900" t="s">
        <v>1220</v>
      </c>
      <c r="V160" s="731"/>
      <c r="W160" s="732"/>
    </row>
    <row r="161" spans="1:23" x14ac:dyDescent="0.25">
      <c r="A161" s="807">
        <v>207</v>
      </c>
      <c r="B161" s="807" t="s">
        <v>305</v>
      </c>
      <c r="C161" s="807" t="s">
        <v>958</v>
      </c>
      <c r="D161" s="807" t="s">
        <v>14</v>
      </c>
      <c r="E161" s="807" t="s">
        <v>14</v>
      </c>
      <c r="F161" s="807" t="s">
        <v>970</v>
      </c>
      <c r="G161" s="807" t="s">
        <v>965</v>
      </c>
      <c r="H161" s="809" t="s">
        <v>35</v>
      </c>
      <c r="I161" s="810" t="s">
        <v>20</v>
      </c>
      <c r="J161" s="810" t="s">
        <v>428</v>
      </c>
      <c r="K161" s="807"/>
      <c r="L161" s="811">
        <v>37</v>
      </c>
      <c r="M161" s="812">
        <v>382</v>
      </c>
      <c r="N161" s="812">
        <v>2057.75</v>
      </c>
      <c r="O161" s="811">
        <v>36</v>
      </c>
      <c r="P161" s="812">
        <v>380</v>
      </c>
      <c r="Q161" s="812">
        <v>2044.75</v>
      </c>
      <c r="R161" s="813" t="s">
        <v>172</v>
      </c>
      <c r="T161" s="815" t="s">
        <v>172</v>
      </c>
      <c r="U161" s="900" t="s">
        <v>1220</v>
      </c>
      <c r="V161" s="731"/>
      <c r="W161" s="732"/>
    </row>
    <row r="162" spans="1:23" x14ac:dyDescent="0.25">
      <c r="A162" s="807">
        <v>208</v>
      </c>
      <c r="B162" s="807" t="s">
        <v>305</v>
      </c>
      <c r="C162" s="807" t="s">
        <v>958</v>
      </c>
      <c r="D162" s="807" t="s">
        <v>14</v>
      </c>
      <c r="E162" s="807" t="s">
        <v>14</v>
      </c>
      <c r="F162" s="807" t="s">
        <v>889</v>
      </c>
      <c r="G162" s="807"/>
      <c r="H162" s="809" t="s">
        <v>39</v>
      </c>
      <c r="I162" s="810" t="s">
        <v>20</v>
      </c>
      <c r="J162" s="810" t="s">
        <v>428</v>
      </c>
      <c r="K162" s="817"/>
      <c r="L162" s="811">
        <v>7</v>
      </c>
      <c r="M162" s="812">
        <v>8</v>
      </c>
      <c r="N162" s="812">
        <v>8</v>
      </c>
      <c r="O162" s="811">
        <v>6</v>
      </c>
      <c r="P162" s="812">
        <v>7</v>
      </c>
      <c r="Q162" s="812">
        <v>7</v>
      </c>
      <c r="R162" s="806" t="s">
        <v>507</v>
      </c>
      <c r="T162" s="815" t="s">
        <v>172</v>
      </c>
      <c r="U162" s="900" t="s">
        <v>1220</v>
      </c>
      <c r="V162" s="731"/>
      <c r="W162" s="732"/>
    </row>
    <row r="163" spans="1:23" x14ac:dyDescent="0.25">
      <c r="A163" s="807">
        <v>209</v>
      </c>
      <c r="B163" s="807" t="s">
        <v>305</v>
      </c>
      <c r="C163" s="807" t="s">
        <v>958</v>
      </c>
      <c r="D163" s="807" t="s">
        <v>14</v>
      </c>
      <c r="E163" s="807" t="s">
        <v>14</v>
      </c>
      <c r="F163" s="807" t="s">
        <v>869</v>
      </c>
      <c r="G163" s="807"/>
      <c r="H163" s="809" t="s">
        <v>39</v>
      </c>
      <c r="I163" s="810" t="s">
        <v>20</v>
      </c>
      <c r="J163" s="810" t="s">
        <v>428</v>
      </c>
      <c r="K163" s="817"/>
      <c r="L163" s="811">
        <v>6</v>
      </c>
      <c r="M163" s="812">
        <v>6</v>
      </c>
      <c r="N163" s="812">
        <v>6</v>
      </c>
      <c r="O163" s="811">
        <v>6</v>
      </c>
      <c r="P163" s="812">
        <v>6</v>
      </c>
      <c r="Q163" s="812">
        <v>6</v>
      </c>
      <c r="R163" s="806" t="s">
        <v>507</v>
      </c>
      <c r="T163" s="815" t="s">
        <v>172</v>
      </c>
      <c r="U163" s="900" t="s">
        <v>1220</v>
      </c>
      <c r="V163" s="731"/>
      <c r="W163" s="732"/>
    </row>
    <row r="164" spans="1:23" x14ac:dyDescent="0.25">
      <c r="A164" s="807">
        <v>210</v>
      </c>
      <c r="B164" s="807" t="s">
        <v>305</v>
      </c>
      <c r="C164" s="807" t="s">
        <v>958</v>
      </c>
      <c r="D164" s="807" t="s">
        <v>14</v>
      </c>
      <c r="E164" s="807" t="s">
        <v>14</v>
      </c>
      <c r="F164" s="807" t="s">
        <v>971</v>
      </c>
      <c r="G164" s="807" t="s">
        <v>903</v>
      </c>
      <c r="H164" s="809" t="s">
        <v>38</v>
      </c>
      <c r="I164" s="810" t="s">
        <v>20</v>
      </c>
      <c r="J164" s="810" t="s">
        <v>428</v>
      </c>
      <c r="K164" s="807"/>
      <c r="L164" s="811">
        <v>174</v>
      </c>
      <c r="M164" s="812">
        <v>177</v>
      </c>
      <c r="N164" s="812">
        <v>177</v>
      </c>
      <c r="O164" s="811">
        <v>170</v>
      </c>
      <c r="P164" s="812">
        <v>173</v>
      </c>
      <c r="Q164" s="812">
        <v>173</v>
      </c>
      <c r="R164" s="813" t="s">
        <v>529</v>
      </c>
      <c r="T164" s="815" t="s">
        <v>172</v>
      </c>
      <c r="U164" s="900" t="s">
        <v>1220</v>
      </c>
      <c r="V164" s="731"/>
      <c r="W164" s="732"/>
    </row>
    <row r="165" spans="1:23" x14ac:dyDescent="0.25">
      <c r="A165" s="807">
        <v>211</v>
      </c>
      <c r="B165" s="807" t="s">
        <v>305</v>
      </c>
      <c r="C165" s="807" t="s">
        <v>958</v>
      </c>
      <c r="D165" s="807" t="s">
        <v>14</v>
      </c>
      <c r="E165" s="807" t="s">
        <v>14</v>
      </c>
      <c r="F165" s="807" t="s">
        <v>875</v>
      </c>
      <c r="G165" s="807"/>
      <c r="H165" s="809" t="s">
        <v>39</v>
      </c>
      <c r="I165" s="810" t="s">
        <v>20</v>
      </c>
      <c r="J165" s="810" t="s">
        <v>428</v>
      </c>
      <c r="K165" s="807"/>
      <c r="L165" s="811">
        <v>91</v>
      </c>
      <c r="M165" s="812">
        <v>127</v>
      </c>
      <c r="N165" s="812">
        <v>127</v>
      </c>
      <c r="O165" s="811">
        <v>90</v>
      </c>
      <c r="P165" s="812">
        <v>126</v>
      </c>
      <c r="Q165" s="812">
        <v>126</v>
      </c>
      <c r="R165" s="806" t="s">
        <v>507</v>
      </c>
      <c r="T165" s="815" t="s">
        <v>172</v>
      </c>
      <c r="U165" s="900" t="s">
        <v>1220</v>
      </c>
      <c r="V165" s="731"/>
      <c r="W165" s="732"/>
    </row>
    <row r="166" spans="1:23" x14ac:dyDescent="0.25">
      <c r="A166" s="807">
        <v>212</v>
      </c>
      <c r="B166" s="807" t="s">
        <v>305</v>
      </c>
      <c r="C166" s="807" t="s">
        <v>906</v>
      </c>
      <c r="D166" s="807" t="s">
        <v>14</v>
      </c>
      <c r="E166" s="807" t="s">
        <v>14</v>
      </c>
      <c r="F166" s="807" t="s">
        <v>889</v>
      </c>
      <c r="G166" s="807"/>
      <c r="H166" s="809" t="s">
        <v>39</v>
      </c>
      <c r="I166" s="810" t="s">
        <v>20</v>
      </c>
      <c r="J166" s="810" t="s">
        <v>428</v>
      </c>
      <c r="K166" s="817"/>
      <c r="L166" s="811">
        <v>7</v>
      </c>
      <c r="M166" s="812">
        <v>7</v>
      </c>
      <c r="N166" s="812">
        <v>7</v>
      </c>
      <c r="O166" s="811">
        <v>7</v>
      </c>
      <c r="P166" s="812">
        <v>7</v>
      </c>
      <c r="Q166" s="812">
        <v>7</v>
      </c>
      <c r="R166" s="806" t="s">
        <v>507</v>
      </c>
      <c r="T166" s="815" t="s">
        <v>172</v>
      </c>
      <c r="U166" s="900" t="s">
        <v>1220</v>
      </c>
      <c r="V166" s="731"/>
      <c r="W166" s="732"/>
    </row>
    <row r="167" spans="1:23" x14ac:dyDescent="0.25">
      <c r="A167" s="807">
        <v>213</v>
      </c>
      <c r="B167" s="807" t="s">
        <v>305</v>
      </c>
      <c r="C167" s="807" t="s">
        <v>906</v>
      </c>
      <c r="D167" s="807" t="s">
        <v>14</v>
      </c>
      <c r="E167" s="807" t="s">
        <v>14</v>
      </c>
      <c r="F167" s="807" t="s">
        <v>869</v>
      </c>
      <c r="G167" s="807"/>
      <c r="H167" s="809" t="s">
        <v>39</v>
      </c>
      <c r="I167" s="810" t="s">
        <v>20</v>
      </c>
      <c r="J167" s="810" t="s">
        <v>428</v>
      </c>
      <c r="K167" s="817"/>
      <c r="L167" s="811">
        <v>35</v>
      </c>
      <c r="M167" s="812">
        <v>35</v>
      </c>
      <c r="N167" s="812">
        <v>35</v>
      </c>
      <c r="O167" s="811">
        <v>32</v>
      </c>
      <c r="P167" s="812">
        <v>32</v>
      </c>
      <c r="Q167" s="812">
        <v>32</v>
      </c>
      <c r="R167" s="806" t="s">
        <v>507</v>
      </c>
      <c r="T167" s="815" t="s">
        <v>172</v>
      </c>
      <c r="U167" s="900" t="s">
        <v>1220</v>
      </c>
      <c r="V167" s="731"/>
      <c r="W167" s="732"/>
    </row>
    <row r="168" spans="1:23" x14ac:dyDescent="0.25">
      <c r="A168" s="807">
        <v>214</v>
      </c>
      <c r="B168" s="807" t="s">
        <v>305</v>
      </c>
      <c r="C168" s="807" t="s">
        <v>906</v>
      </c>
      <c r="D168" s="807" t="s">
        <v>14</v>
      </c>
      <c r="E168" s="807" t="s">
        <v>14</v>
      </c>
      <c r="F168" s="807" t="s">
        <v>875</v>
      </c>
      <c r="G168" s="807"/>
      <c r="H168" s="809" t="s">
        <v>39</v>
      </c>
      <c r="I168" s="810" t="s">
        <v>20</v>
      </c>
      <c r="J168" s="810" t="s">
        <v>428</v>
      </c>
      <c r="K168" s="817"/>
      <c r="L168" s="811">
        <v>38</v>
      </c>
      <c r="M168" s="812">
        <v>53</v>
      </c>
      <c r="N168" s="812">
        <v>53</v>
      </c>
      <c r="O168" s="811">
        <v>38</v>
      </c>
      <c r="P168" s="812">
        <v>53</v>
      </c>
      <c r="Q168" s="812">
        <v>53</v>
      </c>
      <c r="R168" s="806" t="s">
        <v>507</v>
      </c>
      <c r="T168" s="815" t="s">
        <v>172</v>
      </c>
      <c r="U168" s="900" t="s">
        <v>1220</v>
      </c>
      <c r="V168" s="731"/>
      <c r="W168" s="732"/>
    </row>
    <row r="169" spans="1:23" x14ac:dyDescent="0.25">
      <c r="A169" s="807">
        <v>215</v>
      </c>
      <c r="B169" s="807" t="s">
        <v>305</v>
      </c>
      <c r="C169" s="807" t="s">
        <v>906</v>
      </c>
      <c r="D169" s="807" t="s">
        <v>14</v>
      </c>
      <c r="E169" s="807" t="s">
        <v>14</v>
      </c>
      <c r="F169" s="807" t="s">
        <v>972</v>
      </c>
      <c r="G169" s="807" t="s">
        <v>868</v>
      </c>
      <c r="H169" s="809" t="s">
        <v>35</v>
      </c>
      <c r="I169" s="810" t="s">
        <v>20</v>
      </c>
      <c r="J169" s="810" t="s">
        <v>428</v>
      </c>
      <c r="K169" s="817"/>
      <c r="L169" s="811">
        <v>69</v>
      </c>
      <c r="M169" s="812">
        <v>8194</v>
      </c>
      <c r="N169" s="812">
        <v>51805</v>
      </c>
      <c r="O169" s="811">
        <v>65</v>
      </c>
      <c r="P169" s="812">
        <v>8077</v>
      </c>
      <c r="Q169" s="812">
        <v>51465.25</v>
      </c>
      <c r="R169" s="813" t="s">
        <v>172</v>
      </c>
      <c r="T169" s="815" t="s">
        <v>172</v>
      </c>
      <c r="U169" s="900" t="s">
        <v>1220</v>
      </c>
      <c r="V169" s="731"/>
      <c r="W169" s="732"/>
    </row>
    <row r="170" spans="1:23" x14ac:dyDescent="0.25">
      <c r="A170" s="807">
        <v>216</v>
      </c>
      <c r="B170" s="807" t="s">
        <v>305</v>
      </c>
      <c r="C170" s="807" t="s">
        <v>906</v>
      </c>
      <c r="D170" s="807" t="s">
        <v>14</v>
      </c>
      <c r="E170" s="807" t="s">
        <v>14</v>
      </c>
      <c r="F170" s="807" t="s">
        <v>973</v>
      </c>
      <c r="G170" s="807" t="s">
        <v>868</v>
      </c>
      <c r="H170" s="809" t="s">
        <v>35</v>
      </c>
      <c r="I170" s="810" t="s">
        <v>20</v>
      </c>
      <c r="J170" s="810" t="s">
        <v>428</v>
      </c>
      <c r="K170" s="817"/>
      <c r="L170" s="811">
        <v>1</v>
      </c>
      <c r="M170" s="812">
        <v>1</v>
      </c>
      <c r="N170" s="812">
        <v>7.25</v>
      </c>
      <c r="O170" s="811">
        <v>1</v>
      </c>
      <c r="P170" s="812">
        <v>1</v>
      </c>
      <c r="Q170" s="812">
        <v>7.25</v>
      </c>
      <c r="R170" s="813" t="s">
        <v>172</v>
      </c>
      <c r="T170" s="815" t="s">
        <v>172</v>
      </c>
      <c r="U170" s="900" t="s">
        <v>1220</v>
      </c>
      <c r="V170" s="731"/>
      <c r="W170" s="732"/>
    </row>
    <row r="171" spans="1:23" x14ac:dyDescent="0.25">
      <c r="A171" s="807">
        <v>217</v>
      </c>
      <c r="B171" s="807" t="s">
        <v>305</v>
      </c>
      <c r="C171" s="807" t="s">
        <v>906</v>
      </c>
      <c r="D171" s="807" t="s">
        <v>14</v>
      </c>
      <c r="E171" s="807" t="s">
        <v>14</v>
      </c>
      <c r="F171" s="807" t="s">
        <v>974</v>
      </c>
      <c r="G171" s="807" t="s">
        <v>868</v>
      </c>
      <c r="H171" s="809" t="s">
        <v>35</v>
      </c>
      <c r="I171" s="810" t="s">
        <v>20</v>
      </c>
      <c r="J171" s="810" t="s">
        <v>428</v>
      </c>
      <c r="K171" s="817"/>
      <c r="L171" s="811">
        <v>1</v>
      </c>
      <c r="M171" s="812">
        <v>220</v>
      </c>
      <c r="N171" s="812">
        <v>1368</v>
      </c>
      <c r="O171" s="811">
        <v>1</v>
      </c>
      <c r="P171" s="812">
        <v>220</v>
      </c>
      <c r="Q171" s="812">
        <v>1368</v>
      </c>
      <c r="R171" s="813" t="s">
        <v>172</v>
      </c>
      <c r="T171" s="815" t="s">
        <v>172</v>
      </c>
      <c r="U171" s="900" t="s">
        <v>1220</v>
      </c>
      <c r="V171" s="731"/>
      <c r="W171" s="732"/>
    </row>
    <row r="172" spans="1:23" x14ac:dyDescent="0.25">
      <c r="A172" s="807">
        <v>218</v>
      </c>
      <c r="B172" s="807" t="s">
        <v>305</v>
      </c>
      <c r="C172" s="807" t="s">
        <v>906</v>
      </c>
      <c r="D172" s="807" t="s">
        <v>14</v>
      </c>
      <c r="E172" s="807" t="s">
        <v>14</v>
      </c>
      <c r="F172" s="807" t="s">
        <v>975</v>
      </c>
      <c r="G172" s="807" t="s">
        <v>967</v>
      </c>
      <c r="H172" s="809" t="s">
        <v>41</v>
      </c>
      <c r="I172" s="810" t="s">
        <v>20</v>
      </c>
      <c r="J172" s="810" t="s">
        <v>428</v>
      </c>
      <c r="K172" s="807"/>
      <c r="L172" s="811">
        <v>2</v>
      </c>
      <c r="M172" s="812">
        <v>100</v>
      </c>
      <c r="N172" s="812">
        <v>1072</v>
      </c>
      <c r="O172" s="811">
        <v>2</v>
      </c>
      <c r="P172" s="812">
        <v>100</v>
      </c>
      <c r="Q172" s="812">
        <v>1072</v>
      </c>
      <c r="R172" s="813" t="s">
        <v>172</v>
      </c>
      <c r="T172" s="815" t="s">
        <v>172</v>
      </c>
      <c r="U172" s="900" t="s">
        <v>1220</v>
      </c>
      <c r="V172" s="731"/>
      <c r="W172" s="732"/>
    </row>
    <row r="173" spans="1:23" x14ac:dyDescent="0.25">
      <c r="A173" s="807">
        <v>219</v>
      </c>
      <c r="B173" s="807" t="s">
        <v>305</v>
      </c>
      <c r="C173" s="807" t="s">
        <v>906</v>
      </c>
      <c r="D173" s="807" t="s">
        <v>14</v>
      </c>
      <c r="E173" s="807" t="s">
        <v>14</v>
      </c>
      <c r="F173" s="807" t="s">
        <v>976</v>
      </c>
      <c r="G173" s="807" t="s">
        <v>933</v>
      </c>
      <c r="H173" s="809" t="s">
        <v>37</v>
      </c>
      <c r="I173" s="810" t="s">
        <v>20</v>
      </c>
      <c r="J173" s="810" t="s">
        <v>428</v>
      </c>
      <c r="K173" s="807"/>
      <c r="L173" s="811">
        <v>3</v>
      </c>
      <c r="M173" s="812">
        <v>488</v>
      </c>
      <c r="N173" s="812">
        <v>6344</v>
      </c>
      <c r="O173" s="811">
        <v>3</v>
      </c>
      <c r="P173" s="812">
        <v>488</v>
      </c>
      <c r="Q173" s="812">
        <v>6344</v>
      </c>
      <c r="R173" s="813" t="s">
        <v>172</v>
      </c>
      <c r="T173" s="815">
        <v>13</v>
      </c>
      <c r="U173" s="900" t="s">
        <v>1220</v>
      </c>
      <c r="V173" s="731"/>
      <c r="W173" s="732"/>
    </row>
    <row r="174" spans="1:23" x14ac:dyDescent="0.25">
      <c r="A174" s="807">
        <v>220</v>
      </c>
      <c r="B174" s="807" t="s">
        <v>305</v>
      </c>
      <c r="C174" s="807" t="s">
        <v>906</v>
      </c>
      <c r="D174" s="807" t="s">
        <v>14</v>
      </c>
      <c r="E174" s="807" t="s">
        <v>14</v>
      </c>
      <c r="F174" s="807" t="s">
        <v>977</v>
      </c>
      <c r="G174" s="807" t="s">
        <v>978</v>
      </c>
      <c r="H174" s="809" t="s">
        <v>37</v>
      </c>
      <c r="I174" s="810" t="s">
        <v>20</v>
      </c>
      <c r="J174" s="810" t="s">
        <v>428</v>
      </c>
      <c r="K174" s="817"/>
      <c r="L174" s="811">
        <v>1</v>
      </c>
      <c r="M174" s="812">
        <v>1</v>
      </c>
      <c r="N174" s="812">
        <v>13</v>
      </c>
      <c r="O174" s="811">
        <v>1</v>
      </c>
      <c r="P174" s="812">
        <v>1</v>
      </c>
      <c r="Q174" s="812">
        <v>13</v>
      </c>
      <c r="R174" s="813" t="s">
        <v>172</v>
      </c>
      <c r="T174" s="815">
        <v>13</v>
      </c>
      <c r="U174" s="900" t="s">
        <v>1220</v>
      </c>
      <c r="V174" s="731"/>
      <c r="W174" s="732"/>
    </row>
    <row r="175" spans="1:23" x14ac:dyDescent="0.25">
      <c r="A175" s="807">
        <v>223</v>
      </c>
      <c r="B175" s="807" t="s">
        <v>305</v>
      </c>
      <c r="C175" s="807" t="s">
        <v>909</v>
      </c>
      <c r="D175" s="807" t="s">
        <v>14</v>
      </c>
      <c r="E175" s="807" t="s">
        <v>15</v>
      </c>
      <c r="F175" s="807" t="s">
        <v>979</v>
      </c>
      <c r="G175" s="807" t="s">
        <v>863</v>
      </c>
      <c r="H175" s="809" t="s">
        <v>18</v>
      </c>
      <c r="I175" s="810" t="s">
        <v>15</v>
      </c>
      <c r="J175" s="810" t="s">
        <v>421</v>
      </c>
      <c r="K175" s="817"/>
      <c r="L175" s="811">
        <v>60</v>
      </c>
      <c r="M175" s="812">
        <v>11217</v>
      </c>
      <c r="N175" s="812">
        <v>48716</v>
      </c>
      <c r="O175" s="811">
        <v>53</v>
      </c>
      <c r="P175" s="812">
        <v>10730</v>
      </c>
      <c r="Q175" s="812">
        <v>46549.25</v>
      </c>
      <c r="R175" s="813" t="s">
        <v>172</v>
      </c>
      <c r="T175" s="815" t="s">
        <v>172</v>
      </c>
      <c r="U175" s="900" t="s">
        <v>1220</v>
      </c>
      <c r="V175" s="731"/>
      <c r="W175" s="732"/>
    </row>
    <row r="176" spans="1:23" x14ac:dyDescent="0.25">
      <c r="A176" s="807">
        <v>224</v>
      </c>
      <c r="B176" s="807" t="s">
        <v>305</v>
      </c>
      <c r="C176" s="807" t="s">
        <v>909</v>
      </c>
      <c r="D176" s="807" t="s">
        <v>14</v>
      </c>
      <c r="E176" s="807" t="s">
        <v>15</v>
      </c>
      <c r="F176" s="807" t="s">
        <v>980</v>
      </c>
      <c r="G176" s="807" t="s">
        <v>863</v>
      </c>
      <c r="H176" s="809" t="s">
        <v>18</v>
      </c>
      <c r="I176" s="810" t="s">
        <v>15</v>
      </c>
      <c r="J176" s="810" t="s">
        <v>421</v>
      </c>
      <c r="K176" s="817"/>
      <c r="L176" s="811">
        <v>1</v>
      </c>
      <c r="M176" s="812">
        <v>262</v>
      </c>
      <c r="N176" s="812">
        <v>1154.5</v>
      </c>
      <c r="O176" s="811">
        <v>1</v>
      </c>
      <c r="P176" s="812">
        <v>262</v>
      </c>
      <c r="Q176" s="812">
        <v>1154.5</v>
      </c>
      <c r="R176" s="813" t="s">
        <v>172</v>
      </c>
      <c r="T176" s="815" t="s">
        <v>172</v>
      </c>
      <c r="U176" s="900" t="s">
        <v>1220</v>
      </c>
      <c r="V176" s="731"/>
      <c r="W176" s="732"/>
    </row>
    <row r="177" spans="1:23" x14ac:dyDescent="0.25">
      <c r="A177" s="807">
        <v>225</v>
      </c>
      <c r="B177" s="807" t="s">
        <v>305</v>
      </c>
      <c r="C177" s="807" t="s">
        <v>909</v>
      </c>
      <c r="D177" s="807" t="s">
        <v>14</v>
      </c>
      <c r="E177" s="807" t="s">
        <v>15</v>
      </c>
      <c r="F177" s="807" t="s">
        <v>912</v>
      </c>
      <c r="G177" s="807" t="s">
        <v>863</v>
      </c>
      <c r="H177" s="809" t="s">
        <v>18</v>
      </c>
      <c r="I177" s="810" t="s">
        <v>15</v>
      </c>
      <c r="J177" s="810" t="s">
        <v>421</v>
      </c>
      <c r="K177" s="817"/>
      <c r="L177" s="811">
        <v>1</v>
      </c>
      <c r="M177" s="812">
        <v>67</v>
      </c>
      <c r="N177" s="812">
        <v>201</v>
      </c>
      <c r="O177" s="811">
        <v>1</v>
      </c>
      <c r="P177" s="812">
        <v>67</v>
      </c>
      <c r="Q177" s="812">
        <v>201</v>
      </c>
      <c r="R177" s="813" t="s">
        <v>172</v>
      </c>
      <c r="T177" s="815" t="s">
        <v>172</v>
      </c>
      <c r="U177" s="900" t="s">
        <v>1220</v>
      </c>
      <c r="V177" s="731"/>
      <c r="W177" s="732"/>
    </row>
    <row r="178" spans="1:23" x14ac:dyDescent="0.25">
      <c r="A178" s="807">
        <v>226</v>
      </c>
      <c r="B178" s="807" t="s">
        <v>305</v>
      </c>
      <c r="C178" s="807" t="s">
        <v>909</v>
      </c>
      <c r="D178" s="807" t="s">
        <v>14</v>
      </c>
      <c r="E178" s="807" t="s">
        <v>15</v>
      </c>
      <c r="F178" s="807" t="s">
        <v>981</v>
      </c>
      <c r="G178" s="807" t="s">
        <v>863</v>
      </c>
      <c r="H178" s="809" t="s">
        <v>18</v>
      </c>
      <c r="I178" s="810" t="s">
        <v>15</v>
      </c>
      <c r="J178" s="810" t="s">
        <v>421</v>
      </c>
      <c r="K178" s="817"/>
      <c r="L178" s="811">
        <v>2</v>
      </c>
      <c r="M178" s="812">
        <v>613</v>
      </c>
      <c r="N178" s="812">
        <v>2232.5</v>
      </c>
      <c r="O178" s="811">
        <v>2</v>
      </c>
      <c r="P178" s="812">
        <v>613</v>
      </c>
      <c r="Q178" s="812">
        <v>2232.5</v>
      </c>
      <c r="R178" s="813" t="s">
        <v>172</v>
      </c>
      <c r="T178" s="815" t="s">
        <v>172</v>
      </c>
      <c r="U178" s="900" t="s">
        <v>1220</v>
      </c>
      <c r="V178" s="731"/>
      <c r="W178" s="732"/>
    </row>
    <row r="179" spans="1:23" x14ac:dyDescent="0.25">
      <c r="A179" s="807">
        <v>227</v>
      </c>
      <c r="B179" s="807" t="s">
        <v>305</v>
      </c>
      <c r="C179" s="807" t="s">
        <v>909</v>
      </c>
      <c r="D179" s="807" t="s">
        <v>14</v>
      </c>
      <c r="E179" s="807" t="s">
        <v>15</v>
      </c>
      <c r="F179" s="807" t="s">
        <v>982</v>
      </c>
      <c r="G179" s="807" t="s">
        <v>957</v>
      </c>
      <c r="H179" s="809" t="s">
        <v>44</v>
      </c>
      <c r="I179" s="810" t="s">
        <v>15</v>
      </c>
      <c r="J179" s="810" t="s">
        <v>421</v>
      </c>
      <c r="K179" s="817"/>
      <c r="L179" s="811">
        <v>2</v>
      </c>
      <c r="M179" s="812">
        <v>552</v>
      </c>
      <c r="N179" s="812">
        <v>3284.5</v>
      </c>
      <c r="O179" s="811">
        <v>2</v>
      </c>
      <c r="P179" s="812">
        <v>552</v>
      </c>
      <c r="Q179" s="812">
        <v>3284.5</v>
      </c>
      <c r="R179" s="813" t="s">
        <v>172</v>
      </c>
      <c r="T179" s="815" t="s">
        <v>172</v>
      </c>
      <c r="U179" s="900" t="s">
        <v>1220</v>
      </c>
      <c r="V179" s="731"/>
      <c r="W179" s="732"/>
    </row>
    <row r="180" spans="1:23" x14ac:dyDescent="0.25">
      <c r="A180" s="807">
        <v>228</v>
      </c>
      <c r="B180" s="807" t="s">
        <v>305</v>
      </c>
      <c r="C180" s="807" t="s">
        <v>914</v>
      </c>
      <c r="D180" s="807" t="s">
        <v>434</v>
      </c>
      <c r="E180" s="807" t="s">
        <v>14</v>
      </c>
      <c r="F180" s="807" t="s">
        <v>885</v>
      </c>
      <c r="G180" s="807" t="s">
        <v>868</v>
      </c>
      <c r="H180" s="809" t="s">
        <v>35</v>
      </c>
      <c r="I180" s="810" t="s">
        <v>20</v>
      </c>
      <c r="J180" s="810" t="s">
        <v>428</v>
      </c>
      <c r="K180" s="807"/>
      <c r="L180" s="811">
        <v>1</v>
      </c>
      <c r="M180" s="812">
        <v>9</v>
      </c>
      <c r="N180" s="812">
        <v>16.25</v>
      </c>
      <c r="O180" s="811">
        <v>1</v>
      </c>
      <c r="P180" s="812">
        <v>9</v>
      </c>
      <c r="Q180" s="812">
        <v>16.25</v>
      </c>
      <c r="R180" s="813" t="s">
        <v>172</v>
      </c>
      <c r="T180" s="815" t="s">
        <v>172</v>
      </c>
      <c r="U180" s="900" t="s">
        <v>1220</v>
      </c>
      <c r="V180" s="731"/>
      <c r="W180" s="732"/>
    </row>
    <row r="181" spans="1:23" x14ac:dyDescent="0.25">
      <c r="A181" s="807">
        <v>229</v>
      </c>
      <c r="B181" s="807" t="s">
        <v>305</v>
      </c>
      <c r="C181" s="807" t="s">
        <v>914</v>
      </c>
      <c r="D181" s="807" t="s">
        <v>434</v>
      </c>
      <c r="E181" s="807" t="s">
        <v>14</v>
      </c>
      <c r="F181" s="807" t="s">
        <v>983</v>
      </c>
      <c r="G181" s="807" t="s">
        <v>984</v>
      </c>
      <c r="H181" s="809" t="s">
        <v>34</v>
      </c>
      <c r="I181" s="810" t="s">
        <v>20</v>
      </c>
      <c r="J181" s="810" t="s">
        <v>428</v>
      </c>
      <c r="K181" s="807"/>
      <c r="L181" s="811">
        <v>1</v>
      </c>
      <c r="M181" s="812">
        <v>114</v>
      </c>
      <c r="N181" s="812">
        <v>222</v>
      </c>
      <c r="O181" s="811">
        <v>1</v>
      </c>
      <c r="P181" s="812">
        <v>114</v>
      </c>
      <c r="Q181" s="812">
        <v>222</v>
      </c>
      <c r="R181" s="813" t="s">
        <v>172</v>
      </c>
      <c r="T181" s="815" t="s">
        <v>172</v>
      </c>
      <c r="U181" s="900" t="s">
        <v>1220</v>
      </c>
      <c r="V181" s="731"/>
      <c r="W181" s="732"/>
    </row>
    <row r="182" spans="1:23" x14ac:dyDescent="0.25">
      <c r="A182" s="807">
        <v>230</v>
      </c>
      <c r="B182" s="807" t="s">
        <v>305</v>
      </c>
      <c r="C182" s="807" t="s">
        <v>914</v>
      </c>
      <c r="D182" s="807" t="s">
        <v>434</v>
      </c>
      <c r="E182" s="807" t="s">
        <v>14</v>
      </c>
      <c r="F182" s="807" t="s">
        <v>869</v>
      </c>
      <c r="G182" s="807"/>
      <c r="H182" s="809" t="s">
        <v>39</v>
      </c>
      <c r="I182" s="810" t="s">
        <v>20</v>
      </c>
      <c r="J182" s="810" t="s">
        <v>428</v>
      </c>
      <c r="K182" s="807"/>
      <c r="L182" s="811">
        <v>1</v>
      </c>
      <c r="M182" s="812">
        <v>1</v>
      </c>
      <c r="N182" s="812">
        <v>1</v>
      </c>
      <c r="O182" s="811">
        <v>1</v>
      </c>
      <c r="P182" s="812">
        <v>1</v>
      </c>
      <c r="Q182" s="812">
        <v>1</v>
      </c>
      <c r="R182" s="806" t="s">
        <v>507</v>
      </c>
      <c r="T182" s="815" t="s">
        <v>172</v>
      </c>
      <c r="U182" s="900" t="s">
        <v>1220</v>
      </c>
      <c r="V182" s="731"/>
      <c r="W182" s="732"/>
    </row>
    <row r="183" spans="1:23" x14ac:dyDescent="0.25">
      <c r="A183" s="807">
        <v>231</v>
      </c>
      <c r="B183" s="807" t="s">
        <v>305</v>
      </c>
      <c r="C183" s="807" t="s">
        <v>914</v>
      </c>
      <c r="D183" s="807" t="s">
        <v>434</v>
      </c>
      <c r="E183" s="807" t="s">
        <v>14</v>
      </c>
      <c r="F183" s="807" t="s">
        <v>875</v>
      </c>
      <c r="G183" s="807"/>
      <c r="H183" s="809" t="s">
        <v>39</v>
      </c>
      <c r="I183" s="810" t="s">
        <v>20</v>
      </c>
      <c r="J183" s="810" t="s">
        <v>428</v>
      </c>
      <c r="K183" s="807"/>
      <c r="L183" s="811">
        <v>2</v>
      </c>
      <c r="M183" s="812">
        <v>2</v>
      </c>
      <c r="N183" s="812">
        <v>2</v>
      </c>
      <c r="O183" s="811">
        <v>2</v>
      </c>
      <c r="P183" s="812">
        <v>2</v>
      </c>
      <c r="Q183" s="812">
        <v>2</v>
      </c>
      <c r="R183" s="806" t="s">
        <v>507</v>
      </c>
      <c r="T183" s="815" t="s">
        <v>172</v>
      </c>
      <c r="U183" s="900" t="s">
        <v>1220</v>
      </c>
      <c r="V183" s="731"/>
      <c r="W183" s="732"/>
    </row>
    <row r="184" spans="1:23" x14ac:dyDescent="0.25">
      <c r="A184" s="807">
        <v>236</v>
      </c>
      <c r="B184" s="807" t="s">
        <v>306</v>
      </c>
      <c r="C184" s="807" t="s">
        <v>876</v>
      </c>
      <c r="D184" s="807" t="s">
        <v>434</v>
      </c>
      <c r="E184" s="807" t="s">
        <v>15</v>
      </c>
      <c r="F184" s="807" t="s">
        <v>863</v>
      </c>
      <c r="G184" s="807" t="s">
        <v>863</v>
      </c>
      <c r="H184" s="809" t="s">
        <v>18</v>
      </c>
      <c r="I184" s="810" t="s">
        <v>15</v>
      </c>
      <c r="J184" s="810" t="s">
        <v>421</v>
      </c>
      <c r="K184" s="817"/>
      <c r="L184" s="811">
        <v>32</v>
      </c>
      <c r="M184" s="812">
        <v>4448</v>
      </c>
      <c r="N184" s="812">
        <v>22299.75</v>
      </c>
      <c r="O184" s="811">
        <v>32</v>
      </c>
      <c r="P184" s="812">
        <v>4448</v>
      </c>
      <c r="Q184" s="812">
        <v>22299.75</v>
      </c>
      <c r="R184" s="813" t="s">
        <v>172</v>
      </c>
      <c r="T184" s="815" t="s">
        <v>172</v>
      </c>
      <c r="U184" s="900" t="s">
        <v>1220</v>
      </c>
      <c r="V184" s="731"/>
      <c r="W184" s="732"/>
    </row>
    <row r="185" spans="1:23" x14ac:dyDescent="0.25">
      <c r="A185" s="807">
        <v>240</v>
      </c>
      <c r="B185" s="807" t="s">
        <v>306</v>
      </c>
      <c r="C185" s="807" t="s">
        <v>897</v>
      </c>
      <c r="D185" s="807" t="s">
        <v>14</v>
      </c>
      <c r="E185" s="807" t="s">
        <v>15</v>
      </c>
      <c r="F185" s="807" t="s">
        <v>898</v>
      </c>
      <c r="G185" s="807" t="s">
        <v>863</v>
      </c>
      <c r="H185" s="809" t="s">
        <v>18</v>
      </c>
      <c r="I185" s="810" t="s">
        <v>15</v>
      </c>
      <c r="J185" s="810" t="s">
        <v>421</v>
      </c>
      <c r="K185" s="817"/>
      <c r="L185" s="811">
        <v>31</v>
      </c>
      <c r="M185" s="812">
        <v>4482</v>
      </c>
      <c r="N185" s="812">
        <v>26558</v>
      </c>
      <c r="O185" s="811">
        <v>31</v>
      </c>
      <c r="P185" s="812">
        <v>4482</v>
      </c>
      <c r="Q185" s="812">
        <v>26558</v>
      </c>
      <c r="R185" s="813" t="s">
        <v>172</v>
      </c>
      <c r="T185" s="815" t="s">
        <v>172</v>
      </c>
      <c r="U185" s="900" t="s">
        <v>1220</v>
      </c>
      <c r="V185" s="731"/>
      <c r="W185" s="732"/>
    </row>
    <row r="186" spans="1:23" x14ac:dyDescent="0.25">
      <c r="A186" s="807">
        <v>242</v>
      </c>
      <c r="B186" s="807" t="s">
        <v>306</v>
      </c>
      <c r="C186" s="807" t="s">
        <v>909</v>
      </c>
      <c r="D186" s="807" t="s">
        <v>14</v>
      </c>
      <c r="E186" s="807" t="s">
        <v>15</v>
      </c>
      <c r="F186" s="807" t="s">
        <v>985</v>
      </c>
      <c r="G186" s="807" t="s">
        <v>863</v>
      </c>
      <c r="H186" s="809" t="s">
        <v>18</v>
      </c>
      <c r="I186" s="810" t="s">
        <v>15</v>
      </c>
      <c r="J186" s="810" t="s">
        <v>421</v>
      </c>
      <c r="K186" s="817"/>
      <c r="L186" s="811">
        <v>1</v>
      </c>
      <c r="M186" s="812">
        <v>215</v>
      </c>
      <c r="N186" s="812">
        <v>1895.5</v>
      </c>
      <c r="O186" s="811">
        <v>1</v>
      </c>
      <c r="P186" s="812">
        <v>215</v>
      </c>
      <c r="Q186" s="812">
        <v>1895.5</v>
      </c>
      <c r="R186" s="813" t="s">
        <v>172</v>
      </c>
      <c r="T186" s="815" t="s">
        <v>172</v>
      </c>
      <c r="U186" s="900" t="s">
        <v>1220</v>
      </c>
      <c r="V186" s="731"/>
      <c r="W186" s="732"/>
    </row>
    <row r="187" spans="1:23" x14ac:dyDescent="0.25">
      <c r="A187" s="807">
        <v>244</v>
      </c>
      <c r="B187" s="807" t="s">
        <v>307</v>
      </c>
      <c r="C187" s="807" t="s">
        <v>876</v>
      </c>
      <c r="D187" s="807" t="s">
        <v>434</v>
      </c>
      <c r="E187" s="807" t="s">
        <v>15</v>
      </c>
      <c r="F187" s="807" t="s">
        <v>863</v>
      </c>
      <c r="G187" s="807" t="s">
        <v>863</v>
      </c>
      <c r="H187" s="809" t="s">
        <v>18</v>
      </c>
      <c r="I187" s="810" t="s">
        <v>15</v>
      </c>
      <c r="J187" s="810" t="s">
        <v>421</v>
      </c>
      <c r="K187" s="817"/>
      <c r="L187" s="811">
        <v>10</v>
      </c>
      <c r="M187" s="812">
        <v>804</v>
      </c>
      <c r="N187" s="812">
        <v>3629.5</v>
      </c>
      <c r="O187" s="811">
        <v>10</v>
      </c>
      <c r="P187" s="812">
        <v>804</v>
      </c>
      <c r="Q187" s="812">
        <v>3629.5</v>
      </c>
      <c r="R187" s="813" t="s">
        <v>172</v>
      </c>
      <c r="T187" s="815" t="s">
        <v>172</v>
      </c>
      <c r="U187" s="900" t="s">
        <v>1220</v>
      </c>
      <c r="V187" s="731"/>
      <c r="W187" s="732"/>
    </row>
    <row r="188" spans="1:23" x14ac:dyDescent="0.25">
      <c r="A188" s="807">
        <v>246</v>
      </c>
      <c r="B188" s="807" t="s">
        <v>307</v>
      </c>
      <c r="C188" s="807" t="s">
        <v>897</v>
      </c>
      <c r="D188" s="807" t="s">
        <v>14</v>
      </c>
      <c r="E188" s="807" t="s">
        <v>15</v>
      </c>
      <c r="F188" s="807" t="s">
        <v>898</v>
      </c>
      <c r="G188" s="807" t="s">
        <v>863</v>
      </c>
      <c r="H188" s="809" t="s">
        <v>18</v>
      </c>
      <c r="I188" s="810" t="s">
        <v>15</v>
      </c>
      <c r="J188" s="810" t="s">
        <v>421</v>
      </c>
      <c r="K188" s="817"/>
      <c r="L188" s="811">
        <v>6</v>
      </c>
      <c r="M188" s="812">
        <v>1160</v>
      </c>
      <c r="N188" s="812">
        <v>5803.5</v>
      </c>
      <c r="O188" s="811">
        <v>6</v>
      </c>
      <c r="P188" s="812">
        <v>1160</v>
      </c>
      <c r="Q188" s="812">
        <v>5803.5</v>
      </c>
      <c r="R188" s="813" t="s">
        <v>172</v>
      </c>
      <c r="T188" s="815" t="s">
        <v>172</v>
      </c>
      <c r="U188" s="900" t="s">
        <v>1220</v>
      </c>
      <c r="V188" s="731"/>
      <c r="W188" s="732"/>
    </row>
    <row r="189" spans="1:23" x14ac:dyDescent="0.25">
      <c r="A189" s="807">
        <v>249</v>
      </c>
      <c r="B189" s="807" t="s">
        <v>308</v>
      </c>
      <c r="C189" s="807" t="s">
        <v>876</v>
      </c>
      <c r="D189" s="807" t="s">
        <v>434</v>
      </c>
      <c r="E189" s="807" t="s">
        <v>15</v>
      </c>
      <c r="F189" s="807" t="s">
        <v>863</v>
      </c>
      <c r="G189" s="807" t="s">
        <v>863</v>
      </c>
      <c r="H189" s="809" t="s">
        <v>18</v>
      </c>
      <c r="I189" s="810" t="s">
        <v>15</v>
      </c>
      <c r="J189" s="810" t="s">
        <v>421</v>
      </c>
      <c r="K189" s="817"/>
      <c r="L189" s="811">
        <v>7</v>
      </c>
      <c r="M189" s="812">
        <v>1079</v>
      </c>
      <c r="N189" s="812">
        <v>5755</v>
      </c>
      <c r="O189" s="811">
        <v>7</v>
      </c>
      <c r="P189" s="812">
        <v>1079</v>
      </c>
      <c r="Q189" s="812">
        <v>5755</v>
      </c>
      <c r="R189" s="813" t="s">
        <v>172</v>
      </c>
      <c r="T189" s="815" t="s">
        <v>172</v>
      </c>
      <c r="U189" s="900" t="s">
        <v>1220</v>
      </c>
      <c r="V189" s="731"/>
      <c r="W189" s="732"/>
    </row>
    <row r="190" spans="1:23" x14ac:dyDescent="0.25">
      <c r="A190" s="807">
        <v>252</v>
      </c>
      <c r="B190" s="807" t="s">
        <v>308</v>
      </c>
      <c r="C190" s="807" t="s">
        <v>897</v>
      </c>
      <c r="D190" s="807" t="s">
        <v>14</v>
      </c>
      <c r="E190" s="807" t="s">
        <v>15</v>
      </c>
      <c r="F190" s="807" t="s">
        <v>898</v>
      </c>
      <c r="G190" s="807" t="s">
        <v>863</v>
      </c>
      <c r="H190" s="809" t="s">
        <v>18</v>
      </c>
      <c r="I190" s="810" t="s">
        <v>15</v>
      </c>
      <c r="J190" s="810" t="s">
        <v>421</v>
      </c>
      <c r="K190" s="817"/>
      <c r="L190" s="811">
        <v>3</v>
      </c>
      <c r="M190" s="812">
        <v>504</v>
      </c>
      <c r="N190" s="812">
        <v>3102</v>
      </c>
      <c r="O190" s="811">
        <v>3</v>
      </c>
      <c r="P190" s="812">
        <v>504</v>
      </c>
      <c r="Q190" s="812">
        <v>3102</v>
      </c>
      <c r="R190" s="813" t="s">
        <v>172</v>
      </c>
      <c r="T190" s="815" t="s">
        <v>172</v>
      </c>
      <c r="U190" s="900" t="s">
        <v>1220</v>
      </c>
      <c r="V190" s="731"/>
      <c r="W190" s="732"/>
    </row>
    <row r="191" spans="1:23" x14ac:dyDescent="0.25">
      <c r="A191" s="807">
        <v>254</v>
      </c>
      <c r="B191" s="807" t="s">
        <v>309</v>
      </c>
      <c r="C191" s="807" t="s">
        <v>876</v>
      </c>
      <c r="D191" s="807" t="s">
        <v>434</v>
      </c>
      <c r="E191" s="807" t="s">
        <v>15</v>
      </c>
      <c r="F191" s="807" t="s">
        <v>863</v>
      </c>
      <c r="G191" s="807" t="s">
        <v>863</v>
      </c>
      <c r="H191" s="809" t="s">
        <v>18</v>
      </c>
      <c r="I191" s="810" t="s">
        <v>15</v>
      </c>
      <c r="J191" s="810" t="s">
        <v>421</v>
      </c>
      <c r="K191" s="817"/>
      <c r="L191" s="811">
        <v>23</v>
      </c>
      <c r="M191" s="812">
        <v>3280</v>
      </c>
      <c r="N191" s="812">
        <v>12913.75</v>
      </c>
      <c r="O191" s="811">
        <v>23</v>
      </c>
      <c r="P191" s="812">
        <v>3280</v>
      </c>
      <c r="Q191" s="812">
        <v>12913.75</v>
      </c>
      <c r="R191" s="813" t="s">
        <v>172</v>
      </c>
      <c r="T191" s="815" t="s">
        <v>172</v>
      </c>
      <c r="U191" s="900" t="s">
        <v>1220</v>
      </c>
      <c r="V191" s="731"/>
      <c r="W191" s="732"/>
    </row>
    <row r="192" spans="1:23" x14ac:dyDescent="0.25">
      <c r="A192" s="807">
        <v>256</v>
      </c>
      <c r="B192" s="807" t="s">
        <v>309</v>
      </c>
      <c r="C192" s="807" t="s">
        <v>897</v>
      </c>
      <c r="D192" s="807" t="s">
        <v>14</v>
      </c>
      <c r="E192" s="807" t="s">
        <v>15</v>
      </c>
      <c r="F192" s="807" t="s">
        <v>898</v>
      </c>
      <c r="G192" s="807" t="s">
        <v>863</v>
      </c>
      <c r="H192" s="809" t="s">
        <v>18</v>
      </c>
      <c r="I192" s="810" t="s">
        <v>15</v>
      </c>
      <c r="J192" s="810" t="s">
        <v>421</v>
      </c>
      <c r="K192" s="817"/>
      <c r="L192" s="811">
        <v>11</v>
      </c>
      <c r="M192" s="812">
        <v>910</v>
      </c>
      <c r="N192" s="812">
        <v>4498</v>
      </c>
      <c r="O192" s="811">
        <v>11</v>
      </c>
      <c r="P192" s="812">
        <v>910</v>
      </c>
      <c r="Q192" s="812">
        <v>4498</v>
      </c>
      <c r="R192" s="813" t="s">
        <v>172</v>
      </c>
      <c r="T192" s="815" t="s">
        <v>172</v>
      </c>
      <c r="U192" s="900" t="s">
        <v>1220</v>
      </c>
      <c r="V192" s="731"/>
      <c r="W192" s="732"/>
    </row>
    <row r="193" spans="1:23" x14ac:dyDescent="0.25">
      <c r="A193" s="807">
        <v>257</v>
      </c>
      <c r="B193" s="807" t="s">
        <v>309</v>
      </c>
      <c r="C193" s="807" t="s">
        <v>897</v>
      </c>
      <c r="D193" s="807" t="s">
        <v>14</v>
      </c>
      <c r="E193" s="807" t="s">
        <v>15</v>
      </c>
      <c r="F193" s="807" t="s">
        <v>986</v>
      </c>
      <c r="G193" s="807" t="s">
        <v>957</v>
      </c>
      <c r="H193" s="809" t="s">
        <v>44</v>
      </c>
      <c r="I193" s="810" t="s">
        <v>15</v>
      </c>
      <c r="J193" s="810" t="s">
        <v>421</v>
      </c>
      <c r="K193" s="817"/>
      <c r="L193" s="811">
        <v>2</v>
      </c>
      <c r="M193" s="812">
        <v>425</v>
      </c>
      <c r="N193" s="812">
        <v>1430.25</v>
      </c>
      <c r="O193" s="811">
        <v>2</v>
      </c>
      <c r="P193" s="812">
        <v>425</v>
      </c>
      <c r="Q193" s="812">
        <v>1430.25</v>
      </c>
      <c r="R193" s="813" t="s">
        <v>172</v>
      </c>
      <c r="T193" s="815" t="s">
        <v>172</v>
      </c>
      <c r="U193" s="900" t="s">
        <v>1220</v>
      </c>
      <c r="V193" s="731"/>
      <c r="W193" s="732"/>
    </row>
    <row r="194" spans="1:23" x14ac:dyDescent="0.25">
      <c r="A194" s="807">
        <v>260</v>
      </c>
      <c r="B194" s="807" t="s">
        <v>310</v>
      </c>
      <c r="C194" s="807" t="s">
        <v>876</v>
      </c>
      <c r="D194" s="807" t="s">
        <v>434</v>
      </c>
      <c r="E194" s="807" t="s">
        <v>15</v>
      </c>
      <c r="F194" s="807" t="s">
        <v>863</v>
      </c>
      <c r="G194" s="807" t="s">
        <v>863</v>
      </c>
      <c r="H194" s="809" t="s">
        <v>18</v>
      </c>
      <c r="I194" s="810" t="s">
        <v>15</v>
      </c>
      <c r="J194" s="810" t="s">
        <v>421</v>
      </c>
      <c r="K194" s="817"/>
      <c r="L194" s="811">
        <v>13</v>
      </c>
      <c r="M194" s="812">
        <v>1927</v>
      </c>
      <c r="N194" s="812">
        <v>10513.25</v>
      </c>
      <c r="O194" s="811">
        <v>13</v>
      </c>
      <c r="P194" s="812">
        <v>1927</v>
      </c>
      <c r="Q194" s="812">
        <v>10513.25</v>
      </c>
      <c r="R194" s="813" t="s">
        <v>172</v>
      </c>
      <c r="T194" s="815" t="s">
        <v>172</v>
      </c>
      <c r="U194" s="900" t="s">
        <v>1220</v>
      </c>
      <c r="V194" s="731"/>
      <c r="W194" s="732"/>
    </row>
    <row r="195" spans="1:23" x14ac:dyDescent="0.25">
      <c r="A195" s="807">
        <v>262</v>
      </c>
      <c r="B195" s="807" t="s">
        <v>310</v>
      </c>
      <c r="C195" s="807" t="s">
        <v>897</v>
      </c>
      <c r="D195" s="807" t="s">
        <v>14</v>
      </c>
      <c r="E195" s="807" t="s">
        <v>15</v>
      </c>
      <c r="F195" s="807" t="s">
        <v>898</v>
      </c>
      <c r="G195" s="807" t="s">
        <v>863</v>
      </c>
      <c r="H195" s="809" t="s">
        <v>18</v>
      </c>
      <c r="I195" s="810" t="s">
        <v>15</v>
      </c>
      <c r="J195" s="810" t="s">
        <v>421</v>
      </c>
      <c r="K195" s="817"/>
      <c r="L195" s="811">
        <v>11</v>
      </c>
      <c r="M195" s="812">
        <v>1633</v>
      </c>
      <c r="N195" s="812">
        <v>7196.25</v>
      </c>
      <c r="O195" s="811">
        <v>11</v>
      </c>
      <c r="P195" s="812">
        <v>1633</v>
      </c>
      <c r="Q195" s="812">
        <v>7196.25</v>
      </c>
      <c r="R195" s="813" t="s">
        <v>172</v>
      </c>
      <c r="T195" s="815" t="s">
        <v>172</v>
      </c>
      <c r="U195" s="900" t="s">
        <v>1220</v>
      </c>
      <c r="V195" s="731"/>
      <c r="W195" s="732"/>
    </row>
    <row r="196" spans="1:23" x14ac:dyDescent="0.25">
      <c r="A196" s="807">
        <v>265</v>
      </c>
      <c r="B196" s="807" t="s">
        <v>360</v>
      </c>
      <c r="C196" s="807" t="s">
        <v>876</v>
      </c>
      <c r="D196" s="807" t="s">
        <v>434</v>
      </c>
      <c r="E196" s="807" t="s">
        <v>15</v>
      </c>
      <c r="F196" s="807" t="s">
        <v>863</v>
      </c>
      <c r="G196" s="807" t="s">
        <v>863</v>
      </c>
      <c r="H196" s="809" t="s">
        <v>18</v>
      </c>
      <c r="I196" s="810" t="s">
        <v>15</v>
      </c>
      <c r="J196" s="810" t="s">
        <v>421</v>
      </c>
      <c r="K196" s="817"/>
      <c r="L196" s="811">
        <v>11</v>
      </c>
      <c r="M196" s="812">
        <v>900</v>
      </c>
      <c r="N196" s="812">
        <v>5514.75</v>
      </c>
      <c r="O196" s="811">
        <v>11</v>
      </c>
      <c r="P196" s="812">
        <v>900</v>
      </c>
      <c r="Q196" s="812">
        <v>5514.75</v>
      </c>
      <c r="R196" s="813" t="s">
        <v>172</v>
      </c>
      <c r="T196" s="815" t="s">
        <v>172</v>
      </c>
      <c r="U196" s="900" t="s">
        <v>1220</v>
      </c>
      <c r="V196" s="731"/>
      <c r="W196" s="732"/>
    </row>
    <row r="197" spans="1:23" x14ac:dyDescent="0.25">
      <c r="A197" s="807">
        <v>267</v>
      </c>
      <c r="B197" s="807" t="s">
        <v>360</v>
      </c>
      <c r="C197" s="807" t="s">
        <v>897</v>
      </c>
      <c r="D197" s="807" t="s">
        <v>14</v>
      </c>
      <c r="E197" s="807" t="s">
        <v>15</v>
      </c>
      <c r="F197" s="807" t="s">
        <v>898</v>
      </c>
      <c r="G197" s="807" t="s">
        <v>863</v>
      </c>
      <c r="H197" s="809" t="s">
        <v>18</v>
      </c>
      <c r="I197" s="810" t="s">
        <v>15</v>
      </c>
      <c r="J197" s="810" t="s">
        <v>421</v>
      </c>
      <c r="K197" s="817"/>
      <c r="L197" s="811">
        <v>6</v>
      </c>
      <c r="M197" s="812">
        <v>771</v>
      </c>
      <c r="N197" s="812">
        <v>3591.25</v>
      </c>
      <c r="O197" s="811">
        <v>6</v>
      </c>
      <c r="P197" s="812">
        <v>771</v>
      </c>
      <c r="Q197" s="812">
        <v>3591.25</v>
      </c>
      <c r="R197" s="813" t="s">
        <v>172</v>
      </c>
      <c r="T197" s="815" t="s">
        <v>172</v>
      </c>
      <c r="U197" s="900" t="s">
        <v>1220</v>
      </c>
      <c r="V197" s="731"/>
      <c r="W197" s="732"/>
    </row>
    <row r="198" spans="1:23" x14ac:dyDescent="0.25">
      <c r="A198" s="807">
        <v>269</v>
      </c>
      <c r="B198" s="807" t="s">
        <v>311</v>
      </c>
      <c r="C198" s="807" t="s">
        <v>876</v>
      </c>
      <c r="D198" s="807" t="s">
        <v>434</v>
      </c>
      <c r="E198" s="807" t="s">
        <v>15</v>
      </c>
      <c r="F198" s="807" t="s">
        <v>863</v>
      </c>
      <c r="G198" s="807" t="s">
        <v>863</v>
      </c>
      <c r="H198" s="809" t="s">
        <v>18</v>
      </c>
      <c r="I198" s="810" t="s">
        <v>15</v>
      </c>
      <c r="J198" s="810" t="s">
        <v>421</v>
      </c>
      <c r="K198" s="817"/>
      <c r="L198" s="811">
        <v>1</v>
      </c>
      <c r="M198" s="812">
        <v>84</v>
      </c>
      <c r="N198" s="812">
        <v>353</v>
      </c>
      <c r="O198" s="811">
        <v>1</v>
      </c>
      <c r="P198" s="812">
        <v>84</v>
      </c>
      <c r="Q198" s="812">
        <v>353</v>
      </c>
      <c r="R198" s="813" t="s">
        <v>172</v>
      </c>
      <c r="T198" s="815" t="s">
        <v>172</v>
      </c>
      <c r="U198" s="900" t="s">
        <v>1220</v>
      </c>
      <c r="V198" s="731"/>
      <c r="W198" s="732"/>
    </row>
    <row r="199" spans="1:23" x14ac:dyDescent="0.25">
      <c r="A199" s="807">
        <v>271</v>
      </c>
      <c r="B199" s="807" t="s">
        <v>311</v>
      </c>
      <c r="C199" s="807" t="s">
        <v>876</v>
      </c>
      <c r="D199" s="807" t="s">
        <v>434</v>
      </c>
      <c r="E199" s="807" t="s">
        <v>15</v>
      </c>
      <c r="F199" s="807" t="s">
        <v>863</v>
      </c>
      <c r="G199" s="807" t="s">
        <v>863</v>
      </c>
      <c r="H199" s="809" t="s">
        <v>18</v>
      </c>
      <c r="I199" s="810" t="s">
        <v>15</v>
      </c>
      <c r="J199" s="810" t="s">
        <v>421</v>
      </c>
      <c r="K199" s="807"/>
      <c r="L199" s="811">
        <v>4</v>
      </c>
      <c r="M199" s="812">
        <v>268</v>
      </c>
      <c r="N199" s="812">
        <v>1347.75</v>
      </c>
      <c r="O199" s="811">
        <v>4</v>
      </c>
      <c r="P199" s="812">
        <v>268</v>
      </c>
      <c r="Q199" s="812">
        <v>1347.75</v>
      </c>
      <c r="R199" s="813" t="s">
        <v>172</v>
      </c>
      <c r="T199" s="815" t="s">
        <v>172</v>
      </c>
      <c r="U199" s="900" t="s">
        <v>1220</v>
      </c>
      <c r="V199" s="731"/>
      <c r="W199" s="732"/>
    </row>
    <row r="200" spans="1:23" x14ac:dyDescent="0.25">
      <c r="A200" s="807">
        <v>274</v>
      </c>
      <c r="B200" s="807" t="s">
        <v>311</v>
      </c>
      <c r="C200" s="807" t="s">
        <v>897</v>
      </c>
      <c r="D200" s="807" t="s">
        <v>14</v>
      </c>
      <c r="E200" s="807" t="s">
        <v>15</v>
      </c>
      <c r="F200" s="807" t="s">
        <v>898</v>
      </c>
      <c r="G200" s="807" t="s">
        <v>863</v>
      </c>
      <c r="H200" s="809" t="s">
        <v>18</v>
      </c>
      <c r="I200" s="810" t="s">
        <v>15</v>
      </c>
      <c r="J200" s="810" t="s">
        <v>421</v>
      </c>
      <c r="K200" s="817"/>
      <c r="L200" s="811">
        <v>6</v>
      </c>
      <c r="M200" s="812">
        <v>1347</v>
      </c>
      <c r="N200" s="812">
        <v>5884.5</v>
      </c>
      <c r="O200" s="811">
        <v>6</v>
      </c>
      <c r="P200" s="812">
        <v>1347</v>
      </c>
      <c r="Q200" s="812">
        <v>5884.5</v>
      </c>
      <c r="R200" s="813" t="s">
        <v>172</v>
      </c>
      <c r="T200" s="815" t="s">
        <v>172</v>
      </c>
      <c r="U200" s="900" t="s">
        <v>1220</v>
      </c>
      <c r="V200" s="731"/>
      <c r="W200" s="732"/>
    </row>
    <row r="201" spans="1:23" x14ac:dyDescent="0.25">
      <c r="A201" s="807">
        <v>275</v>
      </c>
      <c r="B201" s="807" t="s">
        <v>312</v>
      </c>
      <c r="C201" s="807" t="s">
        <v>906</v>
      </c>
      <c r="D201" s="807" t="s">
        <v>14</v>
      </c>
      <c r="E201" s="807" t="s">
        <v>14</v>
      </c>
      <c r="F201" s="807" t="s">
        <v>869</v>
      </c>
      <c r="G201" s="807"/>
      <c r="H201" s="809" t="s">
        <v>39</v>
      </c>
      <c r="I201" s="810" t="s">
        <v>20</v>
      </c>
      <c r="J201" s="810" t="s">
        <v>428</v>
      </c>
      <c r="K201" s="817"/>
      <c r="L201" s="811">
        <v>1</v>
      </c>
      <c r="M201" s="812">
        <v>1</v>
      </c>
      <c r="N201" s="812">
        <v>1</v>
      </c>
      <c r="O201" s="811">
        <v>1</v>
      </c>
      <c r="P201" s="812">
        <v>1</v>
      </c>
      <c r="Q201" s="812">
        <v>1</v>
      </c>
      <c r="R201" s="806" t="s">
        <v>507</v>
      </c>
      <c r="T201" s="815" t="s">
        <v>172</v>
      </c>
      <c r="U201" s="900" t="s">
        <v>1220</v>
      </c>
      <c r="V201" s="731"/>
      <c r="W201" s="732"/>
    </row>
    <row r="202" spans="1:23" x14ac:dyDescent="0.25">
      <c r="A202" s="807">
        <v>276</v>
      </c>
      <c r="B202" s="807" t="s">
        <v>312</v>
      </c>
      <c r="C202" s="807" t="s">
        <v>906</v>
      </c>
      <c r="D202" s="807" t="s">
        <v>14</v>
      </c>
      <c r="E202" s="807" t="s">
        <v>14</v>
      </c>
      <c r="F202" s="807" t="s">
        <v>875</v>
      </c>
      <c r="G202" s="807"/>
      <c r="H202" s="809" t="s">
        <v>39</v>
      </c>
      <c r="I202" s="810" t="s">
        <v>20</v>
      </c>
      <c r="J202" s="810" t="s">
        <v>428</v>
      </c>
      <c r="K202" s="817"/>
      <c r="L202" s="811">
        <v>1</v>
      </c>
      <c r="M202" s="812">
        <v>1</v>
      </c>
      <c r="N202" s="812">
        <v>1</v>
      </c>
      <c r="O202" s="811">
        <v>1</v>
      </c>
      <c r="P202" s="812">
        <v>1</v>
      </c>
      <c r="Q202" s="812">
        <v>1</v>
      </c>
      <c r="R202" s="806" t="s">
        <v>507</v>
      </c>
      <c r="T202" s="815" t="s">
        <v>172</v>
      </c>
      <c r="U202" s="900" t="s">
        <v>1220</v>
      </c>
      <c r="V202" s="731"/>
      <c r="W202" s="732"/>
    </row>
    <row r="203" spans="1:23" x14ac:dyDescent="0.25">
      <c r="A203" s="807">
        <v>277</v>
      </c>
      <c r="B203" s="807" t="s">
        <v>312</v>
      </c>
      <c r="C203" s="807" t="s">
        <v>906</v>
      </c>
      <c r="D203" s="807" t="s">
        <v>14</v>
      </c>
      <c r="E203" s="807" t="s">
        <v>14</v>
      </c>
      <c r="F203" s="807" t="s">
        <v>908</v>
      </c>
      <c r="G203" s="807" t="s">
        <v>868</v>
      </c>
      <c r="H203" s="809" t="s">
        <v>35</v>
      </c>
      <c r="I203" s="810" t="s">
        <v>20</v>
      </c>
      <c r="J203" s="810" t="s">
        <v>428</v>
      </c>
      <c r="K203" s="817"/>
      <c r="L203" s="811">
        <v>1</v>
      </c>
      <c r="M203" s="812">
        <v>145</v>
      </c>
      <c r="N203" s="812">
        <v>613.25</v>
      </c>
      <c r="O203" s="811">
        <v>1</v>
      </c>
      <c r="P203" s="812">
        <v>145</v>
      </c>
      <c r="Q203" s="812">
        <v>613.25</v>
      </c>
      <c r="R203" s="813" t="s">
        <v>172</v>
      </c>
      <c r="T203" s="815" t="s">
        <v>172</v>
      </c>
      <c r="U203" s="900" t="s">
        <v>1220</v>
      </c>
      <c r="V203" s="731"/>
      <c r="W203" s="732"/>
    </row>
    <row r="204" spans="1:23" x14ac:dyDescent="0.25">
      <c r="A204" s="807">
        <v>280</v>
      </c>
      <c r="B204" s="807" t="s">
        <v>312</v>
      </c>
      <c r="C204" s="807" t="s">
        <v>909</v>
      </c>
      <c r="D204" s="807" t="s">
        <v>14</v>
      </c>
      <c r="E204" s="807" t="s">
        <v>15</v>
      </c>
      <c r="F204" s="807" t="s">
        <v>987</v>
      </c>
      <c r="G204" s="807" t="s">
        <v>863</v>
      </c>
      <c r="H204" s="809" t="s">
        <v>18</v>
      </c>
      <c r="I204" s="810" t="s">
        <v>15</v>
      </c>
      <c r="J204" s="810" t="s">
        <v>421</v>
      </c>
      <c r="K204" s="817"/>
      <c r="L204" s="811">
        <v>5</v>
      </c>
      <c r="M204" s="812">
        <v>624</v>
      </c>
      <c r="N204" s="812">
        <v>1958.75</v>
      </c>
      <c r="O204" s="811">
        <v>5</v>
      </c>
      <c r="P204" s="812">
        <v>624</v>
      </c>
      <c r="Q204" s="812">
        <v>1958.75</v>
      </c>
      <c r="R204" s="813" t="s">
        <v>172</v>
      </c>
      <c r="T204" s="815" t="s">
        <v>172</v>
      </c>
      <c r="U204" s="900" t="s">
        <v>1220</v>
      </c>
      <c r="V204" s="731"/>
      <c r="W204" s="732"/>
    </row>
    <row r="205" spans="1:23" x14ac:dyDescent="0.25">
      <c r="A205" s="807">
        <v>282</v>
      </c>
      <c r="B205" s="807" t="s">
        <v>313</v>
      </c>
      <c r="C205" s="807" t="s">
        <v>876</v>
      </c>
      <c r="D205" s="807" t="s">
        <v>434</v>
      </c>
      <c r="E205" s="807" t="s">
        <v>15</v>
      </c>
      <c r="F205" s="807" t="s">
        <v>863</v>
      </c>
      <c r="G205" s="807" t="s">
        <v>863</v>
      </c>
      <c r="H205" s="809" t="s">
        <v>18</v>
      </c>
      <c r="I205" s="810" t="s">
        <v>15</v>
      </c>
      <c r="J205" s="810" t="s">
        <v>421</v>
      </c>
      <c r="K205" s="817"/>
      <c r="L205" s="811">
        <v>5</v>
      </c>
      <c r="M205" s="812">
        <v>510</v>
      </c>
      <c r="N205" s="812">
        <v>2569.75</v>
      </c>
      <c r="O205" s="811">
        <v>5</v>
      </c>
      <c r="P205" s="812">
        <v>510</v>
      </c>
      <c r="Q205" s="812">
        <v>2569.75</v>
      </c>
      <c r="R205" s="813" t="s">
        <v>172</v>
      </c>
      <c r="T205" s="815" t="s">
        <v>172</v>
      </c>
      <c r="U205" s="900" t="s">
        <v>1220</v>
      </c>
      <c r="V205" s="731"/>
      <c r="W205" s="732"/>
    </row>
    <row r="206" spans="1:23" x14ac:dyDescent="0.25">
      <c r="A206" s="807">
        <v>285</v>
      </c>
      <c r="B206" s="807" t="s">
        <v>313</v>
      </c>
      <c r="C206" s="807" t="s">
        <v>897</v>
      </c>
      <c r="D206" s="807" t="s">
        <v>14</v>
      </c>
      <c r="E206" s="807" t="s">
        <v>15</v>
      </c>
      <c r="F206" s="807" t="s">
        <v>898</v>
      </c>
      <c r="G206" s="807" t="s">
        <v>863</v>
      </c>
      <c r="H206" s="809" t="s">
        <v>18</v>
      </c>
      <c r="I206" s="810" t="s">
        <v>15</v>
      </c>
      <c r="J206" s="810" t="s">
        <v>421</v>
      </c>
      <c r="K206" s="817"/>
      <c r="L206" s="811">
        <v>3</v>
      </c>
      <c r="M206" s="812">
        <v>317</v>
      </c>
      <c r="N206" s="812">
        <v>1835.25</v>
      </c>
      <c r="O206" s="811">
        <v>3</v>
      </c>
      <c r="P206" s="812">
        <v>317</v>
      </c>
      <c r="Q206" s="812">
        <v>1835.25</v>
      </c>
      <c r="R206" s="813" t="s">
        <v>172</v>
      </c>
      <c r="T206" s="815" t="s">
        <v>172</v>
      </c>
      <c r="U206" s="900" t="s">
        <v>1220</v>
      </c>
      <c r="V206" s="731"/>
      <c r="W206" s="732"/>
    </row>
    <row r="207" spans="1:23" x14ac:dyDescent="0.25">
      <c r="A207" s="807">
        <v>287</v>
      </c>
      <c r="B207" s="807" t="s">
        <v>314</v>
      </c>
      <c r="C207" s="807" t="s">
        <v>876</v>
      </c>
      <c r="D207" s="807" t="s">
        <v>434</v>
      </c>
      <c r="E207" s="807" t="s">
        <v>15</v>
      </c>
      <c r="F207" s="807" t="s">
        <v>863</v>
      </c>
      <c r="G207" s="807" t="s">
        <v>863</v>
      </c>
      <c r="H207" s="809" t="s">
        <v>18</v>
      </c>
      <c r="I207" s="810" t="s">
        <v>15</v>
      </c>
      <c r="J207" s="810" t="s">
        <v>421</v>
      </c>
      <c r="K207" s="817"/>
      <c r="L207" s="811">
        <v>3</v>
      </c>
      <c r="M207" s="812">
        <v>326</v>
      </c>
      <c r="N207" s="812">
        <v>1932.25</v>
      </c>
      <c r="O207" s="811">
        <v>3</v>
      </c>
      <c r="P207" s="812">
        <v>326</v>
      </c>
      <c r="Q207" s="812">
        <v>1932.25</v>
      </c>
      <c r="R207" s="813" t="s">
        <v>172</v>
      </c>
      <c r="T207" s="815" t="s">
        <v>172</v>
      </c>
      <c r="U207" s="900" t="s">
        <v>1220</v>
      </c>
      <c r="V207" s="731"/>
      <c r="W207" s="732"/>
    </row>
    <row r="208" spans="1:23" x14ac:dyDescent="0.25">
      <c r="A208" s="807">
        <v>289</v>
      </c>
      <c r="B208" s="807" t="s">
        <v>314</v>
      </c>
      <c r="C208" s="807" t="s">
        <v>897</v>
      </c>
      <c r="D208" s="807" t="s">
        <v>14</v>
      </c>
      <c r="E208" s="807" t="s">
        <v>15</v>
      </c>
      <c r="F208" s="807" t="s">
        <v>898</v>
      </c>
      <c r="G208" s="807" t="s">
        <v>863</v>
      </c>
      <c r="H208" s="809" t="s">
        <v>18</v>
      </c>
      <c r="I208" s="810" t="s">
        <v>15</v>
      </c>
      <c r="J208" s="810" t="s">
        <v>421</v>
      </c>
      <c r="K208" s="817"/>
      <c r="L208" s="811">
        <v>2</v>
      </c>
      <c r="M208" s="812">
        <v>87</v>
      </c>
      <c r="N208" s="812">
        <v>292.75</v>
      </c>
      <c r="O208" s="811">
        <v>2</v>
      </c>
      <c r="P208" s="812">
        <v>87</v>
      </c>
      <c r="Q208" s="812">
        <v>292.75</v>
      </c>
      <c r="R208" s="813" t="s">
        <v>172</v>
      </c>
      <c r="T208" s="815" t="s">
        <v>172</v>
      </c>
      <c r="U208" s="900" t="s">
        <v>1220</v>
      </c>
      <c r="V208" s="731"/>
      <c r="W208" s="732"/>
    </row>
    <row r="209" spans="1:23" x14ac:dyDescent="0.25">
      <c r="A209" s="807">
        <v>291</v>
      </c>
      <c r="B209" s="807" t="s">
        <v>314</v>
      </c>
      <c r="C209" s="807" t="s">
        <v>909</v>
      </c>
      <c r="D209" s="807" t="s">
        <v>14</v>
      </c>
      <c r="E209" s="807" t="s">
        <v>15</v>
      </c>
      <c r="F209" s="807" t="s">
        <v>988</v>
      </c>
      <c r="G209" s="807" t="s">
        <v>863</v>
      </c>
      <c r="H209" s="809" t="s">
        <v>18</v>
      </c>
      <c r="I209" s="810" t="s">
        <v>15</v>
      </c>
      <c r="J209" s="810" t="s">
        <v>421</v>
      </c>
      <c r="K209" s="807"/>
      <c r="L209" s="811">
        <v>4</v>
      </c>
      <c r="M209" s="812">
        <v>392</v>
      </c>
      <c r="N209" s="812">
        <v>1919</v>
      </c>
      <c r="O209" s="811">
        <v>4</v>
      </c>
      <c r="P209" s="812">
        <v>392</v>
      </c>
      <c r="Q209" s="812">
        <v>1919</v>
      </c>
      <c r="R209" s="813" t="s">
        <v>172</v>
      </c>
      <c r="T209" s="815" t="s">
        <v>172</v>
      </c>
      <c r="U209" s="900" t="s">
        <v>1220</v>
      </c>
      <c r="V209" s="731"/>
      <c r="W209" s="732"/>
    </row>
    <row r="210" spans="1:23" x14ac:dyDescent="0.25">
      <c r="A210" s="807">
        <v>294</v>
      </c>
      <c r="B210" s="807" t="s">
        <v>315</v>
      </c>
      <c r="C210" s="807" t="s">
        <v>928</v>
      </c>
      <c r="D210" s="807" t="s">
        <v>14</v>
      </c>
      <c r="E210" s="807" t="s">
        <v>15</v>
      </c>
      <c r="F210" s="807" t="s">
        <v>863</v>
      </c>
      <c r="G210" s="807" t="s">
        <v>863</v>
      </c>
      <c r="H210" s="809" t="s">
        <v>18</v>
      </c>
      <c r="I210" s="810" t="s">
        <v>15</v>
      </c>
      <c r="J210" s="810" t="s">
        <v>421</v>
      </c>
      <c r="K210" s="817"/>
      <c r="L210" s="811">
        <v>3</v>
      </c>
      <c r="M210" s="812">
        <v>819</v>
      </c>
      <c r="N210" s="812">
        <v>4285.5</v>
      </c>
      <c r="O210" s="811">
        <v>3</v>
      </c>
      <c r="P210" s="812">
        <v>819</v>
      </c>
      <c r="Q210" s="812">
        <v>4285.5</v>
      </c>
      <c r="R210" s="813" t="s">
        <v>172</v>
      </c>
      <c r="T210" s="815" t="s">
        <v>172</v>
      </c>
      <c r="U210" s="900" t="s">
        <v>1220</v>
      </c>
      <c r="V210" s="731"/>
      <c r="W210" s="732"/>
    </row>
    <row r="211" spans="1:23" x14ac:dyDescent="0.25">
      <c r="A211" s="807">
        <v>297</v>
      </c>
      <c r="B211" s="807" t="s">
        <v>315</v>
      </c>
      <c r="C211" s="807" t="s">
        <v>876</v>
      </c>
      <c r="D211" s="807" t="s">
        <v>434</v>
      </c>
      <c r="E211" s="807" t="s">
        <v>15</v>
      </c>
      <c r="F211" s="807" t="s">
        <v>863</v>
      </c>
      <c r="G211" s="807" t="s">
        <v>863</v>
      </c>
      <c r="H211" s="809" t="s">
        <v>18</v>
      </c>
      <c r="I211" s="810" t="s">
        <v>15</v>
      </c>
      <c r="J211" s="810" t="s">
        <v>421</v>
      </c>
      <c r="K211" s="817"/>
      <c r="L211" s="811">
        <v>8</v>
      </c>
      <c r="M211" s="812">
        <v>1076</v>
      </c>
      <c r="N211" s="812">
        <v>5770.5</v>
      </c>
      <c r="O211" s="811">
        <v>8</v>
      </c>
      <c r="P211" s="812">
        <v>1076</v>
      </c>
      <c r="Q211" s="812">
        <v>5770.5</v>
      </c>
      <c r="R211" s="813" t="s">
        <v>172</v>
      </c>
      <c r="T211" s="815" t="s">
        <v>172</v>
      </c>
      <c r="U211" s="900" t="s">
        <v>1220</v>
      </c>
      <c r="V211" s="731"/>
      <c r="W211" s="732"/>
    </row>
    <row r="212" spans="1:23" x14ac:dyDescent="0.25">
      <c r="A212" s="807">
        <v>299</v>
      </c>
      <c r="B212" s="807" t="s">
        <v>315</v>
      </c>
      <c r="C212" s="807" t="s">
        <v>935</v>
      </c>
      <c r="D212" s="807" t="s">
        <v>495</v>
      </c>
      <c r="E212" s="807" t="s">
        <v>15</v>
      </c>
      <c r="F212" s="807" t="s">
        <v>989</v>
      </c>
      <c r="G212" s="807" t="s">
        <v>863</v>
      </c>
      <c r="H212" s="809" t="s">
        <v>18</v>
      </c>
      <c r="I212" s="810" t="s">
        <v>15</v>
      </c>
      <c r="J212" s="810" t="s">
        <v>421</v>
      </c>
      <c r="K212" s="817"/>
      <c r="L212" s="811">
        <v>2</v>
      </c>
      <c r="M212" s="812">
        <v>535</v>
      </c>
      <c r="N212" s="812">
        <v>2621.75</v>
      </c>
      <c r="O212" s="811">
        <v>2</v>
      </c>
      <c r="P212" s="812">
        <v>535</v>
      </c>
      <c r="Q212" s="812">
        <v>2621.75</v>
      </c>
      <c r="R212" s="813" t="s">
        <v>172</v>
      </c>
      <c r="T212" s="815" t="s">
        <v>172</v>
      </c>
      <c r="U212" s="900" t="s">
        <v>1220</v>
      </c>
      <c r="V212" s="731"/>
      <c r="W212" s="732"/>
    </row>
    <row r="213" spans="1:23" x14ac:dyDescent="0.25">
      <c r="A213" s="807">
        <v>303</v>
      </c>
      <c r="B213" s="807" t="s">
        <v>315</v>
      </c>
      <c r="C213" s="807" t="s">
        <v>909</v>
      </c>
      <c r="D213" s="807" t="s">
        <v>14</v>
      </c>
      <c r="E213" s="807" t="s">
        <v>15</v>
      </c>
      <c r="F213" s="807" t="s">
        <v>990</v>
      </c>
      <c r="G213" s="807" t="s">
        <v>863</v>
      </c>
      <c r="H213" s="809" t="s">
        <v>18</v>
      </c>
      <c r="I213" s="810" t="s">
        <v>15</v>
      </c>
      <c r="J213" s="810" t="s">
        <v>421</v>
      </c>
      <c r="K213" s="817"/>
      <c r="L213" s="811">
        <v>18</v>
      </c>
      <c r="M213" s="812">
        <v>3908</v>
      </c>
      <c r="N213" s="812">
        <v>19829.5</v>
      </c>
      <c r="O213" s="811">
        <v>18</v>
      </c>
      <c r="P213" s="812">
        <v>3908</v>
      </c>
      <c r="Q213" s="812">
        <v>19829.5</v>
      </c>
      <c r="R213" s="813" t="s">
        <v>172</v>
      </c>
      <c r="T213" s="815" t="s">
        <v>172</v>
      </c>
      <c r="U213" s="900" t="s">
        <v>1220</v>
      </c>
      <c r="V213" s="731"/>
      <c r="W213" s="732"/>
    </row>
    <row r="214" spans="1:23" x14ac:dyDescent="0.25">
      <c r="A214" s="807">
        <v>304</v>
      </c>
      <c r="B214" s="807" t="s">
        <v>315</v>
      </c>
      <c r="C214" s="807" t="s">
        <v>909</v>
      </c>
      <c r="D214" s="807" t="s">
        <v>14</v>
      </c>
      <c r="E214" s="807" t="s">
        <v>15</v>
      </c>
      <c r="F214" s="807" t="s">
        <v>985</v>
      </c>
      <c r="G214" s="807" t="s">
        <v>863</v>
      </c>
      <c r="H214" s="809" t="s">
        <v>18</v>
      </c>
      <c r="I214" s="810" t="s">
        <v>15</v>
      </c>
      <c r="J214" s="810" t="s">
        <v>421</v>
      </c>
      <c r="K214" s="817"/>
      <c r="L214" s="811">
        <v>1</v>
      </c>
      <c r="M214" s="812">
        <v>60</v>
      </c>
      <c r="N214" s="812">
        <v>335.75</v>
      </c>
      <c r="O214" s="811">
        <v>1</v>
      </c>
      <c r="P214" s="812">
        <v>60</v>
      </c>
      <c r="Q214" s="812">
        <v>335.75</v>
      </c>
      <c r="R214" s="813" t="s">
        <v>172</v>
      </c>
      <c r="T214" s="815" t="s">
        <v>172</v>
      </c>
      <c r="U214" s="900" t="s">
        <v>1220</v>
      </c>
      <c r="V214" s="731"/>
      <c r="W214" s="732"/>
    </row>
    <row r="215" spans="1:23" x14ac:dyDescent="0.25">
      <c r="A215" s="807">
        <v>307</v>
      </c>
      <c r="B215" s="807" t="s">
        <v>316</v>
      </c>
      <c r="C215" s="807" t="s">
        <v>861</v>
      </c>
      <c r="D215" s="807" t="s">
        <v>14</v>
      </c>
      <c r="E215" s="807" t="s">
        <v>15</v>
      </c>
      <c r="F215" s="807" t="s">
        <v>862</v>
      </c>
      <c r="G215" s="807" t="s">
        <v>863</v>
      </c>
      <c r="H215" s="809" t="s">
        <v>18</v>
      </c>
      <c r="I215" s="810" t="s">
        <v>15</v>
      </c>
      <c r="J215" s="810" t="s">
        <v>421</v>
      </c>
      <c r="K215" s="817"/>
      <c r="L215" s="811">
        <v>3</v>
      </c>
      <c r="M215" s="812">
        <v>338</v>
      </c>
      <c r="N215" s="812">
        <v>1260.5</v>
      </c>
      <c r="O215" s="811">
        <v>3</v>
      </c>
      <c r="P215" s="812">
        <v>338</v>
      </c>
      <c r="Q215" s="812">
        <v>1260.5</v>
      </c>
      <c r="R215" s="813" t="s">
        <v>172</v>
      </c>
      <c r="T215" s="815" t="s">
        <v>172</v>
      </c>
      <c r="U215" s="900" t="s">
        <v>1220</v>
      </c>
      <c r="V215" s="731"/>
      <c r="W215" s="732"/>
    </row>
    <row r="216" spans="1:23" x14ac:dyDescent="0.25">
      <c r="A216" s="807">
        <v>308</v>
      </c>
      <c r="B216" s="807" t="s">
        <v>316</v>
      </c>
      <c r="C216" s="807" t="s">
        <v>861</v>
      </c>
      <c r="D216" s="807" t="s">
        <v>14</v>
      </c>
      <c r="E216" s="807" t="s">
        <v>15</v>
      </c>
      <c r="F216" s="807" t="s">
        <v>991</v>
      </c>
      <c r="G216" s="807" t="s">
        <v>863</v>
      </c>
      <c r="H216" s="809" t="s">
        <v>18</v>
      </c>
      <c r="I216" s="810" t="s">
        <v>15</v>
      </c>
      <c r="J216" s="810" t="s">
        <v>421</v>
      </c>
      <c r="K216" s="817"/>
      <c r="L216" s="811">
        <v>37</v>
      </c>
      <c r="M216" s="812">
        <v>6981</v>
      </c>
      <c r="N216" s="812">
        <v>27761</v>
      </c>
      <c r="O216" s="811">
        <v>37</v>
      </c>
      <c r="P216" s="812">
        <v>6981</v>
      </c>
      <c r="Q216" s="812">
        <v>27761</v>
      </c>
      <c r="R216" s="813" t="s">
        <v>172</v>
      </c>
      <c r="T216" s="815" t="s">
        <v>172</v>
      </c>
      <c r="U216" s="900" t="s">
        <v>1220</v>
      </c>
      <c r="V216" s="731"/>
      <c r="W216" s="732"/>
    </row>
    <row r="217" spans="1:23" x14ac:dyDescent="0.25">
      <c r="A217" s="807">
        <v>309</v>
      </c>
      <c r="B217" s="807" t="s">
        <v>316</v>
      </c>
      <c r="C217" s="807" t="s">
        <v>861</v>
      </c>
      <c r="D217" s="807" t="s">
        <v>14</v>
      </c>
      <c r="E217" s="807" t="s">
        <v>15</v>
      </c>
      <c r="F217" s="807" t="s">
        <v>992</v>
      </c>
      <c r="G217" s="807" t="s">
        <v>863</v>
      </c>
      <c r="H217" s="809" t="s">
        <v>18</v>
      </c>
      <c r="I217" s="810" t="s">
        <v>15</v>
      </c>
      <c r="J217" s="810" t="s">
        <v>421</v>
      </c>
      <c r="K217" s="817"/>
      <c r="L217" s="811">
        <v>3</v>
      </c>
      <c r="M217" s="812">
        <v>446</v>
      </c>
      <c r="N217" s="812">
        <v>1189.75</v>
      </c>
      <c r="O217" s="811">
        <v>3</v>
      </c>
      <c r="P217" s="812">
        <v>446</v>
      </c>
      <c r="Q217" s="812">
        <v>1189.75</v>
      </c>
      <c r="R217" s="813" t="s">
        <v>172</v>
      </c>
      <c r="T217" s="815" t="s">
        <v>172</v>
      </c>
      <c r="U217" s="900" t="s">
        <v>1220</v>
      </c>
      <c r="V217" s="731"/>
      <c r="W217" s="732"/>
    </row>
    <row r="218" spans="1:23" x14ac:dyDescent="0.25">
      <c r="A218" s="807">
        <v>310</v>
      </c>
      <c r="B218" s="807" t="s">
        <v>316</v>
      </c>
      <c r="C218" s="807" t="s">
        <v>861</v>
      </c>
      <c r="D218" s="807" t="s">
        <v>14</v>
      </c>
      <c r="E218" s="807" t="s">
        <v>15</v>
      </c>
      <c r="F218" s="807" t="s">
        <v>993</v>
      </c>
      <c r="G218" s="807" t="s">
        <v>863</v>
      </c>
      <c r="H218" s="809" t="s">
        <v>18</v>
      </c>
      <c r="I218" s="810" t="s">
        <v>15</v>
      </c>
      <c r="J218" s="810" t="s">
        <v>421</v>
      </c>
      <c r="K218" s="817"/>
      <c r="L218" s="811">
        <v>1</v>
      </c>
      <c r="M218" s="812">
        <v>361</v>
      </c>
      <c r="N218" s="812">
        <v>1623</v>
      </c>
      <c r="O218" s="811">
        <v>1</v>
      </c>
      <c r="P218" s="812">
        <v>361</v>
      </c>
      <c r="Q218" s="812">
        <v>1623</v>
      </c>
      <c r="R218" s="813" t="s">
        <v>172</v>
      </c>
      <c r="T218" s="815" t="s">
        <v>172</v>
      </c>
      <c r="U218" s="900" t="s">
        <v>1220</v>
      </c>
      <c r="V218" s="731"/>
      <c r="W218" s="732"/>
    </row>
    <row r="219" spans="1:23" x14ac:dyDescent="0.25">
      <c r="A219" s="807">
        <v>311</v>
      </c>
      <c r="B219" s="807" t="s">
        <v>316</v>
      </c>
      <c r="C219" s="807" t="s">
        <v>994</v>
      </c>
      <c r="D219" s="807" t="s">
        <v>495</v>
      </c>
      <c r="E219" s="807" t="s">
        <v>15</v>
      </c>
      <c r="F219" s="807" t="s">
        <v>898</v>
      </c>
      <c r="G219" s="807" t="s">
        <v>863</v>
      </c>
      <c r="H219" s="809" t="s">
        <v>18</v>
      </c>
      <c r="I219" s="810" t="s">
        <v>15</v>
      </c>
      <c r="J219" s="810" t="s">
        <v>421</v>
      </c>
      <c r="K219" s="817"/>
      <c r="L219" s="811">
        <v>3</v>
      </c>
      <c r="M219" s="812">
        <v>136</v>
      </c>
      <c r="N219" s="812">
        <v>888</v>
      </c>
      <c r="O219" s="811">
        <v>3</v>
      </c>
      <c r="P219" s="812">
        <v>136</v>
      </c>
      <c r="Q219" s="812">
        <v>888</v>
      </c>
      <c r="R219" s="813" t="s">
        <v>172</v>
      </c>
      <c r="T219" s="815" t="s">
        <v>172</v>
      </c>
      <c r="U219" s="900" t="s">
        <v>1220</v>
      </c>
      <c r="V219" s="731"/>
      <c r="W219" s="732"/>
    </row>
    <row r="220" spans="1:23" x14ac:dyDescent="0.25">
      <c r="A220" s="807">
        <v>315</v>
      </c>
      <c r="B220" s="807" t="s">
        <v>316</v>
      </c>
      <c r="C220" s="807" t="s">
        <v>876</v>
      </c>
      <c r="D220" s="807" t="s">
        <v>434</v>
      </c>
      <c r="E220" s="807" t="s">
        <v>15</v>
      </c>
      <c r="F220" s="807" t="s">
        <v>863</v>
      </c>
      <c r="G220" s="807" t="s">
        <v>863</v>
      </c>
      <c r="H220" s="809" t="s">
        <v>18</v>
      </c>
      <c r="I220" s="810" t="s">
        <v>15</v>
      </c>
      <c r="J220" s="810" t="s">
        <v>421</v>
      </c>
      <c r="K220" s="817"/>
      <c r="L220" s="811">
        <v>42</v>
      </c>
      <c r="M220" s="812">
        <v>4930</v>
      </c>
      <c r="N220" s="812">
        <v>26436.5</v>
      </c>
      <c r="O220" s="811">
        <v>42</v>
      </c>
      <c r="P220" s="812">
        <v>4930</v>
      </c>
      <c r="Q220" s="812">
        <v>26436.5</v>
      </c>
      <c r="R220" s="813" t="s">
        <v>172</v>
      </c>
      <c r="T220" s="815" t="s">
        <v>172</v>
      </c>
      <c r="U220" s="900" t="s">
        <v>1220</v>
      </c>
      <c r="V220" s="731"/>
      <c r="W220" s="732"/>
    </row>
    <row r="221" spans="1:23" x14ac:dyDescent="0.25">
      <c r="A221" s="807">
        <v>317</v>
      </c>
      <c r="B221" s="807" t="s">
        <v>316</v>
      </c>
      <c r="C221" s="807" t="s">
        <v>897</v>
      </c>
      <c r="D221" s="807" t="s">
        <v>14</v>
      </c>
      <c r="E221" s="807" t="s">
        <v>15</v>
      </c>
      <c r="F221" s="807" t="s">
        <v>898</v>
      </c>
      <c r="G221" s="807" t="s">
        <v>863</v>
      </c>
      <c r="H221" s="809" t="s">
        <v>18</v>
      </c>
      <c r="I221" s="810" t="s">
        <v>15</v>
      </c>
      <c r="J221" s="810" t="s">
        <v>421</v>
      </c>
      <c r="K221" s="817"/>
      <c r="L221" s="811">
        <v>5</v>
      </c>
      <c r="M221" s="812">
        <v>473</v>
      </c>
      <c r="N221" s="812">
        <v>2637</v>
      </c>
      <c r="O221" s="811">
        <v>5</v>
      </c>
      <c r="P221" s="812">
        <v>473</v>
      </c>
      <c r="Q221" s="812">
        <v>2637</v>
      </c>
      <c r="R221" s="813" t="s">
        <v>172</v>
      </c>
      <c r="T221" s="815" t="s">
        <v>172</v>
      </c>
      <c r="U221" s="900" t="s">
        <v>1220</v>
      </c>
      <c r="V221" s="731"/>
      <c r="W221" s="732"/>
    </row>
    <row r="222" spans="1:23" x14ac:dyDescent="0.25">
      <c r="A222" s="818">
        <v>320</v>
      </c>
      <c r="B222" s="807" t="s">
        <v>316</v>
      </c>
      <c r="C222" s="818" t="s">
        <v>909</v>
      </c>
      <c r="D222" s="818" t="s">
        <v>14</v>
      </c>
      <c r="E222" s="818" t="s">
        <v>15</v>
      </c>
      <c r="F222" s="818" t="s">
        <v>995</v>
      </c>
      <c r="G222" s="818" t="s">
        <v>863</v>
      </c>
      <c r="H222" s="809" t="s">
        <v>18</v>
      </c>
      <c r="I222" s="810" t="s">
        <v>15</v>
      </c>
      <c r="J222" s="810" t="s">
        <v>421</v>
      </c>
      <c r="K222" s="817"/>
      <c r="L222" s="811">
        <v>51</v>
      </c>
      <c r="M222" s="812">
        <v>7756</v>
      </c>
      <c r="N222" s="812">
        <v>35944.25</v>
      </c>
      <c r="O222" s="811">
        <v>51</v>
      </c>
      <c r="P222" s="812">
        <v>7756</v>
      </c>
      <c r="Q222" s="812">
        <v>35944.25</v>
      </c>
      <c r="R222" s="813" t="s">
        <v>172</v>
      </c>
      <c r="T222" s="815" t="s">
        <v>172</v>
      </c>
      <c r="U222" s="900" t="s">
        <v>1220</v>
      </c>
      <c r="V222" s="731"/>
      <c r="W222" s="732"/>
    </row>
    <row r="223" spans="1:23" x14ac:dyDescent="0.25">
      <c r="A223" s="818">
        <v>321</v>
      </c>
      <c r="B223" s="807" t="s">
        <v>316</v>
      </c>
      <c r="C223" s="818" t="s">
        <v>909</v>
      </c>
      <c r="D223" s="818" t="s">
        <v>14</v>
      </c>
      <c r="E223" s="818" t="s">
        <v>15</v>
      </c>
      <c r="F223" s="818" t="s">
        <v>996</v>
      </c>
      <c r="G223" s="818" t="s">
        <v>957</v>
      </c>
      <c r="H223" s="809" t="s">
        <v>44</v>
      </c>
      <c r="I223" s="810" t="s">
        <v>15</v>
      </c>
      <c r="J223" s="810" t="s">
        <v>421</v>
      </c>
      <c r="K223" s="817"/>
      <c r="L223" s="811">
        <v>4</v>
      </c>
      <c r="M223" s="812">
        <v>903</v>
      </c>
      <c r="N223" s="812">
        <v>4606</v>
      </c>
      <c r="O223" s="811">
        <v>4</v>
      </c>
      <c r="P223" s="812">
        <v>903</v>
      </c>
      <c r="Q223" s="812">
        <v>4606</v>
      </c>
      <c r="R223" s="813" t="s">
        <v>172</v>
      </c>
      <c r="T223" s="815" t="s">
        <v>172</v>
      </c>
      <c r="U223" s="900" t="s">
        <v>1220</v>
      </c>
      <c r="V223" s="731"/>
      <c r="W223" s="732"/>
    </row>
    <row r="224" spans="1:23" x14ac:dyDescent="0.25">
      <c r="A224" s="818">
        <v>323</v>
      </c>
      <c r="B224" s="807" t="s">
        <v>317</v>
      </c>
      <c r="C224" s="818" t="s">
        <v>876</v>
      </c>
      <c r="D224" s="818" t="s">
        <v>434</v>
      </c>
      <c r="E224" s="818" t="s">
        <v>15</v>
      </c>
      <c r="F224" s="818" t="s">
        <v>863</v>
      </c>
      <c r="G224" s="818" t="s">
        <v>863</v>
      </c>
      <c r="H224" s="809" t="s">
        <v>18</v>
      </c>
      <c r="I224" s="810" t="s">
        <v>15</v>
      </c>
      <c r="J224" s="810" t="s">
        <v>421</v>
      </c>
      <c r="K224" s="817"/>
      <c r="L224" s="811">
        <v>2</v>
      </c>
      <c r="M224" s="812">
        <v>212</v>
      </c>
      <c r="N224" s="812">
        <v>787</v>
      </c>
      <c r="O224" s="811">
        <v>2</v>
      </c>
      <c r="P224" s="812">
        <v>212</v>
      </c>
      <c r="Q224" s="812">
        <v>787</v>
      </c>
      <c r="R224" s="813" t="s">
        <v>172</v>
      </c>
      <c r="T224" s="815" t="s">
        <v>172</v>
      </c>
      <c r="U224" s="900" t="s">
        <v>1220</v>
      </c>
      <c r="V224" s="731"/>
      <c r="W224" s="732"/>
    </row>
    <row r="225" spans="1:23" x14ac:dyDescent="0.25">
      <c r="A225" s="818">
        <v>325</v>
      </c>
      <c r="B225" s="807" t="s">
        <v>318</v>
      </c>
      <c r="C225" s="818" t="s">
        <v>876</v>
      </c>
      <c r="D225" s="818" t="s">
        <v>434</v>
      </c>
      <c r="E225" s="818" t="s">
        <v>15</v>
      </c>
      <c r="F225" s="818" t="s">
        <v>863</v>
      </c>
      <c r="G225" s="818" t="s">
        <v>863</v>
      </c>
      <c r="H225" s="809" t="s">
        <v>18</v>
      </c>
      <c r="I225" s="810" t="s">
        <v>15</v>
      </c>
      <c r="J225" s="810" t="s">
        <v>421</v>
      </c>
      <c r="K225" s="817"/>
      <c r="L225" s="811">
        <v>3</v>
      </c>
      <c r="M225" s="812">
        <v>393</v>
      </c>
      <c r="N225" s="812">
        <v>1429.5</v>
      </c>
      <c r="O225" s="811">
        <v>3</v>
      </c>
      <c r="P225" s="812">
        <v>393</v>
      </c>
      <c r="Q225" s="812">
        <v>1429.5</v>
      </c>
      <c r="R225" s="813" t="s">
        <v>172</v>
      </c>
      <c r="T225" s="815" t="s">
        <v>172</v>
      </c>
      <c r="U225" s="900" t="s">
        <v>1220</v>
      </c>
      <c r="V225" s="731"/>
      <c r="W225" s="732"/>
    </row>
    <row r="226" spans="1:23" x14ac:dyDescent="0.25">
      <c r="A226" s="818">
        <v>327</v>
      </c>
      <c r="B226" s="807" t="s">
        <v>318</v>
      </c>
      <c r="C226" s="818" t="s">
        <v>897</v>
      </c>
      <c r="D226" s="818" t="s">
        <v>14</v>
      </c>
      <c r="E226" s="818" t="s">
        <v>15</v>
      </c>
      <c r="F226" s="818" t="s">
        <v>898</v>
      </c>
      <c r="G226" s="818" t="s">
        <v>863</v>
      </c>
      <c r="H226" s="809" t="s">
        <v>18</v>
      </c>
      <c r="I226" s="810" t="s">
        <v>15</v>
      </c>
      <c r="J226" s="810" t="s">
        <v>421</v>
      </c>
      <c r="K226" s="817"/>
      <c r="L226" s="811">
        <v>3</v>
      </c>
      <c r="M226" s="812">
        <v>286</v>
      </c>
      <c r="N226" s="812">
        <v>1884.5</v>
      </c>
      <c r="O226" s="811">
        <v>3</v>
      </c>
      <c r="P226" s="812">
        <v>286</v>
      </c>
      <c r="Q226" s="812">
        <v>1884.5</v>
      </c>
      <c r="R226" s="813" t="s">
        <v>172</v>
      </c>
      <c r="T226" s="815" t="s">
        <v>172</v>
      </c>
      <c r="U226" s="900" t="s">
        <v>1220</v>
      </c>
      <c r="V226" s="731"/>
      <c r="W226" s="732"/>
    </row>
    <row r="227" spans="1:23" x14ac:dyDescent="0.25">
      <c r="A227" s="818">
        <v>328</v>
      </c>
      <c r="B227" s="807" t="s">
        <v>318</v>
      </c>
      <c r="C227" s="818" t="s">
        <v>909</v>
      </c>
      <c r="D227" s="818" t="s">
        <v>14</v>
      </c>
      <c r="E227" s="818" t="s">
        <v>15</v>
      </c>
      <c r="F227" s="818" t="s">
        <v>997</v>
      </c>
      <c r="G227" s="818" t="s">
        <v>863</v>
      </c>
      <c r="H227" s="809" t="s">
        <v>18</v>
      </c>
      <c r="I227" s="810" t="s">
        <v>15</v>
      </c>
      <c r="J227" s="810" t="s">
        <v>421</v>
      </c>
      <c r="K227" s="817"/>
      <c r="L227" s="811">
        <v>1</v>
      </c>
      <c r="M227" s="812">
        <v>51</v>
      </c>
      <c r="N227" s="812">
        <v>327.75</v>
      </c>
      <c r="O227" s="811">
        <v>1</v>
      </c>
      <c r="P227" s="812">
        <v>51</v>
      </c>
      <c r="Q227" s="812">
        <v>327.75</v>
      </c>
      <c r="R227" s="813" t="s">
        <v>172</v>
      </c>
      <c r="T227" s="815" t="s">
        <v>172</v>
      </c>
      <c r="U227" s="900" t="s">
        <v>1220</v>
      </c>
      <c r="V227" s="731"/>
      <c r="W227" s="732"/>
    </row>
    <row r="228" spans="1:23" x14ac:dyDescent="0.25">
      <c r="A228" s="818">
        <v>331</v>
      </c>
      <c r="B228" s="807" t="s">
        <v>319</v>
      </c>
      <c r="C228" s="818" t="s">
        <v>876</v>
      </c>
      <c r="D228" s="818" t="s">
        <v>434</v>
      </c>
      <c r="E228" s="818" t="s">
        <v>15</v>
      </c>
      <c r="F228" s="818" t="s">
        <v>863</v>
      </c>
      <c r="G228" s="818" t="s">
        <v>863</v>
      </c>
      <c r="H228" s="809" t="s">
        <v>18</v>
      </c>
      <c r="I228" s="810" t="s">
        <v>15</v>
      </c>
      <c r="J228" s="810" t="s">
        <v>421</v>
      </c>
      <c r="K228" s="817"/>
      <c r="L228" s="811">
        <v>19</v>
      </c>
      <c r="M228" s="812">
        <v>2574</v>
      </c>
      <c r="N228" s="812">
        <v>9744.75</v>
      </c>
      <c r="O228" s="811">
        <v>18</v>
      </c>
      <c r="P228" s="812">
        <v>2567</v>
      </c>
      <c r="Q228" s="812">
        <v>9729.25</v>
      </c>
      <c r="R228" s="813" t="s">
        <v>172</v>
      </c>
      <c r="T228" s="815" t="s">
        <v>172</v>
      </c>
      <c r="U228" s="900" t="s">
        <v>1220</v>
      </c>
      <c r="V228" s="731"/>
      <c r="W228" s="732"/>
    </row>
    <row r="229" spans="1:23" x14ac:dyDescent="0.25">
      <c r="A229" s="818">
        <v>334</v>
      </c>
      <c r="B229" s="807" t="s">
        <v>319</v>
      </c>
      <c r="C229" s="818" t="s">
        <v>909</v>
      </c>
      <c r="D229" s="818" t="s">
        <v>14</v>
      </c>
      <c r="E229" s="818" t="s">
        <v>15</v>
      </c>
      <c r="F229" s="818" t="s">
        <v>998</v>
      </c>
      <c r="G229" s="818" t="s">
        <v>863</v>
      </c>
      <c r="H229" s="809" t="s">
        <v>18</v>
      </c>
      <c r="I229" s="810" t="s">
        <v>15</v>
      </c>
      <c r="J229" s="810" t="s">
        <v>421</v>
      </c>
      <c r="K229" s="817"/>
      <c r="L229" s="811">
        <v>7</v>
      </c>
      <c r="M229" s="812">
        <v>1391</v>
      </c>
      <c r="N229" s="812">
        <v>6478.75</v>
      </c>
      <c r="O229" s="811">
        <v>7</v>
      </c>
      <c r="P229" s="812">
        <v>1391</v>
      </c>
      <c r="Q229" s="812">
        <v>6478.75</v>
      </c>
      <c r="R229" s="813" t="s">
        <v>172</v>
      </c>
      <c r="T229" s="815" t="s">
        <v>172</v>
      </c>
      <c r="U229" s="900" t="s">
        <v>1220</v>
      </c>
      <c r="V229" s="731"/>
      <c r="W229" s="732"/>
    </row>
    <row r="230" spans="1:23" x14ac:dyDescent="0.25">
      <c r="A230" s="818">
        <v>336</v>
      </c>
      <c r="B230" s="818" t="s">
        <v>320</v>
      </c>
      <c r="C230" s="818" t="s">
        <v>876</v>
      </c>
      <c r="D230" s="818" t="s">
        <v>434</v>
      </c>
      <c r="E230" s="818" t="s">
        <v>15</v>
      </c>
      <c r="F230" s="818" t="s">
        <v>863</v>
      </c>
      <c r="G230" s="818" t="s">
        <v>863</v>
      </c>
      <c r="H230" s="809" t="s">
        <v>18</v>
      </c>
      <c r="I230" s="810" t="s">
        <v>15</v>
      </c>
      <c r="J230" s="810" t="s">
        <v>421</v>
      </c>
      <c r="K230" s="807"/>
      <c r="L230" s="811">
        <v>4</v>
      </c>
      <c r="M230" s="812">
        <v>438</v>
      </c>
      <c r="N230" s="812">
        <v>2526</v>
      </c>
      <c r="O230" s="811">
        <v>4</v>
      </c>
      <c r="P230" s="812">
        <v>438</v>
      </c>
      <c r="Q230" s="812">
        <v>2526</v>
      </c>
      <c r="R230" s="813" t="s">
        <v>172</v>
      </c>
      <c r="T230" s="815" t="s">
        <v>172</v>
      </c>
      <c r="U230" s="900" t="s">
        <v>1220</v>
      </c>
      <c r="V230" s="731"/>
      <c r="W230" s="732"/>
    </row>
    <row r="231" spans="1:23" x14ac:dyDescent="0.25">
      <c r="A231" s="818">
        <v>338</v>
      </c>
      <c r="B231" s="818" t="s">
        <v>320</v>
      </c>
      <c r="C231" s="818" t="s">
        <v>897</v>
      </c>
      <c r="D231" s="818" t="s">
        <v>14</v>
      </c>
      <c r="E231" s="818" t="s">
        <v>15</v>
      </c>
      <c r="F231" s="818" t="s">
        <v>898</v>
      </c>
      <c r="G231" s="818" t="s">
        <v>863</v>
      </c>
      <c r="H231" s="809" t="s">
        <v>18</v>
      </c>
      <c r="I231" s="810" t="s">
        <v>15</v>
      </c>
      <c r="J231" s="810" t="s">
        <v>421</v>
      </c>
      <c r="K231" s="817"/>
      <c r="L231" s="811">
        <v>5</v>
      </c>
      <c r="M231" s="812">
        <v>1022</v>
      </c>
      <c r="N231" s="812">
        <v>3807.25</v>
      </c>
      <c r="O231" s="811">
        <v>5</v>
      </c>
      <c r="P231" s="812">
        <v>1022</v>
      </c>
      <c r="Q231" s="812">
        <v>3807.25</v>
      </c>
      <c r="R231" s="813" t="s">
        <v>172</v>
      </c>
      <c r="T231" s="815" t="s">
        <v>172</v>
      </c>
      <c r="U231" s="900" t="s">
        <v>1220</v>
      </c>
      <c r="V231" s="731"/>
      <c r="W231" s="732"/>
    </row>
    <row r="232" spans="1:23" x14ac:dyDescent="0.25">
      <c r="A232" s="818">
        <v>340</v>
      </c>
      <c r="B232" s="818" t="s">
        <v>320</v>
      </c>
      <c r="C232" s="818" t="s">
        <v>909</v>
      </c>
      <c r="D232" s="818" t="s">
        <v>14</v>
      </c>
      <c r="E232" s="818" t="s">
        <v>15</v>
      </c>
      <c r="F232" s="818" t="s">
        <v>999</v>
      </c>
      <c r="G232" s="818" t="s">
        <v>863</v>
      </c>
      <c r="H232" s="809" t="s">
        <v>18</v>
      </c>
      <c r="I232" s="810" t="s">
        <v>15</v>
      </c>
      <c r="J232" s="810" t="s">
        <v>421</v>
      </c>
      <c r="K232" s="817"/>
      <c r="L232" s="811">
        <v>2</v>
      </c>
      <c r="M232" s="812">
        <v>44</v>
      </c>
      <c r="N232" s="812">
        <v>342</v>
      </c>
      <c r="O232" s="811">
        <v>2</v>
      </c>
      <c r="P232" s="812">
        <v>44</v>
      </c>
      <c r="Q232" s="812">
        <v>342</v>
      </c>
      <c r="R232" s="813" t="s">
        <v>172</v>
      </c>
      <c r="T232" s="815" t="s">
        <v>172</v>
      </c>
      <c r="U232" s="900" t="s">
        <v>1220</v>
      </c>
      <c r="V232" s="731"/>
      <c r="W232" s="732"/>
    </row>
    <row r="233" spans="1:23" x14ac:dyDescent="0.25">
      <c r="A233" s="818">
        <v>341</v>
      </c>
      <c r="B233" s="818" t="s">
        <v>320</v>
      </c>
      <c r="C233" s="818" t="s">
        <v>1000</v>
      </c>
      <c r="D233" s="818" t="s">
        <v>14</v>
      </c>
      <c r="E233" s="818" t="s">
        <v>15</v>
      </c>
      <c r="F233" s="818" t="s">
        <v>898</v>
      </c>
      <c r="G233" s="818" t="s">
        <v>863</v>
      </c>
      <c r="H233" s="809" t="s">
        <v>18</v>
      </c>
      <c r="I233" s="810" t="s">
        <v>15</v>
      </c>
      <c r="J233" s="810" t="s">
        <v>421</v>
      </c>
      <c r="K233" s="817"/>
      <c r="L233" s="811">
        <v>1</v>
      </c>
      <c r="M233" s="812">
        <v>17</v>
      </c>
      <c r="N233" s="812">
        <v>49</v>
      </c>
      <c r="O233" s="811">
        <v>1</v>
      </c>
      <c r="P233" s="812">
        <v>17</v>
      </c>
      <c r="Q233" s="812">
        <v>49</v>
      </c>
      <c r="R233" s="813" t="s">
        <v>172</v>
      </c>
      <c r="T233" s="815" t="s">
        <v>172</v>
      </c>
      <c r="U233" s="900" t="s">
        <v>1220</v>
      </c>
      <c r="V233" s="731"/>
      <c r="W233" s="732"/>
    </row>
    <row r="234" spans="1:23" x14ac:dyDescent="0.25">
      <c r="A234" s="818">
        <v>343</v>
      </c>
      <c r="B234" s="818" t="s">
        <v>321</v>
      </c>
      <c r="C234" s="818" t="s">
        <v>876</v>
      </c>
      <c r="D234" s="818" t="s">
        <v>434</v>
      </c>
      <c r="E234" s="818" t="s">
        <v>15</v>
      </c>
      <c r="F234" s="818" t="s">
        <v>863</v>
      </c>
      <c r="G234" s="818" t="s">
        <v>863</v>
      </c>
      <c r="H234" s="809" t="s">
        <v>18</v>
      </c>
      <c r="I234" s="810" t="s">
        <v>15</v>
      </c>
      <c r="J234" s="810" t="s">
        <v>421</v>
      </c>
      <c r="K234" s="817"/>
      <c r="L234" s="811">
        <v>5</v>
      </c>
      <c r="M234" s="812">
        <v>398</v>
      </c>
      <c r="N234" s="812">
        <v>1205</v>
      </c>
      <c r="O234" s="811">
        <v>5</v>
      </c>
      <c r="P234" s="812">
        <v>398</v>
      </c>
      <c r="Q234" s="812">
        <v>1205</v>
      </c>
      <c r="R234" s="813" t="s">
        <v>172</v>
      </c>
      <c r="T234" s="815" t="s">
        <v>172</v>
      </c>
      <c r="U234" s="900" t="s">
        <v>1220</v>
      </c>
      <c r="V234" s="731"/>
      <c r="W234" s="732"/>
    </row>
    <row r="235" spans="1:23" x14ac:dyDescent="0.25">
      <c r="A235" s="818">
        <v>346</v>
      </c>
      <c r="B235" s="818" t="s">
        <v>321</v>
      </c>
      <c r="C235" s="818" t="s">
        <v>897</v>
      </c>
      <c r="D235" s="818" t="s">
        <v>14</v>
      </c>
      <c r="E235" s="818" t="s">
        <v>15</v>
      </c>
      <c r="F235" s="818" t="s">
        <v>898</v>
      </c>
      <c r="G235" s="818" t="s">
        <v>863</v>
      </c>
      <c r="H235" s="809" t="s">
        <v>18</v>
      </c>
      <c r="I235" s="810" t="s">
        <v>15</v>
      </c>
      <c r="J235" s="810" t="s">
        <v>421</v>
      </c>
      <c r="K235" s="817"/>
      <c r="L235" s="811">
        <v>1</v>
      </c>
      <c r="M235" s="812">
        <v>169</v>
      </c>
      <c r="N235" s="812">
        <v>1136.5</v>
      </c>
      <c r="O235" s="811">
        <v>1</v>
      </c>
      <c r="P235" s="812">
        <v>169</v>
      </c>
      <c r="Q235" s="812">
        <v>1136.5</v>
      </c>
      <c r="R235" s="813" t="s">
        <v>172</v>
      </c>
      <c r="T235" s="815" t="s">
        <v>172</v>
      </c>
      <c r="U235" s="900" t="s">
        <v>1220</v>
      </c>
      <c r="V235" s="731"/>
      <c r="W235" s="732"/>
    </row>
    <row r="236" spans="1:23" x14ac:dyDescent="0.25">
      <c r="A236" s="818">
        <v>348</v>
      </c>
      <c r="B236" s="818" t="s">
        <v>321</v>
      </c>
      <c r="C236" s="818" t="s">
        <v>909</v>
      </c>
      <c r="D236" s="818" t="s">
        <v>14</v>
      </c>
      <c r="E236" s="818" t="s">
        <v>15</v>
      </c>
      <c r="F236" s="818" t="s">
        <v>1001</v>
      </c>
      <c r="G236" s="818" t="s">
        <v>863</v>
      </c>
      <c r="H236" s="809" t="s">
        <v>18</v>
      </c>
      <c r="I236" s="810" t="s">
        <v>15</v>
      </c>
      <c r="J236" s="810" t="s">
        <v>421</v>
      </c>
      <c r="K236" s="817"/>
      <c r="L236" s="811">
        <v>5</v>
      </c>
      <c r="M236" s="812">
        <v>1104</v>
      </c>
      <c r="N236" s="812">
        <v>4790.25</v>
      </c>
      <c r="O236" s="811">
        <v>5</v>
      </c>
      <c r="P236" s="812">
        <v>1104</v>
      </c>
      <c r="Q236" s="812">
        <v>4790.25</v>
      </c>
      <c r="R236" s="813" t="s">
        <v>172</v>
      </c>
      <c r="T236" s="815" t="s">
        <v>172</v>
      </c>
      <c r="U236" s="900" t="s">
        <v>1220</v>
      </c>
      <c r="V236" s="731"/>
      <c r="W236" s="732"/>
    </row>
    <row r="237" spans="1:23" x14ac:dyDescent="0.25">
      <c r="A237" s="818">
        <v>350</v>
      </c>
      <c r="B237" s="818" t="s">
        <v>322</v>
      </c>
      <c r="C237" s="818" t="s">
        <v>897</v>
      </c>
      <c r="D237" s="818" t="s">
        <v>14</v>
      </c>
      <c r="E237" s="818" t="s">
        <v>15</v>
      </c>
      <c r="F237" s="818" t="s">
        <v>898</v>
      </c>
      <c r="G237" s="818" t="s">
        <v>863</v>
      </c>
      <c r="H237" s="809" t="s">
        <v>18</v>
      </c>
      <c r="I237" s="810" t="s">
        <v>15</v>
      </c>
      <c r="J237" s="810" t="s">
        <v>421</v>
      </c>
      <c r="K237" s="817"/>
      <c r="L237" s="811">
        <v>1</v>
      </c>
      <c r="M237" s="812">
        <v>66</v>
      </c>
      <c r="N237" s="812">
        <v>419.5</v>
      </c>
      <c r="O237" s="811">
        <v>1</v>
      </c>
      <c r="P237" s="812">
        <v>66</v>
      </c>
      <c r="Q237" s="812">
        <v>419.5</v>
      </c>
      <c r="R237" s="813" t="s">
        <v>172</v>
      </c>
      <c r="T237" s="815" t="s">
        <v>172</v>
      </c>
      <c r="U237" s="900" t="s">
        <v>1220</v>
      </c>
      <c r="V237" s="731"/>
      <c r="W237" s="732"/>
    </row>
    <row r="238" spans="1:23" x14ac:dyDescent="0.25">
      <c r="A238" s="818">
        <v>352</v>
      </c>
      <c r="B238" s="818" t="s">
        <v>323</v>
      </c>
      <c r="C238" s="818" t="s">
        <v>876</v>
      </c>
      <c r="D238" s="818" t="s">
        <v>434</v>
      </c>
      <c r="E238" s="818" t="s">
        <v>15</v>
      </c>
      <c r="F238" s="818" t="s">
        <v>863</v>
      </c>
      <c r="G238" s="818" t="s">
        <v>863</v>
      </c>
      <c r="H238" s="809" t="s">
        <v>18</v>
      </c>
      <c r="I238" s="810" t="s">
        <v>15</v>
      </c>
      <c r="J238" s="810" t="s">
        <v>421</v>
      </c>
      <c r="K238" s="817"/>
      <c r="L238" s="811">
        <v>7</v>
      </c>
      <c r="M238" s="812">
        <v>565</v>
      </c>
      <c r="N238" s="812">
        <v>2795.25</v>
      </c>
      <c r="O238" s="811">
        <v>7</v>
      </c>
      <c r="P238" s="812">
        <v>565</v>
      </c>
      <c r="Q238" s="812">
        <v>2795.25</v>
      </c>
      <c r="R238" s="813" t="s">
        <v>172</v>
      </c>
      <c r="T238" s="815" t="s">
        <v>172</v>
      </c>
      <c r="U238" s="900" t="s">
        <v>1220</v>
      </c>
      <c r="V238" s="731"/>
      <c r="W238" s="732"/>
    </row>
    <row r="239" spans="1:23" x14ac:dyDescent="0.25">
      <c r="A239" s="818">
        <v>354</v>
      </c>
      <c r="B239" s="818" t="s">
        <v>323</v>
      </c>
      <c r="C239" s="818" t="s">
        <v>897</v>
      </c>
      <c r="D239" s="818" t="s">
        <v>14</v>
      </c>
      <c r="E239" s="818" t="s">
        <v>15</v>
      </c>
      <c r="F239" s="818" t="s">
        <v>898</v>
      </c>
      <c r="G239" s="818" t="s">
        <v>863</v>
      </c>
      <c r="H239" s="809" t="s">
        <v>18</v>
      </c>
      <c r="I239" s="810" t="s">
        <v>15</v>
      </c>
      <c r="J239" s="810" t="s">
        <v>421</v>
      </c>
      <c r="K239" s="817"/>
      <c r="L239" s="811">
        <v>2</v>
      </c>
      <c r="M239" s="812">
        <v>322</v>
      </c>
      <c r="N239" s="812">
        <v>1505.75</v>
      </c>
      <c r="O239" s="811">
        <v>2</v>
      </c>
      <c r="P239" s="812">
        <v>322</v>
      </c>
      <c r="Q239" s="812">
        <v>1505.75</v>
      </c>
      <c r="R239" s="813" t="s">
        <v>172</v>
      </c>
      <c r="T239" s="815" t="s">
        <v>172</v>
      </c>
      <c r="U239" s="900" t="s">
        <v>1220</v>
      </c>
      <c r="V239" s="731"/>
      <c r="W239" s="732"/>
    </row>
    <row r="240" spans="1:23" x14ac:dyDescent="0.25">
      <c r="A240" s="818">
        <v>357</v>
      </c>
      <c r="B240" s="818" t="s">
        <v>323</v>
      </c>
      <c r="C240" s="818" t="s">
        <v>909</v>
      </c>
      <c r="D240" s="818" t="s">
        <v>14</v>
      </c>
      <c r="E240" s="818" t="s">
        <v>15</v>
      </c>
      <c r="F240" s="818" t="s">
        <v>1002</v>
      </c>
      <c r="G240" s="818" t="s">
        <v>863</v>
      </c>
      <c r="H240" s="809" t="s">
        <v>18</v>
      </c>
      <c r="I240" s="810" t="s">
        <v>15</v>
      </c>
      <c r="J240" s="810" t="s">
        <v>421</v>
      </c>
      <c r="K240" s="817"/>
      <c r="L240" s="811">
        <v>4</v>
      </c>
      <c r="M240" s="812">
        <v>172</v>
      </c>
      <c r="N240" s="812">
        <v>603.75</v>
      </c>
      <c r="O240" s="811">
        <v>4</v>
      </c>
      <c r="P240" s="812">
        <v>172</v>
      </c>
      <c r="Q240" s="812">
        <v>603.75</v>
      </c>
      <c r="R240" s="813" t="s">
        <v>172</v>
      </c>
      <c r="T240" s="815" t="s">
        <v>172</v>
      </c>
      <c r="U240" s="900" t="s">
        <v>1220</v>
      </c>
      <c r="V240" s="731"/>
      <c r="W240" s="732"/>
    </row>
    <row r="241" spans="1:23" x14ac:dyDescent="0.25">
      <c r="A241" s="818">
        <v>358</v>
      </c>
      <c r="B241" s="818" t="s">
        <v>323</v>
      </c>
      <c r="C241" s="818" t="s">
        <v>909</v>
      </c>
      <c r="D241" s="818" t="s">
        <v>14</v>
      </c>
      <c r="E241" s="818" t="s">
        <v>15</v>
      </c>
      <c r="F241" s="818" t="s">
        <v>1003</v>
      </c>
      <c r="G241" s="818" t="s">
        <v>863</v>
      </c>
      <c r="H241" s="809" t="s">
        <v>18</v>
      </c>
      <c r="I241" s="810" t="s">
        <v>15</v>
      </c>
      <c r="J241" s="810" t="s">
        <v>421</v>
      </c>
      <c r="K241" s="817"/>
      <c r="L241" s="811">
        <v>1</v>
      </c>
      <c r="M241" s="812">
        <v>212</v>
      </c>
      <c r="N241" s="812">
        <v>1559</v>
      </c>
      <c r="O241" s="811">
        <v>1</v>
      </c>
      <c r="P241" s="812">
        <v>212</v>
      </c>
      <c r="Q241" s="812">
        <v>1559</v>
      </c>
      <c r="R241" s="813" t="s">
        <v>172</v>
      </c>
      <c r="T241" s="815" t="s">
        <v>172</v>
      </c>
      <c r="U241" s="900" t="s">
        <v>1220</v>
      </c>
      <c r="V241" s="731"/>
      <c r="W241" s="732"/>
    </row>
    <row r="242" spans="1:23" x14ac:dyDescent="0.25">
      <c r="A242" s="818">
        <v>363</v>
      </c>
      <c r="B242" s="818" t="s">
        <v>324</v>
      </c>
      <c r="C242" s="818" t="s">
        <v>876</v>
      </c>
      <c r="D242" s="818" t="s">
        <v>434</v>
      </c>
      <c r="E242" s="818" t="s">
        <v>15</v>
      </c>
      <c r="F242" s="818" t="s">
        <v>863</v>
      </c>
      <c r="G242" s="818" t="s">
        <v>863</v>
      </c>
      <c r="H242" s="809" t="s">
        <v>18</v>
      </c>
      <c r="I242" s="810" t="s">
        <v>15</v>
      </c>
      <c r="J242" s="810" t="s">
        <v>421</v>
      </c>
      <c r="K242" s="817"/>
      <c r="L242" s="811">
        <v>14</v>
      </c>
      <c r="M242" s="812">
        <v>2135</v>
      </c>
      <c r="N242" s="812">
        <v>11503.5</v>
      </c>
      <c r="O242" s="811">
        <v>14</v>
      </c>
      <c r="P242" s="812">
        <v>2135</v>
      </c>
      <c r="Q242" s="812">
        <v>11503.5</v>
      </c>
      <c r="R242" s="813" t="s">
        <v>172</v>
      </c>
      <c r="T242" s="815" t="s">
        <v>172</v>
      </c>
      <c r="U242" s="900" t="s">
        <v>1220</v>
      </c>
      <c r="V242" s="731"/>
      <c r="W242" s="732"/>
    </row>
    <row r="243" spans="1:23" x14ac:dyDescent="0.25">
      <c r="A243" s="818">
        <v>364</v>
      </c>
      <c r="B243" s="818" t="s">
        <v>324</v>
      </c>
      <c r="C243" s="818" t="s">
        <v>876</v>
      </c>
      <c r="D243" s="818" t="s">
        <v>434</v>
      </c>
      <c r="E243" s="818" t="s">
        <v>15</v>
      </c>
      <c r="F243" s="818" t="s">
        <v>934</v>
      </c>
      <c r="G243" s="818" t="s">
        <v>934</v>
      </c>
      <c r="H243" s="809" t="s">
        <v>43</v>
      </c>
      <c r="I243" s="810" t="s">
        <v>15</v>
      </c>
      <c r="J243" s="810" t="s">
        <v>421</v>
      </c>
      <c r="K243" s="817"/>
      <c r="L243" s="811">
        <v>1</v>
      </c>
      <c r="M243" s="812">
        <v>48</v>
      </c>
      <c r="N243" s="812">
        <v>624</v>
      </c>
      <c r="O243" s="811">
        <v>1</v>
      </c>
      <c r="P243" s="812">
        <v>48</v>
      </c>
      <c r="Q243" s="812">
        <v>624</v>
      </c>
      <c r="R243" s="813" t="s">
        <v>172</v>
      </c>
      <c r="T243" s="815">
        <v>13</v>
      </c>
      <c r="U243" s="900" t="s">
        <v>1220</v>
      </c>
      <c r="V243" s="731"/>
      <c r="W243" s="732"/>
    </row>
    <row r="244" spans="1:23" x14ac:dyDescent="0.25">
      <c r="A244" s="818">
        <v>369</v>
      </c>
      <c r="B244" s="818" t="s">
        <v>324</v>
      </c>
      <c r="C244" s="818" t="s">
        <v>897</v>
      </c>
      <c r="D244" s="818" t="s">
        <v>14</v>
      </c>
      <c r="E244" s="818" t="s">
        <v>15</v>
      </c>
      <c r="F244" s="818" t="s">
        <v>898</v>
      </c>
      <c r="G244" s="818" t="s">
        <v>863</v>
      </c>
      <c r="H244" s="809" t="s">
        <v>18</v>
      </c>
      <c r="I244" s="810" t="s">
        <v>15</v>
      </c>
      <c r="J244" s="810" t="s">
        <v>421</v>
      </c>
      <c r="K244" s="817"/>
      <c r="L244" s="811">
        <v>16</v>
      </c>
      <c r="M244" s="812">
        <v>2203</v>
      </c>
      <c r="N244" s="812">
        <v>13388.25</v>
      </c>
      <c r="O244" s="811">
        <v>16</v>
      </c>
      <c r="P244" s="812">
        <v>2203</v>
      </c>
      <c r="Q244" s="812">
        <v>13388.25</v>
      </c>
      <c r="R244" s="813" t="s">
        <v>172</v>
      </c>
      <c r="T244" s="815" t="s">
        <v>172</v>
      </c>
      <c r="U244" s="900" t="s">
        <v>1220</v>
      </c>
      <c r="V244" s="731"/>
      <c r="W244" s="732"/>
    </row>
    <row r="245" spans="1:23" x14ac:dyDescent="0.25">
      <c r="A245" s="818">
        <v>370</v>
      </c>
      <c r="B245" s="818" t="s">
        <v>365</v>
      </c>
      <c r="C245" s="818" t="s">
        <v>458</v>
      </c>
      <c r="D245" s="818" t="s">
        <v>13</v>
      </c>
      <c r="E245" s="818" t="s">
        <v>13</v>
      </c>
      <c r="F245" s="818" t="s">
        <v>859</v>
      </c>
      <c r="G245" s="818" t="s">
        <v>860</v>
      </c>
      <c r="H245" s="809" t="s">
        <v>391</v>
      </c>
      <c r="I245" s="810" t="s">
        <v>20</v>
      </c>
      <c r="J245" s="810" t="s">
        <v>16</v>
      </c>
      <c r="K245" s="817" t="s">
        <v>13</v>
      </c>
      <c r="L245" s="811">
        <v>27</v>
      </c>
      <c r="M245" s="812">
        <v>656</v>
      </c>
      <c r="N245" s="812">
        <v>2552.25</v>
      </c>
      <c r="O245" s="811">
        <v>18</v>
      </c>
      <c r="P245" s="812">
        <v>484</v>
      </c>
      <c r="Q245" s="812">
        <v>1919.75</v>
      </c>
      <c r="R245" s="813" t="s">
        <v>172</v>
      </c>
      <c r="T245" s="815" t="s">
        <v>172</v>
      </c>
      <c r="U245" s="899" t="s">
        <v>1219</v>
      </c>
      <c r="V245" s="731"/>
      <c r="W245" s="732"/>
    </row>
    <row r="246" spans="1:23" x14ac:dyDescent="0.25">
      <c r="A246" s="818">
        <v>371</v>
      </c>
      <c r="B246" s="818" t="s">
        <v>365</v>
      </c>
      <c r="C246" s="818" t="s">
        <v>458</v>
      </c>
      <c r="D246" s="818" t="s">
        <v>13</v>
      </c>
      <c r="E246" s="818" t="s">
        <v>13</v>
      </c>
      <c r="F246" s="818" t="s">
        <v>915</v>
      </c>
      <c r="G246" s="818" t="s">
        <v>860</v>
      </c>
      <c r="H246" s="809" t="s">
        <v>391</v>
      </c>
      <c r="I246" s="810" t="s">
        <v>20</v>
      </c>
      <c r="J246" s="810" t="s">
        <v>16</v>
      </c>
      <c r="K246" s="817" t="s">
        <v>13</v>
      </c>
      <c r="L246" s="811">
        <v>243</v>
      </c>
      <c r="M246" s="812">
        <v>34402</v>
      </c>
      <c r="N246" s="812">
        <v>226951.25</v>
      </c>
      <c r="O246" s="811">
        <v>232</v>
      </c>
      <c r="P246" s="812">
        <v>33352</v>
      </c>
      <c r="Q246" s="812">
        <v>219182.25</v>
      </c>
      <c r="R246" s="813" t="s">
        <v>172</v>
      </c>
      <c r="T246" s="815" t="s">
        <v>172</v>
      </c>
      <c r="U246" s="899" t="s">
        <v>1219</v>
      </c>
      <c r="V246" s="731"/>
      <c r="W246" s="732"/>
    </row>
    <row r="247" spans="1:23" x14ac:dyDescent="0.25">
      <c r="A247" s="818">
        <v>372</v>
      </c>
      <c r="B247" s="818" t="s">
        <v>365</v>
      </c>
      <c r="C247" s="818" t="s">
        <v>916</v>
      </c>
      <c r="D247" s="818" t="s">
        <v>495</v>
      </c>
      <c r="E247" s="818" t="s">
        <v>244</v>
      </c>
      <c r="F247" s="818" t="s">
        <v>917</v>
      </c>
      <c r="G247" s="818" t="s">
        <v>868</v>
      </c>
      <c r="H247" s="809" t="s">
        <v>35</v>
      </c>
      <c r="I247" s="810" t="s">
        <v>20</v>
      </c>
      <c r="J247" s="810" t="s">
        <v>428</v>
      </c>
      <c r="K247" s="817"/>
      <c r="L247" s="811">
        <v>2</v>
      </c>
      <c r="M247" s="812">
        <v>182</v>
      </c>
      <c r="N247" s="812">
        <v>723.75</v>
      </c>
      <c r="O247" s="811">
        <v>2</v>
      </c>
      <c r="P247" s="812">
        <v>182</v>
      </c>
      <c r="Q247" s="812">
        <v>723.75</v>
      </c>
      <c r="R247" s="813" t="s">
        <v>172</v>
      </c>
      <c r="T247" s="815" t="s">
        <v>172</v>
      </c>
      <c r="U247" s="900" t="s">
        <v>1220</v>
      </c>
      <c r="V247" s="731"/>
      <c r="W247" s="732"/>
    </row>
    <row r="248" spans="1:23" x14ac:dyDescent="0.25">
      <c r="A248" s="818">
        <v>373</v>
      </c>
      <c r="B248" s="818" t="s">
        <v>365</v>
      </c>
      <c r="C248" s="818" t="s">
        <v>916</v>
      </c>
      <c r="D248" s="818" t="s">
        <v>495</v>
      </c>
      <c r="E248" s="818" t="s">
        <v>244</v>
      </c>
      <c r="F248" s="818" t="s">
        <v>1004</v>
      </c>
      <c r="G248" s="818" t="s">
        <v>1005</v>
      </c>
      <c r="H248" s="809" t="s">
        <v>39</v>
      </c>
      <c r="I248" s="810" t="s">
        <v>20</v>
      </c>
      <c r="J248" s="810" t="s">
        <v>428</v>
      </c>
      <c r="K248" s="817"/>
      <c r="L248" s="811">
        <v>1</v>
      </c>
      <c r="M248" s="812">
        <v>1</v>
      </c>
      <c r="N248" s="812">
        <v>1</v>
      </c>
      <c r="O248" s="811">
        <v>1</v>
      </c>
      <c r="P248" s="812">
        <v>1</v>
      </c>
      <c r="Q248" s="812">
        <v>1</v>
      </c>
      <c r="R248" s="806" t="s">
        <v>507</v>
      </c>
      <c r="T248" s="815" t="s">
        <v>172</v>
      </c>
      <c r="U248" s="900" t="s">
        <v>1220</v>
      </c>
      <c r="V248" s="731"/>
      <c r="W248" s="732"/>
    </row>
    <row r="249" spans="1:23" x14ac:dyDescent="0.25">
      <c r="A249" s="818">
        <v>374</v>
      </c>
      <c r="B249" s="818" t="s">
        <v>365</v>
      </c>
      <c r="C249" s="818" t="s">
        <v>916</v>
      </c>
      <c r="D249" s="818" t="s">
        <v>495</v>
      </c>
      <c r="E249" s="818" t="s">
        <v>244</v>
      </c>
      <c r="F249" s="818" t="s">
        <v>1006</v>
      </c>
      <c r="G249" s="818" t="s">
        <v>1005</v>
      </c>
      <c r="H249" s="809" t="s">
        <v>39</v>
      </c>
      <c r="I249" s="810" t="s">
        <v>20</v>
      </c>
      <c r="J249" s="810" t="s">
        <v>428</v>
      </c>
      <c r="K249" s="817"/>
      <c r="L249" s="811">
        <v>1</v>
      </c>
      <c r="M249" s="812">
        <v>1</v>
      </c>
      <c r="N249" s="812">
        <v>1</v>
      </c>
      <c r="O249" s="811">
        <v>1</v>
      </c>
      <c r="P249" s="812">
        <v>1</v>
      </c>
      <c r="Q249" s="812">
        <v>1</v>
      </c>
      <c r="R249" s="806" t="s">
        <v>507</v>
      </c>
      <c r="T249" s="815" t="s">
        <v>172</v>
      </c>
      <c r="U249" s="900" t="s">
        <v>1220</v>
      </c>
      <c r="V249" s="731"/>
      <c r="W249" s="732"/>
    </row>
    <row r="250" spans="1:23" x14ac:dyDescent="0.25">
      <c r="A250" s="818">
        <v>375</v>
      </c>
      <c r="B250" s="818" t="s">
        <v>365</v>
      </c>
      <c r="C250" s="818" t="s">
        <v>1007</v>
      </c>
      <c r="D250" s="818" t="s">
        <v>16</v>
      </c>
      <c r="E250" s="818" t="s">
        <v>884</v>
      </c>
      <c r="F250" s="818" t="s">
        <v>1008</v>
      </c>
      <c r="G250" s="818"/>
      <c r="H250" s="809" t="s">
        <v>374</v>
      </c>
      <c r="I250" s="810" t="s">
        <v>20</v>
      </c>
      <c r="J250" s="810" t="s">
        <v>248</v>
      </c>
      <c r="K250" s="817"/>
      <c r="L250" s="811">
        <v>1</v>
      </c>
      <c r="M250" s="812">
        <v>396</v>
      </c>
      <c r="N250" s="812">
        <v>4709.25</v>
      </c>
      <c r="O250" s="811">
        <v>1</v>
      </c>
      <c r="P250" s="812">
        <v>396</v>
      </c>
      <c r="Q250" s="812">
        <v>4709.25</v>
      </c>
      <c r="R250" s="813" t="s">
        <v>172</v>
      </c>
      <c r="T250" s="815" t="s">
        <v>172</v>
      </c>
      <c r="U250" s="899" t="s">
        <v>1219</v>
      </c>
      <c r="V250" s="731"/>
      <c r="W250" s="732"/>
    </row>
    <row r="251" spans="1:23" x14ac:dyDescent="0.25">
      <c r="A251" s="818">
        <v>376</v>
      </c>
      <c r="B251" s="818" t="s">
        <v>365</v>
      </c>
      <c r="C251" s="818" t="s">
        <v>918</v>
      </c>
      <c r="D251" s="818" t="s">
        <v>495</v>
      </c>
      <c r="E251" s="818" t="s">
        <v>15</v>
      </c>
      <c r="F251" s="818" t="s">
        <v>898</v>
      </c>
      <c r="G251" s="818" t="s">
        <v>863</v>
      </c>
      <c r="H251" s="809" t="s">
        <v>18</v>
      </c>
      <c r="I251" s="810" t="s">
        <v>15</v>
      </c>
      <c r="J251" s="810" t="s">
        <v>421</v>
      </c>
      <c r="K251" s="817"/>
      <c r="L251" s="811">
        <v>15</v>
      </c>
      <c r="M251" s="812">
        <v>1629</v>
      </c>
      <c r="N251" s="812">
        <v>8563.5</v>
      </c>
      <c r="O251" s="811">
        <v>13</v>
      </c>
      <c r="P251" s="812">
        <v>1509</v>
      </c>
      <c r="Q251" s="812">
        <v>7666.5</v>
      </c>
      <c r="R251" s="813" t="s">
        <v>172</v>
      </c>
      <c r="T251" s="815" t="s">
        <v>172</v>
      </c>
      <c r="U251" s="900" t="s">
        <v>1220</v>
      </c>
      <c r="V251" s="731"/>
      <c r="W251" s="732"/>
    </row>
    <row r="252" spans="1:23" x14ac:dyDescent="0.25">
      <c r="A252" s="818">
        <v>377</v>
      </c>
      <c r="B252" s="818" t="s">
        <v>365</v>
      </c>
      <c r="C252" s="818" t="s">
        <v>919</v>
      </c>
      <c r="D252" s="818" t="s">
        <v>495</v>
      </c>
      <c r="E252" s="818" t="s">
        <v>14</v>
      </c>
      <c r="F252" s="818" t="s">
        <v>1009</v>
      </c>
      <c r="G252" s="818" t="s">
        <v>1010</v>
      </c>
      <c r="H252" s="809" t="s">
        <v>390</v>
      </c>
      <c r="I252" s="810" t="s">
        <v>20</v>
      </c>
      <c r="J252" s="810" t="s">
        <v>16</v>
      </c>
      <c r="K252" s="817"/>
      <c r="L252" s="811">
        <v>1</v>
      </c>
      <c r="M252" s="812">
        <v>79</v>
      </c>
      <c r="N252" s="812">
        <v>934.75</v>
      </c>
      <c r="O252" s="811">
        <v>1</v>
      </c>
      <c r="P252" s="812">
        <v>79</v>
      </c>
      <c r="Q252" s="812">
        <v>934.75</v>
      </c>
      <c r="R252" s="813" t="s">
        <v>172</v>
      </c>
      <c r="S252" s="816" t="s">
        <v>519</v>
      </c>
      <c r="T252" s="815" t="s">
        <v>172</v>
      </c>
      <c r="U252" s="899" t="s">
        <v>1219</v>
      </c>
      <c r="V252" s="731"/>
      <c r="W252" s="732"/>
    </row>
    <row r="253" spans="1:23" x14ac:dyDescent="0.25">
      <c r="A253" s="818">
        <v>378</v>
      </c>
      <c r="B253" s="818" t="s">
        <v>365</v>
      </c>
      <c r="C253" s="818" t="s">
        <v>919</v>
      </c>
      <c r="D253" s="818" t="s">
        <v>495</v>
      </c>
      <c r="E253" s="818" t="s">
        <v>14</v>
      </c>
      <c r="F253" s="818" t="s">
        <v>960</v>
      </c>
      <c r="G253" s="818" t="s">
        <v>933</v>
      </c>
      <c r="H253" s="809" t="s">
        <v>37</v>
      </c>
      <c r="I253" s="810" t="s">
        <v>20</v>
      </c>
      <c r="J253" s="810" t="s">
        <v>428</v>
      </c>
      <c r="K253" s="817"/>
      <c r="L253" s="811">
        <v>2</v>
      </c>
      <c r="M253" s="812">
        <v>205</v>
      </c>
      <c r="N253" s="812">
        <v>2665</v>
      </c>
      <c r="O253" s="811">
        <v>2</v>
      </c>
      <c r="P253" s="812">
        <v>205</v>
      </c>
      <c r="Q253" s="812">
        <v>2665</v>
      </c>
      <c r="R253" s="813" t="s">
        <v>172</v>
      </c>
      <c r="T253" s="815">
        <v>13</v>
      </c>
      <c r="U253" s="900" t="s">
        <v>1220</v>
      </c>
      <c r="V253" s="731"/>
      <c r="W253" s="732"/>
    </row>
    <row r="254" spans="1:23" x14ac:dyDescent="0.25">
      <c r="A254" s="818">
        <v>379</v>
      </c>
      <c r="B254" s="818" t="s">
        <v>365</v>
      </c>
      <c r="C254" s="818" t="s">
        <v>919</v>
      </c>
      <c r="D254" s="818" t="s">
        <v>495</v>
      </c>
      <c r="E254" s="818" t="s">
        <v>14</v>
      </c>
      <c r="F254" s="818" t="s">
        <v>885</v>
      </c>
      <c r="G254" s="818" t="s">
        <v>868</v>
      </c>
      <c r="H254" s="809" t="s">
        <v>35</v>
      </c>
      <c r="I254" s="810" t="s">
        <v>20</v>
      </c>
      <c r="J254" s="810" t="s">
        <v>428</v>
      </c>
      <c r="K254" s="817"/>
      <c r="L254" s="811">
        <v>17</v>
      </c>
      <c r="M254" s="812">
        <v>1974</v>
      </c>
      <c r="N254" s="812">
        <v>16731.75</v>
      </c>
      <c r="O254" s="811">
        <v>16</v>
      </c>
      <c r="P254" s="812">
        <v>1906</v>
      </c>
      <c r="Q254" s="812">
        <v>16368</v>
      </c>
      <c r="R254" s="813" t="s">
        <v>172</v>
      </c>
      <c r="T254" s="815" t="s">
        <v>172</v>
      </c>
      <c r="U254" s="900" t="s">
        <v>1220</v>
      </c>
      <c r="V254" s="731"/>
      <c r="W254" s="732"/>
    </row>
    <row r="255" spans="1:23" x14ac:dyDescent="0.25">
      <c r="A255" s="818">
        <v>380</v>
      </c>
      <c r="B255" s="818" t="s">
        <v>365</v>
      </c>
      <c r="C255" s="818" t="s">
        <v>919</v>
      </c>
      <c r="D255" s="818" t="s">
        <v>495</v>
      </c>
      <c r="E255" s="818" t="s">
        <v>14</v>
      </c>
      <c r="F255" s="818" t="s">
        <v>889</v>
      </c>
      <c r="G255" s="818"/>
      <c r="H255" s="809" t="s">
        <v>39</v>
      </c>
      <c r="I255" s="810" t="s">
        <v>20</v>
      </c>
      <c r="J255" s="810" t="s">
        <v>428</v>
      </c>
      <c r="K255" s="817"/>
      <c r="L255" s="811">
        <v>2</v>
      </c>
      <c r="M255" s="812">
        <v>2</v>
      </c>
      <c r="N255" s="812">
        <v>2</v>
      </c>
      <c r="O255" s="811">
        <v>2</v>
      </c>
      <c r="P255" s="812">
        <v>2</v>
      </c>
      <c r="Q255" s="812">
        <v>2</v>
      </c>
      <c r="R255" s="806" t="s">
        <v>507</v>
      </c>
      <c r="T255" s="815" t="s">
        <v>172</v>
      </c>
      <c r="U255" s="900" t="s">
        <v>1220</v>
      </c>
      <c r="V255" s="731"/>
      <c r="W255" s="732"/>
    </row>
    <row r="256" spans="1:23" x14ac:dyDescent="0.25">
      <c r="A256" s="818">
        <v>381</v>
      </c>
      <c r="B256" s="818" t="s">
        <v>365</v>
      </c>
      <c r="C256" s="818" t="s">
        <v>919</v>
      </c>
      <c r="D256" s="818" t="s">
        <v>495</v>
      </c>
      <c r="E256" s="818" t="s">
        <v>14</v>
      </c>
      <c r="F256" s="818" t="s">
        <v>869</v>
      </c>
      <c r="G256" s="818"/>
      <c r="H256" s="809" t="s">
        <v>39</v>
      </c>
      <c r="I256" s="810" t="s">
        <v>20</v>
      </c>
      <c r="J256" s="810" t="s">
        <v>428</v>
      </c>
      <c r="K256" s="817"/>
      <c r="L256" s="811">
        <v>2</v>
      </c>
      <c r="M256" s="812">
        <v>2</v>
      </c>
      <c r="N256" s="812">
        <v>2</v>
      </c>
      <c r="O256" s="811">
        <v>2</v>
      </c>
      <c r="P256" s="812">
        <v>2</v>
      </c>
      <c r="Q256" s="812">
        <v>2</v>
      </c>
      <c r="R256" s="806" t="s">
        <v>507</v>
      </c>
      <c r="T256" s="815" t="s">
        <v>172</v>
      </c>
      <c r="U256" s="900" t="s">
        <v>1220</v>
      </c>
      <c r="V256" s="731"/>
      <c r="W256" s="732"/>
    </row>
    <row r="257" spans="1:23" x14ac:dyDescent="0.25">
      <c r="A257" s="818">
        <v>382</v>
      </c>
      <c r="B257" s="818" t="s">
        <v>365</v>
      </c>
      <c r="C257" s="818" t="s">
        <v>919</v>
      </c>
      <c r="D257" s="818" t="s">
        <v>495</v>
      </c>
      <c r="E257" s="818" t="s">
        <v>14</v>
      </c>
      <c r="F257" s="818" t="s">
        <v>875</v>
      </c>
      <c r="G257" s="818"/>
      <c r="H257" s="809" t="s">
        <v>39</v>
      </c>
      <c r="I257" s="810" t="s">
        <v>20</v>
      </c>
      <c r="J257" s="810" t="s">
        <v>428</v>
      </c>
      <c r="K257" s="817"/>
      <c r="L257" s="811">
        <v>15</v>
      </c>
      <c r="M257" s="812">
        <v>15</v>
      </c>
      <c r="N257" s="812">
        <v>15</v>
      </c>
      <c r="O257" s="811">
        <v>15</v>
      </c>
      <c r="P257" s="812">
        <v>15</v>
      </c>
      <c r="Q257" s="812">
        <v>15</v>
      </c>
      <c r="R257" s="806" t="s">
        <v>507</v>
      </c>
      <c r="T257" s="815" t="s">
        <v>172</v>
      </c>
      <c r="U257" s="900" t="s">
        <v>1220</v>
      </c>
      <c r="V257" s="731"/>
      <c r="W257" s="732"/>
    </row>
    <row r="258" spans="1:23" x14ac:dyDescent="0.25">
      <c r="A258" s="818">
        <v>383</v>
      </c>
      <c r="B258" s="818" t="s">
        <v>365</v>
      </c>
      <c r="C258" s="818" t="s">
        <v>921</v>
      </c>
      <c r="D258" s="818" t="s">
        <v>13</v>
      </c>
      <c r="E258" s="818" t="s">
        <v>13</v>
      </c>
      <c r="F258" s="818" t="s">
        <v>922</v>
      </c>
      <c r="G258" s="818" t="s">
        <v>923</v>
      </c>
      <c r="H258" s="809" t="s">
        <v>391</v>
      </c>
      <c r="I258" s="810" t="s">
        <v>20</v>
      </c>
      <c r="J258" s="810" t="s">
        <v>16</v>
      </c>
      <c r="K258" s="817" t="s">
        <v>13</v>
      </c>
      <c r="L258" s="811">
        <v>1</v>
      </c>
      <c r="M258" s="812">
        <v>8</v>
      </c>
      <c r="N258" s="812">
        <v>32</v>
      </c>
      <c r="O258" s="811">
        <v>0</v>
      </c>
      <c r="P258" s="812">
        <v>0</v>
      </c>
      <c r="Q258" s="812"/>
      <c r="R258" s="813" t="s">
        <v>172</v>
      </c>
      <c r="T258" s="815" t="s">
        <v>172</v>
      </c>
      <c r="U258" s="899" t="s">
        <v>1219</v>
      </c>
      <c r="V258" s="731"/>
      <c r="W258" s="732"/>
    </row>
    <row r="259" spans="1:23" x14ac:dyDescent="0.25">
      <c r="A259" s="818">
        <v>384</v>
      </c>
      <c r="B259" s="818" t="s">
        <v>365</v>
      </c>
      <c r="C259" s="818" t="s">
        <v>925</v>
      </c>
      <c r="D259" s="818" t="s">
        <v>16</v>
      </c>
      <c r="E259" s="818" t="s">
        <v>15</v>
      </c>
      <c r="F259" s="818" t="s">
        <v>863</v>
      </c>
      <c r="G259" s="818" t="s">
        <v>863</v>
      </c>
      <c r="H259" s="809" t="s">
        <v>390</v>
      </c>
      <c r="I259" s="810" t="s">
        <v>20</v>
      </c>
      <c r="J259" s="810" t="s">
        <v>16</v>
      </c>
      <c r="K259" s="817"/>
      <c r="L259" s="811">
        <v>1</v>
      </c>
      <c r="M259" s="812">
        <v>17</v>
      </c>
      <c r="N259" s="812">
        <v>136</v>
      </c>
      <c r="O259" s="811">
        <v>0</v>
      </c>
      <c r="P259" s="812">
        <v>0</v>
      </c>
      <c r="Q259" s="812"/>
      <c r="R259" s="813" t="s">
        <v>172</v>
      </c>
      <c r="T259" s="815" t="s">
        <v>172</v>
      </c>
      <c r="U259" s="899" t="s">
        <v>1219</v>
      </c>
      <c r="V259" s="731"/>
      <c r="W259" s="732"/>
    </row>
    <row r="260" spans="1:23" x14ac:dyDescent="0.25">
      <c r="A260" s="818">
        <v>385</v>
      </c>
      <c r="B260" s="818" t="s">
        <v>365</v>
      </c>
      <c r="C260" s="818" t="s">
        <v>926</v>
      </c>
      <c r="D260" s="818" t="s">
        <v>14</v>
      </c>
      <c r="E260" s="818" t="s">
        <v>14</v>
      </c>
      <c r="F260" s="818" t="s">
        <v>885</v>
      </c>
      <c r="G260" s="818" t="s">
        <v>868</v>
      </c>
      <c r="H260" s="809" t="s">
        <v>35</v>
      </c>
      <c r="I260" s="810" t="s">
        <v>20</v>
      </c>
      <c r="J260" s="810" t="s">
        <v>428</v>
      </c>
      <c r="K260" s="817"/>
      <c r="L260" s="811">
        <v>145</v>
      </c>
      <c r="M260" s="812">
        <v>19364</v>
      </c>
      <c r="N260" s="812">
        <v>97945</v>
      </c>
      <c r="O260" s="811">
        <v>125</v>
      </c>
      <c r="P260" s="812">
        <v>18271</v>
      </c>
      <c r="Q260" s="812">
        <v>93202.75</v>
      </c>
      <c r="R260" s="813" t="s">
        <v>172</v>
      </c>
      <c r="T260" s="815" t="s">
        <v>172</v>
      </c>
      <c r="U260" s="900" t="s">
        <v>1220</v>
      </c>
      <c r="V260" s="731"/>
      <c r="W260" s="732"/>
    </row>
    <row r="261" spans="1:23" x14ac:dyDescent="0.25">
      <c r="A261" s="818">
        <v>386</v>
      </c>
      <c r="B261" s="818" t="s">
        <v>365</v>
      </c>
      <c r="C261" s="818" t="s">
        <v>926</v>
      </c>
      <c r="D261" s="818" t="s">
        <v>14</v>
      </c>
      <c r="E261" s="818" t="s">
        <v>14</v>
      </c>
      <c r="F261" s="818" t="s">
        <v>1011</v>
      </c>
      <c r="G261" s="818" t="s">
        <v>933</v>
      </c>
      <c r="H261" s="809" t="s">
        <v>37</v>
      </c>
      <c r="I261" s="810" t="s">
        <v>20</v>
      </c>
      <c r="J261" s="810" t="s">
        <v>428</v>
      </c>
      <c r="K261" s="817"/>
      <c r="L261" s="811">
        <v>1</v>
      </c>
      <c r="M261" s="812">
        <v>149</v>
      </c>
      <c r="N261" s="812">
        <v>1937</v>
      </c>
      <c r="O261" s="811">
        <v>1</v>
      </c>
      <c r="P261" s="812">
        <v>149</v>
      </c>
      <c r="Q261" s="812">
        <v>1937</v>
      </c>
      <c r="R261" s="813" t="s">
        <v>172</v>
      </c>
      <c r="T261" s="815">
        <v>13</v>
      </c>
      <c r="U261" s="900" t="s">
        <v>1220</v>
      </c>
      <c r="V261" s="731"/>
      <c r="W261" s="732"/>
    </row>
    <row r="262" spans="1:23" x14ac:dyDescent="0.25">
      <c r="A262" s="818">
        <v>387</v>
      </c>
      <c r="B262" s="818" t="s">
        <v>365</v>
      </c>
      <c r="C262" s="818" t="s">
        <v>926</v>
      </c>
      <c r="D262" s="818" t="s">
        <v>14</v>
      </c>
      <c r="E262" s="818" t="s">
        <v>14</v>
      </c>
      <c r="F262" s="818" t="s">
        <v>889</v>
      </c>
      <c r="G262" s="818"/>
      <c r="H262" s="809" t="s">
        <v>39</v>
      </c>
      <c r="I262" s="810" t="s">
        <v>20</v>
      </c>
      <c r="J262" s="810" t="s">
        <v>428</v>
      </c>
      <c r="K262" s="817"/>
      <c r="L262" s="811">
        <v>9</v>
      </c>
      <c r="M262" s="812">
        <v>10</v>
      </c>
      <c r="N262" s="812">
        <v>10</v>
      </c>
      <c r="O262" s="811">
        <v>9</v>
      </c>
      <c r="P262" s="812">
        <v>10</v>
      </c>
      <c r="Q262" s="812">
        <v>10</v>
      </c>
      <c r="R262" s="806" t="s">
        <v>507</v>
      </c>
      <c r="T262" s="815" t="s">
        <v>172</v>
      </c>
      <c r="U262" s="900" t="s">
        <v>1220</v>
      </c>
      <c r="V262" s="731"/>
      <c r="W262" s="732"/>
    </row>
    <row r="263" spans="1:23" x14ac:dyDescent="0.25">
      <c r="A263" s="818">
        <v>388</v>
      </c>
      <c r="B263" s="818" t="s">
        <v>365</v>
      </c>
      <c r="C263" s="818" t="s">
        <v>926</v>
      </c>
      <c r="D263" s="818" t="s">
        <v>14</v>
      </c>
      <c r="E263" s="818" t="s">
        <v>14</v>
      </c>
      <c r="F263" s="818" t="s">
        <v>869</v>
      </c>
      <c r="G263" s="818"/>
      <c r="H263" s="809" t="s">
        <v>39</v>
      </c>
      <c r="I263" s="810" t="s">
        <v>20</v>
      </c>
      <c r="J263" s="810" t="s">
        <v>428</v>
      </c>
      <c r="K263" s="817"/>
      <c r="L263" s="811">
        <v>62</v>
      </c>
      <c r="M263" s="812">
        <v>62</v>
      </c>
      <c r="N263" s="812">
        <v>62</v>
      </c>
      <c r="O263" s="811">
        <v>48</v>
      </c>
      <c r="P263" s="812">
        <v>48</v>
      </c>
      <c r="Q263" s="812">
        <v>48</v>
      </c>
      <c r="R263" s="806" t="s">
        <v>507</v>
      </c>
      <c r="T263" s="815" t="s">
        <v>172</v>
      </c>
      <c r="U263" s="900" t="s">
        <v>1220</v>
      </c>
      <c r="V263" s="731"/>
      <c r="W263" s="732"/>
    </row>
    <row r="264" spans="1:23" x14ac:dyDescent="0.25">
      <c r="A264" s="818">
        <v>389</v>
      </c>
      <c r="B264" s="818" t="s">
        <v>365</v>
      </c>
      <c r="C264" s="818" t="s">
        <v>926</v>
      </c>
      <c r="D264" s="818" t="s">
        <v>14</v>
      </c>
      <c r="E264" s="818" t="s">
        <v>14</v>
      </c>
      <c r="F264" s="818" t="s">
        <v>875</v>
      </c>
      <c r="G264" s="818"/>
      <c r="H264" s="809" t="s">
        <v>39</v>
      </c>
      <c r="I264" s="810" t="s">
        <v>20</v>
      </c>
      <c r="J264" s="810" t="s">
        <v>428</v>
      </c>
      <c r="K264" s="817"/>
      <c r="L264" s="811">
        <v>84</v>
      </c>
      <c r="M264" s="812">
        <v>136</v>
      </c>
      <c r="N264" s="812">
        <v>136</v>
      </c>
      <c r="O264" s="811">
        <v>79</v>
      </c>
      <c r="P264" s="812">
        <v>130</v>
      </c>
      <c r="Q264" s="812">
        <v>130</v>
      </c>
      <c r="R264" s="806" t="s">
        <v>507</v>
      </c>
      <c r="T264" s="815" t="s">
        <v>172</v>
      </c>
      <c r="U264" s="900" t="s">
        <v>1220</v>
      </c>
      <c r="V264" s="731"/>
      <c r="W264" s="732"/>
    </row>
    <row r="265" spans="1:23" x14ac:dyDescent="0.25">
      <c r="A265" s="818">
        <v>395</v>
      </c>
      <c r="B265" s="818" t="s">
        <v>365</v>
      </c>
      <c r="C265" s="818" t="s">
        <v>861</v>
      </c>
      <c r="D265" s="818" t="s">
        <v>14</v>
      </c>
      <c r="E265" s="818" t="s">
        <v>15</v>
      </c>
      <c r="F265" s="818" t="s">
        <v>862</v>
      </c>
      <c r="G265" s="818" t="s">
        <v>863</v>
      </c>
      <c r="H265" s="809" t="s">
        <v>18</v>
      </c>
      <c r="I265" s="810" t="s">
        <v>15</v>
      </c>
      <c r="J265" s="810" t="s">
        <v>421</v>
      </c>
      <c r="K265" s="817"/>
      <c r="L265" s="811">
        <v>138</v>
      </c>
      <c r="M265" s="812">
        <v>28743</v>
      </c>
      <c r="N265" s="812">
        <v>130928.75</v>
      </c>
      <c r="O265" s="811">
        <v>132</v>
      </c>
      <c r="P265" s="812">
        <v>28577</v>
      </c>
      <c r="Q265" s="812">
        <v>130213.5</v>
      </c>
      <c r="R265" s="813" t="s">
        <v>172</v>
      </c>
      <c r="T265" s="815" t="s">
        <v>172</v>
      </c>
      <c r="U265" s="900" t="s">
        <v>1220</v>
      </c>
      <c r="V265" s="731"/>
      <c r="W265" s="732"/>
    </row>
    <row r="266" spans="1:23" x14ac:dyDescent="0.25">
      <c r="A266" s="818">
        <v>396</v>
      </c>
      <c r="B266" s="818" t="s">
        <v>365</v>
      </c>
      <c r="C266" s="818" t="s">
        <v>861</v>
      </c>
      <c r="D266" s="818" t="s">
        <v>14</v>
      </c>
      <c r="E266" s="818" t="s">
        <v>15</v>
      </c>
      <c r="F266" s="818" t="s">
        <v>1012</v>
      </c>
      <c r="G266" s="818" t="s">
        <v>934</v>
      </c>
      <c r="H266" s="809" t="s">
        <v>43</v>
      </c>
      <c r="I266" s="810" t="s">
        <v>15</v>
      </c>
      <c r="J266" s="810" t="s">
        <v>421</v>
      </c>
      <c r="K266" s="817"/>
      <c r="L266" s="811">
        <v>1</v>
      </c>
      <c r="M266" s="812">
        <v>358</v>
      </c>
      <c r="N266" s="812">
        <v>4654</v>
      </c>
      <c r="O266" s="811">
        <v>1</v>
      </c>
      <c r="P266" s="812">
        <v>358</v>
      </c>
      <c r="Q266" s="812">
        <v>4654</v>
      </c>
      <c r="R266" s="813" t="s">
        <v>172</v>
      </c>
      <c r="T266" s="815">
        <v>13</v>
      </c>
      <c r="U266" s="900" t="s">
        <v>1220</v>
      </c>
      <c r="V266" s="731"/>
      <c r="W266" s="732"/>
    </row>
    <row r="267" spans="1:23" x14ac:dyDescent="0.25">
      <c r="A267" s="818">
        <v>398</v>
      </c>
      <c r="B267" s="818" t="s">
        <v>365</v>
      </c>
      <c r="C267" s="818" t="s">
        <v>927</v>
      </c>
      <c r="D267" s="818" t="s">
        <v>14</v>
      </c>
      <c r="E267" s="818" t="s">
        <v>14</v>
      </c>
      <c r="F267" s="818" t="s">
        <v>889</v>
      </c>
      <c r="G267" s="818"/>
      <c r="H267" s="809" t="s">
        <v>39</v>
      </c>
      <c r="I267" s="810" t="s">
        <v>20</v>
      </c>
      <c r="J267" s="810" t="s">
        <v>428</v>
      </c>
      <c r="K267" s="817"/>
      <c r="L267" s="811">
        <v>4</v>
      </c>
      <c r="M267" s="812">
        <v>4</v>
      </c>
      <c r="N267" s="812">
        <v>4</v>
      </c>
      <c r="O267" s="811">
        <v>4</v>
      </c>
      <c r="P267" s="812">
        <v>4</v>
      </c>
      <c r="Q267" s="812">
        <v>4</v>
      </c>
      <c r="R267" s="806" t="s">
        <v>507</v>
      </c>
      <c r="T267" s="815" t="s">
        <v>172</v>
      </c>
      <c r="U267" s="900" t="s">
        <v>1220</v>
      </c>
      <c r="V267" s="731"/>
      <c r="W267" s="732"/>
    </row>
    <row r="268" spans="1:23" x14ac:dyDescent="0.25">
      <c r="A268" s="818">
        <v>399</v>
      </c>
      <c r="B268" s="818" t="s">
        <v>365</v>
      </c>
      <c r="C268" s="818" t="s">
        <v>927</v>
      </c>
      <c r="D268" s="818" t="s">
        <v>14</v>
      </c>
      <c r="E268" s="818" t="s">
        <v>14</v>
      </c>
      <c r="F268" s="818" t="s">
        <v>869</v>
      </c>
      <c r="G268" s="818"/>
      <c r="H268" s="809" t="s">
        <v>39</v>
      </c>
      <c r="I268" s="810" t="s">
        <v>20</v>
      </c>
      <c r="J268" s="810" t="s">
        <v>428</v>
      </c>
      <c r="K268" s="817"/>
      <c r="L268" s="811">
        <v>47</v>
      </c>
      <c r="M268" s="812">
        <v>47</v>
      </c>
      <c r="N268" s="812">
        <v>47</v>
      </c>
      <c r="O268" s="811">
        <v>47</v>
      </c>
      <c r="P268" s="812">
        <v>47</v>
      </c>
      <c r="Q268" s="812">
        <v>47</v>
      </c>
      <c r="R268" s="806" t="s">
        <v>507</v>
      </c>
      <c r="T268" s="815" t="s">
        <v>172</v>
      </c>
      <c r="U268" s="900" t="s">
        <v>1220</v>
      </c>
      <c r="V268" s="731"/>
      <c r="W268" s="732"/>
    </row>
    <row r="269" spans="1:23" x14ac:dyDescent="0.25">
      <c r="A269" s="818">
        <v>400</v>
      </c>
      <c r="B269" s="818" t="s">
        <v>365</v>
      </c>
      <c r="C269" s="818" t="s">
        <v>927</v>
      </c>
      <c r="D269" s="818" t="s">
        <v>14</v>
      </c>
      <c r="E269" s="818" t="s">
        <v>14</v>
      </c>
      <c r="F269" s="818" t="s">
        <v>875</v>
      </c>
      <c r="G269" s="818"/>
      <c r="H269" s="809" t="s">
        <v>39</v>
      </c>
      <c r="I269" s="810" t="s">
        <v>20</v>
      </c>
      <c r="J269" s="810" t="s">
        <v>428</v>
      </c>
      <c r="K269" s="817"/>
      <c r="L269" s="811">
        <v>25</v>
      </c>
      <c r="M269" s="812">
        <v>31</v>
      </c>
      <c r="N269" s="812">
        <v>31</v>
      </c>
      <c r="O269" s="811">
        <v>25</v>
      </c>
      <c r="P269" s="812">
        <v>31</v>
      </c>
      <c r="Q269" s="812">
        <v>31</v>
      </c>
      <c r="R269" s="806" t="s">
        <v>507</v>
      </c>
      <c r="T269" s="815" t="s">
        <v>172</v>
      </c>
      <c r="U269" s="900" t="s">
        <v>1220</v>
      </c>
      <c r="V269" s="731"/>
      <c r="W269" s="732"/>
    </row>
    <row r="270" spans="1:23" x14ac:dyDescent="0.25">
      <c r="A270" s="818">
        <v>401</v>
      </c>
      <c r="B270" s="818" t="s">
        <v>365</v>
      </c>
      <c r="C270" s="818" t="s">
        <v>927</v>
      </c>
      <c r="D270" s="818" t="s">
        <v>14</v>
      </c>
      <c r="E270" s="818" t="s">
        <v>14</v>
      </c>
      <c r="F270" s="818" t="s">
        <v>868</v>
      </c>
      <c r="G270" s="818" t="s">
        <v>868</v>
      </c>
      <c r="H270" s="809" t="s">
        <v>35</v>
      </c>
      <c r="I270" s="810" t="s">
        <v>20</v>
      </c>
      <c r="J270" s="810" t="s">
        <v>428</v>
      </c>
      <c r="K270" s="817"/>
      <c r="L270" s="811">
        <v>59</v>
      </c>
      <c r="M270" s="812">
        <v>6394</v>
      </c>
      <c r="N270" s="812">
        <v>33835.75</v>
      </c>
      <c r="O270" s="811">
        <v>57</v>
      </c>
      <c r="P270" s="812">
        <v>6385</v>
      </c>
      <c r="Q270" s="812">
        <v>33801.25</v>
      </c>
      <c r="R270" s="813" t="s">
        <v>172</v>
      </c>
      <c r="T270" s="815" t="s">
        <v>172</v>
      </c>
      <c r="U270" s="900" t="s">
        <v>1220</v>
      </c>
      <c r="V270" s="731"/>
      <c r="W270" s="732"/>
    </row>
    <row r="271" spans="1:23" x14ac:dyDescent="0.25">
      <c r="A271" s="818">
        <v>402</v>
      </c>
      <c r="B271" s="818" t="s">
        <v>365</v>
      </c>
      <c r="C271" s="818" t="s">
        <v>927</v>
      </c>
      <c r="D271" s="818" t="s">
        <v>14</v>
      </c>
      <c r="E271" s="818" t="s">
        <v>14</v>
      </c>
      <c r="F271" s="818" t="s">
        <v>933</v>
      </c>
      <c r="G271" s="818" t="s">
        <v>933</v>
      </c>
      <c r="H271" s="809" t="s">
        <v>37</v>
      </c>
      <c r="I271" s="810" t="s">
        <v>20</v>
      </c>
      <c r="J271" s="810" t="s">
        <v>428</v>
      </c>
      <c r="K271" s="817"/>
      <c r="L271" s="811">
        <v>7</v>
      </c>
      <c r="M271" s="812">
        <v>1017</v>
      </c>
      <c r="N271" s="812">
        <v>13221</v>
      </c>
      <c r="O271" s="811">
        <v>7</v>
      </c>
      <c r="P271" s="812">
        <v>1017</v>
      </c>
      <c r="Q271" s="812">
        <v>13221</v>
      </c>
      <c r="R271" s="813" t="s">
        <v>172</v>
      </c>
      <c r="T271" s="815">
        <v>13</v>
      </c>
      <c r="U271" s="900" t="s">
        <v>1220</v>
      </c>
      <c r="V271" s="731"/>
      <c r="W271" s="732"/>
    </row>
    <row r="272" spans="1:23" x14ac:dyDescent="0.25">
      <c r="A272" s="818">
        <v>405</v>
      </c>
      <c r="B272" s="818" t="s">
        <v>365</v>
      </c>
      <c r="C272" s="818" t="s">
        <v>928</v>
      </c>
      <c r="D272" s="818" t="s">
        <v>14</v>
      </c>
      <c r="E272" s="818" t="s">
        <v>15</v>
      </c>
      <c r="F272" s="818" t="s">
        <v>863</v>
      </c>
      <c r="G272" s="818" t="s">
        <v>863</v>
      </c>
      <c r="H272" s="809" t="s">
        <v>18</v>
      </c>
      <c r="I272" s="810" t="s">
        <v>15</v>
      </c>
      <c r="J272" s="810" t="s">
        <v>421</v>
      </c>
      <c r="K272" s="817"/>
      <c r="L272" s="811">
        <v>38</v>
      </c>
      <c r="M272" s="812">
        <v>6616</v>
      </c>
      <c r="N272" s="812">
        <v>32043.5</v>
      </c>
      <c r="O272" s="811">
        <v>34</v>
      </c>
      <c r="P272" s="812">
        <v>6360</v>
      </c>
      <c r="Q272" s="812">
        <v>30234</v>
      </c>
      <c r="R272" s="813" t="s">
        <v>172</v>
      </c>
      <c r="T272" s="815" t="s">
        <v>172</v>
      </c>
      <c r="U272" s="900" t="s">
        <v>1220</v>
      </c>
      <c r="V272" s="731"/>
      <c r="W272" s="732"/>
    </row>
    <row r="273" spans="1:23" x14ac:dyDescent="0.25">
      <c r="A273" s="818">
        <v>406</v>
      </c>
      <c r="B273" s="818" t="s">
        <v>365</v>
      </c>
      <c r="C273" s="818" t="s">
        <v>928</v>
      </c>
      <c r="D273" s="818" t="s">
        <v>14</v>
      </c>
      <c r="E273" s="818" t="s">
        <v>15</v>
      </c>
      <c r="F273" s="818" t="s">
        <v>929</v>
      </c>
      <c r="G273" s="818" t="s">
        <v>863</v>
      </c>
      <c r="H273" s="809" t="s">
        <v>18</v>
      </c>
      <c r="I273" s="810" t="s">
        <v>15</v>
      </c>
      <c r="J273" s="810" t="s">
        <v>421</v>
      </c>
      <c r="K273" s="817"/>
      <c r="L273" s="811">
        <v>3</v>
      </c>
      <c r="M273" s="812">
        <v>115</v>
      </c>
      <c r="N273" s="812">
        <v>524</v>
      </c>
      <c r="O273" s="811">
        <v>1</v>
      </c>
      <c r="P273" s="812">
        <v>60</v>
      </c>
      <c r="Q273" s="812">
        <v>239</v>
      </c>
      <c r="R273" s="813" t="s">
        <v>172</v>
      </c>
      <c r="T273" s="815" t="s">
        <v>172</v>
      </c>
      <c r="U273" s="900" t="s">
        <v>1220</v>
      </c>
      <c r="V273" s="731"/>
      <c r="W273" s="732"/>
    </row>
    <row r="274" spans="1:23" x14ac:dyDescent="0.25">
      <c r="A274" s="818">
        <v>408</v>
      </c>
      <c r="B274" s="818" t="s">
        <v>365</v>
      </c>
      <c r="C274" s="818" t="s">
        <v>930</v>
      </c>
      <c r="D274" s="818" t="s">
        <v>14</v>
      </c>
      <c r="E274" s="818" t="s">
        <v>15</v>
      </c>
      <c r="F274" s="818" t="s">
        <v>898</v>
      </c>
      <c r="G274" s="818" t="s">
        <v>863</v>
      </c>
      <c r="H274" s="809" t="s">
        <v>18</v>
      </c>
      <c r="I274" s="810" t="s">
        <v>15</v>
      </c>
      <c r="J274" s="810" t="s">
        <v>421</v>
      </c>
      <c r="K274" s="817"/>
      <c r="L274" s="811">
        <v>4</v>
      </c>
      <c r="M274" s="812">
        <v>529</v>
      </c>
      <c r="N274" s="812">
        <v>3126.75</v>
      </c>
      <c r="O274" s="811">
        <v>4</v>
      </c>
      <c r="P274" s="812">
        <v>529</v>
      </c>
      <c r="Q274" s="812">
        <v>3126.75</v>
      </c>
      <c r="R274" s="813" t="s">
        <v>172</v>
      </c>
      <c r="T274" s="815" t="s">
        <v>172</v>
      </c>
      <c r="U274" s="900" t="s">
        <v>1220</v>
      </c>
      <c r="V274" s="731"/>
      <c r="W274" s="732"/>
    </row>
    <row r="275" spans="1:23" x14ac:dyDescent="0.25">
      <c r="A275" s="818">
        <v>409</v>
      </c>
      <c r="B275" s="818" t="s">
        <v>365</v>
      </c>
      <c r="C275" s="818" t="s">
        <v>931</v>
      </c>
      <c r="D275" s="818" t="s">
        <v>14</v>
      </c>
      <c r="E275" s="818" t="s">
        <v>14</v>
      </c>
      <c r="F275" s="818" t="s">
        <v>867</v>
      </c>
      <c r="G275" s="818" t="s">
        <v>868</v>
      </c>
      <c r="H275" s="809" t="s">
        <v>35</v>
      </c>
      <c r="I275" s="810" t="s">
        <v>20</v>
      </c>
      <c r="J275" s="810" t="s">
        <v>428</v>
      </c>
      <c r="K275" s="817"/>
      <c r="L275" s="811">
        <v>9</v>
      </c>
      <c r="M275" s="812">
        <v>1588</v>
      </c>
      <c r="N275" s="812">
        <v>7341</v>
      </c>
      <c r="O275" s="811">
        <v>9</v>
      </c>
      <c r="P275" s="812">
        <v>1588</v>
      </c>
      <c r="Q275" s="812">
        <v>7341</v>
      </c>
      <c r="R275" s="813" t="s">
        <v>172</v>
      </c>
      <c r="T275" s="815" t="s">
        <v>172</v>
      </c>
      <c r="U275" s="900" t="s">
        <v>1220</v>
      </c>
      <c r="V275" s="731"/>
      <c r="W275" s="732"/>
    </row>
    <row r="276" spans="1:23" x14ac:dyDescent="0.25">
      <c r="A276" s="818">
        <v>410</v>
      </c>
      <c r="B276" s="818" t="s">
        <v>365</v>
      </c>
      <c r="C276" s="818" t="s">
        <v>931</v>
      </c>
      <c r="D276" s="818" t="s">
        <v>14</v>
      </c>
      <c r="E276" s="818" t="s">
        <v>14</v>
      </c>
      <c r="F276" s="818" t="s">
        <v>869</v>
      </c>
      <c r="G276" s="818"/>
      <c r="H276" s="809" t="s">
        <v>39</v>
      </c>
      <c r="I276" s="810" t="s">
        <v>20</v>
      </c>
      <c r="J276" s="810" t="s">
        <v>428</v>
      </c>
      <c r="K276" s="817"/>
      <c r="L276" s="811">
        <v>5</v>
      </c>
      <c r="M276" s="812">
        <v>5</v>
      </c>
      <c r="N276" s="812">
        <v>5</v>
      </c>
      <c r="O276" s="811">
        <v>5</v>
      </c>
      <c r="P276" s="812">
        <v>5</v>
      </c>
      <c r="Q276" s="812">
        <v>5</v>
      </c>
      <c r="R276" s="806" t="s">
        <v>507</v>
      </c>
      <c r="T276" s="815" t="s">
        <v>172</v>
      </c>
      <c r="U276" s="900" t="s">
        <v>1220</v>
      </c>
      <c r="V276" s="731"/>
      <c r="W276" s="732"/>
    </row>
    <row r="277" spans="1:23" x14ac:dyDescent="0.25">
      <c r="A277" s="818">
        <v>411</v>
      </c>
      <c r="B277" s="818" t="s">
        <v>365</v>
      </c>
      <c r="C277" s="818" t="s">
        <v>931</v>
      </c>
      <c r="D277" s="818" t="s">
        <v>14</v>
      </c>
      <c r="E277" s="818" t="s">
        <v>14</v>
      </c>
      <c r="F277" s="818" t="s">
        <v>875</v>
      </c>
      <c r="G277" s="818"/>
      <c r="H277" s="809" t="s">
        <v>39</v>
      </c>
      <c r="I277" s="810" t="s">
        <v>20</v>
      </c>
      <c r="J277" s="810" t="s">
        <v>428</v>
      </c>
      <c r="K277" s="817"/>
      <c r="L277" s="811">
        <v>7</v>
      </c>
      <c r="M277" s="812">
        <v>10</v>
      </c>
      <c r="N277" s="812">
        <v>10</v>
      </c>
      <c r="O277" s="811">
        <v>7</v>
      </c>
      <c r="P277" s="812">
        <v>10</v>
      </c>
      <c r="Q277" s="812">
        <v>10</v>
      </c>
      <c r="R277" s="806" t="s">
        <v>507</v>
      </c>
      <c r="T277" s="815" t="s">
        <v>172</v>
      </c>
      <c r="U277" s="900" t="s">
        <v>1220</v>
      </c>
      <c r="V277" s="731"/>
      <c r="W277" s="732"/>
    </row>
    <row r="278" spans="1:23" x14ac:dyDescent="0.25">
      <c r="A278" s="813">
        <v>416</v>
      </c>
      <c r="B278" s="813" t="s">
        <v>365</v>
      </c>
      <c r="C278" s="813" t="s">
        <v>864</v>
      </c>
      <c r="D278" s="813" t="s">
        <v>16</v>
      </c>
      <c r="E278" s="813" t="s">
        <v>15</v>
      </c>
      <c r="F278" s="813" t="s">
        <v>865</v>
      </c>
      <c r="G278" s="813" t="s">
        <v>863</v>
      </c>
      <c r="H278" s="819" t="s">
        <v>18</v>
      </c>
      <c r="I278" s="820" t="s">
        <v>15</v>
      </c>
      <c r="J278" s="820" t="s">
        <v>421</v>
      </c>
      <c r="L278" s="821">
        <v>56</v>
      </c>
      <c r="M278" s="637">
        <v>11903</v>
      </c>
      <c r="N278" s="637">
        <v>70933.75</v>
      </c>
      <c r="O278" s="821">
        <v>56</v>
      </c>
      <c r="P278" s="637">
        <v>11903</v>
      </c>
      <c r="Q278" s="637">
        <v>70933.75</v>
      </c>
      <c r="R278" s="813" t="s">
        <v>172</v>
      </c>
      <c r="T278" s="815" t="s">
        <v>172</v>
      </c>
      <c r="U278" s="900" t="s">
        <v>1220</v>
      </c>
      <c r="V278" s="731"/>
      <c r="W278" s="732"/>
    </row>
    <row r="279" spans="1:23" x14ac:dyDescent="0.25">
      <c r="A279" s="813">
        <v>417</v>
      </c>
      <c r="B279" s="813" t="s">
        <v>365</v>
      </c>
      <c r="C279" s="813" t="s">
        <v>864</v>
      </c>
      <c r="D279" s="813" t="s">
        <v>16</v>
      </c>
      <c r="E279" s="813" t="s">
        <v>15</v>
      </c>
      <c r="F279" s="813" t="s">
        <v>1013</v>
      </c>
      <c r="G279" s="813" t="s">
        <v>934</v>
      </c>
      <c r="H279" s="819" t="s">
        <v>43</v>
      </c>
      <c r="I279" s="820" t="s">
        <v>15</v>
      </c>
      <c r="J279" s="820" t="s">
        <v>421</v>
      </c>
      <c r="L279" s="821">
        <v>3</v>
      </c>
      <c r="M279" s="637">
        <v>818</v>
      </c>
      <c r="N279" s="637">
        <v>10634</v>
      </c>
      <c r="O279" s="821">
        <v>3</v>
      </c>
      <c r="P279" s="637">
        <v>818</v>
      </c>
      <c r="Q279" s="637">
        <v>10634</v>
      </c>
      <c r="R279" s="813" t="s">
        <v>172</v>
      </c>
      <c r="T279" s="815">
        <v>13</v>
      </c>
      <c r="U279" s="900" t="s">
        <v>1220</v>
      </c>
      <c r="V279" s="731"/>
      <c r="W279" s="732"/>
    </row>
    <row r="280" spans="1:23" x14ac:dyDescent="0.25">
      <c r="A280" s="813">
        <v>418</v>
      </c>
      <c r="B280" s="813" t="s">
        <v>365</v>
      </c>
      <c r="C280" s="813" t="s">
        <v>866</v>
      </c>
      <c r="D280" s="813" t="s">
        <v>16</v>
      </c>
      <c r="E280" s="813" t="s">
        <v>14</v>
      </c>
      <c r="F280" s="813" t="s">
        <v>867</v>
      </c>
      <c r="G280" s="813" t="s">
        <v>868</v>
      </c>
      <c r="H280" s="819" t="s">
        <v>35</v>
      </c>
      <c r="I280" s="820" t="s">
        <v>20</v>
      </c>
      <c r="J280" s="820" t="s">
        <v>428</v>
      </c>
      <c r="L280" s="821">
        <v>42</v>
      </c>
      <c r="M280" s="637">
        <v>5250</v>
      </c>
      <c r="N280" s="637">
        <v>34057.25</v>
      </c>
      <c r="O280" s="821">
        <v>40</v>
      </c>
      <c r="P280" s="637">
        <v>5101</v>
      </c>
      <c r="Q280" s="637">
        <v>33302.25</v>
      </c>
      <c r="R280" s="813" t="s">
        <v>172</v>
      </c>
      <c r="T280" s="815" t="s">
        <v>172</v>
      </c>
      <c r="U280" s="900" t="s">
        <v>1220</v>
      </c>
      <c r="V280" s="731"/>
      <c r="W280" s="732"/>
    </row>
    <row r="281" spans="1:23" x14ac:dyDescent="0.25">
      <c r="A281" s="813">
        <v>419</v>
      </c>
      <c r="B281" s="813" t="s">
        <v>365</v>
      </c>
      <c r="C281" s="813" t="s">
        <v>866</v>
      </c>
      <c r="D281" s="813" t="s">
        <v>16</v>
      </c>
      <c r="E281" s="813" t="s">
        <v>14</v>
      </c>
      <c r="F281" s="813" t="s">
        <v>932</v>
      </c>
      <c r="G281" s="813" t="s">
        <v>933</v>
      </c>
      <c r="H281" s="819" t="s">
        <v>37</v>
      </c>
      <c r="I281" s="820" t="s">
        <v>20</v>
      </c>
      <c r="J281" s="820" t="s">
        <v>428</v>
      </c>
      <c r="L281" s="821">
        <v>10</v>
      </c>
      <c r="M281" s="637">
        <v>1308</v>
      </c>
      <c r="N281" s="637">
        <v>17004</v>
      </c>
      <c r="O281" s="821">
        <v>8</v>
      </c>
      <c r="P281" s="637">
        <v>1267</v>
      </c>
      <c r="Q281" s="637">
        <v>16471</v>
      </c>
      <c r="R281" s="813" t="s">
        <v>172</v>
      </c>
      <c r="T281" s="815">
        <v>13</v>
      </c>
      <c r="U281" s="900" t="s">
        <v>1220</v>
      </c>
      <c r="V281" s="731"/>
      <c r="W281" s="732"/>
    </row>
    <row r="282" spans="1:23" x14ac:dyDescent="0.25">
      <c r="A282" s="813">
        <v>420</v>
      </c>
      <c r="B282" s="813" t="s">
        <v>365</v>
      </c>
      <c r="C282" s="813" t="s">
        <v>866</v>
      </c>
      <c r="D282" s="813" t="s">
        <v>16</v>
      </c>
      <c r="E282" s="813" t="s">
        <v>14</v>
      </c>
      <c r="F282" s="813" t="s">
        <v>889</v>
      </c>
      <c r="H282" s="819" t="s">
        <v>39</v>
      </c>
      <c r="I282" s="820" t="s">
        <v>20</v>
      </c>
      <c r="J282" s="820" t="s">
        <v>428</v>
      </c>
      <c r="L282" s="821">
        <v>6</v>
      </c>
      <c r="M282" s="637">
        <v>9</v>
      </c>
      <c r="N282" s="637">
        <v>9</v>
      </c>
      <c r="O282" s="821">
        <v>6</v>
      </c>
      <c r="P282" s="637">
        <v>9</v>
      </c>
      <c r="Q282" s="637">
        <v>9</v>
      </c>
      <c r="R282" s="806" t="s">
        <v>507</v>
      </c>
      <c r="T282" s="815" t="s">
        <v>172</v>
      </c>
      <c r="U282" s="900" t="s">
        <v>1220</v>
      </c>
      <c r="V282" s="731"/>
      <c r="W282" s="732"/>
    </row>
    <row r="283" spans="1:23" x14ac:dyDescent="0.25">
      <c r="A283" s="813">
        <v>421</v>
      </c>
      <c r="B283" s="813" t="s">
        <v>365</v>
      </c>
      <c r="C283" s="813" t="s">
        <v>866</v>
      </c>
      <c r="D283" s="813" t="s">
        <v>16</v>
      </c>
      <c r="E283" s="813" t="s">
        <v>14</v>
      </c>
      <c r="F283" s="813" t="s">
        <v>869</v>
      </c>
      <c r="H283" s="819" t="s">
        <v>39</v>
      </c>
      <c r="I283" s="820" t="s">
        <v>20</v>
      </c>
      <c r="J283" s="820" t="s">
        <v>428</v>
      </c>
      <c r="L283" s="821">
        <v>24</v>
      </c>
      <c r="M283" s="637">
        <v>25</v>
      </c>
      <c r="N283" s="637">
        <v>25</v>
      </c>
      <c r="O283" s="821">
        <v>22</v>
      </c>
      <c r="P283" s="637">
        <v>23</v>
      </c>
      <c r="Q283" s="637">
        <v>23</v>
      </c>
      <c r="R283" s="806" t="s">
        <v>507</v>
      </c>
      <c r="T283" s="815" t="s">
        <v>172</v>
      </c>
      <c r="U283" s="900" t="s">
        <v>1220</v>
      </c>
      <c r="V283" s="731"/>
      <c r="W283" s="732"/>
    </row>
    <row r="284" spans="1:23" x14ac:dyDescent="0.25">
      <c r="A284" s="813">
        <v>422</v>
      </c>
      <c r="B284" s="813" t="s">
        <v>365</v>
      </c>
      <c r="C284" s="813" t="s">
        <v>866</v>
      </c>
      <c r="D284" s="813" t="s">
        <v>16</v>
      </c>
      <c r="E284" s="813" t="s">
        <v>14</v>
      </c>
      <c r="F284" s="813" t="s">
        <v>875</v>
      </c>
      <c r="H284" s="819" t="s">
        <v>39</v>
      </c>
      <c r="I284" s="820" t="s">
        <v>20</v>
      </c>
      <c r="J284" s="820" t="s">
        <v>428</v>
      </c>
      <c r="L284" s="821">
        <v>23</v>
      </c>
      <c r="M284" s="637">
        <v>38</v>
      </c>
      <c r="N284" s="637">
        <v>38</v>
      </c>
      <c r="O284" s="821">
        <v>23</v>
      </c>
      <c r="P284" s="637">
        <v>38</v>
      </c>
      <c r="Q284" s="637">
        <v>38</v>
      </c>
      <c r="R284" s="806" t="s">
        <v>507</v>
      </c>
      <c r="T284" s="815" t="s">
        <v>172</v>
      </c>
      <c r="U284" s="900" t="s">
        <v>1220</v>
      </c>
      <c r="V284" s="731"/>
      <c r="W284" s="732"/>
    </row>
    <row r="285" spans="1:23" x14ac:dyDescent="0.25">
      <c r="A285" s="813">
        <v>423</v>
      </c>
      <c r="B285" s="813" t="s">
        <v>365</v>
      </c>
      <c r="C285" s="813" t="s">
        <v>870</v>
      </c>
      <c r="D285" s="813" t="s">
        <v>13</v>
      </c>
      <c r="E285" s="813" t="s">
        <v>13</v>
      </c>
      <c r="F285" s="813" t="s">
        <v>871</v>
      </c>
      <c r="H285" s="819" t="s">
        <v>391</v>
      </c>
      <c r="I285" s="820" t="s">
        <v>20</v>
      </c>
      <c r="J285" s="820" t="s">
        <v>16</v>
      </c>
      <c r="K285" s="813" t="s">
        <v>13</v>
      </c>
      <c r="L285" s="821">
        <v>125</v>
      </c>
      <c r="M285" s="637">
        <v>17340</v>
      </c>
      <c r="N285" s="637">
        <v>106359.25</v>
      </c>
      <c r="O285" s="821">
        <v>121</v>
      </c>
      <c r="P285" s="637">
        <v>17193</v>
      </c>
      <c r="Q285" s="637">
        <v>105072.25</v>
      </c>
      <c r="R285" s="813" t="s">
        <v>172</v>
      </c>
      <c r="T285" s="815" t="s">
        <v>172</v>
      </c>
      <c r="U285" s="899" t="s">
        <v>1219</v>
      </c>
      <c r="V285" s="731"/>
      <c r="W285" s="732"/>
    </row>
    <row r="286" spans="1:23" x14ac:dyDescent="0.25">
      <c r="A286" s="813">
        <v>424</v>
      </c>
      <c r="B286" s="813" t="s">
        <v>365</v>
      </c>
      <c r="C286" s="813" t="s">
        <v>465</v>
      </c>
      <c r="D286" s="813" t="s">
        <v>13</v>
      </c>
      <c r="E286" s="813" t="s">
        <v>13</v>
      </c>
      <c r="F286" s="813" t="s">
        <v>872</v>
      </c>
      <c r="G286" s="813" t="s">
        <v>873</v>
      </c>
      <c r="H286" s="819" t="s">
        <v>391</v>
      </c>
      <c r="I286" s="820" t="s">
        <v>20</v>
      </c>
      <c r="J286" s="820" t="s">
        <v>16</v>
      </c>
      <c r="K286" s="813" t="s">
        <v>13</v>
      </c>
      <c r="L286" s="821">
        <v>31</v>
      </c>
      <c r="M286" s="637">
        <v>3196</v>
      </c>
      <c r="N286" s="637">
        <v>19007.5</v>
      </c>
      <c r="O286" s="821">
        <v>25</v>
      </c>
      <c r="P286" s="637">
        <v>3045</v>
      </c>
      <c r="Q286" s="637">
        <v>18336</v>
      </c>
      <c r="R286" s="813" t="s">
        <v>172</v>
      </c>
      <c r="T286" s="815" t="s">
        <v>172</v>
      </c>
      <c r="U286" s="899" t="s">
        <v>1219</v>
      </c>
      <c r="V286" s="731"/>
      <c r="W286" s="732"/>
    </row>
    <row r="287" spans="1:23" x14ac:dyDescent="0.25">
      <c r="A287" s="813">
        <v>425</v>
      </c>
      <c r="B287" s="813" t="s">
        <v>365</v>
      </c>
      <c r="C287" s="813" t="s">
        <v>465</v>
      </c>
      <c r="D287" s="813" t="s">
        <v>13</v>
      </c>
      <c r="E287" s="813" t="s">
        <v>13</v>
      </c>
      <c r="F287" s="813" t="s">
        <v>877</v>
      </c>
      <c r="H287" s="819" t="s">
        <v>391</v>
      </c>
      <c r="I287" s="820" t="s">
        <v>20</v>
      </c>
      <c r="J287" s="820" t="s">
        <v>16</v>
      </c>
      <c r="K287" s="813" t="s">
        <v>13</v>
      </c>
      <c r="L287" s="821">
        <v>73</v>
      </c>
      <c r="M287" s="637">
        <v>5108</v>
      </c>
      <c r="N287" s="637">
        <v>22542</v>
      </c>
      <c r="O287" s="821">
        <v>61</v>
      </c>
      <c r="P287" s="637">
        <v>4705</v>
      </c>
      <c r="Q287" s="637">
        <v>20781</v>
      </c>
      <c r="R287" s="813" t="s">
        <v>172</v>
      </c>
      <c r="T287" s="815" t="s">
        <v>172</v>
      </c>
      <c r="U287" s="899" t="s">
        <v>1219</v>
      </c>
      <c r="V287" s="731"/>
      <c r="W287" s="732"/>
    </row>
    <row r="288" spans="1:23" x14ac:dyDescent="0.25">
      <c r="A288" s="813">
        <v>426</v>
      </c>
      <c r="B288" s="813" t="s">
        <v>365</v>
      </c>
      <c r="C288" s="813" t="s">
        <v>465</v>
      </c>
      <c r="D288" s="813" t="s">
        <v>13</v>
      </c>
      <c r="E288" s="813" t="s">
        <v>13</v>
      </c>
      <c r="F288" s="813" t="s">
        <v>1014</v>
      </c>
      <c r="G288" s="813" t="s">
        <v>1015</v>
      </c>
      <c r="H288" s="819" t="s">
        <v>391</v>
      </c>
      <c r="I288" s="820" t="s">
        <v>20</v>
      </c>
      <c r="J288" s="820" t="s">
        <v>16</v>
      </c>
      <c r="K288" s="813" t="s">
        <v>13</v>
      </c>
      <c r="L288" s="821">
        <v>2</v>
      </c>
      <c r="M288" s="637">
        <v>46</v>
      </c>
      <c r="N288" s="637">
        <v>187.25</v>
      </c>
      <c r="O288" s="821">
        <v>2</v>
      </c>
      <c r="P288" s="637">
        <v>46</v>
      </c>
      <c r="Q288" s="637">
        <v>187.25</v>
      </c>
      <c r="R288" s="813" t="s">
        <v>172</v>
      </c>
      <c r="T288" s="815" t="s">
        <v>172</v>
      </c>
      <c r="U288" s="899" t="s">
        <v>1219</v>
      </c>
      <c r="V288" s="731"/>
      <c r="W288" s="732"/>
    </row>
    <row r="289" spans="1:23" x14ac:dyDescent="0.25">
      <c r="A289" s="813">
        <v>427</v>
      </c>
      <c r="B289" s="813" t="s">
        <v>365</v>
      </c>
      <c r="C289" s="813" t="s">
        <v>874</v>
      </c>
      <c r="D289" s="813" t="s">
        <v>434</v>
      </c>
      <c r="E289" s="813" t="s">
        <v>14</v>
      </c>
      <c r="F289" s="813" t="s">
        <v>889</v>
      </c>
      <c r="H289" s="819" t="s">
        <v>39</v>
      </c>
      <c r="I289" s="820" t="s">
        <v>20</v>
      </c>
      <c r="J289" s="820" t="s">
        <v>428</v>
      </c>
      <c r="L289" s="821">
        <v>4</v>
      </c>
      <c r="M289" s="637">
        <v>4</v>
      </c>
      <c r="N289" s="637">
        <v>4</v>
      </c>
      <c r="O289" s="821">
        <v>4</v>
      </c>
      <c r="P289" s="637">
        <v>4</v>
      </c>
      <c r="Q289" s="637">
        <v>4</v>
      </c>
      <c r="R289" s="806" t="s">
        <v>507</v>
      </c>
      <c r="T289" s="815" t="s">
        <v>172</v>
      </c>
      <c r="U289" s="900" t="s">
        <v>1220</v>
      </c>
      <c r="V289" s="731"/>
      <c r="W289" s="732"/>
    </row>
    <row r="290" spans="1:23" x14ac:dyDescent="0.25">
      <c r="A290" s="813">
        <v>428</v>
      </c>
      <c r="B290" s="813" t="s">
        <v>365</v>
      </c>
      <c r="C290" s="813" t="s">
        <v>874</v>
      </c>
      <c r="D290" s="813" t="s">
        <v>434</v>
      </c>
      <c r="E290" s="813" t="s">
        <v>14</v>
      </c>
      <c r="F290" s="813" t="s">
        <v>869</v>
      </c>
      <c r="H290" s="819" t="s">
        <v>39</v>
      </c>
      <c r="I290" s="820" t="s">
        <v>20</v>
      </c>
      <c r="J290" s="820" t="s">
        <v>428</v>
      </c>
      <c r="L290" s="821">
        <v>58</v>
      </c>
      <c r="M290" s="637">
        <v>58</v>
      </c>
      <c r="N290" s="637">
        <v>58</v>
      </c>
      <c r="O290" s="821">
        <v>55</v>
      </c>
      <c r="P290" s="637">
        <v>55</v>
      </c>
      <c r="Q290" s="637">
        <v>55</v>
      </c>
      <c r="R290" s="806" t="s">
        <v>507</v>
      </c>
      <c r="T290" s="815" t="s">
        <v>172</v>
      </c>
      <c r="U290" s="900" t="s">
        <v>1220</v>
      </c>
      <c r="V290" s="731"/>
      <c r="W290" s="732"/>
    </row>
    <row r="291" spans="1:23" x14ac:dyDescent="0.25">
      <c r="A291" s="813">
        <v>429</v>
      </c>
      <c r="B291" s="813" t="s">
        <v>365</v>
      </c>
      <c r="C291" s="813" t="s">
        <v>874</v>
      </c>
      <c r="D291" s="813" t="s">
        <v>434</v>
      </c>
      <c r="E291" s="813" t="s">
        <v>14</v>
      </c>
      <c r="F291" s="813" t="s">
        <v>890</v>
      </c>
      <c r="G291" s="813" t="s">
        <v>891</v>
      </c>
      <c r="H291" s="819" t="s">
        <v>39</v>
      </c>
      <c r="I291" s="820" t="s">
        <v>20</v>
      </c>
      <c r="J291" s="820" t="s">
        <v>428</v>
      </c>
      <c r="L291" s="821">
        <v>38</v>
      </c>
      <c r="M291" s="637">
        <v>38</v>
      </c>
      <c r="N291" s="637">
        <v>38</v>
      </c>
      <c r="O291" s="821">
        <v>34</v>
      </c>
      <c r="P291" s="637">
        <v>34</v>
      </c>
      <c r="Q291" s="637">
        <v>34</v>
      </c>
      <c r="R291" s="813" t="s">
        <v>529</v>
      </c>
      <c r="T291" s="815" t="s">
        <v>172</v>
      </c>
      <c r="U291" s="900" t="s">
        <v>1220</v>
      </c>
      <c r="V291" s="731"/>
      <c r="W291" s="732"/>
    </row>
    <row r="292" spans="1:23" x14ac:dyDescent="0.25">
      <c r="A292" s="813">
        <v>430</v>
      </c>
      <c r="B292" s="813" t="s">
        <v>365</v>
      </c>
      <c r="C292" s="813" t="s">
        <v>874</v>
      </c>
      <c r="D292" s="813" t="s">
        <v>434</v>
      </c>
      <c r="E292" s="813" t="s">
        <v>14</v>
      </c>
      <c r="F292" s="813" t="s">
        <v>875</v>
      </c>
      <c r="H292" s="819" t="s">
        <v>39</v>
      </c>
      <c r="I292" s="820" t="s">
        <v>20</v>
      </c>
      <c r="J292" s="820" t="s">
        <v>428</v>
      </c>
      <c r="L292" s="821">
        <v>69</v>
      </c>
      <c r="M292" s="637">
        <v>95</v>
      </c>
      <c r="N292" s="637">
        <v>95</v>
      </c>
      <c r="O292" s="821">
        <v>67</v>
      </c>
      <c r="P292" s="637">
        <v>93</v>
      </c>
      <c r="Q292" s="637">
        <v>93</v>
      </c>
      <c r="R292" s="806" t="s">
        <v>507</v>
      </c>
      <c r="T292" s="815" t="s">
        <v>172</v>
      </c>
      <c r="U292" s="900" t="s">
        <v>1220</v>
      </c>
      <c r="V292" s="731"/>
      <c r="W292" s="732"/>
    </row>
    <row r="293" spans="1:23" x14ac:dyDescent="0.25">
      <c r="A293" s="813">
        <v>431</v>
      </c>
      <c r="B293" s="813" t="s">
        <v>365</v>
      </c>
      <c r="C293" s="813" t="s">
        <v>874</v>
      </c>
      <c r="D293" s="813" t="s">
        <v>434</v>
      </c>
      <c r="E293" s="813" t="s">
        <v>14</v>
      </c>
      <c r="F293" s="813" t="s">
        <v>892</v>
      </c>
      <c r="G293" s="813" t="s">
        <v>893</v>
      </c>
      <c r="H293" s="819" t="s">
        <v>34</v>
      </c>
      <c r="I293" s="820" t="s">
        <v>20</v>
      </c>
      <c r="J293" s="820" t="s">
        <v>428</v>
      </c>
      <c r="L293" s="821">
        <v>3</v>
      </c>
      <c r="M293" s="637">
        <v>59</v>
      </c>
      <c r="N293" s="637">
        <v>231.75</v>
      </c>
      <c r="O293" s="821">
        <v>3</v>
      </c>
      <c r="P293" s="637">
        <v>59</v>
      </c>
      <c r="Q293" s="637">
        <v>231.75</v>
      </c>
      <c r="R293" s="813" t="s">
        <v>172</v>
      </c>
      <c r="T293" s="815" t="s">
        <v>172</v>
      </c>
      <c r="U293" s="900" t="s">
        <v>1220</v>
      </c>
      <c r="V293" s="731"/>
      <c r="W293" s="732"/>
    </row>
    <row r="294" spans="1:23" x14ac:dyDescent="0.25">
      <c r="A294" s="813">
        <v>432</v>
      </c>
      <c r="B294" s="813" t="s">
        <v>365</v>
      </c>
      <c r="C294" s="813" t="s">
        <v>874</v>
      </c>
      <c r="D294" s="813" t="s">
        <v>434</v>
      </c>
      <c r="E294" s="813" t="s">
        <v>14</v>
      </c>
      <c r="F294" s="813" t="s">
        <v>868</v>
      </c>
      <c r="G294" s="813" t="s">
        <v>868</v>
      </c>
      <c r="H294" s="819" t="s">
        <v>35</v>
      </c>
      <c r="I294" s="820" t="s">
        <v>20</v>
      </c>
      <c r="J294" s="820" t="s">
        <v>428</v>
      </c>
      <c r="L294" s="821">
        <v>143</v>
      </c>
      <c r="M294" s="637">
        <v>16920</v>
      </c>
      <c r="N294" s="637">
        <v>90925.5</v>
      </c>
      <c r="O294" s="821">
        <v>134</v>
      </c>
      <c r="P294" s="637">
        <v>16453</v>
      </c>
      <c r="Q294" s="637">
        <v>87911</v>
      </c>
      <c r="R294" s="813" t="s">
        <v>172</v>
      </c>
      <c r="T294" s="815" t="s">
        <v>172</v>
      </c>
      <c r="U294" s="900" t="s">
        <v>1220</v>
      </c>
      <c r="V294" s="731"/>
      <c r="W294" s="732"/>
    </row>
    <row r="295" spans="1:23" x14ac:dyDescent="0.25">
      <c r="A295" s="813">
        <v>433</v>
      </c>
      <c r="B295" s="813" t="s">
        <v>365</v>
      </c>
      <c r="C295" s="813" t="s">
        <v>874</v>
      </c>
      <c r="D295" s="813" t="s">
        <v>434</v>
      </c>
      <c r="E295" s="813" t="s">
        <v>14</v>
      </c>
      <c r="F295" s="813" t="s">
        <v>933</v>
      </c>
      <c r="G295" s="813" t="s">
        <v>933</v>
      </c>
      <c r="H295" s="819" t="s">
        <v>37</v>
      </c>
      <c r="I295" s="820" t="s">
        <v>20</v>
      </c>
      <c r="J295" s="820" t="s">
        <v>428</v>
      </c>
      <c r="L295" s="821">
        <v>4</v>
      </c>
      <c r="M295" s="637">
        <v>490</v>
      </c>
      <c r="N295" s="637">
        <v>6370</v>
      </c>
      <c r="O295" s="821">
        <v>4</v>
      </c>
      <c r="P295" s="637">
        <v>490</v>
      </c>
      <c r="Q295" s="637">
        <v>6370</v>
      </c>
      <c r="R295" s="813" t="s">
        <v>172</v>
      </c>
      <c r="T295" s="815">
        <v>13</v>
      </c>
      <c r="U295" s="900" t="s">
        <v>1220</v>
      </c>
      <c r="V295" s="731"/>
      <c r="W295" s="732"/>
    </row>
    <row r="296" spans="1:23" x14ac:dyDescent="0.25">
      <c r="A296" s="813">
        <v>438</v>
      </c>
      <c r="B296" s="813" t="s">
        <v>365</v>
      </c>
      <c r="C296" s="813" t="s">
        <v>876</v>
      </c>
      <c r="D296" s="813" t="s">
        <v>434</v>
      </c>
      <c r="E296" s="813" t="s">
        <v>15</v>
      </c>
      <c r="F296" s="813" t="s">
        <v>863</v>
      </c>
      <c r="G296" s="813" t="s">
        <v>863</v>
      </c>
      <c r="H296" s="819" t="s">
        <v>18</v>
      </c>
      <c r="I296" s="820" t="s">
        <v>15</v>
      </c>
      <c r="J296" s="820" t="s">
        <v>421</v>
      </c>
      <c r="L296" s="821">
        <v>116</v>
      </c>
      <c r="M296" s="637">
        <v>13281</v>
      </c>
      <c r="N296" s="637">
        <v>73517</v>
      </c>
      <c r="O296" s="821">
        <v>109</v>
      </c>
      <c r="P296" s="637">
        <v>12958</v>
      </c>
      <c r="Q296" s="637">
        <v>70960</v>
      </c>
      <c r="R296" s="813" t="s">
        <v>172</v>
      </c>
      <c r="T296" s="815" t="s">
        <v>172</v>
      </c>
      <c r="U296" s="900" t="s">
        <v>1220</v>
      </c>
      <c r="V296" s="731"/>
      <c r="W296" s="732"/>
    </row>
    <row r="297" spans="1:23" x14ac:dyDescent="0.25">
      <c r="A297" s="813">
        <v>439</v>
      </c>
      <c r="B297" s="813" t="s">
        <v>365</v>
      </c>
      <c r="C297" s="813" t="s">
        <v>876</v>
      </c>
      <c r="D297" s="813" t="s">
        <v>434</v>
      </c>
      <c r="E297" s="813" t="s">
        <v>15</v>
      </c>
      <c r="F297" s="813" t="s">
        <v>957</v>
      </c>
      <c r="G297" s="813" t="s">
        <v>957</v>
      </c>
      <c r="H297" s="819" t="s">
        <v>44</v>
      </c>
      <c r="I297" s="820" t="s">
        <v>15</v>
      </c>
      <c r="J297" s="820" t="s">
        <v>421</v>
      </c>
      <c r="L297" s="821">
        <v>2</v>
      </c>
      <c r="M297" s="637">
        <v>496</v>
      </c>
      <c r="N297" s="637">
        <v>3458.75</v>
      </c>
      <c r="O297" s="821">
        <v>2</v>
      </c>
      <c r="P297" s="637">
        <v>496</v>
      </c>
      <c r="Q297" s="637">
        <v>3458.75</v>
      </c>
      <c r="R297" s="813" t="s">
        <v>172</v>
      </c>
      <c r="T297" s="815" t="s">
        <v>172</v>
      </c>
      <c r="U297" s="900" t="s">
        <v>1220</v>
      </c>
      <c r="V297" s="731"/>
      <c r="W297" s="732"/>
    </row>
    <row r="298" spans="1:23" x14ac:dyDescent="0.25">
      <c r="A298" s="813">
        <v>440</v>
      </c>
      <c r="B298" s="813" t="s">
        <v>365</v>
      </c>
      <c r="C298" s="813" t="s">
        <v>894</v>
      </c>
      <c r="D298" s="813" t="s">
        <v>14</v>
      </c>
      <c r="E298" s="813" t="s">
        <v>14</v>
      </c>
      <c r="F298" s="813" t="s">
        <v>885</v>
      </c>
      <c r="G298" s="813" t="s">
        <v>868</v>
      </c>
      <c r="H298" s="819" t="s">
        <v>35</v>
      </c>
      <c r="I298" s="820" t="s">
        <v>20</v>
      </c>
      <c r="J298" s="820" t="s">
        <v>428</v>
      </c>
      <c r="L298" s="821">
        <v>1</v>
      </c>
      <c r="M298" s="637">
        <v>2</v>
      </c>
      <c r="N298" s="637">
        <v>2</v>
      </c>
      <c r="O298" s="821">
        <v>1</v>
      </c>
      <c r="P298" s="637">
        <v>2</v>
      </c>
      <c r="Q298" s="637">
        <v>2</v>
      </c>
      <c r="R298" s="813" t="s">
        <v>172</v>
      </c>
      <c r="T298" s="815" t="s">
        <v>172</v>
      </c>
      <c r="U298" s="900" t="s">
        <v>1220</v>
      </c>
      <c r="V298" s="731"/>
      <c r="W298" s="732"/>
    </row>
    <row r="299" spans="1:23" x14ac:dyDescent="0.25">
      <c r="A299" s="813">
        <v>441</v>
      </c>
      <c r="B299" s="813" t="s">
        <v>365</v>
      </c>
      <c r="C299" s="813" t="s">
        <v>894</v>
      </c>
      <c r="D299" s="813" t="s">
        <v>14</v>
      </c>
      <c r="E299" s="813" t="s">
        <v>14</v>
      </c>
      <c r="F299" s="813" t="s">
        <v>869</v>
      </c>
      <c r="G299" s="813" t="s">
        <v>895</v>
      </c>
      <c r="H299" s="819" t="s">
        <v>39</v>
      </c>
      <c r="I299" s="820" t="s">
        <v>20</v>
      </c>
      <c r="J299" s="820" t="s">
        <v>428</v>
      </c>
      <c r="L299" s="821">
        <v>12</v>
      </c>
      <c r="M299" s="637">
        <v>12</v>
      </c>
      <c r="N299" s="637">
        <v>12</v>
      </c>
      <c r="O299" s="821">
        <v>12</v>
      </c>
      <c r="P299" s="637">
        <v>12</v>
      </c>
      <c r="Q299" s="637">
        <v>12</v>
      </c>
      <c r="R299" s="806" t="s">
        <v>507</v>
      </c>
      <c r="T299" s="815" t="s">
        <v>172</v>
      </c>
      <c r="U299" s="900" t="s">
        <v>1220</v>
      </c>
      <c r="V299" s="731"/>
      <c r="W299" s="732"/>
    </row>
    <row r="300" spans="1:23" x14ac:dyDescent="0.25">
      <c r="A300" s="813">
        <v>442</v>
      </c>
      <c r="B300" s="813" t="s">
        <v>365</v>
      </c>
      <c r="C300" s="813" t="s">
        <v>894</v>
      </c>
      <c r="D300" s="813" t="s">
        <v>14</v>
      </c>
      <c r="E300" s="813" t="s">
        <v>14</v>
      </c>
      <c r="F300" s="813" t="s">
        <v>896</v>
      </c>
      <c r="G300" s="813" t="s">
        <v>895</v>
      </c>
      <c r="H300" s="819" t="s">
        <v>39</v>
      </c>
      <c r="I300" s="820" t="s">
        <v>20</v>
      </c>
      <c r="J300" s="820" t="s">
        <v>428</v>
      </c>
      <c r="L300" s="821">
        <v>4</v>
      </c>
      <c r="M300" s="637">
        <v>4</v>
      </c>
      <c r="N300" s="637">
        <v>4</v>
      </c>
      <c r="O300" s="821">
        <v>4</v>
      </c>
      <c r="P300" s="637">
        <v>4</v>
      </c>
      <c r="Q300" s="637">
        <v>4</v>
      </c>
      <c r="R300" s="813" t="s">
        <v>529</v>
      </c>
      <c r="T300" s="815" t="s">
        <v>172</v>
      </c>
      <c r="U300" s="900" t="s">
        <v>1220</v>
      </c>
      <c r="V300" s="731"/>
      <c r="W300" s="732"/>
    </row>
    <row r="301" spans="1:23" x14ac:dyDescent="0.25">
      <c r="A301" s="813">
        <v>443</v>
      </c>
      <c r="B301" s="813" t="s">
        <v>365</v>
      </c>
      <c r="C301" s="813" t="s">
        <v>894</v>
      </c>
      <c r="D301" s="813" t="s">
        <v>14</v>
      </c>
      <c r="E301" s="813" t="s">
        <v>14</v>
      </c>
      <c r="F301" s="813" t="s">
        <v>875</v>
      </c>
      <c r="H301" s="819" t="s">
        <v>39</v>
      </c>
      <c r="I301" s="820" t="s">
        <v>20</v>
      </c>
      <c r="J301" s="820" t="s">
        <v>428</v>
      </c>
      <c r="L301" s="821">
        <v>2</v>
      </c>
      <c r="M301" s="637">
        <v>2</v>
      </c>
      <c r="N301" s="637">
        <v>2</v>
      </c>
      <c r="O301" s="821">
        <v>2</v>
      </c>
      <c r="P301" s="637">
        <v>2</v>
      </c>
      <c r="Q301" s="637">
        <v>2</v>
      </c>
      <c r="R301" s="806" t="s">
        <v>507</v>
      </c>
      <c r="T301" s="815" t="s">
        <v>172</v>
      </c>
      <c r="U301" s="900" t="s">
        <v>1220</v>
      </c>
      <c r="V301" s="731"/>
      <c r="W301" s="732"/>
    </row>
    <row r="302" spans="1:23" x14ac:dyDescent="0.25">
      <c r="A302" s="813">
        <v>444</v>
      </c>
      <c r="B302" s="813" t="s">
        <v>1016</v>
      </c>
      <c r="C302" s="813" t="s">
        <v>459</v>
      </c>
      <c r="D302" s="813" t="s">
        <v>13</v>
      </c>
      <c r="E302" s="813" t="s">
        <v>13</v>
      </c>
      <c r="F302" s="813" t="s">
        <v>877</v>
      </c>
      <c r="H302" s="819" t="s">
        <v>391</v>
      </c>
      <c r="I302" s="820" t="s">
        <v>20</v>
      </c>
      <c r="J302" s="820" t="s">
        <v>16</v>
      </c>
      <c r="K302" s="813" t="s">
        <v>13</v>
      </c>
      <c r="L302" s="821">
        <v>24</v>
      </c>
      <c r="M302" s="637">
        <v>865</v>
      </c>
      <c r="N302" s="637">
        <v>4049</v>
      </c>
      <c r="O302" s="821">
        <v>13</v>
      </c>
      <c r="P302" s="637">
        <v>656</v>
      </c>
      <c r="Q302" s="637">
        <v>3183</v>
      </c>
      <c r="R302" s="813" t="s">
        <v>172</v>
      </c>
      <c r="T302" s="815" t="s">
        <v>172</v>
      </c>
      <c r="U302" s="899" t="s">
        <v>1219</v>
      </c>
      <c r="V302" s="731"/>
      <c r="W302" s="732"/>
    </row>
    <row r="303" spans="1:23" x14ac:dyDescent="0.25">
      <c r="A303" s="813">
        <v>445</v>
      </c>
      <c r="B303" s="813" t="s">
        <v>365</v>
      </c>
      <c r="C303" s="813" t="s">
        <v>459</v>
      </c>
      <c r="D303" s="813" t="s">
        <v>13</v>
      </c>
      <c r="E303" s="813" t="s">
        <v>13</v>
      </c>
      <c r="F303" s="813" t="s">
        <v>1017</v>
      </c>
      <c r="H303" s="819" t="s">
        <v>391</v>
      </c>
      <c r="I303" s="820" t="s">
        <v>20</v>
      </c>
      <c r="J303" s="820" t="s">
        <v>16</v>
      </c>
      <c r="K303" s="813" t="s">
        <v>13</v>
      </c>
      <c r="L303" s="821">
        <v>3</v>
      </c>
      <c r="M303" s="637">
        <v>27</v>
      </c>
      <c r="N303" s="637">
        <v>104</v>
      </c>
      <c r="O303" s="821">
        <v>3</v>
      </c>
      <c r="P303" s="637">
        <v>27</v>
      </c>
      <c r="Q303" s="637">
        <v>104</v>
      </c>
      <c r="R303" s="813" t="s">
        <v>172</v>
      </c>
      <c r="T303" s="815" t="s">
        <v>172</v>
      </c>
      <c r="U303" s="899" t="s">
        <v>1219</v>
      </c>
      <c r="V303" s="731"/>
      <c r="W303" s="732"/>
    </row>
    <row r="304" spans="1:23" x14ac:dyDescent="0.25">
      <c r="A304" s="813">
        <v>448</v>
      </c>
      <c r="B304" s="813" t="s">
        <v>365</v>
      </c>
      <c r="C304" s="813" t="s">
        <v>935</v>
      </c>
      <c r="D304" s="813" t="s">
        <v>495</v>
      </c>
      <c r="E304" s="813" t="s">
        <v>15</v>
      </c>
      <c r="F304" s="813" t="s">
        <v>936</v>
      </c>
      <c r="G304" s="813" t="s">
        <v>863</v>
      </c>
      <c r="H304" s="819" t="s">
        <v>18</v>
      </c>
      <c r="I304" s="820" t="s">
        <v>15</v>
      </c>
      <c r="J304" s="820" t="s">
        <v>421</v>
      </c>
      <c r="L304" s="821">
        <v>4</v>
      </c>
      <c r="M304" s="637">
        <v>505</v>
      </c>
      <c r="N304" s="637">
        <v>3657.75</v>
      </c>
      <c r="O304" s="821">
        <v>4</v>
      </c>
      <c r="P304" s="637">
        <v>505</v>
      </c>
      <c r="Q304" s="637">
        <v>3657.75</v>
      </c>
      <c r="R304" s="813" t="s">
        <v>172</v>
      </c>
      <c r="T304" s="815" t="s">
        <v>172</v>
      </c>
      <c r="U304" s="900" t="s">
        <v>1220</v>
      </c>
      <c r="V304" s="731"/>
      <c r="W304" s="732"/>
    </row>
    <row r="305" spans="1:23" x14ac:dyDescent="0.25">
      <c r="A305" s="813">
        <v>451</v>
      </c>
      <c r="B305" s="813" t="s">
        <v>365</v>
      </c>
      <c r="C305" s="813" t="s">
        <v>937</v>
      </c>
      <c r="D305" s="813" t="s">
        <v>14</v>
      </c>
      <c r="E305" s="813" t="s">
        <v>14</v>
      </c>
      <c r="F305" s="813" t="s">
        <v>885</v>
      </c>
      <c r="G305" s="813" t="s">
        <v>868</v>
      </c>
      <c r="H305" s="819" t="s">
        <v>35</v>
      </c>
      <c r="I305" s="820" t="s">
        <v>20</v>
      </c>
      <c r="J305" s="820" t="s">
        <v>428</v>
      </c>
      <c r="L305" s="821">
        <v>7</v>
      </c>
      <c r="M305" s="637">
        <v>743</v>
      </c>
      <c r="N305" s="637">
        <v>4336.5</v>
      </c>
      <c r="O305" s="821">
        <v>6</v>
      </c>
      <c r="P305" s="637">
        <v>614</v>
      </c>
      <c r="Q305" s="637">
        <v>3208.75</v>
      </c>
      <c r="R305" s="813" t="s">
        <v>172</v>
      </c>
      <c r="T305" s="815" t="s">
        <v>172</v>
      </c>
      <c r="U305" s="900" t="s">
        <v>1220</v>
      </c>
      <c r="V305" s="731"/>
      <c r="W305" s="732"/>
    </row>
    <row r="306" spans="1:23" x14ac:dyDescent="0.25">
      <c r="A306" s="813">
        <v>452</v>
      </c>
      <c r="B306" s="813" t="s">
        <v>365</v>
      </c>
      <c r="C306" s="813" t="s">
        <v>937</v>
      </c>
      <c r="D306" s="813" t="s">
        <v>14</v>
      </c>
      <c r="E306" s="813" t="s">
        <v>14</v>
      </c>
      <c r="F306" s="813" t="s">
        <v>932</v>
      </c>
      <c r="G306" s="813" t="s">
        <v>933</v>
      </c>
      <c r="H306" s="819" t="s">
        <v>37</v>
      </c>
      <c r="I306" s="820" t="s">
        <v>20</v>
      </c>
      <c r="J306" s="820" t="s">
        <v>428</v>
      </c>
      <c r="L306" s="821">
        <v>1</v>
      </c>
      <c r="M306" s="637">
        <v>7</v>
      </c>
      <c r="N306" s="637">
        <v>91</v>
      </c>
      <c r="O306" s="821">
        <v>1</v>
      </c>
      <c r="P306" s="637">
        <v>7</v>
      </c>
      <c r="Q306" s="637">
        <v>91</v>
      </c>
      <c r="R306" s="813" t="s">
        <v>172</v>
      </c>
      <c r="T306" s="815">
        <v>13</v>
      </c>
      <c r="U306" s="900" t="s">
        <v>1220</v>
      </c>
      <c r="V306" s="731"/>
      <c r="W306" s="732"/>
    </row>
    <row r="307" spans="1:23" x14ac:dyDescent="0.25">
      <c r="A307" s="813">
        <v>453</v>
      </c>
      <c r="B307" s="813" t="s">
        <v>365</v>
      </c>
      <c r="C307" s="813" t="s">
        <v>937</v>
      </c>
      <c r="D307" s="813" t="s">
        <v>14</v>
      </c>
      <c r="E307" s="813" t="s">
        <v>14</v>
      </c>
      <c r="F307" s="813" t="s">
        <v>869</v>
      </c>
      <c r="H307" s="819" t="s">
        <v>39</v>
      </c>
      <c r="I307" s="820" t="s">
        <v>20</v>
      </c>
      <c r="J307" s="820" t="s">
        <v>428</v>
      </c>
      <c r="L307" s="821">
        <v>5</v>
      </c>
      <c r="M307" s="637">
        <v>5</v>
      </c>
      <c r="N307" s="637">
        <v>5</v>
      </c>
      <c r="O307" s="821">
        <v>4</v>
      </c>
      <c r="P307" s="637">
        <v>4</v>
      </c>
      <c r="Q307" s="637">
        <v>4</v>
      </c>
      <c r="R307" s="806" t="s">
        <v>507</v>
      </c>
      <c r="T307" s="815" t="s">
        <v>172</v>
      </c>
      <c r="U307" s="900" t="s">
        <v>1220</v>
      </c>
      <c r="V307" s="731"/>
      <c r="W307" s="732"/>
    </row>
    <row r="308" spans="1:23" x14ac:dyDescent="0.25">
      <c r="A308" s="813">
        <v>454</v>
      </c>
      <c r="B308" s="813" t="s">
        <v>365</v>
      </c>
      <c r="C308" s="813" t="s">
        <v>937</v>
      </c>
      <c r="D308" s="813" t="s">
        <v>14</v>
      </c>
      <c r="E308" s="813" t="s">
        <v>14</v>
      </c>
      <c r="F308" s="813" t="s">
        <v>875</v>
      </c>
      <c r="H308" s="819" t="s">
        <v>39</v>
      </c>
      <c r="I308" s="820" t="s">
        <v>20</v>
      </c>
      <c r="J308" s="820" t="s">
        <v>428</v>
      </c>
      <c r="L308" s="821">
        <v>2</v>
      </c>
      <c r="M308" s="637">
        <v>2</v>
      </c>
      <c r="N308" s="637">
        <v>2</v>
      </c>
      <c r="O308" s="821">
        <v>1</v>
      </c>
      <c r="P308" s="637">
        <v>1</v>
      </c>
      <c r="Q308" s="637">
        <v>1</v>
      </c>
      <c r="R308" s="806" t="s">
        <v>507</v>
      </c>
      <c r="T308" s="815" t="s">
        <v>172</v>
      </c>
      <c r="U308" s="900" t="s">
        <v>1220</v>
      </c>
      <c r="V308" s="731"/>
      <c r="W308" s="732"/>
    </row>
    <row r="309" spans="1:23" x14ac:dyDescent="0.25">
      <c r="A309" s="813">
        <v>457</v>
      </c>
      <c r="B309" s="813" t="s">
        <v>365</v>
      </c>
      <c r="C309" s="813" t="s">
        <v>938</v>
      </c>
      <c r="D309" s="813" t="s">
        <v>495</v>
      </c>
      <c r="E309" s="813" t="s">
        <v>15</v>
      </c>
      <c r="F309" s="813" t="s">
        <v>939</v>
      </c>
      <c r="G309" s="813" t="s">
        <v>863</v>
      </c>
      <c r="H309" s="819" t="s">
        <v>18</v>
      </c>
      <c r="I309" s="820" t="s">
        <v>15</v>
      </c>
      <c r="J309" s="820" t="s">
        <v>421</v>
      </c>
      <c r="L309" s="821">
        <v>13</v>
      </c>
      <c r="M309" s="637">
        <v>2460</v>
      </c>
      <c r="N309" s="637">
        <v>13339.25</v>
      </c>
      <c r="O309" s="821">
        <v>13</v>
      </c>
      <c r="P309" s="637">
        <v>2460</v>
      </c>
      <c r="Q309" s="637">
        <v>13339.25</v>
      </c>
      <c r="R309" s="813" t="s">
        <v>172</v>
      </c>
      <c r="T309" s="815" t="s">
        <v>172</v>
      </c>
      <c r="U309" s="900" t="s">
        <v>1220</v>
      </c>
      <c r="V309" s="731"/>
      <c r="W309" s="732"/>
    </row>
    <row r="310" spans="1:23" x14ac:dyDescent="0.25">
      <c r="A310" s="813">
        <v>460</v>
      </c>
      <c r="B310" s="813" t="s">
        <v>365</v>
      </c>
      <c r="C310" s="813" t="s">
        <v>940</v>
      </c>
      <c r="D310" s="813" t="s">
        <v>495</v>
      </c>
      <c r="E310" s="813" t="s">
        <v>14</v>
      </c>
      <c r="F310" s="813" t="s">
        <v>885</v>
      </c>
      <c r="G310" s="813" t="s">
        <v>868</v>
      </c>
      <c r="H310" s="819" t="s">
        <v>35</v>
      </c>
      <c r="I310" s="820" t="s">
        <v>20</v>
      </c>
      <c r="J310" s="820" t="s">
        <v>428</v>
      </c>
      <c r="L310" s="821">
        <v>7</v>
      </c>
      <c r="M310" s="637">
        <v>1396</v>
      </c>
      <c r="N310" s="637">
        <v>8367.25</v>
      </c>
      <c r="O310" s="821">
        <v>6</v>
      </c>
      <c r="P310" s="637">
        <v>1289</v>
      </c>
      <c r="Q310" s="637">
        <v>7621</v>
      </c>
      <c r="R310" s="813" t="s">
        <v>172</v>
      </c>
      <c r="T310" s="815" t="s">
        <v>172</v>
      </c>
      <c r="U310" s="900" t="s">
        <v>1220</v>
      </c>
      <c r="V310" s="731"/>
      <c r="W310" s="732"/>
    </row>
    <row r="311" spans="1:23" x14ac:dyDescent="0.25">
      <c r="A311" s="813">
        <v>461</v>
      </c>
      <c r="B311" s="813" t="s">
        <v>365</v>
      </c>
      <c r="C311" s="813" t="s">
        <v>940</v>
      </c>
      <c r="D311" s="813" t="s">
        <v>495</v>
      </c>
      <c r="E311" s="813" t="s">
        <v>14</v>
      </c>
      <c r="F311" s="813" t="s">
        <v>889</v>
      </c>
      <c r="H311" s="819" t="s">
        <v>39</v>
      </c>
      <c r="I311" s="820" t="s">
        <v>20</v>
      </c>
      <c r="J311" s="820" t="s">
        <v>428</v>
      </c>
      <c r="L311" s="821">
        <v>1</v>
      </c>
      <c r="M311" s="637">
        <v>1</v>
      </c>
      <c r="N311" s="637">
        <v>1</v>
      </c>
      <c r="O311" s="821">
        <v>0</v>
      </c>
      <c r="P311" s="637">
        <v>0</v>
      </c>
      <c r="Q311" s="637">
        <v>0</v>
      </c>
      <c r="R311" s="806" t="s">
        <v>507</v>
      </c>
      <c r="T311" s="815" t="s">
        <v>172</v>
      </c>
      <c r="U311" s="900" t="s">
        <v>1220</v>
      </c>
      <c r="V311" s="731"/>
      <c r="W311" s="732"/>
    </row>
    <row r="312" spans="1:23" x14ac:dyDescent="0.25">
      <c r="A312" s="813">
        <v>462</v>
      </c>
      <c r="B312" s="813" t="s">
        <v>365</v>
      </c>
      <c r="C312" s="813" t="s">
        <v>940</v>
      </c>
      <c r="D312" s="813" t="s">
        <v>495</v>
      </c>
      <c r="E312" s="813" t="s">
        <v>14</v>
      </c>
      <c r="F312" s="813" t="s">
        <v>869</v>
      </c>
      <c r="H312" s="819" t="s">
        <v>39</v>
      </c>
      <c r="I312" s="820" t="s">
        <v>20</v>
      </c>
      <c r="J312" s="820" t="s">
        <v>428</v>
      </c>
      <c r="L312" s="821">
        <v>3</v>
      </c>
      <c r="M312" s="637">
        <v>3</v>
      </c>
      <c r="N312" s="637">
        <v>3</v>
      </c>
      <c r="O312" s="821">
        <v>2</v>
      </c>
      <c r="P312" s="637">
        <v>2</v>
      </c>
      <c r="Q312" s="637">
        <v>2</v>
      </c>
      <c r="R312" s="806" t="s">
        <v>507</v>
      </c>
      <c r="T312" s="815" t="s">
        <v>172</v>
      </c>
      <c r="U312" s="900" t="s">
        <v>1220</v>
      </c>
      <c r="V312" s="731"/>
      <c r="W312" s="732"/>
    </row>
    <row r="313" spans="1:23" x14ac:dyDescent="0.25">
      <c r="A313" s="813">
        <v>463</v>
      </c>
      <c r="B313" s="813" t="s">
        <v>365</v>
      </c>
      <c r="C313" s="813" t="s">
        <v>940</v>
      </c>
      <c r="D313" s="813" t="s">
        <v>495</v>
      </c>
      <c r="E313" s="813" t="s">
        <v>14</v>
      </c>
      <c r="F313" s="813" t="s">
        <v>875</v>
      </c>
      <c r="H313" s="819" t="s">
        <v>39</v>
      </c>
      <c r="I313" s="820" t="s">
        <v>20</v>
      </c>
      <c r="J313" s="820" t="s">
        <v>428</v>
      </c>
      <c r="L313" s="821">
        <v>4</v>
      </c>
      <c r="M313" s="637">
        <v>8</v>
      </c>
      <c r="N313" s="637">
        <v>8</v>
      </c>
      <c r="O313" s="821">
        <v>4</v>
      </c>
      <c r="P313" s="637">
        <v>8</v>
      </c>
      <c r="Q313" s="637">
        <v>8</v>
      </c>
      <c r="R313" s="806" t="s">
        <v>507</v>
      </c>
      <c r="T313" s="815" t="s">
        <v>172</v>
      </c>
      <c r="U313" s="900" t="s">
        <v>1220</v>
      </c>
      <c r="V313" s="731"/>
      <c r="W313" s="732"/>
    </row>
    <row r="314" spans="1:23" x14ac:dyDescent="0.25">
      <c r="A314" s="813">
        <v>465</v>
      </c>
      <c r="B314" s="813" t="s">
        <v>365</v>
      </c>
      <c r="C314" s="813" t="s">
        <v>941</v>
      </c>
      <c r="D314" s="813" t="s">
        <v>13</v>
      </c>
      <c r="E314" s="813" t="s">
        <v>14</v>
      </c>
      <c r="F314" s="813" t="s">
        <v>889</v>
      </c>
      <c r="H314" s="819" t="s">
        <v>39</v>
      </c>
      <c r="I314" s="820" t="s">
        <v>20</v>
      </c>
      <c r="J314" s="820" t="s">
        <v>428</v>
      </c>
      <c r="L314" s="821">
        <v>3</v>
      </c>
      <c r="M314" s="637">
        <v>3</v>
      </c>
      <c r="N314" s="637">
        <v>3</v>
      </c>
      <c r="O314" s="821">
        <v>3</v>
      </c>
      <c r="P314" s="637">
        <v>3</v>
      </c>
      <c r="Q314" s="637">
        <v>3</v>
      </c>
      <c r="R314" s="806" t="s">
        <v>507</v>
      </c>
      <c r="T314" s="815" t="s">
        <v>172</v>
      </c>
      <c r="U314" s="900" t="s">
        <v>1220</v>
      </c>
      <c r="V314" s="731"/>
      <c r="W314" s="732"/>
    </row>
    <row r="315" spans="1:23" x14ac:dyDescent="0.25">
      <c r="A315" s="813">
        <v>466</v>
      </c>
      <c r="B315" s="813" t="s">
        <v>365</v>
      </c>
      <c r="C315" s="813" t="s">
        <v>941</v>
      </c>
      <c r="D315" s="813" t="s">
        <v>13</v>
      </c>
      <c r="E315" s="813" t="s">
        <v>14</v>
      </c>
      <c r="F315" s="813" t="s">
        <v>869</v>
      </c>
      <c r="H315" s="819" t="s">
        <v>39</v>
      </c>
      <c r="I315" s="820" t="s">
        <v>20</v>
      </c>
      <c r="J315" s="820" t="s">
        <v>428</v>
      </c>
      <c r="L315" s="821">
        <v>62</v>
      </c>
      <c r="M315" s="637">
        <v>62</v>
      </c>
      <c r="N315" s="637">
        <v>62</v>
      </c>
      <c r="O315" s="821">
        <v>56</v>
      </c>
      <c r="P315" s="637">
        <v>56</v>
      </c>
      <c r="Q315" s="637">
        <v>56</v>
      </c>
      <c r="R315" s="806" t="s">
        <v>507</v>
      </c>
      <c r="T315" s="815" t="s">
        <v>172</v>
      </c>
      <c r="U315" s="900" t="s">
        <v>1220</v>
      </c>
      <c r="V315" s="731"/>
      <c r="W315" s="732"/>
    </row>
    <row r="316" spans="1:23" x14ac:dyDescent="0.25">
      <c r="A316" s="813">
        <v>467</v>
      </c>
      <c r="B316" s="813" t="s">
        <v>365</v>
      </c>
      <c r="C316" s="813" t="s">
        <v>941</v>
      </c>
      <c r="D316" s="813" t="s">
        <v>13</v>
      </c>
      <c r="E316" s="813" t="s">
        <v>14</v>
      </c>
      <c r="F316" s="813" t="s">
        <v>875</v>
      </c>
      <c r="H316" s="819" t="s">
        <v>39</v>
      </c>
      <c r="I316" s="820" t="s">
        <v>20</v>
      </c>
      <c r="J316" s="820" t="s">
        <v>428</v>
      </c>
      <c r="L316" s="821">
        <v>50</v>
      </c>
      <c r="M316" s="637">
        <v>70</v>
      </c>
      <c r="N316" s="637">
        <v>70</v>
      </c>
      <c r="O316" s="821">
        <v>47</v>
      </c>
      <c r="P316" s="637">
        <v>67</v>
      </c>
      <c r="Q316" s="637">
        <v>67</v>
      </c>
      <c r="R316" s="806" t="s">
        <v>507</v>
      </c>
      <c r="T316" s="815" t="s">
        <v>172</v>
      </c>
      <c r="U316" s="900" t="s">
        <v>1220</v>
      </c>
      <c r="V316" s="731"/>
      <c r="W316" s="732"/>
    </row>
    <row r="317" spans="1:23" x14ac:dyDescent="0.25">
      <c r="A317" s="813">
        <v>468</v>
      </c>
      <c r="B317" s="813" t="s">
        <v>365</v>
      </c>
      <c r="C317" s="813" t="s">
        <v>941</v>
      </c>
      <c r="D317" s="813" t="s">
        <v>13</v>
      </c>
      <c r="E317" s="813" t="s">
        <v>14</v>
      </c>
      <c r="F317" s="813" t="s">
        <v>868</v>
      </c>
      <c r="G317" s="813" t="s">
        <v>868</v>
      </c>
      <c r="H317" s="819" t="s">
        <v>35</v>
      </c>
      <c r="I317" s="820" t="s">
        <v>20</v>
      </c>
      <c r="J317" s="820" t="s">
        <v>428</v>
      </c>
      <c r="L317" s="821">
        <v>104</v>
      </c>
      <c r="M317" s="637">
        <v>9286</v>
      </c>
      <c r="N317" s="637">
        <v>48545.75</v>
      </c>
      <c r="O317" s="821">
        <v>91</v>
      </c>
      <c r="P317" s="637">
        <v>8782</v>
      </c>
      <c r="Q317" s="637">
        <v>45824</v>
      </c>
      <c r="R317" s="813" t="s">
        <v>172</v>
      </c>
      <c r="T317" s="815" t="s">
        <v>172</v>
      </c>
      <c r="U317" s="900" t="s">
        <v>1220</v>
      </c>
      <c r="V317" s="731"/>
      <c r="W317" s="732"/>
    </row>
    <row r="318" spans="1:23" x14ac:dyDescent="0.25">
      <c r="A318" s="813">
        <v>469</v>
      </c>
      <c r="B318" s="813" t="s">
        <v>365</v>
      </c>
      <c r="C318" s="813" t="s">
        <v>941</v>
      </c>
      <c r="D318" s="813" t="s">
        <v>13</v>
      </c>
      <c r="E318" s="813" t="s">
        <v>14</v>
      </c>
      <c r="F318" s="813" t="s">
        <v>942</v>
      </c>
      <c r="G318" s="813" t="s">
        <v>868</v>
      </c>
      <c r="H318" s="819" t="s">
        <v>35</v>
      </c>
      <c r="I318" s="820" t="s">
        <v>20</v>
      </c>
      <c r="J318" s="820" t="s">
        <v>428</v>
      </c>
      <c r="L318" s="821">
        <v>2</v>
      </c>
      <c r="M318" s="637">
        <v>17</v>
      </c>
      <c r="N318" s="637">
        <v>75.25</v>
      </c>
      <c r="O318" s="821">
        <v>2</v>
      </c>
      <c r="P318" s="637">
        <v>17</v>
      </c>
      <c r="Q318" s="637">
        <v>75.25</v>
      </c>
      <c r="R318" s="813" t="s">
        <v>172</v>
      </c>
      <c r="T318" s="815" t="s">
        <v>172</v>
      </c>
      <c r="U318" s="900" t="s">
        <v>1220</v>
      </c>
      <c r="V318" s="731"/>
      <c r="W318" s="732"/>
    </row>
    <row r="319" spans="1:23" x14ac:dyDescent="0.25">
      <c r="A319" s="813">
        <v>470</v>
      </c>
      <c r="B319" s="813" t="s">
        <v>365</v>
      </c>
      <c r="C319" s="813" t="s">
        <v>941</v>
      </c>
      <c r="D319" s="813" t="s">
        <v>13</v>
      </c>
      <c r="E319" s="813" t="s">
        <v>14</v>
      </c>
      <c r="F319" s="813" t="s">
        <v>967</v>
      </c>
      <c r="G319" s="813" t="s">
        <v>967</v>
      </c>
      <c r="H319" s="819" t="s">
        <v>41</v>
      </c>
      <c r="I319" s="820" t="s">
        <v>20</v>
      </c>
      <c r="J319" s="820" t="s">
        <v>428</v>
      </c>
      <c r="L319" s="821">
        <v>2</v>
      </c>
      <c r="M319" s="637">
        <v>399</v>
      </c>
      <c r="N319" s="637">
        <v>993.5</v>
      </c>
      <c r="O319" s="821">
        <v>2</v>
      </c>
      <c r="P319" s="637">
        <v>399</v>
      </c>
      <c r="Q319" s="637">
        <v>993.5</v>
      </c>
      <c r="R319" s="813" t="s">
        <v>172</v>
      </c>
      <c r="T319" s="815" t="s">
        <v>172</v>
      </c>
      <c r="U319" s="900" t="s">
        <v>1220</v>
      </c>
      <c r="V319" s="731"/>
      <c r="W319" s="732"/>
    </row>
    <row r="320" spans="1:23" x14ac:dyDescent="0.25">
      <c r="A320" s="813">
        <v>471</v>
      </c>
      <c r="B320" s="813" t="s">
        <v>365</v>
      </c>
      <c r="C320" s="813" t="s">
        <v>941</v>
      </c>
      <c r="D320" s="813" t="s">
        <v>13</v>
      </c>
      <c r="E320" s="813" t="s">
        <v>14</v>
      </c>
      <c r="F320" s="813" t="s">
        <v>863</v>
      </c>
      <c r="G320" s="813" t="s">
        <v>863</v>
      </c>
      <c r="H320" s="819" t="s">
        <v>18</v>
      </c>
      <c r="I320" s="820" t="s">
        <v>15</v>
      </c>
      <c r="J320" s="820" t="s">
        <v>421</v>
      </c>
      <c r="L320" s="821">
        <v>1</v>
      </c>
      <c r="M320" s="637">
        <v>24</v>
      </c>
      <c r="N320" s="637">
        <v>80.5</v>
      </c>
      <c r="O320" s="821">
        <v>1</v>
      </c>
      <c r="P320" s="637">
        <v>24</v>
      </c>
      <c r="Q320" s="637">
        <v>80.5</v>
      </c>
      <c r="R320" s="813" t="s">
        <v>172</v>
      </c>
      <c r="T320" s="815" t="s">
        <v>172</v>
      </c>
      <c r="U320" s="900" t="s">
        <v>1220</v>
      </c>
      <c r="V320" s="731"/>
      <c r="W320" s="732"/>
    </row>
    <row r="321" spans="1:23" x14ac:dyDescent="0.25">
      <c r="A321" s="813">
        <v>472</v>
      </c>
      <c r="B321" s="813" t="s">
        <v>365</v>
      </c>
      <c r="C321" s="813" t="s">
        <v>941</v>
      </c>
      <c r="D321" s="813" t="s">
        <v>13</v>
      </c>
      <c r="E321" s="813" t="s">
        <v>14</v>
      </c>
      <c r="F321" s="813" t="s">
        <v>933</v>
      </c>
      <c r="G321" s="813" t="s">
        <v>933</v>
      </c>
      <c r="H321" s="819" t="s">
        <v>37</v>
      </c>
      <c r="I321" s="820" t="s">
        <v>20</v>
      </c>
      <c r="J321" s="820" t="s">
        <v>428</v>
      </c>
      <c r="L321" s="821">
        <v>2</v>
      </c>
      <c r="M321" s="637">
        <v>141</v>
      </c>
      <c r="N321" s="637">
        <v>1833</v>
      </c>
      <c r="O321" s="821">
        <v>2</v>
      </c>
      <c r="P321" s="637">
        <v>141</v>
      </c>
      <c r="Q321" s="637">
        <v>1833</v>
      </c>
      <c r="R321" s="813" t="s">
        <v>172</v>
      </c>
      <c r="T321" s="815">
        <v>13</v>
      </c>
      <c r="U321" s="900" t="s">
        <v>1220</v>
      </c>
      <c r="V321" s="731"/>
      <c r="W321" s="732"/>
    </row>
    <row r="322" spans="1:23" x14ac:dyDescent="0.25">
      <c r="A322" s="813">
        <v>473</v>
      </c>
      <c r="B322" s="813" t="s">
        <v>365</v>
      </c>
      <c r="C322" s="813" t="s">
        <v>941</v>
      </c>
      <c r="D322" s="813" t="s">
        <v>13</v>
      </c>
      <c r="E322" s="813" t="s">
        <v>14</v>
      </c>
      <c r="F322" s="813" t="s">
        <v>1018</v>
      </c>
      <c r="G322" s="813" t="s">
        <v>933</v>
      </c>
      <c r="H322" s="819" t="s">
        <v>37</v>
      </c>
      <c r="I322" s="820" t="s">
        <v>20</v>
      </c>
      <c r="J322" s="820" t="s">
        <v>428</v>
      </c>
      <c r="L322" s="821">
        <v>1</v>
      </c>
      <c r="M322" s="637">
        <v>360</v>
      </c>
      <c r="N322" s="637">
        <v>4680</v>
      </c>
      <c r="O322" s="821">
        <v>1</v>
      </c>
      <c r="P322" s="637">
        <v>360</v>
      </c>
      <c r="Q322" s="637">
        <v>4680</v>
      </c>
      <c r="R322" s="813" t="s">
        <v>172</v>
      </c>
      <c r="T322" s="815">
        <v>13</v>
      </c>
      <c r="U322" s="900" t="s">
        <v>1220</v>
      </c>
      <c r="V322" s="731"/>
      <c r="W322" s="732"/>
    </row>
    <row r="323" spans="1:23" x14ac:dyDescent="0.25">
      <c r="A323" s="813">
        <v>477</v>
      </c>
      <c r="B323" s="813" t="s">
        <v>365</v>
      </c>
      <c r="C323" s="813" t="s">
        <v>943</v>
      </c>
      <c r="D323" s="813" t="s">
        <v>13</v>
      </c>
      <c r="E323" s="813" t="s">
        <v>15</v>
      </c>
      <c r="F323" s="813" t="s">
        <v>868</v>
      </c>
      <c r="G323" s="813" t="s">
        <v>868</v>
      </c>
      <c r="H323" s="819" t="s">
        <v>35</v>
      </c>
      <c r="I323" s="820" t="s">
        <v>20</v>
      </c>
      <c r="J323" s="820" t="s">
        <v>428</v>
      </c>
      <c r="L323" s="821">
        <v>1</v>
      </c>
      <c r="M323" s="637">
        <v>3</v>
      </c>
      <c r="N323" s="637">
        <v>6</v>
      </c>
      <c r="O323" s="821">
        <v>1</v>
      </c>
      <c r="P323" s="637">
        <v>3</v>
      </c>
      <c r="Q323" s="637">
        <v>6</v>
      </c>
      <c r="R323" s="813" t="s">
        <v>172</v>
      </c>
      <c r="T323" s="815" t="s">
        <v>172</v>
      </c>
      <c r="U323" s="900" t="s">
        <v>1220</v>
      </c>
      <c r="V323" s="731"/>
      <c r="W323" s="732"/>
    </row>
    <row r="324" spans="1:23" x14ac:dyDescent="0.25">
      <c r="A324" s="813">
        <v>478</v>
      </c>
      <c r="B324" s="813" t="s">
        <v>365</v>
      </c>
      <c r="C324" s="813" t="s">
        <v>943</v>
      </c>
      <c r="D324" s="813" t="s">
        <v>13</v>
      </c>
      <c r="E324" s="813" t="s">
        <v>15</v>
      </c>
      <c r="F324" s="813" t="s">
        <v>863</v>
      </c>
      <c r="G324" s="813" t="s">
        <v>863</v>
      </c>
      <c r="H324" s="819" t="s">
        <v>18</v>
      </c>
      <c r="I324" s="820" t="s">
        <v>15</v>
      </c>
      <c r="J324" s="820" t="s">
        <v>421</v>
      </c>
      <c r="L324" s="821">
        <v>99</v>
      </c>
      <c r="M324" s="637">
        <v>11908</v>
      </c>
      <c r="N324" s="637">
        <v>66120.75</v>
      </c>
      <c r="O324" s="821">
        <v>94</v>
      </c>
      <c r="P324" s="637">
        <v>11609</v>
      </c>
      <c r="Q324" s="637">
        <v>64160.75</v>
      </c>
      <c r="R324" s="813" t="s">
        <v>172</v>
      </c>
      <c r="T324" s="815" t="s">
        <v>172</v>
      </c>
      <c r="U324" s="900" t="s">
        <v>1220</v>
      </c>
      <c r="V324" s="731"/>
      <c r="W324" s="732"/>
    </row>
    <row r="325" spans="1:23" x14ac:dyDescent="0.25">
      <c r="A325" s="813">
        <v>479</v>
      </c>
      <c r="B325" s="813" t="s">
        <v>365</v>
      </c>
      <c r="C325" s="813" t="s">
        <v>943</v>
      </c>
      <c r="D325" s="813" t="s">
        <v>13</v>
      </c>
      <c r="E325" s="813" t="s">
        <v>15</v>
      </c>
      <c r="F325" s="813" t="s">
        <v>944</v>
      </c>
      <c r="G325" s="813" t="s">
        <v>863</v>
      </c>
      <c r="H325" s="819" t="s">
        <v>18</v>
      </c>
      <c r="I325" s="820" t="s">
        <v>15</v>
      </c>
      <c r="J325" s="820" t="s">
        <v>421</v>
      </c>
      <c r="L325" s="821">
        <v>3</v>
      </c>
      <c r="M325" s="637">
        <v>614</v>
      </c>
      <c r="N325" s="637">
        <v>5647.75</v>
      </c>
      <c r="O325" s="821">
        <v>3</v>
      </c>
      <c r="P325" s="637">
        <v>614</v>
      </c>
      <c r="Q325" s="637">
        <v>5647.75</v>
      </c>
      <c r="R325" s="813" t="s">
        <v>172</v>
      </c>
      <c r="T325" s="815" t="s">
        <v>172</v>
      </c>
      <c r="U325" s="900" t="s">
        <v>1220</v>
      </c>
      <c r="V325" s="731"/>
      <c r="W325" s="732"/>
    </row>
    <row r="326" spans="1:23" x14ac:dyDescent="0.25">
      <c r="A326" s="813">
        <v>480</v>
      </c>
      <c r="B326" s="813" t="s">
        <v>365</v>
      </c>
      <c r="C326" s="813" t="s">
        <v>943</v>
      </c>
      <c r="D326" s="813" t="s">
        <v>13</v>
      </c>
      <c r="E326" s="813" t="s">
        <v>15</v>
      </c>
      <c r="F326" s="813" t="s">
        <v>1019</v>
      </c>
      <c r="G326" s="813" t="s">
        <v>863</v>
      </c>
      <c r="H326" s="819" t="s">
        <v>18</v>
      </c>
      <c r="I326" s="820" t="s">
        <v>15</v>
      </c>
      <c r="J326" s="820" t="s">
        <v>421</v>
      </c>
      <c r="L326" s="821">
        <v>1</v>
      </c>
      <c r="M326" s="637">
        <v>250</v>
      </c>
      <c r="N326" s="637">
        <v>744.25</v>
      </c>
      <c r="O326" s="821">
        <v>1</v>
      </c>
      <c r="P326" s="637">
        <v>250</v>
      </c>
      <c r="Q326" s="637">
        <v>744.25</v>
      </c>
      <c r="R326" s="813" t="s">
        <v>172</v>
      </c>
      <c r="T326" s="815" t="s">
        <v>172</v>
      </c>
      <c r="U326" s="900" t="s">
        <v>1220</v>
      </c>
      <c r="V326" s="731"/>
      <c r="W326" s="732"/>
    </row>
    <row r="327" spans="1:23" x14ac:dyDescent="0.25">
      <c r="A327" s="813">
        <v>481</v>
      </c>
      <c r="B327" s="813" t="s">
        <v>365</v>
      </c>
      <c r="C327" s="813" t="s">
        <v>945</v>
      </c>
      <c r="D327" s="813" t="s">
        <v>495</v>
      </c>
      <c r="E327" s="813" t="s">
        <v>14</v>
      </c>
      <c r="F327" s="813" t="s">
        <v>885</v>
      </c>
      <c r="G327" s="813" t="s">
        <v>868</v>
      </c>
      <c r="H327" s="819" t="s">
        <v>35</v>
      </c>
      <c r="I327" s="820" t="s">
        <v>20</v>
      </c>
      <c r="J327" s="820" t="s">
        <v>428</v>
      </c>
      <c r="L327" s="821">
        <v>2</v>
      </c>
      <c r="M327" s="637">
        <v>2</v>
      </c>
      <c r="N327" s="637">
        <v>4.5</v>
      </c>
      <c r="O327" s="821">
        <v>1</v>
      </c>
      <c r="P327" s="637">
        <v>1</v>
      </c>
      <c r="Q327" s="637">
        <v>3.5</v>
      </c>
      <c r="R327" s="813" t="s">
        <v>172</v>
      </c>
      <c r="T327" s="815" t="s">
        <v>172</v>
      </c>
      <c r="U327" s="900" t="s">
        <v>1220</v>
      </c>
      <c r="V327" s="731"/>
      <c r="W327" s="732"/>
    </row>
    <row r="328" spans="1:23" x14ac:dyDescent="0.25">
      <c r="A328" s="813">
        <v>482</v>
      </c>
      <c r="B328" s="813" t="s">
        <v>365</v>
      </c>
      <c r="C328" s="813" t="s">
        <v>945</v>
      </c>
      <c r="D328" s="813" t="s">
        <v>495</v>
      </c>
      <c r="E328" s="813" t="s">
        <v>14</v>
      </c>
      <c r="F328" s="813" t="s">
        <v>869</v>
      </c>
      <c r="H328" s="819" t="s">
        <v>39</v>
      </c>
      <c r="I328" s="820" t="s">
        <v>20</v>
      </c>
      <c r="J328" s="820" t="s">
        <v>428</v>
      </c>
      <c r="L328" s="821">
        <v>2</v>
      </c>
      <c r="M328" s="637">
        <v>2</v>
      </c>
      <c r="N328" s="637">
        <v>2</v>
      </c>
      <c r="O328" s="821">
        <v>1</v>
      </c>
      <c r="P328" s="637">
        <v>1</v>
      </c>
      <c r="Q328" s="637">
        <v>1</v>
      </c>
      <c r="R328" s="806" t="s">
        <v>507</v>
      </c>
      <c r="T328" s="815" t="s">
        <v>172</v>
      </c>
      <c r="U328" s="900" t="s">
        <v>1220</v>
      </c>
      <c r="V328" s="731"/>
      <c r="W328" s="732"/>
    </row>
    <row r="329" spans="1:23" x14ac:dyDescent="0.25">
      <c r="A329" s="813">
        <v>483</v>
      </c>
      <c r="B329" s="813" t="s">
        <v>365</v>
      </c>
      <c r="C329" s="813" t="s">
        <v>945</v>
      </c>
      <c r="D329" s="813" t="s">
        <v>495</v>
      </c>
      <c r="E329" s="813" t="s">
        <v>14</v>
      </c>
      <c r="F329" s="813" t="s">
        <v>875</v>
      </c>
      <c r="H329" s="819" t="s">
        <v>39</v>
      </c>
      <c r="I329" s="820" t="s">
        <v>20</v>
      </c>
      <c r="J329" s="820" t="s">
        <v>428</v>
      </c>
      <c r="L329" s="821">
        <v>1</v>
      </c>
      <c r="M329" s="637">
        <v>1</v>
      </c>
      <c r="N329" s="637">
        <v>1</v>
      </c>
      <c r="O329" s="821">
        <v>1</v>
      </c>
      <c r="P329" s="637">
        <v>1</v>
      </c>
      <c r="Q329" s="637">
        <v>1</v>
      </c>
      <c r="R329" s="806" t="s">
        <v>507</v>
      </c>
      <c r="T329" s="815" t="s">
        <v>172</v>
      </c>
      <c r="U329" s="900" t="s">
        <v>1220</v>
      </c>
      <c r="V329" s="731"/>
      <c r="W329" s="732"/>
    </row>
    <row r="330" spans="1:23" x14ac:dyDescent="0.25">
      <c r="A330" s="813">
        <v>484</v>
      </c>
      <c r="B330" s="813" t="s">
        <v>365</v>
      </c>
      <c r="C330" s="813" t="s">
        <v>946</v>
      </c>
      <c r="D330" s="813" t="s">
        <v>13</v>
      </c>
      <c r="E330" s="813" t="s">
        <v>495</v>
      </c>
      <c r="F330" s="813" t="s">
        <v>875</v>
      </c>
      <c r="H330" s="819" t="s">
        <v>39</v>
      </c>
      <c r="I330" s="820" t="s">
        <v>20</v>
      </c>
      <c r="J330" s="820" t="s">
        <v>428</v>
      </c>
      <c r="L330" s="821">
        <v>1</v>
      </c>
      <c r="M330" s="637">
        <v>2</v>
      </c>
      <c r="N330" s="637">
        <v>2</v>
      </c>
      <c r="O330" s="821">
        <v>1</v>
      </c>
      <c r="P330" s="637">
        <v>2</v>
      </c>
      <c r="Q330" s="637">
        <v>2</v>
      </c>
      <c r="R330" s="806" t="s">
        <v>507</v>
      </c>
      <c r="T330" s="815" t="s">
        <v>172</v>
      </c>
      <c r="U330" s="900" t="s">
        <v>1220</v>
      </c>
      <c r="V330" s="731"/>
      <c r="W330" s="732"/>
    </row>
    <row r="331" spans="1:23" x14ac:dyDescent="0.25">
      <c r="A331" s="813">
        <v>486</v>
      </c>
      <c r="B331" s="813" t="s">
        <v>365</v>
      </c>
      <c r="C331" s="813" t="s">
        <v>897</v>
      </c>
      <c r="D331" s="813" t="s">
        <v>14</v>
      </c>
      <c r="E331" s="813" t="s">
        <v>15</v>
      </c>
      <c r="F331" s="813" t="s">
        <v>898</v>
      </c>
      <c r="G331" s="813" t="s">
        <v>863</v>
      </c>
      <c r="H331" s="819" t="s">
        <v>18</v>
      </c>
      <c r="I331" s="820" t="s">
        <v>15</v>
      </c>
      <c r="J331" s="820" t="s">
        <v>421</v>
      </c>
      <c r="L331" s="821">
        <v>1</v>
      </c>
      <c r="M331" s="637">
        <v>313</v>
      </c>
      <c r="N331" s="637">
        <v>667.75</v>
      </c>
      <c r="O331" s="821">
        <v>1</v>
      </c>
      <c r="P331" s="637">
        <v>313</v>
      </c>
      <c r="Q331" s="637">
        <v>667.75</v>
      </c>
      <c r="R331" s="813" t="s">
        <v>172</v>
      </c>
      <c r="T331" s="815" t="s">
        <v>172</v>
      </c>
      <c r="U331" s="900" t="s">
        <v>1220</v>
      </c>
      <c r="V331" s="731"/>
      <c r="W331" s="732"/>
    </row>
    <row r="332" spans="1:23" x14ac:dyDescent="0.25">
      <c r="A332" s="813">
        <v>487</v>
      </c>
      <c r="B332" s="813" t="s">
        <v>365</v>
      </c>
      <c r="C332" s="813" t="s">
        <v>878</v>
      </c>
      <c r="D332" s="813" t="s">
        <v>434</v>
      </c>
      <c r="E332" s="813" t="s">
        <v>244</v>
      </c>
      <c r="F332" s="813" t="s">
        <v>1020</v>
      </c>
      <c r="G332" s="813" t="s">
        <v>880</v>
      </c>
      <c r="H332" s="819" t="s">
        <v>390</v>
      </c>
      <c r="I332" s="820" t="s">
        <v>20</v>
      </c>
      <c r="J332" s="820" t="s">
        <v>16</v>
      </c>
      <c r="L332" s="821">
        <v>1</v>
      </c>
      <c r="M332" s="637">
        <v>1</v>
      </c>
      <c r="N332" s="637">
        <v>2.5</v>
      </c>
      <c r="O332" s="821">
        <v>1</v>
      </c>
      <c r="P332" s="637">
        <v>1</v>
      </c>
      <c r="Q332" s="637">
        <v>2.5</v>
      </c>
      <c r="R332" s="813" t="s">
        <v>172</v>
      </c>
      <c r="T332" s="815" t="s">
        <v>172</v>
      </c>
      <c r="U332" s="899" t="s">
        <v>1219</v>
      </c>
      <c r="V332" s="731"/>
      <c r="W332" s="732"/>
    </row>
    <row r="333" spans="1:23" x14ac:dyDescent="0.25">
      <c r="A333" s="813">
        <v>488</v>
      </c>
      <c r="B333" s="813" t="s">
        <v>365</v>
      </c>
      <c r="C333" s="813" t="s">
        <v>878</v>
      </c>
      <c r="D333" s="813" t="s">
        <v>434</v>
      </c>
      <c r="E333" s="813" t="s">
        <v>244</v>
      </c>
      <c r="F333" s="813" t="s">
        <v>879</v>
      </c>
      <c r="G333" s="813" t="s">
        <v>880</v>
      </c>
      <c r="H333" s="819" t="s">
        <v>390</v>
      </c>
      <c r="I333" s="820" t="s">
        <v>20</v>
      </c>
      <c r="J333" s="820" t="s">
        <v>16</v>
      </c>
      <c r="L333" s="821">
        <v>153</v>
      </c>
      <c r="M333" s="637">
        <v>63628</v>
      </c>
      <c r="N333" s="637">
        <v>730345.25</v>
      </c>
      <c r="O333" s="821">
        <v>151</v>
      </c>
      <c r="P333" s="637">
        <v>63478</v>
      </c>
      <c r="Q333" s="637">
        <v>729054.25</v>
      </c>
      <c r="R333" s="813" t="s">
        <v>172</v>
      </c>
      <c r="T333" s="815" t="s">
        <v>172</v>
      </c>
      <c r="U333" s="899" t="s">
        <v>1219</v>
      </c>
      <c r="V333" s="731"/>
      <c r="W333" s="732"/>
    </row>
    <row r="334" spans="1:23" x14ac:dyDescent="0.25">
      <c r="A334" s="813">
        <v>489</v>
      </c>
      <c r="B334" s="813" t="s">
        <v>365</v>
      </c>
      <c r="C334" s="813" t="s">
        <v>878</v>
      </c>
      <c r="D334" s="813" t="s">
        <v>434</v>
      </c>
      <c r="E334" s="813" t="s">
        <v>244</v>
      </c>
      <c r="F334" s="813" t="s">
        <v>1021</v>
      </c>
      <c r="G334" s="813" t="s">
        <v>880</v>
      </c>
      <c r="H334" s="819" t="s">
        <v>390</v>
      </c>
      <c r="I334" s="820" t="s">
        <v>20</v>
      </c>
      <c r="J334" s="820" t="s">
        <v>16</v>
      </c>
      <c r="L334" s="821">
        <v>1</v>
      </c>
      <c r="M334" s="637">
        <v>68</v>
      </c>
      <c r="N334" s="637">
        <v>693.75</v>
      </c>
      <c r="O334" s="821">
        <v>1</v>
      </c>
      <c r="P334" s="637">
        <v>68</v>
      </c>
      <c r="Q334" s="637">
        <v>693.75</v>
      </c>
      <c r="R334" s="813" t="s">
        <v>172</v>
      </c>
      <c r="T334" s="815" t="s">
        <v>172</v>
      </c>
      <c r="U334" s="899" t="s">
        <v>1219</v>
      </c>
      <c r="V334" s="731"/>
      <c r="W334" s="732"/>
    </row>
    <row r="335" spans="1:23" x14ac:dyDescent="0.25">
      <c r="A335" s="813">
        <v>490</v>
      </c>
      <c r="B335" s="813" t="s">
        <v>365</v>
      </c>
      <c r="C335" s="813" t="s">
        <v>878</v>
      </c>
      <c r="D335" s="813" t="s">
        <v>434</v>
      </c>
      <c r="E335" s="813" t="s">
        <v>244</v>
      </c>
      <c r="F335" s="813" t="s">
        <v>881</v>
      </c>
      <c r="G335" s="813" t="s">
        <v>882</v>
      </c>
      <c r="H335" s="819" t="s">
        <v>390</v>
      </c>
      <c r="I335" s="820" t="s">
        <v>20</v>
      </c>
      <c r="J335" s="820" t="s">
        <v>16</v>
      </c>
      <c r="L335" s="821">
        <v>58</v>
      </c>
      <c r="M335" s="637">
        <v>59</v>
      </c>
      <c r="N335" s="637">
        <v>59</v>
      </c>
      <c r="O335" s="821">
        <v>58</v>
      </c>
      <c r="P335" s="637">
        <v>59</v>
      </c>
      <c r="Q335" s="637">
        <v>59</v>
      </c>
      <c r="T335" s="815" t="s">
        <v>172</v>
      </c>
      <c r="U335" s="899" t="s">
        <v>1219</v>
      </c>
      <c r="V335" s="731"/>
      <c r="W335" s="732"/>
    </row>
    <row r="336" spans="1:23" x14ac:dyDescent="0.25">
      <c r="A336" s="813">
        <v>491</v>
      </c>
      <c r="B336" s="813" t="s">
        <v>365</v>
      </c>
      <c r="C336" s="813" t="s">
        <v>878</v>
      </c>
      <c r="D336" s="813" t="s">
        <v>434</v>
      </c>
      <c r="E336" s="813" t="s">
        <v>244</v>
      </c>
      <c r="F336" s="813" t="s">
        <v>889</v>
      </c>
      <c r="H336" s="819" t="s">
        <v>390</v>
      </c>
      <c r="I336" s="820" t="s">
        <v>20</v>
      </c>
      <c r="J336" s="820" t="s">
        <v>16</v>
      </c>
      <c r="L336" s="821">
        <v>9</v>
      </c>
      <c r="M336" s="637">
        <v>9</v>
      </c>
      <c r="N336" s="637">
        <v>8.5</v>
      </c>
      <c r="O336" s="821">
        <v>9</v>
      </c>
      <c r="P336" s="637">
        <v>9</v>
      </c>
      <c r="Q336" s="637">
        <v>9</v>
      </c>
      <c r="T336" s="815" t="s">
        <v>172</v>
      </c>
      <c r="U336" s="899" t="s">
        <v>1219</v>
      </c>
      <c r="V336" s="731"/>
      <c r="W336" s="732"/>
    </row>
    <row r="337" spans="1:23" x14ac:dyDescent="0.25">
      <c r="A337" s="813">
        <v>492</v>
      </c>
      <c r="B337" s="813" t="s">
        <v>365</v>
      </c>
      <c r="C337" s="813" t="s">
        <v>878</v>
      </c>
      <c r="D337" s="813" t="s">
        <v>434</v>
      </c>
      <c r="E337" s="813" t="s">
        <v>244</v>
      </c>
      <c r="F337" s="813" t="s">
        <v>869</v>
      </c>
      <c r="H337" s="819" t="s">
        <v>390</v>
      </c>
      <c r="I337" s="820" t="s">
        <v>20</v>
      </c>
      <c r="J337" s="820" t="s">
        <v>16</v>
      </c>
      <c r="L337" s="821">
        <v>3</v>
      </c>
      <c r="M337" s="637">
        <v>3</v>
      </c>
      <c r="N337" s="637">
        <v>3</v>
      </c>
      <c r="O337" s="821">
        <v>3</v>
      </c>
      <c r="P337" s="637">
        <v>3</v>
      </c>
      <c r="Q337" s="637">
        <v>3</v>
      </c>
      <c r="T337" s="815" t="s">
        <v>172</v>
      </c>
      <c r="U337" s="899" t="s">
        <v>1219</v>
      </c>
      <c r="V337" s="731"/>
      <c r="W337" s="732"/>
    </row>
    <row r="338" spans="1:23" x14ac:dyDescent="0.25">
      <c r="A338" s="813">
        <v>493</v>
      </c>
      <c r="B338" s="813" t="s">
        <v>365</v>
      </c>
      <c r="C338" s="813" t="s">
        <v>878</v>
      </c>
      <c r="D338" s="813" t="s">
        <v>434</v>
      </c>
      <c r="E338" s="813" t="s">
        <v>244</v>
      </c>
      <c r="F338" s="813" t="s">
        <v>875</v>
      </c>
      <c r="H338" s="819" t="s">
        <v>390</v>
      </c>
      <c r="I338" s="820" t="s">
        <v>20</v>
      </c>
      <c r="J338" s="820" t="s">
        <v>16</v>
      </c>
      <c r="L338" s="821">
        <v>7</v>
      </c>
      <c r="M338" s="637">
        <v>7</v>
      </c>
      <c r="N338" s="637">
        <v>7</v>
      </c>
      <c r="O338" s="821">
        <v>7</v>
      </c>
      <c r="P338" s="637">
        <v>7</v>
      </c>
      <c r="Q338" s="637">
        <v>7</v>
      </c>
      <c r="T338" s="815" t="s">
        <v>172</v>
      </c>
      <c r="U338" s="899" t="s">
        <v>1219</v>
      </c>
      <c r="V338" s="731"/>
      <c r="W338" s="732"/>
    </row>
    <row r="339" spans="1:23" x14ac:dyDescent="0.25">
      <c r="A339" s="813">
        <v>494</v>
      </c>
      <c r="B339" s="813" t="s">
        <v>365</v>
      </c>
      <c r="C339" s="813" t="s">
        <v>878</v>
      </c>
      <c r="D339" s="813" t="s">
        <v>434</v>
      </c>
      <c r="E339" s="813" t="s">
        <v>244</v>
      </c>
      <c r="F339" s="813" t="s">
        <v>883</v>
      </c>
      <c r="G339" s="813" t="s">
        <v>882</v>
      </c>
      <c r="H339" s="819" t="s">
        <v>390</v>
      </c>
      <c r="I339" s="820" t="s">
        <v>20</v>
      </c>
      <c r="J339" s="820" t="s">
        <v>16</v>
      </c>
      <c r="L339" s="821">
        <v>122</v>
      </c>
      <c r="M339" s="637">
        <v>191</v>
      </c>
      <c r="N339" s="637">
        <v>188.5</v>
      </c>
      <c r="O339" s="821">
        <v>120</v>
      </c>
      <c r="P339" s="637">
        <v>189</v>
      </c>
      <c r="Q339" s="637">
        <v>189</v>
      </c>
      <c r="T339" s="815" t="s">
        <v>172</v>
      </c>
      <c r="U339" s="899" t="s">
        <v>1219</v>
      </c>
      <c r="V339" s="731"/>
      <c r="W339" s="732"/>
    </row>
    <row r="340" spans="1:23" x14ac:dyDescent="0.25">
      <c r="A340" s="813">
        <v>495</v>
      </c>
      <c r="B340" s="813" t="s">
        <v>365</v>
      </c>
      <c r="C340" s="813" t="s">
        <v>492</v>
      </c>
      <c r="D340" s="813" t="s">
        <v>16</v>
      </c>
      <c r="E340" s="813" t="s">
        <v>82</v>
      </c>
      <c r="F340" s="813" t="s">
        <v>898</v>
      </c>
      <c r="H340" s="819" t="s">
        <v>374</v>
      </c>
      <c r="I340" s="820" t="s">
        <v>20</v>
      </c>
      <c r="J340" s="820" t="s">
        <v>248</v>
      </c>
      <c r="L340" s="821">
        <v>1</v>
      </c>
      <c r="M340" s="637">
        <v>14</v>
      </c>
      <c r="N340" s="637">
        <v>170.5</v>
      </c>
      <c r="O340" s="821">
        <v>1</v>
      </c>
      <c r="P340" s="637">
        <v>14</v>
      </c>
      <c r="Q340" s="637">
        <v>170.5</v>
      </c>
      <c r="R340" s="813" t="s">
        <v>172</v>
      </c>
      <c r="T340" s="815" t="s">
        <v>172</v>
      </c>
      <c r="U340" s="899" t="s">
        <v>1219</v>
      </c>
      <c r="V340" s="731"/>
      <c r="W340" s="732"/>
    </row>
    <row r="341" spans="1:23" x14ac:dyDescent="0.25">
      <c r="A341" s="813">
        <v>496</v>
      </c>
      <c r="B341" s="813" t="s">
        <v>365</v>
      </c>
      <c r="C341" s="813" t="s">
        <v>492</v>
      </c>
      <c r="D341" s="813" t="s">
        <v>16</v>
      </c>
      <c r="E341" s="813" t="s">
        <v>82</v>
      </c>
      <c r="F341" s="813" t="s">
        <v>885</v>
      </c>
      <c r="H341" s="819" t="s">
        <v>374</v>
      </c>
      <c r="I341" s="820" t="s">
        <v>20</v>
      </c>
      <c r="J341" s="820" t="s">
        <v>248</v>
      </c>
      <c r="L341" s="821">
        <v>68</v>
      </c>
      <c r="M341" s="637">
        <v>749</v>
      </c>
      <c r="N341" s="637">
        <v>2326.25</v>
      </c>
      <c r="O341" s="821">
        <v>64</v>
      </c>
      <c r="P341" s="637">
        <v>744</v>
      </c>
      <c r="Q341" s="637">
        <v>2312</v>
      </c>
      <c r="R341" s="813" t="s">
        <v>172</v>
      </c>
      <c r="T341" s="815" t="s">
        <v>172</v>
      </c>
      <c r="U341" s="899" t="s">
        <v>1219</v>
      </c>
      <c r="V341" s="731"/>
      <c r="W341" s="732"/>
    </row>
    <row r="342" spans="1:23" x14ac:dyDescent="0.25">
      <c r="A342" s="813">
        <v>497</v>
      </c>
      <c r="B342" s="813" t="s">
        <v>365</v>
      </c>
      <c r="C342" s="813" t="s">
        <v>492</v>
      </c>
      <c r="D342" s="813" t="s">
        <v>16</v>
      </c>
      <c r="E342" s="813" t="s">
        <v>82</v>
      </c>
      <c r="F342" s="813" t="s">
        <v>932</v>
      </c>
      <c r="H342" s="819" t="s">
        <v>374</v>
      </c>
      <c r="I342" s="820" t="s">
        <v>20</v>
      </c>
      <c r="J342" s="820" t="s">
        <v>248</v>
      </c>
      <c r="L342" s="821">
        <v>1</v>
      </c>
      <c r="M342" s="637">
        <v>5</v>
      </c>
      <c r="N342" s="637">
        <v>24</v>
      </c>
      <c r="O342" s="821">
        <v>1</v>
      </c>
      <c r="P342" s="637">
        <v>5</v>
      </c>
      <c r="Q342" s="637">
        <v>24</v>
      </c>
      <c r="R342" s="813" t="s">
        <v>172</v>
      </c>
      <c r="T342" s="815">
        <f>Q342/P342</f>
        <v>4.8</v>
      </c>
      <c r="U342" s="899" t="s">
        <v>1219</v>
      </c>
      <c r="V342" s="731"/>
      <c r="W342" s="732"/>
    </row>
    <row r="343" spans="1:23" x14ac:dyDescent="0.25">
      <c r="A343" s="813">
        <v>498</v>
      </c>
      <c r="B343" s="813" t="s">
        <v>365</v>
      </c>
      <c r="C343" s="813" t="s">
        <v>492</v>
      </c>
      <c r="D343" s="813" t="s">
        <v>16</v>
      </c>
      <c r="E343" s="813" t="s">
        <v>82</v>
      </c>
      <c r="F343" s="813" t="s">
        <v>1022</v>
      </c>
      <c r="H343" s="819" t="s">
        <v>38</v>
      </c>
      <c r="I343" s="820" t="s">
        <v>20</v>
      </c>
      <c r="J343" s="820" t="s">
        <v>428</v>
      </c>
      <c r="L343" s="821">
        <v>2</v>
      </c>
      <c r="M343" s="637">
        <v>604</v>
      </c>
      <c r="N343" s="637">
        <f>M343</f>
        <v>604</v>
      </c>
      <c r="O343" s="821">
        <v>2</v>
      </c>
      <c r="P343" s="637">
        <v>604</v>
      </c>
      <c r="Q343" s="637">
        <f>P343</f>
        <v>604</v>
      </c>
      <c r="R343" s="806" t="s">
        <v>507</v>
      </c>
      <c r="T343" s="815" t="s">
        <v>172</v>
      </c>
      <c r="U343" s="900" t="s">
        <v>1220</v>
      </c>
      <c r="V343" s="731"/>
      <c r="W343" s="732"/>
    </row>
    <row r="344" spans="1:23" x14ac:dyDescent="0.25">
      <c r="A344" s="813">
        <v>499</v>
      </c>
      <c r="B344" s="813" t="s">
        <v>365</v>
      </c>
      <c r="C344" s="813" t="s">
        <v>1023</v>
      </c>
      <c r="D344" s="813" t="s">
        <v>14</v>
      </c>
      <c r="E344" s="813" t="s">
        <v>14</v>
      </c>
      <c r="F344" s="813" t="s">
        <v>922</v>
      </c>
      <c r="G344" s="813" t="s">
        <v>984</v>
      </c>
      <c r="H344" s="819" t="s">
        <v>34</v>
      </c>
      <c r="I344" s="820" t="s">
        <v>20</v>
      </c>
      <c r="J344" s="820" t="s">
        <v>428</v>
      </c>
      <c r="L344" s="821">
        <v>1</v>
      </c>
      <c r="M344" s="637">
        <v>3</v>
      </c>
      <c r="N344" s="637">
        <v>12</v>
      </c>
      <c r="O344" s="821">
        <v>0</v>
      </c>
      <c r="P344" s="637">
        <v>0</v>
      </c>
      <c r="R344" s="813" t="s">
        <v>172</v>
      </c>
      <c r="T344" s="815" t="s">
        <v>172</v>
      </c>
      <c r="U344" s="900" t="s">
        <v>1220</v>
      </c>
      <c r="V344" s="731"/>
      <c r="W344" s="732"/>
    </row>
    <row r="345" spans="1:23" x14ac:dyDescent="0.25">
      <c r="A345" s="813">
        <v>500</v>
      </c>
      <c r="B345" s="813" t="s">
        <v>365</v>
      </c>
      <c r="C345" s="813" t="s">
        <v>1023</v>
      </c>
      <c r="D345" s="813" t="s">
        <v>14</v>
      </c>
      <c r="E345" s="813" t="s">
        <v>14</v>
      </c>
      <c r="F345" s="813" t="s">
        <v>885</v>
      </c>
      <c r="G345" s="813" t="s">
        <v>868</v>
      </c>
      <c r="H345" s="819" t="s">
        <v>35</v>
      </c>
      <c r="I345" s="820" t="s">
        <v>20</v>
      </c>
      <c r="J345" s="820" t="s">
        <v>428</v>
      </c>
      <c r="L345" s="821">
        <v>1</v>
      </c>
      <c r="M345" s="637">
        <v>20</v>
      </c>
      <c r="N345" s="637">
        <v>80</v>
      </c>
      <c r="O345" s="821">
        <v>0</v>
      </c>
      <c r="P345" s="637">
        <v>0</v>
      </c>
      <c r="R345" s="813" t="s">
        <v>172</v>
      </c>
      <c r="T345" s="815" t="s">
        <v>172</v>
      </c>
      <c r="U345" s="900" t="s">
        <v>1220</v>
      </c>
      <c r="V345" s="731"/>
      <c r="W345" s="732"/>
    </row>
    <row r="346" spans="1:23" x14ac:dyDescent="0.25">
      <c r="A346" s="813">
        <v>501</v>
      </c>
      <c r="B346" s="813" t="s">
        <v>365</v>
      </c>
      <c r="C346" s="813" t="s">
        <v>1023</v>
      </c>
      <c r="D346" s="813" t="s">
        <v>14</v>
      </c>
      <c r="E346" s="813" t="s">
        <v>14</v>
      </c>
      <c r="F346" s="813" t="s">
        <v>1024</v>
      </c>
      <c r="G346" s="813" t="s">
        <v>1005</v>
      </c>
      <c r="H346" s="819" t="s">
        <v>39</v>
      </c>
      <c r="I346" s="820" t="s">
        <v>20</v>
      </c>
      <c r="J346" s="820" t="s">
        <v>428</v>
      </c>
      <c r="L346" s="821">
        <v>1</v>
      </c>
      <c r="M346" s="637">
        <v>1</v>
      </c>
      <c r="N346" s="637">
        <v>1</v>
      </c>
      <c r="O346" s="821">
        <v>0</v>
      </c>
      <c r="P346" s="637">
        <v>0</v>
      </c>
      <c r="Q346" s="637">
        <v>0</v>
      </c>
      <c r="R346" s="806" t="s">
        <v>507</v>
      </c>
      <c r="T346" s="815" t="s">
        <v>172</v>
      </c>
      <c r="U346" s="900" t="s">
        <v>1220</v>
      </c>
      <c r="V346" s="731"/>
      <c r="W346" s="732"/>
    </row>
    <row r="347" spans="1:23" x14ac:dyDescent="0.25">
      <c r="A347" s="813">
        <v>502</v>
      </c>
      <c r="B347" s="813" t="s">
        <v>365</v>
      </c>
      <c r="C347" s="813" t="s">
        <v>464</v>
      </c>
      <c r="D347" s="813" t="s">
        <v>13</v>
      </c>
      <c r="E347" s="813" t="s">
        <v>13</v>
      </c>
      <c r="F347" s="813" t="s">
        <v>1025</v>
      </c>
      <c r="H347" s="819" t="s">
        <v>391</v>
      </c>
      <c r="I347" s="820" t="s">
        <v>20</v>
      </c>
      <c r="J347" s="820" t="s">
        <v>16</v>
      </c>
      <c r="K347" s="813" t="s">
        <v>13</v>
      </c>
      <c r="L347" s="821">
        <v>1</v>
      </c>
      <c r="M347" s="637">
        <v>9</v>
      </c>
      <c r="N347" s="637">
        <v>34.25</v>
      </c>
      <c r="O347" s="821">
        <v>1</v>
      </c>
      <c r="P347" s="637">
        <v>9</v>
      </c>
      <c r="Q347" s="637">
        <v>34.25</v>
      </c>
      <c r="R347" s="813" t="s">
        <v>172</v>
      </c>
      <c r="T347" s="815" t="s">
        <v>172</v>
      </c>
      <c r="U347" s="899" t="s">
        <v>1219</v>
      </c>
      <c r="V347" s="731"/>
      <c r="W347" s="732"/>
    </row>
    <row r="348" spans="1:23" x14ac:dyDescent="0.25">
      <c r="A348" s="813">
        <v>503</v>
      </c>
      <c r="B348" s="813" t="s">
        <v>365</v>
      </c>
      <c r="C348" s="813" t="s">
        <v>464</v>
      </c>
      <c r="D348" s="813" t="s">
        <v>13</v>
      </c>
      <c r="E348" s="813" t="s">
        <v>13</v>
      </c>
      <c r="F348" s="813" t="s">
        <v>948</v>
      </c>
      <c r="G348" s="813" t="s">
        <v>949</v>
      </c>
      <c r="H348" s="819" t="s">
        <v>391</v>
      </c>
      <c r="I348" s="820" t="s">
        <v>20</v>
      </c>
      <c r="J348" s="820" t="s">
        <v>16</v>
      </c>
      <c r="K348" s="813" t="s">
        <v>13</v>
      </c>
      <c r="L348" s="821">
        <v>7</v>
      </c>
      <c r="M348" s="637">
        <v>1329</v>
      </c>
      <c r="N348" s="637">
        <v>9605.5</v>
      </c>
      <c r="O348" s="821">
        <v>6</v>
      </c>
      <c r="P348" s="637">
        <v>1307</v>
      </c>
      <c r="Q348" s="637">
        <v>9417</v>
      </c>
      <c r="R348" s="813" t="s">
        <v>172</v>
      </c>
      <c r="T348" s="815" t="s">
        <v>172</v>
      </c>
      <c r="U348" s="899" t="s">
        <v>1219</v>
      </c>
      <c r="V348" s="731"/>
      <c r="W348" s="732"/>
    </row>
    <row r="349" spans="1:23" x14ac:dyDescent="0.25">
      <c r="A349" s="813">
        <v>504</v>
      </c>
      <c r="B349" s="813" t="s">
        <v>365</v>
      </c>
      <c r="C349" s="813" t="s">
        <v>248</v>
      </c>
      <c r="D349" s="813" t="s">
        <v>16</v>
      </c>
      <c r="E349" s="813" t="s">
        <v>884</v>
      </c>
      <c r="F349" s="813" t="s">
        <v>1026</v>
      </c>
      <c r="H349" s="819" t="s">
        <v>374</v>
      </c>
      <c r="I349" s="820" t="s">
        <v>20</v>
      </c>
      <c r="J349" s="820" t="s">
        <v>248</v>
      </c>
      <c r="L349" s="821">
        <v>1</v>
      </c>
      <c r="M349" s="637">
        <v>1568</v>
      </c>
      <c r="N349" s="637">
        <v>393</v>
      </c>
      <c r="O349" s="821">
        <v>1</v>
      </c>
      <c r="P349" s="637">
        <v>1568</v>
      </c>
      <c r="Q349" s="637">
        <v>393</v>
      </c>
      <c r="R349" s="813" t="s">
        <v>172</v>
      </c>
      <c r="T349" s="815" t="s">
        <v>172</v>
      </c>
      <c r="U349" s="899" t="s">
        <v>1219</v>
      </c>
      <c r="V349" s="731"/>
      <c r="W349" s="732"/>
    </row>
    <row r="350" spans="1:23" x14ac:dyDescent="0.25">
      <c r="A350" s="813">
        <v>505</v>
      </c>
      <c r="B350" s="813" t="s">
        <v>365</v>
      </c>
      <c r="C350" s="813" t="s">
        <v>248</v>
      </c>
      <c r="D350" s="813" t="s">
        <v>16</v>
      </c>
      <c r="E350" s="813" t="s">
        <v>884</v>
      </c>
      <c r="F350" s="813" t="s">
        <v>1027</v>
      </c>
      <c r="H350" s="819" t="s">
        <v>374</v>
      </c>
      <c r="I350" s="820" t="s">
        <v>20</v>
      </c>
      <c r="J350" s="820" t="s">
        <v>248</v>
      </c>
      <c r="L350" s="821">
        <v>1</v>
      </c>
      <c r="M350" s="637">
        <v>119</v>
      </c>
      <c r="N350" s="637">
        <v>119</v>
      </c>
      <c r="O350" s="821">
        <v>1</v>
      </c>
      <c r="P350" s="637">
        <v>119</v>
      </c>
      <c r="Q350" s="637">
        <v>119</v>
      </c>
      <c r="R350" s="813" t="s">
        <v>172</v>
      </c>
      <c r="T350" s="815">
        <f>Q350/P350</f>
        <v>1</v>
      </c>
      <c r="U350" s="899" t="s">
        <v>1219</v>
      </c>
      <c r="V350" s="731"/>
      <c r="W350" s="732"/>
    </row>
    <row r="351" spans="1:23" x14ac:dyDescent="0.25">
      <c r="A351" s="813">
        <v>506</v>
      </c>
      <c r="B351" s="813" t="s">
        <v>365</v>
      </c>
      <c r="C351" s="813" t="s">
        <v>248</v>
      </c>
      <c r="D351" s="813" t="s">
        <v>16</v>
      </c>
      <c r="E351" s="813" t="s">
        <v>884</v>
      </c>
      <c r="F351" s="813" t="s">
        <v>1028</v>
      </c>
      <c r="H351" s="819" t="s">
        <v>374</v>
      </c>
      <c r="I351" s="820" t="s">
        <v>20</v>
      </c>
      <c r="J351" s="820" t="s">
        <v>248</v>
      </c>
      <c r="L351" s="821">
        <v>1</v>
      </c>
      <c r="M351" s="637">
        <v>243</v>
      </c>
      <c r="N351" s="637">
        <v>972</v>
      </c>
      <c r="O351" s="821">
        <v>1</v>
      </c>
      <c r="P351" s="637">
        <v>243</v>
      </c>
      <c r="Q351" s="637">
        <v>972</v>
      </c>
      <c r="R351" s="813" t="s">
        <v>172</v>
      </c>
      <c r="T351" s="815">
        <f>Q351/P351</f>
        <v>4</v>
      </c>
      <c r="U351" s="899" t="s">
        <v>1219</v>
      </c>
      <c r="V351" s="731"/>
      <c r="W351" s="732"/>
    </row>
    <row r="352" spans="1:23" x14ac:dyDescent="0.25">
      <c r="A352" s="813">
        <v>507</v>
      </c>
      <c r="B352" s="813" t="s">
        <v>365</v>
      </c>
      <c r="C352" s="813" t="s">
        <v>248</v>
      </c>
      <c r="D352" s="813" t="s">
        <v>16</v>
      </c>
      <c r="E352" s="813" t="s">
        <v>884</v>
      </c>
      <c r="F352" s="813" t="s">
        <v>1029</v>
      </c>
      <c r="H352" s="819" t="s">
        <v>374</v>
      </c>
      <c r="I352" s="820" t="s">
        <v>20</v>
      </c>
      <c r="J352" s="820" t="s">
        <v>248</v>
      </c>
      <c r="L352" s="821">
        <v>1</v>
      </c>
      <c r="M352" s="637">
        <v>37</v>
      </c>
      <c r="N352" s="637">
        <v>259</v>
      </c>
      <c r="O352" s="821">
        <v>1</v>
      </c>
      <c r="P352" s="637">
        <v>37</v>
      </c>
      <c r="Q352" s="637">
        <v>259</v>
      </c>
      <c r="R352" s="813" t="s">
        <v>172</v>
      </c>
      <c r="T352" s="815">
        <f>Q352/P352</f>
        <v>7</v>
      </c>
      <c r="U352" s="899" t="s">
        <v>1219</v>
      </c>
      <c r="V352" s="731"/>
      <c r="W352" s="732"/>
    </row>
    <row r="353" spans="1:23" x14ac:dyDescent="0.25">
      <c r="A353" s="813">
        <v>508</v>
      </c>
      <c r="B353" s="813" t="s">
        <v>365</v>
      </c>
      <c r="C353" s="813" t="s">
        <v>248</v>
      </c>
      <c r="D353" s="813" t="s">
        <v>16</v>
      </c>
      <c r="E353" s="813" t="s">
        <v>884</v>
      </c>
      <c r="F353" s="813" t="s">
        <v>1030</v>
      </c>
      <c r="H353" s="819" t="s">
        <v>374</v>
      </c>
      <c r="I353" s="820" t="s">
        <v>20</v>
      </c>
      <c r="J353" s="820" t="s">
        <v>248</v>
      </c>
      <c r="L353" s="821">
        <v>1</v>
      </c>
      <c r="M353" s="637">
        <v>25</v>
      </c>
      <c r="N353" s="637">
        <v>200</v>
      </c>
      <c r="O353" s="821">
        <v>1</v>
      </c>
      <c r="P353" s="637">
        <v>25</v>
      </c>
      <c r="Q353" s="637">
        <v>200</v>
      </c>
      <c r="R353" s="813" t="s">
        <v>172</v>
      </c>
      <c r="T353" s="815">
        <f>Q353/P353</f>
        <v>8</v>
      </c>
      <c r="U353" s="899" t="s">
        <v>1219</v>
      </c>
      <c r="V353" s="731"/>
      <c r="W353" s="732"/>
    </row>
    <row r="354" spans="1:23" x14ac:dyDescent="0.25">
      <c r="A354" s="813">
        <v>509</v>
      </c>
      <c r="B354" s="813" t="s">
        <v>365</v>
      </c>
      <c r="C354" s="813" t="s">
        <v>248</v>
      </c>
      <c r="D354" s="813" t="s">
        <v>16</v>
      </c>
      <c r="E354" s="813" t="s">
        <v>884</v>
      </c>
      <c r="F354" s="813" t="s">
        <v>898</v>
      </c>
      <c r="H354" s="819" t="s">
        <v>374</v>
      </c>
      <c r="I354" s="820" t="s">
        <v>20</v>
      </c>
      <c r="J354" s="820" t="s">
        <v>248</v>
      </c>
      <c r="L354" s="821">
        <v>1</v>
      </c>
      <c r="M354" s="637">
        <v>5</v>
      </c>
      <c r="N354" s="637">
        <v>24.75</v>
      </c>
      <c r="O354" s="821">
        <v>1</v>
      </c>
      <c r="P354" s="637">
        <v>5</v>
      </c>
      <c r="Q354" s="637">
        <v>24.75</v>
      </c>
      <c r="R354" s="813" t="s">
        <v>172</v>
      </c>
      <c r="T354" s="815" t="s">
        <v>172</v>
      </c>
      <c r="U354" s="899" t="s">
        <v>1219</v>
      </c>
      <c r="V354" s="731"/>
      <c r="W354" s="732"/>
    </row>
    <row r="355" spans="1:23" x14ac:dyDescent="0.25">
      <c r="A355" s="813">
        <v>510</v>
      </c>
      <c r="B355" s="813" t="s">
        <v>365</v>
      </c>
      <c r="C355" s="813" t="s">
        <v>248</v>
      </c>
      <c r="D355" s="813" t="s">
        <v>16</v>
      </c>
      <c r="E355" s="813" t="s">
        <v>884</v>
      </c>
      <c r="F355" s="813" t="s">
        <v>885</v>
      </c>
      <c r="H355" s="819" t="s">
        <v>374</v>
      </c>
      <c r="I355" s="820" t="s">
        <v>20</v>
      </c>
      <c r="J355" s="820" t="s">
        <v>248</v>
      </c>
      <c r="L355" s="821">
        <v>26</v>
      </c>
      <c r="M355" s="637">
        <v>510</v>
      </c>
      <c r="N355" s="637">
        <v>2271.25</v>
      </c>
      <c r="O355" s="821">
        <v>23</v>
      </c>
      <c r="P355" s="637">
        <v>507</v>
      </c>
      <c r="Q355" s="637">
        <v>2262.5</v>
      </c>
      <c r="R355" s="813" t="s">
        <v>172</v>
      </c>
      <c r="T355" s="815" t="s">
        <v>172</v>
      </c>
      <c r="U355" s="899" t="s">
        <v>1219</v>
      </c>
      <c r="V355" s="731"/>
      <c r="W355" s="732"/>
    </row>
    <row r="356" spans="1:23" x14ac:dyDescent="0.25">
      <c r="A356" s="813">
        <v>511</v>
      </c>
      <c r="B356" s="813" t="s">
        <v>365</v>
      </c>
      <c r="C356" s="813" t="s">
        <v>248</v>
      </c>
      <c r="D356" s="813" t="s">
        <v>16</v>
      </c>
      <c r="E356" s="813" t="s">
        <v>884</v>
      </c>
      <c r="F356" s="813" t="s">
        <v>869</v>
      </c>
      <c r="H356" s="819" t="s">
        <v>374</v>
      </c>
      <c r="I356" s="820" t="s">
        <v>20</v>
      </c>
      <c r="J356" s="820" t="s">
        <v>248</v>
      </c>
      <c r="L356" s="821">
        <v>1</v>
      </c>
      <c r="M356" s="637">
        <v>8</v>
      </c>
      <c r="N356" s="637">
        <v>3.75</v>
      </c>
      <c r="O356" s="821">
        <v>1</v>
      </c>
      <c r="P356" s="637">
        <v>8</v>
      </c>
      <c r="Q356" s="637">
        <v>8</v>
      </c>
      <c r="R356" s="813" t="s">
        <v>172</v>
      </c>
      <c r="T356" s="815" t="s">
        <v>172</v>
      </c>
      <c r="U356" s="899" t="s">
        <v>1219</v>
      </c>
      <c r="V356" s="731"/>
      <c r="W356" s="732"/>
    </row>
    <row r="357" spans="1:23" x14ac:dyDescent="0.25">
      <c r="A357" s="813">
        <v>512</v>
      </c>
      <c r="B357" s="813" t="s">
        <v>365</v>
      </c>
      <c r="C357" s="813" t="s">
        <v>248</v>
      </c>
      <c r="D357" s="813" t="s">
        <v>16</v>
      </c>
      <c r="E357" s="813" t="s">
        <v>884</v>
      </c>
      <c r="F357" s="813" t="s">
        <v>971</v>
      </c>
      <c r="H357" s="819" t="s">
        <v>374</v>
      </c>
      <c r="I357" s="820" t="s">
        <v>20</v>
      </c>
      <c r="J357" s="820" t="s">
        <v>248</v>
      </c>
      <c r="L357" s="821">
        <v>1</v>
      </c>
      <c r="M357" s="637">
        <v>24</v>
      </c>
      <c r="N357" s="637">
        <v>11.25</v>
      </c>
      <c r="O357" s="821">
        <v>1</v>
      </c>
      <c r="P357" s="637">
        <v>24</v>
      </c>
      <c r="Q357" s="637">
        <v>24</v>
      </c>
      <c r="R357" s="813" t="s">
        <v>172</v>
      </c>
      <c r="T357" s="815" t="s">
        <v>172</v>
      </c>
      <c r="U357" s="899" t="s">
        <v>1219</v>
      </c>
      <c r="V357" s="731"/>
      <c r="W357" s="732"/>
    </row>
    <row r="358" spans="1:23" x14ac:dyDescent="0.25">
      <c r="A358" s="813">
        <v>513</v>
      </c>
      <c r="B358" s="813" t="s">
        <v>365</v>
      </c>
      <c r="C358" s="813" t="s">
        <v>248</v>
      </c>
      <c r="D358" s="813" t="s">
        <v>16</v>
      </c>
      <c r="E358" s="813" t="s">
        <v>884</v>
      </c>
      <c r="F358" s="813" t="s">
        <v>1031</v>
      </c>
      <c r="H358" s="819" t="s">
        <v>374</v>
      </c>
      <c r="I358" s="820" t="s">
        <v>20</v>
      </c>
      <c r="J358" s="820" t="s">
        <v>248</v>
      </c>
      <c r="L358" s="821">
        <v>1</v>
      </c>
      <c r="M358" s="637">
        <v>1</v>
      </c>
      <c r="N358" s="637">
        <v>1</v>
      </c>
      <c r="O358" s="821">
        <v>1</v>
      </c>
      <c r="P358" s="637">
        <v>1</v>
      </c>
      <c r="Q358" s="637">
        <v>1</v>
      </c>
      <c r="R358" s="813" t="s">
        <v>172</v>
      </c>
      <c r="T358" s="815" t="s">
        <v>172</v>
      </c>
      <c r="U358" s="899" t="s">
        <v>1219</v>
      </c>
      <c r="V358" s="731"/>
      <c r="W358" s="732"/>
    </row>
    <row r="359" spans="1:23" x14ac:dyDescent="0.25">
      <c r="A359" s="813">
        <v>514</v>
      </c>
      <c r="B359" s="813" t="s">
        <v>365</v>
      </c>
      <c r="C359" s="813" t="s">
        <v>248</v>
      </c>
      <c r="D359" s="813" t="s">
        <v>16</v>
      </c>
      <c r="E359" s="813" t="s">
        <v>884</v>
      </c>
      <c r="F359" s="813" t="s">
        <v>875</v>
      </c>
      <c r="H359" s="819" t="s">
        <v>374</v>
      </c>
      <c r="I359" s="820" t="s">
        <v>20</v>
      </c>
      <c r="J359" s="820" t="s">
        <v>248</v>
      </c>
      <c r="L359" s="821">
        <v>1</v>
      </c>
      <c r="M359" s="637">
        <v>1</v>
      </c>
      <c r="N359" s="637">
        <v>0.25</v>
      </c>
      <c r="O359" s="821">
        <v>1</v>
      </c>
      <c r="P359" s="637">
        <v>1</v>
      </c>
      <c r="Q359" s="637">
        <v>1</v>
      </c>
      <c r="R359" s="813" t="s">
        <v>172</v>
      </c>
      <c r="T359" s="815" t="s">
        <v>172</v>
      </c>
      <c r="U359" s="899" t="s">
        <v>1219</v>
      </c>
      <c r="V359" s="731"/>
      <c r="W359" s="732"/>
    </row>
    <row r="360" spans="1:23" x14ac:dyDescent="0.25">
      <c r="A360" s="813">
        <v>515</v>
      </c>
      <c r="B360" s="813" t="s">
        <v>365</v>
      </c>
      <c r="C360" s="813" t="s">
        <v>905</v>
      </c>
      <c r="D360" s="813" t="s">
        <v>16</v>
      </c>
      <c r="E360" s="813" t="s">
        <v>884</v>
      </c>
      <c r="F360" s="813" t="s">
        <v>1032</v>
      </c>
      <c r="H360" s="819" t="s">
        <v>374</v>
      </c>
      <c r="I360" s="820" t="s">
        <v>20</v>
      </c>
      <c r="J360" s="820" t="s">
        <v>248</v>
      </c>
      <c r="L360" s="821">
        <v>1</v>
      </c>
      <c r="M360" s="637">
        <v>202</v>
      </c>
      <c r="N360" s="637">
        <v>2398</v>
      </c>
      <c r="O360" s="821">
        <v>1</v>
      </c>
      <c r="P360" s="637">
        <v>202</v>
      </c>
      <c r="Q360" s="637">
        <v>2398</v>
      </c>
      <c r="R360" s="813" t="s">
        <v>172</v>
      </c>
      <c r="T360" s="815" t="s">
        <v>172</v>
      </c>
      <c r="U360" s="899" t="s">
        <v>1219</v>
      </c>
      <c r="V360" s="731"/>
      <c r="W360" s="732"/>
    </row>
    <row r="361" spans="1:23" x14ac:dyDescent="0.25">
      <c r="A361" s="813">
        <v>516</v>
      </c>
      <c r="B361" s="813" t="s">
        <v>365</v>
      </c>
      <c r="C361" s="813" t="s">
        <v>905</v>
      </c>
      <c r="D361" s="813" t="s">
        <v>16</v>
      </c>
      <c r="E361" s="813" t="s">
        <v>884</v>
      </c>
      <c r="F361" s="813" t="s">
        <v>885</v>
      </c>
      <c r="H361" s="819" t="s">
        <v>374</v>
      </c>
      <c r="I361" s="820" t="s">
        <v>20</v>
      </c>
      <c r="J361" s="820" t="s">
        <v>248</v>
      </c>
      <c r="L361" s="821">
        <v>17</v>
      </c>
      <c r="M361" s="637">
        <v>793</v>
      </c>
      <c r="N361" s="637">
        <v>5283.25</v>
      </c>
      <c r="O361" s="821">
        <v>15</v>
      </c>
      <c r="P361" s="637">
        <v>769</v>
      </c>
      <c r="Q361" s="637">
        <v>5189.75</v>
      </c>
      <c r="R361" s="813" t="s">
        <v>172</v>
      </c>
      <c r="T361" s="815" t="s">
        <v>172</v>
      </c>
      <c r="U361" s="899" t="s">
        <v>1219</v>
      </c>
      <c r="V361" s="731"/>
      <c r="W361" s="732"/>
    </row>
    <row r="362" spans="1:23" x14ac:dyDescent="0.25">
      <c r="A362" s="813">
        <v>517</v>
      </c>
      <c r="B362" s="813" t="s">
        <v>365</v>
      </c>
      <c r="C362" s="813" t="s">
        <v>905</v>
      </c>
      <c r="D362" s="813" t="s">
        <v>16</v>
      </c>
      <c r="E362" s="813" t="s">
        <v>884</v>
      </c>
      <c r="F362" s="813" t="s">
        <v>1033</v>
      </c>
      <c r="H362" s="819" t="s">
        <v>374</v>
      </c>
      <c r="I362" s="820" t="s">
        <v>20</v>
      </c>
      <c r="J362" s="820" t="s">
        <v>248</v>
      </c>
      <c r="L362" s="821">
        <v>1</v>
      </c>
      <c r="M362" s="637">
        <v>65</v>
      </c>
      <c r="N362" s="637">
        <v>1538</v>
      </c>
      <c r="O362" s="821">
        <v>1</v>
      </c>
      <c r="P362" s="637">
        <v>65</v>
      </c>
      <c r="Q362" s="637">
        <f>P362*13</f>
        <v>845</v>
      </c>
      <c r="R362" s="813" t="s">
        <v>172</v>
      </c>
      <c r="T362" s="815">
        <f>Q362/P362</f>
        <v>13</v>
      </c>
      <c r="U362" s="899" t="s">
        <v>1219</v>
      </c>
      <c r="V362" s="731"/>
      <c r="W362" s="732"/>
    </row>
    <row r="363" spans="1:23" x14ac:dyDescent="0.25">
      <c r="A363" s="813">
        <v>518</v>
      </c>
      <c r="B363" s="813" t="s">
        <v>365</v>
      </c>
      <c r="C363" s="813" t="s">
        <v>905</v>
      </c>
      <c r="D363" s="813" t="s">
        <v>16</v>
      </c>
      <c r="E363" s="813" t="s">
        <v>884</v>
      </c>
      <c r="F363" s="813" t="s">
        <v>889</v>
      </c>
      <c r="H363" s="819" t="s">
        <v>374</v>
      </c>
      <c r="I363" s="820" t="s">
        <v>20</v>
      </c>
      <c r="J363" s="820" t="s">
        <v>248</v>
      </c>
      <c r="L363" s="821">
        <v>1</v>
      </c>
      <c r="M363" s="637">
        <v>1</v>
      </c>
      <c r="N363" s="637">
        <v>0.5</v>
      </c>
      <c r="O363" s="821">
        <v>1</v>
      </c>
      <c r="P363" s="637">
        <v>1</v>
      </c>
      <c r="Q363" s="637">
        <v>1</v>
      </c>
      <c r="R363" s="813" t="s">
        <v>172</v>
      </c>
      <c r="T363" s="815" t="s">
        <v>172</v>
      </c>
      <c r="U363" s="899" t="s">
        <v>1219</v>
      </c>
      <c r="V363" s="731"/>
      <c r="W363" s="732"/>
    </row>
    <row r="364" spans="1:23" x14ac:dyDescent="0.25">
      <c r="A364" s="813">
        <v>519</v>
      </c>
      <c r="B364" s="813" t="s">
        <v>365</v>
      </c>
      <c r="C364" s="813" t="s">
        <v>905</v>
      </c>
      <c r="D364" s="813" t="s">
        <v>16</v>
      </c>
      <c r="E364" s="813" t="s">
        <v>884</v>
      </c>
      <c r="F364" s="813" t="s">
        <v>869</v>
      </c>
      <c r="H364" s="819" t="s">
        <v>374</v>
      </c>
      <c r="I364" s="820" t="s">
        <v>20</v>
      </c>
      <c r="J364" s="820" t="s">
        <v>248</v>
      </c>
      <c r="L364" s="821">
        <v>13</v>
      </c>
      <c r="M364" s="637">
        <v>13</v>
      </c>
      <c r="N364" s="637">
        <v>6.5</v>
      </c>
      <c r="O364" s="821">
        <v>12</v>
      </c>
      <c r="P364" s="637">
        <v>12</v>
      </c>
      <c r="Q364" s="637">
        <v>12</v>
      </c>
      <c r="R364" s="813" t="s">
        <v>172</v>
      </c>
      <c r="T364" s="815" t="s">
        <v>172</v>
      </c>
      <c r="U364" s="899" t="s">
        <v>1219</v>
      </c>
      <c r="V364" s="731"/>
      <c r="W364" s="732"/>
    </row>
    <row r="365" spans="1:23" x14ac:dyDescent="0.25">
      <c r="A365" s="813">
        <v>520</v>
      </c>
      <c r="B365" s="813" t="s">
        <v>365</v>
      </c>
      <c r="C365" s="813" t="s">
        <v>905</v>
      </c>
      <c r="D365" s="813" t="s">
        <v>16</v>
      </c>
      <c r="E365" s="813" t="s">
        <v>884</v>
      </c>
      <c r="F365" s="813" t="s">
        <v>875</v>
      </c>
      <c r="H365" s="819" t="s">
        <v>374</v>
      </c>
      <c r="I365" s="820" t="s">
        <v>20</v>
      </c>
      <c r="J365" s="820" t="s">
        <v>248</v>
      </c>
      <c r="L365" s="821">
        <v>3</v>
      </c>
      <c r="M365" s="637">
        <v>3</v>
      </c>
      <c r="N365" s="637">
        <v>1.5</v>
      </c>
      <c r="O365" s="821">
        <v>3</v>
      </c>
      <c r="P365" s="637">
        <v>3</v>
      </c>
      <c r="Q365" s="637">
        <v>3</v>
      </c>
      <c r="R365" s="813" t="s">
        <v>172</v>
      </c>
      <c r="T365" s="815" t="s">
        <v>172</v>
      </c>
      <c r="U365" s="899" t="s">
        <v>1219</v>
      </c>
      <c r="V365" s="731"/>
      <c r="W365" s="732"/>
    </row>
    <row r="366" spans="1:23" x14ac:dyDescent="0.25">
      <c r="A366" s="813">
        <v>521</v>
      </c>
      <c r="B366" s="813" t="s">
        <v>365</v>
      </c>
      <c r="C366" s="813" t="s">
        <v>491</v>
      </c>
      <c r="D366" s="813" t="s">
        <v>13</v>
      </c>
      <c r="E366" s="813" t="s">
        <v>13</v>
      </c>
      <c r="F366" s="813" t="s">
        <v>877</v>
      </c>
      <c r="G366" s="813" t="s">
        <v>860</v>
      </c>
      <c r="H366" s="819" t="s">
        <v>391</v>
      </c>
      <c r="I366" s="820" t="s">
        <v>20</v>
      </c>
      <c r="J366" s="820" t="s">
        <v>16</v>
      </c>
      <c r="K366" s="813" t="s">
        <v>13</v>
      </c>
      <c r="L366" s="821">
        <v>7</v>
      </c>
      <c r="M366" s="637">
        <v>105</v>
      </c>
      <c r="N366" s="637">
        <v>417</v>
      </c>
      <c r="O366" s="821">
        <v>6</v>
      </c>
      <c r="P366" s="637">
        <v>95</v>
      </c>
      <c r="Q366" s="637">
        <v>377</v>
      </c>
      <c r="R366" s="813" t="s">
        <v>172</v>
      </c>
      <c r="T366" s="815" t="s">
        <v>172</v>
      </c>
      <c r="U366" s="899" t="s">
        <v>1219</v>
      </c>
      <c r="V366" s="731"/>
      <c r="W366" s="732"/>
    </row>
    <row r="367" spans="1:23" x14ac:dyDescent="0.25">
      <c r="A367" s="813">
        <v>522</v>
      </c>
      <c r="B367" s="813" t="s">
        <v>365</v>
      </c>
      <c r="C367" s="813" t="s">
        <v>1034</v>
      </c>
      <c r="D367" s="813" t="s">
        <v>16</v>
      </c>
      <c r="E367" s="813" t="s">
        <v>14</v>
      </c>
      <c r="F367" s="813" t="s">
        <v>885</v>
      </c>
      <c r="G367" s="813" t="s">
        <v>868</v>
      </c>
      <c r="H367" s="819" t="s">
        <v>35</v>
      </c>
      <c r="I367" s="820" t="s">
        <v>20</v>
      </c>
      <c r="J367" s="820" t="s">
        <v>428</v>
      </c>
      <c r="L367" s="821">
        <v>1</v>
      </c>
      <c r="M367" s="637">
        <v>94</v>
      </c>
      <c r="N367" s="637">
        <v>1119</v>
      </c>
      <c r="O367" s="821">
        <v>0</v>
      </c>
      <c r="P367" s="637">
        <v>0</v>
      </c>
      <c r="R367" s="813" t="s">
        <v>172</v>
      </c>
      <c r="T367" s="815" t="s">
        <v>172</v>
      </c>
      <c r="U367" s="900" t="s">
        <v>1220</v>
      </c>
      <c r="V367" s="731"/>
      <c r="W367" s="732"/>
    </row>
    <row r="368" spans="1:23" x14ac:dyDescent="0.25">
      <c r="A368" s="813">
        <v>523</v>
      </c>
      <c r="B368" s="813" t="s">
        <v>365</v>
      </c>
      <c r="C368" s="813" t="s">
        <v>1034</v>
      </c>
      <c r="D368" s="813" t="s">
        <v>16</v>
      </c>
      <c r="E368" s="813" t="s">
        <v>14</v>
      </c>
      <c r="F368" s="813" t="s">
        <v>875</v>
      </c>
      <c r="H368" s="819" t="s">
        <v>39</v>
      </c>
      <c r="I368" s="820" t="s">
        <v>20</v>
      </c>
      <c r="J368" s="820" t="s">
        <v>428</v>
      </c>
      <c r="L368" s="821">
        <v>1</v>
      </c>
      <c r="M368" s="637">
        <v>1</v>
      </c>
      <c r="N368" s="637">
        <v>1</v>
      </c>
      <c r="O368" s="821">
        <v>1</v>
      </c>
      <c r="P368" s="637">
        <v>1</v>
      </c>
      <c r="Q368" s="637">
        <v>1</v>
      </c>
      <c r="R368" s="806" t="s">
        <v>507</v>
      </c>
      <c r="T368" s="815" t="s">
        <v>172</v>
      </c>
      <c r="U368" s="900" t="s">
        <v>1220</v>
      </c>
      <c r="V368" s="731"/>
      <c r="W368" s="732"/>
    </row>
    <row r="369" spans="1:23" x14ac:dyDescent="0.25">
      <c r="A369" s="813">
        <v>524</v>
      </c>
      <c r="B369" s="813" t="s">
        <v>365</v>
      </c>
      <c r="C369" s="813" t="s">
        <v>494</v>
      </c>
      <c r="D369" s="813" t="s">
        <v>13</v>
      </c>
      <c r="E369" s="813" t="s">
        <v>13</v>
      </c>
      <c r="F369" s="813" t="s">
        <v>877</v>
      </c>
      <c r="G369" s="813" t="s">
        <v>1035</v>
      </c>
      <c r="H369" s="819" t="s">
        <v>391</v>
      </c>
      <c r="I369" s="820" t="s">
        <v>20</v>
      </c>
      <c r="J369" s="820" t="s">
        <v>16</v>
      </c>
      <c r="K369" s="813" t="s">
        <v>13</v>
      </c>
      <c r="L369" s="821">
        <v>4</v>
      </c>
      <c r="M369" s="637">
        <v>414</v>
      </c>
      <c r="N369" s="637">
        <v>2768.5</v>
      </c>
      <c r="O369" s="821">
        <v>2</v>
      </c>
      <c r="P369" s="637">
        <v>364</v>
      </c>
      <c r="Q369" s="637">
        <v>2430.5</v>
      </c>
      <c r="R369" s="813" t="s">
        <v>172</v>
      </c>
      <c r="T369" s="815" t="s">
        <v>172</v>
      </c>
      <c r="U369" s="899" t="s">
        <v>1219</v>
      </c>
      <c r="V369" s="731"/>
      <c r="W369" s="732"/>
    </row>
    <row r="370" spans="1:23" x14ac:dyDescent="0.25">
      <c r="A370" s="813">
        <v>525</v>
      </c>
      <c r="B370" s="813" t="s">
        <v>365</v>
      </c>
      <c r="C370" s="813" t="s">
        <v>953</v>
      </c>
      <c r="D370" s="813" t="s">
        <v>16</v>
      </c>
      <c r="E370" s="813" t="s">
        <v>14</v>
      </c>
      <c r="F370" s="813" t="s">
        <v>889</v>
      </c>
      <c r="H370" s="819" t="s">
        <v>39</v>
      </c>
      <c r="I370" s="820" t="s">
        <v>20</v>
      </c>
      <c r="J370" s="820" t="s">
        <v>428</v>
      </c>
      <c r="L370" s="821">
        <v>3</v>
      </c>
      <c r="M370" s="637">
        <v>4</v>
      </c>
      <c r="N370" s="637">
        <v>4</v>
      </c>
      <c r="O370" s="821">
        <v>3</v>
      </c>
      <c r="P370" s="637">
        <v>4</v>
      </c>
      <c r="Q370" s="637">
        <v>4</v>
      </c>
      <c r="R370" s="806" t="s">
        <v>507</v>
      </c>
      <c r="T370" s="815" t="s">
        <v>172</v>
      </c>
      <c r="U370" s="900" t="s">
        <v>1220</v>
      </c>
      <c r="V370" s="731"/>
      <c r="W370" s="732"/>
    </row>
    <row r="371" spans="1:23" x14ac:dyDescent="0.25">
      <c r="A371" s="813">
        <v>526</v>
      </c>
      <c r="B371" s="813" t="s">
        <v>365</v>
      </c>
      <c r="C371" s="813" t="s">
        <v>953</v>
      </c>
      <c r="D371" s="813" t="s">
        <v>16</v>
      </c>
      <c r="E371" s="813" t="s">
        <v>14</v>
      </c>
      <c r="F371" s="813" t="s">
        <v>869</v>
      </c>
      <c r="H371" s="819" t="s">
        <v>39</v>
      </c>
      <c r="I371" s="820" t="s">
        <v>20</v>
      </c>
      <c r="J371" s="820" t="s">
        <v>428</v>
      </c>
      <c r="L371" s="821">
        <v>9</v>
      </c>
      <c r="M371" s="637">
        <v>9</v>
      </c>
      <c r="N371" s="637">
        <v>9</v>
      </c>
      <c r="O371" s="821">
        <v>7</v>
      </c>
      <c r="P371" s="637">
        <v>7</v>
      </c>
      <c r="Q371" s="637">
        <v>7</v>
      </c>
      <c r="R371" s="806" t="s">
        <v>507</v>
      </c>
      <c r="T371" s="815" t="s">
        <v>172</v>
      </c>
      <c r="U371" s="900" t="s">
        <v>1220</v>
      </c>
      <c r="V371" s="731"/>
      <c r="W371" s="732"/>
    </row>
    <row r="372" spans="1:23" x14ac:dyDescent="0.25">
      <c r="A372" s="813">
        <v>527</v>
      </c>
      <c r="B372" s="813" t="s">
        <v>365</v>
      </c>
      <c r="C372" s="813" t="s">
        <v>953</v>
      </c>
      <c r="D372" s="813" t="s">
        <v>16</v>
      </c>
      <c r="E372" s="813" t="s">
        <v>14</v>
      </c>
      <c r="F372" s="813" t="s">
        <v>875</v>
      </c>
      <c r="H372" s="819" t="s">
        <v>39</v>
      </c>
      <c r="I372" s="820" t="s">
        <v>20</v>
      </c>
      <c r="J372" s="820" t="s">
        <v>428</v>
      </c>
      <c r="L372" s="821">
        <v>22</v>
      </c>
      <c r="M372" s="637">
        <v>37</v>
      </c>
      <c r="N372" s="637">
        <v>37</v>
      </c>
      <c r="O372" s="821">
        <v>22</v>
      </c>
      <c r="P372" s="637">
        <v>37</v>
      </c>
      <c r="Q372" s="637">
        <v>37</v>
      </c>
      <c r="R372" s="806" t="s">
        <v>507</v>
      </c>
      <c r="T372" s="815" t="s">
        <v>172</v>
      </c>
      <c r="U372" s="900" t="s">
        <v>1220</v>
      </c>
      <c r="V372" s="731"/>
      <c r="W372" s="732"/>
    </row>
    <row r="373" spans="1:23" x14ac:dyDescent="0.25">
      <c r="A373" s="813">
        <v>528</v>
      </c>
      <c r="B373" s="813" t="s">
        <v>365</v>
      </c>
      <c r="C373" s="813" t="s">
        <v>953</v>
      </c>
      <c r="D373" s="813" t="s">
        <v>16</v>
      </c>
      <c r="E373" s="813" t="s">
        <v>14</v>
      </c>
      <c r="F373" s="813" t="s">
        <v>868</v>
      </c>
      <c r="G373" s="813" t="s">
        <v>868</v>
      </c>
      <c r="H373" s="819" t="s">
        <v>35</v>
      </c>
      <c r="I373" s="820" t="s">
        <v>20</v>
      </c>
      <c r="J373" s="820" t="s">
        <v>428</v>
      </c>
      <c r="L373" s="821">
        <v>35</v>
      </c>
      <c r="M373" s="637">
        <v>6182</v>
      </c>
      <c r="N373" s="637">
        <v>44875</v>
      </c>
      <c r="O373" s="821">
        <v>32</v>
      </c>
      <c r="P373" s="637">
        <v>6041</v>
      </c>
      <c r="Q373" s="637">
        <v>44132</v>
      </c>
      <c r="R373" s="813" t="s">
        <v>172</v>
      </c>
      <c r="T373" s="815" t="s">
        <v>172</v>
      </c>
      <c r="U373" s="900" t="s">
        <v>1220</v>
      </c>
      <c r="V373" s="731"/>
      <c r="W373" s="732"/>
    </row>
    <row r="374" spans="1:23" x14ac:dyDescent="0.25">
      <c r="A374" s="813">
        <v>529</v>
      </c>
      <c r="B374" s="813" t="s">
        <v>365</v>
      </c>
      <c r="C374" s="813" t="s">
        <v>953</v>
      </c>
      <c r="D374" s="813" t="s">
        <v>16</v>
      </c>
      <c r="E374" s="813" t="s">
        <v>14</v>
      </c>
      <c r="F374" s="813" t="s">
        <v>933</v>
      </c>
      <c r="G374" s="813" t="s">
        <v>933</v>
      </c>
      <c r="H374" s="819" t="s">
        <v>37</v>
      </c>
      <c r="I374" s="820" t="s">
        <v>20</v>
      </c>
      <c r="J374" s="820" t="s">
        <v>428</v>
      </c>
      <c r="L374" s="821">
        <v>2</v>
      </c>
      <c r="M374" s="637">
        <v>482</v>
      </c>
      <c r="N374" s="637">
        <v>6266</v>
      </c>
      <c r="O374" s="821">
        <v>2</v>
      </c>
      <c r="P374" s="637">
        <v>482</v>
      </c>
      <c r="Q374" s="637">
        <v>6266</v>
      </c>
      <c r="R374" s="813" t="s">
        <v>172</v>
      </c>
      <c r="T374" s="815">
        <v>13</v>
      </c>
      <c r="U374" s="900" t="s">
        <v>1220</v>
      </c>
      <c r="V374" s="731"/>
      <c r="W374" s="732"/>
    </row>
    <row r="375" spans="1:23" x14ac:dyDescent="0.25">
      <c r="A375" s="813">
        <v>533</v>
      </c>
      <c r="B375" s="813" t="s">
        <v>365</v>
      </c>
      <c r="C375" s="813" t="s">
        <v>954</v>
      </c>
      <c r="D375" s="813" t="s">
        <v>16</v>
      </c>
      <c r="E375" s="813" t="s">
        <v>15</v>
      </c>
      <c r="F375" s="813" t="s">
        <v>889</v>
      </c>
      <c r="H375" s="819" t="s">
        <v>39</v>
      </c>
      <c r="I375" s="820" t="s">
        <v>20</v>
      </c>
      <c r="J375" s="820" t="s">
        <v>428</v>
      </c>
      <c r="L375" s="821">
        <v>1</v>
      </c>
      <c r="M375" s="637">
        <v>1</v>
      </c>
      <c r="N375" s="637">
        <v>1</v>
      </c>
      <c r="O375" s="821">
        <v>1</v>
      </c>
      <c r="P375" s="637">
        <v>1</v>
      </c>
      <c r="Q375" s="637">
        <v>1</v>
      </c>
      <c r="R375" s="806" t="s">
        <v>507</v>
      </c>
      <c r="T375" s="815" t="s">
        <v>172</v>
      </c>
      <c r="U375" s="900" t="s">
        <v>1220</v>
      </c>
      <c r="V375" s="731"/>
      <c r="W375" s="732"/>
    </row>
    <row r="376" spans="1:23" x14ac:dyDescent="0.25">
      <c r="A376" s="813">
        <v>534</v>
      </c>
      <c r="B376" s="813" t="s">
        <v>365</v>
      </c>
      <c r="C376" s="813" t="s">
        <v>954</v>
      </c>
      <c r="D376" s="813" t="s">
        <v>16</v>
      </c>
      <c r="E376" s="813" t="s">
        <v>15</v>
      </c>
      <c r="F376" s="813" t="s">
        <v>1036</v>
      </c>
      <c r="H376" s="819" t="s">
        <v>39</v>
      </c>
      <c r="I376" s="820" t="s">
        <v>20</v>
      </c>
      <c r="J376" s="820" t="s">
        <v>428</v>
      </c>
      <c r="L376" s="821">
        <v>1</v>
      </c>
      <c r="M376" s="637">
        <v>1</v>
      </c>
      <c r="N376" s="637">
        <v>1</v>
      </c>
      <c r="O376" s="821">
        <v>1</v>
      </c>
      <c r="P376" s="637">
        <v>1</v>
      </c>
      <c r="Q376" s="637">
        <v>1</v>
      </c>
      <c r="R376" s="813" t="s">
        <v>529</v>
      </c>
      <c r="T376" s="815" t="s">
        <v>172</v>
      </c>
      <c r="U376" s="900" t="s">
        <v>1220</v>
      </c>
      <c r="V376" s="731"/>
      <c r="W376" s="732"/>
    </row>
    <row r="377" spans="1:23" x14ac:dyDescent="0.25">
      <c r="A377" s="813">
        <v>535</v>
      </c>
      <c r="B377" s="813" t="s">
        <v>365</v>
      </c>
      <c r="C377" s="813" t="s">
        <v>954</v>
      </c>
      <c r="D377" s="813" t="s">
        <v>16</v>
      </c>
      <c r="E377" s="813" t="s">
        <v>15</v>
      </c>
      <c r="F377" s="813" t="s">
        <v>868</v>
      </c>
      <c r="G377" s="813" t="s">
        <v>868</v>
      </c>
      <c r="H377" s="819" t="s">
        <v>35</v>
      </c>
      <c r="I377" s="820" t="s">
        <v>20</v>
      </c>
      <c r="J377" s="820" t="s">
        <v>428</v>
      </c>
      <c r="L377" s="821">
        <v>2</v>
      </c>
      <c r="M377" s="637">
        <v>133</v>
      </c>
      <c r="N377" s="637">
        <v>1079.25</v>
      </c>
      <c r="O377" s="821">
        <v>2</v>
      </c>
      <c r="P377" s="637">
        <v>133</v>
      </c>
      <c r="Q377" s="637">
        <v>1079.25</v>
      </c>
      <c r="R377" s="813" t="s">
        <v>172</v>
      </c>
      <c r="T377" s="815" t="s">
        <v>172</v>
      </c>
      <c r="U377" s="900" t="s">
        <v>1220</v>
      </c>
      <c r="V377" s="731"/>
      <c r="W377" s="732"/>
    </row>
    <row r="378" spans="1:23" x14ac:dyDescent="0.25">
      <c r="A378" s="813">
        <v>536</v>
      </c>
      <c r="B378" s="813" t="s">
        <v>365</v>
      </c>
      <c r="C378" s="813" t="s">
        <v>954</v>
      </c>
      <c r="D378" s="813" t="s">
        <v>16</v>
      </c>
      <c r="E378" s="813" t="s">
        <v>15</v>
      </c>
      <c r="F378" s="813" t="s">
        <v>863</v>
      </c>
      <c r="G378" s="813" t="s">
        <v>863</v>
      </c>
      <c r="H378" s="819" t="s">
        <v>18</v>
      </c>
      <c r="I378" s="820" t="s">
        <v>15</v>
      </c>
      <c r="J378" s="820" t="s">
        <v>421</v>
      </c>
      <c r="L378" s="821">
        <v>36</v>
      </c>
      <c r="M378" s="637">
        <v>8135</v>
      </c>
      <c r="N378" s="637">
        <v>53003.25</v>
      </c>
      <c r="O378" s="821">
        <v>32</v>
      </c>
      <c r="P378" s="637">
        <v>7682</v>
      </c>
      <c r="Q378" s="637">
        <v>50486.25</v>
      </c>
      <c r="R378" s="813" t="s">
        <v>172</v>
      </c>
      <c r="T378" s="815" t="s">
        <v>172</v>
      </c>
      <c r="U378" s="900" t="s">
        <v>1220</v>
      </c>
      <c r="V378" s="731"/>
      <c r="W378" s="732"/>
    </row>
    <row r="379" spans="1:23" x14ac:dyDescent="0.25">
      <c r="A379" s="813">
        <v>537</v>
      </c>
      <c r="B379" s="813" t="s">
        <v>365</v>
      </c>
      <c r="C379" s="813" t="s">
        <v>1037</v>
      </c>
      <c r="D379" s="813" t="s">
        <v>434</v>
      </c>
      <c r="E379" s="813" t="s">
        <v>244</v>
      </c>
      <c r="F379" s="813" t="s">
        <v>1038</v>
      </c>
      <c r="G379" s="813" t="s">
        <v>1039</v>
      </c>
      <c r="H379" s="819" t="s">
        <v>390</v>
      </c>
      <c r="I379" s="820" t="s">
        <v>20</v>
      </c>
      <c r="J379" s="820" t="s">
        <v>16</v>
      </c>
      <c r="L379" s="821">
        <v>2</v>
      </c>
      <c r="M379" s="637">
        <v>1318</v>
      </c>
      <c r="N379" s="637">
        <v>15487.5</v>
      </c>
      <c r="O379" s="821">
        <v>2</v>
      </c>
      <c r="P379" s="637">
        <v>1318</v>
      </c>
      <c r="Q379" s="637">
        <v>15487.5</v>
      </c>
      <c r="R379" s="813" t="s">
        <v>172</v>
      </c>
      <c r="T379" s="815" t="s">
        <v>172</v>
      </c>
      <c r="U379" s="899" t="s">
        <v>1219</v>
      </c>
      <c r="V379" s="731"/>
      <c r="W379" s="732"/>
    </row>
    <row r="380" spans="1:23" x14ac:dyDescent="0.25">
      <c r="A380" s="813">
        <v>538</v>
      </c>
      <c r="B380" s="813" t="s">
        <v>365</v>
      </c>
      <c r="C380" s="813" t="s">
        <v>1037</v>
      </c>
      <c r="D380" s="813" t="s">
        <v>434</v>
      </c>
      <c r="E380" s="813" t="s">
        <v>244</v>
      </c>
      <c r="F380" s="813" t="s">
        <v>889</v>
      </c>
      <c r="H380" s="819" t="s">
        <v>390</v>
      </c>
      <c r="I380" s="820" t="s">
        <v>20</v>
      </c>
      <c r="J380" s="820" t="s">
        <v>16</v>
      </c>
      <c r="L380" s="821">
        <v>1</v>
      </c>
      <c r="M380" s="637">
        <v>2</v>
      </c>
      <c r="N380" s="637">
        <v>1.5</v>
      </c>
      <c r="O380" s="821">
        <v>1</v>
      </c>
      <c r="P380" s="637">
        <v>2</v>
      </c>
      <c r="Q380" s="637">
        <v>2</v>
      </c>
      <c r="T380" s="815" t="s">
        <v>172</v>
      </c>
      <c r="U380" s="899" t="s">
        <v>1219</v>
      </c>
      <c r="V380" s="731"/>
      <c r="W380" s="732"/>
    </row>
    <row r="381" spans="1:23" x14ac:dyDescent="0.25">
      <c r="A381" s="813">
        <v>539</v>
      </c>
      <c r="B381" s="813" t="s">
        <v>365</v>
      </c>
      <c r="C381" s="813" t="s">
        <v>1037</v>
      </c>
      <c r="D381" s="813" t="s">
        <v>434</v>
      </c>
      <c r="E381" s="813" t="s">
        <v>244</v>
      </c>
      <c r="F381" s="813" t="s">
        <v>875</v>
      </c>
      <c r="H381" s="819" t="s">
        <v>390</v>
      </c>
      <c r="I381" s="820" t="s">
        <v>20</v>
      </c>
      <c r="J381" s="820" t="s">
        <v>16</v>
      </c>
      <c r="L381" s="821">
        <v>2</v>
      </c>
      <c r="M381" s="637">
        <v>4</v>
      </c>
      <c r="N381" s="637">
        <v>4</v>
      </c>
      <c r="O381" s="821">
        <v>2</v>
      </c>
      <c r="P381" s="637">
        <v>4</v>
      </c>
      <c r="Q381" s="637">
        <v>4</v>
      </c>
      <c r="T381" s="815" t="s">
        <v>172</v>
      </c>
      <c r="U381" s="899" t="s">
        <v>1219</v>
      </c>
      <c r="V381" s="731"/>
      <c r="W381" s="732"/>
    </row>
    <row r="382" spans="1:23" x14ac:dyDescent="0.25">
      <c r="A382" s="813">
        <v>540</v>
      </c>
      <c r="B382" s="813" t="s">
        <v>365</v>
      </c>
      <c r="C382" s="813" t="s">
        <v>1037</v>
      </c>
      <c r="D382" s="813" t="s">
        <v>434</v>
      </c>
      <c r="E382" s="813" t="s">
        <v>244</v>
      </c>
      <c r="F382" s="813" t="s">
        <v>1040</v>
      </c>
      <c r="G382" s="813" t="s">
        <v>1041</v>
      </c>
      <c r="H382" s="819" t="s">
        <v>390</v>
      </c>
      <c r="I382" s="820" t="s">
        <v>20</v>
      </c>
      <c r="J382" s="820" t="s">
        <v>16</v>
      </c>
      <c r="L382" s="821">
        <v>2</v>
      </c>
      <c r="M382" s="637">
        <v>14</v>
      </c>
      <c r="N382" s="637">
        <v>3.5</v>
      </c>
      <c r="O382" s="821">
        <v>2</v>
      </c>
      <c r="P382" s="637">
        <v>14</v>
      </c>
      <c r="Q382" s="637">
        <v>3.5</v>
      </c>
      <c r="T382" s="815" t="s">
        <v>172</v>
      </c>
      <c r="U382" s="899" t="s">
        <v>1219</v>
      </c>
      <c r="V382" s="731"/>
      <c r="W382" s="732"/>
    </row>
    <row r="383" spans="1:23" x14ac:dyDescent="0.25">
      <c r="A383" s="813">
        <v>546</v>
      </c>
      <c r="B383" s="813" t="s">
        <v>365</v>
      </c>
      <c r="C383" s="813" t="s">
        <v>955</v>
      </c>
      <c r="D383" s="813" t="s">
        <v>495</v>
      </c>
      <c r="E383" s="813" t="s">
        <v>15</v>
      </c>
      <c r="F383" s="813" t="s">
        <v>837</v>
      </c>
      <c r="G383" s="813" t="s">
        <v>934</v>
      </c>
      <c r="H383" s="819" t="s">
        <v>43</v>
      </c>
      <c r="I383" s="820" t="s">
        <v>15</v>
      </c>
      <c r="J383" s="820" t="s">
        <v>421</v>
      </c>
      <c r="L383" s="821">
        <v>2</v>
      </c>
      <c r="M383" s="637">
        <v>95</v>
      </c>
      <c r="N383" s="637">
        <v>1235</v>
      </c>
      <c r="O383" s="821">
        <v>1</v>
      </c>
      <c r="P383" s="637">
        <v>20</v>
      </c>
      <c r="Q383" s="637">
        <v>260</v>
      </c>
      <c r="R383" s="813" t="s">
        <v>172</v>
      </c>
      <c r="T383" s="815">
        <v>13</v>
      </c>
      <c r="U383" s="900" t="s">
        <v>1220</v>
      </c>
      <c r="V383" s="731"/>
      <c r="W383" s="732"/>
    </row>
    <row r="384" spans="1:23" x14ac:dyDescent="0.25">
      <c r="A384" s="813">
        <v>547</v>
      </c>
      <c r="B384" s="813" t="s">
        <v>365</v>
      </c>
      <c r="C384" s="813" t="s">
        <v>955</v>
      </c>
      <c r="D384" s="813" t="s">
        <v>495</v>
      </c>
      <c r="E384" s="813" t="s">
        <v>15</v>
      </c>
      <c r="F384" s="813" t="s">
        <v>898</v>
      </c>
      <c r="G384" s="813" t="s">
        <v>863</v>
      </c>
      <c r="H384" s="819" t="s">
        <v>18</v>
      </c>
      <c r="I384" s="820" t="s">
        <v>15</v>
      </c>
      <c r="J384" s="820" t="s">
        <v>421</v>
      </c>
      <c r="L384" s="821">
        <v>245</v>
      </c>
      <c r="M384" s="637">
        <v>33692</v>
      </c>
      <c r="N384" s="637">
        <v>170595.5</v>
      </c>
      <c r="O384" s="821">
        <v>229</v>
      </c>
      <c r="P384" s="637">
        <v>33052</v>
      </c>
      <c r="Q384" s="637">
        <v>166843.25</v>
      </c>
      <c r="R384" s="813" t="s">
        <v>172</v>
      </c>
      <c r="T384" s="815" t="s">
        <v>172</v>
      </c>
      <c r="U384" s="900" t="s">
        <v>1220</v>
      </c>
      <c r="V384" s="731"/>
      <c r="W384" s="732"/>
    </row>
    <row r="385" spans="1:23" x14ac:dyDescent="0.25">
      <c r="A385" s="813">
        <v>548</v>
      </c>
      <c r="B385" s="813" t="s">
        <v>365</v>
      </c>
      <c r="C385" s="813" t="s">
        <v>955</v>
      </c>
      <c r="D385" s="813" t="s">
        <v>495</v>
      </c>
      <c r="E385" s="813" t="s">
        <v>15</v>
      </c>
      <c r="F385" s="813" t="s">
        <v>956</v>
      </c>
      <c r="G385" s="813" t="s">
        <v>957</v>
      </c>
      <c r="H385" s="819" t="s">
        <v>44</v>
      </c>
      <c r="I385" s="820" t="s">
        <v>15</v>
      </c>
      <c r="J385" s="820" t="s">
        <v>421</v>
      </c>
      <c r="L385" s="821">
        <v>7</v>
      </c>
      <c r="M385" s="637">
        <v>496</v>
      </c>
      <c r="N385" s="637">
        <v>3430.5</v>
      </c>
      <c r="O385" s="821">
        <v>7</v>
      </c>
      <c r="P385" s="637">
        <v>496</v>
      </c>
      <c r="Q385" s="637">
        <v>3430.5</v>
      </c>
      <c r="R385" s="813" t="s">
        <v>172</v>
      </c>
      <c r="T385" s="815" t="s">
        <v>172</v>
      </c>
      <c r="U385" s="900" t="s">
        <v>1220</v>
      </c>
      <c r="V385" s="731"/>
      <c r="W385" s="732"/>
    </row>
    <row r="386" spans="1:23" x14ac:dyDescent="0.25">
      <c r="A386" s="813">
        <v>549</v>
      </c>
      <c r="B386" s="813" t="s">
        <v>365</v>
      </c>
      <c r="C386" s="813" t="s">
        <v>958</v>
      </c>
      <c r="D386" s="813" t="s">
        <v>14</v>
      </c>
      <c r="E386" s="813" t="s">
        <v>14</v>
      </c>
      <c r="F386" s="813" t="s">
        <v>1042</v>
      </c>
      <c r="G386" s="813" t="s">
        <v>1043</v>
      </c>
      <c r="H386" s="819" t="s">
        <v>34</v>
      </c>
      <c r="I386" s="820" t="s">
        <v>20</v>
      </c>
      <c r="J386" s="820" t="s">
        <v>428</v>
      </c>
      <c r="L386" s="821">
        <v>1</v>
      </c>
      <c r="M386" s="637">
        <v>8</v>
      </c>
      <c r="N386" s="637">
        <v>46</v>
      </c>
      <c r="O386" s="821">
        <v>1</v>
      </c>
      <c r="P386" s="637">
        <v>8</v>
      </c>
      <c r="Q386" s="637">
        <v>46</v>
      </c>
      <c r="R386" s="813" t="s">
        <v>172</v>
      </c>
      <c r="T386" s="815" t="s">
        <v>172</v>
      </c>
      <c r="U386" s="900" t="s">
        <v>1220</v>
      </c>
      <c r="V386" s="731"/>
      <c r="W386" s="732"/>
    </row>
    <row r="387" spans="1:23" x14ac:dyDescent="0.25">
      <c r="A387" s="813">
        <v>550</v>
      </c>
      <c r="B387" s="813" t="s">
        <v>365</v>
      </c>
      <c r="C387" s="813" t="s">
        <v>958</v>
      </c>
      <c r="D387" s="813" t="s">
        <v>14</v>
      </c>
      <c r="E387" s="813" t="s">
        <v>14</v>
      </c>
      <c r="F387" s="813" t="s">
        <v>842</v>
      </c>
      <c r="G387" s="813" t="s">
        <v>1010</v>
      </c>
      <c r="H387" s="819" t="s">
        <v>390</v>
      </c>
      <c r="I387" s="820" t="s">
        <v>20</v>
      </c>
      <c r="J387" s="820" t="s">
        <v>16</v>
      </c>
      <c r="L387" s="821">
        <v>1</v>
      </c>
      <c r="M387" s="637">
        <v>82</v>
      </c>
      <c r="N387" s="637">
        <v>959.75</v>
      </c>
      <c r="O387" s="821">
        <v>1</v>
      </c>
      <c r="P387" s="637">
        <v>82</v>
      </c>
      <c r="Q387" s="637">
        <v>959.75</v>
      </c>
      <c r="R387" s="813" t="s">
        <v>172</v>
      </c>
      <c r="S387" s="816" t="s">
        <v>519</v>
      </c>
      <c r="T387" s="815" t="s">
        <v>172</v>
      </c>
      <c r="U387" s="899" t="s">
        <v>1219</v>
      </c>
      <c r="V387" s="731"/>
      <c r="W387" s="732"/>
    </row>
    <row r="388" spans="1:23" x14ac:dyDescent="0.25">
      <c r="A388" s="813">
        <v>551</v>
      </c>
      <c r="B388" s="813" t="s">
        <v>365</v>
      </c>
      <c r="C388" s="813" t="s">
        <v>958</v>
      </c>
      <c r="D388" s="813" t="s">
        <v>14</v>
      </c>
      <c r="E388" s="813" t="s">
        <v>14</v>
      </c>
      <c r="F388" s="813" t="s">
        <v>960</v>
      </c>
      <c r="G388" s="813" t="s">
        <v>933</v>
      </c>
      <c r="H388" s="819" t="s">
        <v>37</v>
      </c>
      <c r="I388" s="820" t="s">
        <v>20</v>
      </c>
      <c r="J388" s="820" t="s">
        <v>428</v>
      </c>
      <c r="L388" s="821">
        <v>16</v>
      </c>
      <c r="M388" s="637">
        <v>3106</v>
      </c>
      <c r="N388" s="637">
        <v>40378</v>
      </c>
      <c r="O388" s="821">
        <v>14</v>
      </c>
      <c r="P388" s="637">
        <v>3075</v>
      </c>
      <c r="Q388" s="637">
        <v>39975</v>
      </c>
      <c r="R388" s="813" t="s">
        <v>172</v>
      </c>
      <c r="T388" s="815">
        <v>13</v>
      </c>
      <c r="U388" s="900" t="s">
        <v>1220</v>
      </c>
      <c r="V388" s="731"/>
      <c r="W388" s="732"/>
    </row>
    <row r="389" spans="1:23" x14ac:dyDescent="0.25">
      <c r="A389" s="813">
        <v>552</v>
      </c>
      <c r="B389" s="813" t="s">
        <v>365</v>
      </c>
      <c r="C389" s="813" t="s">
        <v>958</v>
      </c>
      <c r="D389" s="813" t="s">
        <v>14</v>
      </c>
      <c r="E389" s="813" t="s">
        <v>14</v>
      </c>
      <c r="F389" s="813" t="s">
        <v>961</v>
      </c>
      <c r="G389" s="813" t="s">
        <v>962</v>
      </c>
      <c r="H389" s="819" t="s">
        <v>37</v>
      </c>
      <c r="I389" s="820" t="s">
        <v>20</v>
      </c>
      <c r="J389" s="820" t="s">
        <v>428</v>
      </c>
      <c r="L389" s="821">
        <v>11</v>
      </c>
      <c r="M389" s="637">
        <v>349</v>
      </c>
      <c r="N389" s="637">
        <v>4537</v>
      </c>
      <c r="O389" s="821">
        <v>11</v>
      </c>
      <c r="P389" s="637">
        <v>349</v>
      </c>
      <c r="Q389" s="637">
        <v>4537</v>
      </c>
      <c r="R389" s="813" t="s">
        <v>172</v>
      </c>
      <c r="T389" s="815">
        <v>13</v>
      </c>
      <c r="U389" s="900" t="s">
        <v>1220</v>
      </c>
      <c r="V389" s="731"/>
      <c r="W389" s="732"/>
    </row>
    <row r="390" spans="1:23" x14ac:dyDescent="0.25">
      <c r="A390" s="813">
        <v>553</v>
      </c>
      <c r="B390" s="813" t="s">
        <v>365</v>
      </c>
      <c r="C390" s="813" t="s">
        <v>958</v>
      </c>
      <c r="D390" s="813" t="s">
        <v>14</v>
      </c>
      <c r="E390" s="813" t="s">
        <v>14</v>
      </c>
      <c r="F390" s="813" t="s">
        <v>963</v>
      </c>
      <c r="G390" s="813" t="s">
        <v>964</v>
      </c>
      <c r="H390" s="819" t="s">
        <v>41</v>
      </c>
      <c r="I390" s="820" t="s">
        <v>20</v>
      </c>
      <c r="J390" s="820" t="s">
        <v>428</v>
      </c>
      <c r="L390" s="821">
        <v>22</v>
      </c>
      <c r="M390" s="637">
        <v>1175</v>
      </c>
      <c r="N390" s="637">
        <v>2644.5</v>
      </c>
      <c r="O390" s="821">
        <v>22</v>
      </c>
      <c r="P390" s="637">
        <v>1175</v>
      </c>
      <c r="Q390" s="637">
        <v>2644.5</v>
      </c>
      <c r="R390" s="813" t="s">
        <v>172</v>
      </c>
      <c r="T390" s="815" t="s">
        <v>172</v>
      </c>
      <c r="U390" s="900" t="s">
        <v>1220</v>
      </c>
      <c r="V390" s="731"/>
      <c r="W390" s="732"/>
    </row>
    <row r="391" spans="1:23" x14ac:dyDescent="0.25">
      <c r="A391" s="813">
        <v>554</v>
      </c>
      <c r="B391" s="813" t="s">
        <v>365</v>
      </c>
      <c r="C391" s="813" t="s">
        <v>958</v>
      </c>
      <c r="D391" s="813" t="s">
        <v>14</v>
      </c>
      <c r="E391" s="813" t="s">
        <v>14</v>
      </c>
      <c r="F391" s="813" t="s">
        <v>885</v>
      </c>
      <c r="G391" s="813" t="s">
        <v>868</v>
      </c>
      <c r="H391" s="819" t="s">
        <v>35</v>
      </c>
      <c r="I391" s="820" t="s">
        <v>20</v>
      </c>
      <c r="J391" s="820" t="s">
        <v>428</v>
      </c>
      <c r="L391" s="821">
        <v>289</v>
      </c>
      <c r="M391" s="637">
        <v>31061</v>
      </c>
      <c r="N391" s="637">
        <v>161033.25</v>
      </c>
      <c r="O391" s="821">
        <v>279</v>
      </c>
      <c r="P391" s="637">
        <v>30761</v>
      </c>
      <c r="Q391" s="637">
        <v>159517.5</v>
      </c>
      <c r="R391" s="813" t="s">
        <v>172</v>
      </c>
      <c r="T391" s="815" t="s">
        <v>172</v>
      </c>
      <c r="U391" s="900" t="s">
        <v>1220</v>
      </c>
      <c r="V391" s="731"/>
      <c r="W391" s="732"/>
    </row>
    <row r="392" spans="1:23" x14ac:dyDescent="0.25">
      <c r="A392" s="813">
        <v>555</v>
      </c>
      <c r="B392" s="813" t="s">
        <v>365</v>
      </c>
      <c r="C392" s="813" t="s">
        <v>958</v>
      </c>
      <c r="D392" s="813" t="s">
        <v>14</v>
      </c>
      <c r="E392" s="813" t="s">
        <v>14</v>
      </c>
      <c r="F392" s="813" t="s">
        <v>885</v>
      </c>
      <c r="G392" s="813" t="s">
        <v>965</v>
      </c>
      <c r="H392" s="819" t="s">
        <v>35</v>
      </c>
      <c r="I392" s="820" t="s">
        <v>20</v>
      </c>
      <c r="J392" s="820" t="s">
        <v>428</v>
      </c>
      <c r="L392" s="821">
        <v>107</v>
      </c>
      <c r="M392" s="637">
        <v>4691</v>
      </c>
      <c r="N392" s="637">
        <v>28459.75</v>
      </c>
      <c r="O392" s="821">
        <v>104</v>
      </c>
      <c r="P392" s="637">
        <v>4633</v>
      </c>
      <c r="Q392" s="637">
        <v>28205</v>
      </c>
      <c r="R392" s="813" t="s">
        <v>172</v>
      </c>
      <c r="T392" s="815" t="s">
        <v>172</v>
      </c>
      <c r="U392" s="900" t="s">
        <v>1220</v>
      </c>
      <c r="V392" s="731"/>
      <c r="W392" s="732"/>
    </row>
    <row r="393" spans="1:23" x14ac:dyDescent="0.25">
      <c r="A393" s="813">
        <v>556</v>
      </c>
      <c r="B393" s="813" t="s">
        <v>365</v>
      </c>
      <c r="C393" s="813" t="s">
        <v>958</v>
      </c>
      <c r="D393" s="813" t="s">
        <v>14</v>
      </c>
      <c r="E393" s="813" t="s">
        <v>14</v>
      </c>
      <c r="F393" s="813" t="s">
        <v>970</v>
      </c>
      <c r="G393" s="813" t="s">
        <v>965</v>
      </c>
      <c r="H393" s="819" t="s">
        <v>35</v>
      </c>
      <c r="I393" s="820" t="s">
        <v>20</v>
      </c>
      <c r="J393" s="820" t="s">
        <v>428</v>
      </c>
      <c r="L393" s="821">
        <v>57</v>
      </c>
      <c r="M393" s="637">
        <v>699</v>
      </c>
      <c r="N393" s="637">
        <v>4078.75</v>
      </c>
      <c r="O393" s="821">
        <v>55</v>
      </c>
      <c r="P393" s="637">
        <v>675</v>
      </c>
      <c r="Q393" s="637">
        <v>3916.75</v>
      </c>
      <c r="R393" s="813" t="s">
        <v>172</v>
      </c>
      <c r="T393" s="815" t="s">
        <v>172</v>
      </c>
      <c r="U393" s="900" t="s">
        <v>1220</v>
      </c>
      <c r="V393" s="731"/>
      <c r="W393" s="732"/>
    </row>
    <row r="394" spans="1:23" x14ac:dyDescent="0.25">
      <c r="A394" s="813">
        <v>557</v>
      </c>
      <c r="B394" s="813" t="s">
        <v>365</v>
      </c>
      <c r="C394" s="813" t="s">
        <v>958</v>
      </c>
      <c r="D394" s="813" t="s">
        <v>14</v>
      </c>
      <c r="E394" s="813" t="s">
        <v>14</v>
      </c>
      <c r="F394" s="813" t="s">
        <v>889</v>
      </c>
      <c r="H394" s="819" t="s">
        <v>39</v>
      </c>
      <c r="I394" s="820" t="s">
        <v>20</v>
      </c>
      <c r="J394" s="820" t="s">
        <v>428</v>
      </c>
      <c r="L394" s="821">
        <v>22</v>
      </c>
      <c r="M394" s="637">
        <v>24</v>
      </c>
      <c r="N394" s="637">
        <v>24</v>
      </c>
      <c r="O394" s="821">
        <v>22</v>
      </c>
      <c r="P394" s="637">
        <v>24</v>
      </c>
      <c r="Q394" s="637">
        <v>24</v>
      </c>
      <c r="R394" s="806" t="s">
        <v>507</v>
      </c>
      <c r="T394" s="815" t="s">
        <v>172</v>
      </c>
      <c r="U394" s="900" t="s">
        <v>1220</v>
      </c>
      <c r="V394" s="731"/>
      <c r="W394" s="732"/>
    </row>
    <row r="395" spans="1:23" x14ac:dyDescent="0.25">
      <c r="A395" s="813">
        <v>558</v>
      </c>
      <c r="B395" s="813" t="s">
        <v>365</v>
      </c>
      <c r="C395" s="813" t="s">
        <v>958</v>
      </c>
      <c r="D395" s="813" t="s">
        <v>14</v>
      </c>
      <c r="E395" s="813" t="s">
        <v>14</v>
      </c>
      <c r="F395" s="813" t="s">
        <v>869</v>
      </c>
      <c r="H395" s="819" t="s">
        <v>39</v>
      </c>
      <c r="I395" s="820" t="s">
        <v>20</v>
      </c>
      <c r="J395" s="820" t="s">
        <v>428</v>
      </c>
      <c r="L395" s="821">
        <v>1</v>
      </c>
      <c r="M395" s="637">
        <v>1</v>
      </c>
      <c r="N395" s="637">
        <v>1</v>
      </c>
      <c r="O395" s="821">
        <v>1</v>
      </c>
      <c r="P395" s="637">
        <v>1</v>
      </c>
      <c r="Q395" s="637">
        <v>1</v>
      </c>
      <c r="R395" s="806" t="s">
        <v>507</v>
      </c>
      <c r="T395" s="815" t="s">
        <v>172</v>
      </c>
      <c r="U395" s="900" t="s">
        <v>1220</v>
      </c>
      <c r="V395" s="731"/>
      <c r="W395" s="732"/>
    </row>
    <row r="396" spans="1:23" x14ac:dyDescent="0.25">
      <c r="A396" s="813">
        <v>559</v>
      </c>
      <c r="B396" s="813" t="s">
        <v>365</v>
      </c>
      <c r="C396" s="813" t="s">
        <v>958</v>
      </c>
      <c r="D396" s="813" t="s">
        <v>14</v>
      </c>
      <c r="E396" s="813" t="s">
        <v>14</v>
      </c>
      <c r="F396" s="813" t="s">
        <v>971</v>
      </c>
      <c r="G396" s="813" t="s">
        <v>903</v>
      </c>
      <c r="H396" s="819" t="s">
        <v>38</v>
      </c>
      <c r="I396" s="820" t="s">
        <v>20</v>
      </c>
      <c r="J396" s="820" t="s">
        <v>428</v>
      </c>
      <c r="L396" s="821">
        <v>179</v>
      </c>
      <c r="M396" s="637">
        <v>179</v>
      </c>
      <c r="N396" s="637">
        <v>179</v>
      </c>
      <c r="O396" s="821">
        <v>172</v>
      </c>
      <c r="P396" s="637">
        <v>172</v>
      </c>
      <c r="Q396" s="637">
        <v>172</v>
      </c>
      <c r="R396" s="813" t="s">
        <v>529</v>
      </c>
      <c r="T396" s="815" t="s">
        <v>172</v>
      </c>
      <c r="U396" s="900" t="s">
        <v>1220</v>
      </c>
      <c r="V396" s="731"/>
      <c r="W396" s="732"/>
    </row>
    <row r="397" spans="1:23" x14ac:dyDescent="0.25">
      <c r="A397" s="813">
        <v>560</v>
      </c>
      <c r="B397" s="813" t="s">
        <v>365</v>
      </c>
      <c r="C397" s="813" t="s">
        <v>958</v>
      </c>
      <c r="D397" s="813" t="s">
        <v>14</v>
      </c>
      <c r="E397" s="813" t="s">
        <v>14</v>
      </c>
      <c r="F397" s="813" t="s">
        <v>875</v>
      </c>
      <c r="H397" s="819" t="s">
        <v>39</v>
      </c>
      <c r="I397" s="820" t="s">
        <v>20</v>
      </c>
      <c r="J397" s="820" t="s">
        <v>428</v>
      </c>
      <c r="L397" s="821">
        <v>173</v>
      </c>
      <c r="M397" s="637">
        <v>259</v>
      </c>
      <c r="N397" s="637">
        <v>259</v>
      </c>
      <c r="O397" s="821">
        <v>173</v>
      </c>
      <c r="P397" s="637">
        <v>259</v>
      </c>
      <c r="Q397" s="637">
        <v>259</v>
      </c>
      <c r="R397" s="806" t="s">
        <v>507</v>
      </c>
      <c r="T397" s="815" t="s">
        <v>172</v>
      </c>
      <c r="U397" s="900" t="s">
        <v>1220</v>
      </c>
      <c r="V397" s="731"/>
      <c r="W397" s="732"/>
    </row>
    <row r="398" spans="1:23" x14ac:dyDescent="0.25">
      <c r="A398" s="813">
        <v>561</v>
      </c>
      <c r="B398" s="813" t="s">
        <v>365</v>
      </c>
      <c r="C398" s="813" t="s">
        <v>906</v>
      </c>
      <c r="D398" s="813" t="s">
        <v>14</v>
      </c>
      <c r="E398" s="813" t="s">
        <v>14</v>
      </c>
      <c r="F398" s="813" t="s">
        <v>889</v>
      </c>
      <c r="H398" s="819" t="s">
        <v>39</v>
      </c>
      <c r="I398" s="820" t="s">
        <v>20</v>
      </c>
      <c r="J398" s="820" t="s">
        <v>428</v>
      </c>
      <c r="L398" s="821">
        <v>14</v>
      </c>
      <c r="M398" s="637">
        <v>16</v>
      </c>
      <c r="N398" s="637">
        <v>16</v>
      </c>
      <c r="O398" s="821">
        <v>14</v>
      </c>
      <c r="P398" s="637">
        <v>16</v>
      </c>
      <c r="Q398" s="637">
        <v>16</v>
      </c>
      <c r="R398" s="806" t="s">
        <v>507</v>
      </c>
      <c r="T398" s="815" t="s">
        <v>172</v>
      </c>
      <c r="U398" s="900" t="s">
        <v>1220</v>
      </c>
      <c r="V398" s="731"/>
      <c r="W398" s="732"/>
    </row>
    <row r="399" spans="1:23" x14ac:dyDescent="0.25">
      <c r="A399" s="813">
        <v>562</v>
      </c>
      <c r="B399" s="813" t="s">
        <v>365</v>
      </c>
      <c r="C399" s="813" t="s">
        <v>906</v>
      </c>
      <c r="D399" s="813" t="s">
        <v>14</v>
      </c>
      <c r="E399" s="813" t="s">
        <v>14</v>
      </c>
      <c r="F399" s="813" t="s">
        <v>869</v>
      </c>
      <c r="H399" s="819" t="s">
        <v>39</v>
      </c>
      <c r="I399" s="820" t="s">
        <v>20</v>
      </c>
      <c r="J399" s="820" t="s">
        <v>428</v>
      </c>
      <c r="L399" s="821">
        <v>61</v>
      </c>
      <c r="M399" s="637">
        <v>61</v>
      </c>
      <c r="N399" s="637">
        <v>61</v>
      </c>
      <c r="O399" s="821">
        <v>54</v>
      </c>
      <c r="P399" s="637">
        <v>54</v>
      </c>
      <c r="Q399" s="637">
        <v>54</v>
      </c>
      <c r="R399" s="806" t="s">
        <v>507</v>
      </c>
      <c r="T399" s="815" t="s">
        <v>172</v>
      </c>
      <c r="U399" s="900" t="s">
        <v>1220</v>
      </c>
      <c r="V399" s="731"/>
      <c r="W399" s="732"/>
    </row>
    <row r="400" spans="1:23" x14ac:dyDescent="0.25">
      <c r="A400" s="813">
        <v>563</v>
      </c>
      <c r="B400" s="813" t="s">
        <v>365</v>
      </c>
      <c r="C400" s="813" t="s">
        <v>906</v>
      </c>
      <c r="D400" s="813" t="s">
        <v>14</v>
      </c>
      <c r="E400" s="813" t="s">
        <v>14</v>
      </c>
      <c r="F400" s="813" t="s">
        <v>875</v>
      </c>
      <c r="H400" s="819" t="s">
        <v>39</v>
      </c>
      <c r="I400" s="820" t="s">
        <v>20</v>
      </c>
      <c r="J400" s="820" t="s">
        <v>428</v>
      </c>
      <c r="L400" s="821">
        <v>110</v>
      </c>
      <c r="M400" s="637">
        <v>165</v>
      </c>
      <c r="N400" s="637">
        <v>165</v>
      </c>
      <c r="O400" s="821">
        <v>107</v>
      </c>
      <c r="P400" s="637">
        <v>161</v>
      </c>
      <c r="Q400" s="637">
        <v>161</v>
      </c>
      <c r="R400" s="806" t="s">
        <v>507</v>
      </c>
      <c r="T400" s="815" t="s">
        <v>172</v>
      </c>
      <c r="U400" s="900" t="s">
        <v>1220</v>
      </c>
      <c r="V400" s="731"/>
      <c r="W400" s="732"/>
    </row>
    <row r="401" spans="1:23" x14ac:dyDescent="0.25">
      <c r="A401" s="813">
        <v>564</v>
      </c>
      <c r="B401" s="813" t="s">
        <v>365</v>
      </c>
      <c r="C401" s="813" t="s">
        <v>906</v>
      </c>
      <c r="D401" s="813" t="s">
        <v>14</v>
      </c>
      <c r="E401" s="813" t="s">
        <v>14</v>
      </c>
      <c r="F401" s="813" t="s">
        <v>972</v>
      </c>
      <c r="G401" s="813" t="s">
        <v>868</v>
      </c>
      <c r="H401" s="819" t="s">
        <v>35</v>
      </c>
      <c r="I401" s="820" t="s">
        <v>20</v>
      </c>
      <c r="J401" s="820" t="s">
        <v>428</v>
      </c>
      <c r="L401" s="821">
        <v>2</v>
      </c>
      <c r="M401" s="637">
        <v>152</v>
      </c>
      <c r="N401" s="637">
        <v>956.25</v>
      </c>
      <c r="O401" s="821">
        <v>2</v>
      </c>
      <c r="P401" s="637">
        <v>152</v>
      </c>
      <c r="Q401" s="637">
        <v>956.25</v>
      </c>
      <c r="R401" s="813" t="s">
        <v>172</v>
      </c>
      <c r="T401" s="815" t="s">
        <v>172</v>
      </c>
      <c r="U401" s="900" t="s">
        <v>1220</v>
      </c>
      <c r="V401" s="731"/>
      <c r="W401" s="732"/>
    </row>
    <row r="402" spans="1:23" x14ac:dyDescent="0.25">
      <c r="A402" s="813">
        <v>565</v>
      </c>
      <c r="B402" s="813" t="s">
        <v>365</v>
      </c>
      <c r="C402" s="813" t="s">
        <v>906</v>
      </c>
      <c r="D402" s="813" t="s">
        <v>14</v>
      </c>
      <c r="E402" s="813" t="s">
        <v>14</v>
      </c>
      <c r="F402" s="813" t="s">
        <v>974</v>
      </c>
      <c r="G402" s="813" t="s">
        <v>868</v>
      </c>
      <c r="H402" s="819" t="s">
        <v>35</v>
      </c>
      <c r="I402" s="820" t="s">
        <v>20</v>
      </c>
      <c r="J402" s="820" t="s">
        <v>428</v>
      </c>
      <c r="L402" s="821">
        <v>160</v>
      </c>
      <c r="M402" s="637">
        <v>24250</v>
      </c>
      <c r="N402" s="637">
        <v>149856.75</v>
      </c>
      <c r="O402" s="821">
        <v>142</v>
      </c>
      <c r="P402" s="637">
        <v>23456</v>
      </c>
      <c r="Q402" s="637">
        <v>145401</v>
      </c>
      <c r="R402" s="813" t="s">
        <v>172</v>
      </c>
      <c r="T402" s="815" t="s">
        <v>172</v>
      </c>
      <c r="U402" s="900" t="s">
        <v>1220</v>
      </c>
      <c r="V402" s="731"/>
      <c r="W402" s="732"/>
    </row>
    <row r="403" spans="1:23" x14ac:dyDescent="0.25">
      <c r="A403" s="813">
        <v>566</v>
      </c>
      <c r="B403" s="813" t="s">
        <v>365</v>
      </c>
      <c r="C403" s="813" t="s">
        <v>906</v>
      </c>
      <c r="D403" s="813" t="s">
        <v>14</v>
      </c>
      <c r="E403" s="813" t="s">
        <v>14</v>
      </c>
      <c r="F403" s="813" t="s">
        <v>1044</v>
      </c>
      <c r="G403" s="813" t="s">
        <v>868</v>
      </c>
      <c r="H403" s="819" t="s">
        <v>35</v>
      </c>
      <c r="I403" s="820" t="s">
        <v>20</v>
      </c>
      <c r="J403" s="820" t="s">
        <v>428</v>
      </c>
      <c r="L403" s="821">
        <v>1</v>
      </c>
      <c r="M403" s="637">
        <v>1</v>
      </c>
      <c r="N403" s="637">
        <v>5</v>
      </c>
      <c r="O403" s="821">
        <v>1</v>
      </c>
      <c r="P403" s="637">
        <v>1</v>
      </c>
      <c r="Q403" s="637">
        <v>5</v>
      </c>
      <c r="R403" s="813" t="s">
        <v>172</v>
      </c>
      <c r="T403" s="815" t="s">
        <v>172</v>
      </c>
      <c r="U403" s="900" t="s">
        <v>1220</v>
      </c>
      <c r="V403" s="731"/>
      <c r="W403" s="732"/>
    </row>
    <row r="404" spans="1:23" x14ac:dyDescent="0.25">
      <c r="A404" s="813">
        <v>567</v>
      </c>
      <c r="B404" s="813" t="s">
        <v>365</v>
      </c>
      <c r="C404" s="813" t="s">
        <v>906</v>
      </c>
      <c r="D404" s="813" t="s">
        <v>14</v>
      </c>
      <c r="E404" s="813" t="s">
        <v>14</v>
      </c>
      <c r="F404" s="813" t="s">
        <v>1045</v>
      </c>
      <c r="G404" s="813" t="s">
        <v>868</v>
      </c>
      <c r="H404" s="819" t="s">
        <v>35</v>
      </c>
      <c r="I404" s="820" t="s">
        <v>20</v>
      </c>
      <c r="J404" s="820" t="s">
        <v>428</v>
      </c>
      <c r="L404" s="821">
        <v>1</v>
      </c>
      <c r="M404" s="637">
        <v>66</v>
      </c>
      <c r="N404" s="637">
        <v>205.75</v>
      </c>
      <c r="O404" s="821">
        <v>1</v>
      </c>
      <c r="P404" s="637">
        <v>66</v>
      </c>
      <c r="Q404" s="637">
        <v>205.75</v>
      </c>
      <c r="R404" s="813" t="s">
        <v>172</v>
      </c>
      <c r="T404" s="815" t="s">
        <v>172</v>
      </c>
      <c r="U404" s="900" t="s">
        <v>1220</v>
      </c>
      <c r="V404" s="731"/>
      <c r="W404" s="732"/>
    </row>
    <row r="405" spans="1:23" x14ac:dyDescent="0.25">
      <c r="A405" s="813">
        <v>568</v>
      </c>
      <c r="B405" s="813" t="s">
        <v>365</v>
      </c>
      <c r="C405" s="813" t="s">
        <v>906</v>
      </c>
      <c r="D405" s="813" t="s">
        <v>14</v>
      </c>
      <c r="E405" s="813" t="s">
        <v>14</v>
      </c>
      <c r="F405" s="813" t="s">
        <v>1046</v>
      </c>
      <c r="G405" s="813" t="s">
        <v>868</v>
      </c>
      <c r="H405" s="819" t="s">
        <v>35</v>
      </c>
      <c r="I405" s="820" t="s">
        <v>20</v>
      </c>
      <c r="J405" s="820" t="s">
        <v>428</v>
      </c>
      <c r="L405" s="821">
        <v>1</v>
      </c>
      <c r="M405" s="637">
        <v>127</v>
      </c>
      <c r="N405" s="637">
        <v>1365</v>
      </c>
      <c r="O405" s="821">
        <v>1</v>
      </c>
      <c r="P405" s="637">
        <v>127</v>
      </c>
      <c r="Q405" s="637">
        <v>1365</v>
      </c>
      <c r="R405" s="813" t="s">
        <v>172</v>
      </c>
      <c r="T405" s="815" t="s">
        <v>172</v>
      </c>
      <c r="U405" s="900" t="s">
        <v>1220</v>
      </c>
      <c r="V405" s="731"/>
      <c r="W405" s="732"/>
    </row>
    <row r="406" spans="1:23" x14ac:dyDescent="0.25">
      <c r="A406" s="813">
        <v>569</v>
      </c>
      <c r="B406" s="813" t="s">
        <v>365</v>
      </c>
      <c r="C406" s="813" t="s">
        <v>906</v>
      </c>
      <c r="D406" s="813" t="s">
        <v>14</v>
      </c>
      <c r="E406" s="813" t="s">
        <v>14</v>
      </c>
      <c r="F406" s="813" t="s">
        <v>1047</v>
      </c>
      <c r="G406" s="813" t="s">
        <v>967</v>
      </c>
      <c r="H406" s="819" t="s">
        <v>41</v>
      </c>
      <c r="I406" s="820" t="s">
        <v>20</v>
      </c>
      <c r="J406" s="820" t="s">
        <v>428</v>
      </c>
      <c r="L406" s="821">
        <v>2</v>
      </c>
      <c r="M406" s="637">
        <v>100</v>
      </c>
      <c r="N406" s="637">
        <v>485.5</v>
      </c>
      <c r="O406" s="821">
        <v>2</v>
      </c>
      <c r="P406" s="637">
        <v>100</v>
      </c>
      <c r="Q406" s="637">
        <v>485.5</v>
      </c>
      <c r="R406" s="813" t="s">
        <v>172</v>
      </c>
      <c r="T406" s="815" t="s">
        <v>172</v>
      </c>
      <c r="U406" s="900" t="s">
        <v>1220</v>
      </c>
      <c r="V406" s="731"/>
      <c r="W406" s="732"/>
    </row>
    <row r="407" spans="1:23" x14ac:dyDescent="0.25">
      <c r="A407" s="813">
        <v>570</v>
      </c>
      <c r="B407" s="813" t="s">
        <v>365</v>
      </c>
      <c r="C407" s="813" t="s">
        <v>906</v>
      </c>
      <c r="D407" s="813" t="s">
        <v>14</v>
      </c>
      <c r="E407" s="813" t="s">
        <v>14</v>
      </c>
      <c r="F407" s="813" t="s">
        <v>1048</v>
      </c>
      <c r="G407" s="813" t="s">
        <v>933</v>
      </c>
      <c r="H407" s="819" t="s">
        <v>37</v>
      </c>
      <c r="I407" s="820" t="s">
        <v>20</v>
      </c>
      <c r="J407" s="820" t="s">
        <v>428</v>
      </c>
      <c r="L407" s="821">
        <v>14</v>
      </c>
      <c r="M407" s="637">
        <v>3410</v>
      </c>
      <c r="N407" s="637">
        <v>44330</v>
      </c>
      <c r="O407" s="821">
        <v>14</v>
      </c>
      <c r="P407" s="637">
        <v>3410</v>
      </c>
      <c r="Q407" s="637">
        <v>44330</v>
      </c>
      <c r="R407" s="813" t="s">
        <v>172</v>
      </c>
      <c r="T407" s="815">
        <v>13</v>
      </c>
      <c r="U407" s="900" t="s">
        <v>1220</v>
      </c>
      <c r="V407" s="731"/>
      <c r="W407" s="732"/>
    </row>
    <row r="408" spans="1:23" x14ac:dyDescent="0.25">
      <c r="A408" s="813">
        <v>575</v>
      </c>
      <c r="B408" s="813" t="s">
        <v>365</v>
      </c>
      <c r="C408" s="813" t="s">
        <v>909</v>
      </c>
      <c r="D408" s="813" t="s">
        <v>14</v>
      </c>
      <c r="E408" s="813" t="s">
        <v>15</v>
      </c>
      <c r="F408" s="813" t="s">
        <v>912</v>
      </c>
      <c r="G408" s="813" t="s">
        <v>863</v>
      </c>
      <c r="H408" s="819" t="s">
        <v>18</v>
      </c>
      <c r="I408" s="820" t="s">
        <v>15</v>
      </c>
      <c r="J408" s="820" t="s">
        <v>421</v>
      </c>
      <c r="L408" s="821">
        <v>102</v>
      </c>
      <c r="M408" s="637">
        <v>22510</v>
      </c>
      <c r="N408" s="637">
        <v>128151.5</v>
      </c>
      <c r="O408" s="821">
        <v>96</v>
      </c>
      <c r="P408" s="637">
        <v>22041</v>
      </c>
      <c r="Q408" s="637">
        <v>124961</v>
      </c>
      <c r="R408" s="813" t="s">
        <v>172</v>
      </c>
      <c r="T408" s="815" t="s">
        <v>172</v>
      </c>
      <c r="U408" s="900" t="s">
        <v>1220</v>
      </c>
      <c r="V408" s="731"/>
      <c r="W408" s="732"/>
    </row>
    <row r="409" spans="1:23" x14ac:dyDescent="0.25">
      <c r="A409" s="813">
        <v>576</v>
      </c>
      <c r="B409" s="813" t="s">
        <v>365</v>
      </c>
      <c r="C409" s="813" t="s">
        <v>909</v>
      </c>
      <c r="D409" s="813" t="s">
        <v>14</v>
      </c>
      <c r="E409" s="813" t="s">
        <v>15</v>
      </c>
      <c r="F409" s="813" t="s">
        <v>981</v>
      </c>
      <c r="G409" s="813" t="s">
        <v>863</v>
      </c>
      <c r="H409" s="819" t="s">
        <v>18</v>
      </c>
      <c r="I409" s="820" t="s">
        <v>15</v>
      </c>
      <c r="J409" s="820" t="s">
        <v>421</v>
      </c>
      <c r="L409" s="821">
        <v>1</v>
      </c>
      <c r="M409" s="637">
        <v>31</v>
      </c>
      <c r="N409" s="637">
        <v>159</v>
      </c>
      <c r="O409" s="821">
        <v>0</v>
      </c>
      <c r="P409" s="637">
        <v>0</v>
      </c>
      <c r="R409" s="813" t="s">
        <v>172</v>
      </c>
      <c r="T409" s="815" t="s">
        <v>172</v>
      </c>
      <c r="U409" s="900" t="s">
        <v>1220</v>
      </c>
      <c r="V409" s="731"/>
      <c r="W409" s="732"/>
    </row>
    <row r="410" spans="1:23" x14ac:dyDescent="0.25">
      <c r="A410" s="813">
        <v>577</v>
      </c>
      <c r="B410" s="813" t="s">
        <v>365</v>
      </c>
      <c r="C410" s="813" t="s">
        <v>909</v>
      </c>
      <c r="D410" s="813" t="s">
        <v>14</v>
      </c>
      <c r="E410" s="813" t="s">
        <v>15</v>
      </c>
      <c r="F410" s="813" t="s">
        <v>1049</v>
      </c>
      <c r="G410" s="813" t="s">
        <v>957</v>
      </c>
      <c r="H410" s="819" t="s">
        <v>44</v>
      </c>
      <c r="I410" s="820" t="s">
        <v>15</v>
      </c>
      <c r="J410" s="820" t="s">
        <v>421</v>
      </c>
      <c r="L410" s="821">
        <v>2</v>
      </c>
      <c r="M410" s="637">
        <v>944</v>
      </c>
      <c r="N410" s="637">
        <v>5621.5</v>
      </c>
      <c r="O410" s="821">
        <v>2</v>
      </c>
      <c r="P410" s="637">
        <v>944</v>
      </c>
      <c r="Q410" s="637">
        <v>5621.5</v>
      </c>
      <c r="R410" s="813" t="s">
        <v>172</v>
      </c>
      <c r="T410" s="815" t="s">
        <v>172</v>
      </c>
      <c r="U410" s="900" t="s">
        <v>1220</v>
      </c>
      <c r="V410" s="731"/>
      <c r="W410" s="732"/>
    </row>
    <row r="411" spans="1:23" x14ac:dyDescent="0.25">
      <c r="A411" s="813">
        <v>578</v>
      </c>
      <c r="B411" s="813" t="s">
        <v>365</v>
      </c>
      <c r="C411" s="813" t="s">
        <v>909</v>
      </c>
      <c r="D411" s="813" t="s">
        <v>14</v>
      </c>
      <c r="E411" s="813" t="s">
        <v>15</v>
      </c>
      <c r="F411" s="813" t="s">
        <v>1050</v>
      </c>
      <c r="G411" s="813" t="s">
        <v>934</v>
      </c>
      <c r="H411" s="819" t="s">
        <v>43</v>
      </c>
      <c r="I411" s="820" t="s">
        <v>15</v>
      </c>
      <c r="J411" s="820" t="s">
        <v>421</v>
      </c>
      <c r="L411" s="821">
        <v>2</v>
      </c>
      <c r="M411" s="637">
        <v>161</v>
      </c>
      <c r="N411" s="637">
        <v>2093</v>
      </c>
      <c r="O411" s="821">
        <v>1</v>
      </c>
      <c r="P411" s="637">
        <v>17</v>
      </c>
      <c r="Q411" s="637">
        <v>221</v>
      </c>
      <c r="R411" s="813" t="s">
        <v>172</v>
      </c>
      <c r="T411" s="815">
        <v>13</v>
      </c>
      <c r="U411" s="900" t="s">
        <v>1220</v>
      </c>
      <c r="V411" s="731"/>
      <c r="W411" s="732"/>
    </row>
    <row r="412" spans="1:23" x14ac:dyDescent="0.25">
      <c r="A412" s="813">
        <v>579</v>
      </c>
      <c r="B412" s="813" t="s">
        <v>365</v>
      </c>
      <c r="C412" s="813" t="s">
        <v>1000</v>
      </c>
      <c r="D412" s="813" t="s">
        <v>14</v>
      </c>
      <c r="E412" s="813" t="s">
        <v>15</v>
      </c>
      <c r="F412" s="813" t="s">
        <v>898</v>
      </c>
      <c r="G412" s="813" t="s">
        <v>863</v>
      </c>
      <c r="H412" s="819" t="s">
        <v>18</v>
      </c>
      <c r="I412" s="820" t="s">
        <v>15</v>
      </c>
      <c r="J412" s="820" t="s">
        <v>421</v>
      </c>
      <c r="L412" s="821">
        <v>1</v>
      </c>
      <c r="M412" s="637">
        <v>3</v>
      </c>
      <c r="N412" s="637">
        <v>16.25</v>
      </c>
      <c r="O412" s="821">
        <v>1</v>
      </c>
      <c r="P412" s="637">
        <v>3</v>
      </c>
      <c r="Q412" s="637">
        <v>16.25</v>
      </c>
      <c r="R412" s="813" t="s">
        <v>172</v>
      </c>
      <c r="T412" s="815" t="s">
        <v>172</v>
      </c>
      <c r="U412" s="900" t="s">
        <v>1220</v>
      </c>
      <c r="V412" s="731"/>
      <c r="W412" s="732"/>
    </row>
    <row r="413" spans="1:23" x14ac:dyDescent="0.25">
      <c r="A413" s="813">
        <v>580</v>
      </c>
      <c r="B413" s="813" t="s">
        <v>365</v>
      </c>
      <c r="C413" s="813" t="s">
        <v>914</v>
      </c>
      <c r="D413" s="813" t="s">
        <v>434</v>
      </c>
      <c r="E413" s="813" t="s">
        <v>14</v>
      </c>
      <c r="F413" s="813" t="s">
        <v>885</v>
      </c>
      <c r="G413" s="813" t="s">
        <v>868</v>
      </c>
      <c r="H413" s="819" t="s">
        <v>35</v>
      </c>
      <c r="I413" s="820" t="s">
        <v>20</v>
      </c>
      <c r="J413" s="820" t="s">
        <v>428</v>
      </c>
      <c r="L413" s="821">
        <v>1</v>
      </c>
      <c r="M413" s="637">
        <v>51</v>
      </c>
      <c r="N413" s="637">
        <v>301</v>
      </c>
      <c r="O413" s="821">
        <v>0</v>
      </c>
      <c r="P413" s="637">
        <v>0</v>
      </c>
      <c r="R413" s="813" t="s">
        <v>172</v>
      </c>
      <c r="T413" s="815" t="s">
        <v>172</v>
      </c>
      <c r="U413" s="900" t="s">
        <v>1220</v>
      </c>
      <c r="V413" s="731"/>
      <c r="W413" s="732"/>
    </row>
    <row r="414" spans="1:23" x14ac:dyDescent="0.25">
      <c r="A414" s="813">
        <v>581</v>
      </c>
      <c r="B414" s="813" t="s">
        <v>365</v>
      </c>
      <c r="C414" s="813" t="s">
        <v>914</v>
      </c>
      <c r="D414" s="813" t="s">
        <v>434</v>
      </c>
      <c r="E414" s="813" t="s">
        <v>14</v>
      </c>
      <c r="F414" s="813" t="s">
        <v>983</v>
      </c>
      <c r="G414" s="813" t="s">
        <v>984</v>
      </c>
      <c r="H414" s="819" t="s">
        <v>34</v>
      </c>
      <c r="I414" s="820" t="s">
        <v>20</v>
      </c>
      <c r="J414" s="820" t="s">
        <v>428</v>
      </c>
      <c r="L414" s="821">
        <v>1</v>
      </c>
      <c r="M414" s="637">
        <v>14</v>
      </c>
      <c r="N414" s="637">
        <v>52</v>
      </c>
      <c r="O414" s="821">
        <v>1</v>
      </c>
      <c r="P414" s="637">
        <v>14</v>
      </c>
      <c r="Q414" s="637">
        <v>52</v>
      </c>
      <c r="R414" s="813" t="s">
        <v>172</v>
      </c>
      <c r="T414" s="815" t="s">
        <v>172</v>
      </c>
      <c r="U414" s="900" t="s">
        <v>1220</v>
      </c>
      <c r="V414" s="731"/>
      <c r="W414" s="732"/>
    </row>
    <row r="415" spans="1:23" x14ac:dyDescent="0.25">
      <c r="A415" s="813">
        <v>582</v>
      </c>
      <c r="B415" s="813" t="s">
        <v>365</v>
      </c>
      <c r="C415" s="813" t="s">
        <v>914</v>
      </c>
      <c r="D415" s="813" t="s">
        <v>434</v>
      </c>
      <c r="E415" s="813" t="s">
        <v>14</v>
      </c>
      <c r="F415" s="813" t="s">
        <v>869</v>
      </c>
      <c r="H415" s="819" t="s">
        <v>39</v>
      </c>
      <c r="I415" s="820" t="s">
        <v>20</v>
      </c>
      <c r="J415" s="820" t="s">
        <v>428</v>
      </c>
      <c r="L415" s="821">
        <v>3</v>
      </c>
      <c r="M415" s="637">
        <v>3</v>
      </c>
      <c r="N415" s="637">
        <v>3</v>
      </c>
      <c r="O415" s="821">
        <v>2</v>
      </c>
      <c r="P415" s="637">
        <v>2</v>
      </c>
      <c r="Q415" s="637">
        <v>2</v>
      </c>
      <c r="R415" s="806" t="s">
        <v>507</v>
      </c>
      <c r="T415" s="815" t="s">
        <v>172</v>
      </c>
      <c r="U415" s="900" t="s">
        <v>1220</v>
      </c>
    </row>
    <row r="416" spans="1:23" x14ac:dyDescent="0.25">
      <c r="A416" s="813">
        <v>583</v>
      </c>
      <c r="B416" s="813" t="s">
        <v>365</v>
      </c>
      <c r="C416" s="813" t="s">
        <v>914</v>
      </c>
      <c r="D416" s="813" t="s">
        <v>434</v>
      </c>
      <c r="E416" s="813" t="s">
        <v>14</v>
      </c>
      <c r="F416" s="813" t="s">
        <v>875</v>
      </c>
      <c r="H416" s="819" t="s">
        <v>39</v>
      </c>
      <c r="I416" s="820" t="s">
        <v>20</v>
      </c>
      <c r="J416" s="820" t="s">
        <v>428</v>
      </c>
      <c r="L416" s="821">
        <v>2</v>
      </c>
      <c r="M416" s="637">
        <v>2</v>
      </c>
      <c r="N416" s="637">
        <v>2</v>
      </c>
      <c r="O416" s="821">
        <v>1</v>
      </c>
      <c r="P416" s="637">
        <v>1</v>
      </c>
      <c r="Q416" s="637">
        <v>1</v>
      </c>
      <c r="R416" s="806" t="s">
        <v>507</v>
      </c>
      <c r="T416" s="815" t="s">
        <v>172</v>
      </c>
      <c r="U416" s="900" t="s">
        <v>1220</v>
      </c>
    </row>
    <row r="417" spans="1:21" x14ac:dyDescent="0.25">
      <c r="A417" s="813">
        <v>584</v>
      </c>
      <c r="B417" s="813" t="s">
        <v>365</v>
      </c>
      <c r="C417" s="813" t="s">
        <v>1051</v>
      </c>
      <c r="D417" s="813" t="s">
        <v>13</v>
      </c>
      <c r="E417" s="813" t="s">
        <v>13</v>
      </c>
      <c r="F417" s="813" t="s">
        <v>1052</v>
      </c>
      <c r="G417" s="813" t="s">
        <v>1052</v>
      </c>
      <c r="H417" s="819" t="s">
        <v>391</v>
      </c>
      <c r="I417" s="820" t="s">
        <v>20</v>
      </c>
      <c r="J417" s="820" t="s">
        <v>16</v>
      </c>
      <c r="K417" s="813" t="s">
        <v>13</v>
      </c>
      <c r="L417" s="821">
        <v>283</v>
      </c>
      <c r="M417" s="637">
        <v>42349</v>
      </c>
      <c r="N417" s="637">
        <v>374553.75</v>
      </c>
      <c r="O417" s="821">
        <v>275</v>
      </c>
      <c r="P417" s="637">
        <v>41993</v>
      </c>
      <c r="Q417" s="637">
        <v>371287.25</v>
      </c>
      <c r="R417" s="813" t="s">
        <v>172</v>
      </c>
      <c r="T417" s="815" t="s">
        <v>172</v>
      </c>
      <c r="U417" s="899" t="s">
        <v>1219</v>
      </c>
    </row>
    <row r="418" spans="1:21" x14ac:dyDescent="0.25">
      <c r="A418" s="813">
        <v>585</v>
      </c>
      <c r="B418" s="813" t="s">
        <v>365</v>
      </c>
      <c r="C418" s="813" t="s">
        <v>1051</v>
      </c>
      <c r="D418" s="813" t="s">
        <v>13</v>
      </c>
      <c r="E418" s="813" t="s">
        <v>13</v>
      </c>
      <c r="F418" s="813" t="s">
        <v>860</v>
      </c>
      <c r="G418" s="813" t="s">
        <v>860</v>
      </c>
      <c r="H418" s="819" t="s">
        <v>391</v>
      </c>
      <c r="I418" s="820" t="s">
        <v>20</v>
      </c>
      <c r="J418" s="820" t="s">
        <v>16</v>
      </c>
      <c r="K418" s="813" t="s">
        <v>13</v>
      </c>
      <c r="L418" s="821">
        <v>2</v>
      </c>
      <c r="M418" s="637">
        <v>6</v>
      </c>
      <c r="N418" s="637">
        <v>22</v>
      </c>
      <c r="O418" s="821">
        <v>2</v>
      </c>
      <c r="P418" s="637">
        <v>6</v>
      </c>
      <c r="Q418" s="637">
        <v>22</v>
      </c>
      <c r="R418" s="813" t="s">
        <v>172</v>
      </c>
      <c r="T418" s="815" t="s">
        <v>172</v>
      </c>
      <c r="U418" s="899" t="s">
        <v>1219</v>
      </c>
    </row>
    <row r="419" spans="1:21" x14ac:dyDescent="0.25">
      <c r="A419" s="813">
        <v>587</v>
      </c>
      <c r="B419" s="813" t="s">
        <v>325</v>
      </c>
      <c r="C419" s="813" t="s">
        <v>876</v>
      </c>
      <c r="D419" s="813" t="s">
        <v>434</v>
      </c>
      <c r="E419" s="813" t="s">
        <v>15</v>
      </c>
      <c r="F419" s="813" t="s">
        <v>863</v>
      </c>
      <c r="G419" s="813" t="s">
        <v>863</v>
      </c>
      <c r="H419" s="819" t="s">
        <v>18</v>
      </c>
      <c r="I419" s="820" t="s">
        <v>15</v>
      </c>
      <c r="J419" s="820" t="s">
        <v>421</v>
      </c>
      <c r="L419" s="821">
        <v>2</v>
      </c>
      <c r="M419" s="637">
        <v>500</v>
      </c>
      <c r="N419" s="637">
        <v>2522</v>
      </c>
      <c r="O419" s="821">
        <v>2</v>
      </c>
      <c r="P419" s="637">
        <v>500</v>
      </c>
      <c r="Q419" s="637">
        <v>2522</v>
      </c>
      <c r="R419" s="813" t="s">
        <v>172</v>
      </c>
      <c r="T419" s="815" t="s">
        <v>172</v>
      </c>
      <c r="U419" s="900" t="s">
        <v>1220</v>
      </c>
    </row>
    <row r="420" spans="1:21" x14ac:dyDescent="0.25">
      <c r="A420" s="813">
        <v>590</v>
      </c>
      <c r="B420" s="813" t="s">
        <v>325</v>
      </c>
      <c r="C420" s="813" t="s">
        <v>897</v>
      </c>
      <c r="D420" s="813" t="s">
        <v>14</v>
      </c>
      <c r="E420" s="813" t="s">
        <v>15</v>
      </c>
      <c r="F420" s="813" t="s">
        <v>898</v>
      </c>
      <c r="G420" s="813" t="s">
        <v>863</v>
      </c>
      <c r="H420" s="819" t="s">
        <v>18</v>
      </c>
      <c r="I420" s="820" t="s">
        <v>15</v>
      </c>
      <c r="J420" s="820" t="s">
        <v>421</v>
      </c>
      <c r="L420" s="821">
        <v>2</v>
      </c>
      <c r="M420" s="637">
        <v>415</v>
      </c>
      <c r="N420" s="637">
        <v>3584.75</v>
      </c>
      <c r="O420" s="821">
        <v>2</v>
      </c>
      <c r="P420" s="637">
        <v>415</v>
      </c>
      <c r="Q420" s="637">
        <v>3584.75</v>
      </c>
      <c r="R420" s="813" t="s">
        <v>172</v>
      </c>
      <c r="T420" s="815" t="s">
        <v>172</v>
      </c>
      <c r="U420" s="900" t="s">
        <v>1220</v>
      </c>
    </row>
    <row r="421" spans="1:21" x14ac:dyDescent="0.25">
      <c r="A421" s="813">
        <v>592</v>
      </c>
      <c r="B421" s="813" t="s">
        <v>326</v>
      </c>
      <c r="C421" s="813" t="s">
        <v>876</v>
      </c>
      <c r="D421" s="813" t="s">
        <v>434</v>
      </c>
      <c r="E421" s="813" t="s">
        <v>15</v>
      </c>
      <c r="F421" s="813" t="s">
        <v>863</v>
      </c>
      <c r="G421" s="813" t="s">
        <v>863</v>
      </c>
      <c r="H421" s="819" t="s">
        <v>18</v>
      </c>
      <c r="I421" s="820" t="s">
        <v>15</v>
      </c>
      <c r="J421" s="820" t="s">
        <v>421</v>
      </c>
      <c r="L421" s="821">
        <v>5</v>
      </c>
      <c r="M421" s="637">
        <v>684</v>
      </c>
      <c r="N421" s="637">
        <v>3477</v>
      </c>
      <c r="O421" s="821">
        <v>5</v>
      </c>
      <c r="P421" s="637">
        <v>684</v>
      </c>
      <c r="Q421" s="637">
        <v>3477</v>
      </c>
      <c r="R421" s="813" t="s">
        <v>172</v>
      </c>
      <c r="T421" s="815" t="s">
        <v>172</v>
      </c>
      <c r="U421" s="900" t="s">
        <v>1220</v>
      </c>
    </row>
    <row r="422" spans="1:21" x14ac:dyDescent="0.25">
      <c r="A422" s="813">
        <v>594</v>
      </c>
      <c r="B422" s="813" t="s">
        <v>326</v>
      </c>
      <c r="C422" s="813" t="s">
        <v>897</v>
      </c>
      <c r="D422" s="813" t="s">
        <v>14</v>
      </c>
      <c r="E422" s="813" t="s">
        <v>15</v>
      </c>
      <c r="F422" s="813" t="s">
        <v>898</v>
      </c>
      <c r="G422" s="813" t="s">
        <v>863</v>
      </c>
      <c r="H422" s="819" t="s">
        <v>18</v>
      </c>
      <c r="I422" s="820" t="s">
        <v>15</v>
      </c>
      <c r="J422" s="820" t="s">
        <v>421</v>
      </c>
      <c r="L422" s="821">
        <v>1</v>
      </c>
      <c r="M422" s="637">
        <v>277</v>
      </c>
      <c r="N422" s="637">
        <v>873</v>
      </c>
      <c r="O422" s="821">
        <v>1</v>
      </c>
      <c r="P422" s="637">
        <v>277</v>
      </c>
      <c r="Q422" s="637">
        <v>873</v>
      </c>
      <c r="R422" s="813" t="s">
        <v>172</v>
      </c>
      <c r="T422" s="815" t="s">
        <v>172</v>
      </c>
      <c r="U422" s="900" t="s">
        <v>1220</v>
      </c>
    </row>
    <row r="423" spans="1:21" x14ac:dyDescent="0.25">
      <c r="A423" s="813">
        <v>596</v>
      </c>
      <c r="B423" s="813" t="s">
        <v>327</v>
      </c>
      <c r="C423" s="813" t="s">
        <v>876</v>
      </c>
      <c r="D423" s="813" t="s">
        <v>434</v>
      </c>
      <c r="E423" s="813" t="s">
        <v>15</v>
      </c>
      <c r="F423" s="813" t="s">
        <v>863</v>
      </c>
      <c r="G423" s="813" t="s">
        <v>863</v>
      </c>
      <c r="H423" s="819" t="s">
        <v>18</v>
      </c>
      <c r="I423" s="820" t="s">
        <v>15</v>
      </c>
      <c r="J423" s="820" t="s">
        <v>421</v>
      </c>
      <c r="L423" s="821">
        <v>3</v>
      </c>
      <c r="M423" s="637">
        <v>301</v>
      </c>
      <c r="N423" s="637">
        <v>1280.5</v>
      </c>
      <c r="O423" s="821">
        <v>3</v>
      </c>
      <c r="P423" s="637">
        <v>301</v>
      </c>
      <c r="Q423" s="637">
        <v>1280.5</v>
      </c>
      <c r="R423" s="813" t="s">
        <v>172</v>
      </c>
      <c r="T423" s="815" t="s">
        <v>172</v>
      </c>
      <c r="U423" s="900" t="s">
        <v>1220</v>
      </c>
    </row>
    <row r="424" spans="1:21" x14ac:dyDescent="0.25">
      <c r="A424" s="813">
        <v>600</v>
      </c>
      <c r="B424" s="813" t="s">
        <v>327</v>
      </c>
      <c r="C424" s="813" t="s">
        <v>909</v>
      </c>
      <c r="D424" s="813" t="s">
        <v>14</v>
      </c>
      <c r="E424" s="813" t="s">
        <v>15</v>
      </c>
      <c r="F424" s="813" t="s">
        <v>1053</v>
      </c>
      <c r="G424" s="813" t="s">
        <v>863</v>
      </c>
      <c r="H424" s="819" t="s">
        <v>18</v>
      </c>
      <c r="I424" s="820" t="s">
        <v>15</v>
      </c>
      <c r="J424" s="820" t="s">
        <v>421</v>
      </c>
      <c r="L424" s="821">
        <v>5</v>
      </c>
      <c r="M424" s="637">
        <v>1076</v>
      </c>
      <c r="N424" s="637">
        <v>6161.25</v>
      </c>
      <c r="O424" s="821">
        <v>5</v>
      </c>
      <c r="P424" s="637">
        <v>1076</v>
      </c>
      <c r="Q424" s="637">
        <v>6161.25</v>
      </c>
      <c r="R424" s="813" t="s">
        <v>172</v>
      </c>
      <c r="T424" s="815" t="s">
        <v>172</v>
      </c>
      <c r="U424" s="900" t="s">
        <v>1220</v>
      </c>
    </row>
    <row r="425" spans="1:21" x14ac:dyDescent="0.25">
      <c r="A425" s="813">
        <v>601</v>
      </c>
      <c r="B425" s="813" t="s">
        <v>285</v>
      </c>
      <c r="C425" s="813" t="s">
        <v>994</v>
      </c>
      <c r="D425" s="813" t="s">
        <v>495</v>
      </c>
      <c r="E425" s="813" t="s">
        <v>15</v>
      </c>
      <c r="F425" s="813" t="s">
        <v>898</v>
      </c>
      <c r="G425" s="813" t="s">
        <v>863</v>
      </c>
      <c r="H425" s="819" t="s">
        <v>18</v>
      </c>
      <c r="I425" s="820" t="s">
        <v>15</v>
      </c>
      <c r="J425" s="820" t="s">
        <v>421</v>
      </c>
      <c r="L425" s="821">
        <v>10</v>
      </c>
      <c r="M425" s="637">
        <v>771</v>
      </c>
      <c r="N425" s="637">
        <v>3447.75</v>
      </c>
      <c r="O425" s="821">
        <v>9</v>
      </c>
      <c r="P425" s="637">
        <v>684</v>
      </c>
      <c r="Q425" s="637">
        <v>3189.5</v>
      </c>
      <c r="R425" s="813" t="s">
        <v>172</v>
      </c>
      <c r="T425" s="815" t="s">
        <v>172</v>
      </c>
      <c r="U425" s="900" t="s">
        <v>1220</v>
      </c>
    </row>
    <row r="426" spans="1:21" x14ac:dyDescent="0.25">
      <c r="A426" s="813">
        <v>604</v>
      </c>
      <c r="B426" s="813" t="s">
        <v>285</v>
      </c>
      <c r="C426" s="813" t="s">
        <v>876</v>
      </c>
      <c r="D426" s="813" t="s">
        <v>434</v>
      </c>
      <c r="E426" s="813" t="s">
        <v>15</v>
      </c>
      <c r="F426" s="813" t="s">
        <v>863</v>
      </c>
      <c r="G426" s="813" t="s">
        <v>863</v>
      </c>
      <c r="H426" s="819" t="s">
        <v>18</v>
      </c>
      <c r="I426" s="820" t="s">
        <v>15</v>
      </c>
      <c r="J426" s="820" t="s">
        <v>421</v>
      </c>
      <c r="L426" s="821">
        <v>34</v>
      </c>
      <c r="M426" s="637">
        <v>5438</v>
      </c>
      <c r="N426" s="637">
        <v>24882.25</v>
      </c>
      <c r="O426" s="821">
        <v>34</v>
      </c>
      <c r="P426" s="637">
        <v>5438</v>
      </c>
      <c r="Q426" s="637">
        <v>24882.25</v>
      </c>
      <c r="R426" s="813" t="s">
        <v>172</v>
      </c>
      <c r="T426" s="815" t="s">
        <v>172</v>
      </c>
      <c r="U426" s="900" t="s">
        <v>1220</v>
      </c>
    </row>
    <row r="427" spans="1:21" x14ac:dyDescent="0.25">
      <c r="A427" s="813">
        <v>607</v>
      </c>
      <c r="B427" s="813" t="s">
        <v>285</v>
      </c>
      <c r="C427" s="813" t="s">
        <v>897</v>
      </c>
      <c r="D427" s="813" t="s">
        <v>14</v>
      </c>
      <c r="E427" s="813" t="s">
        <v>15</v>
      </c>
      <c r="F427" s="813" t="s">
        <v>898</v>
      </c>
      <c r="G427" s="813" t="s">
        <v>863</v>
      </c>
      <c r="H427" s="819" t="s">
        <v>18</v>
      </c>
      <c r="I427" s="820" t="s">
        <v>15</v>
      </c>
      <c r="J427" s="820" t="s">
        <v>421</v>
      </c>
      <c r="L427" s="821">
        <v>9</v>
      </c>
      <c r="M427" s="637">
        <v>1779</v>
      </c>
      <c r="N427" s="637">
        <v>11779.75</v>
      </c>
      <c r="O427" s="821">
        <v>9</v>
      </c>
      <c r="P427" s="637">
        <v>1779</v>
      </c>
      <c r="Q427" s="637">
        <v>11779.75</v>
      </c>
      <c r="R427" s="813" t="s">
        <v>172</v>
      </c>
      <c r="T427" s="815" t="s">
        <v>172</v>
      </c>
      <c r="U427" s="900" t="s">
        <v>1220</v>
      </c>
    </row>
    <row r="428" spans="1:21" x14ac:dyDescent="0.25">
      <c r="A428" s="813">
        <v>612</v>
      </c>
      <c r="B428" s="813" t="s">
        <v>285</v>
      </c>
      <c r="C428" s="813" t="s">
        <v>909</v>
      </c>
      <c r="D428" s="813" t="s">
        <v>14</v>
      </c>
      <c r="E428" s="813" t="s">
        <v>15</v>
      </c>
      <c r="F428" s="813" t="s">
        <v>1054</v>
      </c>
      <c r="G428" s="813" t="s">
        <v>863</v>
      </c>
      <c r="H428" s="819" t="s">
        <v>18</v>
      </c>
      <c r="I428" s="820" t="s">
        <v>15</v>
      </c>
      <c r="J428" s="820" t="s">
        <v>421</v>
      </c>
      <c r="L428" s="821">
        <v>98</v>
      </c>
      <c r="M428" s="637">
        <v>19459</v>
      </c>
      <c r="N428" s="637">
        <v>82692.5</v>
      </c>
      <c r="O428" s="821">
        <v>97</v>
      </c>
      <c r="P428" s="637">
        <v>19423</v>
      </c>
      <c r="Q428" s="637">
        <v>82512.5</v>
      </c>
      <c r="R428" s="813" t="s">
        <v>172</v>
      </c>
      <c r="T428" s="815" t="s">
        <v>172</v>
      </c>
      <c r="U428" s="900" t="s">
        <v>1220</v>
      </c>
    </row>
    <row r="429" spans="1:21" x14ac:dyDescent="0.25">
      <c r="A429" s="813">
        <v>613</v>
      </c>
      <c r="B429" s="813" t="s">
        <v>285</v>
      </c>
      <c r="C429" s="813" t="s">
        <v>909</v>
      </c>
      <c r="D429" s="813" t="s">
        <v>14</v>
      </c>
      <c r="E429" s="813" t="s">
        <v>15</v>
      </c>
      <c r="F429" s="813" t="s">
        <v>1055</v>
      </c>
      <c r="G429" s="813" t="s">
        <v>863</v>
      </c>
      <c r="H429" s="819" t="s">
        <v>18</v>
      </c>
      <c r="I429" s="820" t="s">
        <v>15</v>
      </c>
      <c r="J429" s="820" t="s">
        <v>421</v>
      </c>
      <c r="L429" s="821">
        <v>1</v>
      </c>
      <c r="M429" s="637">
        <v>6</v>
      </c>
      <c r="N429" s="637">
        <v>17</v>
      </c>
      <c r="O429" s="821">
        <v>1</v>
      </c>
      <c r="P429" s="637">
        <v>6</v>
      </c>
      <c r="Q429" s="637">
        <v>17</v>
      </c>
      <c r="R429" s="813" t="s">
        <v>172</v>
      </c>
      <c r="T429" s="815" t="s">
        <v>172</v>
      </c>
      <c r="U429" s="900" t="s">
        <v>1220</v>
      </c>
    </row>
    <row r="430" spans="1:21" x14ac:dyDescent="0.25">
      <c r="A430" s="813">
        <v>614</v>
      </c>
      <c r="B430" s="813" t="s">
        <v>285</v>
      </c>
      <c r="C430" s="813" t="s">
        <v>909</v>
      </c>
      <c r="D430" s="813" t="s">
        <v>14</v>
      </c>
      <c r="E430" s="813" t="s">
        <v>15</v>
      </c>
      <c r="F430" s="813" t="s">
        <v>1056</v>
      </c>
      <c r="G430" s="813" t="s">
        <v>863</v>
      </c>
      <c r="H430" s="819" t="s">
        <v>18</v>
      </c>
      <c r="I430" s="820" t="s">
        <v>15</v>
      </c>
      <c r="J430" s="820" t="s">
        <v>421</v>
      </c>
      <c r="L430" s="821">
        <v>1</v>
      </c>
      <c r="M430" s="637">
        <v>305</v>
      </c>
      <c r="N430" s="637">
        <v>1216.75</v>
      </c>
      <c r="O430" s="821">
        <v>1</v>
      </c>
      <c r="P430" s="637">
        <v>305</v>
      </c>
      <c r="Q430" s="637">
        <v>1216.75</v>
      </c>
      <c r="R430" s="813" t="s">
        <v>172</v>
      </c>
      <c r="T430" s="815" t="s">
        <v>172</v>
      </c>
      <c r="U430" s="900" t="s">
        <v>1220</v>
      </c>
    </row>
    <row r="431" spans="1:21" x14ac:dyDescent="0.25">
      <c r="A431" s="813">
        <v>615</v>
      </c>
      <c r="B431" s="813" t="s">
        <v>328</v>
      </c>
      <c r="C431" s="813" t="s">
        <v>874</v>
      </c>
      <c r="D431" s="813" t="s">
        <v>434</v>
      </c>
      <c r="E431" s="813" t="s">
        <v>14</v>
      </c>
      <c r="F431" s="813" t="s">
        <v>869</v>
      </c>
      <c r="H431" s="819" t="s">
        <v>39</v>
      </c>
      <c r="I431" s="820" t="s">
        <v>20</v>
      </c>
      <c r="J431" s="820" t="s">
        <v>428</v>
      </c>
      <c r="L431" s="821">
        <v>2</v>
      </c>
      <c r="M431" s="637">
        <v>2</v>
      </c>
      <c r="N431" s="637">
        <v>2</v>
      </c>
      <c r="O431" s="821">
        <v>2</v>
      </c>
      <c r="P431" s="637">
        <v>2</v>
      </c>
      <c r="Q431" s="637">
        <v>2</v>
      </c>
      <c r="R431" s="806" t="s">
        <v>507</v>
      </c>
      <c r="T431" s="815" t="s">
        <v>172</v>
      </c>
      <c r="U431" s="900" t="s">
        <v>1220</v>
      </c>
    </row>
    <row r="432" spans="1:21" x14ac:dyDescent="0.25">
      <c r="A432" s="813">
        <v>616</v>
      </c>
      <c r="B432" s="813" t="s">
        <v>328</v>
      </c>
      <c r="C432" s="813" t="s">
        <v>874</v>
      </c>
      <c r="D432" s="813" t="s">
        <v>434</v>
      </c>
      <c r="E432" s="813" t="s">
        <v>14</v>
      </c>
      <c r="F432" s="813" t="s">
        <v>890</v>
      </c>
      <c r="G432" s="813" t="s">
        <v>891</v>
      </c>
      <c r="H432" s="819" t="s">
        <v>39</v>
      </c>
      <c r="I432" s="820" t="s">
        <v>20</v>
      </c>
      <c r="J432" s="820" t="s">
        <v>428</v>
      </c>
      <c r="L432" s="821">
        <v>2</v>
      </c>
      <c r="M432" s="637">
        <v>2</v>
      </c>
      <c r="N432" s="637">
        <v>2</v>
      </c>
      <c r="O432" s="821">
        <v>2</v>
      </c>
      <c r="P432" s="637">
        <v>2</v>
      </c>
      <c r="Q432" s="637">
        <v>2</v>
      </c>
      <c r="R432" s="813" t="s">
        <v>529</v>
      </c>
      <c r="T432" s="815" t="s">
        <v>172</v>
      </c>
      <c r="U432" s="900" t="s">
        <v>1220</v>
      </c>
    </row>
    <row r="433" spans="1:21" x14ac:dyDescent="0.25">
      <c r="A433" s="813">
        <v>617</v>
      </c>
      <c r="B433" s="813" t="s">
        <v>328</v>
      </c>
      <c r="C433" s="813" t="s">
        <v>874</v>
      </c>
      <c r="D433" s="813" t="s">
        <v>434</v>
      </c>
      <c r="E433" s="813" t="s">
        <v>14</v>
      </c>
      <c r="F433" s="813" t="s">
        <v>875</v>
      </c>
      <c r="H433" s="819" t="s">
        <v>39</v>
      </c>
      <c r="I433" s="820" t="s">
        <v>20</v>
      </c>
      <c r="J433" s="820" t="s">
        <v>428</v>
      </c>
      <c r="L433" s="821">
        <v>2</v>
      </c>
      <c r="M433" s="637">
        <v>2</v>
      </c>
      <c r="N433" s="637">
        <v>2</v>
      </c>
      <c r="O433" s="821">
        <v>2</v>
      </c>
      <c r="P433" s="637">
        <v>2</v>
      </c>
      <c r="Q433" s="637">
        <v>2</v>
      </c>
      <c r="R433" s="806" t="s">
        <v>507</v>
      </c>
      <c r="T433" s="815" t="s">
        <v>172</v>
      </c>
      <c r="U433" s="900" t="s">
        <v>1220</v>
      </c>
    </row>
    <row r="434" spans="1:21" x14ac:dyDescent="0.25">
      <c r="A434" s="813">
        <v>618</v>
      </c>
      <c r="B434" s="813" t="s">
        <v>328</v>
      </c>
      <c r="C434" s="813" t="s">
        <v>874</v>
      </c>
      <c r="D434" s="813" t="s">
        <v>434</v>
      </c>
      <c r="E434" s="813" t="s">
        <v>14</v>
      </c>
      <c r="F434" s="813" t="s">
        <v>868</v>
      </c>
      <c r="G434" s="813" t="s">
        <v>868</v>
      </c>
      <c r="H434" s="819" t="s">
        <v>35</v>
      </c>
      <c r="I434" s="820" t="s">
        <v>20</v>
      </c>
      <c r="J434" s="820" t="s">
        <v>428</v>
      </c>
      <c r="L434" s="821">
        <v>4</v>
      </c>
      <c r="M434" s="637">
        <v>247</v>
      </c>
      <c r="N434" s="637">
        <v>952.25</v>
      </c>
      <c r="O434" s="821">
        <v>4</v>
      </c>
      <c r="P434" s="637">
        <v>247</v>
      </c>
      <c r="Q434" s="637">
        <v>952.25</v>
      </c>
      <c r="R434" s="813" t="s">
        <v>172</v>
      </c>
      <c r="T434" s="815" t="s">
        <v>172</v>
      </c>
      <c r="U434" s="900" t="s">
        <v>1220</v>
      </c>
    </row>
    <row r="435" spans="1:21" x14ac:dyDescent="0.25">
      <c r="A435" s="813">
        <v>621</v>
      </c>
      <c r="B435" s="813" t="s">
        <v>328</v>
      </c>
      <c r="C435" s="813" t="s">
        <v>876</v>
      </c>
      <c r="D435" s="813" t="s">
        <v>434</v>
      </c>
      <c r="E435" s="813" t="s">
        <v>15</v>
      </c>
      <c r="F435" s="813" t="s">
        <v>863</v>
      </c>
      <c r="G435" s="813" t="s">
        <v>863</v>
      </c>
      <c r="H435" s="819" t="s">
        <v>18</v>
      </c>
      <c r="I435" s="820" t="s">
        <v>15</v>
      </c>
      <c r="J435" s="820" t="s">
        <v>421</v>
      </c>
      <c r="L435" s="821">
        <v>18</v>
      </c>
      <c r="M435" s="637">
        <v>2484</v>
      </c>
      <c r="N435" s="637">
        <v>12301.75</v>
      </c>
      <c r="O435" s="821">
        <v>18</v>
      </c>
      <c r="P435" s="637">
        <v>2484</v>
      </c>
      <c r="Q435" s="637">
        <v>12301.75</v>
      </c>
      <c r="R435" s="813" t="s">
        <v>172</v>
      </c>
      <c r="T435" s="815" t="s">
        <v>172</v>
      </c>
      <c r="U435" s="900" t="s">
        <v>1220</v>
      </c>
    </row>
    <row r="436" spans="1:21" x14ac:dyDescent="0.25">
      <c r="A436" s="813">
        <v>622</v>
      </c>
      <c r="B436" s="813" t="s">
        <v>328</v>
      </c>
      <c r="C436" s="813" t="s">
        <v>894</v>
      </c>
      <c r="D436" s="813" t="s">
        <v>14</v>
      </c>
      <c r="E436" s="813" t="s">
        <v>14</v>
      </c>
      <c r="F436" s="813" t="s">
        <v>869</v>
      </c>
      <c r="G436" s="813" t="s">
        <v>895</v>
      </c>
      <c r="H436" s="819" t="s">
        <v>39</v>
      </c>
      <c r="I436" s="820" t="s">
        <v>20</v>
      </c>
      <c r="J436" s="820" t="s">
        <v>428</v>
      </c>
      <c r="L436" s="821">
        <v>1</v>
      </c>
      <c r="M436" s="637">
        <v>1</v>
      </c>
      <c r="N436" s="637">
        <v>1</v>
      </c>
      <c r="O436" s="821">
        <v>1</v>
      </c>
      <c r="P436" s="637">
        <v>1</v>
      </c>
      <c r="Q436" s="637">
        <v>1</v>
      </c>
      <c r="R436" s="806" t="s">
        <v>507</v>
      </c>
      <c r="T436" s="815" t="s">
        <v>172</v>
      </c>
      <c r="U436" s="900" t="s">
        <v>1220</v>
      </c>
    </row>
    <row r="437" spans="1:21" x14ac:dyDescent="0.25">
      <c r="A437" s="813">
        <v>623</v>
      </c>
      <c r="B437" s="813" t="s">
        <v>328</v>
      </c>
      <c r="C437" s="813" t="s">
        <v>897</v>
      </c>
      <c r="D437" s="813" t="s">
        <v>14</v>
      </c>
      <c r="E437" s="813" t="s">
        <v>15</v>
      </c>
      <c r="F437" s="813" t="s">
        <v>898</v>
      </c>
      <c r="G437" s="813" t="s">
        <v>863</v>
      </c>
      <c r="H437" s="819" t="s">
        <v>18</v>
      </c>
      <c r="I437" s="820" t="s">
        <v>15</v>
      </c>
      <c r="J437" s="820" t="s">
        <v>421</v>
      </c>
      <c r="L437" s="821">
        <v>1</v>
      </c>
      <c r="M437" s="637">
        <v>84</v>
      </c>
      <c r="N437" s="637">
        <v>334.75</v>
      </c>
      <c r="O437" s="821">
        <v>1</v>
      </c>
      <c r="P437" s="637">
        <v>84</v>
      </c>
      <c r="Q437" s="637">
        <v>334.75</v>
      </c>
      <c r="R437" s="813" t="s">
        <v>172</v>
      </c>
      <c r="T437" s="815" t="s">
        <v>172</v>
      </c>
      <c r="U437" s="900" t="s">
        <v>1220</v>
      </c>
    </row>
    <row r="438" spans="1:21" x14ac:dyDescent="0.25">
      <c r="A438" s="813">
        <v>626</v>
      </c>
      <c r="B438" s="813" t="s">
        <v>328</v>
      </c>
      <c r="C438" s="813" t="s">
        <v>909</v>
      </c>
      <c r="D438" s="813" t="s">
        <v>14</v>
      </c>
      <c r="E438" s="813" t="s">
        <v>15</v>
      </c>
      <c r="F438" s="813" t="s">
        <v>1057</v>
      </c>
      <c r="G438" s="813" t="s">
        <v>863</v>
      </c>
      <c r="H438" s="819" t="s">
        <v>18</v>
      </c>
      <c r="I438" s="820" t="s">
        <v>15</v>
      </c>
      <c r="J438" s="820" t="s">
        <v>421</v>
      </c>
      <c r="L438" s="821">
        <v>9</v>
      </c>
      <c r="M438" s="637">
        <v>1975</v>
      </c>
      <c r="N438" s="637">
        <v>8225.75</v>
      </c>
      <c r="O438" s="821">
        <v>9</v>
      </c>
      <c r="P438" s="637">
        <v>1975</v>
      </c>
      <c r="Q438" s="637">
        <v>8225.75</v>
      </c>
      <c r="R438" s="813" t="s">
        <v>172</v>
      </c>
      <c r="T438" s="815" t="s">
        <v>172</v>
      </c>
      <c r="U438" s="900" t="s">
        <v>1220</v>
      </c>
    </row>
    <row r="439" spans="1:21" x14ac:dyDescent="0.25">
      <c r="A439" s="813">
        <v>627</v>
      </c>
      <c r="B439" s="813" t="s">
        <v>328</v>
      </c>
      <c r="C439" s="813" t="s">
        <v>909</v>
      </c>
      <c r="D439" s="813" t="s">
        <v>14</v>
      </c>
      <c r="E439" s="813" t="s">
        <v>15</v>
      </c>
      <c r="F439" s="813" t="s">
        <v>1058</v>
      </c>
      <c r="G439" s="813" t="s">
        <v>863</v>
      </c>
      <c r="H439" s="819" t="s">
        <v>18</v>
      </c>
      <c r="I439" s="820" t="s">
        <v>15</v>
      </c>
      <c r="J439" s="820" t="s">
        <v>421</v>
      </c>
      <c r="L439" s="821">
        <v>1</v>
      </c>
      <c r="M439" s="637">
        <v>72</v>
      </c>
      <c r="N439" s="637">
        <v>413.25</v>
      </c>
      <c r="O439" s="821">
        <v>1</v>
      </c>
      <c r="P439" s="637">
        <v>72</v>
      </c>
      <c r="Q439" s="637">
        <v>413.25</v>
      </c>
      <c r="R439" s="813" t="s">
        <v>172</v>
      </c>
      <c r="T439" s="815" t="s">
        <v>172</v>
      </c>
      <c r="U439" s="900" t="s">
        <v>1220</v>
      </c>
    </row>
    <row r="440" spans="1:21" x14ac:dyDescent="0.25">
      <c r="A440" s="813">
        <v>628</v>
      </c>
      <c r="B440" s="813" t="s">
        <v>329</v>
      </c>
      <c r="C440" s="813" t="s">
        <v>458</v>
      </c>
      <c r="D440" s="813" t="s">
        <v>13</v>
      </c>
      <c r="E440" s="813" t="s">
        <v>13</v>
      </c>
      <c r="F440" s="813" t="s">
        <v>859</v>
      </c>
      <c r="G440" s="813" t="s">
        <v>860</v>
      </c>
      <c r="H440" s="819" t="s">
        <v>391</v>
      </c>
      <c r="I440" s="820" t="s">
        <v>20</v>
      </c>
      <c r="J440" s="820" t="s">
        <v>16</v>
      </c>
      <c r="K440" s="813" t="s">
        <v>13</v>
      </c>
      <c r="L440" s="821">
        <v>38</v>
      </c>
      <c r="M440" s="637">
        <v>879</v>
      </c>
      <c r="N440" s="637">
        <v>3383.25</v>
      </c>
      <c r="O440" s="821">
        <v>28</v>
      </c>
      <c r="P440" s="637">
        <v>583</v>
      </c>
      <c r="Q440" s="637">
        <v>2260.75</v>
      </c>
      <c r="R440" s="813" t="s">
        <v>172</v>
      </c>
      <c r="T440" s="815" t="s">
        <v>172</v>
      </c>
      <c r="U440" s="899" t="s">
        <v>1219</v>
      </c>
    </row>
    <row r="441" spans="1:21" x14ac:dyDescent="0.25">
      <c r="A441" s="813">
        <v>629</v>
      </c>
      <c r="B441" s="813" t="s">
        <v>329</v>
      </c>
      <c r="C441" s="813" t="s">
        <v>458</v>
      </c>
      <c r="D441" s="813" t="s">
        <v>13</v>
      </c>
      <c r="E441" s="813" t="s">
        <v>13</v>
      </c>
      <c r="F441" s="813" t="s">
        <v>915</v>
      </c>
      <c r="G441" s="813" t="s">
        <v>860</v>
      </c>
      <c r="H441" s="819" t="s">
        <v>391</v>
      </c>
      <c r="I441" s="820" t="s">
        <v>20</v>
      </c>
      <c r="J441" s="820" t="s">
        <v>16</v>
      </c>
      <c r="K441" s="813" t="s">
        <v>13</v>
      </c>
      <c r="L441" s="821">
        <v>54</v>
      </c>
      <c r="M441" s="637">
        <v>6841</v>
      </c>
      <c r="N441" s="637">
        <v>40890</v>
      </c>
      <c r="O441" s="821">
        <v>50</v>
      </c>
      <c r="P441" s="637">
        <v>6663</v>
      </c>
      <c r="Q441" s="637">
        <v>39749.5</v>
      </c>
      <c r="R441" s="813" t="s">
        <v>172</v>
      </c>
      <c r="T441" s="815" t="s">
        <v>172</v>
      </c>
      <c r="U441" s="899" t="s">
        <v>1219</v>
      </c>
    </row>
    <row r="442" spans="1:21" x14ac:dyDescent="0.25">
      <c r="A442" s="813">
        <v>631</v>
      </c>
      <c r="B442" s="813" t="s">
        <v>329</v>
      </c>
      <c r="C442" s="813" t="s">
        <v>1059</v>
      </c>
      <c r="D442" s="813" t="s">
        <v>14</v>
      </c>
      <c r="E442" s="813" t="s">
        <v>15</v>
      </c>
      <c r="F442" s="813" t="s">
        <v>1060</v>
      </c>
      <c r="G442" s="813" t="s">
        <v>863</v>
      </c>
      <c r="H442" s="819" t="s">
        <v>18</v>
      </c>
      <c r="I442" s="820" t="s">
        <v>15</v>
      </c>
      <c r="J442" s="820" t="s">
        <v>421</v>
      </c>
      <c r="L442" s="821">
        <v>1</v>
      </c>
      <c r="M442" s="637">
        <v>96</v>
      </c>
      <c r="N442" s="637">
        <v>592</v>
      </c>
      <c r="O442" s="821">
        <v>0</v>
      </c>
      <c r="P442" s="637">
        <v>0</v>
      </c>
      <c r="R442" s="813" t="s">
        <v>172</v>
      </c>
      <c r="T442" s="815" t="s">
        <v>172</v>
      </c>
      <c r="U442" s="900" t="s">
        <v>1220</v>
      </c>
    </row>
    <row r="443" spans="1:21" x14ac:dyDescent="0.25">
      <c r="A443" s="813">
        <v>632</v>
      </c>
      <c r="B443" s="813" t="s">
        <v>329</v>
      </c>
      <c r="C443" s="813" t="s">
        <v>916</v>
      </c>
      <c r="D443" s="813" t="s">
        <v>495</v>
      </c>
      <c r="E443" s="813" t="s">
        <v>244</v>
      </c>
      <c r="F443" s="813" t="s">
        <v>917</v>
      </c>
      <c r="G443" s="813" t="s">
        <v>868</v>
      </c>
      <c r="H443" s="819" t="s">
        <v>35</v>
      </c>
      <c r="I443" s="820" t="s">
        <v>20</v>
      </c>
      <c r="J443" s="820" t="s">
        <v>428</v>
      </c>
      <c r="L443" s="821">
        <v>2</v>
      </c>
      <c r="M443" s="637">
        <v>57</v>
      </c>
      <c r="N443" s="637">
        <v>235.5</v>
      </c>
      <c r="O443" s="821">
        <v>2</v>
      </c>
      <c r="P443" s="637">
        <v>57</v>
      </c>
      <c r="Q443" s="637">
        <v>235.5</v>
      </c>
      <c r="R443" s="813" t="s">
        <v>172</v>
      </c>
      <c r="T443" s="815" t="s">
        <v>172</v>
      </c>
      <c r="U443" s="900" t="s">
        <v>1220</v>
      </c>
    </row>
    <row r="444" spans="1:21" x14ac:dyDescent="0.25">
      <c r="A444" s="813">
        <v>633</v>
      </c>
      <c r="B444" s="813" t="s">
        <v>329</v>
      </c>
      <c r="C444" s="813" t="s">
        <v>916</v>
      </c>
      <c r="D444" s="813" t="s">
        <v>495</v>
      </c>
      <c r="E444" s="813" t="s">
        <v>244</v>
      </c>
      <c r="F444" s="813" t="s">
        <v>869</v>
      </c>
      <c r="H444" s="819" t="s">
        <v>39</v>
      </c>
      <c r="I444" s="820" t="s">
        <v>20</v>
      </c>
      <c r="J444" s="820" t="s">
        <v>428</v>
      </c>
      <c r="L444" s="821">
        <v>1</v>
      </c>
      <c r="M444" s="637">
        <v>1</v>
      </c>
      <c r="N444" s="637">
        <v>1</v>
      </c>
      <c r="O444" s="821">
        <v>1</v>
      </c>
      <c r="P444" s="637">
        <v>1</v>
      </c>
      <c r="Q444" s="637">
        <v>1</v>
      </c>
      <c r="R444" s="806" t="s">
        <v>507</v>
      </c>
      <c r="T444" s="815" t="s">
        <v>172</v>
      </c>
      <c r="U444" s="900" t="s">
        <v>1220</v>
      </c>
    </row>
    <row r="445" spans="1:21" x14ac:dyDescent="0.25">
      <c r="A445" s="813">
        <v>634</v>
      </c>
      <c r="B445" s="813" t="s">
        <v>329</v>
      </c>
      <c r="C445" s="813" t="s">
        <v>916</v>
      </c>
      <c r="D445" s="813" t="s">
        <v>495</v>
      </c>
      <c r="E445" s="813" t="s">
        <v>244</v>
      </c>
      <c r="F445" s="813" t="s">
        <v>1004</v>
      </c>
      <c r="G445" s="813" t="s">
        <v>1005</v>
      </c>
      <c r="H445" s="819" t="s">
        <v>39</v>
      </c>
      <c r="I445" s="820" t="s">
        <v>20</v>
      </c>
      <c r="J445" s="820" t="s">
        <v>428</v>
      </c>
      <c r="L445" s="821">
        <v>1</v>
      </c>
      <c r="M445" s="637">
        <v>1</v>
      </c>
      <c r="N445" s="637">
        <v>1</v>
      </c>
      <c r="O445" s="821">
        <v>1</v>
      </c>
      <c r="P445" s="637">
        <v>1</v>
      </c>
      <c r="Q445" s="637">
        <v>1</v>
      </c>
      <c r="R445" s="806" t="s">
        <v>507</v>
      </c>
      <c r="T445" s="815" t="s">
        <v>172</v>
      </c>
      <c r="U445" s="900" t="s">
        <v>1220</v>
      </c>
    </row>
    <row r="446" spans="1:21" x14ac:dyDescent="0.25">
      <c r="A446" s="813">
        <v>635</v>
      </c>
      <c r="B446" s="813" t="s">
        <v>329</v>
      </c>
      <c r="C446" s="813" t="s">
        <v>924</v>
      </c>
      <c r="D446" s="813" t="s">
        <v>16</v>
      </c>
      <c r="E446" s="813" t="s">
        <v>14</v>
      </c>
      <c r="F446" s="813" t="s">
        <v>875</v>
      </c>
      <c r="H446" s="809" t="s">
        <v>390</v>
      </c>
      <c r="I446" s="810" t="s">
        <v>20</v>
      </c>
      <c r="J446" s="810" t="s">
        <v>16</v>
      </c>
      <c r="L446" s="821">
        <v>1</v>
      </c>
      <c r="M446" s="637">
        <v>2</v>
      </c>
      <c r="N446" s="637">
        <v>2</v>
      </c>
      <c r="O446" s="821">
        <v>1</v>
      </c>
      <c r="P446" s="637">
        <v>2</v>
      </c>
      <c r="Q446" s="637">
        <v>2</v>
      </c>
      <c r="R446" s="806" t="s">
        <v>507</v>
      </c>
      <c r="T446" s="815" t="s">
        <v>172</v>
      </c>
      <c r="U446" s="899" t="s">
        <v>1219</v>
      </c>
    </row>
    <row r="447" spans="1:21" x14ac:dyDescent="0.25">
      <c r="A447" s="813">
        <v>636</v>
      </c>
      <c r="B447" s="813" t="s">
        <v>329</v>
      </c>
      <c r="C447" s="813" t="s">
        <v>924</v>
      </c>
      <c r="D447" s="813" t="s">
        <v>16</v>
      </c>
      <c r="E447" s="813" t="s">
        <v>14</v>
      </c>
      <c r="F447" s="813" t="s">
        <v>868</v>
      </c>
      <c r="G447" s="813" t="s">
        <v>868</v>
      </c>
      <c r="H447" s="809" t="s">
        <v>390</v>
      </c>
      <c r="I447" s="810" t="s">
        <v>20</v>
      </c>
      <c r="J447" s="810" t="s">
        <v>16</v>
      </c>
      <c r="L447" s="821">
        <v>1</v>
      </c>
      <c r="M447" s="637">
        <v>155</v>
      </c>
      <c r="N447" s="637">
        <v>929.75</v>
      </c>
      <c r="O447" s="821">
        <v>1</v>
      </c>
      <c r="P447" s="637">
        <v>155</v>
      </c>
      <c r="Q447" s="637">
        <v>929.75</v>
      </c>
      <c r="R447" s="813" t="s">
        <v>172</v>
      </c>
      <c r="T447" s="815" t="s">
        <v>172</v>
      </c>
      <c r="U447" s="899" t="s">
        <v>1219</v>
      </c>
    </row>
    <row r="448" spans="1:21" x14ac:dyDescent="0.25">
      <c r="A448" s="813">
        <v>637</v>
      </c>
      <c r="B448" s="813" t="s">
        <v>329</v>
      </c>
      <c r="C448" s="813" t="s">
        <v>925</v>
      </c>
      <c r="D448" s="813" t="s">
        <v>16</v>
      </c>
      <c r="E448" s="813" t="s">
        <v>15</v>
      </c>
      <c r="F448" s="813" t="s">
        <v>863</v>
      </c>
      <c r="G448" s="813" t="s">
        <v>863</v>
      </c>
      <c r="H448" s="809" t="s">
        <v>390</v>
      </c>
      <c r="I448" s="810" t="s">
        <v>20</v>
      </c>
      <c r="J448" s="810" t="s">
        <v>16</v>
      </c>
      <c r="L448" s="821">
        <v>2</v>
      </c>
      <c r="M448" s="637">
        <v>426</v>
      </c>
      <c r="N448" s="637">
        <v>1725.25</v>
      </c>
      <c r="O448" s="821">
        <v>2</v>
      </c>
      <c r="P448" s="637">
        <v>426</v>
      </c>
      <c r="Q448" s="637">
        <v>1725.25</v>
      </c>
      <c r="R448" s="813" t="s">
        <v>172</v>
      </c>
      <c r="T448" s="815" t="s">
        <v>172</v>
      </c>
      <c r="U448" s="899" t="s">
        <v>1219</v>
      </c>
    </row>
    <row r="449" spans="1:21" x14ac:dyDescent="0.25">
      <c r="A449" s="813">
        <v>638</v>
      </c>
      <c r="B449" s="813" t="s">
        <v>329</v>
      </c>
      <c r="C449" s="813" t="s">
        <v>926</v>
      </c>
      <c r="D449" s="813" t="s">
        <v>14</v>
      </c>
      <c r="E449" s="813" t="s">
        <v>14</v>
      </c>
      <c r="F449" s="813" t="s">
        <v>885</v>
      </c>
      <c r="G449" s="813" t="s">
        <v>868</v>
      </c>
      <c r="H449" s="819" t="s">
        <v>35</v>
      </c>
      <c r="I449" s="820" t="s">
        <v>20</v>
      </c>
      <c r="J449" s="820" t="s">
        <v>428</v>
      </c>
      <c r="L449" s="821">
        <v>40</v>
      </c>
      <c r="M449" s="637">
        <v>4381</v>
      </c>
      <c r="N449" s="637">
        <v>22414.5</v>
      </c>
      <c r="O449" s="821">
        <v>34</v>
      </c>
      <c r="P449" s="637">
        <v>4012</v>
      </c>
      <c r="Q449" s="637">
        <v>20553.5</v>
      </c>
      <c r="R449" s="813" t="s">
        <v>172</v>
      </c>
      <c r="T449" s="815" t="s">
        <v>172</v>
      </c>
      <c r="U449" s="900" t="s">
        <v>1220</v>
      </c>
    </row>
    <row r="450" spans="1:21" x14ac:dyDescent="0.25">
      <c r="A450" s="813">
        <v>639</v>
      </c>
      <c r="B450" s="813" t="s">
        <v>329</v>
      </c>
      <c r="C450" s="813" t="s">
        <v>926</v>
      </c>
      <c r="D450" s="813" t="s">
        <v>14</v>
      </c>
      <c r="E450" s="813" t="s">
        <v>14</v>
      </c>
      <c r="F450" s="813" t="s">
        <v>1061</v>
      </c>
      <c r="G450" s="813" t="s">
        <v>868</v>
      </c>
      <c r="H450" s="819" t="s">
        <v>35</v>
      </c>
      <c r="I450" s="820" t="s">
        <v>20</v>
      </c>
      <c r="J450" s="820" t="s">
        <v>428</v>
      </c>
      <c r="L450" s="821">
        <v>16</v>
      </c>
      <c r="M450" s="637">
        <v>1343</v>
      </c>
      <c r="N450" s="637">
        <v>7194.75</v>
      </c>
      <c r="O450" s="821">
        <v>15</v>
      </c>
      <c r="P450" s="637">
        <v>1341</v>
      </c>
      <c r="Q450" s="637">
        <v>7174</v>
      </c>
      <c r="R450" s="813" t="s">
        <v>172</v>
      </c>
      <c r="T450" s="815" t="s">
        <v>172</v>
      </c>
      <c r="U450" s="900" t="s">
        <v>1220</v>
      </c>
    </row>
    <row r="451" spans="1:21" x14ac:dyDescent="0.25">
      <c r="A451" s="813">
        <v>640</v>
      </c>
      <c r="B451" s="813" t="s">
        <v>329</v>
      </c>
      <c r="C451" s="813" t="s">
        <v>926</v>
      </c>
      <c r="D451" s="813" t="s">
        <v>14</v>
      </c>
      <c r="E451" s="813" t="s">
        <v>14</v>
      </c>
      <c r="F451" s="813" t="s">
        <v>889</v>
      </c>
      <c r="H451" s="819" t="s">
        <v>39</v>
      </c>
      <c r="I451" s="820" t="s">
        <v>20</v>
      </c>
      <c r="J451" s="820" t="s">
        <v>428</v>
      </c>
      <c r="L451" s="821">
        <v>2</v>
      </c>
      <c r="M451" s="637">
        <v>2</v>
      </c>
      <c r="N451" s="637">
        <v>2</v>
      </c>
      <c r="O451" s="821">
        <v>1</v>
      </c>
      <c r="P451" s="637">
        <v>1</v>
      </c>
      <c r="Q451" s="637">
        <v>1</v>
      </c>
      <c r="R451" s="806" t="s">
        <v>507</v>
      </c>
      <c r="T451" s="815" t="s">
        <v>172</v>
      </c>
      <c r="U451" s="900" t="s">
        <v>1220</v>
      </c>
    </row>
    <row r="452" spans="1:21" x14ac:dyDescent="0.25">
      <c r="A452" s="813">
        <v>641</v>
      </c>
      <c r="B452" s="813" t="s">
        <v>329</v>
      </c>
      <c r="C452" s="813" t="s">
        <v>926</v>
      </c>
      <c r="D452" s="813" t="s">
        <v>14</v>
      </c>
      <c r="E452" s="813" t="s">
        <v>14</v>
      </c>
      <c r="F452" s="813" t="s">
        <v>869</v>
      </c>
      <c r="H452" s="819" t="s">
        <v>39</v>
      </c>
      <c r="I452" s="820" t="s">
        <v>20</v>
      </c>
      <c r="J452" s="820" t="s">
        <v>428</v>
      </c>
      <c r="L452" s="821">
        <v>31</v>
      </c>
      <c r="M452" s="637">
        <v>31</v>
      </c>
      <c r="N452" s="637">
        <v>31</v>
      </c>
      <c r="O452" s="821">
        <v>28</v>
      </c>
      <c r="P452" s="637">
        <v>28</v>
      </c>
      <c r="Q452" s="637">
        <v>28</v>
      </c>
      <c r="R452" s="806" t="s">
        <v>507</v>
      </c>
      <c r="T452" s="815" t="s">
        <v>172</v>
      </c>
      <c r="U452" s="900" t="s">
        <v>1220</v>
      </c>
    </row>
    <row r="453" spans="1:21" x14ac:dyDescent="0.25">
      <c r="A453" s="813">
        <v>642</v>
      </c>
      <c r="B453" s="813" t="s">
        <v>329</v>
      </c>
      <c r="C453" s="813" t="s">
        <v>926</v>
      </c>
      <c r="D453" s="813" t="s">
        <v>14</v>
      </c>
      <c r="E453" s="813" t="s">
        <v>14</v>
      </c>
      <c r="F453" s="813" t="s">
        <v>875</v>
      </c>
      <c r="H453" s="819" t="s">
        <v>39</v>
      </c>
      <c r="I453" s="820" t="s">
        <v>20</v>
      </c>
      <c r="J453" s="820" t="s">
        <v>428</v>
      </c>
      <c r="L453" s="821">
        <v>21</v>
      </c>
      <c r="M453" s="637">
        <v>32</v>
      </c>
      <c r="N453" s="637">
        <v>32</v>
      </c>
      <c r="O453" s="821">
        <v>19</v>
      </c>
      <c r="P453" s="637">
        <v>30</v>
      </c>
      <c r="Q453" s="637">
        <v>30</v>
      </c>
      <c r="R453" s="806" t="s">
        <v>507</v>
      </c>
      <c r="T453" s="815" t="s">
        <v>172</v>
      </c>
      <c r="U453" s="900" t="s">
        <v>1220</v>
      </c>
    </row>
    <row r="454" spans="1:21" x14ac:dyDescent="0.25">
      <c r="A454" s="813">
        <v>646</v>
      </c>
      <c r="B454" s="813" t="s">
        <v>329</v>
      </c>
      <c r="C454" s="813" t="s">
        <v>861</v>
      </c>
      <c r="D454" s="813" t="s">
        <v>14</v>
      </c>
      <c r="E454" s="813" t="s">
        <v>15</v>
      </c>
      <c r="F454" s="813" t="s">
        <v>862</v>
      </c>
      <c r="G454" s="813" t="s">
        <v>863</v>
      </c>
      <c r="H454" s="819" t="s">
        <v>18</v>
      </c>
      <c r="I454" s="820" t="s">
        <v>15</v>
      </c>
      <c r="J454" s="820" t="s">
        <v>421</v>
      </c>
      <c r="L454" s="821">
        <v>9</v>
      </c>
      <c r="M454" s="637">
        <v>1333</v>
      </c>
      <c r="N454" s="637">
        <v>4979.5</v>
      </c>
      <c r="O454" s="821">
        <v>9</v>
      </c>
      <c r="P454" s="637">
        <v>1333</v>
      </c>
      <c r="Q454" s="637">
        <v>4979.5</v>
      </c>
      <c r="R454" s="813" t="s">
        <v>172</v>
      </c>
      <c r="T454" s="815" t="s">
        <v>172</v>
      </c>
      <c r="U454" s="900" t="s">
        <v>1220</v>
      </c>
    </row>
    <row r="455" spans="1:21" x14ac:dyDescent="0.25">
      <c r="A455" s="813">
        <v>647</v>
      </c>
      <c r="B455" s="813" t="s">
        <v>329</v>
      </c>
      <c r="C455" s="813" t="s">
        <v>861</v>
      </c>
      <c r="D455" s="813" t="s">
        <v>14</v>
      </c>
      <c r="E455" s="813" t="s">
        <v>15</v>
      </c>
      <c r="F455" s="813" t="s">
        <v>992</v>
      </c>
      <c r="G455" s="813" t="s">
        <v>863</v>
      </c>
      <c r="H455" s="819" t="s">
        <v>18</v>
      </c>
      <c r="I455" s="820" t="s">
        <v>15</v>
      </c>
      <c r="J455" s="820" t="s">
        <v>421</v>
      </c>
      <c r="L455" s="821">
        <v>51</v>
      </c>
      <c r="M455" s="637">
        <v>10452</v>
      </c>
      <c r="N455" s="637">
        <v>47819.25</v>
      </c>
      <c r="O455" s="821">
        <v>49</v>
      </c>
      <c r="P455" s="637">
        <v>10269</v>
      </c>
      <c r="Q455" s="637">
        <v>46764.25</v>
      </c>
      <c r="R455" s="813" t="s">
        <v>172</v>
      </c>
      <c r="T455" s="815" t="s">
        <v>172</v>
      </c>
      <c r="U455" s="900" t="s">
        <v>1220</v>
      </c>
    </row>
    <row r="456" spans="1:21" x14ac:dyDescent="0.25">
      <c r="A456" s="813">
        <v>648</v>
      </c>
      <c r="B456" s="813" t="s">
        <v>329</v>
      </c>
      <c r="C456" s="813" t="s">
        <v>927</v>
      </c>
      <c r="D456" s="813" t="s">
        <v>14</v>
      </c>
      <c r="E456" s="813" t="s">
        <v>14</v>
      </c>
      <c r="F456" s="813" t="s">
        <v>889</v>
      </c>
      <c r="H456" s="819" t="s">
        <v>39</v>
      </c>
      <c r="I456" s="820" t="s">
        <v>20</v>
      </c>
      <c r="J456" s="820" t="s">
        <v>428</v>
      </c>
      <c r="L456" s="821">
        <v>1</v>
      </c>
      <c r="M456" s="637">
        <v>1</v>
      </c>
      <c r="N456" s="637">
        <v>1</v>
      </c>
      <c r="O456" s="821">
        <v>1</v>
      </c>
      <c r="P456" s="637">
        <v>1</v>
      </c>
      <c r="Q456" s="637">
        <v>1</v>
      </c>
      <c r="R456" s="806" t="s">
        <v>507</v>
      </c>
      <c r="T456" s="815" t="s">
        <v>172</v>
      </c>
      <c r="U456" s="900" t="s">
        <v>1220</v>
      </c>
    </row>
    <row r="457" spans="1:21" x14ac:dyDescent="0.25">
      <c r="A457" s="813">
        <v>649</v>
      </c>
      <c r="B457" s="813" t="s">
        <v>329</v>
      </c>
      <c r="C457" s="813" t="s">
        <v>927</v>
      </c>
      <c r="D457" s="813" t="s">
        <v>14</v>
      </c>
      <c r="E457" s="813" t="s">
        <v>14</v>
      </c>
      <c r="F457" s="813" t="s">
        <v>869</v>
      </c>
      <c r="H457" s="819" t="s">
        <v>39</v>
      </c>
      <c r="I457" s="820" t="s">
        <v>20</v>
      </c>
      <c r="J457" s="820" t="s">
        <v>428</v>
      </c>
      <c r="L457" s="821">
        <v>24</v>
      </c>
      <c r="M457" s="637">
        <v>24</v>
      </c>
      <c r="N457" s="637">
        <v>24</v>
      </c>
      <c r="O457" s="821">
        <v>19</v>
      </c>
      <c r="P457" s="637">
        <v>19</v>
      </c>
      <c r="Q457" s="637">
        <v>19</v>
      </c>
      <c r="R457" s="806" t="s">
        <v>507</v>
      </c>
      <c r="T457" s="815" t="s">
        <v>172</v>
      </c>
      <c r="U457" s="900" t="s">
        <v>1220</v>
      </c>
    </row>
    <row r="458" spans="1:21" x14ac:dyDescent="0.25">
      <c r="A458" s="813">
        <v>650</v>
      </c>
      <c r="B458" s="813" t="s">
        <v>329</v>
      </c>
      <c r="C458" s="813" t="s">
        <v>927</v>
      </c>
      <c r="D458" s="813" t="s">
        <v>14</v>
      </c>
      <c r="E458" s="813" t="s">
        <v>14</v>
      </c>
      <c r="F458" s="813" t="s">
        <v>875</v>
      </c>
      <c r="H458" s="819" t="s">
        <v>39</v>
      </c>
      <c r="I458" s="820" t="s">
        <v>20</v>
      </c>
      <c r="J458" s="820" t="s">
        <v>428</v>
      </c>
      <c r="L458" s="821">
        <v>11</v>
      </c>
      <c r="M458" s="637">
        <v>15</v>
      </c>
      <c r="N458" s="637">
        <v>15</v>
      </c>
      <c r="O458" s="821">
        <v>10</v>
      </c>
      <c r="P458" s="637">
        <v>14</v>
      </c>
      <c r="Q458" s="637">
        <v>14</v>
      </c>
      <c r="R458" s="806" t="s">
        <v>507</v>
      </c>
      <c r="T458" s="815" t="s">
        <v>172</v>
      </c>
      <c r="U458" s="900" t="s">
        <v>1220</v>
      </c>
    </row>
    <row r="459" spans="1:21" x14ac:dyDescent="0.25">
      <c r="A459" s="813">
        <v>651</v>
      </c>
      <c r="B459" s="813" t="s">
        <v>329</v>
      </c>
      <c r="C459" s="813" t="s">
        <v>927</v>
      </c>
      <c r="D459" s="813" t="s">
        <v>14</v>
      </c>
      <c r="E459" s="813" t="s">
        <v>14</v>
      </c>
      <c r="F459" s="813" t="s">
        <v>868</v>
      </c>
      <c r="G459" s="813" t="s">
        <v>868</v>
      </c>
      <c r="H459" s="819" t="s">
        <v>35</v>
      </c>
      <c r="I459" s="820" t="s">
        <v>20</v>
      </c>
      <c r="J459" s="820" t="s">
        <v>428</v>
      </c>
      <c r="L459" s="821">
        <v>33</v>
      </c>
      <c r="M459" s="637">
        <v>3772</v>
      </c>
      <c r="N459" s="637">
        <v>19781.5</v>
      </c>
      <c r="O459" s="821">
        <v>28</v>
      </c>
      <c r="P459" s="637">
        <v>3472</v>
      </c>
      <c r="Q459" s="637">
        <v>18041.25</v>
      </c>
      <c r="R459" s="813" t="s">
        <v>172</v>
      </c>
      <c r="T459" s="815" t="s">
        <v>172</v>
      </c>
      <c r="U459" s="900" t="s">
        <v>1220</v>
      </c>
    </row>
    <row r="460" spans="1:21" x14ac:dyDescent="0.25">
      <c r="A460" s="813">
        <v>652</v>
      </c>
      <c r="B460" s="813" t="s">
        <v>329</v>
      </c>
      <c r="C460" s="813" t="s">
        <v>927</v>
      </c>
      <c r="D460" s="813" t="s">
        <v>14</v>
      </c>
      <c r="E460" s="813" t="s">
        <v>14</v>
      </c>
      <c r="F460" s="813" t="s">
        <v>933</v>
      </c>
      <c r="G460" s="813" t="s">
        <v>933</v>
      </c>
      <c r="H460" s="819" t="s">
        <v>37</v>
      </c>
      <c r="I460" s="820" t="s">
        <v>20</v>
      </c>
      <c r="J460" s="820" t="s">
        <v>428</v>
      </c>
      <c r="L460" s="821">
        <v>2</v>
      </c>
      <c r="M460" s="637">
        <v>298</v>
      </c>
      <c r="N460" s="637">
        <v>3874</v>
      </c>
      <c r="O460" s="821">
        <v>2</v>
      </c>
      <c r="P460" s="637">
        <v>298</v>
      </c>
      <c r="Q460" s="637">
        <v>3874</v>
      </c>
      <c r="R460" s="813" t="s">
        <v>172</v>
      </c>
      <c r="T460" s="815">
        <v>13</v>
      </c>
      <c r="U460" s="900" t="s">
        <v>1220</v>
      </c>
    </row>
    <row r="461" spans="1:21" x14ac:dyDescent="0.25">
      <c r="A461" s="813">
        <v>655</v>
      </c>
      <c r="B461" s="813" t="s">
        <v>329</v>
      </c>
      <c r="C461" s="813" t="s">
        <v>928</v>
      </c>
      <c r="D461" s="813" t="s">
        <v>14</v>
      </c>
      <c r="E461" s="813" t="s">
        <v>15</v>
      </c>
      <c r="F461" s="813" t="s">
        <v>863</v>
      </c>
      <c r="G461" s="813" t="s">
        <v>863</v>
      </c>
      <c r="H461" s="819" t="s">
        <v>18</v>
      </c>
      <c r="I461" s="820" t="s">
        <v>15</v>
      </c>
      <c r="J461" s="820" t="s">
        <v>421</v>
      </c>
      <c r="L461" s="821">
        <v>17</v>
      </c>
      <c r="M461" s="637">
        <v>2211</v>
      </c>
      <c r="N461" s="637">
        <v>10487.75</v>
      </c>
      <c r="O461" s="821">
        <v>13</v>
      </c>
      <c r="P461" s="637">
        <v>1835</v>
      </c>
      <c r="Q461" s="637">
        <v>8508.25</v>
      </c>
      <c r="R461" s="813" t="s">
        <v>172</v>
      </c>
      <c r="T461" s="815" t="s">
        <v>172</v>
      </c>
      <c r="U461" s="900" t="s">
        <v>1220</v>
      </c>
    </row>
    <row r="462" spans="1:21" x14ac:dyDescent="0.25">
      <c r="A462" s="813">
        <v>657</v>
      </c>
      <c r="B462" s="813" t="s">
        <v>329</v>
      </c>
      <c r="C462" s="813" t="s">
        <v>930</v>
      </c>
      <c r="D462" s="813" t="s">
        <v>14</v>
      </c>
      <c r="E462" s="813" t="s">
        <v>15</v>
      </c>
      <c r="F462" s="813" t="s">
        <v>1062</v>
      </c>
      <c r="G462" s="813" t="s">
        <v>1063</v>
      </c>
      <c r="H462" s="819" t="s">
        <v>42</v>
      </c>
      <c r="I462" s="820" t="s">
        <v>15</v>
      </c>
      <c r="J462" s="820" t="s">
        <v>421</v>
      </c>
      <c r="L462" s="821">
        <v>1</v>
      </c>
      <c r="M462" s="637">
        <v>97</v>
      </c>
      <c r="N462" s="637">
        <v>418</v>
      </c>
      <c r="O462" s="821">
        <v>1</v>
      </c>
      <c r="P462" s="637">
        <v>97</v>
      </c>
      <c r="Q462" s="637">
        <v>418</v>
      </c>
      <c r="R462" s="813" t="s">
        <v>172</v>
      </c>
      <c r="T462" s="815" t="s">
        <v>172</v>
      </c>
      <c r="U462" s="900" t="s">
        <v>1220</v>
      </c>
    </row>
    <row r="463" spans="1:21" x14ac:dyDescent="0.25">
      <c r="A463" s="813">
        <v>658</v>
      </c>
      <c r="B463" s="813" t="s">
        <v>329</v>
      </c>
      <c r="C463" s="813" t="s">
        <v>930</v>
      </c>
      <c r="D463" s="813" t="s">
        <v>14</v>
      </c>
      <c r="E463" s="813" t="s">
        <v>15</v>
      </c>
      <c r="F463" s="813" t="s">
        <v>1064</v>
      </c>
      <c r="G463" s="813" t="s">
        <v>1065</v>
      </c>
      <c r="H463" s="819" t="s">
        <v>45</v>
      </c>
      <c r="I463" s="820" t="s">
        <v>15</v>
      </c>
      <c r="J463" s="820" t="s">
        <v>421</v>
      </c>
      <c r="L463" s="821">
        <v>2</v>
      </c>
      <c r="M463" s="637">
        <v>522</v>
      </c>
      <c r="N463" s="637">
        <v>3131.75</v>
      </c>
      <c r="O463" s="821">
        <v>2</v>
      </c>
      <c r="P463" s="637">
        <v>522</v>
      </c>
      <c r="Q463" s="637">
        <v>3131.75</v>
      </c>
      <c r="R463" s="813" t="s">
        <v>172</v>
      </c>
      <c r="T463" s="815" t="s">
        <v>172</v>
      </c>
      <c r="U463" s="900" t="s">
        <v>1220</v>
      </c>
    </row>
    <row r="464" spans="1:21" x14ac:dyDescent="0.25">
      <c r="A464" s="813">
        <v>659</v>
      </c>
      <c r="B464" s="813" t="s">
        <v>329</v>
      </c>
      <c r="C464" s="813" t="s">
        <v>931</v>
      </c>
      <c r="D464" s="813" t="s">
        <v>14</v>
      </c>
      <c r="E464" s="813" t="s">
        <v>14</v>
      </c>
      <c r="F464" s="813" t="s">
        <v>1066</v>
      </c>
      <c r="G464" s="813" t="s">
        <v>1067</v>
      </c>
      <c r="H464" s="819" t="s">
        <v>36</v>
      </c>
      <c r="I464" s="820" t="s">
        <v>20</v>
      </c>
      <c r="J464" s="820" t="s">
        <v>428</v>
      </c>
      <c r="L464" s="821">
        <v>2</v>
      </c>
      <c r="M464" s="637">
        <v>73</v>
      </c>
      <c r="N464" s="637">
        <v>600</v>
      </c>
      <c r="O464" s="821">
        <v>2</v>
      </c>
      <c r="P464" s="637">
        <v>73</v>
      </c>
      <c r="Q464" s="637">
        <v>600</v>
      </c>
      <c r="R464" s="813" t="s">
        <v>172</v>
      </c>
      <c r="T464" s="815" t="s">
        <v>172</v>
      </c>
      <c r="U464" s="900" t="s">
        <v>1220</v>
      </c>
    </row>
    <row r="465" spans="1:21" x14ac:dyDescent="0.25">
      <c r="A465" s="813">
        <v>660</v>
      </c>
      <c r="B465" s="813" t="s">
        <v>329</v>
      </c>
      <c r="C465" s="813" t="s">
        <v>931</v>
      </c>
      <c r="D465" s="813" t="s">
        <v>14</v>
      </c>
      <c r="E465" s="813" t="s">
        <v>14</v>
      </c>
      <c r="F465" s="813" t="s">
        <v>1068</v>
      </c>
      <c r="G465" s="813" t="s">
        <v>1069</v>
      </c>
      <c r="H465" s="819" t="s">
        <v>41</v>
      </c>
      <c r="I465" s="820" t="s">
        <v>20</v>
      </c>
      <c r="J465" s="820" t="s">
        <v>428</v>
      </c>
      <c r="L465" s="821">
        <v>2</v>
      </c>
      <c r="M465" s="637">
        <v>311</v>
      </c>
      <c r="N465" s="637">
        <v>2174</v>
      </c>
      <c r="O465" s="821">
        <v>2</v>
      </c>
      <c r="P465" s="637">
        <v>311</v>
      </c>
      <c r="Q465" s="637">
        <v>2174</v>
      </c>
      <c r="R465" s="813" t="s">
        <v>172</v>
      </c>
      <c r="T465" s="815" t="s">
        <v>172</v>
      </c>
      <c r="U465" s="900" t="s">
        <v>1220</v>
      </c>
    </row>
    <row r="466" spans="1:21" x14ac:dyDescent="0.25">
      <c r="A466" s="813">
        <v>661</v>
      </c>
      <c r="B466" s="813" t="s">
        <v>329</v>
      </c>
      <c r="C466" s="813" t="s">
        <v>931</v>
      </c>
      <c r="D466" s="813" t="s">
        <v>14</v>
      </c>
      <c r="E466" s="813" t="s">
        <v>14</v>
      </c>
      <c r="F466" s="813" t="s">
        <v>869</v>
      </c>
      <c r="H466" s="819" t="s">
        <v>39</v>
      </c>
      <c r="I466" s="820" t="s">
        <v>20</v>
      </c>
      <c r="J466" s="820" t="s">
        <v>428</v>
      </c>
      <c r="L466" s="821">
        <v>1</v>
      </c>
      <c r="M466" s="637">
        <v>1</v>
      </c>
      <c r="N466" s="637">
        <v>1</v>
      </c>
      <c r="O466" s="821">
        <v>1</v>
      </c>
      <c r="P466" s="637">
        <v>1</v>
      </c>
      <c r="Q466" s="637">
        <v>1</v>
      </c>
      <c r="R466" s="806" t="s">
        <v>507</v>
      </c>
      <c r="T466" s="815" t="s">
        <v>172</v>
      </c>
      <c r="U466" s="900" t="s">
        <v>1220</v>
      </c>
    </row>
    <row r="467" spans="1:21" x14ac:dyDescent="0.25">
      <c r="A467" s="813">
        <v>662</v>
      </c>
      <c r="B467" s="813" t="s">
        <v>329</v>
      </c>
      <c r="C467" s="813" t="s">
        <v>931</v>
      </c>
      <c r="D467" s="813" t="s">
        <v>14</v>
      </c>
      <c r="E467" s="813" t="s">
        <v>14</v>
      </c>
      <c r="F467" s="813" t="s">
        <v>875</v>
      </c>
      <c r="H467" s="819" t="s">
        <v>39</v>
      </c>
      <c r="I467" s="820" t="s">
        <v>20</v>
      </c>
      <c r="J467" s="820" t="s">
        <v>428</v>
      </c>
      <c r="L467" s="821">
        <v>2</v>
      </c>
      <c r="M467" s="637">
        <v>2</v>
      </c>
      <c r="N467" s="637">
        <v>2</v>
      </c>
      <c r="O467" s="821">
        <v>2</v>
      </c>
      <c r="P467" s="637">
        <v>2</v>
      </c>
      <c r="Q467" s="637">
        <v>2</v>
      </c>
      <c r="R467" s="806" t="s">
        <v>507</v>
      </c>
      <c r="T467" s="815" t="s">
        <v>172</v>
      </c>
      <c r="U467" s="900" t="s">
        <v>1220</v>
      </c>
    </row>
    <row r="468" spans="1:21" x14ac:dyDescent="0.25">
      <c r="A468" s="813">
        <v>665</v>
      </c>
      <c r="B468" s="813" t="s">
        <v>329</v>
      </c>
      <c r="C468" s="813" t="s">
        <v>864</v>
      </c>
      <c r="D468" s="813" t="s">
        <v>16</v>
      </c>
      <c r="E468" s="813" t="s">
        <v>15</v>
      </c>
      <c r="F468" s="813" t="s">
        <v>865</v>
      </c>
      <c r="G468" s="813" t="s">
        <v>863</v>
      </c>
      <c r="H468" s="819" t="s">
        <v>18</v>
      </c>
      <c r="I468" s="820" t="s">
        <v>15</v>
      </c>
      <c r="J468" s="820" t="s">
        <v>421</v>
      </c>
      <c r="L468" s="821">
        <v>7</v>
      </c>
      <c r="M468" s="637">
        <v>1195</v>
      </c>
      <c r="N468" s="637">
        <v>7862.25</v>
      </c>
      <c r="O468" s="821">
        <v>6</v>
      </c>
      <c r="P468" s="637">
        <v>1074</v>
      </c>
      <c r="Q468" s="637">
        <v>7204.25</v>
      </c>
      <c r="R468" s="813" t="s">
        <v>172</v>
      </c>
      <c r="T468" s="815" t="s">
        <v>172</v>
      </c>
      <c r="U468" s="900" t="s">
        <v>1220</v>
      </c>
    </row>
    <row r="469" spans="1:21" x14ac:dyDescent="0.25">
      <c r="A469" s="813">
        <v>666</v>
      </c>
      <c r="B469" s="813" t="s">
        <v>329</v>
      </c>
      <c r="C469" s="813" t="s">
        <v>864</v>
      </c>
      <c r="D469" s="813" t="s">
        <v>16</v>
      </c>
      <c r="E469" s="813" t="s">
        <v>15</v>
      </c>
      <c r="F469" s="813" t="s">
        <v>1062</v>
      </c>
      <c r="G469" s="813" t="s">
        <v>863</v>
      </c>
      <c r="H469" s="819" t="s">
        <v>18</v>
      </c>
      <c r="I469" s="820" t="s">
        <v>15</v>
      </c>
      <c r="J469" s="820" t="s">
        <v>421</v>
      </c>
      <c r="L469" s="821">
        <v>11</v>
      </c>
      <c r="M469" s="637">
        <v>1886</v>
      </c>
      <c r="N469" s="637">
        <v>12479</v>
      </c>
      <c r="O469" s="821">
        <v>11</v>
      </c>
      <c r="P469" s="637">
        <v>1886</v>
      </c>
      <c r="Q469" s="637">
        <v>12479</v>
      </c>
      <c r="R469" s="813" t="s">
        <v>172</v>
      </c>
      <c r="T469" s="815" t="s">
        <v>172</v>
      </c>
      <c r="U469" s="900" t="s">
        <v>1220</v>
      </c>
    </row>
    <row r="470" spans="1:21" x14ac:dyDescent="0.25">
      <c r="A470" s="813">
        <v>667</v>
      </c>
      <c r="B470" s="813" t="s">
        <v>329</v>
      </c>
      <c r="C470" s="813" t="s">
        <v>866</v>
      </c>
      <c r="D470" s="813" t="s">
        <v>16</v>
      </c>
      <c r="E470" s="813" t="s">
        <v>14</v>
      </c>
      <c r="F470" s="813" t="s">
        <v>1070</v>
      </c>
      <c r="G470" s="813" t="s">
        <v>967</v>
      </c>
      <c r="H470" s="819" t="s">
        <v>41</v>
      </c>
      <c r="I470" s="820" t="s">
        <v>20</v>
      </c>
      <c r="J470" s="820" t="s">
        <v>428</v>
      </c>
      <c r="L470" s="821">
        <v>2</v>
      </c>
      <c r="M470" s="637">
        <v>215</v>
      </c>
      <c r="N470" s="637">
        <v>2513.75</v>
      </c>
      <c r="O470" s="821">
        <v>2</v>
      </c>
      <c r="P470" s="637">
        <v>215</v>
      </c>
      <c r="Q470" s="637">
        <v>2513.75</v>
      </c>
      <c r="R470" s="813" t="s">
        <v>172</v>
      </c>
      <c r="T470" s="815" t="s">
        <v>172</v>
      </c>
      <c r="U470" s="900" t="s">
        <v>1220</v>
      </c>
    </row>
    <row r="471" spans="1:21" x14ac:dyDescent="0.25">
      <c r="A471" s="813">
        <v>668</v>
      </c>
      <c r="B471" s="813" t="s">
        <v>329</v>
      </c>
      <c r="C471" s="813" t="s">
        <v>866</v>
      </c>
      <c r="D471" s="813" t="s">
        <v>16</v>
      </c>
      <c r="E471" s="813" t="s">
        <v>14</v>
      </c>
      <c r="F471" s="813" t="s">
        <v>1061</v>
      </c>
      <c r="G471" s="813" t="s">
        <v>868</v>
      </c>
      <c r="H471" s="819" t="s">
        <v>35</v>
      </c>
      <c r="I471" s="820" t="s">
        <v>20</v>
      </c>
      <c r="J471" s="820" t="s">
        <v>428</v>
      </c>
      <c r="L471" s="821">
        <v>22</v>
      </c>
      <c r="M471" s="637">
        <v>2506</v>
      </c>
      <c r="N471" s="637">
        <v>18950</v>
      </c>
      <c r="O471" s="821">
        <v>22</v>
      </c>
      <c r="P471" s="637">
        <v>2506</v>
      </c>
      <c r="Q471" s="637">
        <v>18950</v>
      </c>
      <c r="R471" s="813" t="s">
        <v>172</v>
      </c>
      <c r="T471" s="815" t="s">
        <v>172</v>
      </c>
      <c r="U471" s="900" t="s">
        <v>1220</v>
      </c>
    </row>
    <row r="472" spans="1:21" x14ac:dyDescent="0.25">
      <c r="A472" s="813">
        <v>669</v>
      </c>
      <c r="B472" s="813" t="s">
        <v>329</v>
      </c>
      <c r="C472" s="813" t="s">
        <v>866</v>
      </c>
      <c r="D472" s="813" t="s">
        <v>16</v>
      </c>
      <c r="E472" s="813" t="s">
        <v>14</v>
      </c>
      <c r="F472" s="813" t="s">
        <v>867</v>
      </c>
      <c r="G472" s="813" t="s">
        <v>868</v>
      </c>
      <c r="H472" s="819" t="s">
        <v>35</v>
      </c>
      <c r="I472" s="820" t="s">
        <v>20</v>
      </c>
      <c r="J472" s="820" t="s">
        <v>428</v>
      </c>
      <c r="L472" s="821">
        <v>6</v>
      </c>
      <c r="M472" s="637">
        <v>635</v>
      </c>
      <c r="N472" s="637">
        <v>4191.5</v>
      </c>
      <c r="O472" s="821">
        <v>6</v>
      </c>
      <c r="P472" s="637">
        <v>635</v>
      </c>
      <c r="Q472" s="637">
        <v>4191.5</v>
      </c>
      <c r="R472" s="813" t="s">
        <v>172</v>
      </c>
      <c r="T472" s="815" t="s">
        <v>172</v>
      </c>
      <c r="U472" s="900" t="s">
        <v>1220</v>
      </c>
    </row>
    <row r="473" spans="1:21" x14ac:dyDescent="0.25">
      <c r="A473" s="813">
        <v>670</v>
      </c>
      <c r="B473" s="813" t="s">
        <v>329</v>
      </c>
      <c r="C473" s="813" t="s">
        <v>866</v>
      </c>
      <c r="D473" s="813" t="s">
        <v>16</v>
      </c>
      <c r="E473" s="813" t="s">
        <v>14</v>
      </c>
      <c r="F473" s="813" t="s">
        <v>932</v>
      </c>
      <c r="G473" s="813" t="s">
        <v>933</v>
      </c>
      <c r="H473" s="819" t="s">
        <v>37</v>
      </c>
      <c r="I473" s="820" t="s">
        <v>20</v>
      </c>
      <c r="J473" s="820" t="s">
        <v>428</v>
      </c>
      <c r="L473" s="821">
        <v>2</v>
      </c>
      <c r="M473" s="637">
        <v>17</v>
      </c>
      <c r="N473" s="637">
        <v>221</v>
      </c>
      <c r="O473" s="821">
        <v>2</v>
      </c>
      <c r="P473" s="637">
        <v>17</v>
      </c>
      <c r="Q473" s="637">
        <v>221</v>
      </c>
      <c r="R473" s="813" t="s">
        <v>172</v>
      </c>
      <c r="T473" s="815">
        <v>13</v>
      </c>
      <c r="U473" s="900" t="s">
        <v>1220</v>
      </c>
    </row>
    <row r="474" spans="1:21" x14ac:dyDescent="0.25">
      <c r="A474" s="813">
        <v>671</v>
      </c>
      <c r="B474" s="813" t="s">
        <v>329</v>
      </c>
      <c r="C474" s="813" t="s">
        <v>866</v>
      </c>
      <c r="D474" s="813" t="s">
        <v>16</v>
      </c>
      <c r="E474" s="813" t="s">
        <v>14</v>
      </c>
      <c r="F474" s="813" t="s">
        <v>889</v>
      </c>
      <c r="H474" s="819" t="s">
        <v>39</v>
      </c>
      <c r="I474" s="820" t="s">
        <v>20</v>
      </c>
      <c r="J474" s="820" t="s">
        <v>428</v>
      </c>
      <c r="L474" s="821">
        <v>3</v>
      </c>
      <c r="M474" s="637">
        <v>3</v>
      </c>
      <c r="N474" s="637">
        <v>3</v>
      </c>
      <c r="O474" s="821">
        <v>3</v>
      </c>
      <c r="P474" s="637">
        <v>3</v>
      </c>
      <c r="Q474" s="637">
        <v>3</v>
      </c>
      <c r="R474" s="806" t="s">
        <v>507</v>
      </c>
      <c r="T474" s="815" t="s">
        <v>172</v>
      </c>
      <c r="U474" s="900" t="s">
        <v>1220</v>
      </c>
    </row>
    <row r="475" spans="1:21" x14ac:dyDescent="0.25">
      <c r="A475" s="813">
        <v>672</v>
      </c>
      <c r="B475" s="813" t="s">
        <v>329</v>
      </c>
      <c r="C475" s="813" t="s">
        <v>866</v>
      </c>
      <c r="D475" s="813" t="s">
        <v>16</v>
      </c>
      <c r="E475" s="813" t="s">
        <v>14</v>
      </c>
      <c r="F475" s="813" t="s">
        <v>869</v>
      </c>
      <c r="H475" s="819" t="s">
        <v>39</v>
      </c>
      <c r="I475" s="820" t="s">
        <v>20</v>
      </c>
      <c r="J475" s="820" t="s">
        <v>428</v>
      </c>
      <c r="L475" s="821">
        <v>16</v>
      </c>
      <c r="M475" s="637">
        <v>16</v>
      </c>
      <c r="N475" s="637">
        <v>16</v>
      </c>
      <c r="O475" s="821">
        <v>16</v>
      </c>
      <c r="P475" s="637">
        <v>16</v>
      </c>
      <c r="Q475" s="637">
        <v>16</v>
      </c>
      <c r="R475" s="806" t="s">
        <v>507</v>
      </c>
      <c r="T475" s="815" t="s">
        <v>172</v>
      </c>
      <c r="U475" s="900" t="s">
        <v>1220</v>
      </c>
    </row>
    <row r="476" spans="1:21" x14ac:dyDescent="0.25">
      <c r="A476" s="813">
        <v>673</v>
      </c>
      <c r="B476" s="813" t="s">
        <v>329</v>
      </c>
      <c r="C476" s="813" t="s">
        <v>866</v>
      </c>
      <c r="D476" s="813" t="s">
        <v>16</v>
      </c>
      <c r="E476" s="813" t="s">
        <v>14</v>
      </c>
      <c r="F476" s="813" t="s">
        <v>875</v>
      </c>
      <c r="H476" s="819" t="s">
        <v>39</v>
      </c>
      <c r="I476" s="820" t="s">
        <v>20</v>
      </c>
      <c r="J476" s="820" t="s">
        <v>428</v>
      </c>
      <c r="L476" s="821">
        <v>9</v>
      </c>
      <c r="M476" s="637">
        <v>16</v>
      </c>
      <c r="N476" s="637">
        <v>16</v>
      </c>
      <c r="O476" s="821">
        <v>9</v>
      </c>
      <c r="P476" s="637">
        <v>16</v>
      </c>
      <c r="Q476" s="637">
        <v>16</v>
      </c>
      <c r="R476" s="806" t="s">
        <v>507</v>
      </c>
      <c r="T476" s="815" t="s">
        <v>172</v>
      </c>
      <c r="U476" s="900" t="s">
        <v>1220</v>
      </c>
    </row>
    <row r="477" spans="1:21" x14ac:dyDescent="0.25">
      <c r="A477" s="813">
        <v>674</v>
      </c>
      <c r="B477" s="813" t="s">
        <v>329</v>
      </c>
      <c r="C477" s="813" t="s">
        <v>870</v>
      </c>
      <c r="D477" s="813" t="s">
        <v>13</v>
      </c>
      <c r="E477" s="813" t="s">
        <v>13</v>
      </c>
      <c r="F477" s="813" t="s">
        <v>871</v>
      </c>
      <c r="H477" s="819" t="s">
        <v>391</v>
      </c>
      <c r="I477" s="820" t="s">
        <v>20</v>
      </c>
      <c r="J477" s="820" t="s">
        <v>16</v>
      </c>
      <c r="K477" s="813" t="s">
        <v>13</v>
      </c>
      <c r="L477" s="821">
        <v>12</v>
      </c>
      <c r="M477" s="637">
        <v>1322</v>
      </c>
      <c r="N477" s="637">
        <v>7343.75</v>
      </c>
      <c r="O477" s="821">
        <v>11</v>
      </c>
      <c r="P477" s="637">
        <v>1288</v>
      </c>
      <c r="Q477" s="637">
        <v>7152.75</v>
      </c>
      <c r="R477" s="813" t="s">
        <v>172</v>
      </c>
      <c r="T477" s="815" t="s">
        <v>172</v>
      </c>
      <c r="U477" s="899" t="s">
        <v>1219</v>
      </c>
    </row>
    <row r="478" spans="1:21" x14ac:dyDescent="0.25">
      <c r="A478" s="813">
        <v>675</v>
      </c>
      <c r="B478" s="813" t="s">
        <v>329</v>
      </c>
      <c r="C478" s="813" t="s">
        <v>465</v>
      </c>
      <c r="D478" s="813" t="s">
        <v>13</v>
      </c>
      <c r="E478" s="813" t="s">
        <v>13</v>
      </c>
      <c r="F478" s="813" t="s">
        <v>872</v>
      </c>
      <c r="G478" s="813" t="s">
        <v>873</v>
      </c>
      <c r="H478" s="819" t="s">
        <v>391</v>
      </c>
      <c r="I478" s="820" t="s">
        <v>20</v>
      </c>
      <c r="J478" s="820" t="s">
        <v>16</v>
      </c>
      <c r="K478" s="813" t="s">
        <v>13</v>
      </c>
      <c r="L478" s="821">
        <v>13</v>
      </c>
      <c r="M478" s="637">
        <v>1222</v>
      </c>
      <c r="N478" s="637">
        <v>7853.5</v>
      </c>
      <c r="O478" s="821">
        <v>12</v>
      </c>
      <c r="P478" s="637">
        <v>1208</v>
      </c>
      <c r="Q478" s="637">
        <v>7735</v>
      </c>
      <c r="R478" s="813" t="s">
        <v>172</v>
      </c>
      <c r="T478" s="815" t="s">
        <v>172</v>
      </c>
      <c r="U478" s="899" t="s">
        <v>1219</v>
      </c>
    </row>
    <row r="479" spans="1:21" x14ac:dyDescent="0.25">
      <c r="A479" s="813">
        <v>676</v>
      </c>
      <c r="B479" s="813" t="s">
        <v>329</v>
      </c>
      <c r="C479" s="813" t="s">
        <v>465</v>
      </c>
      <c r="D479" s="813" t="s">
        <v>13</v>
      </c>
      <c r="E479" s="813" t="s">
        <v>13</v>
      </c>
      <c r="F479" s="813" t="s">
        <v>877</v>
      </c>
      <c r="H479" s="819" t="s">
        <v>391</v>
      </c>
      <c r="I479" s="820" t="s">
        <v>20</v>
      </c>
      <c r="J479" s="820" t="s">
        <v>16</v>
      </c>
      <c r="K479" s="813" t="s">
        <v>13</v>
      </c>
      <c r="L479" s="821">
        <v>33</v>
      </c>
      <c r="M479" s="637">
        <v>1078</v>
      </c>
      <c r="N479" s="637">
        <v>5136.25</v>
      </c>
      <c r="O479" s="821">
        <v>27</v>
      </c>
      <c r="P479" s="637">
        <v>1029</v>
      </c>
      <c r="Q479" s="637">
        <v>4940.75</v>
      </c>
      <c r="R479" s="813" t="s">
        <v>172</v>
      </c>
      <c r="T479" s="815" t="s">
        <v>172</v>
      </c>
      <c r="U479" s="899" t="s">
        <v>1219</v>
      </c>
    </row>
    <row r="480" spans="1:21" x14ac:dyDescent="0.25">
      <c r="A480" s="813">
        <v>677</v>
      </c>
      <c r="B480" s="813" t="s">
        <v>329</v>
      </c>
      <c r="C480" s="813" t="s">
        <v>465</v>
      </c>
      <c r="D480" s="813" t="s">
        <v>13</v>
      </c>
      <c r="E480" s="813" t="s">
        <v>13</v>
      </c>
      <c r="F480" s="813" t="s">
        <v>1014</v>
      </c>
      <c r="G480" s="813" t="s">
        <v>1015</v>
      </c>
      <c r="H480" s="819" t="s">
        <v>391</v>
      </c>
      <c r="I480" s="820" t="s">
        <v>20</v>
      </c>
      <c r="J480" s="820" t="s">
        <v>16</v>
      </c>
      <c r="K480" s="813" t="s">
        <v>13</v>
      </c>
      <c r="L480" s="821">
        <v>1</v>
      </c>
      <c r="M480" s="637">
        <v>7</v>
      </c>
      <c r="N480" s="637">
        <v>26</v>
      </c>
      <c r="O480" s="821">
        <v>0</v>
      </c>
      <c r="P480" s="637">
        <v>0</v>
      </c>
      <c r="R480" s="813" t="s">
        <v>172</v>
      </c>
      <c r="T480" s="815" t="s">
        <v>172</v>
      </c>
      <c r="U480" s="899" t="s">
        <v>1219</v>
      </c>
    </row>
    <row r="481" spans="1:21" x14ac:dyDescent="0.25">
      <c r="A481" s="813">
        <v>678</v>
      </c>
      <c r="B481" s="813" t="s">
        <v>329</v>
      </c>
      <c r="C481" s="813" t="s">
        <v>874</v>
      </c>
      <c r="D481" s="813" t="s">
        <v>434</v>
      </c>
      <c r="E481" s="813" t="s">
        <v>14</v>
      </c>
      <c r="F481" s="813" t="s">
        <v>889</v>
      </c>
      <c r="H481" s="819" t="s">
        <v>39</v>
      </c>
      <c r="I481" s="820" t="s">
        <v>20</v>
      </c>
      <c r="J481" s="820" t="s">
        <v>428</v>
      </c>
      <c r="L481" s="821">
        <v>4</v>
      </c>
      <c r="M481" s="637">
        <v>4</v>
      </c>
      <c r="N481" s="637">
        <v>4</v>
      </c>
      <c r="O481" s="821">
        <v>4</v>
      </c>
      <c r="P481" s="637">
        <v>4</v>
      </c>
      <c r="Q481" s="637">
        <v>4</v>
      </c>
      <c r="R481" s="806" t="s">
        <v>507</v>
      </c>
      <c r="T481" s="815" t="s">
        <v>172</v>
      </c>
      <c r="U481" s="900" t="s">
        <v>1220</v>
      </c>
    </row>
    <row r="482" spans="1:21" x14ac:dyDescent="0.25">
      <c r="A482" s="813">
        <v>679</v>
      </c>
      <c r="B482" s="813" t="s">
        <v>329</v>
      </c>
      <c r="C482" s="813" t="s">
        <v>874</v>
      </c>
      <c r="D482" s="813" t="s">
        <v>434</v>
      </c>
      <c r="E482" s="813" t="s">
        <v>14</v>
      </c>
      <c r="F482" s="813" t="s">
        <v>869</v>
      </c>
      <c r="H482" s="819" t="s">
        <v>39</v>
      </c>
      <c r="I482" s="820" t="s">
        <v>20</v>
      </c>
      <c r="J482" s="820" t="s">
        <v>428</v>
      </c>
      <c r="L482" s="821">
        <v>27</v>
      </c>
      <c r="M482" s="637">
        <v>27</v>
      </c>
      <c r="N482" s="637">
        <v>27</v>
      </c>
      <c r="O482" s="821">
        <v>25</v>
      </c>
      <c r="P482" s="637">
        <v>25</v>
      </c>
      <c r="Q482" s="637">
        <v>25</v>
      </c>
      <c r="R482" s="806" t="s">
        <v>507</v>
      </c>
      <c r="T482" s="815" t="s">
        <v>172</v>
      </c>
      <c r="U482" s="900" t="s">
        <v>1220</v>
      </c>
    </row>
    <row r="483" spans="1:21" x14ac:dyDescent="0.25">
      <c r="A483" s="813">
        <v>680</v>
      </c>
      <c r="B483" s="813" t="s">
        <v>329</v>
      </c>
      <c r="C483" s="813" t="s">
        <v>874</v>
      </c>
      <c r="D483" s="813" t="s">
        <v>434</v>
      </c>
      <c r="E483" s="813" t="s">
        <v>14</v>
      </c>
      <c r="F483" s="813" t="s">
        <v>890</v>
      </c>
      <c r="G483" s="813" t="s">
        <v>891</v>
      </c>
      <c r="H483" s="819" t="s">
        <v>39</v>
      </c>
      <c r="I483" s="820" t="s">
        <v>20</v>
      </c>
      <c r="J483" s="820" t="s">
        <v>428</v>
      </c>
      <c r="L483" s="821">
        <v>22</v>
      </c>
      <c r="M483" s="637">
        <v>22</v>
      </c>
      <c r="N483" s="637">
        <v>22</v>
      </c>
      <c r="O483" s="821">
        <v>22</v>
      </c>
      <c r="P483" s="637">
        <v>22</v>
      </c>
      <c r="Q483" s="637">
        <v>22</v>
      </c>
      <c r="R483" s="813" t="s">
        <v>529</v>
      </c>
      <c r="T483" s="815" t="s">
        <v>172</v>
      </c>
      <c r="U483" s="900" t="s">
        <v>1220</v>
      </c>
    </row>
    <row r="484" spans="1:21" x14ac:dyDescent="0.25">
      <c r="A484" s="813">
        <v>681</v>
      </c>
      <c r="B484" s="813" t="s">
        <v>329</v>
      </c>
      <c r="C484" s="813" t="s">
        <v>874</v>
      </c>
      <c r="D484" s="813" t="s">
        <v>434</v>
      </c>
      <c r="E484" s="813" t="s">
        <v>14</v>
      </c>
      <c r="F484" s="813" t="s">
        <v>875</v>
      </c>
      <c r="H484" s="819" t="s">
        <v>39</v>
      </c>
      <c r="I484" s="820" t="s">
        <v>20</v>
      </c>
      <c r="J484" s="820" t="s">
        <v>428</v>
      </c>
      <c r="L484" s="821">
        <v>27</v>
      </c>
      <c r="M484" s="637">
        <v>34</v>
      </c>
      <c r="N484" s="637">
        <v>34</v>
      </c>
      <c r="O484" s="821">
        <v>27</v>
      </c>
      <c r="P484" s="637">
        <v>34</v>
      </c>
      <c r="Q484" s="637">
        <v>34</v>
      </c>
      <c r="R484" s="806" t="s">
        <v>507</v>
      </c>
      <c r="T484" s="815" t="s">
        <v>172</v>
      </c>
      <c r="U484" s="900" t="s">
        <v>1220</v>
      </c>
    </row>
    <row r="485" spans="1:21" x14ac:dyDescent="0.25">
      <c r="A485" s="813">
        <v>682</v>
      </c>
      <c r="B485" s="813" t="s">
        <v>329</v>
      </c>
      <c r="C485" s="813" t="s">
        <v>874</v>
      </c>
      <c r="D485" s="813" t="s">
        <v>434</v>
      </c>
      <c r="E485" s="813" t="s">
        <v>14</v>
      </c>
      <c r="F485" s="813" t="s">
        <v>868</v>
      </c>
      <c r="G485" s="813" t="s">
        <v>868</v>
      </c>
      <c r="H485" s="819" t="s">
        <v>35</v>
      </c>
      <c r="I485" s="820" t="s">
        <v>20</v>
      </c>
      <c r="J485" s="820" t="s">
        <v>428</v>
      </c>
      <c r="L485" s="821">
        <v>64</v>
      </c>
      <c r="M485" s="637">
        <v>7102</v>
      </c>
      <c r="N485" s="637">
        <v>44546.25</v>
      </c>
      <c r="O485" s="821">
        <v>62</v>
      </c>
      <c r="P485" s="637">
        <v>7039</v>
      </c>
      <c r="Q485" s="637">
        <v>44228.5</v>
      </c>
      <c r="R485" s="813" t="s">
        <v>172</v>
      </c>
      <c r="T485" s="815" t="s">
        <v>172</v>
      </c>
      <c r="U485" s="900" t="s">
        <v>1220</v>
      </c>
    </row>
    <row r="486" spans="1:21" x14ac:dyDescent="0.25">
      <c r="A486" s="813">
        <v>683</v>
      </c>
      <c r="B486" s="813" t="s">
        <v>329</v>
      </c>
      <c r="C486" s="813" t="s">
        <v>874</v>
      </c>
      <c r="D486" s="813" t="s">
        <v>434</v>
      </c>
      <c r="E486" s="813" t="s">
        <v>14</v>
      </c>
      <c r="F486" s="813" t="s">
        <v>964</v>
      </c>
      <c r="G486" s="813" t="s">
        <v>964</v>
      </c>
      <c r="H486" s="819" t="s">
        <v>41</v>
      </c>
      <c r="I486" s="820" t="s">
        <v>20</v>
      </c>
      <c r="J486" s="820" t="s">
        <v>428</v>
      </c>
      <c r="L486" s="821">
        <v>4</v>
      </c>
      <c r="M486" s="637">
        <v>457</v>
      </c>
      <c r="N486" s="637">
        <v>809.25</v>
      </c>
      <c r="O486" s="821">
        <v>4</v>
      </c>
      <c r="P486" s="637">
        <v>457</v>
      </c>
      <c r="Q486" s="637">
        <v>809.25</v>
      </c>
      <c r="R486" s="813" t="s">
        <v>172</v>
      </c>
      <c r="T486" s="815" t="s">
        <v>172</v>
      </c>
      <c r="U486" s="900" t="s">
        <v>1220</v>
      </c>
    </row>
    <row r="487" spans="1:21" x14ac:dyDescent="0.25">
      <c r="A487" s="813">
        <v>684</v>
      </c>
      <c r="B487" s="813" t="s">
        <v>329</v>
      </c>
      <c r="C487" s="813" t="s">
        <v>874</v>
      </c>
      <c r="D487" s="813" t="s">
        <v>434</v>
      </c>
      <c r="E487" s="813" t="s">
        <v>14</v>
      </c>
      <c r="F487" s="813" t="s">
        <v>933</v>
      </c>
      <c r="G487" s="813" t="s">
        <v>933</v>
      </c>
      <c r="H487" s="819" t="s">
        <v>37</v>
      </c>
      <c r="I487" s="820" t="s">
        <v>20</v>
      </c>
      <c r="J487" s="820" t="s">
        <v>428</v>
      </c>
      <c r="L487" s="821">
        <v>1</v>
      </c>
      <c r="M487" s="637">
        <v>370</v>
      </c>
      <c r="N487" s="637">
        <v>4810</v>
      </c>
      <c r="O487" s="821">
        <v>1</v>
      </c>
      <c r="P487" s="637">
        <v>370</v>
      </c>
      <c r="Q487" s="637">
        <v>4810</v>
      </c>
      <c r="R487" s="813" t="s">
        <v>172</v>
      </c>
      <c r="T487" s="815">
        <v>13</v>
      </c>
      <c r="U487" s="900" t="s">
        <v>1220</v>
      </c>
    </row>
    <row r="488" spans="1:21" x14ac:dyDescent="0.25">
      <c r="A488" s="813">
        <v>687</v>
      </c>
      <c r="B488" s="813" t="s">
        <v>329</v>
      </c>
      <c r="C488" s="813" t="s">
        <v>876</v>
      </c>
      <c r="D488" s="813" t="s">
        <v>434</v>
      </c>
      <c r="E488" s="813" t="s">
        <v>15</v>
      </c>
      <c r="F488" s="813" t="s">
        <v>863</v>
      </c>
      <c r="G488" s="813" t="s">
        <v>863</v>
      </c>
      <c r="H488" s="819" t="s">
        <v>18</v>
      </c>
      <c r="I488" s="820" t="s">
        <v>15</v>
      </c>
      <c r="J488" s="820" t="s">
        <v>421</v>
      </c>
      <c r="L488" s="821">
        <v>30</v>
      </c>
      <c r="M488" s="637">
        <v>5023</v>
      </c>
      <c r="N488" s="637">
        <v>25671.25</v>
      </c>
      <c r="O488" s="821">
        <v>29</v>
      </c>
      <c r="P488" s="637">
        <v>4983</v>
      </c>
      <c r="Q488" s="637">
        <v>25334.25</v>
      </c>
      <c r="R488" s="813" t="s">
        <v>172</v>
      </c>
      <c r="T488" s="815" t="s">
        <v>172</v>
      </c>
      <c r="U488" s="900" t="s">
        <v>1220</v>
      </c>
    </row>
    <row r="489" spans="1:21" x14ac:dyDescent="0.25">
      <c r="A489" s="813">
        <v>688</v>
      </c>
      <c r="B489" s="813" t="s">
        <v>329</v>
      </c>
      <c r="C489" s="813" t="s">
        <v>894</v>
      </c>
      <c r="D489" s="813" t="s">
        <v>14</v>
      </c>
      <c r="E489" s="813" t="s">
        <v>14</v>
      </c>
      <c r="F489" s="813" t="s">
        <v>885</v>
      </c>
      <c r="G489" s="813" t="s">
        <v>868</v>
      </c>
      <c r="H489" s="819" t="s">
        <v>35</v>
      </c>
      <c r="I489" s="820" t="s">
        <v>20</v>
      </c>
      <c r="J489" s="820" t="s">
        <v>428</v>
      </c>
      <c r="L489" s="821">
        <v>3</v>
      </c>
      <c r="M489" s="637">
        <v>58</v>
      </c>
      <c r="N489" s="637">
        <v>578.75</v>
      </c>
      <c r="O489" s="821">
        <v>3</v>
      </c>
      <c r="P489" s="637">
        <v>58</v>
      </c>
      <c r="Q489" s="637">
        <v>578.75</v>
      </c>
      <c r="R489" s="813" t="s">
        <v>172</v>
      </c>
      <c r="T489" s="815" t="s">
        <v>172</v>
      </c>
      <c r="U489" s="900" t="s">
        <v>1220</v>
      </c>
    </row>
    <row r="490" spans="1:21" x14ac:dyDescent="0.25">
      <c r="A490" s="813">
        <v>689</v>
      </c>
      <c r="B490" s="813" t="s">
        <v>329</v>
      </c>
      <c r="C490" s="813" t="s">
        <v>894</v>
      </c>
      <c r="D490" s="813" t="s">
        <v>14</v>
      </c>
      <c r="E490" s="813" t="s">
        <v>14</v>
      </c>
      <c r="F490" s="813" t="s">
        <v>869</v>
      </c>
      <c r="G490" s="813" t="s">
        <v>895</v>
      </c>
      <c r="H490" s="819" t="s">
        <v>39</v>
      </c>
      <c r="I490" s="820" t="s">
        <v>20</v>
      </c>
      <c r="J490" s="820" t="s">
        <v>428</v>
      </c>
      <c r="L490" s="821">
        <v>2</v>
      </c>
      <c r="M490" s="637">
        <v>2</v>
      </c>
      <c r="N490" s="637">
        <v>2</v>
      </c>
      <c r="O490" s="821">
        <v>2</v>
      </c>
      <c r="P490" s="637">
        <v>2</v>
      </c>
      <c r="Q490" s="637">
        <v>2</v>
      </c>
      <c r="R490" s="806" t="s">
        <v>507</v>
      </c>
      <c r="T490" s="815" t="s">
        <v>172</v>
      </c>
      <c r="U490" s="900" t="s">
        <v>1220</v>
      </c>
    </row>
    <row r="491" spans="1:21" x14ac:dyDescent="0.25">
      <c r="A491" s="813">
        <v>690</v>
      </c>
      <c r="B491" s="813" t="s">
        <v>329</v>
      </c>
      <c r="C491" s="813" t="s">
        <v>894</v>
      </c>
      <c r="D491" s="813" t="s">
        <v>14</v>
      </c>
      <c r="E491" s="813" t="s">
        <v>14</v>
      </c>
      <c r="F491" s="813" t="s">
        <v>896</v>
      </c>
      <c r="G491" s="813" t="s">
        <v>895</v>
      </c>
      <c r="H491" s="819" t="s">
        <v>39</v>
      </c>
      <c r="I491" s="820" t="s">
        <v>20</v>
      </c>
      <c r="J491" s="820" t="s">
        <v>428</v>
      </c>
      <c r="L491" s="821">
        <v>2</v>
      </c>
      <c r="M491" s="637">
        <v>2</v>
      </c>
      <c r="N491" s="637">
        <v>2</v>
      </c>
      <c r="O491" s="821">
        <v>2</v>
      </c>
      <c r="P491" s="637">
        <v>2</v>
      </c>
      <c r="Q491" s="637">
        <v>2</v>
      </c>
      <c r="R491" s="813" t="s">
        <v>529</v>
      </c>
      <c r="T491" s="815" t="s">
        <v>172</v>
      </c>
      <c r="U491" s="900" t="s">
        <v>1220</v>
      </c>
    </row>
    <row r="492" spans="1:21" x14ac:dyDescent="0.25">
      <c r="A492" s="813">
        <v>692</v>
      </c>
      <c r="B492" s="813" t="s">
        <v>329</v>
      </c>
      <c r="C492" s="813" t="s">
        <v>935</v>
      </c>
      <c r="D492" s="813" t="s">
        <v>495</v>
      </c>
      <c r="E492" s="813" t="s">
        <v>15</v>
      </c>
      <c r="F492" s="813" t="s">
        <v>936</v>
      </c>
      <c r="G492" s="813" t="s">
        <v>863</v>
      </c>
      <c r="H492" s="819" t="s">
        <v>18</v>
      </c>
      <c r="I492" s="820" t="s">
        <v>15</v>
      </c>
      <c r="J492" s="820" t="s">
        <v>421</v>
      </c>
      <c r="L492" s="821">
        <v>1</v>
      </c>
      <c r="M492" s="637">
        <v>233</v>
      </c>
      <c r="N492" s="637">
        <v>1431.75</v>
      </c>
      <c r="O492" s="821">
        <v>1</v>
      </c>
      <c r="P492" s="637">
        <v>233</v>
      </c>
      <c r="Q492" s="637">
        <v>1431.75</v>
      </c>
      <c r="R492" s="813" t="s">
        <v>172</v>
      </c>
      <c r="T492" s="815" t="s">
        <v>172</v>
      </c>
      <c r="U492" s="900" t="s">
        <v>1220</v>
      </c>
    </row>
    <row r="493" spans="1:21" x14ac:dyDescent="0.25">
      <c r="A493" s="813">
        <v>694</v>
      </c>
      <c r="B493" s="813" t="s">
        <v>329</v>
      </c>
      <c r="C493" s="813" t="s">
        <v>937</v>
      </c>
      <c r="D493" s="813" t="s">
        <v>14</v>
      </c>
      <c r="E493" s="813" t="s">
        <v>14</v>
      </c>
      <c r="F493" s="813" t="s">
        <v>885</v>
      </c>
      <c r="G493" s="813" t="s">
        <v>868</v>
      </c>
      <c r="H493" s="819" t="s">
        <v>35</v>
      </c>
      <c r="I493" s="820" t="s">
        <v>20</v>
      </c>
      <c r="J493" s="820" t="s">
        <v>428</v>
      </c>
      <c r="L493" s="821">
        <v>3</v>
      </c>
      <c r="M493" s="637">
        <v>190</v>
      </c>
      <c r="N493" s="637">
        <v>1032.25</v>
      </c>
      <c r="O493" s="821">
        <v>3</v>
      </c>
      <c r="P493" s="637">
        <v>190</v>
      </c>
      <c r="Q493" s="637">
        <v>1032.25</v>
      </c>
      <c r="R493" s="813" t="s">
        <v>172</v>
      </c>
      <c r="T493" s="815" t="s">
        <v>172</v>
      </c>
      <c r="U493" s="900" t="s">
        <v>1220</v>
      </c>
    </row>
    <row r="494" spans="1:21" x14ac:dyDescent="0.25">
      <c r="A494" s="813">
        <v>695</v>
      </c>
      <c r="B494" s="813" t="s">
        <v>329</v>
      </c>
      <c r="C494" s="813" t="s">
        <v>937</v>
      </c>
      <c r="D494" s="813" t="s">
        <v>14</v>
      </c>
      <c r="E494" s="813" t="s">
        <v>14</v>
      </c>
      <c r="F494" s="813" t="s">
        <v>869</v>
      </c>
      <c r="H494" s="819" t="s">
        <v>39</v>
      </c>
      <c r="I494" s="820" t="s">
        <v>20</v>
      </c>
      <c r="J494" s="820" t="s">
        <v>428</v>
      </c>
      <c r="L494" s="821">
        <v>2</v>
      </c>
      <c r="M494" s="637">
        <v>2</v>
      </c>
      <c r="N494" s="637">
        <v>2</v>
      </c>
      <c r="O494" s="821">
        <v>2</v>
      </c>
      <c r="P494" s="637">
        <v>2</v>
      </c>
      <c r="Q494" s="637">
        <v>2</v>
      </c>
      <c r="R494" s="806" t="s">
        <v>507</v>
      </c>
      <c r="T494" s="815" t="s">
        <v>172</v>
      </c>
      <c r="U494" s="900" t="s">
        <v>1220</v>
      </c>
    </row>
    <row r="495" spans="1:21" x14ac:dyDescent="0.25">
      <c r="A495" s="813">
        <v>696</v>
      </c>
      <c r="B495" s="813" t="s">
        <v>329</v>
      </c>
      <c r="C495" s="813" t="s">
        <v>937</v>
      </c>
      <c r="D495" s="813" t="s">
        <v>14</v>
      </c>
      <c r="E495" s="813" t="s">
        <v>14</v>
      </c>
      <c r="F495" s="813" t="s">
        <v>875</v>
      </c>
      <c r="H495" s="819" t="s">
        <v>39</v>
      </c>
      <c r="I495" s="820" t="s">
        <v>20</v>
      </c>
      <c r="J495" s="820" t="s">
        <v>428</v>
      </c>
      <c r="L495" s="821">
        <v>1</v>
      </c>
      <c r="M495" s="637">
        <v>2</v>
      </c>
      <c r="N495" s="637">
        <v>2</v>
      </c>
      <c r="O495" s="821">
        <v>1</v>
      </c>
      <c r="P495" s="637">
        <v>2</v>
      </c>
      <c r="Q495" s="637">
        <v>2</v>
      </c>
      <c r="R495" s="806" t="s">
        <v>507</v>
      </c>
      <c r="T495" s="815" t="s">
        <v>172</v>
      </c>
      <c r="U495" s="900" t="s">
        <v>1220</v>
      </c>
    </row>
    <row r="496" spans="1:21" x14ac:dyDescent="0.25">
      <c r="A496" s="813">
        <v>699</v>
      </c>
      <c r="B496" s="813" t="s">
        <v>329</v>
      </c>
      <c r="C496" s="813" t="s">
        <v>938</v>
      </c>
      <c r="D496" s="813" t="s">
        <v>495</v>
      </c>
      <c r="E496" s="813" t="s">
        <v>15</v>
      </c>
      <c r="F496" s="813" t="s">
        <v>939</v>
      </c>
      <c r="G496" s="813" t="s">
        <v>863</v>
      </c>
      <c r="H496" s="819" t="s">
        <v>18</v>
      </c>
      <c r="I496" s="820" t="s">
        <v>15</v>
      </c>
      <c r="J496" s="820" t="s">
        <v>421</v>
      </c>
      <c r="L496" s="821">
        <v>4</v>
      </c>
      <c r="M496" s="637">
        <v>814</v>
      </c>
      <c r="N496" s="637">
        <v>5200</v>
      </c>
      <c r="O496" s="821">
        <v>4</v>
      </c>
      <c r="P496" s="637">
        <v>814</v>
      </c>
      <c r="Q496" s="637">
        <v>5200</v>
      </c>
      <c r="R496" s="813" t="s">
        <v>172</v>
      </c>
      <c r="T496" s="815" t="s">
        <v>172</v>
      </c>
      <c r="U496" s="900" t="s">
        <v>1220</v>
      </c>
    </row>
    <row r="497" spans="1:21" x14ac:dyDescent="0.25">
      <c r="A497" s="813">
        <v>701</v>
      </c>
      <c r="B497" s="813" t="s">
        <v>329</v>
      </c>
      <c r="C497" s="813" t="s">
        <v>940</v>
      </c>
      <c r="D497" s="813" t="s">
        <v>495</v>
      </c>
      <c r="E497" s="813" t="s">
        <v>14</v>
      </c>
      <c r="F497" s="813" t="s">
        <v>885</v>
      </c>
      <c r="G497" s="813" t="s">
        <v>868</v>
      </c>
      <c r="H497" s="819" t="s">
        <v>35</v>
      </c>
      <c r="I497" s="820" t="s">
        <v>20</v>
      </c>
      <c r="J497" s="820" t="s">
        <v>428</v>
      </c>
      <c r="L497" s="821">
        <v>1</v>
      </c>
      <c r="M497" s="637">
        <v>52</v>
      </c>
      <c r="N497" s="637">
        <v>194.25</v>
      </c>
      <c r="O497" s="821">
        <v>1</v>
      </c>
      <c r="P497" s="637">
        <v>52</v>
      </c>
      <c r="Q497" s="637">
        <v>194.25</v>
      </c>
      <c r="R497" s="822" t="s">
        <v>172</v>
      </c>
      <c r="T497" s="815" t="s">
        <v>172</v>
      </c>
      <c r="U497" s="900" t="s">
        <v>1220</v>
      </c>
    </row>
    <row r="498" spans="1:21" x14ac:dyDescent="0.25">
      <c r="A498" s="813">
        <v>702</v>
      </c>
      <c r="B498" s="813" t="s">
        <v>329</v>
      </c>
      <c r="C498" s="813" t="s">
        <v>940</v>
      </c>
      <c r="D498" s="813" t="s">
        <v>495</v>
      </c>
      <c r="E498" s="813" t="s">
        <v>14</v>
      </c>
      <c r="F498" s="813" t="s">
        <v>869</v>
      </c>
      <c r="H498" s="819" t="s">
        <v>39</v>
      </c>
      <c r="I498" s="820" t="s">
        <v>20</v>
      </c>
      <c r="J498" s="820" t="s">
        <v>428</v>
      </c>
      <c r="L498" s="821">
        <v>1</v>
      </c>
      <c r="M498" s="637">
        <v>1</v>
      </c>
      <c r="N498" s="637">
        <v>1</v>
      </c>
      <c r="O498" s="821">
        <v>1</v>
      </c>
      <c r="P498" s="637">
        <v>1</v>
      </c>
      <c r="Q498" s="637">
        <v>1</v>
      </c>
      <c r="R498" s="806" t="s">
        <v>507</v>
      </c>
      <c r="T498" s="815" t="s">
        <v>172</v>
      </c>
      <c r="U498" s="900" t="s">
        <v>1220</v>
      </c>
    </row>
    <row r="499" spans="1:21" x14ac:dyDescent="0.25">
      <c r="A499" s="813">
        <v>704</v>
      </c>
      <c r="B499" s="813" t="s">
        <v>329</v>
      </c>
      <c r="C499" s="813" t="s">
        <v>941</v>
      </c>
      <c r="D499" s="813" t="s">
        <v>13</v>
      </c>
      <c r="E499" s="813" t="s">
        <v>14</v>
      </c>
      <c r="F499" s="813" t="s">
        <v>889</v>
      </c>
      <c r="H499" s="819" t="s">
        <v>39</v>
      </c>
      <c r="I499" s="820" t="s">
        <v>20</v>
      </c>
      <c r="J499" s="820" t="s">
        <v>428</v>
      </c>
      <c r="L499" s="821">
        <v>2</v>
      </c>
      <c r="M499" s="637">
        <v>2</v>
      </c>
      <c r="N499" s="637">
        <v>2</v>
      </c>
      <c r="O499" s="821">
        <v>2</v>
      </c>
      <c r="P499" s="637">
        <v>2</v>
      </c>
      <c r="Q499" s="637">
        <v>2</v>
      </c>
      <c r="R499" s="806" t="s">
        <v>507</v>
      </c>
      <c r="T499" s="815" t="s">
        <v>172</v>
      </c>
      <c r="U499" s="900" t="s">
        <v>1220</v>
      </c>
    </row>
    <row r="500" spans="1:21" x14ac:dyDescent="0.25">
      <c r="A500" s="813">
        <v>705</v>
      </c>
      <c r="B500" s="813" t="s">
        <v>329</v>
      </c>
      <c r="C500" s="813" t="s">
        <v>941</v>
      </c>
      <c r="D500" s="813" t="s">
        <v>13</v>
      </c>
      <c r="E500" s="813" t="s">
        <v>14</v>
      </c>
      <c r="F500" s="813" t="s">
        <v>869</v>
      </c>
      <c r="H500" s="819" t="s">
        <v>39</v>
      </c>
      <c r="I500" s="820" t="s">
        <v>20</v>
      </c>
      <c r="J500" s="820" t="s">
        <v>428</v>
      </c>
      <c r="L500" s="821">
        <v>16</v>
      </c>
      <c r="M500" s="637">
        <v>16</v>
      </c>
      <c r="N500" s="637">
        <v>16</v>
      </c>
      <c r="O500" s="821">
        <v>16</v>
      </c>
      <c r="P500" s="637">
        <v>16</v>
      </c>
      <c r="Q500" s="637">
        <v>16</v>
      </c>
      <c r="R500" s="806" t="s">
        <v>507</v>
      </c>
      <c r="T500" s="815" t="s">
        <v>172</v>
      </c>
      <c r="U500" s="900" t="s">
        <v>1220</v>
      </c>
    </row>
    <row r="501" spans="1:21" x14ac:dyDescent="0.25">
      <c r="A501" s="813">
        <v>706</v>
      </c>
      <c r="B501" s="813" t="s">
        <v>329</v>
      </c>
      <c r="C501" s="813" t="s">
        <v>941</v>
      </c>
      <c r="D501" s="813" t="s">
        <v>13</v>
      </c>
      <c r="E501" s="813" t="s">
        <v>14</v>
      </c>
      <c r="F501" s="813" t="s">
        <v>875</v>
      </c>
      <c r="H501" s="819" t="s">
        <v>39</v>
      </c>
      <c r="I501" s="820" t="s">
        <v>20</v>
      </c>
      <c r="J501" s="820" t="s">
        <v>428</v>
      </c>
      <c r="L501" s="821">
        <v>15</v>
      </c>
      <c r="M501" s="637">
        <v>22</v>
      </c>
      <c r="N501" s="637">
        <v>22</v>
      </c>
      <c r="O501" s="821">
        <v>15</v>
      </c>
      <c r="P501" s="637">
        <v>22</v>
      </c>
      <c r="Q501" s="637">
        <v>22</v>
      </c>
      <c r="R501" s="806" t="s">
        <v>507</v>
      </c>
      <c r="T501" s="815" t="s">
        <v>172</v>
      </c>
      <c r="U501" s="900" t="s">
        <v>1220</v>
      </c>
    </row>
    <row r="502" spans="1:21" x14ac:dyDescent="0.25">
      <c r="A502" s="813">
        <v>707</v>
      </c>
      <c r="B502" s="813" t="s">
        <v>329</v>
      </c>
      <c r="C502" s="813" t="s">
        <v>941</v>
      </c>
      <c r="D502" s="813" t="s">
        <v>13</v>
      </c>
      <c r="E502" s="813" t="s">
        <v>14</v>
      </c>
      <c r="F502" s="813" t="s">
        <v>892</v>
      </c>
      <c r="G502" s="813" t="s">
        <v>892</v>
      </c>
      <c r="H502" s="819" t="s">
        <v>34</v>
      </c>
      <c r="I502" s="820" t="s">
        <v>20</v>
      </c>
      <c r="J502" s="820" t="s">
        <v>428</v>
      </c>
      <c r="L502" s="821">
        <v>2</v>
      </c>
      <c r="M502" s="637">
        <v>7</v>
      </c>
      <c r="N502" s="637">
        <v>24</v>
      </c>
      <c r="O502" s="821">
        <v>2</v>
      </c>
      <c r="P502" s="637">
        <v>7</v>
      </c>
      <c r="Q502" s="637">
        <v>24</v>
      </c>
      <c r="R502" s="813" t="s">
        <v>172</v>
      </c>
      <c r="T502" s="815" t="s">
        <v>172</v>
      </c>
      <c r="U502" s="900" t="s">
        <v>1220</v>
      </c>
    </row>
    <row r="503" spans="1:21" x14ac:dyDescent="0.25">
      <c r="A503" s="813">
        <v>708</v>
      </c>
      <c r="B503" s="813" t="s">
        <v>329</v>
      </c>
      <c r="C503" s="813" t="s">
        <v>941</v>
      </c>
      <c r="D503" s="813" t="s">
        <v>13</v>
      </c>
      <c r="E503" s="813" t="s">
        <v>14</v>
      </c>
      <c r="F503" s="813" t="s">
        <v>868</v>
      </c>
      <c r="G503" s="813" t="s">
        <v>868</v>
      </c>
      <c r="H503" s="819" t="s">
        <v>35</v>
      </c>
      <c r="I503" s="820" t="s">
        <v>20</v>
      </c>
      <c r="J503" s="820" t="s">
        <v>428</v>
      </c>
      <c r="L503" s="821">
        <v>25</v>
      </c>
      <c r="M503" s="637">
        <v>3330</v>
      </c>
      <c r="N503" s="637">
        <v>21243.75</v>
      </c>
      <c r="O503" s="821">
        <v>25</v>
      </c>
      <c r="P503" s="637">
        <v>3330</v>
      </c>
      <c r="Q503" s="637">
        <v>21243.75</v>
      </c>
      <c r="R503" s="813" t="s">
        <v>172</v>
      </c>
      <c r="T503" s="815" t="s">
        <v>172</v>
      </c>
      <c r="U503" s="900" t="s">
        <v>1220</v>
      </c>
    </row>
    <row r="504" spans="1:21" x14ac:dyDescent="0.25">
      <c r="A504" s="813">
        <v>709</v>
      </c>
      <c r="B504" s="813" t="s">
        <v>329</v>
      </c>
      <c r="C504" s="813" t="s">
        <v>941</v>
      </c>
      <c r="D504" s="813" t="s">
        <v>13</v>
      </c>
      <c r="E504" s="813" t="s">
        <v>14</v>
      </c>
      <c r="F504" s="813" t="s">
        <v>863</v>
      </c>
      <c r="G504" s="813" t="s">
        <v>863</v>
      </c>
      <c r="H504" s="819" t="s">
        <v>18</v>
      </c>
      <c r="I504" s="820" t="s">
        <v>15</v>
      </c>
      <c r="J504" s="820" t="s">
        <v>421</v>
      </c>
      <c r="L504" s="821">
        <v>2</v>
      </c>
      <c r="M504" s="637">
        <v>46</v>
      </c>
      <c r="N504" s="637">
        <v>276.5</v>
      </c>
      <c r="O504" s="821">
        <v>2</v>
      </c>
      <c r="P504" s="637">
        <v>46</v>
      </c>
      <c r="Q504" s="637">
        <v>276.5</v>
      </c>
      <c r="R504" s="813" t="s">
        <v>172</v>
      </c>
      <c r="T504" s="815" t="s">
        <v>172</v>
      </c>
      <c r="U504" s="900" t="s">
        <v>1220</v>
      </c>
    </row>
    <row r="505" spans="1:21" x14ac:dyDescent="0.25">
      <c r="A505" s="813">
        <v>713</v>
      </c>
      <c r="B505" s="813" t="s">
        <v>329</v>
      </c>
      <c r="C505" s="813" t="s">
        <v>943</v>
      </c>
      <c r="D505" s="813" t="s">
        <v>13</v>
      </c>
      <c r="E505" s="813" t="s">
        <v>15</v>
      </c>
      <c r="F505" s="813" t="s">
        <v>889</v>
      </c>
      <c r="H505" s="819" t="s">
        <v>39</v>
      </c>
      <c r="I505" s="820" t="s">
        <v>20</v>
      </c>
      <c r="J505" s="820" t="s">
        <v>428</v>
      </c>
      <c r="L505" s="821">
        <v>1</v>
      </c>
      <c r="M505" s="637">
        <v>1</v>
      </c>
      <c r="N505" s="637">
        <v>1</v>
      </c>
      <c r="O505" s="821">
        <v>1</v>
      </c>
      <c r="P505" s="637">
        <v>1</v>
      </c>
      <c r="Q505" s="637">
        <v>1</v>
      </c>
      <c r="R505" s="806" t="s">
        <v>507</v>
      </c>
      <c r="T505" s="815" t="s">
        <v>172</v>
      </c>
      <c r="U505" s="900" t="s">
        <v>1220</v>
      </c>
    </row>
    <row r="506" spans="1:21" x14ac:dyDescent="0.25">
      <c r="A506" s="813">
        <v>714</v>
      </c>
      <c r="B506" s="813" t="s">
        <v>329</v>
      </c>
      <c r="C506" s="813" t="s">
        <v>943</v>
      </c>
      <c r="D506" s="813" t="s">
        <v>13</v>
      </c>
      <c r="E506" s="813" t="s">
        <v>15</v>
      </c>
      <c r="F506" s="813" t="s">
        <v>869</v>
      </c>
      <c r="H506" s="819" t="s">
        <v>39</v>
      </c>
      <c r="I506" s="820" t="s">
        <v>20</v>
      </c>
      <c r="J506" s="820" t="s">
        <v>428</v>
      </c>
      <c r="L506" s="821">
        <v>1</v>
      </c>
      <c r="M506" s="637">
        <v>1</v>
      </c>
      <c r="N506" s="637">
        <v>1</v>
      </c>
      <c r="O506" s="821">
        <v>1</v>
      </c>
      <c r="P506" s="637">
        <v>1</v>
      </c>
      <c r="Q506" s="637">
        <v>1</v>
      </c>
      <c r="R506" s="806" t="s">
        <v>507</v>
      </c>
      <c r="T506" s="815" t="s">
        <v>172</v>
      </c>
      <c r="U506" s="900" t="s">
        <v>1220</v>
      </c>
    </row>
    <row r="507" spans="1:21" x14ac:dyDescent="0.25">
      <c r="A507" s="813">
        <v>715</v>
      </c>
      <c r="B507" s="813" t="s">
        <v>329</v>
      </c>
      <c r="C507" s="813" t="s">
        <v>943</v>
      </c>
      <c r="D507" s="813" t="s">
        <v>13</v>
      </c>
      <c r="E507" s="813" t="s">
        <v>15</v>
      </c>
      <c r="F507" s="813" t="s">
        <v>868</v>
      </c>
      <c r="G507" s="813" t="s">
        <v>868</v>
      </c>
      <c r="H507" s="819" t="s">
        <v>35</v>
      </c>
      <c r="I507" s="820" t="s">
        <v>20</v>
      </c>
      <c r="J507" s="820" t="s">
        <v>428</v>
      </c>
      <c r="L507" s="821">
        <v>2</v>
      </c>
      <c r="M507" s="637">
        <v>119</v>
      </c>
      <c r="N507" s="637">
        <v>705.25</v>
      </c>
      <c r="O507" s="821">
        <v>2</v>
      </c>
      <c r="P507" s="637">
        <v>119</v>
      </c>
      <c r="Q507" s="637">
        <v>705.25</v>
      </c>
      <c r="R507" s="813" t="s">
        <v>172</v>
      </c>
      <c r="T507" s="815" t="s">
        <v>172</v>
      </c>
      <c r="U507" s="900" t="s">
        <v>1220</v>
      </c>
    </row>
    <row r="508" spans="1:21" x14ac:dyDescent="0.25">
      <c r="A508" s="813">
        <v>716</v>
      </c>
      <c r="B508" s="813" t="s">
        <v>329</v>
      </c>
      <c r="C508" s="813" t="s">
        <v>943</v>
      </c>
      <c r="D508" s="813" t="s">
        <v>13</v>
      </c>
      <c r="E508" s="813" t="s">
        <v>15</v>
      </c>
      <c r="F508" s="813" t="s">
        <v>863</v>
      </c>
      <c r="G508" s="813" t="s">
        <v>863</v>
      </c>
      <c r="H508" s="819" t="s">
        <v>18</v>
      </c>
      <c r="I508" s="820" t="s">
        <v>15</v>
      </c>
      <c r="J508" s="820" t="s">
        <v>421</v>
      </c>
      <c r="L508" s="821">
        <v>23</v>
      </c>
      <c r="M508" s="637">
        <v>3038</v>
      </c>
      <c r="N508" s="637">
        <v>17597.25</v>
      </c>
      <c r="O508" s="821">
        <v>23</v>
      </c>
      <c r="P508" s="637">
        <v>3038</v>
      </c>
      <c r="Q508" s="637">
        <v>17597.25</v>
      </c>
      <c r="R508" s="813" t="s">
        <v>172</v>
      </c>
      <c r="T508" s="815" t="s">
        <v>172</v>
      </c>
      <c r="U508" s="900" t="s">
        <v>1220</v>
      </c>
    </row>
    <row r="509" spans="1:21" x14ac:dyDescent="0.25">
      <c r="A509" s="813">
        <v>717</v>
      </c>
      <c r="B509" s="813" t="s">
        <v>329</v>
      </c>
      <c r="C509" s="813" t="s">
        <v>878</v>
      </c>
      <c r="D509" s="813" t="s">
        <v>434</v>
      </c>
      <c r="E509" s="813" t="s">
        <v>244</v>
      </c>
      <c r="F509" s="813" t="s">
        <v>1020</v>
      </c>
      <c r="G509" s="813" t="s">
        <v>880</v>
      </c>
      <c r="H509" s="819" t="s">
        <v>390</v>
      </c>
      <c r="I509" s="820" t="s">
        <v>20</v>
      </c>
      <c r="J509" s="820" t="s">
        <v>16</v>
      </c>
      <c r="L509" s="821">
        <v>96</v>
      </c>
      <c r="M509" s="637">
        <v>29431</v>
      </c>
      <c r="N509" s="637">
        <v>336529.25</v>
      </c>
      <c r="O509" s="821">
        <v>96</v>
      </c>
      <c r="P509" s="637">
        <v>29431</v>
      </c>
      <c r="Q509" s="637">
        <v>336529.25</v>
      </c>
      <c r="R509" s="813" t="s">
        <v>172</v>
      </c>
      <c r="T509" s="815" t="s">
        <v>172</v>
      </c>
      <c r="U509" s="899" t="s">
        <v>1219</v>
      </c>
    </row>
    <row r="510" spans="1:21" x14ac:dyDescent="0.25">
      <c r="A510" s="813">
        <v>718</v>
      </c>
      <c r="B510" s="813" t="s">
        <v>329</v>
      </c>
      <c r="C510" s="813" t="s">
        <v>878</v>
      </c>
      <c r="D510" s="813" t="s">
        <v>434</v>
      </c>
      <c r="E510" s="813" t="s">
        <v>244</v>
      </c>
      <c r="F510" s="813" t="s">
        <v>879</v>
      </c>
      <c r="G510" s="813" t="s">
        <v>880</v>
      </c>
      <c r="H510" s="819" t="s">
        <v>390</v>
      </c>
      <c r="I510" s="820" t="s">
        <v>20</v>
      </c>
      <c r="J510" s="820" t="s">
        <v>16</v>
      </c>
      <c r="L510" s="821">
        <v>56</v>
      </c>
      <c r="M510" s="637">
        <v>9498</v>
      </c>
      <c r="N510" s="637">
        <v>105855</v>
      </c>
      <c r="O510" s="821">
        <v>56</v>
      </c>
      <c r="P510" s="637">
        <v>9498</v>
      </c>
      <c r="Q510" s="637">
        <v>105855</v>
      </c>
      <c r="R510" s="813" t="s">
        <v>172</v>
      </c>
      <c r="T510" s="815" t="s">
        <v>172</v>
      </c>
      <c r="U510" s="899" t="s">
        <v>1219</v>
      </c>
    </row>
    <row r="511" spans="1:21" x14ac:dyDescent="0.25">
      <c r="A511" s="813">
        <v>719</v>
      </c>
      <c r="B511" s="813" t="s">
        <v>329</v>
      </c>
      <c r="C511" s="813" t="s">
        <v>878</v>
      </c>
      <c r="D511" s="813" t="s">
        <v>434</v>
      </c>
      <c r="E511" s="813" t="s">
        <v>244</v>
      </c>
      <c r="F511" s="813" t="s">
        <v>881</v>
      </c>
      <c r="G511" s="813" t="s">
        <v>882</v>
      </c>
      <c r="H511" s="819" t="s">
        <v>390</v>
      </c>
      <c r="I511" s="820" t="s">
        <v>20</v>
      </c>
      <c r="J511" s="820" t="s">
        <v>16</v>
      </c>
      <c r="L511" s="821">
        <v>53</v>
      </c>
      <c r="M511" s="637">
        <v>53</v>
      </c>
      <c r="N511" s="637">
        <v>52.75</v>
      </c>
      <c r="O511" s="821">
        <v>53</v>
      </c>
      <c r="P511" s="637">
        <v>53</v>
      </c>
      <c r="Q511" s="637">
        <v>53</v>
      </c>
      <c r="T511" s="815" t="s">
        <v>172</v>
      </c>
      <c r="U511" s="899" t="s">
        <v>1219</v>
      </c>
    </row>
    <row r="512" spans="1:21" x14ac:dyDescent="0.25">
      <c r="A512" s="813">
        <v>720</v>
      </c>
      <c r="B512" s="813" t="s">
        <v>329</v>
      </c>
      <c r="C512" s="813" t="s">
        <v>878</v>
      </c>
      <c r="D512" s="813" t="s">
        <v>434</v>
      </c>
      <c r="E512" s="813" t="s">
        <v>244</v>
      </c>
      <c r="F512" s="813" t="s">
        <v>889</v>
      </c>
      <c r="H512" s="819" t="s">
        <v>390</v>
      </c>
      <c r="I512" s="820" t="s">
        <v>20</v>
      </c>
      <c r="J512" s="820" t="s">
        <v>16</v>
      </c>
      <c r="L512" s="821">
        <v>6</v>
      </c>
      <c r="M512" s="637">
        <v>6</v>
      </c>
      <c r="N512" s="637">
        <v>4.75</v>
      </c>
      <c r="O512" s="821">
        <v>6</v>
      </c>
      <c r="P512" s="637">
        <v>6</v>
      </c>
      <c r="Q512" s="637">
        <v>6</v>
      </c>
      <c r="T512" s="815" t="s">
        <v>172</v>
      </c>
      <c r="U512" s="899" t="s">
        <v>1219</v>
      </c>
    </row>
    <row r="513" spans="1:21" x14ac:dyDescent="0.25">
      <c r="A513" s="813">
        <v>721</v>
      </c>
      <c r="B513" s="813" t="s">
        <v>329</v>
      </c>
      <c r="C513" s="813" t="s">
        <v>878</v>
      </c>
      <c r="D513" s="813" t="s">
        <v>434</v>
      </c>
      <c r="E513" s="813" t="s">
        <v>244</v>
      </c>
      <c r="F513" s="813" t="s">
        <v>869</v>
      </c>
      <c r="H513" s="819" t="s">
        <v>390</v>
      </c>
      <c r="I513" s="820" t="s">
        <v>20</v>
      </c>
      <c r="J513" s="820" t="s">
        <v>16</v>
      </c>
      <c r="L513" s="821">
        <v>5</v>
      </c>
      <c r="M513" s="637">
        <v>5</v>
      </c>
      <c r="N513" s="637">
        <v>5</v>
      </c>
      <c r="O513" s="821">
        <v>5</v>
      </c>
      <c r="P513" s="637">
        <v>5</v>
      </c>
      <c r="Q513" s="637">
        <v>5</v>
      </c>
      <c r="T513" s="815" t="s">
        <v>172</v>
      </c>
      <c r="U513" s="899" t="s">
        <v>1219</v>
      </c>
    </row>
    <row r="514" spans="1:21" x14ac:dyDescent="0.25">
      <c r="A514" s="813">
        <v>722</v>
      </c>
      <c r="B514" s="813" t="s">
        <v>329</v>
      </c>
      <c r="C514" s="813" t="s">
        <v>878</v>
      </c>
      <c r="D514" s="813" t="s">
        <v>434</v>
      </c>
      <c r="E514" s="813" t="s">
        <v>244</v>
      </c>
      <c r="F514" s="813" t="s">
        <v>875</v>
      </c>
      <c r="H514" s="819" t="s">
        <v>390</v>
      </c>
      <c r="I514" s="820" t="s">
        <v>20</v>
      </c>
      <c r="J514" s="820" t="s">
        <v>16</v>
      </c>
      <c r="L514" s="821">
        <v>1</v>
      </c>
      <c r="M514" s="637">
        <v>1</v>
      </c>
      <c r="N514" s="637">
        <v>1</v>
      </c>
      <c r="O514" s="821">
        <v>1</v>
      </c>
      <c r="P514" s="637">
        <v>1</v>
      </c>
      <c r="Q514" s="637">
        <v>1</v>
      </c>
      <c r="T514" s="815" t="s">
        <v>172</v>
      </c>
      <c r="U514" s="899" t="s">
        <v>1219</v>
      </c>
    </row>
    <row r="515" spans="1:21" x14ac:dyDescent="0.25">
      <c r="A515" s="813">
        <v>723</v>
      </c>
      <c r="B515" s="813" t="s">
        <v>329</v>
      </c>
      <c r="C515" s="813" t="s">
        <v>878</v>
      </c>
      <c r="D515" s="813" t="s">
        <v>434</v>
      </c>
      <c r="E515" s="813" t="s">
        <v>244</v>
      </c>
      <c r="F515" s="813" t="s">
        <v>883</v>
      </c>
      <c r="G515" s="813" t="s">
        <v>882</v>
      </c>
      <c r="H515" s="819" t="s">
        <v>390</v>
      </c>
      <c r="I515" s="820" t="s">
        <v>20</v>
      </c>
      <c r="J515" s="820" t="s">
        <v>16</v>
      </c>
      <c r="L515" s="821">
        <v>74</v>
      </c>
      <c r="M515" s="637">
        <v>114</v>
      </c>
      <c r="N515" s="637">
        <v>108.75</v>
      </c>
      <c r="O515" s="821">
        <v>74</v>
      </c>
      <c r="P515" s="637">
        <v>114</v>
      </c>
      <c r="Q515" s="637">
        <v>114</v>
      </c>
      <c r="T515" s="815" t="s">
        <v>172</v>
      </c>
      <c r="U515" s="899" t="s">
        <v>1219</v>
      </c>
    </row>
    <row r="516" spans="1:21" x14ac:dyDescent="0.25">
      <c r="A516" s="813">
        <v>724</v>
      </c>
      <c r="B516" s="813" t="s">
        <v>329</v>
      </c>
      <c r="C516" s="813" t="s">
        <v>492</v>
      </c>
      <c r="D516" s="813" t="s">
        <v>16</v>
      </c>
      <c r="E516" s="813" t="s">
        <v>82</v>
      </c>
      <c r="F516" s="813" t="s">
        <v>885</v>
      </c>
      <c r="H516" s="819" t="s">
        <v>374</v>
      </c>
      <c r="I516" s="820" t="s">
        <v>20</v>
      </c>
      <c r="J516" s="820" t="s">
        <v>248</v>
      </c>
      <c r="L516" s="821">
        <v>5</v>
      </c>
      <c r="M516" s="637">
        <v>5</v>
      </c>
      <c r="N516" s="637">
        <v>14</v>
      </c>
      <c r="O516" s="821">
        <v>5</v>
      </c>
      <c r="P516" s="637">
        <v>5</v>
      </c>
      <c r="Q516" s="637">
        <v>14</v>
      </c>
      <c r="R516" s="813" t="s">
        <v>172</v>
      </c>
      <c r="T516" s="815" t="s">
        <v>172</v>
      </c>
      <c r="U516" s="899" t="s">
        <v>1219</v>
      </c>
    </row>
    <row r="517" spans="1:21" x14ac:dyDescent="0.25">
      <c r="A517" s="813">
        <v>725</v>
      </c>
      <c r="B517" s="813" t="s">
        <v>329</v>
      </c>
      <c r="C517" s="813" t="s">
        <v>248</v>
      </c>
      <c r="D517" s="813" t="s">
        <v>16</v>
      </c>
      <c r="E517" s="813" t="s">
        <v>884</v>
      </c>
      <c r="F517" s="813" t="s">
        <v>885</v>
      </c>
      <c r="H517" s="819" t="s">
        <v>374</v>
      </c>
      <c r="I517" s="820" t="s">
        <v>20</v>
      </c>
      <c r="J517" s="820" t="s">
        <v>248</v>
      </c>
      <c r="L517" s="821">
        <v>6</v>
      </c>
      <c r="M517" s="637">
        <v>84</v>
      </c>
      <c r="N517" s="637">
        <v>221.75</v>
      </c>
      <c r="O517" s="821">
        <v>6</v>
      </c>
      <c r="P517" s="637">
        <v>84</v>
      </c>
      <c r="Q517" s="637">
        <v>221.75</v>
      </c>
      <c r="R517" s="813" t="s">
        <v>172</v>
      </c>
      <c r="T517" s="815" t="s">
        <v>172</v>
      </c>
      <c r="U517" s="899" t="s">
        <v>1219</v>
      </c>
    </row>
    <row r="518" spans="1:21" x14ac:dyDescent="0.25">
      <c r="A518" s="813">
        <v>726</v>
      </c>
      <c r="B518" s="813" t="s">
        <v>329</v>
      </c>
      <c r="C518" s="813" t="s">
        <v>905</v>
      </c>
      <c r="D518" s="813" t="s">
        <v>16</v>
      </c>
      <c r="E518" s="813" t="s">
        <v>884</v>
      </c>
      <c r="F518" s="813" t="s">
        <v>922</v>
      </c>
      <c r="H518" s="819" t="s">
        <v>374</v>
      </c>
      <c r="I518" s="820" t="s">
        <v>20</v>
      </c>
      <c r="J518" s="820" t="s">
        <v>248</v>
      </c>
      <c r="L518" s="821">
        <v>1</v>
      </c>
      <c r="M518" s="637">
        <v>366</v>
      </c>
      <c r="N518" s="637">
        <v>366</v>
      </c>
      <c r="O518" s="821">
        <v>1</v>
      </c>
      <c r="P518" s="637">
        <v>366</v>
      </c>
      <c r="Q518" s="637">
        <v>366</v>
      </c>
      <c r="R518" s="813" t="s">
        <v>172</v>
      </c>
      <c r="T518" s="815" t="s">
        <v>172</v>
      </c>
      <c r="U518" s="899" t="s">
        <v>1219</v>
      </c>
    </row>
    <row r="519" spans="1:21" x14ac:dyDescent="0.25">
      <c r="A519" s="813">
        <v>727</v>
      </c>
      <c r="B519" s="813" t="s">
        <v>329</v>
      </c>
      <c r="C519" s="813" t="s">
        <v>905</v>
      </c>
      <c r="D519" s="813" t="s">
        <v>16</v>
      </c>
      <c r="E519" s="813" t="s">
        <v>884</v>
      </c>
      <c r="F519" s="813" t="s">
        <v>885</v>
      </c>
      <c r="H519" s="819" t="s">
        <v>374</v>
      </c>
      <c r="I519" s="820" t="s">
        <v>20</v>
      </c>
      <c r="J519" s="820" t="s">
        <v>248</v>
      </c>
      <c r="L519" s="821">
        <v>8</v>
      </c>
      <c r="M519" s="637">
        <v>926</v>
      </c>
      <c r="N519" s="637">
        <v>6193.25</v>
      </c>
      <c r="O519" s="821">
        <v>7</v>
      </c>
      <c r="P519" s="637">
        <v>910</v>
      </c>
      <c r="Q519" s="637">
        <v>6086.25</v>
      </c>
      <c r="R519" s="813" t="s">
        <v>172</v>
      </c>
      <c r="T519" s="815" t="s">
        <v>172</v>
      </c>
      <c r="U519" s="899" t="s">
        <v>1219</v>
      </c>
    </row>
    <row r="520" spans="1:21" x14ac:dyDescent="0.25">
      <c r="A520" s="813">
        <v>728</v>
      </c>
      <c r="B520" s="813" t="s">
        <v>329</v>
      </c>
      <c r="C520" s="813" t="s">
        <v>905</v>
      </c>
      <c r="D520" s="813" t="s">
        <v>16</v>
      </c>
      <c r="E520" s="813" t="s">
        <v>884</v>
      </c>
      <c r="F520" s="813" t="s">
        <v>1033</v>
      </c>
      <c r="H520" s="819" t="s">
        <v>374</v>
      </c>
      <c r="I520" s="820" t="s">
        <v>20</v>
      </c>
      <c r="J520" s="820" t="s">
        <v>248</v>
      </c>
      <c r="L520" s="821">
        <v>1</v>
      </c>
      <c r="M520" s="637">
        <v>373</v>
      </c>
      <c r="N520" s="637">
        <v>8767.75</v>
      </c>
      <c r="O520" s="821">
        <v>1</v>
      </c>
      <c r="P520" s="637">
        <v>373</v>
      </c>
      <c r="Q520" s="637">
        <f>P520*13</f>
        <v>4849</v>
      </c>
      <c r="R520" s="813" t="s">
        <v>172</v>
      </c>
      <c r="T520" s="815">
        <f>Q520/P520</f>
        <v>13</v>
      </c>
      <c r="U520" s="899" t="s">
        <v>1219</v>
      </c>
    </row>
    <row r="521" spans="1:21" x14ac:dyDescent="0.25">
      <c r="A521" s="813">
        <v>729</v>
      </c>
      <c r="B521" s="813" t="s">
        <v>329</v>
      </c>
      <c r="C521" s="813" t="s">
        <v>905</v>
      </c>
      <c r="D521" s="813" t="s">
        <v>16</v>
      </c>
      <c r="E521" s="813" t="s">
        <v>884</v>
      </c>
      <c r="F521" s="813" t="s">
        <v>869</v>
      </c>
      <c r="H521" s="819" t="s">
        <v>374</v>
      </c>
      <c r="I521" s="820" t="s">
        <v>20</v>
      </c>
      <c r="J521" s="820" t="s">
        <v>248</v>
      </c>
      <c r="L521" s="821">
        <v>4</v>
      </c>
      <c r="M521" s="637">
        <v>4</v>
      </c>
      <c r="N521" s="637">
        <v>2.5</v>
      </c>
      <c r="O521" s="821">
        <v>3</v>
      </c>
      <c r="P521" s="637">
        <v>3</v>
      </c>
      <c r="Q521" s="637">
        <v>3</v>
      </c>
      <c r="R521" s="813" t="s">
        <v>172</v>
      </c>
      <c r="T521" s="815" t="s">
        <v>172</v>
      </c>
      <c r="U521" s="899" t="s">
        <v>1219</v>
      </c>
    </row>
    <row r="522" spans="1:21" x14ac:dyDescent="0.25">
      <c r="A522" s="813">
        <v>730</v>
      </c>
      <c r="B522" s="813" t="s">
        <v>329</v>
      </c>
      <c r="C522" s="813" t="s">
        <v>905</v>
      </c>
      <c r="D522" s="813" t="s">
        <v>16</v>
      </c>
      <c r="E522" s="813" t="s">
        <v>884</v>
      </c>
      <c r="F522" s="813" t="s">
        <v>875</v>
      </c>
      <c r="H522" s="819" t="s">
        <v>374</v>
      </c>
      <c r="I522" s="820" t="s">
        <v>20</v>
      </c>
      <c r="J522" s="820" t="s">
        <v>248</v>
      </c>
      <c r="L522" s="821">
        <v>4</v>
      </c>
      <c r="M522" s="637">
        <v>8</v>
      </c>
      <c r="N522" s="637">
        <v>5.5</v>
      </c>
      <c r="O522" s="821">
        <v>4</v>
      </c>
      <c r="P522" s="637">
        <v>8</v>
      </c>
      <c r="Q522" s="637">
        <v>8</v>
      </c>
      <c r="R522" s="813" t="s">
        <v>172</v>
      </c>
      <c r="T522" s="815" t="s">
        <v>172</v>
      </c>
      <c r="U522" s="899" t="s">
        <v>1219</v>
      </c>
    </row>
    <row r="523" spans="1:21" x14ac:dyDescent="0.25">
      <c r="A523" s="813">
        <v>731</v>
      </c>
      <c r="B523" s="813" t="s">
        <v>329</v>
      </c>
      <c r="C523" s="813" t="s">
        <v>491</v>
      </c>
      <c r="D523" s="813" t="s">
        <v>13</v>
      </c>
      <c r="E523" s="813" t="s">
        <v>13</v>
      </c>
      <c r="F523" s="813" t="s">
        <v>877</v>
      </c>
      <c r="G523" s="813" t="s">
        <v>860</v>
      </c>
      <c r="H523" s="819" t="s">
        <v>391</v>
      </c>
      <c r="I523" s="820" t="s">
        <v>20</v>
      </c>
      <c r="J523" s="820" t="s">
        <v>16</v>
      </c>
      <c r="K523" s="813" t="s">
        <v>13</v>
      </c>
      <c r="L523" s="821">
        <v>6</v>
      </c>
      <c r="M523" s="637">
        <v>22</v>
      </c>
      <c r="N523" s="637">
        <v>85</v>
      </c>
      <c r="O523" s="821">
        <v>6</v>
      </c>
      <c r="P523" s="637">
        <v>22</v>
      </c>
      <c r="Q523" s="637">
        <v>85</v>
      </c>
      <c r="R523" s="813" t="s">
        <v>172</v>
      </c>
      <c r="T523" s="815" t="s">
        <v>172</v>
      </c>
      <c r="U523" s="899" t="s">
        <v>1219</v>
      </c>
    </row>
    <row r="524" spans="1:21" x14ac:dyDescent="0.25">
      <c r="A524" s="813">
        <v>732</v>
      </c>
      <c r="B524" s="813" t="s">
        <v>329</v>
      </c>
      <c r="C524" s="813" t="s">
        <v>1071</v>
      </c>
      <c r="D524" s="813" t="s">
        <v>16</v>
      </c>
      <c r="E524" s="813" t="s">
        <v>13</v>
      </c>
      <c r="F524" s="813" t="s">
        <v>877</v>
      </c>
      <c r="H524" s="819" t="s">
        <v>391</v>
      </c>
      <c r="I524" s="820" t="s">
        <v>20</v>
      </c>
      <c r="J524" s="820" t="s">
        <v>16</v>
      </c>
      <c r="K524" s="813" t="s">
        <v>13</v>
      </c>
      <c r="L524" s="821">
        <v>39</v>
      </c>
      <c r="M524" s="637">
        <v>575</v>
      </c>
      <c r="N524" s="637">
        <v>2228.75</v>
      </c>
      <c r="O524" s="821">
        <v>35</v>
      </c>
      <c r="P524" s="637">
        <v>561</v>
      </c>
      <c r="Q524" s="637">
        <v>2182</v>
      </c>
      <c r="R524" s="813" t="s">
        <v>172</v>
      </c>
      <c r="T524" s="815" t="s">
        <v>172</v>
      </c>
      <c r="U524" s="899" t="s">
        <v>1219</v>
      </c>
    </row>
    <row r="525" spans="1:21" x14ac:dyDescent="0.25">
      <c r="A525" s="813">
        <v>733</v>
      </c>
      <c r="B525" s="813" t="s">
        <v>329</v>
      </c>
      <c r="C525" s="813" t="s">
        <v>1071</v>
      </c>
      <c r="D525" s="813" t="s">
        <v>16</v>
      </c>
      <c r="E525" s="813" t="s">
        <v>13</v>
      </c>
      <c r="F525" s="813" t="s">
        <v>1072</v>
      </c>
      <c r="H525" s="819" t="s">
        <v>391</v>
      </c>
      <c r="I525" s="820" t="s">
        <v>20</v>
      </c>
      <c r="J525" s="820" t="s">
        <v>16</v>
      </c>
      <c r="K525" s="813" t="s">
        <v>13</v>
      </c>
      <c r="L525" s="821">
        <v>15</v>
      </c>
      <c r="M525" s="637">
        <v>1403</v>
      </c>
      <c r="N525" s="637">
        <v>7718.75</v>
      </c>
      <c r="O525" s="821">
        <v>14</v>
      </c>
      <c r="P525" s="637">
        <v>1376</v>
      </c>
      <c r="Q525" s="637">
        <v>7610.75</v>
      </c>
      <c r="R525" s="813" t="s">
        <v>172</v>
      </c>
      <c r="T525" s="815" t="s">
        <v>172</v>
      </c>
      <c r="U525" s="899" t="s">
        <v>1219</v>
      </c>
    </row>
    <row r="526" spans="1:21" x14ac:dyDescent="0.25">
      <c r="A526" s="813">
        <v>734</v>
      </c>
      <c r="B526" s="813" t="s">
        <v>329</v>
      </c>
      <c r="C526" s="813" t="s">
        <v>1034</v>
      </c>
      <c r="D526" s="813" t="s">
        <v>16</v>
      </c>
      <c r="E526" s="813" t="s">
        <v>14</v>
      </c>
      <c r="F526" s="813" t="s">
        <v>869</v>
      </c>
      <c r="H526" s="819" t="s">
        <v>39</v>
      </c>
      <c r="I526" s="820" t="s">
        <v>20</v>
      </c>
      <c r="J526" s="820" t="s">
        <v>428</v>
      </c>
      <c r="L526" s="821">
        <v>1</v>
      </c>
      <c r="M526" s="637">
        <v>1</v>
      </c>
      <c r="N526" s="637">
        <v>1</v>
      </c>
      <c r="O526" s="821">
        <v>1</v>
      </c>
      <c r="P526" s="637">
        <v>1</v>
      </c>
      <c r="Q526" s="637">
        <v>1</v>
      </c>
      <c r="R526" s="806" t="s">
        <v>507</v>
      </c>
      <c r="T526" s="815" t="s">
        <v>172</v>
      </c>
      <c r="U526" s="900" t="s">
        <v>1220</v>
      </c>
    </row>
    <row r="527" spans="1:21" x14ac:dyDescent="0.25">
      <c r="A527" s="813">
        <v>735</v>
      </c>
      <c r="B527" s="813" t="s">
        <v>329</v>
      </c>
      <c r="C527" s="813" t="s">
        <v>953</v>
      </c>
      <c r="D527" s="813" t="s">
        <v>16</v>
      </c>
      <c r="E527" s="813" t="s">
        <v>14</v>
      </c>
      <c r="F527" s="813" t="s">
        <v>869</v>
      </c>
      <c r="H527" s="819" t="s">
        <v>39</v>
      </c>
      <c r="I527" s="820" t="s">
        <v>20</v>
      </c>
      <c r="J527" s="820" t="s">
        <v>428</v>
      </c>
      <c r="L527" s="821">
        <v>2</v>
      </c>
      <c r="M527" s="637">
        <v>2</v>
      </c>
      <c r="N527" s="637">
        <v>2</v>
      </c>
      <c r="O527" s="821">
        <v>2</v>
      </c>
      <c r="P527" s="637">
        <v>2</v>
      </c>
      <c r="Q527" s="637">
        <v>2</v>
      </c>
      <c r="R527" s="806" t="s">
        <v>507</v>
      </c>
      <c r="T527" s="815" t="s">
        <v>172</v>
      </c>
      <c r="U527" s="900" t="s">
        <v>1220</v>
      </c>
    </row>
    <row r="528" spans="1:21" x14ac:dyDescent="0.25">
      <c r="A528" s="813">
        <v>736</v>
      </c>
      <c r="B528" s="813" t="s">
        <v>329</v>
      </c>
      <c r="C528" s="813" t="s">
        <v>953</v>
      </c>
      <c r="D528" s="813" t="s">
        <v>16</v>
      </c>
      <c r="E528" s="813" t="s">
        <v>14</v>
      </c>
      <c r="F528" s="813" t="s">
        <v>875</v>
      </c>
      <c r="H528" s="819" t="s">
        <v>39</v>
      </c>
      <c r="I528" s="820" t="s">
        <v>20</v>
      </c>
      <c r="J528" s="820" t="s">
        <v>428</v>
      </c>
      <c r="L528" s="821">
        <v>2</v>
      </c>
      <c r="M528" s="637">
        <v>2</v>
      </c>
      <c r="N528" s="637">
        <v>2</v>
      </c>
      <c r="O528" s="821">
        <v>2</v>
      </c>
      <c r="P528" s="637">
        <v>2</v>
      </c>
      <c r="Q528" s="637">
        <v>2</v>
      </c>
      <c r="R528" s="806" t="s">
        <v>507</v>
      </c>
      <c r="T528" s="815" t="s">
        <v>172</v>
      </c>
      <c r="U528" s="900" t="s">
        <v>1220</v>
      </c>
    </row>
    <row r="529" spans="1:21" x14ac:dyDescent="0.25">
      <c r="A529" s="813">
        <v>737</v>
      </c>
      <c r="B529" s="813" t="s">
        <v>329</v>
      </c>
      <c r="C529" s="813" t="s">
        <v>953</v>
      </c>
      <c r="D529" s="813" t="s">
        <v>16</v>
      </c>
      <c r="E529" s="813" t="s">
        <v>14</v>
      </c>
      <c r="F529" s="813" t="s">
        <v>868</v>
      </c>
      <c r="G529" s="813" t="s">
        <v>868</v>
      </c>
      <c r="H529" s="819" t="s">
        <v>35</v>
      </c>
      <c r="I529" s="820" t="s">
        <v>20</v>
      </c>
      <c r="J529" s="820" t="s">
        <v>428</v>
      </c>
      <c r="L529" s="821">
        <v>3</v>
      </c>
      <c r="M529" s="637">
        <v>380</v>
      </c>
      <c r="N529" s="637">
        <v>2587.25</v>
      </c>
      <c r="O529" s="821">
        <v>3</v>
      </c>
      <c r="P529" s="637">
        <v>380</v>
      </c>
      <c r="Q529" s="637">
        <v>2587.25</v>
      </c>
      <c r="R529" s="813" t="s">
        <v>172</v>
      </c>
      <c r="T529" s="815" t="s">
        <v>172</v>
      </c>
      <c r="U529" s="900" t="s">
        <v>1220</v>
      </c>
    </row>
    <row r="530" spans="1:21" x14ac:dyDescent="0.25">
      <c r="A530" s="813">
        <v>740</v>
      </c>
      <c r="B530" s="813" t="s">
        <v>329</v>
      </c>
      <c r="C530" s="813" t="s">
        <v>954</v>
      </c>
      <c r="D530" s="813" t="s">
        <v>16</v>
      </c>
      <c r="E530" s="813" t="s">
        <v>15</v>
      </c>
      <c r="F530" s="813" t="s">
        <v>863</v>
      </c>
      <c r="G530" s="813" t="s">
        <v>863</v>
      </c>
      <c r="H530" s="819" t="s">
        <v>18</v>
      </c>
      <c r="I530" s="820" t="s">
        <v>15</v>
      </c>
      <c r="J530" s="820" t="s">
        <v>421</v>
      </c>
      <c r="L530" s="821">
        <v>9</v>
      </c>
      <c r="M530" s="637">
        <v>1084</v>
      </c>
      <c r="N530" s="637">
        <v>6233</v>
      </c>
      <c r="O530" s="821">
        <v>8</v>
      </c>
      <c r="P530" s="637">
        <v>1070</v>
      </c>
      <c r="Q530" s="637">
        <v>6177</v>
      </c>
      <c r="R530" s="813" t="s">
        <v>172</v>
      </c>
      <c r="T530" s="815" t="s">
        <v>172</v>
      </c>
      <c r="U530" s="900" t="s">
        <v>1220</v>
      </c>
    </row>
    <row r="531" spans="1:21" x14ac:dyDescent="0.25">
      <c r="A531" s="813">
        <v>741</v>
      </c>
      <c r="B531" s="813" t="s">
        <v>329</v>
      </c>
      <c r="C531" s="813" t="s">
        <v>954</v>
      </c>
      <c r="D531" s="813" t="s">
        <v>16</v>
      </c>
      <c r="E531" s="813" t="s">
        <v>15</v>
      </c>
      <c r="F531" s="813" t="s">
        <v>957</v>
      </c>
      <c r="G531" s="813" t="s">
        <v>957</v>
      </c>
      <c r="H531" s="819" t="s">
        <v>44</v>
      </c>
      <c r="I531" s="820" t="s">
        <v>15</v>
      </c>
      <c r="J531" s="820" t="s">
        <v>421</v>
      </c>
      <c r="L531" s="821">
        <v>2</v>
      </c>
      <c r="M531" s="637">
        <v>58</v>
      </c>
      <c r="N531" s="637">
        <v>227.25</v>
      </c>
      <c r="O531" s="821">
        <v>2</v>
      </c>
      <c r="P531" s="637">
        <v>58</v>
      </c>
      <c r="Q531" s="637">
        <v>227.25</v>
      </c>
      <c r="R531" s="813" t="s">
        <v>172</v>
      </c>
      <c r="T531" s="815" t="s">
        <v>172</v>
      </c>
      <c r="U531" s="900" t="s">
        <v>1220</v>
      </c>
    </row>
    <row r="532" spans="1:21" x14ac:dyDescent="0.25">
      <c r="A532" s="813">
        <v>743</v>
      </c>
      <c r="B532" s="813" t="s">
        <v>329</v>
      </c>
      <c r="C532" s="813" t="s">
        <v>955</v>
      </c>
      <c r="D532" s="813" t="s">
        <v>495</v>
      </c>
      <c r="E532" s="813" t="s">
        <v>15</v>
      </c>
      <c r="F532" s="813" t="s">
        <v>898</v>
      </c>
      <c r="G532" s="813" t="s">
        <v>863</v>
      </c>
      <c r="H532" s="819" t="s">
        <v>18</v>
      </c>
      <c r="I532" s="820" t="s">
        <v>15</v>
      </c>
      <c r="J532" s="820" t="s">
        <v>421</v>
      </c>
      <c r="L532" s="821">
        <v>1</v>
      </c>
      <c r="M532" s="637">
        <v>366</v>
      </c>
      <c r="N532" s="637">
        <v>1360</v>
      </c>
      <c r="O532" s="821">
        <v>1</v>
      </c>
      <c r="P532" s="637">
        <v>366</v>
      </c>
      <c r="Q532" s="637">
        <v>1360</v>
      </c>
      <c r="R532" s="813" t="s">
        <v>172</v>
      </c>
      <c r="T532" s="815" t="s">
        <v>172</v>
      </c>
      <c r="U532" s="900" t="s">
        <v>1220</v>
      </c>
    </row>
    <row r="533" spans="1:21" x14ac:dyDescent="0.25">
      <c r="A533" s="813">
        <v>744</v>
      </c>
      <c r="B533" s="813" t="s">
        <v>329</v>
      </c>
      <c r="C533" s="813" t="s">
        <v>958</v>
      </c>
      <c r="D533" s="813" t="s">
        <v>14</v>
      </c>
      <c r="E533" s="813" t="s">
        <v>14</v>
      </c>
      <c r="F533" s="813" t="s">
        <v>885</v>
      </c>
      <c r="G533" s="813" t="s">
        <v>868</v>
      </c>
      <c r="H533" s="819" t="s">
        <v>35</v>
      </c>
      <c r="I533" s="820" t="s">
        <v>20</v>
      </c>
      <c r="J533" s="820" t="s">
        <v>428</v>
      </c>
      <c r="L533" s="821">
        <v>1</v>
      </c>
      <c r="M533" s="637">
        <v>9</v>
      </c>
      <c r="N533" s="637">
        <v>32.75</v>
      </c>
      <c r="O533" s="821">
        <v>1</v>
      </c>
      <c r="P533" s="637">
        <v>9</v>
      </c>
      <c r="Q533" s="637">
        <v>32.75</v>
      </c>
      <c r="R533" s="813" t="s">
        <v>172</v>
      </c>
      <c r="T533" s="815" t="s">
        <v>172</v>
      </c>
      <c r="U533" s="900" t="s">
        <v>1220</v>
      </c>
    </row>
    <row r="534" spans="1:21" x14ac:dyDescent="0.25">
      <c r="A534" s="813">
        <v>746</v>
      </c>
      <c r="B534" s="813" t="s">
        <v>329</v>
      </c>
      <c r="C534" s="813" t="s">
        <v>906</v>
      </c>
      <c r="D534" s="813" t="s">
        <v>14</v>
      </c>
      <c r="E534" s="813" t="s">
        <v>14</v>
      </c>
      <c r="F534" s="813" t="s">
        <v>889</v>
      </c>
      <c r="H534" s="819" t="s">
        <v>39</v>
      </c>
      <c r="I534" s="820" t="s">
        <v>20</v>
      </c>
      <c r="J534" s="820" t="s">
        <v>428</v>
      </c>
      <c r="L534" s="821">
        <v>7</v>
      </c>
      <c r="M534" s="637">
        <v>7</v>
      </c>
      <c r="N534" s="637">
        <v>7</v>
      </c>
      <c r="O534" s="821">
        <v>7</v>
      </c>
      <c r="P534" s="637">
        <v>7</v>
      </c>
      <c r="Q534" s="637">
        <v>7</v>
      </c>
      <c r="R534" s="806" t="s">
        <v>507</v>
      </c>
      <c r="T534" s="815" t="s">
        <v>172</v>
      </c>
      <c r="U534" s="900" t="s">
        <v>1220</v>
      </c>
    </row>
    <row r="535" spans="1:21" x14ac:dyDescent="0.25">
      <c r="A535" s="813">
        <v>747</v>
      </c>
      <c r="B535" s="813" t="s">
        <v>329</v>
      </c>
      <c r="C535" s="813" t="s">
        <v>906</v>
      </c>
      <c r="D535" s="813" t="s">
        <v>14</v>
      </c>
      <c r="E535" s="813" t="s">
        <v>14</v>
      </c>
      <c r="F535" s="813" t="s">
        <v>907</v>
      </c>
      <c r="H535" s="819" t="s">
        <v>39</v>
      </c>
      <c r="I535" s="820" t="s">
        <v>20</v>
      </c>
      <c r="J535" s="820" t="s">
        <v>428</v>
      </c>
      <c r="L535" s="821">
        <v>1</v>
      </c>
      <c r="M535" s="637">
        <v>1</v>
      </c>
      <c r="N535" s="637">
        <v>1</v>
      </c>
      <c r="O535" s="821">
        <v>1</v>
      </c>
      <c r="P535" s="637">
        <v>1</v>
      </c>
      <c r="Q535" s="637">
        <v>1</v>
      </c>
      <c r="R535" s="813" t="s">
        <v>529</v>
      </c>
      <c r="T535" s="815" t="s">
        <v>172</v>
      </c>
      <c r="U535" s="900" t="s">
        <v>1220</v>
      </c>
    </row>
    <row r="536" spans="1:21" x14ac:dyDescent="0.25">
      <c r="A536" s="813">
        <v>748</v>
      </c>
      <c r="B536" s="813" t="s">
        <v>329</v>
      </c>
      <c r="C536" s="813" t="s">
        <v>906</v>
      </c>
      <c r="D536" s="813" t="s">
        <v>14</v>
      </c>
      <c r="E536" s="813" t="s">
        <v>14</v>
      </c>
      <c r="F536" s="813" t="s">
        <v>869</v>
      </c>
      <c r="H536" s="819" t="s">
        <v>39</v>
      </c>
      <c r="I536" s="820" t="s">
        <v>20</v>
      </c>
      <c r="J536" s="820" t="s">
        <v>428</v>
      </c>
      <c r="L536" s="821">
        <v>83</v>
      </c>
      <c r="M536" s="637">
        <v>83</v>
      </c>
      <c r="N536" s="637">
        <v>83</v>
      </c>
      <c r="O536" s="821">
        <v>77</v>
      </c>
      <c r="P536" s="637">
        <v>77</v>
      </c>
      <c r="Q536" s="637">
        <v>77</v>
      </c>
      <c r="R536" s="806" t="s">
        <v>507</v>
      </c>
      <c r="T536" s="815" t="s">
        <v>172</v>
      </c>
      <c r="U536" s="900" t="s">
        <v>1220</v>
      </c>
    </row>
    <row r="537" spans="1:21" x14ac:dyDescent="0.25">
      <c r="A537" s="813">
        <v>749</v>
      </c>
      <c r="B537" s="813" t="s">
        <v>329</v>
      </c>
      <c r="C537" s="813" t="s">
        <v>906</v>
      </c>
      <c r="D537" s="813" t="s">
        <v>14</v>
      </c>
      <c r="E537" s="813" t="s">
        <v>14</v>
      </c>
      <c r="F537" s="813" t="s">
        <v>875</v>
      </c>
      <c r="H537" s="819" t="s">
        <v>39</v>
      </c>
      <c r="I537" s="820" t="s">
        <v>20</v>
      </c>
      <c r="J537" s="820" t="s">
        <v>428</v>
      </c>
      <c r="L537" s="821">
        <v>56</v>
      </c>
      <c r="M537" s="637">
        <v>87</v>
      </c>
      <c r="N537" s="637">
        <v>87</v>
      </c>
      <c r="O537" s="821">
        <v>55</v>
      </c>
      <c r="P537" s="637">
        <v>86</v>
      </c>
      <c r="Q537" s="637">
        <v>86</v>
      </c>
      <c r="R537" s="806" t="s">
        <v>507</v>
      </c>
      <c r="T537" s="815" t="s">
        <v>172</v>
      </c>
      <c r="U537" s="900" t="s">
        <v>1220</v>
      </c>
    </row>
    <row r="538" spans="1:21" x14ac:dyDescent="0.25">
      <c r="A538" s="813">
        <v>750</v>
      </c>
      <c r="B538" s="813" t="s">
        <v>329</v>
      </c>
      <c r="C538" s="813" t="s">
        <v>906</v>
      </c>
      <c r="D538" s="813" t="s">
        <v>14</v>
      </c>
      <c r="E538" s="813" t="s">
        <v>14</v>
      </c>
      <c r="F538" s="813" t="s">
        <v>1073</v>
      </c>
      <c r="G538" s="813" t="s">
        <v>868</v>
      </c>
      <c r="H538" s="819" t="s">
        <v>35</v>
      </c>
      <c r="I538" s="820" t="s">
        <v>20</v>
      </c>
      <c r="J538" s="820" t="s">
        <v>428</v>
      </c>
      <c r="L538" s="821">
        <v>126</v>
      </c>
      <c r="M538" s="637">
        <v>14610</v>
      </c>
      <c r="N538" s="637">
        <v>92550.75</v>
      </c>
      <c r="O538" s="821">
        <v>116</v>
      </c>
      <c r="P538" s="637">
        <v>14215</v>
      </c>
      <c r="Q538" s="637">
        <v>89731</v>
      </c>
      <c r="R538" s="813" t="s">
        <v>172</v>
      </c>
      <c r="T538" s="815" t="s">
        <v>172</v>
      </c>
      <c r="U538" s="900" t="s">
        <v>1220</v>
      </c>
    </row>
    <row r="539" spans="1:21" x14ac:dyDescent="0.25">
      <c r="A539" s="813">
        <v>751</v>
      </c>
      <c r="B539" s="813" t="s">
        <v>329</v>
      </c>
      <c r="C539" s="813" t="s">
        <v>906</v>
      </c>
      <c r="D539" s="813" t="s">
        <v>14</v>
      </c>
      <c r="E539" s="813" t="s">
        <v>14</v>
      </c>
      <c r="F539" s="813" t="s">
        <v>1074</v>
      </c>
      <c r="G539" s="813" t="s">
        <v>868</v>
      </c>
      <c r="H539" s="819" t="s">
        <v>35</v>
      </c>
      <c r="I539" s="820" t="s">
        <v>20</v>
      </c>
      <c r="J539" s="820" t="s">
        <v>428</v>
      </c>
      <c r="L539" s="821">
        <v>2</v>
      </c>
      <c r="M539" s="637">
        <v>128</v>
      </c>
      <c r="N539" s="637">
        <v>577.5</v>
      </c>
      <c r="O539" s="821">
        <v>2</v>
      </c>
      <c r="P539" s="637">
        <v>128</v>
      </c>
      <c r="Q539" s="637">
        <v>577.5</v>
      </c>
      <c r="R539" s="813" t="s">
        <v>172</v>
      </c>
      <c r="T539" s="815" t="s">
        <v>172</v>
      </c>
      <c r="U539" s="900" t="s">
        <v>1220</v>
      </c>
    </row>
    <row r="540" spans="1:21" x14ac:dyDescent="0.25">
      <c r="A540" s="813">
        <v>752</v>
      </c>
      <c r="B540" s="813" t="s">
        <v>329</v>
      </c>
      <c r="C540" s="813" t="s">
        <v>906</v>
      </c>
      <c r="D540" s="813" t="s">
        <v>14</v>
      </c>
      <c r="E540" s="813" t="s">
        <v>14</v>
      </c>
      <c r="F540" s="813" t="s">
        <v>1075</v>
      </c>
      <c r="G540" s="813" t="s">
        <v>967</v>
      </c>
      <c r="H540" s="819" t="s">
        <v>41</v>
      </c>
      <c r="I540" s="820" t="s">
        <v>20</v>
      </c>
      <c r="J540" s="820" t="s">
        <v>428</v>
      </c>
      <c r="L540" s="821">
        <v>6</v>
      </c>
      <c r="M540" s="637">
        <v>918</v>
      </c>
      <c r="N540" s="637">
        <v>6944</v>
      </c>
      <c r="O540" s="821">
        <v>6</v>
      </c>
      <c r="P540" s="637">
        <v>918</v>
      </c>
      <c r="Q540" s="637">
        <v>6944</v>
      </c>
      <c r="R540" s="813" t="s">
        <v>172</v>
      </c>
      <c r="T540" s="815" t="s">
        <v>172</v>
      </c>
      <c r="U540" s="900" t="s">
        <v>1220</v>
      </c>
    </row>
    <row r="541" spans="1:21" x14ac:dyDescent="0.25">
      <c r="A541" s="813">
        <v>753</v>
      </c>
      <c r="B541" s="813" t="s">
        <v>329</v>
      </c>
      <c r="C541" s="813" t="s">
        <v>906</v>
      </c>
      <c r="D541" s="813" t="s">
        <v>14</v>
      </c>
      <c r="E541" s="813" t="s">
        <v>14</v>
      </c>
      <c r="F541" s="813" t="s">
        <v>997</v>
      </c>
      <c r="G541" s="813" t="s">
        <v>863</v>
      </c>
      <c r="H541" s="819" t="s">
        <v>18</v>
      </c>
      <c r="I541" s="820" t="s">
        <v>15</v>
      </c>
      <c r="J541" s="820" t="s">
        <v>421</v>
      </c>
      <c r="L541" s="821">
        <v>1</v>
      </c>
      <c r="M541" s="637">
        <v>354</v>
      </c>
      <c r="N541" s="637">
        <v>1210</v>
      </c>
      <c r="O541" s="821">
        <v>1</v>
      </c>
      <c r="P541" s="637">
        <v>354</v>
      </c>
      <c r="Q541" s="637">
        <v>1210</v>
      </c>
      <c r="R541" s="813" t="s">
        <v>172</v>
      </c>
      <c r="T541" s="815" t="s">
        <v>172</v>
      </c>
      <c r="U541" s="900" t="s">
        <v>1220</v>
      </c>
    </row>
    <row r="542" spans="1:21" x14ac:dyDescent="0.25">
      <c r="A542" s="813">
        <v>754</v>
      </c>
      <c r="B542" s="813" t="s">
        <v>329</v>
      </c>
      <c r="C542" s="813" t="s">
        <v>906</v>
      </c>
      <c r="D542" s="813" t="s">
        <v>14</v>
      </c>
      <c r="E542" s="813" t="s">
        <v>14</v>
      </c>
      <c r="F542" s="813" t="s">
        <v>1076</v>
      </c>
      <c r="G542" s="813" t="s">
        <v>933</v>
      </c>
      <c r="H542" s="819" t="s">
        <v>37</v>
      </c>
      <c r="I542" s="820" t="s">
        <v>20</v>
      </c>
      <c r="J542" s="820" t="s">
        <v>428</v>
      </c>
      <c r="L542" s="821">
        <v>3</v>
      </c>
      <c r="M542" s="637">
        <v>133</v>
      </c>
      <c r="N542" s="637">
        <v>1729</v>
      </c>
      <c r="O542" s="821">
        <v>3</v>
      </c>
      <c r="P542" s="637">
        <v>133</v>
      </c>
      <c r="Q542" s="637">
        <v>1729</v>
      </c>
      <c r="R542" s="813" t="s">
        <v>172</v>
      </c>
      <c r="T542" s="815">
        <v>13</v>
      </c>
      <c r="U542" s="900" t="s">
        <v>1220</v>
      </c>
    </row>
    <row r="543" spans="1:21" x14ac:dyDescent="0.25">
      <c r="A543" s="813">
        <v>760</v>
      </c>
      <c r="B543" s="813" t="s">
        <v>329</v>
      </c>
      <c r="C543" s="813" t="s">
        <v>909</v>
      </c>
      <c r="D543" s="813" t="s">
        <v>14</v>
      </c>
      <c r="E543" s="813" t="s">
        <v>15</v>
      </c>
      <c r="F543" s="813" t="s">
        <v>912</v>
      </c>
      <c r="G543" s="813" t="s">
        <v>863</v>
      </c>
      <c r="H543" s="819" t="s">
        <v>18</v>
      </c>
      <c r="I543" s="820" t="s">
        <v>15</v>
      </c>
      <c r="J543" s="820" t="s">
        <v>421</v>
      </c>
      <c r="L543" s="821">
        <v>1</v>
      </c>
      <c r="M543" s="637">
        <v>99</v>
      </c>
      <c r="N543" s="637">
        <v>541.75</v>
      </c>
      <c r="O543" s="821">
        <v>1</v>
      </c>
      <c r="P543" s="637">
        <v>99</v>
      </c>
      <c r="Q543" s="637">
        <v>541.75</v>
      </c>
      <c r="R543" s="813" t="s">
        <v>172</v>
      </c>
      <c r="T543" s="815" t="s">
        <v>172</v>
      </c>
      <c r="U543" s="900" t="s">
        <v>1220</v>
      </c>
    </row>
    <row r="544" spans="1:21" x14ac:dyDescent="0.25">
      <c r="A544" s="813">
        <v>761</v>
      </c>
      <c r="B544" s="813" t="s">
        <v>329</v>
      </c>
      <c r="C544" s="813" t="s">
        <v>909</v>
      </c>
      <c r="D544" s="813" t="s">
        <v>14</v>
      </c>
      <c r="E544" s="813" t="s">
        <v>15</v>
      </c>
      <c r="F544" s="813" t="s">
        <v>997</v>
      </c>
      <c r="G544" s="813" t="s">
        <v>863</v>
      </c>
      <c r="H544" s="819" t="s">
        <v>18</v>
      </c>
      <c r="I544" s="820" t="s">
        <v>15</v>
      </c>
      <c r="J544" s="820" t="s">
        <v>421</v>
      </c>
      <c r="L544" s="821">
        <v>54</v>
      </c>
      <c r="M544" s="637">
        <v>10018</v>
      </c>
      <c r="N544" s="637">
        <v>54422.75</v>
      </c>
      <c r="O544" s="821">
        <v>49</v>
      </c>
      <c r="P544" s="637">
        <v>9587</v>
      </c>
      <c r="Q544" s="637">
        <v>51789.75</v>
      </c>
      <c r="R544" s="813" t="s">
        <v>172</v>
      </c>
      <c r="T544" s="815" t="s">
        <v>172</v>
      </c>
      <c r="U544" s="900" t="s">
        <v>1220</v>
      </c>
    </row>
    <row r="545" spans="1:21" x14ac:dyDescent="0.25">
      <c r="A545" s="813">
        <v>762</v>
      </c>
      <c r="B545" s="813" t="s">
        <v>329</v>
      </c>
      <c r="C545" s="813" t="s">
        <v>909</v>
      </c>
      <c r="D545" s="813" t="s">
        <v>14</v>
      </c>
      <c r="E545" s="813" t="s">
        <v>15</v>
      </c>
      <c r="F545" s="813" t="s">
        <v>1077</v>
      </c>
      <c r="G545" s="813" t="s">
        <v>863</v>
      </c>
      <c r="H545" s="819" t="s">
        <v>18</v>
      </c>
      <c r="I545" s="820" t="s">
        <v>15</v>
      </c>
      <c r="J545" s="820" t="s">
        <v>421</v>
      </c>
      <c r="L545" s="821">
        <v>1</v>
      </c>
      <c r="M545" s="637">
        <v>345</v>
      </c>
      <c r="N545" s="637">
        <v>1278.25</v>
      </c>
      <c r="O545" s="821">
        <v>1</v>
      </c>
      <c r="P545" s="637">
        <v>345</v>
      </c>
      <c r="Q545" s="637">
        <v>1278.25</v>
      </c>
      <c r="R545" s="813" t="s">
        <v>172</v>
      </c>
      <c r="T545" s="815" t="s">
        <v>172</v>
      </c>
      <c r="U545" s="900" t="s">
        <v>1220</v>
      </c>
    </row>
    <row r="546" spans="1:21" x14ac:dyDescent="0.25">
      <c r="A546" s="813">
        <v>763</v>
      </c>
      <c r="B546" s="813" t="s">
        <v>329</v>
      </c>
      <c r="C546" s="813" t="s">
        <v>909</v>
      </c>
      <c r="D546" s="813" t="s">
        <v>14</v>
      </c>
      <c r="E546" s="813" t="s">
        <v>15</v>
      </c>
      <c r="F546" s="813" t="s">
        <v>1078</v>
      </c>
      <c r="G546" s="813" t="s">
        <v>957</v>
      </c>
      <c r="H546" s="819" t="s">
        <v>44</v>
      </c>
      <c r="I546" s="820" t="s">
        <v>15</v>
      </c>
      <c r="J546" s="820" t="s">
        <v>421</v>
      </c>
      <c r="L546" s="821">
        <v>2</v>
      </c>
      <c r="M546" s="637">
        <v>53</v>
      </c>
      <c r="N546" s="637">
        <v>571.25</v>
      </c>
      <c r="O546" s="821">
        <v>2</v>
      </c>
      <c r="P546" s="637">
        <v>53</v>
      </c>
      <c r="Q546" s="637">
        <v>571.25</v>
      </c>
      <c r="R546" s="813" t="s">
        <v>172</v>
      </c>
      <c r="T546" s="815" t="s">
        <v>172</v>
      </c>
      <c r="U546" s="900" t="s">
        <v>1220</v>
      </c>
    </row>
    <row r="547" spans="1:21" x14ac:dyDescent="0.25">
      <c r="A547" s="813">
        <v>764</v>
      </c>
      <c r="B547" s="813" t="s">
        <v>329</v>
      </c>
      <c r="C547" s="813" t="s">
        <v>909</v>
      </c>
      <c r="D547" s="813" t="s">
        <v>14</v>
      </c>
      <c r="E547" s="813" t="s">
        <v>15</v>
      </c>
      <c r="F547" s="813" t="s">
        <v>1079</v>
      </c>
      <c r="G547" s="813" t="s">
        <v>934</v>
      </c>
      <c r="H547" s="819" t="s">
        <v>43</v>
      </c>
      <c r="I547" s="820" t="s">
        <v>15</v>
      </c>
      <c r="J547" s="820" t="s">
        <v>421</v>
      </c>
      <c r="L547" s="821">
        <v>1</v>
      </c>
      <c r="M547" s="637">
        <v>357</v>
      </c>
      <c r="N547" s="637">
        <v>4641</v>
      </c>
      <c r="O547" s="821">
        <v>1</v>
      </c>
      <c r="P547" s="637">
        <v>357</v>
      </c>
      <c r="Q547" s="637">
        <v>4641</v>
      </c>
      <c r="R547" s="813" t="s">
        <v>172</v>
      </c>
      <c r="T547" s="815">
        <v>13</v>
      </c>
      <c r="U547" s="900" t="s">
        <v>1220</v>
      </c>
    </row>
    <row r="548" spans="1:21" x14ac:dyDescent="0.25">
      <c r="A548" s="813">
        <v>765</v>
      </c>
      <c r="B548" s="813" t="s">
        <v>329</v>
      </c>
      <c r="C548" s="813" t="s">
        <v>914</v>
      </c>
      <c r="D548" s="813" t="s">
        <v>434</v>
      </c>
      <c r="E548" s="813" t="s">
        <v>14</v>
      </c>
      <c r="F548" s="813" t="s">
        <v>885</v>
      </c>
      <c r="G548" s="813" t="s">
        <v>868</v>
      </c>
      <c r="H548" s="819" t="s">
        <v>35</v>
      </c>
      <c r="I548" s="820" t="s">
        <v>20</v>
      </c>
      <c r="J548" s="820" t="s">
        <v>428</v>
      </c>
      <c r="L548" s="821">
        <v>2</v>
      </c>
      <c r="M548" s="637">
        <v>30</v>
      </c>
      <c r="N548" s="637">
        <v>202.75</v>
      </c>
      <c r="O548" s="821">
        <v>1</v>
      </c>
      <c r="P548" s="637">
        <v>29</v>
      </c>
      <c r="Q548" s="637">
        <v>201.75</v>
      </c>
      <c r="R548" s="813" t="s">
        <v>172</v>
      </c>
      <c r="T548" s="815" t="s">
        <v>172</v>
      </c>
      <c r="U548" s="900" t="s">
        <v>1220</v>
      </c>
    </row>
    <row r="549" spans="1:21" x14ac:dyDescent="0.25">
      <c r="A549" s="813">
        <v>766</v>
      </c>
      <c r="B549" s="813" t="s">
        <v>329</v>
      </c>
      <c r="C549" s="813" t="s">
        <v>914</v>
      </c>
      <c r="D549" s="813" t="s">
        <v>434</v>
      </c>
      <c r="E549" s="813" t="s">
        <v>14</v>
      </c>
      <c r="F549" s="813" t="s">
        <v>875</v>
      </c>
      <c r="H549" s="819" t="s">
        <v>39</v>
      </c>
      <c r="I549" s="820" t="s">
        <v>20</v>
      </c>
      <c r="J549" s="820" t="s">
        <v>428</v>
      </c>
      <c r="L549" s="821">
        <v>1</v>
      </c>
      <c r="M549" s="637">
        <v>2</v>
      </c>
      <c r="N549" s="637">
        <v>2</v>
      </c>
      <c r="O549" s="821">
        <v>1</v>
      </c>
      <c r="P549" s="637">
        <v>2</v>
      </c>
      <c r="Q549" s="637">
        <v>2</v>
      </c>
      <c r="R549" s="806" t="s">
        <v>507</v>
      </c>
      <c r="T549" s="815" t="s">
        <v>172</v>
      </c>
      <c r="U549" s="900" t="s">
        <v>1220</v>
      </c>
    </row>
    <row r="550" spans="1:21" x14ac:dyDescent="0.25">
      <c r="A550" s="813">
        <v>767</v>
      </c>
      <c r="B550" s="813" t="s">
        <v>366</v>
      </c>
      <c r="C550" s="813" t="s">
        <v>458</v>
      </c>
      <c r="D550" s="813" t="s">
        <v>13</v>
      </c>
      <c r="E550" s="813" t="s">
        <v>13</v>
      </c>
      <c r="F550" s="813" t="s">
        <v>859</v>
      </c>
      <c r="G550" s="813" t="s">
        <v>860</v>
      </c>
      <c r="H550" s="819" t="s">
        <v>391</v>
      </c>
      <c r="I550" s="820" t="s">
        <v>20</v>
      </c>
      <c r="J550" s="820" t="s">
        <v>16</v>
      </c>
      <c r="K550" s="813" t="s">
        <v>13</v>
      </c>
      <c r="L550" s="821">
        <v>8</v>
      </c>
      <c r="M550" s="637">
        <v>149</v>
      </c>
      <c r="N550" s="637">
        <v>578.25</v>
      </c>
      <c r="O550" s="821">
        <v>5</v>
      </c>
      <c r="P550" s="637">
        <v>84</v>
      </c>
      <c r="Q550" s="637">
        <v>328</v>
      </c>
      <c r="R550" s="813" t="s">
        <v>172</v>
      </c>
      <c r="T550" s="815" t="s">
        <v>172</v>
      </c>
      <c r="U550" s="899" t="s">
        <v>1219</v>
      </c>
    </row>
    <row r="551" spans="1:21" x14ac:dyDescent="0.25">
      <c r="A551" s="813">
        <v>768</v>
      </c>
      <c r="B551" s="813" t="s">
        <v>366</v>
      </c>
      <c r="C551" s="813" t="s">
        <v>458</v>
      </c>
      <c r="D551" s="813" t="s">
        <v>13</v>
      </c>
      <c r="E551" s="813" t="s">
        <v>13</v>
      </c>
      <c r="F551" s="813" t="s">
        <v>915</v>
      </c>
      <c r="G551" s="813" t="s">
        <v>860</v>
      </c>
      <c r="H551" s="819" t="s">
        <v>391</v>
      </c>
      <c r="I551" s="820" t="s">
        <v>20</v>
      </c>
      <c r="J551" s="820" t="s">
        <v>16</v>
      </c>
      <c r="K551" s="813" t="s">
        <v>13</v>
      </c>
      <c r="L551" s="821">
        <v>100</v>
      </c>
      <c r="M551" s="637">
        <v>12556</v>
      </c>
      <c r="N551" s="637">
        <v>86039.25</v>
      </c>
      <c r="O551" s="821">
        <v>90</v>
      </c>
      <c r="P551" s="637">
        <v>12355</v>
      </c>
      <c r="Q551" s="637">
        <v>84591.5</v>
      </c>
      <c r="R551" s="813" t="s">
        <v>172</v>
      </c>
      <c r="T551" s="815" t="s">
        <v>172</v>
      </c>
      <c r="U551" s="899" t="s">
        <v>1219</v>
      </c>
    </row>
    <row r="552" spans="1:21" x14ac:dyDescent="0.25">
      <c r="A552" s="813">
        <v>770</v>
      </c>
      <c r="B552" s="813" t="s">
        <v>366</v>
      </c>
      <c r="C552" s="813" t="s">
        <v>1059</v>
      </c>
      <c r="D552" s="813" t="s">
        <v>14</v>
      </c>
      <c r="E552" s="813" t="s">
        <v>15</v>
      </c>
      <c r="F552" s="813" t="s">
        <v>1060</v>
      </c>
      <c r="G552" s="813" t="s">
        <v>863</v>
      </c>
      <c r="H552" s="819" t="s">
        <v>18</v>
      </c>
      <c r="I552" s="820" t="s">
        <v>15</v>
      </c>
      <c r="J552" s="820" t="s">
        <v>421</v>
      </c>
      <c r="L552" s="821">
        <v>1</v>
      </c>
      <c r="M552" s="637">
        <v>54</v>
      </c>
      <c r="N552" s="637">
        <v>279.5</v>
      </c>
      <c r="O552" s="821">
        <v>1</v>
      </c>
      <c r="P552" s="637">
        <v>54</v>
      </c>
      <c r="Q552" s="637">
        <v>279.5</v>
      </c>
      <c r="R552" s="813" t="s">
        <v>172</v>
      </c>
      <c r="T552" s="815" t="s">
        <v>172</v>
      </c>
      <c r="U552" s="900" t="s">
        <v>1220</v>
      </c>
    </row>
    <row r="553" spans="1:21" x14ac:dyDescent="0.25">
      <c r="A553" s="813">
        <v>771</v>
      </c>
      <c r="B553" s="813" t="s">
        <v>366</v>
      </c>
      <c r="C553" s="813" t="s">
        <v>918</v>
      </c>
      <c r="D553" s="813" t="s">
        <v>495</v>
      </c>
      <c r="E553" s="813" t="s">
        <v>15</v>
      </c>
      <c r="F553" s="813" t="s">
        <v>898</v>
      </c>
      <c r="G553" s="813" t="s">
        <v>863</v>
      </c>
      <c r="H553" s="819" t="s">
        <v>18</v>
      </c>
      <c r="I553" s="820" t="s">
        <v>15</v>
      </c>
      <c r="J553" s="820" t="s">
        <v>421</v>
      </c>
      <c r="L553" s="821">
        <v>3</v>
      </c>
      <c r="M553" s="637">
        <v>285</v>
      </c>
      <c r="N553" s="637">
        <v>1658.25</v>
      </c>
      <c r="O553" s="821">
        <v>3</v>
      </c>
      <c r="P553" s="637">
        <v>285</v>
      </c>
      <c r="Q553" s="637">
        <v>1658.25</v>
      </c>
      <c r="R553" s="813" t="s">
        <v>172</v>
      </c>
      <c r="T553" s="815" t="s">
        <v>172</v>
      </c>
      <c r="U553" s="900" t="s">
        <v>1220</v>
      </c>
    </row>
    <row r="554" spans="1:21" x14ac:dyDescent="0.25">
      <c r="A554" s="813">
        <v>772</v>
      </c>
      <c r="B554" s="813" t="s">
        <v>366</v>
      </c>
      <c r="C554" s="813" t="s">
        <v>919</v>
      </c>
      <c r="D554" s="813" t="s">
        <v>495</v>
      </c>
      <c r="E554" s="813" t="s">
        <v>14</v>
      </c>
      <c r="F554" s="813" t="s">
        <v>885</v>
      </c>
      <c r="G554" s="813" t="s">
        <v>868</v>
      </c>
      <c r="H554" s="819" t="s">
        <v>35</v>
      </c>
      <c r="I554" s="820" t="s">
        <v>20</v>
      </c>
      <c r="J554" s="820" t="s">
        <v>428</v>
      </c>
      <c r="L554" s="821">
        <v>7</v>
      </c>
      <c r="M554" s="637">
        <v>410</v>
      </c>
      <c r="N554" s="637">
        <v>2395</v>
      </c>
      <c r="O554" s="821">
        <v>7</v>
      </c>
      <c r="P554" s="637">
        <v>410</v>
      </c>
      <c r="Q554" s="637">
        <v>2395</v>
      </c>
      <c r="R554" s="813" t="s">
        <v>172</v>
      </c>
      <c r="T554" s="815" t="s">
        <v>172</v>
      </c>
      <c r="U554" s="900" t="s">
        <v>1220</v>
      </c>
    </row>
    <row r="555" spans="1:21" x14ac:dyDescent="0.25">
      <c r="A555" s="813">
        <v>773</v>
      </c>
      <c r="B555" s="813" t="s">
        <v>366</v>
      </c>
      <c r="C555" s="813" t="s">
        <v>919</v>
      </c>
      <c r="D555" s="813" t="s">
        <v>495</v>
      </c>
      <c r="E555" s="813" t="s">
        <v>14</v>
      </c>
      <c r="F555" s="813" t="s">
        <v>869</v>
      </c>
      <c r="H555" s="819" t="s">
        <v>39</v>
      </c>
      <c r="I555" s="820" t="s">
        <v>20</v>
      </c>
      <c r="J555" s="820" t="s">
        <v>428</v>
      </c>
      <c r="L555" s="821">
        <v>3</v>
      </c>
      <c r="M555" s="637">
        <v>3</v>
      </c>
      <c r="N555" s="637">
        <v>3</v>
      </c>
      <c r="O555" s="821">
        <v>3</v>
      </c>
      <c r="P555" s="637">
        <v>3</v>
      </c>
      <c r="Q555" s="637">
        <v>3</v>
      </c>
      <c r="R555" s="806" t="s">
        <v>507</v>
      </c>
      <c r="T555" s="815" t="s">
        <v>172</v>
      </c>
      <c r="U555" s="900" t="s">
        <v>1220</v>
      </c>
    </row>
    <row r="556" spans="1:21" x14ac:dyDescent="0.25">
      <c r="A556" s="813">
        <v>774</v>
      </c>
      <c r="B556" s="813" t="s">
        <v>366</v>
      </c>
      <c r="C556" s="813" t="s">
        <v>919</v>
      </c>
      <c r="D556" s="813" t="s">
        <v>495</v>
      </c>
      <c r="E556" s="813" t="s">
        <v>14</v>
      </c>
      <c r="F556" s="813" t="s">
        <v>875</v>
      </c>
      <c r="H556" s="819" t="s">
        <v>39</v>
      </c>
      <c r="I556" s="820" t="s">
        <v>20</v>
      </c>
      <c r="J556" s="820" t="s">
        <v>428</v>
      </c>
      <c r="L556" s="821">
        <v>3</v>
      </c>
      <c r="M556" s="637">
        <v>3</v>
      </c>
      <c r="N556" s="637">
        <v>3</v>
      </c>
      <c r="O556" s="821">
        <v>3</v>
      </c>
      <c r="P556" s="637">
        <v>3</v>
      </c>
      <c r="Q556" s="637">
        <v>3</v>
      </c>
      <c r="R556" s="806" t="s">
        <v>507</v>
      </c>
      <c r="T556" s="815" t="s">
        <v>172</v>
      </c>
      <c r="U556" s="900" t="s">
        <v>1220</v>
      </c>
    </row>
    <row r="557" spans="1:21" x14ac:dyDescent="0.25">
      <c r="A557" s="813">
        <v>775</v>
      </c>
      <c r="B557" s="813" t="s">
        <v>366</v>
      </c>
      <c r="C557" s="813" t="s">
        <v>924</v>
      </c>
      <c r="D557" s="813" t="s">
        <v>16</v>
      </c>
      <c r="E557" s="813" t="s">
        <v>14</v>
      </c>
      <c r="F557" s="813" t="s">
        <v>869</v>
      </c>
      <c r="H557" s="809" t="s">
        <v>390</v>
      </c>
      <c r="I557" s="810" t="s">
        <v>20</v>
      </c>
      <c r="J557" s="810" t="s">
        <v>16</v>
      </c>
      <c r="L557" s="821">
        <v>1</v>
      </c>
      <c r="M557" s="637">
        <v>1</v>
      </c>
      <c r="N557" s="637">
        <v>1</v>
      </c>
      <c r="O557" s="821">
        <v>1</v>
      </c>
      <c r="P557" s="637">
        <v>1</v>
      </c>
      <c r="Q557" s="637">
        <v>1</v>
      </c>
      <c r="R557" s="806" t="s">
        <v>507</v>
      </c>
      <c r="T557" s="815" t="s">
        <v>172</v>
      </c>
      <c r="U557" s="899" t="s">
        <v>1219</v>
      </c>
    </row>
    <row r="558" spans="1:21" x14ac:dyDescent="0.25">
      <c r="A558" s="813">
        <v>776</v>
      </c>
      <c r="B558" s="813" t="s">
        <v>366</v>
      </c>
      <c r="C558" s="813" t="s">
        <v>924</v>
      </c>
      <c r="D558" s="813" t="s">
        <v>16</v>
      </c>
      <c r="E558" s="813" t="s">
        <v>14</v>
      </c>
      <c r="F558" s="813" t="s">
        <v>868</v>
      </c>
      <c r="G558" s="813" t="s">
        <v>868</v>
      </c>
      <c r="H558" s="809" t="s">
        <v>390</v>
      </c>
      <c r="I558" s="810" t="s">
        <v>20</v>
      </c>
      <c r="J558" s="810" t="s">
        <v>16</v>
      </c>
      <c r="L558" s="821">
        <v>1</v>
      </c>
      <c r="M558" s="637">
        <v>46</v>
      </c>
      <c r="N558" s="637">
        <v>138</v>
      </c>
      <c r="O558" s="821">
        <v>1</v>
      </c>
      <c r="P558" s="637">
        <v>46</v>
      </c>
      <c r="Q558" s="637">
        <v>138</v>
      </c>
      <c r="R558" s="813" t="s">
        <v>172</v>
      </c>
      <c r="T558" s="815" t="s">
        <v>172</v>
      </c>
      <c r="U558" s="899" t="s">
        <v>1219</v>
      </c>
    </row>
    <row r="559" spans="1:21" x14ac:dyDescent="0.25">
      <c r="A559" s="813">
        <v>777</v>
      </c>
      <c r="B559" s="813" t="s">
        <v>366</v>
      </c>
      <c r="C559" s="813" t="s">
        <v>926</v>
      </c>
      <c r="D559" s="813" t="s">
        <v>14</v>
      </c>
      <c r="E559" s="813" t="s">
        <v>14</v>
      </c>
      <c r="F559" s="813" t="s">
        <v>885</v>
      </c>
      <c r="G559" s="813" t="s">
        <v>868</v>
      </c>
      <c r="H559" s="819" t="s">
        <v>35</v>
      </c>
      <c r="I559" s="820" t="s">
        <v>20</v>
      </c>
      <c r="J559" s="820" t="s">
        <v>428</v>
      </c>
      <c r="L559" s="821">
        <v>32</v>
      </c>
      <c r="M559" s="637">
        <v>4168</v>
      </c>
      <c r="N559" s="637">
        <v>22241</v>
      </c>
      <c r="O559" s="821">
        <v>29</v>
      </c>
      <c r="P559" s="637">
        <v>4025</v>
      </c>
      <c r="Q559" s="637">
        <v>21471</v>
      </c>
      <c r="R559" s="813" t="s">
        <v>172</v>
      </c>
      <c r="T559" s="815" t="s">
        <v>172</v>
      </c>
      <c r="U559" s="900" t="s">
        <v>1220</v>
      </c>
    </row>
    <row r="560" spans="1:21" x14ac:dyDescent="0.25">
      <c r="A560" s="813">
        <v>778</v>
      </c>
      <c r="B560" s="813" t="s">
        <v>366</v>
      </c>
      <c r="C560" s="813" t="s">
        <v>926</v>
      </c>
      <c r="D560" s="813" t="s">
        <v>14</v>
      </c>
      <c r="E560" s="813" t="s">
        <v>14</v>
      </c>
      <c r="F560" s="813" t="s">
        <v>889</v>
      </c>
      <c r="H560" s="819" t="s">
        <v>39</v>
      </c>
      <c r="I560" s="820" t="s">
        <v>20</v>
      </c>
      <c r="J560" s="820" t="s">
        <v>428</v>
      </c>
      <c r="L560" s="821">
        <v>3</v>
      </c>
      <c r="M560" s="637">
        <v>3</v>
      </c>
      <c r="N560" s="637">
        <v>3</v>
      </c>
      <c r="O560" s="821">
        <v>3</v>
      </c>
      <c r="P560" s="637">
        <v>3</v>
      </c>
      <c r="Q560" s="637">
        <v>3</v>
      </c>
      <c r="R560" s="806" t="s">
        <v>507</v>
      </c>
      <c r="T560" s="815" t="s">
        <v>172</v>
      </c>
      <c r="U560" s="900" t="s">
        <v>1220</v>
      </c>
    </row>
    <row r="561" spans="1:21" x14ac:dyDescent="0.25">
      <c r="A561" s="813">
        <v>779</v>
      </c>
      <c r="B561" s="813" t="s">
        <v>366</v>
      </c>
      <c r="C561" s="813" t="s">
        <v>926</v>
      </c>
      <c r="D561" s="813" t="s">
        <v>14</v>
      </c>
      <c r="E561" s="813" t="s">
        <v>14</v>
      </c>
      <c r="F561" s="813" t="s">
        <v>869</v>
      </c>
      <c r="H561" s="819" t="s">
        <v>39</v>
      </c>
      <c r="I561" s="820" t="s">
        <v>20</v>
      </c>
      <c r="J561" s="820" t="s">
        <v>428</v>
      </c>
      <c r="L561" s="821">
        <v>13</v>
      </c>
      <c r="M561" s="637">
        <v>13</v>
      </c>
      <c r="N561" s="637">
        <v>13</v>
      </c>
      <c r="O561" s="821">
        <v>11</v>
      </c>
      <c r="P561" s="637">
        <v>11</v>
      </c>
      <c r="Q561" s="637">
        <v>11</v>
      </c>
      <c r="R561" s="806" t="s">
        <v>507</v>
      </c>
      <c r="T561" s="815" t="s">
        <v>172</v>
      </c>
      <c r="U561" s="900" t="s">
        <v>1220</v>
      </c>
    </row>
    <row r="562" spans="1:21" x14ac:dyDescent="0.25">
      <c r="A562" s="813">
        <v>780</v>
      </c>
      <c r="B562" s="813" t="s">
        <v>366</v>
      </c>
      <c r="C562" s="813" t="s">
        <v>926</v>
      </c>
      <c r="D562" s="813" t="s">
        <v>14</v>
      </c>
      <c r="E562" s="813" t="s">
        <v>14</v>
      </c>
      <c r="F562" s="813" t="s">
        <v>875</v>
      </c>
      <c r="H562" s="819" t="s">
        <v>39</v>
      </c>
      <c r="I562" s="820" t="s">
        <v>20</v>
      </c>
      <c r="J562" s="820" t="s">
        <v>428</v>
      </c>
      <c r="L562" s="821">
        <v>18</v>
      </c>
      <c r="M562" s="637">
        <v>30</v>
      </c>
      <c r="N562" s="637">
        <v>30</v>
      </c>
      <c r="O562" s="821">
        <v>18</v>
      </c>
      <c r="P562" s="637">
        <v>30</v>
      </c>
      <c r="Q562" s="637">
        <v>30</v>
      </c>
      <c r="R562" s="806" t="s">
        <v>507</v>
      </c>
      <c r="T562" s="815" t="s">
        <v>172</v>
      </c>
      <c r="U562" s="900" t="s">
        <v>1220</v>
      </c>
    </row>
    <row r="563" spans="1:21" x14ac:dyDescent="0.25">
      <c r="A563" s="813">
        <v>784</v>
      </c>
      <c r="B563" s="813" t="s">
        <v>366</v>
      </c>
      <c r="C563" s="813" t="s">
        <v>861</v>
      </c>
      <c r="D563" s="813" t="s">
        <v>14</v>
      </c>
      <c r="E563" s="813" t="s">
        <v>15</v>
      </c>
      <c r="F563" s="813" t="s">
        <v>862</v>
      </c>
      <c r="G563" s="813" t="s">
        <v>863</v>
      </c>
      <c r="H563" s="819" t="s">
        <v>18</v>
      </c>
      <c r="I563" s="820" t="s">
        <v>15</v>
      </c>
      <c r="J563" s="820" t="s">
        <v>421</v>
      </c>
      <c r="L563" s="821">
        <v>37</v>
      </c>
      <c r="M563" s="637">
        <v>7308</v>
      </c>
      <c r="N563" s="637">
        <v>34690.5</v>
      </c>
      <c r="O563" s="821">
        <v>37</v>
      </c>
      <c r="P563" s="637">
        <v>7308</v>
      </c>
      <c r="Q563" s="637">
        <v>34690.5</v>
      </c>
      <c r="R563" s="813" t="s">
        <v>172</v>
      </c>
      <c r="T563" s="815" t="s">
        <v>172</v>
      </c>
      <c r="U563" s="900" t="s">
        <v>1220</v>
      </c>
    </row>
    <row r="564" spans="1:21" x14ac:dyDescent="0.25">
      <c r="A564" s="813">
        <v>785</v>
      </c>
      <c r="B564" s="813" t="s">
        <v>366</v>
      </c>
      <c r="C564" s="813" t="s">
        <v>861</v>
      </c>
      <c r="D564" s="813" t="s">
        <v>14</v>
      </c>
      <c r="E564" s="813" t="s">
        <v>15</v>
      </c>
      <c r="F564" s="813" t="s">
        <v>1012</v>
      </c>
      <c r="G564" s="813" t="s">
        <v>934</v>
      </c>
      <c r="H564" s="819" t="s">
        <v>43</v>
      </c>
      <c r="I564" s="820" t="s">
        <v>15</v>
      </c>
      <c r="J564" s="820" t="s">
        <v>421</v>
      </c>
      <c r="L564" s="821">
        <v>1</v>
      </c>
      <c r="M564" s="637">
        <v>169</v>
      </c>
      <c r="N564" s="637">
        <v>2197</v>
      </c>
      <c r="O564" s="821">
        <v>1</v>
      </c>
      <c r="P564" s="637">
        <v>169</v>
      </c>
      <c r="Q564" s="637">
        <v>2197</v>
      </c>
      <c r="R564" s="813" t="s">
        <v>172</v>
      </c>
      <c r="T564" s="815">
        <v>13</v>
      </c>
      <c r="U564" s="900" t="s">
        <v>1220</v>
      </c>
    </row>
    <row r="565" spans="1:21" x14ac:dyDescent="0.25">
      <c r="A565" s="813">
        <v>786</v>
      </c>
      <c r="B565" s="813" t="s">
        <v>366</v>
      </c>
      <c r="C565" s="813" t="s">
        <v>927</v>
      </c>
      <c r="D565" s="813" t="s">
        <v>14</v>
      </c>
      <c r="E565" s="813" t="s">
        <v>14</v>
      </c>
      <c r="F565" s="813" t="s">
        <v>889</v>
      </c>
      <c r="H565" s="819" t="s">
        <v>39</v>
      </c>
      <c r="I565" s="820" t="s">
        <v>20</v>
      </c>
      <c r="J565" s="820" t="s">
        <v>428</v>
      </c>
      <c r="L565" s="821">
        <v>2</v>
      </c>
      <c r="M565" s="637">
        <v>2</v>
      </c>
      <c r="N565" s="637">
        <v>2</v>
      </c>
      <c r="O565" s="821">
        <v>1</v>
      </c>
      <c r="P565" s="637">
        <v>1</v>
      </c>
      <c r="Q565" s="637">
        <v>1</v>
      </c>
      <c r="R565" s="806" t="s">
        <v>507</v>
      </c>
      <c r="T565" s="815" t="s">
        <v>172</v>
      </c>
      <c r="U565" s="900" t="s">
        <v>1220</v>
      </c>
    </row>
    <row r="566" spans="1:21" x14ac:dyDescent="0.25">
      <c r="A566" s="813">
        <v>787</v>
      </c>
      <c r="B566" s="813" t="s">
        <v>366</v>
      </c>
      <c r="C566" s="813" t="s">
        <v>927</v>
      </c>
      <c r="D566" s="813" t="s">
        <v>14</v>
      </c>
      <c r="E566" s="813" t="s">
        <v>14</v>
      </c>
      <c r="F566" s="813" t="s">
        <v>869</v>
      </c>
      <c r="H566" s="819" t="s">
        <v>39</v>
      </c>
      <c r="I566" s="820" t="s">
        <v>20</v>
      </c>
      <c r="J566" s="820" t="s">
        <v>428</v>
      </c>
      <c r="L566" s="821">
        <v>22</v>
      </c>
      <c r="M566" s="637">
        <v>22</v>
      </c>
      <c r="N566" s="637">
        <v>22</v>
      </c>
      <c r="O566" s="821">
        <v>21</v>
      </c>
      <c r="P566" s="637">
        <v>21</v>
      </c>
      <c r="Q566" s="637">
        <v>21</v>
      </c>
      <c r="R566" s="806" t="s">
        <v>507</v>
      </c>
      <c r="T566" s="815" t="s">
        <v>172</v>
      </c>
      <c r="U566" s="900" t="s">
        <v>1220</v>
      </c>
    </row>
    <row r="567" spans="1:21" x14ac:dyDescent="0.25">
      <c r="A567" s="813">
        <v>788</v>
      </c>
      <c r="B567" s="813" t="s">
        <v>366</v>
      </c>
      <c r="C567" s="813" t="s">
        <v>927</v>
      </c>
      <c r="D567" s="813" t="s">
        <v>14</v>
      </c>
      <c r="E567" s="813" t="s">
        <v>14</v>
      </c>
      <c r="F567" s="813" t="s">
        <v>875</v>
      </c>
      <c r="H567" s="819" t="s">
        <v>39</v>
      </c>
      <c r="I567" s="820" t="s">
        <v>20</v>
      </c>
      <c r="J567" s="820" t="s">
        <v>428</v>
      </c>
      <c r="L567" s="821">
        <v>12</v>
      </c>
      <c r="M567" s="637">
        <v>14</v>
      </c>
      <c r="N567" s="637">
        <v>14</v>
      </c>
      <c r="O567" s="821">
        <v>10</v>
      </c>
      <c r="P567" s="637">
        <v>12</v>
      </c>
      <c r="Q567" s="637">
        <v>12</v>
      </c>
      <c r="R567" s="806" t="s">
        <v>507</v>
      </c>
      <c r="T567" s="815" t="s">
        <v>172</v>
      </c>
      <c r="U567" s="900" t="s">
        <v>1220</v>
      </c>
    </row>
    <row r="568" spans="1:21" x14ac:dyDescent="0.25">
      <c r="A568" s="813">
        <v>789</v>
      </c>
      <c r="B568" s="813" t="s">
        <v>366</v>
      </c>
      <c r="C568" s="813" t="s">
        <v>927</v>
      </c>
      <c r="D568" s="813" t="s">
        <v>14</v>
      </c>
      <c r="E568" s="813" t="s">
        <v>14</v>
      </c>
      <c r="F568" s="813" t="s">
        <v>868</v>
      </c>
      <c r="G568" s="813" t="s">
        <v>868</v>
      </c>
      <c r="H568" s="819" t="s">
        <v>35</v>
      </c>
      <c r="I568" s="820" t="s">
        <v>20</v>
      </c>
      <c r="J568" s="820" t="s">
        <v>428</v>
      </c>
      <c r="L568" s="821">
        <v>31</v>
      </c>
      <c r="M568" s="637">
        <v>2887</v>
      </c>
      <c r="N568" s="637">
        <v>15511</v>
      </c>
      <c r="O568" s="821">
        <v>28</v>
      </c>
      <c r="P568" s="637">
        <v>2583</v>
      </c>
      <c r="Q568" s="637">
        <v>13851.5</v>
      </c>
      <c r="R568" s="813" t="s">
        <v>172</v>
      </c>
      <c r="T568" s="815" t="s">
        <v>172</v>
      </c>
      <c r="U568" s="900" t="s">
        <v>1220</v>
      </c>
    </row>
    <row r="569" spans="1:21" x14ac:dyDescent="0.25">
      <c r="A569" s="813">
        <v>792</v>
      </c>
      <c r="B569" s="813" t="s">
        <v>366</v>
      </c>
      <c r="C569" s="813" t="s">
        <v>928</v>
      </c>
      <c r="D569" s="813" t="s">
        <v>14</v>
      </c>
      <c r="E569" s="813" t="s">
        <v>15</v>
      </c>
      <c r="F569" s="813" t="s">
        <v>863</v>
      </c>
      <c r="G569" s="813" t="s">
        <v>863</v>
      </c>
      <c r="H569" s="819" t="s">
        <v>18</v>
      </c>
      <c r="I569" s="820" t="s">
        <v>15</v>
      </c>
      <c r="J569" s="820" t="s">
        <v>421</v>
      </c>
      <c r="L569" s="821">
        <v>9</v>
      </c>
      <c r="M569" s="637">
        <v>1307</v>
      </c>
      <c r="N569" s="637">
        <v>7117.5</v>
      </c>
      <c r="O569" s="821">
        <v>9</v>
      </c>
      <c r="P569" s="637">
        <v>1307</v>
      </c>
      <c r="Q569" s="637">
        <v>7117.5</v>
      </c>
      <c r="R569" s="813" t="s">
        <v>172</v>
      </c>
      <c r="T569" s="815" t="s">
        <v>172</v>
      </c>
      <c r="U569" s="900" t="s">
        <v>1220</v>
      </c>
    </row>
    <row r="570" spans="1:21" x14ac:dyDescent="0.25">
      <c r="A570" s="813">
        <v>795</v>
      </c>
      <c r="B570" s="813" t="s">
        <v>366</v>
      </c>
      <c r="C570" s="813" t="s">
        <v>930</v>
      </c>
      <c r="D570" s="813" t="s">
        <v>14</v>
      </c>
      <c r="E570" s="813" t="s">
        <v>15</v>
      </c>
      <c r="F570" s="813" t="s">
        <v>898</v>
      </c>
      <c r="G570" s="813" t="s">
        <v>863</v>
      </c>
      <c r="H570" s="819" t="s">
        <v>18</v>
      </c>
      <c r="I570" s="820" t="s">
        <v>15</v>
      </c>
      <c r="J570" s="820" t="s">
        <v>421</v>
      </c>
      <c r="L570" s="821">
        <v>6</v>
      </c>
      <c r="M570" s="637">
        <v>1125</v>
      </c>
      <c r="N570" s="637">
        <v>6846.25</v>
      </c>
      <c r="O570" s="821">
        <v>6</v>
      </c>
      <c r="P570" s="637">
        <v>1125</v>
      </c>
      <c r="Q570" s="637">
        <v>6846.25</v>
      </c>
      <c r="R570" s="813" t="s">
        <v>172</v>
      </c>
      <c r="T570" s="815" t="s">
        <v>172</v>
      </c>
      <c r="U570" s="900" t="s">
        <v>1220</v>
      </c>
    </row>
    <row r="571" spans="1:21" x14ac:dyDescent="0.25">
      <c r="A571" s="813">
        <v>796</v>
      </c>
      <c r="B571" s="813" t="s">
        <v>366</v>
      </c>
      <c r="C571" s="813" t="s">
        <v>931</v>
      </c>
      <c r="D571" s="813" t="s">
        <v>14</v>
      </c>
      <c r="E571" s="813" t="s">
        <v>14</v>
      </c>
      <c r="F571" s="813" t="s">
        <v>1080</v>
      </c>
      <c r="G571" s="813" t="s">
        <v>967</v>
      </c>
      <c r="H571" s="819" t="s">
        <v>41</v>
      </c>
      <c r="I571" s="820" t="s">
        <v>20</v>
      </c>
      <c r="J571" s="820" t="s">
        <v>428</v>
      </c>
      <c r="L571" s="821">
        <v>2</v>
      </c>
      <c r="M571" s="637">
        <v>306</v>
      </c>
      <c r="N571" s="637">
        <v>1223.75</v>
      </c>
      <c r="O571" s="821">
        <v>2</v>
      </c>
      <c r="P571" s="637">
        <v>306</v>
      </c>
      <c r="Q571" s="637">
        <v>1223.75</v>
      </c>
      <c r="R571" s="813" t="s">
        <v>172</v>
      </c>
      <c r="T571" s="815" t="s">
        <v>172</v>
      </c>
      <c r="U571" s="900" t="s">
        <v>1220</v>
      </c>
    </row>
    <row r="572" spans="1:21" x14ac:dyDescent="0.25">
      <c r="A572" s="813">
        <v>797</v>
      </c>
      <c r="B572" s="813" t="s">
        <v>366</v>
      </c>
      <c r="C572" s="813" t="s">
        <v>931</v>
      </c>
      <c r="D572" s="813" t="s">
        <v>14</v>
      </c>
      <c r="E572" s="813" t="s">
        <v>14</v>
      </c>
      <c r="F572" s="813" t="s">
        <v>867</v>
      </c>
      <c r="G572" s="813" t="s">
        <v>868</v>
      </c>
      <c r="H572" s="819" t="s">
        <v>35</v>
      </c>
      <c r="I572" s="820" t="s">
        <v>20</v>
      </c>
      <c r="J572" s="820" t="s">
        <v>428</v>
      </c>
      <c r="L572" s="821">
        <v>18</v>
      </c>
      <c r="M572" s="637">
        <v>2871</v>
      </c>
      <c r="N572" s="637">
        <v>17080.75</v>
      </c>
      <c r="O572" s="821">
        <v>17</v>
      </c>
      <c r="P572" s="637">
        <v>2842</v>
      </c>
      <c r="Q572" s="637">
        <v>16936</v>
      </c>
      <c r="R572" s="813" t="s">
        <v>172</v>
      </c>
      <c r="T572" s="815" t="s">
        <v>172</v>
      </c>
      <c r="U572" s="900" t="s">
        <v>1220</v>
      </c>
    </row>
    <row r="573" spans="1:21" x14ac:dyDescent="0.25">
      <c r="A573" s="813">
        <v>798</v>
      </c>
      <c r="B573" s="813" t="s">
        <v>366</v>
      </c>
      <c r="C573" s="813" t="s">
        <v>931</v>
      </c>
      <c r="D573" s="813" t="s">
        <v>14</v>
      </c>
      <c r="E573" s="813" t="s">
        <v>14</v>
      </c>
      <c r="F573" s="813" t="s">
        <v>869</v>
      </c>
      <c r="H573" s="819" t="s">
        <v>39</v>
      </c>
      <c r="I573" s="820" t="s">
        <v>20</v>
      </c>
      <c r="J573" s="820" t="s">
        <v>428</v>
      </c>
      <c r="L573" s="821">
        <v>18</v>
      </c>
      <c r="M573" s="637">
        <v>18</v>
      </c>
      <c r="N573" s="637">
        <v>18</v>
      </c>
      <c r="O573" s="821">
        <v>18</v>
      </c>
      <c r="P573" s="637">
        <v>18</v>
      </c>
      <c r="Q573" s="637">
        <v>18</v>
      </c>
      <c r="R573" s="806" t="s">
        <v>507</v>
      </c>
      <c r="T573" s="815" t="s">
        <v>172</v>
      </c>
      <c r="U573" s="900" t="s">
        <v>1220</v>
      </c>
    </row>
    <row r="574" spans="1:21" x14ac:dyDescent="0.25">
      <c r="A574" s="813">
        <v>799</v>
      </c>
      <c r="B574" s="813" t="s">
        <v>366</v>
      </c>
      <c r="C574" s="813" t="s">
        <v>931</v>
      </c>
      <c r="D574" s="813" t="s">
        <v>14</v>
      </c>
      <c r="E574" s="813" t="s">
        <v>14</v>
      </c>
      <c r="F574" s="813" t="s">
        <v>875</v>
      </c>
      <c r="H574" s="819" t="s">
        <v>39</v>
      </c>
      <c r="I574" s="820" t="s">
        <v>20</v>
      </c>
      <c r="J574" s="820" t="s">
        <v>428</v>
      </c>
      <c r="L574" s="821">
        <v>15</v>
      </c>
      <c r="M574" s="637">
        <v>15</v>
      </c>
      <c r="N574" s="637">
        <v>15</v>
      </c>
      <c r="O574" s="821">
        <v>15</v>
      </c>
      <c r="P574" s="637">
        <v>15</v>
      </c>
      <c r="Q574" s="637">
        <v>15</v>
      </c>
      <c r="R574" s="806" t="s">
        <v>507</v>
      </c>
      <c r="T574" s="815" t="s">
        <v>172</v>
      </c>
      <c r="U574" s="900" t="s">
        <v>1220</v>
      </c>
    </row>
    <row r="575" spans="1:21" x14ac:dyDescent="0.25">
      <c r="A575" s="813">
        <v>802</v>
      </c>
      <c r="B575" s="813" t="s">
        <v>366</v>
      </c>
      <c r="C575" s="813" t="s">
        <v>864</v>
      </c>
      <c r="D575" s="813" t="s">
        <v>16</v>
      </c>
      <c r="E575" s="813" t="s">
        <v>15</v>
      </c>
      <c r="F575" s="813" t="s">
        <v>865</v>
      </c>
      <c r="G575" s="813" t="s">
        <v>863</v>
      </c>
      <c r="H575" s="819" t="s">
        <v>18</v>
      </c>
      <c r="I575" s="820" t="s">
        <v>15</v>
      </c>
      <c r="J575" s="820" t="s">
        <v>421</v>
      </c>
      <c r="L575" s="821">
        <v>20</v>
      </c>
      <c r="M575" s="637">
        <v>3549</v>
      </c>
      <c r="N575" s="637">
        <v>22341.75</v>
      </c>
      <c r="O575" s="821">
        <v>18</v>
      </c>
      <c r="P575" s="637">
        <v>3386</v>
      </c>
      <c r="Q575" s="637">
        <v>20958</v>
      </c>
      <c r="R575" s="813" t="s">
        <v>172</v>
      </c>
      <c r="T575" s="815" t="s">
        <v>172</v>
      </c>
      <c r="U575" s="900" t="s">
        <v>1220</v>
      </c>
    </row>
    <row r="576" spans="1:21" x14ac:dyDescent="0.25">
      <c r="A576" s="813">
        <v>803</v>
      </c>
      <c r="B576" s="813" t="s">
        <v>366</v>
      </c>
      <c r="C576" s="813" t="s">
        <v>866</v>
      </c>
      <c r="D576" s="813" t="s">
        <v>16</v>
      </c>
      <c r="E576" s="813" t="s">
        <v>14</v>
      </c>
      <c r="F576" s="813" t="s">
        <v>867</v>
      </c>
      <c r="G576" s="813" t="s">
        <v>868</v>
      </c>
      <c r="H576" s="819" t="s">
        <v>35</v>
      </c>
      <c r="I576" s="820" t="s">
        <v>20</v>
      </c>
      <c r="J576" s="820" t="s">
        <v>428</v>
      </c>
      <c r="L576" s="821">
        <v>32</v>
      </c>
      <c r="M576" s="637">
        <v>4854</v>
      </c>
      <c r="N576" s="637">
        <v>33244.5</v>
      </c>
      <c r="O576" s="821">
        <v>31</v>
      </c>
      <c r="P576" s="637">
        <v>4766</v>
      </c>
      <c r="Q576" s="637">
        <v>32552.5</v>
      </c>
      <c r="R576" s="813" t="s">
        <v>172</v>
      </c>
      <c r="T576" s="815" t="s">
        <v>172</v>
      </c>
      <c r="U576" s="900" t="s">
        <v>1220</v>
      </c>
    </row>
    <row r="577" spans="1:21" x14ac:dyDescent="0.25">
      <c r="A577" s="813">
        <v>804</v>
      </c>
      <c r="B577" s="813" t="s">
        <v>366</v>
      </c>
      <c r="C577" s="813" t="s">
        <v>866</v>
      </c>
      <c r="D577" s="813" t="s">
        <v>16</v>
      </c>
      <c r="E577" s="813" t="s">
        <v>14</v>
      </c>
      <c r="F577" s="813" t="s">
        <v>932</v>
      </c>
      <c r="G577" s="813" t="s">
        <v>933</v>
      </c>
      <c r="H577" s="819" t="s">
        <v>37</v>
      </c>
      <c r="I577" s="820" t="s">
        <v>20</v>
      </c>
      <c r="J577" s="820" t="s">
        <v>428</v>
      </c>
      <c r="L577" s="821">
        <v>1</v>
      </c>
      <c r="M577" s="637">
        <v>351</v>
      </c>
      <c r="N577" s="637">
        <v>4563</v>
      </c>
      <c r="O577" s="821">
        <v>1</v>
      </c>
      <c r="P577" s="637">
        <v>351</v>
      </c>
      <c r="Q577" s="637">
        <v>4563</v>
      </c>
      <c r="R577" s="813" t="s">
        <v>172</v>
      </c>
      <c r="T577" s="815">
        <v>13</v>
      </c>
      <c r="U577" s="900" t="s">
        <v>1220</v>
      </c>
    </row>
    <row r="578" spans="1:21" x14ac:dyDescent="0.25">
      <c r="A578" s="813">
        <v>805</v>
      </c>
      <c r="B578" s="813" t="s">
        <v>366</v>
      </c>
      <c r="C578" s="813" t="s">
        <v>866</v>
      </c>
      <c r="D578" s="813" t="s">
        <v>16</v>
      </c>
      <c r="E578" s="813" t="s">
        <v>14</v>
      </c>
      <c r="F578" s="813" t="s">
        <v>889</v>
      </c>
      <c r="H578" s="819" t="s">
        <v>39</v>
      </c>
      <c r="I578" s="820" t="s">
        <v>20</v>
      </c>
      <c r="J578" s="820" t="s">
        <v>428</v>
      </c>
      <c r="L578" s="821">
        <v>8</v>
      </c>
      <c r="M578" s="637">
        <v>8</v>
      </c>
      <c r="N578" s="637">
        <v>8</v>
      </c>
      <c r="O578" s="821">
        <v>8</v>
      </c>
      <c r="P578" s="637">
        <v>8</v>
      </c>
      <c r="Q578" s="637">
        <v>8</v>
      </c>
      <c r="R578" s="806" t="s">
        <v>507</v>
      </c>
      <c r="T578" s="815" t="s">
        <v>172</v>
      </c>
      <c r="U578" s="900" t="s">
        <v>1220</v>
      </c>
    </row>
    <row r="579" spans="1:21" x14ac:dyDescent="0.25">
      <c r="A579" s="813">
        <v>806</v>
      </c>
      <c r="B579" s="813" t="s">
        <v>366</v>
      </c>
      <c r="C579" s="813" t="s">
        <v>866</v>
      </c>
      <c r="D579" s="813" t="s">
        <v>16</v>
      </c>
      <c r="E579" s="813" t="s">
        <v>14</v>
      </c>
      <c r="F579" s="813" t="s">
        <v>869</v>
      </c>
      <c r="H579" s="819" t="s">
        <v>39</v>
      </c>
      <c r="I579" s="820" t="s">
        <v>20</v>
      </c>
      <c r="J579" s="820" t="s">
        <v>428</v>
      </c>
      <c r="L579" s="821">
        <v>10</v>
      </c>
      <c r="M579" s="637">
        <v>10</v>
      </c>
      <c r="N579" s="637">
        <v>10</v>
      </c>
      <c r="O579" s="821">
        <v>10</v>
      </c>
      <c r="P579" s="637">
        <v>10</v>
      </c>
      <c r="Q579" s="637">
        <v>10</v>
      </c>
      <c r="R579" s="806" t="s">
        <v>507</v>
      </c>
      <c r="T579" s="815" t="s">
        <v>172</v>
      </c>
      <c r="U579" s="900" t="s">
        <v>1220</v>
      </c>
    </row>
    <row r="580" spans="1:21" x14ac:dyDescent="0.25">
      <c r="A580" s="813">
        <v>807</v>
      </c>
      <c r="B580" s="813" t="s">
        <v>366</v>
      </c>
      <c r="C580" s="813" t="s">
        <v>866</v>
      </c>
      <c r="D580" s="813" t="s">
        <v>16</v>
      </c>
      <c r="E580" s="813" t="s">
        <v>14</v>
      </c>
      <c r="F580" s="813" t="s">
        <v>875</v>
      </c>
      <c r="H580" s="819" t="s">
        <v>39</v>
      </c>
      <c r="I580" s="820" t="s">
        <v>20</v>
      </c>
      <c r="J580" s="820" t="s">
        <v>428</v>
      </c>
      <c r="L580" s="821">
        <v>23</v>
      </c>
      <c r="M580" s="637">
        <v>38</v>
      </c>
      <c r="N580" s="637">
        <v>38</v>
      </c>
      <c r="O580" s="821">
        <v>22</v>
      </c>
      <c r="P580" s="637">
        <v>37</v>
      </c>
      <c r="Q580" s="637">
        <v>37</v>
      </c>
      <c r="R580" s="806" t="s">
        <v>507</v>
      </c>
      <c r="T580" s="815" t="s">
        <v>172</v>
      </c>
      <c r="U580" s="900" t="s">
        <v>1220</v>
      </c>
    </row>
    <row r="581" spans="1:21" x14ac:dyDescent="0.25">
      <c r="A581" s="813">
        <v>808</v>
      </c>
      <c r="B581" s="813" t="s">
        <v>366</v>
      </c>
      <c r="C581" s="813" t="s">
        <v>870</v>
      </c>
      <c r="D581" s="813" t="s">
        <v>13</v>
      </c>
      <c r="E581" s="813" t="s">
        <v>13</v>
      </c>
      <c r="F581" s="813" t="s">
        <v>871</v>
      </c>
      <c r="H581" s="819" t="s">
        <v>391</v>
      </c>
      <c r="I581" s="820" t="s">
        <v>20</v>
      </c>
      <c r="J581" s="820" t="s">
        <v>16</v>
      </c>
      <c r="K581" s="813" t="s">
        <v>13</v>
      </c>
      <c r="L581" s="821">
        <v>22</v>
      </c>
      <c r="M581" s="637">
        <v>4187</v>
      </c>
      <c r="N581" s="637">
        <v>19684.75</v>
      </c>
      <c r="O581" s="821">
        <v>22</v>
      </c>
      <c r="P581" s="637">
        <v>4187</v>
      </c>
      <c r="Q581" s="637">
        <v>19684.75</v>
      </c>
      <c r="R581" s="813" t="s">
        <v>172</v>
      </c>
      <c r="T581" s="815" t="s">
        <v>172</v>
      </c>
      <c r="U581" s="899" t="s">
        <v>1219</v>
      </c>
    </row>
    <row r="582" spans="1:21" x14ac:dyDescent="0.25">
      <c r="A582" s="813">
        <v>809</v>
      </c>
      <c r="B582" s="813" t="s">
        <v>366</v>
      </c>
      <c r="C582" s="813" t="s">
        <v>465</v>
      </c>
      <c r="D582" s="813" t="s">
        <v>13</v>
      </c>
      <c r="E582" s="813" t="s">
        <v>13</v>
      </c>
      <c r="F582" s="813" t="s">
        <v>872</v>
      </c>
      <c r="G582" s="813" t="s">
        <v>873</v>
      </c>
      <c r="H582" s="819" t="s">
        <v>391</v>
      </c>
      <c r="I582" s="820" t="s">
        <v>20</v>
      </c>
      <c r="J582" s="820" t="s">
        <v>16</v>
      </c>
      <c r="K582" s="813" t="s">
        <v>13</v>
      </c>
      <c r="L582" s="821">
        <v>18</v>
      </c>
      <c r="M582" s="637">
        <v>1644</v>
      </c>
      <c r="N582" s="637">
        <v>9439</v>
      </c>
      <c r="O582" s="821">
        <v>18</v>
      </c>
      <c r="P582" s="637">
        <v>1644</v>
      </c>
      <c r="Q582" s="637">
        <v>9439</v>
      </c>
      <c r="R582" s="813" t="s">
        <v>172</v>
      </c>
      <c r="T582" s="815" t="s">
        <v>172</v>
      </c>
      <c r="U582" s="899" t="s">
        <v>1219</v>
      </c>
    </row>
    <row r="583" spans="1:21" x14ac:dyDescent="0.25">
      <c r="A583" s="813">
        <v>810</v>
      </c>
      <c r="B583" s="813" t="s">
        <v>366</v>
      </c>
      <c r="C583" s="813" t="s">
        <v>465</v>
      </c>
      <c r="D583" s="813" t="s">
        <v>13</v>
      </c>
      <c r="E583" s="813" t="s">
        <v>13</v>
      </c>
      <c r="F583" s="813" t="s">
        <v>877</v>
      </c>
      <c r="H583" s="819" t="s">
        <v>391</v>
      </c>
      <c r="I583" s="820" t="s">
        <v>20</v>
      </c>
      <c r="J583" s="820" t="s">
        <v>16</v>
      </c>
      <c r="K583" s="813" t="s">
        <v>13</v>
      </c>
      <c r="L583" s="821">
        <v>36</v>
      </c>
      <c r="M583" s="637">
        <v>2908</v>
      </c>
      <c r="N583" s="637">
        <v>12447.25</v>
      </c>
      <c r="O583" s="821">
        <v>34</v>
      </c>
      <c r="P583" s="637">
        <v>2892</v>
      </c>
      <c r="Q583" s="637">
        <v>12353.5</v>
      </c>
      <c r="R583" s="813" t="s">
        <v>172</v>
      </c>
      <c r="T583" s="815" t="s">
        <v>172</v>
      </c>
      <c r="U583" s="899" t="s">
        <v>1219</v>
      </c>
    </row>
    <row r="584" spans="1:21" x14ac:dyDescent="0.25">
      <c r="A584" s="813">
        <v>811</v>
      </c>
      <c r="B584" s="813" t="s">
        <v>366</v>
      </c>
      <c r="C584" s="813" t="s">
        <v>465</v>
      </c>
      <c r="D584" s="813" t="s">
        <v>13</v>
      </c>
      <c r="E584" s="813" t="s">
        <v>13</v>
      </c>
      <c r="F584" s="813" t="s">
        <v>1014</v>
      </c>
      <c r="G584" s="813" t="s">
        <v>1015</v>
      </c>
      <c r="H584" s="819" t="s">
        <v>391</v>
      </c>
      <c r="I584" s="820" t="s">
        <v>20</v>
      </c>
      <c r="J584" s="820" t="s">
        <v>16</v>
      </c>
      <c r="K584" s="813" t="s">
        <v>13</v>
      </c>
      <c r="L584" s="821">
        <v>2</v>
      </c>
      <c r="M584" s="637">
        <v>46</v>
      </c>
      <c r="N584" s="637">
        <v>215.5</v>
      </c>
      <c r="O584" s="821">
        <v>2</v>
      </c>
      <c r="P584" s="637">
        <v>46</v>
      </c>
      <c r="Q584" s="637">
        <v>215.5</v>
      </c>
      <c r="R584" s="813" t="s">
        <v>172</v>
      </c>
      <c r="T584" s="815" t="s">
        <v>172</v>
      </c>
      <c r="U584" s="899" t="s">
        <v>1219</v>
      </c>
    </row>
    <row r="585" spans="1:21" x14ac:dyDescent="0.25">
      <c r="A585" s="813">
        <v>812</v>
      </c>
      <c r="B585" s="813" t="s">
        <v>366</v>
      </c>
      <c r="C585" s="813" t="s">
        <v>874</v>
      </c>
      <c r="D585" s="813" t="s">
        <v>434</v>
      </c>
      <c r="E585" s="813" t="s">
        <v>14</v>
      </c>
      <c r="F585" s="813" t="s">
        <v>889</v>
      </c>
      <c r="H585" s="819" t="s">
        <v>39</v>
      </c>
      <c r="I585" s="820" t="s">
        <v>20</v>
      </c>
      <c r="J585" s="820" t="s">
        <v>428</v>
      </c>
      <c r="L585" s="821">
        <v>5</v>
      </c>
      <c r="M585" s="637">
        <v>5</v>
      </c>
      <c r="N585" s="637">
        <v>5</v>
      </c>
      <c r="O585" s="821">
        <v>5</v>
      </c>
      <c r="P585" s="637">
        <v>5</v>
      </c>
      <c r="Q585" s="637">
        <v>5</v>
      </c>
      <c r="R585" s="806" t="s">
        <v>507</v>
      </c>
      <c r="T585" s="815" t="s">
        <v>172</v>
      </c>
      <c r="U585" s="900" t="s">
        <v>1220</v>
      </c>
    </row>
    <row r="586" spans="1:21" x14ac:dyDescent="0.25">
      <c r="A586" s="813">
        <v>813</v>
      </c>
      <c r="B586" s="813" t="s">
        <v>366</v>
      </c>
      <c r="C586" s="813" t="s">
        <v>874</v>
      </c>
      <c r="D586" s="813" t="s">
        <v>434</v>
      </c>
      <c r="E586" s="813" t="s">
        <v>14</v>
      </c>
      <c r="F586" s="813" t="s">
        <v>869</v>
      </c>
      <c r="H586" s="819" t="s">
        <v>39</v>
      </c>
      <c r="I586" s="820" t="s">
        <v>20</v>
      </c>
      <c r="J586" s="820" t="s">
        <v>428</v>
      </c>
      <c r="L586" s="821">
        <v>27</v>
      </c>
      <c r="M586" s="637">
        <v>27</v>
      </c>
      <c r="N586" s="637">
        <v>27</v>
      </c>
      <c r="O586" s="821">
        <v>26</v>
      </c>
      <c r="P586" s="637">
        <v>26</v>
      </c>
      <c r="Q586" s="637">
        <v>26</v>
      </c>
      <c r="R586" s="806" t="s">
        <v>507</v>
      </c>
      <c r="T586" s="815" t="s">
        <v>172</v>
      </c>
      <c r="U586" s="900" t="s">
        <v>1220</v>
      </c>
    </row>
    <row r="587" spans="1:21" x14ac:dyDescent="0.25">
      <c r="A587" s="813">
        <v>814</v>
      </c>
      <c r="B587" s="813" t="s">
        <v>366</v>
      </c>
      <c r="C587" s="813" t="s">
        <v>874</v>
      </c>
      <c r="D587" s="813" t="s">
        <v>434</v>
      </c>
      <c r="E587" s="813" t="s">
        <v>14</v>
      </c>
      <c r="F587" s="813" t="s">
        <v>890</v>
      </c>
      <c r="G587" s="813" t="s">
        <v>891</v>
      </c>
      <c r="H587" s="819" t="s">
        <v>39</v>
      </c>
      <c r="I587" s="820" t="s">
        <v>20</v>
      </c>
      <c r="J587" s="820" t="s">
        <v>428</v>
      </c>
      <c r="L587" s="821">
        <v>13</v>
      </c>
      <c r="M587" s="637">
        <v>13</v>
      </c>
      <c r="N587" s="637">
        <v>13</v>
      </c>
      <c r="O587" s="821">
        <v>13</v>
      </c>
      <c r="P587" s="637">
        <v>13</v>
      </c>
      <c r="Q587" s="637">
        <v>13</v>
      </c>
      <c r="R587" s="813" t="s">
        <v>529</v>
      </c>
      <c r="T587" s="815" t="s">
        <v>172</v>
      </c>
      <c r="U587" s="900" t="s">
        <v>1220</v>
      </c>
    </row>
    <row r="588" spans="1:21" x14ac:dyDescent="0.25">
      <c r="A588" s="813">
        <v>815</v>
      </c>
      <c r="B588" s="813" t="s">
        <v>366</v>
      </c>
      <c r="C588" s="813" t="s">
        <v>874</v>
      </c>
      <c r="D588" s="813" t="s">
        <v>434</v>
      </c>
      <c r="E588" s="813" t="s">
        <v>14</v>
      </c>
      <c r="F588" s="813" t="s">
        <v>875</v>
      </c>
      <c r="H588" s="819" t="s">
        <v>39</v>
      </c>
      <c r="I588" s="820" t="s">
        <v>20</v>
      </c>
      <c r="J588" s="820" t="s">
        <v>428</v>
      </c>
      <c r="L588" s="821">
        <v>31</v>
      </c>
      <c r="M588" s="637">
        <v>43</v>
      </c>
      <c r="N588" s="637">
        <v>43</v>
      </c>
      <c r="O588" s="821">
        <v>31</v>
      </c>
      <c r="P588" s="637">
        <v>43</v>
      </c>
      <c r="Q588" s="637">
        <v>43</v>
      </c>
      <c r="R588" s="806" t="s">
        <v>507</v>
      </c>
      <c r="T588" s="815" t="s">
        <v>172</v>
      </c>
      <c r="U588" s="900" t="s">
        <v>1220</v>
      </c>
    </row>
    <row r="589" spans="1:21" x14ac:dyDescent="0.25">
      <c r="A589" s="813">
        <v>816</v>
      </c>
      <c r="B589" s="813" t="s">
        <v>366</v>
      </c>
      <c r="C589" s="813" t="s">
        <v>874</v>
      </c>
      <c r="D589" s="813" t="s">
        <v>434</v>
      </c>
      <c r="E589" s="813" t="s">
        <v>14</v>
      </c>
      <c r="F589" s="813" t="s">
        <v>892</v>
      </c>
      <c r="G589" s="813" t="s">
        <v>893</v>
      </c>
      <c r="H589" s="819" t="s">
        <v>34</v>
      </c>
      <c r="I589" s="820" t="s">
        <v>20</v>
      </c>
      <c r="J589" s="820" t="s">
        <v>428</v>
      </c>
      <c r="L589" s="821">
        <v>1</v>
      </c>
      <c r="M589" s="637">
        <v>1</v>
      </c>
      <c r="N589" s="637">
        <v>1</v>
      </c>
      <c r="O589" s="821">
        <v>1</v>
      </c>
      <c r="P589" s="637">
        <v>1</v>
      </c>
      <c r="Q589" s="637">
        <v>1</v>
      </c>
      <c r="R589" s="813" t="s">
        <v>172</v>
      </c>
      <c r="T589" s="815" t="s">
        <v>172</v>
      </c>
      <c r="U589" s="900" t="s">
        <v>1220</v>
      </c>
    </row>
    <row r="590" spans="1:21" x14ac:dyDescent="0.25">
      <c r="A590" s="813">
        <v>817</v>
      </c>
      <c r="B590" s="813" t="s">
        <v>366</v>
      </c>
      <c r="C590" s="813" t="s">
        <v>874</v>
      </c>
      <c r="D590" s="813" t="s">
        <v>434</v>
      </c>
      <c r="E590" s="813" t="s">
        <v>14</v>
      </c>
      <c r="F590" s="813" t="s">
        <v>868</v>
      </c>
      <c r="G590" s="813" t="s">
        <v>868</v>
      </c>
      <c r="H590" s="819" t="s">
        <v>35</v>
      </c>
      <c r="I590" s="820" t="s">
        <v>20</v>
      </c>
      <c r="J590" s="820" t="s">
        <v>428</v>
      </c>
      <c r="L590" s="821">
        <v>68</v>
      </c>
      <c r="M590" s="637">
        <v>7803</v>
      </c>
      <c r="N590" s="637">
        <v>43597.75</v>
      </c>
      <c r="O590" s="821">
        <v>66</v>
      </c>
      <c r="P590" s="637">
        <v>7787</v>
      </c>
      <c r="Q590" s="637">
        <v>43510</v>
      </c>
      <c r="R590" s="813" t="s">
        <v>172</v>
      </c>
      <c r="T590" s="815" t="s">
        <v>172</v>
      </c>
      <c r="U590" s="900" t="s">
        <v>1220</v>
      </c>
    </row>
    <row r="591" spans="1:21" x14ac:dyDescent="0.25">
      <c r="A591" s="813">
        <v>818</v>
      </c>
      <c r="B591" s="813" t="s">
        <v>366</v>
      </c>
      <c r="C591" s="813" t="s">
        <v>874</v>
      </c>
      <c r="D591" s="813" t="s">
        <v>434</v>
      </c>
      <c r="E591" s="813" t="s">
        <v>14</v>
      </c>
      <c r="F591" s="813" t="s">
        <v>933</v>
      </c>
      <c r="G591" s="813" t="s">
        <v>933</v>
      </c>
      <c r="H591" s="819" t="s">
        <v>37</v>
      </c>
      <c r="I591" s="820" t="s">
        <v>20</v>
      </c>
      <c r="J591" s="820" t="s">
        <v>428</v>
      </c>
      <c r="L591" s="821">
        <v>3</v>
      </c>
      <c r="M591" s="637">
        <v>149</v>
      </c>
      <c r="N591" s="637">
        <v>1937</v>
      </c>
      <c r="O591" s="821">
        <v>3</v>
      </c>
      <c r="P591" s="637">
        <v>149</v>
      </c>
      <c r="Q591" s="637">
        <v>1937</v>
      </c>
      <c r="R591" s="813" t="s">
        <v>172</v>
      </c>
      <c r="T591" s="815">
        <v>13</v>
      </c>
      <c r="U591" s="900" t="s">
        <v>1220</v>
      </c>
    </row>
    <row r="592" spans="1:21" x14ac:dyDescent="0.25">
      <c r="A592" s="813">
        <v>822</v>
      </c>
      <c r="B592" s="813" t="s">
        <v>366</v>
      </c>
      <c r="C592" s="813" t="s">
        <v>876</v>
      </c>
      <c r="D592" s="813" t="s">
        <v>434</v>
      </c>
      <c r="E592" s="813" t="s">
        <v>15</v>
      </c>
      <c r="F592" s="813" t="s">
        <v>863</v>
      </c>
      <c r="G592" s="813" t="s">
        <v>863</v>
      </c>
      <c r="H592" s="819" t="s">
        <v>18</v>
      </c>
      <c r="I592" s="820" t="s">
        <v>15</v>
      </c>
      <c r="J592" s="820" t="s">
        <v>421</v>
      </c>
      <c r="L592" s="821">
        <v>45</v>
      </c>
      <c r="M592" s="637">
        <v>6593</v>
      </c>
      <c r="N592" s="637">
        <v>35128.75</v>
      </c>
      <c r="O592" s="821">
        <v>42</v>
      </c>
      <c r="P592" s="637">
        <v>6527</v>
      </c>
      <c r="Q592" s="637">
        <v>34629.25</v>
      </c>
      <c r="R592" s="813" t="s">
        <v>172</v>
      </c>
      <c r="T592" s="815" t="s">
        <v>172</v>
      </c>
      <c r="U592" s="900" t="s">
        <v>1220</v>
      </c>
    </row>
    <row r="593" spans="1:21" x14ac:dyDescent="0.25">
      <c r="A593" s="813">
        <v>823</v>
      </c>
      <c r="B593" s="813" t="s">
        <v>366</v>
      </c>
      <c r="C593" s="813" t="s">
        <v>894</v>
      </c>
      <c r="D593" s="813" t="s">
        <v>14</v>
      </c>
      <c r="E593" s="813" t="s">
        <v>14</v>
      </c>
      <c r="F593" s="813" t="s">
        <v>885</v>
      </c>
      <c r="G593" s="813" t="s">
        <v>868</v>
      </c>
      <c r="H593" s="819" t="s">
        <v>35</v>
      </c>
      <c r="I593" s="820" t="s">
        <v>20</v>
      </c>
      <c r="J593" s="820" t="s">
        <v>428</v>
      </c>
      <c r="L593" s="821">
        <v>3</v>
      </c>
      <c r="M593" s="637">
        <v>8</v>
      </c>
      <c r="N593" s="637">
        <v>35.75</v>
      </c>
      <c r="O593" s="821">
        <v>3</v>
      </c>
      <c r="P593" s="637">
        <v>8</v>
      </c>
      <c r="Q593" s="637">
        <v>35.75</v>
      </c>
      <c r="R593" s="813" t="s">
        <v>172</v>
      </c>
      <c r="T593" s="815" t="s">
        <v>172</v>
      </c>
      <c r="U593" s="900" t="s">
        <v>1220</v>
      </c>
    </row>
    <row r="594" spans="1:21" x14ac:dyDescent="0.25">
      <c r="A594" s="813">
        <v>824</v>
      </c>
      <c r="B594" s="813" t="s">
        <v>366</v>
      </c>
      <c r="C594" s="813" t="s">
        <v>894</v>
      </c>
      <c r="D594" s="813" t="s">
        <v>14</v>
      </c>
      <c r="E594" s="813" t="s">
        <v>14</v>
      </c>
      <c r="F594" s="813" t="s">
        <v>869</v>
      </c>
      <c r="G594" s="813" t="s">
        <v>895</v>
      </c>
      <c r="H594" s="819" t="s">
        <v>39</v>
      </c>
      <c r="I594" s="820" t="s">
        <v>20</v>
      </c>
      <c r="J594" s="820" t="s">
        <v>428</v>
      </c>
      <c r="L594" s="821">
        <v>1</v>
      </c>
      <c r="M594" s="637">
        <v>1</v>
      </c>
      <c r="N594" s="637">
        <v>1</v>
      </c>
      <c r="O594" s="821">
        <v>1</v>
      </c>
      <c r="P594" s="637">
        <v>1</v>
      </c>
      <c r="Q594" s="637">
        <v>1</v>
      </c>
      <c r="R594" s="806" t="s">
        <v>507</v>
      </c>
      <c r="T594" s="815" t="s">
        <v>172</v>
      </c>
      <c r="U594" s="900" t="s">
        <v>1220</v>
      </c>
    </row>
    <row r="595" spans="1:21" x14ac:dyDescent="0.25">
      <c r="A595" s="813">
        <v>825</v>
      </c>
      <c r="B595" s="813" t="s">
        <v>366</v>
      </c>
      <c r="C595" s="813" t="s">
        <v>894</v>
      </c>
      <c r="D595" s="813" t="s">
        <v>14</v>
      </c>
      <c r="E595" s="813" t="s">
        <v>14</v>
      </c>
      <c r="F595" s="813" t="s">
        <v>896</v>
      </c>
      <c r="G595" s="813" t="s">
        <v>895</v>
      </c>
      <c r="H595" s="819" t="s">
        <v>39</v>
      </c>
      <c r="I595" s="820" t="s">
        <v>20</v>
      </c>
      <c r="J595" s="820" t="s">
        <v>428</v>
      </c>
      <c r="L595" s="821">
        <v>4</v>
      </c>
      <c r="M595" s="637">
        <v>4</v>
      </c>
      <c r="N595" s="637">
        <v>4</v>
      </c>
      <c r="O595" s="821">
        <v>4</v>
      </c>
      <c r="P595" s="637">
        <v>4</v>
      </c>
      <c r="Q595" s="637">
        <v>4</v>
      </c>
      <c r="R595" s="813" t="s">
        <v>529</v>
      </c>
      <c r="T595" s="815" t="s">
        <v>172</v>
      </c>
      <c r="U595" s="900" t="s">
        <v>1220</v>
      </c>
    </row>
    <row r="596" spans="1:21" x14ac:dyDescent="0.25">
      <c r="A596" s="813">
        <v>826</v>
      </c>
      <c r="B596" s="813" t="s">
        <v>366</v>
      </c>
      <c r="C596" s="813" t="s">
        <v>894</v>
      </c>
      <c r="D596" s="813" t="s">
        <v>14</v>
      </c>
      <c r="E596" s="813" t="s">
        <v>14</v>
      </c>
      <c r="F596" s="813" t="s">
        <v>875</v>
      </c>
      <c r="H596" s="819" t="s">
        <v>39</v>
      </c>
      <c r="I596" s="820" t="s">
        <v>20</v>
      </c>
      <c r="J596" s="820" t="s">
        <v>428</v>
      </c>
      <c r="L596" s="821">
        <v>1</v>
      </c>
      <c r="M596" s="637">
        <v>1</v>
      </c>
      <c r="N596" s="637">
        <v>1</v>
      </c>
      <c r="O596" s="821">
        <v>1</v>
      </c>
      <c r="P596" s="637">
        <v>1</v>
      </c>
      <c r="Q596" s="637">
        <v>1</v>
      </c>
      <c r="R596" s="806" t="s">
        <v>507</v>
      </c>
      <c r="T596" s="815" t="s">
        <v>172</v>
      </c>
      <c r="U596" s="900" t="s">
        <v>1220</v>
      </c>
    </row>
    <row r="597" spans="1:21" x14ac:dyDescent="0.25">
      <c r="A597" s="813">
        <v>827</v>
      </c>
      <c r="B597" s="813" t="s">
        <v>1081</v>
      </c>
      <c r="C597" s="813" t="s">
        <v>459</v>
      </c>
      <c r="D597" s="813" t="s">
        <v>13</v>
      </c>
      <c r="E597" s="813" t="s">
        <v>13</v>
      </c>
      <c r="F597" s="813" t="s">
        <v>877</v>
      </c>
      <c r="H597" s="819" t="s">
        <v>391</v>
      </c>
      <c r="I597" s="820" t="s">
        <v>20</v>
      </c>
      <c r="J597" s="820" t="s">
        <v>16</v>
      </c>
      <c r="K597" s="813" t="s">
        <v>13</v>
      </c>
      <c r="L597" s="821">
        <v>6</v>
      </c>
      <c r="M597" s="637">
        <v>331</v>
      </c>
      <c r="N597" s="637">
        <v>1452.75</v>
      </c>
      <c r="O597" s="821">
        <v>5</v>
      </c>
      <c r="P597" s="637">
        <v>322</v>
      </c>
      <c r="Q597" s="637">
        <v>1434.75</v>
      </c>
      <c r="R597" s="813" t="s">
        <v>172</v>
      </c>
      <c r="T597" s="815" t="s">
        <v>172</v>
      </c>
      <c r="U597" s="899" t="s">
        <v>1219</v>
      </c>
    </row>
    <row r="598" spans="1:21" x14ac:dyDescent="0.25">
      <c r="A598" s="813">
        <v>828</v>
      </c>
      <c r="B598" s="813" t="s">
        <v>1081</v>
      </c>
      <c r="C598" s="813" t="s">
        <v>459</v>
      </c>
      <c r="D598" s="813" t="s">
        <v>13</v>
      </c>
      <c r="E598" s="813" t="s">
        <v>13</v>
      </c>
      <c r="F598" s="813" t="s">
        <v>1017</v>
      </c>
      <c r="H598" s="819" t="s">
        <v>391</v>
      </c>
      <c r="I598" s="820" t="s">
        <v>20</v>
      </c>
      <c r="J598" s="820" t="s">
        <v>16</v>
      </c>
      <c r="K598" s="813" t="s">
        <v>13</v>
      </c>
      <c r="L598" s="821">
        <v>2</v>
      </c>
      <c r="M598" s="637">
        <v>20</v>
      </c>
      <c r="N598" s="637">
        <v>80</v>
      </c>
      <c r="O598" s="821">
        <v>1</v>
      </c>
      <c r="P598" s="637">
        <v>10</v>
      </c>
      <c r="Q598" s="637">
        <v>40</v>
      </c>
      <c r="R598" s="813" t="s">
        <v>172</v>
      </c>
      <c r="T598" s="815" t="s">
        <v>172</v>
      </c>
      <c r="U598" s="899" t="s">
        <v>1219</v>
      </c>
    </row>
    <row r="599" spans="1:21" x14ac:dyDescent="0.25">
      <c r="A599" s="813">
        <v>829</v>
      </c>
      <c r="B599" s="813" t="s">
        <v>366</v>
      </c>
      <c r="C599" s="813" t="s">
        <v>935</v>
      </c>
      <c r="D599" s="813" t="s">
        <v>495</v>
      </c>
      <c r="E599" s="813" t="s">
        <v>15</v>
      </c>
      <c r="F599" s="813" t="s">
        <v>936</v>
      </c>
      <c r="G599" s="813" t="s">
        <v>863</v>
      </c>
      <c r="H599" s="819" t="s">
        <v>18</v>
      </c>
      <c r="I599" s="820" t="s">
        <v>15</v>
      </c>
      <c r="J599" s="820" t="s">
        <v>421</v>
      </c>
      <c r="L599" s="821">
        <v>1</v>
      </c>
      <c r="M599" s="637">
        <v>131</v>
      </c>
      <c r="N599" s="637">
        <v>524</v>
      </c>
      <c r="O599" s="821">
        <v>1</v>
      </c>
      <c r="P599" s="637">
        <v>131</v>
      </c>
      <c r="Q599" s="637">
        <v>524</v>
      </c>
      <c r="R599" s="813" t="s">
        <v>172</v>
      </c>
      <c r="T599" s="815" t="s">
        <v>172</v>
      </c>
      <c r="U599" s="900" t="s">
        <v>1220</v>
      </c>
    </row>
    <row r="600" spans="1:21" x14ac:dyDescent="0.25">
      <c r="A600" s="813">
        <v>831</v>
      </c>
      <c r="B600" s="813" t="s">
        <v>366</v>
      </c>
      <c r="C600" s="813" t="s">
        <v>937</v>
      </c>
      <c r="D600" s="813" t="s">
        <v>14</v>
      </c>
      <c r="E600" s="813" t="s">
        <v>14</v>
      </c>
      <c r="F600" s="813" t="s">
        <v>885</v>
      </c>
      <c r="G600" s="813" t="s">
        <v>868</v>
      </c>
      <c r="H600" s="819" t="s">
        <v>35</v>
      </c>
      <c r="I600" s="820" t="s">
        <v>20</v>
      </c>
      <c r="J600" s="820" t="s">
        <v>428</v>
      </c>
      <c r="L600" s="821">
        <v>2</v>
      </c>
      <c r="M600" s="637">
        <v>393</v>
      </c>
      <c r="N600" s="637">
        <v>2860.25</v>
      </c>
      <c r="O600" s="821">
        <v>2</v>
      </c>
      <c r="P600" s="637">
        <v>393</v>
      </c>
      <c r="Q600" s="637">
        <v>2860.25</v>
      </c>
      <c r="R600" s="813" t="s">
        <v>172</v>
      </c>
      <c r="T600" s="815" t="s">
        <v>172</v>
      </c>
      <c r="U600" s="900" t="s">
        <v>1220</v>
      </c>
    </row>
    <row r="601" spans="1:21" x14ac:dyDescent="0.25">
      <c r="A601" s="813">
        <v>832</v>
      </c>
      <c r="B601" s="813" t="s">
        <v>366</v>
      </c>
      <c r="C601" s="813" t="s">
        <v>937</v>
      </c>
      <c r="D601" s="813" t="s">
        <v>14</v>
      </c>
      <c r="E601" s="813" t="s">
        <v>14</v>
      </c>
      <c r="F601" s="813" t="s">
        <v>869</v>
      </c>
      <c r="H601" s="819" t="s">
        <v>39</v>
      </c>
      <c r="I601" s="820" t="s">
        <v>20</v>
      </c>
      <c r="J601" s="820" t="s">
        <v>428</v>
      </c>
      <c r="L601" s="821">
        <v>1</v>
      </c>
      <c r="M601" s="637">
        <v>2</v>
      </c>
      <c r="N601" s="637">
        <v>2</v>
      </c>
      <c r="O601" s="821">
        <v>1</v>
      </c>
      <c r="P601" s="637">
        <v>2</v>
      </c>
      <c r="Q601" s="637">
        <v>2</v>
      </c>
      <c r="R601" s="806" t="s">
        <v>507</v>
      </c>
      <c r="T601" s="815" t="s">
        <v>172</v>
      </c>
      <c r="U601" s="900" t="s">
        <v>1220</v>
      </c>
    </row>
    <row r="602" spans="1:21" x14ac:dyDescent="0.25">
      <c r="A602" s="813">
        <v>833</v>
      </c>
      <c r="B602" s="813" t="s">
        <v>366</v>
      </c>
      <c r="C602" s="813" t="s">
        <v>937</v>
      </c>
      <c r="D602" s="813" t="s">
        <v>14</v>
      </c>
      <c r="E602" s="813" t="s">
        <v>14</v>
      </c>
      <c r="F602" s="813" t="s">
        <v>875</v>
      </c>
      <c r="H602" s="819" t="s">
        <v>39</v>
      </c>
      <c r="I602" s="820" t="s">
        <v>20</v>
      </c>
      <c r="J602" s="820" t="s">
        <v>428</v>
      </c>
      <c r="L602" s="821">
        <v>1</v>
      </c>
      <c r="M602" s="637">
        <v>2</v>
      </c>
      <c r="N602" s="637">
        <v>2</v>
      </c>
      <c r="O602" s="821">
        <v>1</v>
      </c>
      <c r="P602" s="637">
        <v>2</v>
      </c>
      <c r="Q602" s="637">
        <v>2</v>
      </c>
      <c r="R602" s="806" t="s">
        <v>507</v>
      </c>
      <c r="T602" s="815" t="s">
        <v>172</v>
      </c>
      <c r="U602" s="900" t="s">
        <v>1220</v>
      </c>
    </row>
    <row r="603" spans="1:21" x14ac:dyDescent="0.25">
      <c r="A603" s="813">
        <v>836</v>
      </c>
      <c r="B603" s="813" t="s">
        <v>366</v>
      </c>
      <c r="C603" s="813" t="s">
        <v>938</v>
      </c>
      <c r="D603" s="813" t="s">
        <v>495</v>
      </c>
      <c r="E603" s="813" t="s">
        <v>15</v>
      </c>
      <c r="F603" s="813" t="s">
        <v>939</v>
      </c>
      <c r="G603" s="813" t="s">
        <v>863</v>
      </c>
      <c r="H603" s="819" t="s">
        <v>18</v>
      </c>
      <c r="I603" s="820" t="s">
        <v>15</v>
      </c>
      <c r="J603" s="820" t="s">
        <v>421</v>
      </c>
      <c r="L603" s="821">
        <v>5</v>
      </c>
      <c r="M603" s="637">
        <v>996</v>
      </c>
      <c r="N603" s="637">
        <v>4957.25</v>
      </c>
      <c r="O603" s="821">
        <v>5</v>
      </c>
      <c r="P603" s="637">
        <v>996</v>
      </c>
      <c r="Q603" s="637">
        <v>4957.25</v>
      </c>
      <c r="R603" s="813" t="s">
        <v>172</v>
      </c>
      <c r="T603" s="815" t="s">
        <v>172</v>
      </c>
      <c r="U603" s="900" t="s">
        <v>1220</v>
      </c>
    </row>
    <row r="604" spans="1:21" x14ac:dyDescent="0.25">
      <c r="A604" s="813">
        <v>839</v>
      </c>
      <c r="B604" s="813" t="s">
        <v>366</v>
      </c>
      <c r="C604" s="813" t="s">
        <v>940</v>
      </c>
      <c r="D604" s="813" t="s">
        <v>495</v>
      </c>
      <c r="E604" s="813" t="s">
        <v>14</v>
      </c>
      <c r="F604" s="813" t="s">
        <v>885</v>
      </c>
      <c r="G604" s="813" t="s">
        <v>868</v>
      </c>
      <c r="H604" s="819" t="s">
        <v>35</v>
      </c>
      <c r="I604" s="820" t="s">
        <v>20</v>
      </c>
      <c r="J604" s="820" t="s">
        <v>428</v>
      </c>
      <c r="L604" s="821">
        <v>12</v>
      </c>
      <c r="M604" s="637">
        <v>942</v>
      </c>
      <c r="N604" s="637">
        <v>3817.5</v>
      </c>
      <c r="O604" s="821">
        <v>8</v>
      </c>
      <c r="P604" s="637">
        <v>817</v>
      </c>
      <c r="Q604" s="637">
        <v>3114.5</v>
      </c>
      <c r="R604" s="813" t="s">
        <v>172</v>
      </c>
      <c r="T604" s="815" t="s">
        <v>172</v>
      </c>
      <c r="U604" s="900" t="s">
        <v>1220</v>
      </c>
    </row>
    <row r="605" spans="1:21" x14ac:dyDescent="0.25">
      <c r="A605" s="813">
        <v>840</v>
      </c>
      <c r="B605" s="813" t="s">
        <v>366</v>
      </c>
      <c r="C605" s="813" t="s">
        <v>940</v>
      </c>
      <c r="D605" s="813" t="s">
        <v>495</v>
      </c>
      <c r="E605" s="813" t="s">
        <v>14</v>
      </c>
      <c r="F605" s="813" t="s">
        <v>869</v>
      </c>
      <c r="H605" s="819" t="s">
        <v>39</v>
      </c>
      <c r="I605" s="820" t="s">
        <v>20</v>
      </c>
      <c r="J605" s="820" t="s">
        <v>428</v>
      </c>
      <c r="L605" s="821">
        <v>7</v>
      </c>
      <c r="M605" s="637">
        <v>7</v>
      </c>
      <c r="N605" s="637">
        <v>7</v>
      </c>
      <c r="O605" s="821">
        <v>5</v>
      </c>
      <c r="P605" s="637">
        <v>5</v>
      </c>
      <c r="Q605" s="637">
        <v>5</v>
      </c>
      <c r="R605" s="806" t="s">
        <v>507</v>
      </c>
      <c r="T605" s="815" t="s">
        <v>172</v>
      </c>
      <c r="U605" s="900" t="s">
        <v>1220</v>
      </c>
    </row>
    <row r="606" spans="1:21" x14ac:dyDescent="0.25">
      <c r="A606" s="813">
        <v>841</v>
      </c>
      <c r="B606" s="813" t="s">
        <v>366</v>
      </c>
      <c r="C606" s="813" t="s">
        <v>940</v>
      </c>
      <c r="D606" s="813" t="s">
        <v>495</v>
      </c>
      <c r="E606" s="813" t="s">
        <v>14</v>
      </c>
      <c r="F606" s="813" t="s">
        <v>875</v>
      </c>
      <c r="H606" s="819" t="s">
        <v>39</v>
      </c>
      <c r="I606" s="820" t="s">
        <v>20</v>
      </c>
      <c r="J606" s="820" t="s">
        <v>428</v>
      </c>
      <c r="L606" s="821">
        <v>4</v>
      </c>
      <c r="M606" s="637">
        <v>6</v>
      </c>
      <c r="N606" s="637">
        <v>6</v>
      </c>
      <c r="O606" s="821">
        <v>4</v>
      </c>
      <c r="P606" s="637">
        <v>6</v>
      </c>
      <c r="Q606" s="637">
        <v>6</v>
      </c>
      <c r="R606" s="806" t="s">
        <v>507</v>
      </c>
      <c r="T606" s="815" t="s">
        <v>172</v>
      </c>
      <c r="U606" s="900" t="s">
        <v>1220</v>
      </c>
    </row>
    <row r="607" spans="1:21" x14ac:dyDescent="0.25">
      <c r="A607" s="813">
        <v>842</v>
      </c>
      <c r="B607" s="813" t="s">
        <v>366</v>
      </c>
      <c r="C607" s="813" t="s">
        <v>941</v>
      </c>
      <c r="D607" s="813" t="s">
        <v>13</v>
      </c>
      <c r="E607" s="813" t="s">
        <v>14</v>
      </c>
      <c r="F607" s="813" t="s">
        <v>869</v>
      </c>
      <c r="H607" s="819" t="s">
        <v>39</v>
      </c>
      <c r="I607" s="820" t="s">
        <v>20</v>
      </c>
      <c r="J607" s="820" t="s">
        <v>428</v>
      </c>
      <c r="L607" s="821">
        <v>27</v>
      </c>
      <c r="M607" s="637">
        <v>27</v>
      </c>
      <c r="N607" s="637">
        <v>27</v>
      </c>
      <c r="O607" s="821">
        <v>27</v>
      </c>
      <c r="P607" s="637">
        <v>27</v>
      </c>
      <c r="Q607" s="637">
        <v>27</v>
      </c>
      <c r="R607" s="806" t="s">
        <v>507</v>
      </c>
      <c r="T607" s="815" t="s">
        <v>172</v>
      </c>
      <c r="U607" s="900" t="s">
        <v>1220</v>
      </c>
    </row>
    <row r="608" spans="1:21" x14ac:dyDescent="0.25">
      <c r="A608" s="813">
        <v>843</v>
      </c>
      <c r="B608" s="813" t="s">
        <v>366</v>
      </c>
      <c r="C608" s="813" t="s">
        <v>941</v>
      </c>
      <c r="D608" s="813" t="s">
        <v>13</v>
      </c>
      <c r="E608" s="813" t="s">
        <v>14</v>
      </c>
      <c r="F608" s="813" t="s">
        <v>875</v>
      </c>
      <c r="H608" s="819" t="s">
        <v>39</v>
      </c>
      <c r="I608" s="820" t="s">
        <v>20</v>
      </c>
      <c r="J608" s="820" t="s">
        <v>428</v>
      </c>
      <c r="L608" s="821">
        <v>27</v>
      </c>
      <c r="M608" s="637">
        <v>40</v>
      </c>
      <c r="N608" s="637">
        <v>40</v>
      </c>
      <c r="O608" s="821">
        <v>26</v>
      </c>
      <c r="P608" s="637">
        <v>39</v>
      </c>
      <c r="Q608" s="637">
        <v>39</v>
      </c>
      <c r="R608" s="806" t="s">
        <v>507</v>
      </c>
      <c r="T608" s="815" t="s">
        <v>172</v>
      </c>
      <c r="U608" s="900" t="s">
        <v>1220</v>
      </c>
    </row>
    <row r="609" spans="1:21" x14ac:dyDescent="0.25">
      <c r="A609" s="813">
        <v>844</v>
      </c>
      <c r="B609" s="813" t="s">
        <v>366</v>
      </c>
      <c r="C609" s="813" t="s">
        <v>941</v>
      </c>
      <c r="D609" s="813" t="s">
        <v>13</v>
      </c>
      <c r="E609" s="813" t="s">
        <v>14</v>
      </c>
      <c r="F609" s="813" t="s">
        <v>892</v>
      </c>
      <c r="G609" s="813" t="s">
        <v>892</v>
      </c>
      <c r="H609" s="819" t="s">
        <v>34</v>
      </c>
      <c r="I609" s="820" t="s">
        <v>20</v>
      </c>
      <c r="J609" s="820" t="s">
        <v>428</v>
      </c>
      <c r="L609" s="821">
        <v>1</v>
      </c>
      <c r="M609" s="637">
        <v>24</v>
      </c>
      <c r="N609" s="637">
        <v>70</v>
      </c>
      <c r="O609" s="821">
        <v>1</v>
      </c>
      <c r="P609" s="637">
        <v>24</v>
      </c>
      <c r="Q609" s="637">
        <v>70</v>
      </c>
      <c r="R609" s="813" t="s">
        <v>172</v>
      </c>
      <c r="T609" s="815" t="s">
        <v>172</v>
      </c>
      <c r="U609" s="900" t="s">
        <v>1220</v>
      </c>
    </row>
    <row r="610" spans="1:21" x14ac:dyDescent="0.25">
      <c r="A610" s="813">
        <v>845</v>
      </c>
      <c r="B610" s="813" t="s">
        <v>366</v>
      </c>
      <c r="C610" s="813" t="s">
        <v>941</v>
      </c>
      <c r="D610" s="813" t="s">
        <v>13</v>
      </c>
      <c r="E610" s="813" t="s">
        <v>14</v>
      </c>
      <c r="F610" s="813" t="s">
        <v>868</v>
      </c>
      <c r="G610" s="813" t="s">
        <v>868</v>
      </c>
      <c r="H610" s="819" t="s">
        <v>35</v>
      </c>
      <c r="I610" s="820" t="s">
        <v>20</v>
      </c>
      <c r="J610" s="820" t="s">
        <v>428</v>
      </c>
      <c r="L610" s="821">
        <v>57</v>
      </c>
      <c r="M610" s="637">
        <v>5319</v>
      </c>
      <c r="N610" s="637">
        <v>30935.75</v>
      </c>
      <c r="O610" s="821">
        <v>54</v>
      </c>
      <c r="P610" s="637">
        <v>5144</v>
      </c>
      <c r="Q610" s="637">
        <v>30015</v>
      </c>
      <c r="R610" s="813" t="s">
        <v>172</v>
      </c>
      <c r="T610" s="815" t="s">
        <v>172</v>
      </c>
      <c r="U610" s="900" t="s">
        <v>1220</v>
      </c>
    </row>
    <row r="611" spans="1:21" x14ac:dyDescent="0.25">
      <c r="A611" s="813">
        <v>848</v>
      </c>
      <c r="B611" s="813" t="s">
        <v>366</v>
      </c>
      <c r="C611" s="813" t="s">
        <v>943</v>
      </c>
      <c r="D611" s="813" t="s">
        <v>13</v>
      </c>
      <c r="E611" s="813" t="s">
        <v>15</v>
      </c>
      <c r="F611" s="813" t="s">
        <v>863</v>
      </c>
      <c r="G611" s="813" t="s">
        <v>863</v>
      </c>
      <c r="H611" s="819" t="s">
        <v>18</v>
      </c>
      <c r="I611" s="820" t="s">
        <v>15</v>
      </c>
      <c r="J611" s="820" t="s">
        <v>421</v>
      </c>
      <c r="L611" s="821">
        <v>40</v>
      </c>
      <c r="M611" s="637">
        <v>4058</v>
      </c>
      <c r="N611" s="637">
        <v>22544.5</v>
      </c>
      <c r="O611" s="821">
        <v>40</v>
      </c>
      <c r="P611" s="637">
        <v>4058</v>
      </c>
      <c r="Q611" s="637">
        <v>22544.5</v>
      </c>
      <c r="R611" s="813" t="s">
        <v>172</v>
      </c>
      <c r="T611" s="815" t="s">
        <v>172</v>
      </c>
      <c r="U611" s="900" t="s">
        <v>1220</v>
      </c>
    </row>
    <row r="612" spans="1:21" x14ac:dyDescent="0.25">
      <c r="A612" s="813">
        <v>849</v>
      </c>
      <c r="B612" s="813" t="s">
        <v>366</v>
      </c>
      <c r="C612" s="813" t="s">
        <v>945</v>
      </c>
      <c r="D612" s="813" t="s">
        <v>495</v>
      </c>
      <c r="E612" s="813" t="s">
        <v>14</v>
      </c>
      <c r="F612" s="813" t="s">
        <v>869</v>
      </c>
      <c r="H612" s="819" t="s">
        <v>39</v>
      </c>
      <c r="I612" s="820" t="s">
        <v>20</v>
      </c>
      <c r="J612" s="820" t="s">
        <v>428</v>
      </c>
      <c r="L612" s="821">
        <v>1</v>
      </c>
      <c r="M612" s="637">
        <v>1</v>
      </c>
      <c r="N612" s="637">
        <v>1</v>
      </c>
      <c r="O612" s="821">
        <v>0</v>
      </c>
      <c r="P612" s="637">
        <v>0</v>
      </c>
      <c r="Q612" s="637">
        <v>0</v>
      </c>
      <c r="R612" s="806" t="s">
        <v>507</v>
      </c>
      <c r="T612" s="815" t="s">
        <v>172</v>
      </c>
      <c r="U612" s="900" t="s">
        <v>1220</v>
      </c>
    </row>
    <row r="613" spans="1:21" x14ac:dyDescent="0.25">
      <c r="A613" s="813">
        <v>850</v>
      </c>
      <c r="B613" s="813" t="s">
        <v>366</v>
      </c>
      <c r="C613" s="813" t="s">
        <v>878</v>
      </c>
      <c r="D613" s="813" t="s">
        <v>434</v>
      </c>
      <c r="E613" s="813" t="s">
        <v>244</v>
      </c>
      <c r="F613" s="813" t="s">
        <v>1020</v>
      </c>
      <c r="G613" s="813" t="s">
        <v>880</v>
      </c>
      <c r="H613" s="819" t="s">
        <v>390</v>
      </c>
      <c r="I613" s="820" t="s">
        <v>20</v>
      </c>
      <c r="J613" s="820" t="s">
        <v>16</v>
      </c>
      <c r="L613" s="821">
        <v>1</v>
      </c>
      <c r="M613" s="637">
        <v>1</v>
      </c>
      <c r="N613" s="637">
        <v>0.5</v>
      </c>
      <c r="O613" s="821">
        <v>1</v>
      </c>
      <c r="P613" s="637">
        <v>1</v>
      </c>
      <c r="Q613" s="637">
        <v>0.5</v>
      </c>
      <c r="R613" s="813" t="s">
        <v>172</v>
      </c>
      <c r="T613" s="815" t="s">
        <v>172</v>
      </c>
      <c r="U613" s="899" t="s">
        <v>1219</v>
      </c>
    </row>
    <row r="614" spans="1:21" x14ac:dyDescent="0.25">
      <c r="A614" s="813">
        <v>851</v>
      </c>
      <c r="B614" s="813" t="s">
        <v>366</v>
      </c>
      <c r="C614" s="813" t="s">
        <v>878</v>
      </c>
      <c r="D614" s="813" t="s">
        <v>434</v>
      </c>
      <c r="E614" s="813" t="s">
        <v>244</v>
      </c>
      <c r="F614" s="813" t="s">
        <v>879</v>
      </c>
      <c r="G614" s="813" t="s">
        <v>880</v>
      </c>
      <c r="H614" s="819" t="s">
        <v>390</v>
      </c>
      <c r="I614" s="820" t="s">
        <v>20</v>
      </c>
      <c r="J614" s="820" t="s">
        <v>16</v>
      </c>
      <c r="L614" s="821">
        <v>55</v>
      </c>
      <c r="M614" s="637">
        <v>22079</v>
      </c>
      <c r="N614" s="637">
        <v>248862.5</v>
      </c>
      <c r="O614" s="821">
        <v>54</v>
      </c>
      <c r="P614" s="637">
        <v>22016</v>
      </c>
      <c r="Q614" s="637">
        <v>248122</v>
      </c>
      <c r="R614" s="813" t="s">
        <v>172</v>
      </c>
      <c r="T614" s="815" t="s">
        <v>172</v>
      </c>
      <c r="U614" s="899" t="s">
        <v>1219</v>
      </c>
    </row>
    <row r="615" spans="1:21" x14ac:dyDescent="0.25">
      <c r="A615" s="813">
        <v>852</v>
      </c>
      <c r="B615" s="813" t="s">
        <v>366</v>
      </c>
      <c r="C615" s="813" t="s">
        <v>878</v>
      </c>
      <c r="D615" s="813" t="s">
        <v>434</v>
      </c>
      <c r="E615" s="813" t="s">
        <v>244</v>
      </c>
      <c r="F615" s="813" t="s">
        <v>1021</v>
      </c>
      <c r="G615" s="813" t="s">
        <v>880</v>
      </c>
      <c r="H615" s="819" t="s">
        <v>390</v>
      </c>
      <c r="I615" s="820" t="s">
        <v>20</v>
      </c>
      <c r="J615" s="820" t="s">
        <v>16</v>
      </c>
      <c r="L615" s="821">
        <v>1</v>
      </c>
      <c r="M615" s="637">
        <v>107</v>
      </c>
      <c r="N615" s="637">
        <v>1261.5</v>
      </c>
      <c r="O615" s="821">
        <v>1</v>
      </c>
      <c r="P615" s="637">
        <v>107</v>
      </c>
      <c r="Q615" s="637">
        <v>1261.5</v>
      </c>
      <c r="R615" s="813" t="s">
        <v>172</v>
      </c>
      <c r="T615" s="815" t="s">
        <v>172</v>
      </c>
      <c r="U615" s="899" t="s">
        <v>1219</v>
      </c>
    </row>
    <row r="616" spans="1:21" x14ac:dyDescent="0.25">
      <c r="A616" s="813">
        <v>853</v>
      </c>
      <c r="B616" s="813" t="s">
        <v>366</v>
      </c>
      <c r="C616" s="813" t="s">
        <v>878</v>
      </c>
      <c r="D616" s="813" t="s">
        <v>434</v>
      </c>
      <c r="E616" s="813" t="s">
        <v>244</v>
      </c>
      <c r="F616" s="813" t="s">
        <v>881</v>
      </c>
      <c r="G616" s="813" t="s">
        <v>882</v>
      </c>
      <c r="H616" s="819" t="s">
        <v>390</v>
      </c>
      <c r="I616" s="820" t="s">
        <v>20</v>
      </c>
      <c r="J616" s="820" t="s">
        <v>16</v>
      </c>
      <c r="L616" s="821">
        <v>31</v>
      </c>
      <c r="M616" s="637">
        <v>31</v>
      </c>
      <c r="N616" s="637">
        <v>30</v>
      </c>
      <c r="O616" s="821">
        <v>31</v>
      </c>
      <c r="P616" s="637">
        <v>31</v>
      </c>
      <c r="Q616" s="637">
        <v>31</v>
      </c>
      <c r="T616" s="815" t="s">
        <v>172</v>
      </c>
      <c r="U616" s="899" t="s">
        <v>1219</v>
      </c>
    </row>
    <row r="617" spans="1:21" x14ac:dyDescent="0.25">
      <c r="A617" s="813">
        <v>854</v>
      </c>
      <c r="B617" s="813" t="s">
        <v>366</v>
      </c>
      <c r="C617" s="813" t="s">
        <v>878</v>
      </c>
      <c r="D617" s="813" t="s">
        <v>434</v>
      </c>
      <c r="E617" s="813" t="s">
        <v>244</v>
      </c>
      <c r="F617" s="813" t="s">
        <v>889</v>
      </c>
      <c r="H617" s="819" t="s">
        <v>390</v>
      </c>
      <c r="I617" s="820" t="s">
        <v>20</v>
      </c>
      <c r="J617" s="820" t="s">
        <v>16</v>
      </c>
      <c r="L617" s="821">
        <v>3</v>
      </c>
      <c r="M617" s="637">
        <v>3</v>
      </c>
      <c r="N617" s="637">
        <v>3</v>
      </c>
      <c r="O617" s="821">
        <v>3</v>
      </c>
      <c r="P617" s="637">
        <v>3</v>
      </c>
      <c r="Q617" s="637">
        <v>3</v>
      </c>
      <c r="T617" s="815" t="s">
        <v>172</v>
      </c>
      <c r="U617" s="899" t="s">
        <v>1219</v>
      </c>
    </row>
    <row r="618" spans="1:21" x14ac:dyDescent="0.25">
      <c r="A618" s="813">
        <v>855</v>
      </c>
      <c r="B618" s="813" t="s">
        <v>366</v>
      </c>
      <c r="C618" s="813" t="s">
        <v>878</v>
      </c>
      <c r="D618" s="813" t="s">
        <v>434</v>
      </c>
      <c r="E618" s="813" t="s">
        <v>244</v>
      </c>
      <c r="F618" s="813" t="s">
        <v>869</v>
      </c>
      <c r="H618" s="819" t="s">
        <v>390</v>
      </c>
      <c r="I618" s="820" t="s">
        <v>20</v>
      </c>
      <c r="J618" s="820" t="s">
        <v>16</v>
      </c>
      <c r="L618" s="821">
        <v>3</v>
      </c>
      <c r="M618" s="637">
        <v>3</v>
      </c>
      <c r="N618" s="637">
        <v>2.5</v>
      </c>
      <c r="O618" s="821">
        <v>3</v>
      </c>
      <c r="P618" s="637">
        <v>3</v>
      </c>
      <c r="Q618" s="637">
        <v>3</v>
      </c>
      <c r="T618" s="815" t="s">
        <v>172</v>
      </c>
      <c r="U618" s="899" t="s">
        <v>1219</v>
      </c>
    </row>
    <row r="619" spans="1:21" x14ac:dyDescent="0.25">
      <c r="A619" s="813">
        <v>856</v>
      </c>
      <c r="B619" s="813" t="s">
        <v>366</v>
      </c>
      <c r="C619" s="813" t="s">
        <v>878</v>
      </c>
      <c r="D619" s="813" t="s">
        <v>434</v>
      </c>
      <c r="E619" s="813" t="s">
        <v>244</v>
      </c>
      <c r="F619" s="813" t="s">
        <v>875</v>
      </c>
      <c r="H619" s="819" t="s">
        <v>390</v>
      </c>
      <c r="I619" s="820" t="s">
        <v>20</v>
      </c>
      <c r="J619" s="820" t="s">
        <v>16</v>
      </c>
      <c r="L619" s="821">
        <v>2</v>
      </c>
      <c r="M619" s="637">
        <v>2</v>
      </c>
      <c r="N619" s="637">
        <v>2</v>
      </c>
      <c r="O619" s="821">
        <v>2</v>
      </c>
      <c r="P619" s="637">
        <v>2</v>
      </c>
      <c r="Q619" s="637">
        <v>2</v>
      </c>
      <c r="T619" s="815" t="s">
        <v>172</v>
      </c>
      <c r="U619" s="899" t="s">
        <v>1219</v>
      </c>
    </row>
    <row r="620" spans="1:21" x14ac:dyDescent="0.25">
      <c r="A620" s="813">
        <v>857</v>
      </c>
      <c r="B620" s="813" t="s">
        <v>366</v>
      </c>
      <c r="C620" s="813" t="s">
        <v>878</v>
      </c>
      <c r="D620" s="813" t="s">
        <v>434</v>
      </c>
      <c r="E620" s="813" t="s">
        <v>244</v>
      </c>
      <c r="F620" s="813" t="s">
        <v>883</v>
      </c>
      <c r="G620" s="813" t="s">
        <v>882</v>
      </c>
      <c r="H620" s="819" t="s">
        <v>390</v>
      </c>
      <c r="I620" s="820" t="s">
        <v>20</v>
      </c>
      <c r="J620" s="820" t="s">
        <v>16</v>
      </c>
      <c r="L620" s="821">
        <v>48</v>
      </c>
      <c r="M620" s="637">
        <v>70</v>
      </c>
      <c r="N620" s="637">
        <v>68.5</v>
      </c>
      <c r="O620" s="821">
        <v>47</v>
      </c>
      <c r="P620" s="637">
        <v>69</v>
      </c>
      <c r="Q620" s="637">
        <v>69</v>
      </c>
      <c r="T620" s="815" t="s">
        <v>172</v>
      </c>
      <c r="U620" s="899" t="s">
        <v>1219</v>
      </c>
    </row>
    <row r="621" spans="1:21" x14ac:dyDescent="0.25">
      <c r="A621" s="813">
        <v>858</v>
      </c>
      <c r="B621" s="813" t="s">
        <v>366</v>
      </c>
      <c r="C621" s="813" t="s">
        <v>492</v>
      </c>
      <c r="D621" s="813" t="s">
        <v>16</v>
      </c>
      <c r="E621" s="813" t="s">
        <v>82</v>
      </c>
      <c r="F621" s="813" t="s">
        <v>885</v>
      </c>
      <c r="H621" s="819" t="s">
        <v>374</v>
      </c>
      <c r="I621" s="820" t="s">
        <v>20</v>
      </c>
      <c r="J621" s="820" t="s">
        <v>248</v>
      </c>
      <c r="L621" s="821">
        <v>30</v>
      </c>
      <c r="M621" s="637">
        <v>60</v>
      </c>
      <c r="N621" s="637">
        <v>233.5</v>
      </c>
      <c r="O621" s="821">
        <v>30</v>
      </c>
      <c r="P621" s="637">
        <v>60</v>
      </c>
      <c r="Q621" s="637">
        <v>233.5</v>
      </c>
      <c r="R621" s="813" t="s">
        <v>172</v>
      </c>
      <c r="T621" s="815" t="s">
        <v>172</v>
      </c>
      <c r="U621" s="899" t="s">
        <v>1219</v>
      </c>
    </row>
    <row r="622" spans="1:21" x14ac:dyDescent="0.25">
      <c r="A622" s="813">
        <v>860</v>
      </c>
      <c r="B622" s="813" t="s">
        <v>366</v>
      </c>
      <c r="C622" s="813" t="s">
        <v>493</v>
      </c>
      <c r="D622" s="813" t="s">
        <v>14</v>
      </c>
      <c r="E622" s="813" t="s">
        <v>15</v>
      </c>
      <c r="F622" s="813" t="s">
        <v>898</v>
      </c>
      <c r="G622" s="813" t="s">
        <v>863</v>
      </c>
      <c r="H622" s="819" t="s">
        <v>18</v>
      </c>
      <c r="I622" s="820" t="s">
        <v>15</v>
      </c>
      <c r="J622" s="820" t="s">
        <v>421</v>
      </c>
      <c r="L622" s="821">
        <v>1</v>
      </c>
      <c r="M622" s="637">
        <v>218</v>
      </c>
      <c r="N622" s="637">
        <v>646.5</v>
      </c>
      <c r="O622" s="821">
        <v>1</v>
      </c>
      <c r="P622" s="637">
        <v>218</v>
      </c>
      <c r="Q622" s="637">
        <v>646.5</v>
      </c>
      <c r="R622" s="813" t="s">
        <v>172</v>
      </c>
      <c r="T622" s="815" t="s">
        <v>172</v>
      </c>
      <c r="U622" s="900" t="s">
        <v>1220</v>
      </c>
    </row>
    <row r="623" spans="1:21" x14ac:dyDescent="0.25">
      <c r="A623" s="813">
        <v>861</v>
      </c>
      <c r="B623" s="813" t="s">
        <v>366</v>
      </c>
      <c r="C623" s="813" t="s">
        <v>464</v>
      </c>
      <c r="D623" s="813" t="s">
        <v>13</v>
      </c>
      <c r="E623" s="813" t="s">
        <v>13</v>
      </c>
      <c r="F623" s="813" t="s">
        <v>948</v>
      </c>
      <c r="G623" s="813" t="s">
        <v>949</v>
      </c>
      <c r="H623" s="819" t="s">
        <v>391</v>
      </c>
      <c r="I623" s="820" t="s">
        <v>20</v>
      </c>
      <c r="J623" s="820" t="s">
        <v>16</v>
      </c>
      <c r="K623" s="813" t="s">
        <v>13</v>
      </c>
      <c r="L623" s="821">
        <v>2</v>
      </c>
      <c r="M623" s="637">
        <v>331</v>
      </c>
      <c r="N623" s="637">
        <v>2495.25</v>
      </c>
      <c r="O623" s="821">
        <v>2</v>
      </c>
      <c r="P623" s="637">
        <v>331</v>
      </c>
      <c r="Q623" s="637">
        <v>2495.25</v>
      </c>
      <c r="R623" s="813" t="s">
        <v>172</v>
      </c>
      <c r="T623" s="815" t="s">
        <v>172</v>
      </c>
      <c r="U623" s="899" t="s">
        <v>1219</v>
      </c>
    </row>
    <row r="624" spans="1:21" x14ac:dyDescent="0.25">
      <c r="A624" s="813">
        <v>862</v>
      </c>
      <c r="B624" s="813" t="s">
        <v>366</v>
      </c>
      <c r="C624" s="813" t="s">
        <v>248</v>
      </c>
      <c r="D624" s="813" t="s">
        <v>16</v>
      </c>
      <c r="E624" s="813" t="s">
        <v>884</v>
      </c>
      <c r="F624" s="813" t="s">
        <v>885</v>
      </c>
      <c r="H624" s="819" t="s">
        <v>374</v>
      </c>
      <c r="I624" s="820" t="s">
        <v>20</v>
      </c>
      <c r="J624" s="820" t="s">
        <v>248</v>
      </c>
      <c r="L624" s="821">
        <v>3</v>
      </c>
      <c r="M624" s="637">
        <v>63</v>
      </c>
      <c r="N624" s="637">
        <v>571.5</v>
      </c>
      <c r="O624" s="821">
        <v>2</v>
      </c>
      <c r="P624" s="637">
        <v>2</v>
      </c>
      <c r="Q624" s="637">
        <v>2.5</v>
      </c>
      <c r="R624" s="813" t="s">
        <v>172</v>
      </c>
      <c r="T624" s="815" t="s">
        <v>172</v>
      </c>
      <c r="U624" s="899" t="s">
        <v>1219</v>
      </c>
    </row>
    <row r="625" spans="1:21" x14ac:dyDescent="0.25">
      <c r="A625" s="813">
        <v>863</v>
      </c>
      <c r="B625" s="813" t="s">
        <v>366</v>
      </c>
      <c r="C625" s="813" t="s">
        <v>905</v>
      </c>
      <c r="D625" s="813" t="s">
        <v>16</v>
      </c>
      <c r="E625" s="813" t="s">
        <v>884</v>
      </c>
      <c r="F625" s="813" t="s">
        <v>922</v>
      </c>
      <c r="H625" s="819" t="s">
        <v>374</v>
      </c>
      <c r="I625" s="820" t="s">
        <v>20</v>
      </c>
      <c r="J625" s="820" t="s">
        <v>248</v>
      </c>
      <c r="L625" s="821">
        <v>1</v>
      </c>
      <c r="M625" s="637">
        <v>362</v>
      </c>
      <c r="N625" s="637">
        <v>4275.75</v>
      </c>
      <c r="O625" s="821">
        <v>1</v>
      </c>
      <c r="P625" s="637">
        <v>362</v>
      </c>
      <c r="Q625" s="637">
        <v>4275.75</v>
      </c>
      <c r="R625" s="813" t="s">
        <v>172</v>
      </c>
      <c r="T625" s="815" t="s">
        <v>172</v>
      </c>
      <c r="U625" s="899" t="s">
        <v>1219</v>
      </c>
    </row>
    <row r="626" spans="1:21" x14ac:dyDescent="0.25">
      <c r="A626" s="813">
        <v>864</v>
      </c>
      <c r="B626" s="813" t="s">
        <v>366</v>
      </c>
      <c r="C626" s="813" t="s">
        <v>905</v>
      </c>
      <c r="D626" s="813" t="s">
        <v>16</v>
      </c>
      <c r="E626" s="813" t="s">
        <v>884</v>
      </c>
      <c r="F626" s="813" t="s">
        <v>885</v>
      </c>
      <c r="H626" s="819" t="s">
        <v>374</v>
      </c>
      <c r="I626" s="820" t="s">
        <v>20</v>
      </c>
      <c r="J626" s="820" t="s">
        <v>248</v>
      </c>
      <c r="L626" s="821">
        <v>9</v>
      </c>
      <c r="M626" s="637">
        <v>794</v>
      </c>
      <c r="N626" s="637">
        <v>8377.25</v>
      </c>
      <c r="O626" s="821">
        <v>8</v>
      </c>
      <c r="P626" s="637">
        <v>792</v>
      </c>
      <c r="Q626" s="637">
        <v>8358.25</v>
      </c>
      <c r="R626" s="813" t="s">
        <v>172</v>
      </c>
      <c r="T626" s="815" t="s">
        <v>172</v>
      </c>
      <c r="U626" s="899" t="s">
        <v>1219</v>
      </c>
    </row>
    <row r="627" spans="1:21" x14ac:dyDescent="0.25">
      <c r="A627" s="813">
        <v>865</v>
      </c>
      <c r="B627" s="813" t="s">
        <v>366</v>
      </c>
      <c r="C627" s="813" t="s">
        <v>905</v>
      </c>
      <c r="D627" s="813" t="s">
        <v>16</v>
      </c>
      <c r="E627" s="813" t="s">
        <v>884</v>
      </c>
      <c r="F627" s="813" t="s">
        <v>1033</v>
      </c>
      <c r="H627" s="819" t="s">
        <v>374</v>
      </c>
      <c r="I627" s="820" t="s">
        <v>20</v>
      </c>
      <c r="J627" s="820" t="s">
        <v>248</v>
      </c>
      <c r="L627" s="821">
        <v>1</v>
      </c>
      <c r="M627" s="637">
        <v>106</v>
      </c>
      <c r="N627" s="637">
        <v>2356.25</v>
      </c>
      <c r="O627" s="821">
        <v>1</v>
      </c>
      <c r="P627" s="637">
        <v>106</v>
      </c>
      <c r="Q627" s="637">
        <v>1378</v>
      </c>
      <c r="R627" s="813" t="s">
        <v>172</v>
      </c>
      <c r="T627" s="815">
        <f>Q627/P627</f>
        <v>13</v>
      </c>
      <c r="U627" s="899" t="s">
        <v>1219</v>
      </c>
    </row>
    <row r="628" spans="1:21" x14ac:dyDescent="0.25">
      <c r="A628" s="813">
        <v>866</v>
      </c>
      <c r="B628" s="813" t="s">
        <v>366</v>
      </c>
      <c r="C628" s="813" t="s">
        <v>905</v>
      </c>
      <c r="D628" s="813" t="s">
        <v>16</v>
      </c>
      <c r="E628" s="813" t="s">
        <v>884</v>
      </c>
      <c r="F628" s="813" t="s">
        <v>889</v>
      </c>
      <c r="H628" s="819" t="s">
        <v>374</v>
      </c>
      <c r="I628" s="820" t="s">
        <v>20</v>
      </c>
      <c r="J628" s="820" t="s">
        <v>248</v>
      </c>
      <c r="L628" s="821">
        <v>2</v>
      </c>
      <c r="M628" s="637">
        <v>2</v>
      </c>
      <c r="N628" s="637">
        <v>1</v>
      </c>
      <c r="O628" s="821">
        <v>2</v>
      </c>
      <c r="P628" s="637">
        <v>2</v>
      </c>
      <c r="Q628" s="637">
        <v>2</v>
      </c>
      <c r="R628" s="813" t="s">
        <v>172</v>
      </c>
      <c r="T628" s="815" t="s">
        <v>172</v>
      </c>
      <c r="U628" s="899" t="s">
        <v>1219</v>
      </c>
    </row>
    <row r="629" spans="1:21" x14ac:dyDescent="0.25">
      <c r="A629" s="813">
        <v>867</v>
      </c>
      <c r="B629" s="813" t="s">
        <v>366</v>
      </c>
      <c r="C629" s="813" t="s">
        <v>905</v>
      </c>
      <c r="D629" s="813" t="s">
        <v>16</v>
      </c>
      <c r="E629" s="813" t="s">
        <v>884</v>
      </c>
      <c r="F629" s="813" t="s">
        <v>869</v>
      </c>
      <c r="H629" s="819" t="s">
        <v>374</v>
      </c>
      <c r="I629" s="820" t="s">
        <v>20</v>
      </c>
      <c r="J629" s="820" t="s">
        <v>248</v>
      </c>
      <c r="L629" s="821">
        <v>3</v>
      </c>
      <c r="M629" s="637">
        <v>3</v>
      </c>
      <c r="N629" s="637">
        <v>2.5</v>
      </c>
      <c r="O629" s="821">
        <v>3</v>
      </c>
      <c r="P629" s="637">
        <v>3</v>
      </c>
      <c r="Q629" s="637">
        <v>3</v>
      </c>
      <c r="R629" s="813" t="s">
        <v>172</v>
      </c>
      <c r="T629" s="815" t="s">
        <v>172</v>
      </c>
      <c r="U629" s="899" t="s">
        <v>1219</v>
      </c>
    </row>
    <row r="630" spans="1:21" x14ac:dyDescent="0.25">
      <c r="A630" s="813">
        <v>868</v>
      </c>
      <c r="B630" s="813" t="s">
        <v>366</v>
      </c>
      <c r="C630" s="813" t="s">
        <v>905</v>
      </c>
      <c r="D630" s="813" t="s">
        <v>16</v>
      </c>
      <c r="E630" s="813" t="s">
        <v>884</v>
      </c>
      <c r="F630" s="813" t="s">
        <v>875</v>
      </c>
      <c r="H630" s="819" t="s">
        <v>374</v>
      </c>
      <c r="I630" s="820" t="s">
        <v>20</v>
      </c>
      <c r="J630" s="820" t="s">
        <v>248</v>
      </c>
      <c r="L630" s="821">
        <v>2</v>
      </c>
      <c r="M630" s="637">
        <v>3</v>
      </c>
      <c r="N630" s="637">
        <v>1.5</v>
      </c>
      <c r="O630" s="821">
        <v>1</v>
      </c>
      <c r="P630" s="637">
        <v>2</v>
      </c>
      <c r="Q630" s="637">
        <v>2</v>
      </c>
      <c r="R630" s="813" t="s">
        <v>172</v>
      </c>
      <c r="T630" s="815" t="s">
        <v>172</v>
      </c>
      <c r="U630" s="899" t="s">
        <v>1219</v>
      </c>
    </row>
    <row r="631" spans="1:21" x14ac:dyDescent="0.25">
      <c r="A631" s="813">
        <v>869</v>
      </c>
      <c r="B631" s="813" t="s">
        <v>366</v>
      </c>
      <c r="C631" s="813" t="s">
        <v>950</v>
      </c>
      <c r="D631" s="813" t="s">
        <v>16</v>
      </c>
      <c r="F631" s="813" t="s">
        <v>951</v>
      </c>
      <c r="G631" s="813" t="s">
        <v>952</v>
      </c>
      <c r="H631" s="819" t="s">
        <v>391</v>
      </c>
      <c r="I631" s="820" t="s">
        <v>20</v>
      </c>
      <c r="J631" s="820" t="s">
        <v>16</v>
      </c>
      <c r="K631" s="813" t="s">
        <v>13</v>
      </c>
      <c r="L631" s="821">
        <v>1</v>
      </c>
      <c r="M631" s="637">
        <v>9</v>
      </c>
      <c r="N631" s="637">
        <v>28.75</v>
      </c>
      <c r="O631" s="821">
        <v>1</v>
      </c>
      <c r="P631" s="637">
        <v>9</v>
      </c>
      <c r="Q631" s="637">
        <v>28.75</v>
      </c>
      <c r="R631" s="813" t="s">
        <v>172</v>
      </c>
      <c r="T631" s="815" t="s">
        <v>172</v>
      </c>
      <c r="U631" s="899" t="s">
        <v>1219</v>
      </c>
    </row>
    <row r="632" spans="1:21" x14ac:dyDescent="0.25">
      <c r="A632" s="813">
        <v>870</v>
      </c>
      <c r="B632" s="813" t="s">
        <v>366</v>
      </c>
      <c r="C632" s="813" t="s">
        <v>953</v>
      </c>
      <c r="D632" s="813" t="s">
        <v>16</v>
      </c>
      <c r="E632" s="813" t="s">
        <v>14</v>
      </c>
      <c r="F632" s="813" t="s">
        <v>889</v>
      </c>
      <c r="H632" s="819" t="s">
        <v>39</v>
      </c>
      <c r="I632" s="820" t="s">
        <v>20</v>
      </c>
      <c r="J632" s="820" t="s">
        <v>428</v>
      </c>
      <c r="L632" s="821">
        <v>1</v>
      </c>
      <c r="M632" s="637">
        <v>4</v>
      </c>
      <c r="N632" s="637">
        <v>4</v>
      </c>
      <c r="O632" s="821">
        <v>1</v>
      </c>
      <c r="P632" s="637">
        <v>4</v>
      </c>
      <c r="Q632" s="637">
        <v>4</v>
      </c>
      <c r="R632" s="806" t="s">
        <v>507</v>
      </c>
      <c r="T632" s="815" t="s">
        <v>172</v>
      </c>
      <c r="U632" s="900" t="s">
        <v>1220</v>
      </c>
    </row>
    <row r="633" spans="1:21" x14ac:dyDescent="0.25">
      <c r="A633" s="813">
        <v>871</v>
      </c>
      <c r="B633" s="813" t="s">
        <v>366</v>
      </c>
      <c r="C633" s="813" t="s">
        <v>953</v>
      </c>
      <c r="D633" s="813" t="s">
        <v>16</v>
      </c>
      <c r="E633" s="813" t="s">
        <v>14</v>
      </c>
      <c r="F633" s="813" t="s">
        <v>869</v>
      </c>
      <c r="H633" s="819" t="s">
        <v>39</v>
      </c>
      <c r="I633" s="820" t="s">
        <v>20</v>
      </c>
      <c r="J633" s="820" t="s">
        <v>428</v>
      </c>
      <c r="L633" s="821">
        <v>3</v>
      </c>
      <c r="M633" s="637">
        <v>3</v>
      </c>
      <c r="N633" s="637">
        <v>3</v>
      </c>
      <c r="O633" s="821">
        <v>3</v>
      </c>
      <c r="P633" s="637">
        <v>3</v>
      </c>
      <c r="Q633" s="637">
        <v>3</v>
      </c>
      <c r="R633" s="806" t="s">
        <v>507</v>
      </c>
      <c r="T633" s="815" t="s">
        <v>172</v>
      </c>
      <c r="U633" s="900" t="s">
        <v>1220</v>
      </c>
    </row>
    <row r="634" spans="1:21" x14ac:dyDescent="0.25">
      <c r="A634" s="813">
        <v>872</v>
      </c>
      <c r="B634" s="813" t="s">
        <v>366</v>
      </c>
      <c r="C634" s="813" t="s">
        <v>953</v>
      </c>
      <c r="D634" s="813" t="s">
        <v>16</v>
      </c>
      <c r="E634" s="813" t="s">
        <v>14</v>
      </c>
      <c r="F634" s="813" t="s">
        <v>875</v>
      </c>
      <c r="H634" s="819" t="s">
        <v>39</v>
      </c>
      <c r="I634" s="820" t="s">
        <v>20</v>
      </c>
      <c r="J634" s="820" t="s">
        <v>428</v>
      </c>
      <c r="L634" s="821">
        <v>11</v>
      </c>
      <c r="M634" s="637">
        <v>20</v>
      </c>
      <c r="N634" s="637">
        <v>20</v>
      </c>
      <c r="O634" s="821">
        <v>11</v>
      </c>
      <c r="P634" s="637">
        <v>20</v>
      </c>
      <c r="Q634" s="637">
        <v>20</v>
      </c>
      <c r="R634" s="806" t="s">
        <v>507</v>
      </c>
      <c r="T634" s="815" t="s">
        <v>172</v>
      </c>
      <c r="U634" s="900" t="s">
        <v>1220</v>
      </c>
    </row>
    <row r="635" spans="1:21" x14ac:dyDescent="0.25">
      <c r="A635" s="813">
        <v>873</v>
      </c>
      <c r="B635" s="813" t="s">
        <v>366</v>
      </c>
      <c r="C635" s="813" t="s">
        <v>953</v>
      </c>
      <c r="D635" s="813" t="s">
        <v>16</v>
      </c>
      <c r="E635" s="813" t="s">
        <v>14</v>
      </c>
      <c r="F635" s="813" t="s">
        <v>868</v>
      </c>
      <c r="G635" s="813" t="s">
        <v>868</v>
      </c>
      <c r="H635" s="819" t="s">
        <v>35</v>
      </c>
      <c r="I635" s="820" t="s">
        <v>20</v>
      </c>
      <c r="J635" s="820" t="s">
        <v>428</v>
      </c>
      <c r="L635" s="821">
        <v>13</v>
      </c>
      <c r="M635" s="637">
        <v>2759</v>
      </c>
      <c r="N635" s="637">
        <v>19922</v>
      </c>
      <c r="O635" s="821">
        <v>13</v>
      </c>
      <c r="P635" s="637">
        <v>2759</v>
      </c>
      <c r="Q635" s="637">
        <v>19922</v>
      </c>
      <c r="R635" s="813" t="s">
        <v>172</v>
      </c>
      <c r="T635" s="815" t="s">
        <v>172</v>
      </c>
      <c r="U635" s="900" t="s">
        <v>1220</v>
      </c>
    </row>
    <row r="636" spans="1:21" x14ac:dyDescent="0.25">
      <c r="A636" s="813">
        <v>877</v>
      </c>
      <c r="B636" s="813" t="s">
        <v>366</v>
      </c>
      <c r="C636" s="813" t="s">
        <v>954</v>
      </c>
      <c r="D636" s="813" t="s">
        <v>16</v>
      </c>
      <c r="E636" s="813" t="s">
        <v>15</v>
      </c>
      <c r="F636" s="813" t="s">
        <v>868</v>
      </c>
      <c r="G636" s="813" t="s">
        <v>868</v>
      </c>
      <c r="H636" s="819" t="s">
        <v>35</v>
      </c>
      <c r="I636" s="820" t="s">
        <v>20</v>
      </c>
      <c r="J636" s="820" t="s">
        <v>428</v>
      </c>
      <c r="L636" s="821">
        <v>1</v>
      </c>
      <c r="M636" s="637">
        <v>20</v>
      </c>
      <c r="N636" s="637">
        <v>89.75</v>
      </c>
      <c r="O636" s="821">
        <v>1</v>
      </c>
      <c r="P636" s="637">
        <v>20</v>
      </c>
      <c r="Q636" s="637">
        <v>89.75</v>
      </c>
      <c r="R636" s="813" t="s">
        <v>172</v>
      </c>
      <c r="T636" s="815" t="s">
        <v>172</v>
      </c>
      <c r="U636" s="900" t="s">
        <v>1220</v>
      </c>
    </row>
    <row r="637" spans="1:21" x14ac:dyDescent="0.25">
      <c r="A637" s="813">
        <v>878</v>
      </c>
      <c r="B637" s="813" t="s">
        <v>366</v>
      </c>
      <c r="C637" s="813" t="s">
        <v>954</v>
      </c>
      <c r="D637" s="813" t="s">
        <v>16</v>
      </c>
      <c r="E637" s="813" t="s">
        <v>15</v>
      </c>
      <c r="F637" s="813" t="s">
        <v>863</v>
      </c>
      <c r="G637" s="813" t="s">
        <v>863</v>
      </c>
      <c r="H637" s="819" t="s">
        <v>18</v>
      </c>
      <c r="I637" s="820" t="s">
        <v>15</v>
      </c>
      <c r="J637" s="820" t="s">
        <v>421</v>
      </c>
      <c r="L637" s="821">
        <v>16</v>
      </c>
      <c r="M637" s="637">
        <v>4447</v>
      </c>
      <c r="N637" s="637">
        <v>33989</v>
      </c>
      <c r="O637" s="821">
        <v>15</v>
      </c>
      <c r="P637" s="637">
        <v>4345</v>
      </c>
      <c r="Q637" s="637">
        <v>33320</v>
      </c>
      <c r="R637" s="813" t="s">
        <v>172</v>
      </c>
      <c r="T637" s="815" t="s">
        <v>172</v>
      </c>
      <c r="U637" s="900" t="s">
        <v>1220</v>
      </c>
    </row>
    <row r="638" spans="1:21" x14ac:dyDescent="0.25">
      <c r="A638" s="813">
        <v>879</v>
      </c>
      <c r="B638" s="813" t="s">
        <v>366</v>
      </c>
      <c r="C638" s="813" t="s">
        <v>1037</v>
      </c>
      <c r="D638" s="813" t="s">
        <v>434</v>
      </c>
      <c r="E638" s="813" t="s">
        <v>244</v>
      </c>
      <c r="F638" s="813" t="s">
        <v>1038</v>
      </c>
      <c r="G638" s="813" t="s">
        <v>1039</v>
      </c>
      <c r="H638" s="819" t="s">
        <v>390</v>
      </c>
      <c r="I638" s="820" t="s">
        <v>20</v>
      </c>
      <c r="J638" s="820" t="s">
        <v>16</v>
      </c>
      <c r="L638" s="821">
        <v>2</v>
      </c>
      <c r="M638" s="637">
        <v>415</v>
      </c>
      <c r="N638" s="637">
        <v>4797.75</v>
      </c>
      <c r="O638" s="821">
        <v>2</v>
      </c>
      <c r="P638" s="637">
        <v>415</v>
      </c>
      <c r="Q638" s="637">
        <v>4797.75</v>
      </c>
      <c r="R638" s="813" t="s">
        <v>172</v>
      </c>
      <c r="T638" s="815" t="s">
        <v>172</v>
      </c>
      <c r="U638" s="899" t="s">
        <v>1219</v>
      </c>
    </row>
    <row r="639" spans="1:21" x14ac:dyDescent="0.25">
      <c r="A639" s="813">
        <v>880</v>
      </c>
      <c r="B639" s="813" t="s">
        <v>366</v>
      </c>
      <c r="C639" s="813" t="s">
        <v>1037</v>
      </c>
      <c r="D639" s="813" t="s">
        <v>434</v>
      </c>
      <c r="E639" s="813" t="s">
        <v>244</v>
      </c>
      <c r="F639" s="813" t="s">
        <v>889</v>
      </c>
      <c r="H639" s="819" t="s">
        <v>390</v>
      </c>
      <c r="I639" s="820" t="s">
        <v>20</v>
      </c>
      <c r="J639" s="820" t="s">
        <v>16</v>
      </c>
      <c r="L639" s="821">
        <v>1</v>
      </c>
      <c r="M639" s="637">
        <v>2</v>
      </c>
      <c r="N639" s="637">
        <v>2</v>
      </c>
      <c r="O639" s="821">
        <v>1</v>
      </c>
      <c r="P639" s="637">
        <v>2</v>
      </c>
      <c r="Q639" s="637">
        <v>2</v>
      </c>
      <c r="T639" s="815" t="s">
        <v>172</v>
      </c>
      <c r="U639" s="899" t="s">
        <v>1219</v>
      </c>
    </row>
    <row r="640" spans="1:21" x14ac:dyDescent="0.25">
      <c r="A640" s="813">
        <v>881</v>
      </c>
      <c r="B640" s="813" t="s">
        <v>366</v>
      </c>
      <c r="C640" s="813" t="s">
        <v>1037</v>
      </c>
      <c r="D640" s="813" t="s">
        <v>434</v>
      </c>
      <c r="E640" s="813" t="s">
        <v>244</v>
      </c>
      <c r="F640" s="813" t="s">
        <v>869</v>
      </c>
      <c r="H640" s="819" t="s">
        <v>390</v>
      </c>
      <c r="I640" s="820" t="s">
        <v>20</v>
      </c>
      <c r="J640" s="820" t="s">
        <v>16</v>
      </c>
      <c r="L640" s="821">
        <v>1</v>
      </c>
      <c r="M640" s="637">
        <v>1</v>
      </c>
      <c r="N640" s="637">
        <v>0.75</v>
      </c>
      <c r="O640" s="821">
        <v>1</v>
      </c>
      <c r="P640" s="637">
        <v>1</v>
      </c>
      <c r="Q640" s="637">
        <v>1</v>
      </c>
      <c r="T640" s="815" t="s">
        <v>172</v>
      </c>
      <c r="U640" s="899" t="s">
        <v>1219</v>
      </c>
    </row>
    <row r="641" spans="1:21" x14ac:dyDescent="0.25">
      <c r="A641" s="813">
        <v>882</v>
      </c>
      <c r="B641" s="813" t="s">
        <v>366</v>
      </c>
      <c r="C641" s="813" t="s">
        <v>1037</v>
      </c>
      <c r="D641" s="813" t="s">
        <v>434</v>
      </c>
      <c r="E641" s="813" t="s">
        <v>244</v>
      </c>
      <c r="F641" s="813" t="s">
        <v>875</v>
      </c>
      <c r="H641" s="819" t="s">
        <v>390</v>
      </c>
      <c r="I641" s="820" t="s">
        <v>20</v>
      </c>
      <c r="J641" s="820" t="s">
        <v>16</v>
      </c>
      <c r="L641" s="821">
        <v>1</v>
      </c>
      <c r="M641" s="637">
        <v>1</v>
      </c>
      <c r="N641" s="637">
        <v>1</v>
      </c>
      <c r="O641" s="821">
        <v>1</v>
      </c>
      <c r="P641" s="637">
        <v>1</v>
      </c>
      <c r="Q641" s="637">
        <v>1</v>
      </c>
      <c r="T641" s="815" t="s">
        <v>172</v>
      </c>
      <c r="U641" s="899" t="s">
        <v>1219</v>
      </c>
    </row>
    <row r="642" spans="1:21" x14ac:dyDescent="0.25">
      <c r="A642" s="813">
        <v>883</v>
      </c>
      <c r="B642" s="813" t="s">
        <v>366</v>
      </c>
      <c r="C642" s="813" t="s">
        <v>1082</v>
      </c>
      <c r="D642" s="813" t="s">
        <v>16</v>
      </c>
      <c r="E642" s="813" t="s">
        <v>14</v>
      </c>
      <c r="F642" s="813" t="s">
        <v>1083</v>
      </c>
      <c r="H642" s="819" t="s">
        <v>39</v>
      </c>
      <c r="I642" s="820" t="s">
        <v>20</v>
      </c>
      <c r="J642" s="820" t="s">
        <v>428</v>
      </c>
      <c r="L642" s="821">
        <v>1</v>
      </c>
      <c r="M642" s="637">
        <v>339</v>
      </c>
      <c r="N642" s="637">
        <v>339</v>
      </c>
      <c r="O642" s="821">
        <v>1</v>
      </c>
      <c r="P642" s="637">
        <v>339</v>
      </c>
      <c r="Q642" s="637">
        <v>339</v>
      </c>
      <c r="R642" s="813" t="s">
        <v>529</v>
      </c>
      <c r="T642" s="815" t="s">
        <v>172</v>
      </c>
      <c r="U642" s="900" t="s">
        <v>1220</v>
      </c>
    </row>
    <row r="643" spans="1:21" x14ac:dyDescent="0.25">
      <c r="A643" s="813">
        <v>886</v>
      </c>
      <c r="B643" s="813" t="s">
        <v>366</v>
      </c>
      <c r="C643" s="813" t="s">
        <v>955</v>
      </c>
      <c r="D643" s="813" t="s">
        <v>495</v>
      </c>
      <c r="E643" s="813" t="s">
        <v>15</v>
      </c>
      <c r="F643" s="813" t="s">
        <v>837</v>
      </c>
      <c r="G643" s="813" t="s">
        <v>934</v>
      </c>
      <c r="H643" s="819" t="s">
        <v>43</v>
      </c>
      <c r="I643" s="820" t="s">
        <v>15</v>
      </c>
      <c r="J643" s="820" t="s">
        <v>421</v>
      </c>
      <c r="L643" s="821">
        <v>1</v>
      </c>
      <c r="M643" s="637">
        <v>28</v>
      </c>
      <c r="N643" s="637">
        <v>364</v>
      </c>
      <c r="O643" s="821">
        <v>1</v>
      </c>
      <c r="P643" s="637">
        <v>28</v>
      </c>
      <c r="Q643" s="637">
        <v>364</v>
      </c>
      <c r="R643" s="813" t="s">
        <v>172</v>
      </c>
      <c r="T643" s="815">
        <v>13</v>
      </c>
      <c r="U643" s="900" t="s">
        <v>1220</v>
      </c>
    </row>
    <row r="644" spans="1:21" x14ac:dyDescent="0.25">
      <c r="A644" s="813">
        <v>887</v>
      </c>
      <c r="B644" s="813" t="s">
        <v>366</v>
      </c>
      <c r="C644" s="813" t="s">
        <v>955</v>
      </c>
      <c r="D644" s="813" t="s">
        <v>495</v>
      </c>
      <c r="E644" s="813" t="s">
        <v>15</v>
      </c>
      <c r="F644" s="813" t="s">
        <v>898</v>
      </c>
      <c r="G644" s="813" t="s">
        <v>863</v>
      </c>
      <c r="H644" s="819" t="s">
        <v>18</v>
      </c>
      <c r="I644" s="820" t="s">
        <v>15</v>
      </c>
      <c r="J644" s="820" t="s">
        <v>421</v>
      </c>
      <c r="L644" s="821">
        <v>82</v>
      </c>
      <c r="M644" s="637">
        <v>10482</v>
      </c>
      <c r="N644" s="637">
        <v>58274.25</v>
      </c>
      <c r="O644" s="821">
        <v>77</v>
      </c>
      <c r="P644" s="637">
        <v>10227</v>
      </c>
      <c r="Q644" s="637">
        <v>56842.5</v>
      </c>
      <c r="R644" s="813" t="s">
        <v>172</v>
      </c>
      <c r="T644" s="815" t="s">
        <v>172</v>
      </c>
      <c r="U644" s="900" t="s">
        <v>1220</v>
      </c>
    </row>
    <row r="645" spans="1:21" x14ac:dyDescent="0.25">
      <c r="A645" s="813">
        <v>888</v>
      </c>
      <c r="B645" s="813" t="s">
        <v>366</v>
      </c>
      <c r="C645" s="813" t="s">
        <v>955</v>
      </c>
      <c r="D645" s="813" t="s">
        <v>495</v>
      </c>
      <c r="E645" s="813" t="s">
        <v>15</v>
      </c>
      <c r="F645" s="813" t="s">
        <v>956</v>
      </c>
      <c r="G645" s="813" t="s">
        <v>957</v>
      </c>
      <c r="H645" s="819" t="s">
        <v>44</v>
      </c>
      <c r="I645" s="820" t="s">
        <v>15</v>
      </c>
      <c r="J645" s="820" t="s">
        <v>421</v>
      </c>
      <c r="L645" s="821">
        <v>5</v>
      </c>
      <c r="M645" s="637">
        <v>94</v>
      </c>
      <c r="N645" s="637">
        <v>711.75</v>
      </c>
      <c r="O645" s="821">
        <v>5</v>
      </c>
      <c r="P645" s="637">
        <v>94</v>
      </c>
      <c r="Q645" s="637">
        <v>711.75</v>
      </c>
      <c r="R645" s="813" t="s">
        <v>172</v>
      </c>
      <c r="T645" s="815" t="s">
        <v>172</v>
      </c>
      <c r="U645" s="900" t="s">
        <v>1220</v>
      </c>
    </row>
    <row r="646" spans="1:21" x14ac:dyDescent="0.25">
      <c r="A646" s="813">
        <v>889</v>
      </c>
      <c r="B646" s="813" t="s">
        <v>366</v>
      </c>
      <c r="C646" s="813" t="s">
        <v>958</v>
      </c>
      <c r="D646" s="813" t="s">
        <v>14</v>
      </c>
      <c r="E646" s="813" t="s">
        <v>14</v>
      </c>
      <c r="F646" s="813" t="s">
        <v>1084</v>
      </c>
      <c r="G646" s="813" t="s">
        <v>1085</v>
      </c>
      <c r="H646" s="819" t="s">
        <v>37</v>
      </c>
      <c r="I646" s="820" t="s">
        <v>20</v>
      </c>
      <c r="J646" s="820" t="s">
        <v>428</v>
      </c>
      <c r="L646" s="821">
        <v>1</v>
      </c>
      <c r="M646" s="637">
        <v>98</v>
      </c>
      <c r="N646" s="637">
        <v>1274</v>
      </c>
      <c r="O646" s="821">
        <v>1</v>
      </c>
      <c r="P646" s="637">
        <v>98</v>
      </c>
      <c r="Q646" s="637">
        <v>1274</v>
      </c>
      <c r="R646" s="813" t="s">
        <v>172</v>
      </c>
      <c r="T646" s="815">
        <v>13</v>
      </c>
      <c r="U646" s="900" t="s">
        <v>1220</v>
      </c>
    </row>
    <row r="647" spans="1:21" x14ac:dyDescent="0.25">
      <c r="A647" s="813">
        <v>890</v>
      </c>
      <c r="B647" s="813" t="s">
        <v>366</v>
      </c>
      <c r="C647" s="813" t="s">
        <v>958</v>
      </c>
      <c r="D647" s="813" t="s">
        <v>14</v>
      </c>
      <c r="E647" s="813" t="s">
        <v>14</v>
      </c>
      <c r="F647" s="813" t="s">
        <v>960</v>
      </c>
      <c r="G647" s="813" t="s">
        <v>933</v>
      </c>
      <c r="H647" s="819" t="s">
        <v>37</v>
      </c>
      <c r="I647" s="820" t="s">
        <v>20</v>
      </c>
      <c r="J647" s="820" t="s">
        <v>428</v>
      </c>
      <c r="L647" s="821">
        <v>7</v>
      </c>
      <c r="M647" s="637">
        <v>782</v>
      </c>
      <c r="N647" s="637">
        <v>10166</v>
      </c>
      <c r="O647" s="821">
        <v>7</v>
      </c>
      <c r="P647" s="637">
        <v>782</v>
      </c>
      <c r="Q647" s="637">
        <v>10166</v>
      </c>
      <c r="R647" s="813" t="s">
        <v>172</v>
      </c>
      <c r="T647" s="815">
        <v>13</v>
      </c>
      <c r="U647" s="900" t="s">
        <v>1220</v>
      </c>
    </row>
    <row r="648" spans="1:21" x14ac:dyDescent="0.25">
      <c r="A648" s="813">
        <v>891</v>
      </c>
      <c r="B648" s="813" t="s">
        <v>366</v>
      </c>
      <c r="C648" s="813" t="s">
        <v>958</v>
      </c>
      <c r="D648" s="813" t="s">
        <v>14</v>
      </c>
      <c r="E648" s="813" t="s">
        <v>14</v>
      </c>
      <c r="F648" s="813" t="s">
        <v>961</v>
      </c>
      <c r="G648" s="813" t="s">
        <v>962</v>
      </c>
      <c r="H648" s="819" t="s">
        <v>37</v>
      </c>
      <c r="I648" s="820" t="s">
        <v>20</v>
      </c>
      <c r="J648" s="820" t="s">
        <v>428</v>
      </c>
      <c r="L648" s="821">
        <v>1</v>
      </c>
      <c r="M648" s="637">
        <v>29</v>
      </c>
      <c r="N648" s="637">
        <v>377</v>
      </c>
      <c r="O648" s="821">
        <v>1</v>
      </c>
      <c r="P648" s="637">
        <v>29</v>
      </c>
      <c r="Q648" s="637">
        <v>377</v>
      </c>
      <c r="R648" s="813" t="s">
        <v>172</v>
      </c>
      <c r="T648" s="815">
        <v>13</v>
      </c>
      <c r="U648" s="900" t="s">
        <v>1220</v>
      </c>
    </row>
    <row r="649" spans="1:21" x14ac:dyDescent="0.25">
      <c r="A649" s="813">
        <v>892</v>
      </c>
      <c r="B649" s="813" t="s">
        <v>366</v>
      </c>
      <c r="C649" s="813" t="s">
        <v>958</v>
      </c>
      <c r="D649" s="813" t="s">
        <v>14</v>
      </c>
      <c r="E649" s="813" t="s">
        <v>14</v>
      </c>
      <c r="F649" s="813" t="s">
        <v>963</v>
      </c>
      <c r="G649" s="813" t="s">
        <v>964</v>
      </c>
      <c r="H649" s="819" t="s">
        <v>41</v>
      </c>
      <c r="I649" s="820" t="s">
        <v>20</v>
      </c>
      <c r="J649" s="820" t="s">
        <v>428</v>
      </c>
      <c r="L649" s="821">
        <v>26</v>
      </c>
      <c r="M649" s="637">
        <v>1366</v>
      </c>
      <c r="N649" s="637">
        <v>3015.25</v>
      </c>
      <c r="O649" s="821">
        <v>25</v>
      </c>
      <c r="P649" s="637">
        <v>1364</v>
      </c>
      <c r="Q649" s="637">
        <v>3013.25</v>
      </c>
      <c r="R649" s="813" t="s">
        <v>172</v>
      </c>
      <c r="T649" s="815" t="s">
        <v>172</v>
      </c>
      <c r="U649" s="900" t="s">
        <v>1220</v>
      </c>
    </row>
    <row r="650" spans="1:21" x14ac:dyDescent="0.25">
      <c r="A650" s="813">
        <v>893</v>
      </c>
      <c r="B650" s="813" t="s">
        <v>366</v>
      </c>
      <c r="C650" s="813" t="s">
        <v>958</v>
      </c>
      <c r="D650" s="813" t="s">
        <v>14</v>
      </c>
      <c r="E650" s="813" t="s">
        <v>14</v>
      </c>
      <c r="F650" s="813" t="s">
        <v>885</v>
      </c>
      <c r="G650" s="813" t="s">
        <v>868</v>
      </c>
      <c r="H650" s="819" t="s">
        <v>35</v>
      </c>
      <c r="I650" s="820" t="s">
        <v>20</v>
      </c>
      <c r="J650" s="820" t="s">
        <v>428</v>
      </c>
      <c r="L650" s="821">
        <v>175</v>
      </c>
      <c r="M650" s="637">
        <v>17892</v>
      </c>
      <c r="N650" s="637">
        <v>102573.75</v>
      </c>
      <c r="O650" s="821">
        <v>167</v>
      </c>
      <c r="P650" s="637">
        <v>17616</v>
      </c>
      <c r="Q650" s="637">
        <v>101409.25</v>
      </c>
      <c r="R650" s="813" t="s">
        <v>172</v>
      </c>
      <c r="T650" s="815" t="s">
        <v>172</v>
      </c>
      <c r="U650" s="900" t="s">
        <v>1220</v>
      </c>
    </row>
    <row r="651" spans="1:21" x14ac:dyDescent="0.25">
      <c r="A651" s="813">
        <v>894</v>
      </c>
      <c r="B651" s="813" t="s">
        <v>366</v>
      </c>
      <c r="C651" s="813" t="s">
        <v>958</v>
      </c>
      <c r="D651" s="813" t="s">
        <v>14</v>
      </c>
      <c r="E651" s="813" t="s">
        <v>14</v>
      </c>
      <c r="F651" s="813" t="s">
        <v>885</v>
      </c>
      <c r="G651" s="813" t="s">
        <v>965</v>
      </c>
      <c r="H651" s="819" t="s">
        <v>35</v>
      </c>
      <c r="I651" s="820" t="s">
        <v>20</v>
      </c>
      <c r="J651" s="820" t="s">
        <v>428</v>
      </c>
      <c r="L651" s="821">
        <v>59</v>
      </c>
      <c r="M651" s="637">
        <v>2541</v>
      </c>
      <c r="N651" s="637">
        <v>20202.75</v>
      </c>
      <c r="O651" s="821">
        <v>57</v>
      </c>
      <c r="P651" s="637">
        <v>2501</v>
      </c>
      <c r="Q651" s="637">
        <v>20031.75</v>
      </c>
      <c r="R651" s="813" t="s">
        <v>172</v>
      </c>
      <c r="T651" s="815" t="s">
        <v>172</v>
      </c>
      <c r="U651" s="900" t="s">
        <v>1220</v>
      </c>
    </row>
    <row r="652" spans="1:21" x14ac:dyDescent="0.25">
      <c r="A652" s="813">
        <v>895</v>
      </c>
      <c r="B652" s="813" t="s">
        <v>366</v>
      </c>
      <c r="C652" s="813" t="s">
        <v>958</v>
      </c>
      <c r="D652" s="813" t="s">
        <v>14</v>
      </c>
      <c r="E652" s="813" t="s">
        <v>14</v>
      </c>
      <c r="F652" s="813" t="s">
        <v>970</v>
      </c>
      <c r="G652" s="813" t="s">
        <v>965</v>
      </c>
      <c r="H652" s="819" t="s">
        <v>35</v>
      </c>
      <c r="I652" s="820" t="s">
        <v>20</v>
      </c>
      <c r="J652" s="820" t="s">
        <v>428</v>
      </c>
      <c r="L652" s="821">
        <v>25</v>
      </c>
      <c r="M652" s="637">
        <v>286</v>
      </c>
      <c r="N652" s="637">
        <v>2015.25</v>
      </c>
      <c r="O652" s="821">
        <v>23</v>
      </c>
      <c r="P652" s="637">
        <v>275</v>
      </c>
      <c r="Q652" s="637">
        <v>1954.25</v>
      </c>
      <c r="R652" s="813" t="s">
        <v>172</v>
      </c>
      <c r="T652" s="815" t="s">
        <v>172</v>
      </c>
      <c r="U652" s="900" t="s">
        <v>1220</v>
      </c>
    </row>
    <row r="653" spans="1:21" x14ac:dyDescent="0.25">
      <c r="A653" s="813">
        <v>896</v>
      </c>
      <c r="B653" s="813" t="s">
        <v>366</v>
      </c>
      <c r="C653" s="813" t="s">
        <v>958</v>
      </c>
      <c r="D653" s="813" t="s">
        <v>14</v>
      </c>
      <c r="E653" s="813" t="s">
        <v>14</v>
      </c>
      <c r="F653" s="813" t="s">
        <v>889</v>
      </c>
      <c r="H653" s="819" t="s">
        <v>39</v>
      </c>
      <c r="I653" s="820" t="s">
        <v>20</v>
      </c>
      <c r="J653" s="820" t="s">
        <v>428</v>
      </c>
      <c r="L653" s="821">
        <v>8</v>
      </c>
      <c r="M653" s="637">
        <v>10</v>
      </c>
      <c r="N653" s="637">
        <v>10</v>
      </c>
      <c r="O653" s="821">
        <v>8</v>
      </c>
      <c r="P653" s="637">
        <v>10</v>
      </c>
      <c r="Q653" s="637">
        <v>10</v>
      </c>
      <c r="R653" s="806" t="s">
        <v>507</v>
      </c>
      <c r="T653" s="815" t="s">
        <v>172</v>
      </c>
      <c r="U653" s="900" t="s">
        <v>1220</v>
      </c>
    </row>
    <row r="654" spans="1:21" x14ac:dyDescent="0.25">
      <c r="A654" s="813">
        <v>897</v>
      </c>
      <c r="B654" s="813" t="s">
        <v>366</v>
      </c>
      <c r="C654" s="813" t="s">
        <v>958</v>
      </c>
      <c r="D654" s="813" t="s">
        <v>14</v>
      </c>
      <c r="E654" s="813" t="s">
        <v>14</v>
      </c>
      <c r="F654" s="813" t="s">
        <v>869</v>
      </c>
      <c r="H654" s="819" t="s">
        <v>39</v>
      </c>
      <c r="I654" s="820" t="s">
        <v>20</v>
      </c>
      <c r="J654" s="820" t="s">
        <v>428</v>
      </c>
      <c r="L654" s="821">
        <v>1</v>
      </c>
      <c r="M654" s="637">
        <v>1</v>
      </c>
      <c r="N654" s="637">
        <v>1</v>
      </c>
      <c r="O654" s="821">
        <v>1</v>
      </c>
      <c r="P654" s="637">
        <v>1</v>
      </c>
      <c r="Q654" s="637">
        <v>1</v>
      </c>
      <c r="R654" s="806" t="s">
        <v>507</v>
      </c>
      <c r="T654" s="815" t="s">
        <v>172</v>
      </c>
      <c r="U654" s="900" t="s">
        <v>1220</v>
      </c>
    </row>
    <row r="655" spans="1:21" x14ac:dyDescent="0.25">
      <c r="A655" s="813">
        <v>898</v>
      </c>
      <c r="B655" s="813" t="s">
        <v>366</v>
      </c>
      <c r="C655" s="813" t="s">
        <v>958</v>
      </c>
      <c r="D655" s="813" t="s">
        <v>14</v>
      </c>
      <c r="E655" s="813" t="s">
        <v>14</v>
      </c>
      <c r="F655" s="813" t="s">
        <v>971</v>
      </c>
      <c r="G655" s="813" t="s">
        <v>903</v>
      </c>
      <c r="H655" s="819" t="s">
        <v>38</v>
      </c>
      <c r="I655" s="820" t="s">
        <v>20</v>
      </c>
      <c r="J655" s="820" t="s">
        <v>428</v>
      </c>
      <c r="L655" s="821">
        <v>97</v>
      </c>
      <c r="M655" s="637">
        <v>97</v>
      </c>
      <c r="N655" s="637">
        <v>97</v>
      </c>
      <c r="O655" s="821">
        <v>95</v>
      </c>
      <c r="P655" s="637">
        <v>95</v>
      </c>
      <c r="Q655" s="637">
        <v>95</v>
      </c>
      <c r="R655" s="813" t="s">
        <v>529</v>
      </c>
      <c r="T655" s="815" t="s">
        <v>172</v>
      </c>
      <c r="U655" s="900" t="s">
        <v>1220</v>
      </c>
    </row>
    <row r="656" spans="1:21" x14ac:dyDescent="0.25">
      <c r="A656" s="813">
        <v>899</v>
      </c>
      <c r="B656" s="813" t="s">
        <v>366</v>
      </c>
      <c r="C656" s="813" t="s">
        <v>958</v>
      </c>
      <c r="D656" s="813" t="s">
        <v>14</v>
      </c>
      <c r="E656" s="813" t="s">
        <v>14</v>
      </c>
      <c r="F656" s="813" t="s">
        <v>875</v>
      </c>
      <c r="H656" s="819" t="s">
        <v>39</v>
      </c>
      <c r="I656" s="820" t="s">
        <v>20</v>
      </c>
      <c r="J656" s="820" t="s">
        <v>428</v>
      </c>
      <c r="L656" s="821">
        <v>90</v>
      </c>
      <c r="M656" s="637">
        <v>141</v>
      </c>
      <c r="N656" s="637">
        <v>141</v>
      </c>
      <c r="O656" s="821">
        <v>88</v>
      </c>
      <c r="P656" s="637">
        <v>139</v>
      </c>
      <c r="Q656" s="637">
        <v>139</v>
      </c>
      <c r="R656" s="806" t="s">
        <v>507</v>
      </c>
      <c r="T656" s="815" t="s">
        <v>172</v>
      </c>
      <c r="U656" s="900" t="s">
        <v>1220</v>
      </c>
    </row>
    <row r="657" spans="1:21" x14ac:dyDescent="0.25">
      <c r="A657" s="813">
        <v>900</v>
      </c>
      <c r="B657" s="813" t="s">
        <v>366</v>
      </c>
      <c r="C657" s="813" t="s">
        <v>906</v>
      </c>
      <c r="D657" s="813" t="s">
        <v>14</v>
      </c>
      <c r="E657" s="813" t="s">
        <v>14</v>
      </c>
      <c r="F657" s="813" t="s">
        <v>889</v>
      </c>
      <c r="H657" s="819" t="s">
        <v>39</v>
      </c>
      <c r="I657" s="820" t="s">
        <v>20</v>
      </c>
      <c r="J657" s="820" t="s">
        <v>428</v>
      </c>
      <c r="L657" s="821">
        <v>7</v>
      </c>
      <c r="M657" s="637">
        <v>8</v>
      </c>
      <c r="N657" s="637">
        <v>8</v>
      </c>
      <c r="O657" s="821">
        <v>7</v>
      </c>
      <c r="P657" s="637">
        <v>8</v>
      </c>
      <c r="Q657" s="637">
        <v>8</v>
      </c>
      <c r="R657" s="806" t="s">
        <v>507</v>
      </c>
      <c r="T657" s="815" t="s">
        <v>172</v>
      </c>
      <c r="U657" s="900" t="s">
        <v>1220</v>
      </c>
    </row>
    <row r="658" spans="1:21" x14ac:dyDescent="0.25">
      <c r="A658" s="813">
        <v>901</v>
      </c>
      <c r="B658" s="813" t="s">
        <v>366</v>
      </c>
      <c r="C658" s="813" t="s">
        <v>906</v>
      </c>
      <c r="D658" s="813" t="s">
        <v>14</v>
      </c>
      <c r="E658" s="813" t="s">
        <v>14</v>
      </c>
      <c r="F658" s="813" t="s">
        <v>907</v>
      </c>
      <c r="H658" s="819" t="s">
        <v>39</v>
      </c>
      <c r="I658" s="820" t="s">
        <v>20</v>
      </c>
      <c r="J658" s="820" t="s">
        <v>428</v>
      </c>
      <c r="L658" s="821">
        <v>1</v>
      </c>
      <c r="M658" s="637">
        <v>1</v>
      </c>
      <c r="N658" s="637">
        <v>1</v>
      </c>
      <c r="O658" s="821">
        <v>1</v>
      </c>
      <c r="P658" s="637">
        <v>1</v>
      </c>
      <c r="Q658" s="637">
        <v>1</v>
      </c>
      <c r="R658" s="813" t="s">
        <v>529</v>
      </c>
      <c r="T658" s="815" t="s">
        <v>172</v>
      </c>
      <c r="U658" s="900" t="s">
        <v>1220</v>
      </c>
    </row>
    <row r="659" spans="1:21" x14ac:dyDescent="0.25">
      <c r="A659" s="813">
        <v>902</v>
      </c>
      <c r="B659" s="813" t="s">
        <v>366</v>
      </c>
      <c r="C659" s="813" t="s">
        <v>906</v>
      </c>
      <c r="D659" s="813" t="s">
        <v>14</v>
      </c>
      <c r="E659" s="813" t="s">
        <v>14</v>
      </c>
      <c r="F659" s="813" t="s">
        <v>869</v>
      </c>
      <c r="H659" s="819" t="s">
        <v>39</v>
      </c>
      <c r="I659" s="820" t="s">
        <v>20</v>
      </c>
      <c r="J659" s="820" t="s">
        <v>428</v>
      </c>
      <c r="L659" s="821">
        <v>33</v>
      </c>
      <c r="M659" s="637">
        <v>33</v>
      </c>
      <c r="N659" s="637">
        <v>33</v>
      </c>
      <c r="O659" s="821">
        <v>30</v>
      </c>
      <c r="P659" s="637">
        <v>30</v>
      </c>
      <c r="Q659" s="637">
        <v>30</v>
      </c>
      <c r="R659" s="806" t="s">
        <v>507</v>
      </c>
      <c r="T659" s="815" t="s">
        <v>172</v>
      </c>
      <c r="U659" s="900" t="s">
        <v>1220</v>
      </c>
    </row>
    <row r="660" spans="1:21" x14ac:dyDescent="0.25">
      <c r="A660" s="813">
        <v>903</v>
      </c>
      <c r="B660" s="813" t="s">
        <v>366</v>
      </c>
      <c r="C660" s="813" t="s">
        <v>906</v>
      </c>
      <c r="D660" s="813" t="s">
        <v>14</v>
      </c>
      <c r="E660" s="813" t="s">
        <v>14</v>
      </c>
      <c r="F660" s="813" t="s">
        <v>875</v>
      </c>
      <c r="H660" s="819" t="s">
        <v>39</v>
      </c>
      <c r="I660" s="820" t="s">
        <v>20</v>
      </c>
      <c r="J660" s="820" t="s">
        <v>428</v>
      </c>
      <c r="L660" s="821">
        <v>44</v>
      </c>
      <c r="M660" s="637">
        <v>76</v>
      </c>
      <c r="N660" s="637">
        <v>76</v>
      </c>
      <c r="O660" s="821">
        <v>43</v>
      </c>
      <c r="P660" s="637">
        <v>74</v>
      </c>
      <c r="Q660" s="637">
        <v>74</v>
      </c>
      <c r="R660" s="806" t="s">
        <v>507</v>
      </c>
      <c r="T660" s="815" t="s">
        <v>172</v>
      </c>
      <c r="U660" s="900" t="s">
        <v>1220</v>
      </c>
    </row>
    <row r="661" spans="1:21" x14ac:dyDescent="0.25">
      <c r="A661" s="813">
        <v>904</v>
      </c>
      <c r="B661" s="813" t="s">
        <v>366</v>
      </c>
      <c r="C661" s="813" t="s">
        <v>906</v>
      </c>
      <c r="D661" s="813" t="s">
        <v>14</v>
      </c>
      <c r="E661" s="813" t="s">
        <v>14</v>
      </c>
      <c r="F661" s="813" t="s">
        <v>972</v>
      </c>
      <c r="G661" s="813" t="s">
        <v>868</v>
      </c>
      <c r="H661" s="819" t="s">
        <v>35</v>
      </c>
      <c r="I661" s="820" t="s">
        <v>20</v>
      </c>
      <c r="J661" s="820" t="s">
        <v>428</v>
      </c>
      <c r="L661" s="821">
        <v>2</v>
      </c>
      <c r="M661" s="637">
        <v>141</v>
      </c>
      <c r="N661" s="637">
        <v>1221.25</v>
      </c>
      <c r="O661" s="821">
        <v>2</v>
      </c>
      <c r="P661" s="637">
        <v>141</v>
      </c>
      <c r="Q661" s="637">
        <v>1221.25</v>
      </c>
      <c r="R661" s="813" t="s">
        <v>172</v>
      </c>
      <c r="T661" s="815" t="s">
        <v>172</v>
      </c>
      <c r="U661" s="900" t="s">
        <v>1220</v>
      </c>
    </row>
    <row r="662" spans="1:21" x14ac:dyDescent="0.25">
      <c r="A662" s="813">
        <v>905</v>
      </c>
      <c r="B662" s="813" t="s">
        <v>366</v>
      </c>
      <c r="C662" s="813" t="s">
        <v>906</v>
      </c>
      <c r="D662" s="813" t="s">
        <v>14</v>
      </c>
      <c r="E662" s="813" t="s">
        <v>14</v>
      </c>
      <c r="F662" s="813" t="s">
        <v>1045</v>
      </c>
      <c r="G662" s="813" t="s">
        <v>868</v>
      </c>
      <c r="H662" s="819" t="s">
        <v>35</v>
      </c>
      <c r="I662" s="820" t="s">
        <v>20</v>
      </c>
      <c r="J662" s="820" t="s">
        <v>428</v>
      </c>
      <c r="L662" s="821">
        <v>76</v>
      </c>
      <c r="M662" s="637">
        <v>8940</v>
      </c>
      <c r="N662" s="637">
        <v>53451.25</v>
      </c>
      <c r="O662" s="821">
        <v>70</v>
      </c>
      <c r="P662" s="637">
        <v>8528</v>
      </c>
      <c r="Q662" s="637">
        <v>50109.5</v>
      </c>
      <c r="R662" s="813" t="s">
        <v>172</v>
      </c>
      <c r="T662" s="815" t="s">
        <v>172</v>
      </c>
      <c r="U662" s="900" t="s">
        <v>1220</v>
      </c>
    </row>
    <row r="663" spans="1:21" x14ac:dyDescent="0.25">
      <c r="A663" s="813">
        <v>906</v>
      </c>
      <c r="B663" s="813" t="s">
        <v>366</v>
      </c>
      <c r="C663" s="813" t="s">
        <v>906</v>
      </c>
      <c r="D663" s="813" t="s">
        <v>14</v>
      </c>
      <c r="E663" s="813" t="s">
        <v>14</v>
      </c>
      <c r="F663" s="813" t="s">
        <v>1086</v>
      </c>
      <c r="G663" s="813" t="s">
        <v>933</v>
      </c>
      <c r="H663" s="819" t="s">
        <v>37</v>
      </c>
      <c r="I663" s="820" t="s">
        <v>20</v>
      </c>
      <c r="J663" s="820" t="s">
        <v>428</v>
      </c>
      <c r="L663" s="821">
        <v>6</v>
      </c>
      <c r="M663" s="637">
        <v>565</v>
      </c>
      <c r="N663" s="637">
        <v>7345</v>
      </c>
      <c r="O663" s="821">
        <v>6</v>
      </c>
      <c r="P663" s="637">
        <v>565</v>
      </c>
      <c r="Q663" s="637">
        <v>7345</v>
      </c>
      <c r="R663" s="813" t="s">
        <v>172</v>
      </c>
      <c r="T663" s="815">
        <v>13</v>
      </c>
      <c r="U663" s="900" t="s">
        <v>1220</v>
      </c>
    </row>
    <row r="664" spans="1:21" x14ac:dyDescent="0.25">
      <c r="A664" s="813">
        <v>909</v>
      </c>
      <c r="B664" s="813" t="s">
        <v>366</v>
      </c>
      <c r="C664" s="813" t="s">
        <v>909</v>
      </c>
      <c r="D664" s="813" t="s">
        <v>14</v>
      </c>
      <c r="E664" s="813" t="s">
        <v>15</v>
      </c>
      <c r="F664" s="813" t="s">
        <v>979</v>
      </c>
      <c r="G664" s="813" t="s">
        <v>863</v>
      </c>
      <c r="H664" s="819" t="s">
        <v>18</v>
      </c>
      <c r="I664" s="820" t="s">
        <v>15</v>
      </c>
      <c r="J664" s="820" t="s">
        <v>421</v>
      </c>
      <c r="L664" s="821">
        <v>1</v>
      </c>
      <c r="M664" s="637">
        <v>26</v>
      </c>
      <c r="N664" s="637">
        <v>208</v>
      </c>
      <c r="O664" s="821">
        <v>1</v>
      </c>
      <c r="P664" s="637">
        <v>26</v>
      </c>
      <c r="Q664" s="637">
        <v>208</v>
      </c>
      <c r="R664" s="813" t="s">
        <v>172</v>
      </c>
      <c r="T664" s="815" t="s">
        <v>172</v>
      </c>
      <c r="U664" s="900" t="s">
        <v>1220</v>
      </c>
    </row>
    <row r="665" spans="1:21" x14ac:dyDescent="0.25">
      <c r="A665" s="813">
        <v>910</v>
      </c>
      <c r="B665" s="813" t="s">
        <v>366</v>
      </c>
      <c r="C665" s="813" t="s">
        <v>909</v>
      </c>
      <c r="D665" s="813" t="s">
        <v>14</v>
      </c>
      <c r="E665" s="813" t="s">
        <v>15</v>
      </c>
      <c r="F665" s="813" t="s">
        <v>995</v>
      </c>
      <c r="G665" s="813" t="s">
        <v>863</v>
      </c>
      <c r="H665" s="819" t="s">
        <v>18</v>
      </c>
      <c r="I665" s="820" t="s">
        <v>15</v>
      </c>
      <c r="J665" s="820" t="s">
        <v>421</v>
      </c>
      <c r="L665" s="821">
        <v>1</v>
      </c>
      <c r="M665" s="637">
        <v>366</v>
      </c>
      <c r="N665" s="637">
        <v>1203.5</v>
      </c>
      <c r="O665" s="821">
        <v>1</v>
      </c>
      <c r="P665" s="637">
        <v>366</v>
      </c>
      <c r="Q665" s="637">
        <v>1203.5</v>
      </c>
      <c r="R665" s="813" t="s">
        <v>172</v>
      </c>
      <c r="T665" s="815" t="s">
        <v>172</v>
      </c>
      <c r="U665" s="900" t="s">
        <v>1220</v>
      </c>
    </row>
    <row r="666" spans="1:21" x14ac:dyDescent="0.25">
      <c r="A666" s="813">
        <v>911</v>
      </c>
      <c r="B666" s="813" t="s">
        <v>366</v>
      </c>
      <c r="C666" s="813" t="s">
        <v>909</v>
      </c>
      <c r="D666" s="813" t="s">
        <v>14</v>
      </c>
      <c r="E666" s="813" t="s">
        <v>15</v>
      </c>
      <c r="F666" s="813" t="s">
        <v>981</v>
      </c>
      <c r="G666" s="813" t="s">
        <v>863</v>
      </c>
      <c r="H666" s="819" t="s">
        <v>18</v>
      </c>
      <c r="I666" s="820" t="s">
        <v>15</v>
      </c>
      <c r="J666" s="820" t="s">
        <v>421</v>
      </c>
      <c r="L666" s="821">
        <v>37</v>
      </c>
      <c r="M666" s="637">
        <v>6739</v>
      </c>
      <c r="N666" s="637">
        <v>38329.75</v>
      </c>
      <c r="O666" s="821">
        <v>31</v>
      </c>
      <c r="P666" s="637">
        <v>6355</v>
      </c>
      <c r="Q666" s="637">
        <v>35543.75</v>
      </c>
      <c r="R666" s="813" t="s">
        <v>172</v>
      </c>
      <c r="T666" s="815" t="s">
        <v>172</v>
      </c>
      <c r="U666" s="900" t="s">
        <v>1220</v>
      </c>
    </row>
    <row r="667" spans="1:21" x14ac:dyDescent="0.25">
      <c r="A667" s="813">
        <v>912</v>
      </c>
      <c r="B667" s="813" t="s">
        <v>366</v>
      </c>
      <c r="C667" s="813" t="s">
        <v>909</v>
      </c>
      <c r="D667" s="813" t="s">
        <v>14</v>
      </c>
      <c r="E667" s="813" t="s">
        <v>15</v>
      </c>
      <c r="F667" s="813" t="s">
        <v>982</v>
      </c>
      <c r="G667" s="813" t="s">
        <v>957</v>
      </c>
      <c r="H667" s="819" t="s">
        <v>44</v>
      </c>
      <c r="I667" s="820" t="s">
        <v>15</v>
      </c>
      <c r="J667" s="820" t="s">
        <v>421</v>
      </c>
      <c r="L667" s="821">
        <v>4</v>
      </c>
      <c r="M667" s="637">
        <v>293</v>
      </c>
      <c r="N667" s="637">
        <v>2029.75</v>
      </c>
      <c r="O667" s="821">
        <v>4</v>
      </c>
      <c r="P667" s="637">
        <v>293</v>
      </c>
      <c r="Q667" s="637">
        <v>2029.75</v>
      </c>
      <c r="R667" s="813" t="s">
        <v>172</v>
      </c>
      <c r="T667" s="815" t="s">
        <v>172</v>
      </c>
      <c r="U667" s="900" t="s">
        <v>1220</v>
      </c>
    </row>
    <row r="668" spans="1:21" x14ac:dyDescent="0.25">
      <c r="A668" s="813">
        <v>913</v>
      </c>
      <c r="B668" s="813" t="s">
        <v>366</v>
      </c>
      <c r="C668" s="813" t="s">
        <v>1051</v>
      </c>
      <c r="D668" s="813" t="s">
        <v>13</v>
      </c>
      <c r="E668" s="813" t="s">
        <v>13</v>
      </c>
      <c r="F668" s="813" t="s">
        <v>1052</v>
      </c>
      <c r="G668" s="813" t="s">
        <v>1052</v>
      </c>
      <c r="H668" s="819" t="s">
        <v>391</v>
      </c>
      <c r="I668" s="820" t="s">
        <v>20</v>
      </c>
      <c r="J668" s="820" t="s">
        <v>16</v>
      </c>
      <c r="K668" s="813" t="s">
        <v>13</v>
      </c>
      <c r="L668" s="821">
        <v>3</v>
      </c>
      <c r="M668" s="637">
        <v>92</v>
      </c>
      <c r="N668" s="637">
        <v>717</v>
      </c>
      <c r="O668" s="821">
        <v>3</v>
      </c>
      <c r="P668" s="637">
        <v>92</v>
      </c>
      <c r="Q668" s="637">
        <v>717</v>
      </c>
      <c r="R668" s="813" t="s">
        <v>172</v>
      </c>
      <c r="T668" s="815" t="s">
        <v>172</v>
      </c>
      <c r="U668" s="899" t="s">
        <v>1219</v>
      </c>
    </row>
    <row r="669" spans="1:21" x14ac:dyDescent="0.25">
      <c r="A669" s="813">
        <v>917</v>
      </c>
      <c r="B669" s="813" t="s">
        <v>330</v>
      </c>
      <c r="C669" s="813" t="s">
        <v>861</v>
      </c>
      <c r="D669" s="813" t="s">
        <v>14</v>
      </c>
      <c r="E669" s="813" t="s">
        <v>15</v>
      </c>
      <c r="F669" s="813" t="s">
        <v>991</v>
      </c>
      <c r="G669" s="813" t="s">
        <v>863</v>
      </c>
      <c r="H669" s="819" t="s">
        <v>18</v>
      </c>
      <c r="I669" s="820" t="s">
        <v>15</v>
      </c>
      <c r="J669" s="820" t="s">
        <v>421</v>
      </c>
      <c r="L669" s="821">
        <v>6</v>
      </c>
      <c r="M669" s="637">
        <v>1551</v>
      </c>
      <c r="N669" s="637">
        <v>5425.25</v>
      </c>
      <c r="O669" s="821">
        <v>6</v>
      </c>
      <c r="P669" s="637">
        <v>1551</v>
      </c>
      <c r="Q669" s="637">
        <v>5425.25</v>
      </c>
      <c r="R669" s="813" t="s">
        <v>172</v>
      </c>
      <c r="T669" s="815" t="s">
        <v>172</v>
      </c>
      <c r="U669" s="900" t="s">
        <v>1220</v>
      </c>
    </row>
    <row r="670" spans="1:21" x14ac:dyDescent="0.25">
      <c r="A670" s="813">
        <v>918</v>
      </c>
      <c r="B670" s="813" t="s">
        <v>330</v>
      </c>
      <c r="C670" s="813" t="s">
        <v>994</v>
      </c>
      <c r="D670" s="813" t="s">
        <v>495</v>
      </c>
      <c r="E670" s="813" t="s">
        <v>15</v>
      </c>
      <c r="F670" s="813" t="s">
        <v>898</v>
      </c>
      <c r="G670" s="813" t="s">
        <v>863</v>
      </c>
      <c r="H670" s="819" t="s">
        <v>18</v>
      </c>
      <c r="I670" s="820" t="s">
        <v>15</v>
      </c>
      <c r="J670" s="820" t="s">
        <v>421</v>
      </c>
      <c r="L670" s="821">
        <v>1</v>
      </c>
      <c r="M670" s="637">
        <v>36</v>
      </c>
      <c r="N670" s="637">
        <v>360</v>
      </c>
      <c r="O670" s="821">
        <v>1</v>
      </c>
      <c r="P670" s="637">
        <v>36</v>
      </c>
      <c r="Q670" s="637">
        <v>360</v>
      </c>
      <c r="R670" s="813" t="s">
        <v>172</v>
      </c>
      <c r="T670" s="815" t="s">
        <v>172</v>
      </c>
      <c r="U670" s="900" t="s">
        <v>1220</v>
      </c>
    </row>
    <row r="671" spans="1:21" x14ac:dyDescent="0.25">
      <c r="A671" s="813">
        <v>920</v>
      </c>
      <c r="B671" s="813" t="s">
        <v>330</v>
      </c>
      <c r="C671" s="813" t="s">
        <v>876</v>
      </c>
      <c r="D671" s="813" t="s">
        <v>434</v>
      </c>
      <c r="E671" s="813" t="s">
        <v>15</v>
      </c>
      <c r="F671" s="813" t="s">
        <v>863</v>
      </c>
      <c r="G671" s="813" t="s">
        <v>863</v>
      </c>
      <c r="H671" s="819" t="s">
        <v>18</v>
      </c>
      <c r="I671" s="820" t="s">
        <v>15</v>
      </c>
      <c r="J671" s="820" t="s">
        <v>421</v>
      </c>
      <c r="L671" s="821">
        <v>18</v>
      </c>
      <c r="M671" s="637">
        <v>2221</v>
      </c>
      <c r="N671" s="637">
        <v>9862</v>
      </c>
      <c r="O671" s="821">
        <v>18</v>
      </c>
      <c r="P671" s="637">
        <v>2221</v>
      </c>
      <c r="Q671" s="637">
        <v>9862</v>
      </c>
      <c r="R671" s="813" t="s">
        <v>172</v>
      </c>
      <c r="T671" s="815" t="s">
        <v>172</v>
      </c>
      <c r="U671" s="900" t="s">
        <v>1220</v>
      </c>
    </row>
    <row r="672" spans="1:21" x14ac:dyDescent="0.25">
      <c r="A672" s="813">
        <v>923</v>
      </c>
      <c r="B672" s="813" t="s">
        <v>330</v>
      </c>
      <c r="C672" s="813" t="s">
        <v>897</v>
      </c>
      <c r="D672" s="813" t="s">
        <v>14</v>
      </c>
      <c r="E672" s="813" t="s">
        <v>15</v>
      </c>
      <c r="F672" s="813" t="s">
        <v>898</v>
      </c>
      <c r="G672" s="813" t="s">
        <v>863</v>
      </c>
      <c r="H672" s="819" t="s">
        <v>18</v>
      </c>
      <c r="I672" s="820" t="s">
        <v>15</v>
      </c>
      <c r="J672" s="820" t="s">
        <v>421</v>
      </c>
      <c r="L672" s="821">
        <v>7</v>
      </c>
      <c r="M672" s="637">
        <v>1206</v>
      </c>
      <c r="N672" s="637">
        <v>6175.5</v>
      </c>
      <c r="O672" s="821">
        <v>7</v>
      </c>
      <c r="P672" s="637">
        <v>1206</v>
      </c>
      <c r="Q672" s="637">
        <v>6175.5</v>
      </c>
      <c r="R672" s="813" t="s">
        <v>172</v>
      </c>
      <c r="T672" s="815" t="s">
        <v>172</v>
      </c>
      <c r="U672" s="900" t="s">
        <v>1220</v>
      </c>
    </row>
    <row r="673" spans="1:21" x14ac:dyDescent="0.25">
      <c r="A673" s="813">
        <v>925</v>
      </c>
      <c r="B673" s="813" t="s">
        <v>330</v>
      </c>
      <c r="C673" s="813" t="s">
        <v>909</v>
      </c>
      <c r="D673" s="813" t="s">
        <v>14</v>
      </c>
      <c r="E673" s="813" t="s">
        <v>15</v>
      </c>
      <c r="F673" s="813" t="s">
        <v>1087</v>
      </c>
      <c r="G673" s="813" t="s">
        <v>863</v>
      </c>
      <c r="H673" s="819" t="s">
        <v>18</v>
      </c>
      <c r="I673" s="820" t="s">
        <v>15</v>
      </c>
      <c r="J673" s="820" t="s">
        <v>421</v>
      </c>
      <c r="L673" s="821">
        <v>2</v>
      </c>
      <c r="M673" s="637">
        <v>78</v>
      </c>
      <c r="N673" s="637">
        <v>690.75</v>
      </c>
      <c r="O673" s="821">
        <v>2</v>
      </c>
      <c r="P673" s="637">
        <v>78</v>
      </c>
      <c r="Q673" s="637">
        <v>690.75</v>
      </c>
      <c r="R673" s="813" t="s">
        <v>172</v>
      </c>
      <c r="T673" s="815" t="s">
        <v>172</v>
      </c>
      <c r="U673" s="900" t="s">
        <v>1220</v>
      </c>
    </row>
    <row r="674" spans="1:21" x14ac:dyDescent="0.25">
      <c r="A674" s="813">
        <v>926</v>
      </c>
      <c r="B674" s="813" t="s">
        <v>330</v>
      </c>
      <c r="C674" s="813" t="s">
        <v>1000</v>
      </c>
      <c r="D674" s="813" t="s">
        <v>14</v>
      </c>
      <c r="E674" s="813" t="s">
        <v>15</v>
      </c>
      <c r="F674" s="813" t="s">
        <v>898</v>
      </c>
      <c r="G674" s="813" t="s">
        <v>863</v>
      </c>
      <c r="H674" s="819" t="s">
        <v>18</v>
      </c>
      <c r="I674" s="820" t="s">
        <v>15</v>
      </c>
      <c r="J674" s="820" t="s">
        <v>421</v>
      </c>
      <c r="L674" s="821">
        <v>1</v>
      </c>
      <c r="M674" s="637">
        <v>18</v>
      </c>
      <c r="N674" s="637">
        <v>180</v>
      </c>
      <c r="O674" s="821">
        <v>1</v>
      </c>
      <c r="P674" s="637">
        <v>18</v>
      </c>
      <c r="Q674" s="637">
        <v>180</v>
      </c>
      <c r="R674" s="813" t="s">
        <v>172</v>
      </c>
      <c r="T674" s="815" t="s">
        <v>172</v>
      </c>
      <c r="U674" s="900" t="s">
        <v>1220</v>
      </c>
    </row>
    <row r="675" spans="1:21" x14ac:dyDescent="0.25">
      <c r="A675" s="813">
        <v>928</v>
      </c>
      <c r="B675" s="813" t="s">
        <v>331</v>
      </c>
      <c r="C675" s="813" t="s">
        <v>876</v>
      </c>
      <c r="D675" s="813" t="s">
        <v>434</v>
      </c>
      <c r="E675" s="813" t="s">
        <v>15</v>
      </c>
      <c r="F675" s="813" t="s">
        <v>863</v>
      </c>
      <c r="G675" s="813" t="s">
        <v>863</v>
      </c>
      <c r="H675" s="819" t="s">
        <v>18</v>
      </c>
      <c r="I675" s="820" t="s">
        <v>15</v>
      </c>
      <c r="J675" s="820" t="s">
        <v>421</v>
      </c>
      <c r="L675" s="821">
        <v>18</v>
      </c>
      <c r="M675" s="637">
        <v>2974</v>
      </c>
      <c r="N675" s="637">
        <v>10685.5</v>
      </c>
      <c r="O675" s="821">
        <v>18</v>
      </c>
      <c r="P675" s="637">
        <v>2974</v>
      </c>
      <c r="Q675" s="637">
        <v>10685.5</v>
      </c>
      <c r="R675" s="813" t="s">
        <v>172</v>
      </c>
      <c r="T675" s="815" t="s">
        <v>172</v>
      </c>
      <c r="U675" s="900" t="s">
        <v>1220</v>
      </c>
    </row>
    <row r="676" spans="1:21" x14ac:dyDescent="0.25">
      <c r="A676" s="813">
        <v>930</v>
      </c>
      <c r="B676" s="813" t="s">
        <v>331</v>
      </c>
      <c r="C676" s="813" t="s">
        <v>897</v>
      </c>
      <c r="D676" s="813" t="s">
        <v>14</v>
      </c>
      <c r="E676" s="813" t="s">
        <v>15</v>
      </c>
      <c r="F676" s="813" t="s">
        <v>898</v>
      </c>
      <c r="G676" s="813" t="s">
        <v>863</v>
      </c>
      <c r="H676" s="819" t="s">
        <v>18</v>
      </c>
      <c r="I676" s="820" t="s">
        <v>15</v>
      </c>
      <c r="J676" s="820" t="s">
        <v>421</v>
      </c>
      <c r="L676" s="821">
        <v>4</v>
      </c>
      <c r="M676" s="637">
        <v>489</v>
      </c>
      <c r="N676" s="637">
        <v>2170.75</v>
      </c>
      <c r="O676" s="821">
        <v>4</v>
      </c>
      <c r="P676" s="637">
        <v>489</v>
      </c>
      <c r="Q676" s="637">
        <v>2170.75</v>
      </c>
      <c r="R676" s="813" t="s">
        <v>172</v>
      </c>
      <c r="T676" s="815" t="s">
        <v>172</v>
      </c>
      <c r="U676" s="900" t="s">
        <v>1220</v>
      </c>
    </row>
    <row r="677" spans="1:21" x14ac:dyDescent="0.25">
      <c r="A677" s="813">
        <v>933</v>
      </c>
      <c r="B677" s="813" t="s">
        <v>331</v>
      </c>
      <c r="C677" s="813" t="s">
        <v>909</v>
      </c>
      <c r="D677" s="813" t="s">
        <v>14</v>
      </c>
      <c r="E677" s="813" t="s">
        <v>15</v>
      </c>
      <c r="F677" s="813" t="s">
        <v>1003</v>
      </c>
      <c r="G677" s="813" t="s">
        <v>863</v>
      </c>
      <c r="H677" s="819" t="s">
        <v>18</v>
      </c>
      <c r="I677" s="820" t="s">
        <v>15</v>
      </c>
      <c r="J677" s="820" t="s">
        <v>421</v>
      </c>
      <c r="L677" s="821">
        <v>20</v>
      </c>
      <c r="M677" s="637">
        <v>3776</v>
      </c>
      <c r="N677" s="637">
        <v>14770.75</v>
      </c>
      <c r="O677" s="821">
        <v>20</v>
      </c>
      <c r="P677" s="637">
        <v>3776</v>
      </c>
      <c r="Q677" s="637">
        <v>14770.75</v>
      </c>
      <c r="R677" s="813" t="s">
        <v>172</v>
      </c>
      <c r="T677" s="815" t="s">
        <v>172</v>
      </c>
      <c r="U677" s="900" t="s">
        <v>1220</v>
      </c>
    </row>
    <row r="678" spans="1:21" x14ac:dyDescent="0.25">
      <c r="A678" s="813">
        <v>937</v>
      </c>
      <c r="B678" s="813" t="s">
        <v>332</v>
      </c>
      <c r="C678" s="813" t="s">
        <v>876</v>
      </c>
      <c r="D678" s="813" t="s">
        <v>434</v>
      </c>
      <c r="E678" s="813" t="s">
        <v>15</v>
      </c>
      <c r="F678" s="813" t="s">
        <v>863</v>
      </c>
      <c r="G678" s="813" t="s">
        <v>863</v>
      </c>
      <c r="H678" s="819" t="s">
        <v>18</v>
      </c>
      <c r="I678" s="820" t="s">
        <v>15</v>
      </c>
      <c r="J678" s="820" t="s">
        <v>421</v>
      </c>
      <c r="L678" s="821">
        <v>37</v>
      </c>
      <c r="M678" s="637">
        <v>5356</v>
      </c>
      <c r="N678" s="637">
        <v>26517.25</v>
      </c>
      <c r="O678" s="821">
        <v>36</v>
      </c>
      <c r="P678" s="637">
        <v>5330</v>
      </c>
      <c r="Q678" s="637">
        <v>26407.25</v>
      </c>
      <c r="R678" s="813" t="s">
        <v>172</v>
      </c>
      <c r="T678" s="815" t="s">
        <v>172</v>
      </c>
      <c r="U678" s="900" t="s">
        <v>1220</v>
      </c>
    </row>
    <row r="679" spans="1:21" x14ac:dyDescent="0.25">
      <c r="A679" s="813">
        <v>938</v>
      </c>
      <c r="B679" s="813" t="s">
        <v>332</v>
      </c>
      <c r="C679" s="813" t="s">
        <v>876</v>
      </c>
      <c r="D679" s="813" t="s">
        <v>434</v>
      </c>
      <c r="E679" s="813" t="s">
        <v>15</v>
      </c>
      <c r="F679" s="813" t="s">
        <v>957</v>
      </c>
      <c r="G679" s="813" t="s">
        <v>957</v>
      </c>
      <c r="H679" s="819" t="s">
        <v>44</v>
      </c>
      <c r="I679" s="820" t="s">
        <v>15</v>
      </c>
      <c r="J679" s="820" t="s">
        <v>421</v>
      </c>
      <c r="L679" s="821">
        <v>2</v>
      </c>
      <c r="M679" s="637">
        <v>76</v>
      </c>
      <c r="N679" s="637">
        <v>152</v>
      </c>
      <c r="O679" s="821">
        <v>2</v>
      </c>
      <c r="P679" s="637">
        <v>76</v>
      </c>
      <c r="Q679" s="637">
        <v>152</v>
      </c>
      <c r="R679" s="813" t="s">
        <v>172</v>
      </c>
      <c r="T679" s="815" t="s">
        <v>172</v>
      </c>
      <c r="U679" s="900" t="s">
        <v>1220</v>
      </c>
    </row>
    <row r="680" spans="1:21" x14ac:dyDescent="0.25">
      <c r="A680" s="813">
        <v>941</v>
      </c>
      <c r="B680" s="813" t="s">
        <v>332</v>
      </c>
      <c r="C680" s="813" t="s">
        <v>897</v>
      </c>
      <c r="D680" s="813" t="s">
        <v>14</v>
      </c>
      <c r="E680" s="813" t="s">
        <v>15</v>
      </c>
      <c r="F680" s="813" t="s">
        <v>898</v>
      </c>
      <c r="G680" s="813" t="s">
        <v>863</v>
      </c>
      <c r="H680" s="819" t="s">
        <v>18</v>
      </c>
      <c r="I680" s="820" t="s">
        <v>15</v>
      </c>
      <c r="J680" s="820" t="s">
        <v>421</v>
      </c>
      <c r="L680" s="821">
        <v>6</v>
      </c>
      <c r="M680" s="637">
        <v>1295</v>
      </c>
      <c r="N680" s="637">
        <v>5090</v>
      </c>
      <c r="O680" s="821">
        <v>6</v>
      </c>
      <c r="P680" s="637">
        <v>1295</v>
      </c>
      <c r="Q680" s="637">
        <v>5090</v>
      </c>
      <c r="R680" s="813" t="s">
        <v>172</v>
      </c>
      <c r="T680" s="815" t="s">
        <v>172</v>
      </c>
      <c r="U680" s="900" t="s">
        <v>1220</v>
      </c>
    </row>
    <row r="681" spans="1:21" x14ac:dyDescent="0.25">
      <c r="A681" s="813">
        <v>945</v>
      </c>
      <c r="B681" s="813" t="s">
        <v>332</v>
      </c>
      <c r="C681" s="813" t="s">
        <v>909</v>
      </c>
      <c r="D681" s="813" t="s">
        <v>14</v>
      </c>
      <c r="E681" s="813" t="s">
        <v>15</v>
      </c>
      <c r="F681" s="813" t="s">
        <v>1088</v>
      </c>
      <c r="G681" s="813" t="s">
        <v>863</v>
      </c>
      <c r="H681" s="819" t="s">
        <v>18</v>
      </c>
      <c r="I681" s="820" t="s">
        <v>15</v>
      </c>
      <c r="J681" s="820" t="s">
        <v>421</v>
      </c>
      <c r="L681" s="821">
        <v>36</v>
      </c>
      <c r="M681" s="637">
        <v>8423</v>
      </c>
      <c r="N681" s="637">
        <v>34658.25</v>
      </c>
      <c r="O681" s="821">
        <v>36</v>
      </c>
      <c r="P681" s="637">
        <v>8423</v>
      </c>
      <c r="Q681" s="637">
        <v>34658.25</v>
      </c>
      <c r="R681" s="813" t="s">
        <v>172</v>
      </c>
      <c r="T681" s="815" t="s">
        <v>172</v>
      </c>
      <c r="U681" s="900" t="s">
        <v>1220</v>
      </c>
    </row>
    <row r="682" spans="1:21" x14ac:dyDescent="0.25">
      <c r="A682" s="813">
        <v>946</v>
      </c>
      <c r="B682" s="813" t="s">
        <v>332</v>
      </c>
      <c r="C682" s="813" t="s">
        <v>909</v>
      </c>
      <c r="D682" s="813" t="s">
        <v>14</v>
      </c>
      <c r="E682" s="813" t="s">
        <v>15</v>
      </c>
      <c r="F682" s="813" t="s">
        <v>1089</v>
      </c>
      <c r="G682" s="813" t="s">
        <v>957</v>
      </c>
      <c r="H682" s="819" t="s">
        <v>44</v>
      </c>
      <c r="I682" s="820" t="s">
        <v>15</v>
      </c>
      <c r="J682" s="820" t="s">
        <v>421</v>
      </c>
      <c r="L682" s="821">
        <v>6</v>
      </c>
      <c r="M682" s="637">
        <v>2178</v>
      </c>
      <c r="N682" s="637">
        <v>19859</v>
      </c>
      <c r="O682" s="821">
        <v>6</v>
      </c>
      <c r="P682" s="637">
        <v>2178</v>
      </c>
      <c r="Q682" s="637">
        <v>19859</v>
      </c>
      <c r="R682" s="813" t="s">
        <v>172</v>
      </c>
      <c r="T682" s="815" t="s">
        <v>172</v>
      </c>
      <c r="U682" s="900" t="s">
        <v>1220</v>
      </c>
    </row>
    <row r="683" spans="1:21" x14ac:dyDescent="0.25">
      <c r="A683" s="813">
        <v>950</v>
      </c>
      <c r="B683" s="813" t="s">
        <v>333</v>
      </c>
      <c r="C683" s="813" t="s">
        <v>876</v>
      </c>
      <c r="D683" s="813" t="s">
        <v>434</v>
      </c>
      <c r="E683" s="813" t="s">
        <v>15</v>
      </c>
      <c r="F683" s="813" t="s">
        <v>863</v>
      </c>
      <c r="G683" s="813" t="s">
        <v>863</v>
      </c>
      <c r="H683" s="819" t="s">
        <v>18</v>
      </c>
      <c r="I683" s="820" t="s">
        <v>15</v>
      </c>
      <c r="J683" s="820" t="s">
        <v>421</v>
      </c>
      <c r="L683" s="821">
        <v>7</v>
      </c>
      <c r="M683" s="637">
        <v>1393</v>
      </c>
      <c r="N683" s="637">
        <v>6954.5</v>
      </c>
      <c r="O683" s="821">
        <v>7</v>
      </c>
      <c r="P683" s="637">
        <v>1393</v>
      </c>
      <c r="Q683" s="637">
        <v>6954.5</v>
      </c>
      <c r="R683" s="813" t="s">
        <v>172</v>
      </c>
      <c r="T683" s="815" t="s">
        <v>172</v>
      </c>
      <c r="U683" s="900" t="s">
        <v>1220</v>
      </c>
    </row>
    <row r="684" spans="1:21" x14ac:dyDescent="0.25">
      <c r="A684" s="813">
        <v>953</v>
      </c>
      <c r="B684" s="813" t="s">
        <v>333</v>
      </c>
      <c r="C684" s="813" t="s">
        <v>897</v>
      </c>
      <c r="D684" s="813" t="s">
        <v>14</v>
      </c>
      <c r="E684" s="813" t="s">
        <v>15</v>
      </c>
      <c r="F684" s="813" t="s">
        <v>898</v>
      </c>
      <c r="G684" s="813" t="s">
        <v>863</v>
      </c>
      <c r="H684" s="819" t="s">
        <v>18</v>
      </c>
      <c r="I684" s="820" t="s">
        <v>15</v>
      </c>
      <c r="J684" s="820" t="s">
        <v>421</v>
      </c>
      <c r="L684" s="821">
        <v>4</v>
      </c>
      <c r="M684" s="637">
        <v>891</v>
      </c>
      <c r="N684" s="637">
        <v>4934.75</v>
      </c>
      <c r="O684" s="821">
        <v>4</v>
      </c>
      <c r="P684" s="637">
        <v>891</v>
      </c>
      <c r="Q684" s="637">
        <v>4934.75</v>
      </c>
      <c r="R684" s="813" t="s">
        <v>172</v>
      </c>
      <c r="T684" s="815" t="s">
        <v>172</v>
      </c>
      <c r="U684" s="900" t="s">
        <v>1220</v>
      </c>
    </row>
    <row r="685" spans="1:21" x14ac:dyDescent="0.25">
      <c r="A685" s="813">
        <v>955</v>
      </c>
      <c r="B685" s="813" t="s">
        <v>334</v>
      </c>
      <c r="C685" s="813" t="s">
        <v>1059</v>
      </c>
      <c r="D685" s="813" t="s">
        <v>14</v>
      </c>
      <c r="E685" s="813" t="s">
        <v>15</v>
      </c>
      <c r="F685" s="813" t="s">
        <v>1060</v>
      </c>
      <c r="G685" s="813" t="s">
        <v>863</v>
      </c>
      <c r="H685" s="819" t="s">
        <v>18</v>
      </c>
      <c r="I685" s="820" t="s">
        <v>15</v>
      </c>
      <c r="J685" s="820" t="s">
        <v>421</v>
      </c>
      <c r="L685" s="821">
        <v>1</v>
      </c>
      <c r="M685" s="637">
        <v>71</v>
      </c>
      <c r="N685" s="637">
        <v>422.75</v>
      </c>
      <c r="O685" s="821">
        <v>1</v>
      </c>
      <c r="P685" s="637">
        <v>71</v>
      </c>
      <c r="Q685" s="637">
        <v>422.75</v>
      </c>
      <c r="R685" s="813" t="s">
        <v>172</v>
      </c>
      <c r="T685" s="815" t="s">
        <v>172</v>
      </c>
      <c r="U685" s="900" t="s">
        <v>1220</v>
      </c>
    </row>
    <row r="686" spans="1:21" x14ac:dyDescent="0.25">
      <c r="A686" s="813">
        <v>958</v>
      </c>
      <c r="B686" s="813" t="s">
        <v>334</v>
      </c>
      <c r="C686" s="813" t="s">
        <v>928</v>
      </c>
      <c r="D686" s="813" t="s">
        <v>14</v>
      </c>
      <c r="E686" s="813" t="s">
        <v>15</v>
      </c>
      <c r="F686" s="813" t="s">
        <v>863</v>
      </c>
      <c r="G686" s="813" t="s">
        <v>863</v>
      </c>
      <c r="H686" s="819" t="s">
        <v>18</v>
      </c>
      <c r="I686" s="820" t="s">
        <v>15</v>
      </c>
      <c r="J686" s="820" t="s">
        <v>421</v>
      </c>
      <c r="L686" s="821">
        <v>8</v>
      </c>
      <c r="M686" s="637">
        <v>673</v>
      </c>
      <c r="N686" s="637">
        <v>3447</v>
      </c>
      <c r="O686" s="821">
        <v>7</v>
      </c>
      <c r="P686" s="637">
        <v>644</v>
      </c>
      <c r="Q686" s="637">
        <v>3318.75</v>
      </c>
      <c r="R686" s="813" t="s">
        <v>172</v>
      </c>
      <c r="T686" s="815" t="s">
        <v>172</v>
      </c>
      <c r="U686" s="900" t="s">
        <v>1220</v>
      </c>
    </row>
    <row r="687" spans="1:21" x14ac:dyDescent="0.25">
      <c r="A687" s="813">
        <v>959</v>
      </c>
      <c r="B687" s="813" t="s">
        <v>334</v>
      </c>
      <c r="C687" s="813" t="s">
        <v>874</v>
      </c>
      <c r="D687" s="813" t="s">
        <v>434</v>
      </c>
      <c r="E687" s="813" t="s">
        <v>14</v>
      </c>
      <c r="F687" s="813" t="s">
        <v>868</v>
      </c>
      <c r="G687" s="813" t="s">
        <v>868</v>
      </c>
      <c r="H687" s="819" t="s">
        <v>35</v>
      </c>
      <c r="I687" s="820" t="s">
        <v>20</v>
      </c>
      <c r="J687" s="820" t="s">
        <v>428</v>
      </c>
      <c r="L687" s="821">
        <v>1</v>
      </c>
      <c r="M687" s="637">
        <v>3</v>
      </c>
      <c r="N687" s="637">
        <v>10.5</v>
      </c>
      <c r="O687" s="821">
        <v>1</v>
      </c>
      <c r="P687" s="637">
        <v>3</v>
      </c>
      <c r="Q687" s="637">
        <v>10.5</v>
      </c>
      <c r="R687" s="813" t="s">
        <v>172</v>
      </c>
      <c r="T687" s="815" t="s">
        <v>172</v>
      </c>
      <c r="U687" s="900" t="s">
        <v>1220</v>
      </c>
    </row>
    <row r="688" spans="1:21" x14ac:dyDescent="0.25">
      <c r="A688" s="813">
        <v>962</v>
      </c>
      <c r="B688" s="813" t="s">
        <v>334</v>
      </c>
      <c r="C688" s="813" t="s">
        <v>876</v>
      </c>
      <c r="D688" s="813" t="s">
        <v>434</v>
      </c>
      <c r="E688" s="813" t="s">
        <v>15</v>
      </c>
      <c r="F688" s="813" t="s">
        <v>863</v>
      </c>
      <c r="G688" s="813" t="s">
        <v>863</v>
      </c>
      <c r="H688" s="819" t="s">
        <v>18</v>
      </c>
      <c r="I688" s="820" t="s">
        <v>15</v>
      </c>
      <c r="J688" s="820" t="s">
        <v>421</v>
      </c>
      <c r="L688" s="821">
        <v>9</v>
      </c>
      <c r="M688" s="637">
        <v>1162</v>
      </c>
      <c r="N688" s="637">
        <v>4331.75</v>
      </c>
      <c r="O688" s="821">
        <v>9</v>
      </c>
      <c r="P688" s="637">
        <v>1162</v>
      </c>
      <c r="Q688" s="637">
        <v>4331.75</v>
      </c>
      <c r="R688" s="813" t="s">
        <v>172</v>
      </c>
      <c r="T688" s="815" t="s">
        <v>172</v>
      </c>
      <c r="U688" s="900" t="s">
        <v>1220</v>
      </c>
    </row>
    <row r="689" spans="1:21" x14ac:dyDescent="0.25">
      <c r="A689" s="813">
        <v>963</v>
      </c>
      <c r="B689" s="813" t="s">
        <v>334</v>
      </c>
      <c r="C689" s="813" t="s">
        <v>894</v>
      </c>
      <c r="D689" s="813" t="s">
        <v>14</v>
      </c>
      <c r="E689" s="813" t="s">
        <v>14</v>
      </c>
      <c r="F689" s="813" t="s">
        <v>896</v>
      </c>
      <c r="G689" s="813" t="s">
        <v>895</v>
      </c>
      <c r="H689" s="819" t="s">
        <v>39</v>
      </c>
      <c r="I689" s="820" t="s">
        <v>20</v>
      </c>
      <c r="J689" s="820" t="s">
        <v>428</v>
      </c>
      <c r="L689" s="821">
        <v>1</v>
      </c>
      <c r="M689" s="637">
        <v>1</v>
      </c>
      <c r="N689" s="637">
        <v>1</v>
      </c>
      <c r="O689" s="821">
        <v>0</v>
      </c>
      <c r="P689" s="637">
        <v>0</v>
      </c>
      <c r="Q689" s="637">
        <v>0</v>
      </c>
      <c r="R689" s="813" t="s">
        <v>529</v>
      </c>
      <c r="T689" s="815" t="s">
        <v>172</v>
      </c>
      <c r="U689" s="900" t="s">
        <v>1220</v>
      </c>
    </row>
    <row r="690" spans="1:21" x14ac:dyDescent="0.25">
      <c r="A690" s="813">
        <v>965</v>
      </c>
      <c r="B690" s="813" t="s">
        <v>334</v>
      </c>
      <c r="C690" s="813" t="s">
        <v>935</v>
      </c>
      <c r="D690" s="813" t="s">
        <v>495</v>
      </c>
      <c r="E690" s="813" t="s">
        <v>15</v>
      </c>
      <c r="F690" s="813" t="s">
        <v>1090</v>
      </c>
      <c r="G690" s="813" t="s">
        <v>957</v>
      </c>
      <c r="H690" s="819" t="s">
        <v>44</v>
      </c>
      <c r="I690" s="820" t="s">
        <v>15</v>
      </c>
      <c r="J690" s="820" t="s">
        <v>421</v>
      </c>
      <c r="L690" s="821">
        <v>2</v>
      </c>
      <c r="M690" s="637">
        <v>133</v>
      </c>
      <c r="N690" s="637">
        <v>906.5</v>
      </c>
      <c r="O690" s="821">
        <v>2</v>
      </c>
      <c r="P690" s="637">
        <v>133</v>
      </c>
      <c r="Q690" s="637">
        <v>906.5</v>
      </c>
      <c r="R690" s="813" t="s">
        <v>172</v>
      </c>
      <c r="T690" s="815" t="s">
        <v>172</v>
      </c>
      <c r="U690" s="900" t="s">
        <v>1220</v>
      </c>
    </row>
    <row r="691" spans="1:21" x14ac:dyDescent="0.25">
      <c r="A691" s="813">
        <v>966</v>
      </c>
      <c r="B691" s="813" t="s">
        <v>334</v>
      </c>
      <c r="C691" s="813" t="s">
        <v>935</v>
      </c>
      <c r="D691" s="813" t="s">
        <v>495</v>
      </c>
      <c r="E691" s="813" t="s">
        <v>15</v>
      </c>
      <c r="F691" s="813" t="s">
        <v>989</v>
      </c>
      <c r="G691" s="813" t="s">
        <v>863</v>
      </c>
      <c r="H691" s="819" t="s">
        <v>18</v>
      </c>
      <c r="I691" s="820" t="s">
        <v>15</v>
      </c>
      <c r="J691" s="820" t="s">
        <v>421</v>
      </c>
      <c r="L691" s="821">
        <v>5</v>
      </c>
      <c r="M691" s="637">
        <v>1110</v>
      </c>
      <c r="N691" s="637">
        <v>4694.75</v>
      </c>
      <c r="O691" s="821">
        <v>5</v>
      </c>
      <c r="P691" s="637">
        <v>1110</v>
      </c>
      <c r="Q691" s="637">
        <v>4694.75</v>
      </c>
      <c r="R691" s="813" t="s">
        <v>172</v>
      </c>
      <c r="T691" s="815" t="s">
        <v>172</v>
      </c>
      <c r="U691" s="900" t="s">
        <v>1220</v>
      </c>
    </row>
    <row r="692" spans="1:21" x14ac:dyDescent="0.25">
      <c r="A692" s="813">
        <v>969</v>
      </c>
      <c r="B692" s="813" t="s">
        <v>334</v>
      </c>
      <c r="C692" s="813" t="s">
        <v>938</v>
      </c>
      <c r="D692" s="813" t="s">
        <v>495</v>
      </c>
      <c r="E692" s="813" t="s">
        <v>15</v>
      </c>
      <c r="F692" s="813" t="s">
        <v>989</v>
      </c>
      <c r="G692" s="813" t="s">
        <v>863</v>
      </c>
      <c r="H692" s="819" t="s">
        <v>18</v>
      </c>
      <c r="I692" s="820" t="s">
        <v>15</v>
      </c>
      <c r="J692" s="820" t="s">
        <v>421</v>
      </c>
      <c r="L692" s="821">
        <v>1</v>
      </c>
      <c r="M692" s="637">
        <v>186</v>
      </c>
      <c r="N692" s="637">
        <v>557</v>
      </c>
      <c r="O692" s="821">
        <v>1</v>
      </c>
      <c r="P692" s="637">
        <v>186</v>
      </c>
      <c r="Q692" s="637">
        <v>557</v>
      </c>
      <c r="R692" s="813" t="s">
        <v>172</v>
      </c>
      <c r="T692" s="815" t="s">
        <v>172</v>
      </c>
      <c r="U692" s="900" t="s">
        <v>1220</v>
      </c>
    </row>
    <row r="693" spans="1:21" x14ac:dyDescent="0.25">
      <c r="A693" s="813">
        <v>972</v>
      </c>
      <c r="B693" s="813" t="s">
        <v>334</v>
      </c>
      <c r="C693" s="813" t="s">
        <v>1091</v>
      </c>
      <c r="D693" s="813" t="s">
        <v>14</v>
      </c>
      <c r="E693" s="813" t="s">
        <v>15</v>
      </c>
      <c r="F693" s="813" t="s">
        <v>898</v>
      </c>
      <c r="G693" s="813" t="s">
        <v>863</v>
      </c>
      <c r="H693" s="819" t="s">
        <v>18</v>
      </c>
      <c r="I693" s="820" t="s">
        <v>15</v>
      </c>
      <c r="J693" s="820" t="s">
        <v>421</v>
      </c>
      <c r="L693" s="821">
        <v>1</v>
      </c>
      <c r="M693" s="637">
        <v>259</v>
      </c>
      <c r="N693" s="637">
        <v>985</v>
      </c>
      <c r="O693" s="821">
        <v>1</v>
      </c>
      <c r="P693" s="637">
        <v>259</v>
      </c>
      <c r="Q693" s="637">
        <v>985</v>
      </c>
      <c r="R693" s="813" t="s">
        <v>172</v>
      </c>
      <c r="T693" s="815" t="s">
        <v>172</v>
      </c>
      <c r="U693" s="900" t="s">
        <v>1220</v>
      </c>
    </row>
    <row r="694" spans="1:21" x14ac:dyDescent="0.25">
      <c r="A694" s="813">
        <v>975</v>
      </c>
      <c r="B694" s="813" t="s">
        <v>334</v>
      </c>
      <c r="C694" s="813" t="s">
        <v>909</v>
      </c>
      <c r="D694" s="813" t="s">
        <v>14</v>
      </c>
      <c r="E694" s="813" t="s">
        <v>15</v>
      </c>
      <c r="F694" s="813" t="s">
        <v>1092</v>
      </c>
      <c r="G694" s="813" t="s">
        <v>863</v>
      </c>
      <c r="H694" s="819" t="s">
        <v>18</v>
      </c>
      <c r="I694" s="820" t="s">
        <v>15</v>
      </c>
      <c r="J694" s="820" t="s">
        <v>421</v>
      </c>
      <c r="L694" s="821">
        <v>28</v>
      </c>
      <c r="M694" s="637">
        <v>6842</v>
      </c>
      <c r="N694" s="637">
        <v>32486</v>
      </c>
      <c r="O694" s="821">
        <v>27</v>
      </c>
      <c r="P694" s="637">
        <v>6826</v>
      </c>
      <c r="Q694" s="637">
        <v>32394</v>
      </c>
      <c r="R694" s="813" t="s">
        <v>172</v>
      </c>
      <c r="T694" s="815" t="s">
        <v>172</v>
      </c>
      <c r="U694" s="900" t="s">
        <v>1220</v>
      </c>
    </row>
    <row r="695" spans="1:21" x14ac:dyDescent="0.25">
      <c r="A695" s="813">
        <v>976</v>
      </c>
      <c r="B695" s="813" t="s">
        <v>334</v>
      </c>
      <c r="C695" s="813" t="s">
        <v>909</v>
      </c>
      <c r="D695" s="813" t="s">
        <v>14</v>
      </c>
      <c r="E695" s="813" t="s">
        <v>15</v>
      </c>
      <c r="F695" s="813" t="s">
        <v>1093</v>
      </c>
      <c r="G695" s="813" t="s">
        <v>863</v>
      </c>
      <c r="H695" s="819" t="s">
        <v>18</v>
      </c>
      <c r="I695" s="820" t="s">
        <v>15</v>
      </c>
      <c r="J695" s="820" t="s">
        <v>421</v>
      </c>
      <c r="L695" s="821">
        <v>1</v>
      </c>
      <c r="M695" s="637">
        <v>87</v>
      </c>
      <c r="N695" s="637">
        <v>221.25</v>
      </c>
      <c r="O695" s="821">
        <v>1</v>
      </c>
      <c r="P695" s="637">
        <v>87</v>
      </c>
      <c r="Q695" s="637">
        <v>221.25</v>
      </c>
      <c r="R695" s="813" t="s">
        <v>172</v>
      </c>
      <c r="T695" s="815" t="s">
        <v>172</v>
      </c>
      <c r="U695" s="900" t="s">
        <v>1220</v>
      </c>
    </row>
    <row r="696" spans="1:21" x14ac:dyDescent="0.25">
      <c r="A696" s="813">
        <v>977</v>
      </c>
      <c r="B696" s="813" t="s">
        <v>335</v>
      </c>
      <c r="C696" s="813" t="s">
        <v>994</v>
      </c>
      <c r="D696" s="813" t="s">
        <v>495</v>
      </c>
      <c r="E696" s="813" t="s">
        <v>15</v>
      </c>
      <c r="F696" s="813" t="s">
        <v>898</v>
      </c>
      <c r="G696" s="813" t="s">
        <v>863</v>
      </c>
      <c r="H696" s="819" t="s">
        <v>18</v>
      </c>
      <c r="I696" s="820" t="s">
        <v>15</v>
      </c>
      <c r="J696" s="820" t="s">
        <v>421</v>
      </c>
      <c r="L696" s="821">
        <v>2</v>
      </c>
      <c r="M696" s="637">
        <v>102</v>
      </c>
      <c r="N696" s="637">
        <v>582.5</v>
      </c>
      <c r="O696" s="821">
        <v>2</v>
      </c>
      <c r="P696" s="637">
        <v>102</v>
      </c>
      <c r="Q696" s="637">
        <v>582.5</v>
      </c>
      <c r="R696" s="813" t="s">
        <v>172</v>
      </c>
      <c r="T696" s="815" t="s">
        <v>172</v>
      </c>
      <c r="U696" s="900" t="s">
        <v>1220</v>
      </c>
    </row>
    <row r="697" spans="1:21" x14ac:dyDescent="0.25">
      <c r="A697" s="813">
        <v>979</v>
      </c>
      <c r="B697" s="813" t="s">
        <v>335</v>
      </c>
      <c r="C697" s="813" t="s">
        <v>876</v>
      </c>
      <c r="D697" s="813" t="s">
        <v>434</v>
      </c>
      <c r="E697" s="813" t="s">
        <v>15</v>
      </c>
      <c r="F697" s="813" t="s">
        <v>863</v>
      </c>
      <c r="G697" s="813" t="s">
        <v>863</v>
      </c>
      <c r="H697" s="819" t="s">
        <v>18</v>
      </c>
      <c r="I697" s="820" t="s">
        <v>15</v>
      </c>
      <c r="J697" s="820" t="s">
        <v>421</v>
      </c>
      <c r="L697" s="821">
        <v>3</v>
      </c>
      <c r="M697" s="637">
        <v>613</v>
      </c>
      <c r="N697" s="637">
        <v>2834</v>
      </c>
      <c r="O697" s="821">
        <v>3</v>
      </c>
      <c r="P697" s="637">
        <v>613</v>
      </c>
      <c r="Q697" s="637">
        <v>2834</v>
      </c>
      <c r="R697" s="813" t="s">
        <v>172</v>
      </c>
      <c r="T697" s="815" t="s">
        <v>172</v>
      </c>
      <c r="U697" s="900" t="s">
        <v>1220</v>
      </c>
    </row>
    <row r="698" spans="1:21" x14ac:dyDescent="0.25">
      <c r="A698" s="813">
        <v>981</v>
      </c>
      <c r="B698" s="813" t="s">
        <v>335</v>
      </c>
      <c r="C698" s="813" t="s">
        <v>897</v>
      </c>
      <c r="D698" s="813" t="s">
        <v>14</v>
      </c>
      <c r="E698" s="813" t="s">
        <v>15</v>
      </c>
      <c r="F698" s="813" t="s">
        <v>898</v>
      </c>
      <c r="G698" s="813" t="s">
        <v>863</v>
      </c>
      <c r="H698" s="819" t="s">
        <v>18</v>
      </c>
      <c r="I698" s="820" t="s">
        <v>15</v>
      </c>
      <c r="J698" s="820" t="s">
        <v>421</v>
      </c>
      <c r="L698" s="821">
        <v>1</v>
      </c>
      <c r="M698" s="637">
        <v>75</v>
      </c>
      <c r="N698" s="637">
        <v>251.25</v>
      </c>
      <c r="O698" s="821">
        <v>1</v>
      </c>
      <c r="P698" s="637">
        <v>75</v>
      </c>
      <c r="Q698" s="637">
        <v>251.25</v>
      </c>
      <c r="R698" s="813" t="s">
        <v>172</v>
      </c>
      <c r="T698" s="815" t="s">
        <v>172</v>
      </c>
      <c r="U698" s="900" t="s">
        <v>1220</v>
      </c>
    </row>
    <row r="699" spans="1:21" x14ac:dyDescent="0.25">
      <c r="A699" s="813">
        <v>983</v>
      </c>
      <c r="B699" s="813" t="s">
        <v>335</v>
      </c>
      <c r="C699" s="813" t="s">
        <v>909</v>
      </c>
      <c r="D699" s="813" t="s">
        <v>14</v>
      </c>
      <c r="E699" s="813" t="s">
        <v>15</v>
      </c>
      <c r="F699" s="813" t="s">
        <v>1094</v>
      </c>
      <c r="G699" s="813" t="s">
        <v>863</v>
      </c>
      <c r="H699" s="819" t="s">
        <v>18</v>
      </c>
      <c r="I699" s="820" t="s">
        <v>15</v>
      </c>
      <c r="J699" s="820" t="s">
        <v>421</v>
      </c>
      <c r="L699" s="821">
        <v>2</v>
      </c>
      <c r="M699" s="637">
        <v>150</v>
      </c>
      <c r="N699" s="637">
        <v>938.25</v>
      </c>
      <c r="O699" s="821">
        <v>1</v>
      </c>
      <c r="P699" s="637">
        <v>78</v>
      </c>
      <c r="Q699" s="637">
        <v>568.5</v>
      </c>
      <c r="R699" s="813" t="s">
        <v>172</v>
      </c>
      <c r="T699" s="815" t="s">
        <v>172</v>
      </c>
      <c r="U699" s="900" t="s">
        <v>1220</v>
      </c>
    </row>
    <row r="700" spans="1:21" x14ac:dyDescent="0.25">
      <c r="A700" s="813">
        <v>984</v>
      </c>
      <c r="B700" s="813" t="s">
        <v>335</v>
      </c>
      <c r="C700" s="813" t="s">
        <v>1000</v>
      </c>
      <c r="D700" s="813" t="s">
        <v>14</v>
      </c>
      <c r="E700" s="813" t="s">
        <v>15</v>
      </c>
      <c r="F700" s="813" t="s">
        <v>898</v>
      </c>
      <c r="G700" s="813" t="s">
        <v>863</v>
      </c>
      <c r="H700" s="819" t="s">
        <v>18</v>
      </c>
      <c r="I700" s="820" t="s">
        <v>15</v>
      </c>
      <c r="J700" s="820" t="s">
        <v>421</v>
      </c>
      <c r="L700" s="821">
        <v>2</v>
      </c>
      <c r="M700" s="637">
        <v>58</v>
      </c>
      <c r="N700" s="637">
        <v>357</v>
      </c>
      <c r="O700" s="821">
        <v>2</v>
      </c>
      <c r="P700" s="637">
        <v>58</v>
      </c>
      <c r="Q700" s="637">
        <v>357</v>
      </c>
      <c r="R700" s="813" t="s">
        <v>172</v>
      </c>
      <c r="T700" s="815" t="s">
        <v>172</v>
      </c>
      <c r="U700" s="900" t="s">
        <v>1220</v>
      </c>
    </row>
    <row r="701" spans="1:21" x14ac:dyDescent="0.25">
      <c r="A701" s="813">
        <v>987</v>
      </c>
      <c r="B701" s="813" t="s">
        <v>336</v>
      </c>
      <c r="C701" s="813" t="s">
        <v>876</v>
      </c>
      <c r="D701" s="813" t="s">
        <v>434</v>
      </c>
      <c r="E701" s="813" t="s">
        <v>15</v>
      </c>
      <c r="F701" s="813" t="s">
        <v>863</v>
      </c>
      <c r="G701" s="813" t="s">
        <v>863</v>
      </c>
      <c r="H701" s="819" t="s">
        <v>18</v>
      </c>
      <c r="I701" s="820" t="s">
        <v>15</v>
      </c>
      <c r="J701" s="820" t="s">
        <v>421</v>
      </c>
      <c r="L701" s="821">
        <v>12</v>
      </c>
      <c r="M701" s="637">
        <v>1669</v>
      </c>
      <c r="N701" s="637">
        <v>8234</v>
      </c>
      <c r="O701" s="821">
        <v>12</v>
      </c>
      <c r="P701" s="637">
        <v>1669</v>
      </c>
      <c r="Q701" s="637">
        <v>8234</v>
      </c>
      <c r="R701" s="813" t="s">
        <v>172</v>
      </c>
      <c r="T701" s="815" t="s">
        <v>172</v>
      </c>
      <c r="U701" s="900" t="s">
        <v>1220</v>
      </c>
    </row>
    <row r="702" spans="1:21" x14ac:dyDescent="0.25">
      <c r="A702" s="813">
        <v>990</v>
      </c>
      <c r="B702" s="813" t="s">
        <v>336</v>
      </c>
      <c r="C702" s="813" t="s">
        <v>897</v>
      </c>
      <c r="D702" s="813" t="s">
        <v>14</v>
      </c>
      <c r="E702" s="813" t="s">
        <v>15</v>
      </c>
      <c r="F702" s="813" t="s">
        <v>898</v>
      </c>
      <c r="G702" s="813" t="s">
        <v>863</v>
      </c>
      <c r="H702" s="819" t="s">
        <v>18</v>
      </c>
      <c r="I702" s="820" t="s">
        <v>15</v>
      </c>
      <c r="J702" s="820" t="s">
        <v>421</v>
      </c>
      <c r="L702" s="821">
        <v>7</v>
      </c>
      <c r="M702" s="637">
        <v>1206</v>
      </c>
      <c r="N702" s="637">
        <v>6990.5</v>
      </c>
      <c r="O702" s="821">
        <v>7</v>
      </c>
      <c r="P702" s="637">
        <v>1206</v>
      </c>
      <c r="Q702" s="637">
        <v>6990.5</v>
      </c>
      <c r="R702" s="813" t="s">
        <v>172</v>
      </c>
      <c r="T702" s="815" t="s">
        <v>172</v>
      </c>
      <c r="U702" s="900" t="s">
        <v>1220</v>
      </c>
    </row>
    <row r="703" spans="1:21" x14ac:dyDescent="0.25">
      <c r="A703" s="813">
        <v>993</v>
      </c>
      <c r="B703" s="813" t="s">
        <v>337</v>
      </c>
      <c r="C703" s="813" t="s">
        <v>876</v>
      </c>
      <c r="D703" s="813" t="s">
        <v>434</v>
      </c>
      <c r="E703" s="813" t="s">
        <v>15</v>
      </c>
      <c r="F703" s="813" t="s">
        <v>863</v>
      </c>
      <c r="G703" s="813" t="s">
        <v>863</v>
      </c>
      <c r="H703" s="819" t="s">
        <v>18</v>
      </c>
      <c r="I703" s="820" t="s">
        <v>15</v>
      </c>
      <c r="J703" s="820" t="s">
        <v>421</v>
      </c>
      <c r="L703" s="821">
        <v>5</v>
      </c>
      <c r="M703" s="637">
        <v>457</v>
      </c>
      <c r="N703" s="637">
        <v>2912.75</v>
      </c>
      <c r="O703" s="821">
        <v>5</v>
      </c>
      <c r="P703" s="637">
        <v>457</v>
      </c>
      <c r="Q703" s="637">
        <v>2912.75</v>
      </c>
      <c r="R703" s="813" t="s">
        <v>172</v>
      </c>
      <c r="T703" s="815" t="s">
        <v>172</v>
      </c>
      <c r="U703" s="900" t="s">
        <v>1220</v>
      </c>
    </row>
    <row r="704" spans="1:21" x14ac:dyDescent="0.25">
      <c r="A704" s="813">
        <v>995</v>
      </c>
      <c r="B704" s="813" t="s">
        <v>337</v>
      </c>
      <c r="C704" s="813" t="s">
        <v>897</v>
      </c>
      <c r="D704" s="813" t="s">
        <v>14</v>
      </c>
      <c r="E704" s="813" t="s">
        <v>15</v>
      </c>
      <c r="F704" s="813" t="s">
        <v>898</v>
      </c>
      <c r="G704" s="813" t="s">
        <v>863</v>
      </c>
      <c r="H704" s="819" t="s">
        <v>18</v>
      </c>
      <c r="I704" s="820" t="s">
        <v>15</v>
      </c>
      <c r="J704" s="820" t="s">
        <v>421</v>
      </c>
      <c r="L704" s="821">
        <v>2</v>
      </c>
      <c r="M704" s="637">
        <v>387</v>
      </c>
      <c r="N704" s="637">
        <v>1466.75</v>
      </c>
      <c r="O704" s="821">
        <v>2</v>
      </c>
      <c r="P704" s="637">
        <v>387</v>
      </c>
      <c r="Q704" s="637">
        <v>1466.75</v>
      </c>
      <c r="R704" s="813" t="s">
        <v>172</v>
      </c>
      <c r="T704" s="815" t="s">
        <v>172</v>
      </c>
      <c r="U704" s="900" t="s">
        <v>1220</v>
      </c>
    </row>
    <row r="705" spans="1:21" x14ac:dyDescent="0.25">
      <c r="A705" s="813">
        <v>998</v>
      </c>
      <c r="B705" s="813" t="s">
        <v>337</v>
      </c>
      <c r="C705" s="813" t="s">
        <v>909</v>
      </c>
      <c r="D705" s="813" t="s">
        <v>14</v>
      </c>
      <c r="E705" s="813" t="s">
        <v>15</v>
      </c>
      <c r="F705" s="813" t="s">
        <v>1095</v>
      </c>
      <c r="G705" s="813" t="s">
        <v>863</v>
      </c>
      <c r="H705" s="819" t="s">
        <v>18</v>
      </c>
      <c r="I705" s="820" t="s">
        <v>15</v>
      </c>
      <c r="J705" s="820" t="s">
        <v>421</v>
      </c>
      <c r="L705" s="821">
        <v>3</v>
      </c>
      <c r="M705" s="637">
        <v>548</v>
      </c>
      <c r="N705" s="637">
        <v>2097.75</v>
      </c>
      <c r="O705" s="821">
        <v>3</v>
      </c>
      <c r="P705" s="637">
        <v>548</v>
      </c>
      <c r="Q705" s="637">
        <v>2097.75</v>
      </c>
      <c r="R705" s="813" t="s">
        <v>172</v>
      </c>
      <c r="T705" s="815" t="s">
        <v>172</v>
      </c>
      <c r="U705" s="900" t="s">
        <v>1220</v>
      </c>
    </row>
    <row r="706" spans="1:21" x14ac:dyDescent="0.25">
      <c r="A706" s="813">
        <v>1000</v>
      </c>
      <c r="B706" s="813" t="s">
        <v>338</v>
      </c>
      <c r="C706" s="813" t="s">
        <v>1059</v>
      </c>
      <c r="D706" s="813" t="s">
        <v>14</v>
      </c>
      <c r="E706" s="813" t="s">
        <v>15</v>
      </c>
      <c r="F706" s="813" t="s">
        <v>1060</v>
      </c>
      <c r="G706" s="813" t="s">
        <v>863</v>
      </c>
      <c r="H706" s="819" t="s">
        <v>18</v>
      </c>
      <c r="I706" s="820" t="s">
        <v>15</v>
      </c>
      <c r="J706" s="820" t="s">
        <v>421</v>
      </c>
      <c r="L706" s="821">
        <v>1</v>
      </c>
      <c r="M706" s="637">
        <v>6</v>
      </c>
      <c r="N706" s="637">
        <v>30</v>
      </c>
      <c r="O706" s="821">
        <v>1</v>
      </c>
      <c r="P706" s="637">
        <v>6</v>
      </c>
      <c r="Q706" s="637">
        <v>30</v>
      </c>
      <c r="R706" s="813" t="s">
        <v>172</v>
      </c>
      <c r="T706" s="815" t="s">
        <v>172</v>
      </c>
      <c r="U706" s="900" t="s">
        <v>1220</v>
      </c>
    </row>
    <row r="707" spans="1:21" x14ac:dyDescent="0.25">
      <c r="A707" s="813">
        <v>1003</v>
      </c>
      <c r="B707" s="813" t="s">
        <v>338</v>
      </c>
      <c r="C707" s="813" t="s">
        <v>928</v>
      </c>
      <c r="D707" s="813" t="s">
        <v>14</v>
      </c>
      <c r="E707" s="813" t="s">
        <v>15</v>
      </c>
      <c r="F707" s="813" t="s">
        <v>863</v>
      </c>
      <c r="G707" s="813" t="s">
        <v>863</v>
      </c>
      <c r="H707" s="819" t="s">
        <v>18</v>
      </c>
      <c r="I707" s="820" t="s">
        <v>15</v>
      </c>
      <c r="J707" s="820" t="s">
        <v>421</v>
      </c>
      <c r="L707" s="821">
        <v>2</v>
      </c>
      <c r="M707" s="637">
        <v>282</v>
      </c>
      <c r="N707" s="637">
        <v>1597.5</v>
      </c>
      <c r="O707" s="821">
        <v>2</v>
      </c>
      <c r="P707" s="637">
        <v>282</v>
      </c>
      <c r="Q707" s="637">
        <v>1597.5</v>
      </c>
      <c r="R707" s="813" t="s">
        <v>172</v>
      </c>
      <c r="T707" s="815" t="s">
        <v>172</v>
      </c>
      <c r="U707" s="900" t="s">
        <v>1220</v>
      </c>
    </row>
    <row r="708" spans="1:21" x14ac:dyDescent="0.25">
      <c r="A708" s="813">
        <v>1005</v>
      </c>
      <c r="B708" s="813" t="s">
        <v>338</v>
      </c>
      <c r="C708" s="813" t="s">
        <v>876</v>
      </c>
      <c r="D708" s="813" t="s">
        <v>434</v>
      </c>
      <c r="E708" s="813" t="s">
        <v>15</v>
      </c>
      <c r="F708" s="813" t="s">
        <v>863</v>
      </c>
      <c r="G708" s="813" t="s">
        <v>863</v>
      </c>
      <c r="H708" s="819" t="s">
        <v>18</v>
      </c>
      <c r="I708" s="820" t="s">
        <v>15</v>
      </c>
      <c r="J708" s="820" t="s">
        <v>421</v>
      </c>
      <c r="L708" s="821">
        <v>3</v>
      </c>
      <c r="M708" s="637">
        <v>320</v>
      </c>
      <c r="N708" s="637">
        <v>1093.75</v>
      </c>
      <c r="O708" s="821">
        <v>3</v>
      </c>
      <c r="P708" s="637">
        <v>320</v>
      </c>
      <c r="Q708" s="637">
        <v>1093.75</v>
      </c>
      <c r="R708" s="813" t="s">
        <v>172</v>
      </c>
      <c r="T708" s="815" t="s">
        <v>172</v>
      </c>
      <c r="U708" s="900" t="s">
        <v>1220</v>
      </c>
    </row>
    <row r="709" spans="1:21" x14ac:dyDescent="0.25">
      <c r="A709" s="813">
        <v>1006</v>
      </c>
      <c r="B709" s="813" t="s">
        <v>339</v>
      </c>
      <c r="C709" s="813" t="s">
        <v>458</v>
      </c>
      <c r="D709" s="813" t="s">
        <v>13</v>
      </c>
      <c r="E709" s="813" t="s">
        <v>13</v>
      </c>
      <c r="F709" s="813" t="s">
        <v>859</v>
      </c>
      <c r="G709" s="813" t="s">
        <v>860</v>
      </c>
      <c r="H709" s="819" t="s">
        <v>391</v>
      </c>
      <c r="I709" s="820" t="s">
        <v>20</v>
      </c>
      <c r="J709" s="820" t="s">
        <v>16</v>
      </c>
      <c r="K709" s="813" t="s">
        <v>13</v>
      </c>
      <c r="L709" s="821">
        <v>31</v>
      </c>
      <c r="M709" s="637">
        <v>748</v>
      </c>
      <c r="N709" s="637">
        <v>2943.75</v>
      </c>
      <c r="O709" s="821">
        <v>22</v>
      </c>
      <c r="P709" s="637">
        <v>568</v>
      </c>
      <c r="Q709" s="637">
        <v>2258.5</v>
      </c>
      <c r="R709" s="813" t="s">
        <v>172</v>
      </c>
      <c r="T709" s="815" t="s">
        <v>172</v>
      </c>
      <c r="U709" s="899" t="s">
        <v>1219</v>
      </c>
    </row>
    <row r="710" spans="1:21" x14ac:dyDescent="0.25">
      <c r="A710" s="813">
        <v>1007</v>
      </c>
      <c r="B710" s="813" t="s">
        <v>339</v>
      </c>
      <c r="C710" s="813" t="s">
        <v>458</v>
      </c>
      <c r="D710" s="813" t="s">
        <v>13</v>
      </c>
      <c r="E710" s="813" t="s">
        <v>13</v>
      </c>
      <c r="F710" s="813" t="s">
        <v>915</v>
      </c>
      <c r="G710" s="813" t="s">
        <v>860</v>
      </c>
      <c r="H710" s="819" t="s">
        <v>391</v>
      </c>
      <c r="I710" s="820" t="s">
        <v>20</v>
      </c>
      <c r="J710" s="820" t="s">
        <v>16</v>
      </c>
      <c r="K710" s="813" t="s">
        <v>13</v>
      </c>
      <c r="L710" s="821">
        <v>212</v>
      </c>
      <c r="M710" s="637">
        <v>26991</v>
      </c>
      <c r="N710" s="637">
        <v>181303</v>
      </c>
      <c r="O710" s="821">
        <v>181</v>
      </c>
      <c r="P710" s="637">
        <v>25501</v>
      </c>
      <c r="Q710" s="637">
        <v>171376</v>
      </c>
      <c r="R710" s="813" t="s">
        <v>172</v>
      </c>
      <c r="T710" s="815" t="s">
        <v>172</v>
      </c>
      <c r="U710" s="899" t="s">
        <v>1219</v>
      </c>
    </row>
    <row r="711" spans="1:21" x14ac:dyDescent="0.25">
      <c r="A711" s="813">
        <v>1009</v>
      </c>
      <c r="B711" s="813" t="s">
        <v>339</v>
      </c>
      <c r="C711" s="813" t="s">
        <v>1059</v>
      </c>
      <c r="D711" s="813" t="s">
        <v>14</v>
      </c>
      <c r="E711" s="813" t="s">
        <v>15</v>
      </c>
      <c r="F711" s="813" t="s">
        <v>1060</v>
      </c>
      <c r="G711" s="813" t="s">
        <v>863</v>
      </c>
      <c r="H711" s="819" t="s">
        <v>18</v>
      </c>
      <c r="I711" s="820" t="s">
        <v>15</v>
      </c>
      <c r="J711" s="820" t="s">
        <v>421</v>
      </c>
      <c r="L711" s="821">
        <v>2</v>
      </c>
      <c r="M711" s="637">
        <v>30</v>
      </c>
      <c r="N711" s="637">
        <v>119.75</v>
      </c>
      <c r="O711" s="821">
        <v>2</v>
      </c>
      <c r="P711" s="637">
        <v>30</v>
      </c>
      <c r="Q711" s="637">
        <v>119.75</v>
      </c>
      <c r="R711" s="813" t="s">
        <v>172</v>
      </c>
      <c r="T711" s="815" t="s">
        <v>172</v>
      </c>
      <c r="U711" s="900" t="s">
        <v>1220</v>
      </c>
    </row>
    <row r="712" spans="1:21" x14ac:dyDescent="0.25">
      <c r="A712" s="813">
        <v>1010</v>
      </c>
      <c r="B712" s="813" t="s">
        <v>339</v>
      </c>
      <c r="C712" s="813" t="s">
        <v>918</v>
      </c>
      <c r="D712" s="813" t="s">
        <v>495</v>
      </c>
      <c r="E712" s="813" t="s">
        <v>15</v>
      </c>
      <c r="F712" s="813" t="s">
        <v>898</v>
      </c>
      <c r="G712" s="813" t="s">
        <v>863</v>
      </c>
      <c r="H712" s="819" t="s">
        <v>18</v>
      </c>
      <c r="I712" s="820" t="s">
        <v>15</v>
      </c>
      <c r="J712" s="820" t="s">
        <v>421</v>
      </c>
      <c r="L712" s="821">
        <v>5</v>
      </c>
      <c r="M712" s="637">
        <v>358</v>
      </c>
      <c r="N712" s="637">
        <v>1884.25</v>
      </c>
      <c r="O712" s="821">
        <v>4</v>
      </c>
      <c r="P712" s="637">
        <v>344</v>
      </c>
      <c r="Q712" s="637">
        <v>1780.25</v>
      </c>
      <c r="R712" s="813" t="s">
        <v>172</v>
      </c>
      <c r="T712" s="815" t="s">
        <v>172</v>
      </c>
      <c r="U712" s="900" t="s">
        <v>1220</v>
      </c>
    </row>
    <row r="713" spans="1:21" x14ac:dyDescent="0.25">
      <c r="A713" s="813">
        <v>1011</v>
      </c>
      <c r="B713" s="813" t="s">
        <v>339</v>
      </c>
      <c r="C713" s="813" t="s">
        <v>919</v>
      </c>
      <c r="D713" s="813" t="s">
        <v>495</v>
      </c>
      <c r="E713" s="813" t="s">
        <v>14</v>
      </c>
      <c r="F713" s="813" t="s">
        <v>885</v>
      </c>
      <c r="G713" s="813" t="s">
        <v>868</v>
      </c>
      <c r="H713" s="819" t="s">
        <v>35</v>
      </c>
      <c r="I713" s="820" t="s">
        <v>20</v>
      </c>
      <c r="J713" s="820" t="s">
        <v>428</v>
      </c>
      <c r="L713" s="821">
        <v>8</v>
      </c>
      <c r="M713" s="637">
        <v>430</v>
      </c>
      <c r="N713" s="637">
        <v>2439</v>
      </c>
      <c r="O713" s="821">
        <v>7</v>
      </c>
      <c r="P713" s="637">
        <v>387</v>
      </c>
      <c r="Q713" s="637">
        <v>2269.5</v>
      </c>
      <c r="R713" s="813" t="s">
        <v>172</v>
      </c>
      <c r="T713" s="815" t="s">
        <v>172</v>
      </c>
      <c r="U713" s="900" t="s">
        <v>1220</v>
      </c>
    </row>
    <row r="714" spans="1:21" x14ac:dyDescent="0.25">
      <c r="A714" s="813">
        <v>1012</v>
      </c>
      <c r="B714" s="813" t="s">
        <v>339</v>
      </c>
      <c r="C714" s="813" t="s">
        <v>919</v>
      </c>
      <c r="D714" s="813" t="s">
        <v>495</v>
      </c>
      <c r="E714" s="813" t="s">
        <v>14</v>
      </c>
      <c r="F714" s="813" t="s">
        <v>869</v>
      </c>
      <c r="H714" s="819" t="s">
        <v>39</v>
      </c>
      <c r="I714" s="820" t="s">
        <v>20</v>
      </c>
      <c r="J714" s="820" t="s">
        <v>428</v>
      </c>
      <c r="L714" s="821">
        <v>2</v>
      </c>
      <c r="M714" s="637">
        <v>2</v>
      </c>
      <c r="N714" s="637">
        <v>2</v>
      </c>
      <c r="O714" s="821">
        <v>1</v>
      </c>
      <c r="P714" s="637">
        <v>1</v>
      </c>
      <c r="Q714" s="637">
        <v>1</v>
      </c>
      <c r="R714" s="806" t="s">
        <v>507</v>
      </c>
      <c r="T714" s="815" t="s">
        <v>172</v>
      </c>
      <c r="U714" s="900" t="s">
        <v>1220</v>
      </c>
    </row>
    <row r="715" spans="1:21" x14ac:dyDescent="0.25">
      <c r="A715" s="813">
        <v>1013</v>
      </c>
      <c r="B715" s="813" t="s">
        <v>339</v>
      </c>
      <c r="C715" s="813" t="s">
        <v>919</v>
      </c>
      <c r="D715" s="813" t="s">
        <v>495</v>
      </c>
      <c r="E715" s="813" t="s">
        <v>14</v>
      </c>
      <c r="F715" s="813" t="s">
        <v>875</v>
      </c>
      <c r="H715" s="819" t="s">
        <v>39</v>
      </c>
      <c r="I715" s="820" t="s">
        <v>20</v>
      </c>
      <c r="J715" s="820" t="s">
        <v>428</v>
      </c>
      <c r="L715" s="821">
        <v>3</v>
      </c>
      <c r="M715" s="637">
        <v>3</v>
      </c>
      <c r="N715" s="637">
        <v>3</v>
      </c>
      <c r="O715" s="821">
        <v>3</v>
      </c>
      <c r="P715" s="637">
        <v>3</v>
      </c>
      <c r="Q715" s="637">
        <v>3</v>
      </c>
      <c r="R715" s="806" t="s">
        <v>507</v>
      </c>
      <c r="T715" s="815" t="s">
        <v>172</v>
      </c>
      <c r="U715" s="900" t="s">
        <v>1220</v>
      </c>
    </row>
    <row r="716" spans="1:21" x14ac:dyDescent="0.25">
      <c r="A716" s="813">
        <v>1014</v>
      </c>
      <c r="B716" s="813" t="s">
        <v>339</v>
      </c>
      <c r="C716" s="813" t="s">
        <v>921</v>
      </c>
      <c r="D716" s="813" t="s">
        <v>13</v>
      </c>
      <c r="E716" s="813" t="s">
        <v>13</v>
      </c>
      <c r="F716" s="813" t="s">
        <v>922</v>
      </c>
      <c r="G716" s="813" t="s">
        <v>923</v>
      </c>
      <c r="H716" s="819" t="s">
        <v>391</v>
      </c>
      <c r="I716" s="820" t="s">
        <v>20</v>
      </c>
      <c r="J716" s="820" t="s">
        <v>16</v>
      </c>
      <c r="K716" s="813" t="s">
        <v>13</v>
      </c>
      <c r="L716" s="821">
        <v>7</v>
      </c>
      <c r="M716" s="637">
        <v>44</v>
      </c>
      <c r="N716" s="637">
        <v>162.5</v>
      </c>
      <c r="O716" s="821">
        <v>6</v>
      </c>
      <c r="P716" s="637">
        <v>34</v>
      </c>
      <c r="Q716" s="637">
        <v>128.5</v>
      </c>
      <c r="R716" s="813" t="s">
        <v>172</v>
      </c>
      <c r="T716" s="815" t="s">
        <v>172</v>
      </c>
      <c r="U716" s="899" t="s">
        <v>1219</v>
      </c>
    </row>
    <row r="717" spans="1:21" x14ac:dyDescent="0.25">
      <c r="A717" s="813">
        <v>1015</v>
      </c>
      <c r="B717" s="813" t="s">
        <v>339</v>
      </c>
      <c r="C717" s="813" t="s">
        <v>924</v>
      </c>
      <c r="D717" s="813" t="s">
        <v>16</v>
      </c>
      <c r="E717" s="813" t="s">
        <v>14</v>
      </c>
      <c r="F717" s="813" t="s">
        <v>869</v>
      </c>
      <c r="H717" s="809" t="s">
        <v>390</v>
      </c>
      <c r="I717" s="810" t="s">
        <v>20</v>
      </c>
      <c r="J717" s="810" t="s">
        <v>16</v>
      </c>
      <c r="L717" s="821">
        <v>1</v>
      </c>
      <c r="M717" s="637">
        <v>1</v>
      </c>
      <c r="N717" s="637">
        <v>1</v>
      </c>
      <c r="O717" s="821">
        <v>1</v>
      </c>
      <c r="P717" s="637">
        <v>1</v>
      </c>
      <c r="Q717" s="637">
        <v>1</v>
      </c>
      <c r="R717" s="806" t="s">
        <v>507</v>
      </c>
      <c r="T717" s="815" t="s">
        <v>172</v>
      </c>
      <c r="U717" s="899" t="s">
        <v>1219</v>
      </c>
    </row>
    <row r="718" spans="1:21" x14ac:dyDescent="0.25">
      <c r="A718" s="813">
        <v>1016</v>
      </c>
      <c r="B718" s="813" t="s">
        <v>339</v>
      </c>
      <c r="C718" s="813" t="s">
        <v>924</v>
      </c>
      <c r="D718" s="813" t="s">
        <v>16</v>
      </c>
      <c r="E718" s="813" t="s">
        <v>14</v>
      </c>
      <c r="F718" s="813" t="s">
        <v>868</v>
      </c>
      <c r="G718" s="813" t="s">
        <v>868</v>
      </c>
      <c r="H718" s="809" t="s">
        <v>390</v>
      </c>
      <c r="I718" s="810" t="s">
        <v>20</v>
      </c>
      <c r="J718" s="810" t="s">
        <v>16</v>
      </c>
      <c r="L718" s="821">
        <v>1</v>
      </c>
      <c r="M718" s="637">
        <v>8</v>
      </c>
      <c r="N718" s="637">
        <v>36.25</v>
      </c>
      <c r="O718" s="821">
        <v>1</v>
      </c>
      <c r="P718" s="637">
        <v>8</v>
      </c>
      <c r="Q718" s="637">
        <v>36.25</v>
      </c>
      <c r="R718" s="813" t="s">
        <v>172</v>
      </c>
      <c r="T718" s="815" t="s">
        <v>172</v>
      </c>
      <c r="U718" s="899" t="s">
        <v>1219</v>
      </c>
    </row>
    <row r="719" spans="1:21" x14ac:dyDescent="0.25">
      <c r="A719" s="813">
        <v>1017</v>
      </c>
      <c r="B719" s="813" t="s">
        <v>339</v>
      </c>
      <c r="C719" s="813" t="s">
        <v>925</v>
      </c>
      <c r="D719" s="813" t="s">
        <v>16</v>
      </c>
      <c r="E719" s="813" t="s">
        <v>15</v>
      </c>
      <c r="F719" s="813" t="s">
        <v>863</v>
      </c>
      <c r="G719" s="813" t="s">
        <v>863</v>
      </c>
      <c r="H719" s="809" t="s">
        <v>390</v>
      </c>
      <c r="I719" s="810" t="s">
        <v>20</v>
      </c>
      <c r="J719" s="810" t="s">
        <v>16</v>
      </c>
      <c r="L719" s="821">
        <v>2</v>
      </c>
      <c r="M719" s="637">
        <v>253</v>
      </c>
      <c r="N719" s="637">
        <v>2034.5</v>
      </c>
      <c r="O719" s="821">
        <v>2</v>
      </c>
      <c r="P719" s="637">
        <v>253</v>
      </c>
      <c r="Q719" s="637">
        <v>2034.5</v>
      </c>
      <c r="R719" s="813" t="s">
        <v>172</v>
      </c>
      <c r="T719" s="815" t="s">
        <v>172</v>
      </c>
      <c r="U719" s="899" t="s">
        <v>1219</v>
      </c>
    </row>
    <row r="720" spans="1:21" x14ac:dyDescent="0.25">
      <c r="A720" s="813">
        <v>1018</v>
      </c>
      <c r="B720" s="813" t="s">
        <v>339</v>
      </c>
      <c r="C720" s="813" t="s">
        <v>926</v>
      </c>
      <c r="D720" s="813" t="s">
        <v>14</v>
      </c>
      <c r="E720" s="813" t="s">
        <v>14</v>
      </c>
      <c r="F720" s="813" t="s">
        <v>885</v>
      </c>
      <c r="G720" s="813" t="s">
        <v>868</v>
      </c>
      <c r="H720" s="819" t="s">
        <v>35</v>
      </c>
      <c r="I720" s="820" t="s">
        <v>20</v>
      </c>
      <c r="J720" s="820" t="s">
        <v>428</v>
      </c>
      <c r="L720" s="821">
        <v>90</v>
      </c>
      <c r="M720" s="637">
        <v>10993</v>
      </c>
      <c r="N720" s="637">
        <v>52611</v>
      </c>
      <c r="O720" s="821">
        <v>87</v>
      </c>
      <c r="P720" s="637">
        <v>10869</v>
      </c>
      <c r="Q720" s="637">
        <v>51726.75</v>
      </c>
      <c r="R720" s="813" t="s">
        <v>172</v>
      </c>
      <c r="T720" s="815" t="s">
        <v>172</v>
      </c>
      <c r="U720" s="900" t="s">
        <v>1220</v>
      </c>
    </row>
    <row r="721" spans="1:21" x14ac:dyDescent="0.25">
      <c r="A721" s="813">
        <v>1019</v>
      </c>
      <c r="B721" s="813" t="s">
        <v>339</v>
      </c>
      <c r="C721" s="813" t="s">
        <v>926</v>
      </c>
      <c r="D721" s="813" t="s">
        <v>14</v>
      </c>
      <c r="E721" s="813" t="s">
        <v>14</v>
      </c>
      <c r="F721" s="813" t="s">
        <v>1011</v>
      </c>
      <c r="G721" s="813" t="s">
        <v>933</v>
      </c>
      <c r="H721" s="819" t="s">
        <v>37</v>
      </c>
      <c r="I721" s="820" t="s">
        <v>20</v>
      </c>
      <c r="J721" s="820" t="s">
        <v>428</v>
      </c>
      <c r="L721" s="821">
        <v>1</v>
      </c>
      <c r="M721" s="637">
        <v>23</v>
      </c>
      <c r="N721" s="637">
        <v>299</v>
      </c>
      <c r="O721" s="821">
        <v>1</v>
      </c>
      <c r="P721" s="637">
        <v>23</v>
      </c>
      <c r="Q721" s="637">
        <v>299</v>
      </c>
      <c r="R721" s="813" t="s">
        <v>172</v>
      </c>
      <c r="T721" s="815">
        <v>13</v>
      </c>
      <c r="U721" s="900" t="s">
        <v>1220</v>
      </c>
    </row>
    <row r="722" spans="1:21" x14ac:dyDescent="0.25">
      <c r="A722" s="813">
        <v>1020</v>
      </c>
      <c r="B722" s="813" t="s">
        <v>339</v>
      </c>
      <c r="C722" s="813" t="s">
        <v>926</v>
      </c>
      <c r="D722" s="813" t="s">
        <v>14</v>
      </c>
      <c r="E722" s="813" t="s">
        <v>14</v>
      </c>
      <c r="F722" s="813" t="s">
        <v>889</v>
      </c>
      <c r="H722" s="819" t="s">
        <v>39</v>
      </c>
      <c r="I722" s="820" t="s">
        <v>20</v>
      </c>
      <c r="J722" s="820" t="s">
        <v>428</v>
      </c>
      <c r="L722" s="821">
        <v>2</v>
      </c>
      <c r="M722" s="637">
        <v>2</v>
      </c>
      <c r="N722" s="637">
        <v>2</v>
      </c>
      <c r="O722" s="821">
        <v>2</v>
      </c>
      <c r="P722" s="637">
        <v>2</v>
      </c>
      <c r="Q722" s="637">
        <v>2</v>
      </c>
      <c r="R722" s="806" t="s">
        <v>507</v>
      </c>
      <c r="T722" s="815" t="s">
        <v>172</v>
      </c>
      <c r="U722" s="900" t="s">
        <v>1220</v>
      </c>
    </row>
    <row r="723" spans="1:21" x14ac:dyDescent="0.25">
      <c r="A723" s="813">
        <v>1021</v>
      </c>
      <c r="B723" s="813" t="s">
        <v>339</v>
      </c>
      <c r="C723" s="813" t="s">
        <v>926</v>
      </c>
      <c r="D723" s="813" t="s">
        <v>14</v>
      </c>
      <c r="E723" s="813" t="s">
        <v>14</v>
      </c>
      <c r="F723" s="813" t="s">
        <v>869</v>
      </c>
      <c r="H723" s="819" t="s">
        <v>39</v>
      </c>
      <c r="I723" s="820" t="s">
        <v>20</v>
      </c>
      <c r="J723" s="820" t="s">
        <v>428</v>
      </c>
      <c r="L723" s="821">
        <v>49</v>
      </c>
      <c r="M723" s="637">
        <v>49</v>
      </c>
      <c r="N723" s="637">
        <v>49</v>
      </c>
      <c r="O723" s="821">
        <v>48</v>
      </c>
      <c r="P723" s="637">
        <v>48</v>
      </c>
      <c r="Q723" s="637">
        <v>48</v>
      </c>
      <c r="R723" s="806" t="s">
        <v>507</v>
      </c>
      <c r="T723" s="815" t="s">
        <v>172</v>
      </c>
      <c r="U723" s="900" t="s">
        <v>1220</v>
      </c>
    </row>
    <row r="724" spans="1:21" x14ac:dyDescent="0.25">
      <c r="A724" s="813">
        <v>1022</v>
      </c>
      <c r="B724" s="813" t="s">
        <v>339</v>
      </c>
      <c r="C724" s="813" t="s">
        <v>926</v>
      </c>
      <c r="D724" s="813" t="s">
        <v>14</v>
      </c>
      <c r="E724" s="813" t="s">
        <v>14</v>
      </c>
      <c r="F724" s="813" t="s">
        <v>875</v>
      </c>
      <c r="H724" s="819" t="s">
        <v>39</v>
      </c>
      <c r="I724" s="820" t="s">
        <v>20</v>
      </c>
      <c r="J724" s="820" t="s">
        <v>428</v>
      </c>
      <c r="L724" s="821">
        <v>41</v>
      </c>
      <c r="M724" s="637">
        <v>61</v>
      </c>
      <c r="N724" s="637">
        <v>61</v>
      </c>
      <c r="O724" s="821">
        <v>41</v>
      </c>
      <c r="P724" s="637">
        <v>61</v>
      </c>
      <c r="Q724" s="637">
        <v>61</v>
      </c>
      <c r="R724" s="806" t="s">
        <v>507</v>
      </c>
      <c r="T724" s="815" t="s">
        <v>172</v>
      </c>
      <c r="U724" s="900" t="s">
        <v>1220</v>
      </c>
    </row>
    <row r="725" spans="1:21" x14ac:dyDescent="0.25">
      <c r="A725" s="813">
        <v>1025</v>
      </c>
      <c r="B725" s="813" t="s">
        <v>339</v>
      </c>
      <c r="C725" s="813" t="s">
        <v>861</v>
      </c>
      <c r="D725" s="813" t="s">
        <v>14</v>
      </c>
      <c r="E725" s="813" t="s">
        <v>15</v>
      </c>
      <c r="F725" s="813" t="s">
        <v>862</v>
      </c>
      <c r="G725" s="813" t="s">
        <v>863</v>
      </c>
      <c r="H725" s="819" t="s">
        <v>18</v>
      </c>
      <c r="I725" s="820" t="s">
        <v>15</v>
      </c>
      <c r="J725" s="820" t="s">
        <v>421</v>
      </c>
      <c r="L725" s="821">
        <v>85</v>
      </c>
      <c r="M725" s="637">
        <v>16110</v>
      </c>
      <c r="N725" s="637">
        <v>66145.5</v>
      </c>
      <c r="O725" s="821">
        <v>80</v>
      </c>
      <c r="P725" s="637">
        <v>15847</v>
      </c>
      <c r="Q725" s="637">
        <v>64895</v>
      </c>
      <c r="R725" s="813" t="s">
        <v>172</v>
      </c>
      <c r="T725" s="815" t="s">
        <v>172</v>
      </c>
      <c r="U725" s="900" t="s">
        <v>1220</v>
      </c>
    </row>
    <row r="726" spans="1:21" x14ac:dyDescent="0.25">
      <c r="A726" s="813">
        <v>1026</v>
      </c>
      <c r="B726" s="813" t="s">
        <v>339</v>
      </c>
      <c r="C726" s="813" t="s">
        <v>861</v>
      </c>
      <c r="D726" s="813" t="s">
        <v>14</v>
      </c>
      <c r="E726" s="813" t="s">
        <v>15</v>
      </c>
      <c r="F726" s="813" t="s">
        <v>992</v>
      </c>
      <c r="G726" s="813" t="s">
        <v>863</v>
      </c>
      <c r="H726" s="819" t="s">
        <v>18</v>
      </c>
      <c r="I726" s="820" t="s">
        <v>15</v>
      </c>
      <c r="J726" s="820" t="s">
        <v>421</v>
      </c>
      <c r="L726" s="821">
        <v>2</v>
      </c>
      <c r="M726" s="637">
        <v>253</v>
      </c>
      <c r="N726" s="637">
        <v>1462.5</v>
      </c>
      <c r="O726" s="821">
        <v>2</v>
      </c>
      <c r="P726" s="637">
        <v>253</v>
      </c>
      <c r="Q726" s="637">
        <v>1462.5</v>
      </c>
      <c r="R726" s="813" t="s">
        <v>172</v>
      </c>
      <c r="T726" s="815" t="s">
        <v>172</v>
      </c>
      <c r="U726" s="900" t="s">
        <v>1220</v>
      </c>
    </row>
    <row r="727" spans="1:21" x14ac:dyDescent="0.25">
      <c r="A727" s="813">
        <v>1027</v>
      </c>
      <c r="B727" s="813" t="s">
        <v>339</v>
      </c>
      <c r="C727" s="813" t="s">
        <v>927</v>
      </c>
      <c r="D727" s="813" t="s">
        <v>14</v>
      </c>
      <c r="E727" s="813" t="s">
        <v>14</v>
      </c>
      <c r="F727" s="813" t="s">
        <v>889</v>
      </c>
      <c r="H727" s="819" t="s">
        <v>39</v>
      </c>
      <c r="I727" s="820" t="s">
        <v>20</v>
      </c>
      <c r="J727" s="820" t="s">
        <v>428</v>
      </c>
      <c r="L727" s="821">
        <v>3</v>
      </c>
      <c r="M727" s="637">
        <v>3</v>
      </c>
      <c r="N727" s="637">
        <v>3</v>
      </c>
      <c r="O727" s="821">
        <v>3</v>
      </c>
      <c r="P727" s="637">
        <v>3</v>
      </c>
      <c r="Q727" s="637">
        <v>3</v>
      </c>
      <c r="R727" s="806" t="s">
        <v>507</v>
      </c>
      <c r="T727" s="815" t="s">
        <v>172</v>
      </c>
      <c r="U727" s="900" t="s">
        <v>1220</v>
      </c>
    </row>
    <row r="728" spans="1:21" x14ac:dyDescent="0.25">
      <c r="A728" s="813">
        <v>1028</v>
      </c>
      <c r="B728" s="813" t="s">
        <v>339</v>
      </c>
      <c r="C728" s="813" t="s">
        <v>927</v>
      </c>
      <c r="D728" s="813" t="s">
        <v>14</v>
      </c>
      <c r="E728" s="813" t="s">
        <v>14</v>
      </c>
      <c r="F728" s="813" t="s">
        <v>869</v>
      </c>
      <c r="H728" s="819" t="s">
        <v>39</v>
      </c>
      <c r="I728" s="820" t="s">
        <v>20</v>
      </c>
      <c r="J728" s="820" t="s">
        <v>428</v>
      </c>
      <c r="L728" s="821">
        <v>16</v>
      </c>
      <c r="M728" s="637">
        <v>16</v>
      </c>
      <c r="N728" s="637">
        <v>16</v>
      </c>
      <c r="O728" s="821">
        <v>14</v>
      </c>
      <c r="P728" s="637">
        <v>14</v>
      </c>
      <c r="Q728" s="637">
        <v>14</v>
      </c>
      <c r="R728" s="806" t="s">
        <v>507</v>
      </c>
      <c r="T728" s="815" t="s">
        <v>172</v>
      </c>
      <c r="U728" s="900" t="s">
        <v>1220</v>
      </c>
    </row>
    <row r="729" spans="1:21" x14ac:dyDescent="0.25">
      <c r="A729" s="813">
        <v>1029</v>
      </c>
      <c r="B729" s="813" t="s">
        <v>339</v>
      </c>
      <c r="C729" s="813" t="s">
        <v>927</v>
      </c>
      <c r="D729" s="813" t="s">
        <v>14</v>
      </c>
      <c r="E729" s="813" t="s">
        <v>14</v>
      </c>
      <c r="F729" s="813" t="s">
        <v>875</v>
      </c>
      <c r="H729" s="819" t="s">
        <v>39</v>
      </c>
      <c r="I729" s="820" t="s">
        <v>20</v>
      </c>
      <c r="J729" s="820" t="s">
        <v>428</v>
      </c>
      <c r="L729" s="821">
        <v>11</v>
      </c>
      <c r="M729" s="637">
        <v>17</v>
      </c>
      <c r="N729" s="637">
        <v>17</v>
      </c>
      <c r="O729" s="821">
        <v>11</v>
      </c>
      <c r="P729" s="637">
        <v>17</v>
      </c>
      <c r="Q729" s="637">
        <v>17</v>
      </c>
      <c r="R729" s="806" t="s">
        <v>507</v>
      </c>
      <c r="T729" s="815" t="s">
        <v>172</v>
      </c>
      <c r="U729" s="900" t="s">
        <v>1220</v>
      </c>
    </row>
    <row r="730" spans="1:21" x14ac:dyDescent="0.25">
      <c r="A730" s="813">
        <v>1030</v>
      </c>
      <c r="B730" s="813" t="s">
        <v>339</v>
      </c>
      <c r="C730" s="813" t="s">
        <v>927</v>
      </c>
      <c r="D730" s="813" t="s">
        <v>14</v>
      </c>
      <c r="E730" s="813" t="s">
        <v>14</v>
      </c>
      <c r="F730" s="813" t="s">
        <v>868</v>
      </c>
      <c r="G730" s="813" t="s">
        <v>868</v>
      </c>
      <c r="H730" s="819" t="s">
        <v>35</v>
      </c>
      <c r="I730" s="820" t="s">
        <v>20</v>
      </c>
      <c r="J730" s="820" t="s">
        <v>428</v>
      </c>
      <c r="L730" s="821">
        <v>30</v>
      </c>
      <c r="M730" s="637">
        <v>2971</v>
      </c>
      <c r="N730" s="637">
        <v>13954.25</v>
      </c>
      <c r="O730" s="821">
        <v>27</v>
      </c>
      <c r="P730" s="637">
        <v>2808</v>
      </c>
      <c r="Q730" s="637">
        <v>13007</v>
      </c>
      <c r="R730" s="813" t="s">
        <v>172</v>
      </c>
      <c r="T730" s="815" t="s">
        <v>172</v>
      </c>
      <c r="U730" s="900" t="s">
        <v>1220</v>
      </c>
    </row>
    <row r="731" spans="1:21" x14ac:dyDescent="0.25">
      <c r="A731" s="813">
        <v>1031</v>
      </c>
      <c r="B731" s="813" t="s">
        <v>339</v>
      </c>
      <c r="C731" s="813" t="s">
        <v>927</v>
      </c>
      <c r="D731" s="813" t="s">
        <v>14</v>
      </c>
      <c r="E731" s="813" t="s">
        <v>14</v>
      </c>
      <c r="F731" s="813" t="s">
        <v>933</v>
      </c>
      <c r="G731" s="813" t="s">
        <v>933</v>
      </c>
      <c r="H731" s="819" t="s">
        <v>37</v>
      </c>
      <c r="I731" s="820" t="s">
        <v>20</v>
      </c>
      <c r="J731" s="820" t="s">
        <v>428</v>
      </c>
      <c r="L731" s="821">
        <v>1</v>
      </c>
      <c r="M731" s="637">
        <v>25</v>
      </c>
      <c r="N731" s="637">
        <v>325</v>
      </c>
      <c r="O731" s="821">
        <v>1</v>
      </c>
      <c r="P731" s="637">
        <v>25</v>
      </c>
      <c r="Q731" s="637">
        <v>325</v>
      </c>
      <c r="R731" s="813" t="s">
        <v>172</v>
      </c>
      <c r="T731" s="815">
        <v>13</v>
      </c>
      <c r="U731" s="900" t="s">
        <v>1220</v>
      </c>
    </row>
    <row r="732" spans="1:21" x14ac:dyDescent="0.25">
      <c r="A732" s="813">
        <v>1034</v>
      </c>
      <c r="B732" s="813" t="s">
        <v>339</v>
      </c>
      <c r="C732" s="813" t="s">
        <v>928</v>
      </c>
      <c r="D732" s="813" t="s">
        <v>14</v>
      </c>
      <c r="E732" s="813" t="s">
        <v>15</v>
      </c>
      <c r="F732" s="813" t="s">
        <v>869</v>
      </c>
      <c r="H732" s="819" t="s">
        <v>39</v>
      </c>
      <c r="I732" s="820" t="s">
        <v>20</v>
      </c>
      <c r="J732" s="820" t="s">
        <v>428</v>
      </c>
      <c r="L732" s="821">
        <v>1</v>
      </c>
      <c r="M732" s="637">
        <v>1</v>
      </c>
      <c r="N732" s="637">
        <v>1</v>
      </c>
      <c r="O732" s="821">
        <v>1</v>
      </c>
      <c r="P732" s="637">
        <v>1</v>
      </c>
      <c r="Q732" s="637">
        <v>1</v>
      </c>
      <c r="R732" s="806" t="s">
        <v>507</v>
      </c>
      <c r="T732" s="815" t="s">
        <v>172</v>
      </c>
      <c r="U732" s="900" t="s">
        <v>1220</v>
      </c>
    </row>
    <row r="733" spans="1:21" x14ac:dyDescent="0.25">
      <c r="A733" s="813">
        <v>1035</v>
      </c>
      <c r="B733" s="813" t="s">
        <v>339</v>
      </c>
      <c r="C733" s="813" t="s">
        <v>928</v>
      </c>
      <c r="D733" s="813" t="s">
        <v>14</v>
      </c>
      <c r="E733" s="813" t="s">
        <v>15</v>
      </c>
      <c r="F733" s="813" t="s">
        <v>863</v>
      </c>
      <c r="G733" s="813" t="s">
        <v>863</v>
      </c>
      <c r="H733" s="819" t="s">
        <v>18</v>
      </c>
      <c r="I733" s="820" t="s">
        <v>15</v>
      </c>
      <c r="J733" s="820" t="s">
        <v>421</v>
      </c>
      <c r="L733" s="821">
        <v>22</v>
      </c>
      <c r="M733" s="637">
        <v>3135</v>
      </c>
      <c r="N733" s="637">
        <v>15123.75</v>
      </c>
      <c r="O733" s="821">
        <v>22</v>
      </c>
      <c r="P733" s="637">
        <v>3135</v>
      </c>
      <c r="Q733" s="637">
        <v>15123.75</v>
      </c>
      <c r="R733" s="813" t="s">
        <v>172</v>
      </c>
      <c r="T733" s="815" t="s">
        <v>172</v>
      </c>
      <c r="U733" s="900" t="s">
        <v>1220</v>
      </c>
    </row>
    <row r="734" spans="1:21" x14ac:dyDescent="0.25">
      <c r="A734" s="813">
        <v>1038</v>
      </c>
      <c r="B734" s="813" t="s">
        <v>339</v>
      </c>
      <c r="C734" s="813" t="s">
        <v>930</v>
      </c>
      <c r="D734" s="813" t="s">
        <v>14</v>
      </c>
      <c r="E734" s="813" t="s">
        <v>15</v>
      </c>
      <c r="F734" s="813" t="s">
        <v>898</v>
      </c>
      <c r="G734" s="813" t="s">
        <v>863</v>
      </c>
      <c r="H734" s="819" t="s">
        <v>18</v>
      </c>
      <c r="I734" s="820" t="s">
        <v>15</v>
      </c>
      <c r="J734" s="820" t="s">
        <v>421</v>
      </c>
      <c r="L734" s="821">
        <v>10</v>
      </c>
      <c r="M734" s="637">
        <v>1798</v>
      </c>
      <c r="N734" s="637">
        <v>10335.5</v>
      </c>
      <c r="O734" s="821">
        <v>10</v>
      </c>
      <c r="P734" s="637">
        <v>1798</v>
      </c>
      <c r="Q734" s="637">
        <v>10335.5</v>
      </c>
      <c r="R734" s="813" t="s">
        <v>172</v>
      </c>
      <c r="T734" s="815" t="s">
        <v>172</v>
      </c>
      <c r="U734" s="900" t="s">
        <v>1220</v>
      </c>
    </row>
    <row r="735" spans="1:21" x14ac:dyDescent="0.25">
      <c r="A735" s="813">
        <v>1039</v>
      </c>
      <c r="B735" s="813" t="s">
        <v>339</v>
      </c>
      <c r="C735" s="813" t="s">
        <v>930</v>
      </c>
      <c r="D735" s="813" t="s">
        <v>14</v>
      </c>
      <c r="E735" s="813" t="s">
        <v>15</v>
      </c>
      <c r="F735" s="813" t="s">
        <v>956</v>
      </c>
      <c r="G735" s="813" t="s">
        <v>957</v>
      </c>
      <c r="H735" s="819" t="s">
        <v>44</v>
      </c>
      <c r="I735" s="820" t="s">
        <v>15</v>
      </c>
      <c r="J735" s="820" t="s">
        <v>421</v>
      </c>
      <c r="L735" s="821">
        <v>2</v>
      </c>
      <c r="M735" s="637">
        <v>476</v>
      </c>
      <c r="N735" s="637">
        <v>1888.75</v>
      </c>
      <c r="O735" s="821">
        <v>2</v>
      </c>
      <c r="P735" s="637">
        <v>476</v>
      </c>
      <c r="Q735" s="637">
        <v>1888.75</v>
      </c>
      <c r="R735" s="813" t="s">
        <v>172</v>
      </c>
      <c r="T735" s="815" t="s">
        <v>172</v>
      </c>
      <c r="U735" s="900" t="s">
        <v>1220</v>
      </c>
    </row>
    <row r="736" spans="1:21" x14ac:dyDescent="0.25">
      <c r="A736" s="813">
        <v>1040</v>
      </c>
      <c r="B736" s="813" t="s">
        <v>339</v>
      </c>
      <c r="C736" s="813" t="s">
        <v>931</v>
      </c>
      <c r="D736" s="813" t="s">
        <v>14</v>
      </c>
      <c r="E736" s="813" t="s">
        <v>14</v>
      </c>
      <c r="F736" s="813" t="s">
        <v>867</v>
      </c>
      <c r="G736" s="813" t="s">
        <v>868</v>
      </c>
      <c r="H736" s="819" t="s">
        <v>35</v>
      </c>
      <c r="I736" s="820" t="s">
        <v>20</v>
      </c>
      <c r="J736" s="820" t="s">
        <v>428</v>
      </c>
      <c r="L736" s="821">
        <v>6</v>
      </c>
      <c r="M736" s="637">
        <v>323</v>
      </c>
      <c r="N736" s="637">
        <v>1309.25</v>
      </c>
      <c r="O736" s="821">
        <v>6</v>
      </c>
      <c r="P736" s="637">
        <v>323</v>
      </c>
      <c r="Q736" s="637">
        <v>1309.25</v>
      </c>
      <c r="R736" s="813" t="s">
        <v>172</v>
      </c>
      <c r="T736" s="815" t="s">
        <v>172</v>
      </c>
      <c r="U736" s="900" t="s">
        <v>1220</v>
      </c>
    </row>
    <row r="737" spans="1:21" x14ac:dyDescent="0.25">
      <c r="A737" s="813">
        <v>1041</v>
      </c>
      <c r="B737" s="813" t="s">
        <v>339</v>
      </c>
      <c r="C737" s="813" t="s">
        <v>931</v>
      </c>
      <c r="D737" s="813" t="s">
        <v>14</v>
      </c>
      <c r="E737" s="813" t="s">
        <v>14</v>
      </c>
      <c r="F737" s="813" t="s">
        <v>1096</v>
      </c>
      <c r="G737" s="813" t="s">
        <v>933</v>
      </c>
      <c r="H737" s="819" t="s">
        <v>37</v>
      </c>
      <c r="I737" s="820" t="s">
        <v>20</v>
      </c>
      <c r="J737" s="820" t="s">
        <v>428</v>
      </c>
      <c r="L737" s="821">
        <v>1</v>
      </c>
      <c r="M737" s="637">
        <v>4</v>
      </c>
      <c r="N737" s="637">
        <v>52</v>
      </c>
      <c r="O737" s="821">
        <v>1</v>
      </c>
      <c r="P737" s="637">
        <v>4</v>
      </c>
      <c r="Q737" s="637">
        <v>52</v>
      </c>
      <c r="R737" s="813" t="s">
        <v>172</v>
      </c>
      <c r="T737" s="815">
        <v>13</v>
      </c>
      <c r="U737" s="900" t="s">
        <v>1220</v>
      </c>
    </row>
    <row r="738" spans="1:21" x14ac:dyDescent="0.25">
      <c r="A738" s="813">
        <v>1042</v>
      </c>
      <c r="B738" s="813" t="s">
        <v>339</v>
      </c>
      <c r="C738" s="813" t="s">
        <v>931</v>
      </c>
      <c r="D738" s="813" t="s">
        <v>14</v>
      </c>
      <c r="E738" s="813" t="s">
        <v>14</v>
      </c>
      <c r="F738" s="813" t="s">
        <v>869</v>
      </c>
      <c r="H738" s="819" t="s">
        <v>39</v>
      </c>
      <c r="I738" s="820" t="s">
        <v>20</v>
      </c>
      <c r="J738" s="820" t="s">
        <v>428</v>
      </c>
      <c r="L738" s="821">
        <v>3</v>
      </c>
      <c r="M738" s="637">
        <v>3</v>
      </c>
      <c r="N738" s="637">
        <v>3</v>
      </c>
      <c r="O738" s="821">
        <v>3</v>
      </c>
      <c r="P738" s="637">
        <v>3</v>
      </c>
      <c r="Q738" s="637">
        <v>3</v>
      </c>
      <c r="R738" s="806" t="s">
        <v>507</v>
      </c>
      <c r="T738" s="815" t="s">
        <v>172</v>
      </c>
      <c r="U738" s="900" t="s">
        <v>1220</v>
      </c>
    </row>
    <row r="739" spans="1:21" x14ac:dyDescent="0.25">
      <c r="A739" s="813">
        <v>1043</v>
      </c>
      <c r="B739" s="813" t="s">
        <v>339</v>
      </c>
      <c r="C739" s="813" t="s">
        <v>931</v>
      </c>
      <c r="D739" s="813" t="s">
        <v>14</v>
      </c>
      <c r="E739" s="813" t="s">
        <v>14</v>
      </c>
      <c r="F739" s="813" t="s">
        <v>875</v>
      </c>
      <c r="H739" s="819" t="s">
        <v>39</v>
      </c>
      <c r="I739" s="820" t="s">
        <v>20</v>
      </c>
      <c r="J739" s="820" t="s">
        <v>428</v>
      </c>
      <c r="L739" s="821">
        <v>1</v>
      </c>
      <c r="M739" s="637">
        <v>2</v>
      </c>
      <c r="N739" s="637">
        <v>2</v>
      </c>
      <c r="O739" s="821">
        <v>1</v>
      </c>
      <c r="P739" s="637">
        <v>2</v>
      </c>
      <c r="Q739" s="637">
        <v>2</v>
      </c>
      <c r="R739" s="806" t="s">
        <v>507</v>
      </c>
      <c r="T739" s="815" t="s">
        <v>172</v>
      </c>
      <c r="U739" s="900" t="s">
        <v>1220</v>
      </c>
    </row>
    <row r="740" spans="1:21" x14ac:dyDescent="0.25">
      <c r="A740" s="813">
        <v>1046</v>
      </c>
      <c r="B740" s="813" t="s">
        <v>339</v>
      </c>
      <c r="C740" s="813" t="s">
        <v>864</v>
      </c>
      <c r="D740" s="813" t="s">
        <v>16</v>
      </c>
      <c r="E740" s="813" t="s">
        <v>15</v>
      </c>
      <c r="F740" s="813" t="s">
        <v>865</v>
      </c>
      <c r="G740" s="813" t="s">
        <v>863</v>
      </c>
      <c r="H740" s="819" t="s">
        <v>18</v>
      </c>
      <c r="I740" s="820" t="s">
        <v>15</v>
      </c>
      <c r="J740" s="820" t="s">
        <v>421</v>
      </c>
      <c r="L740" s="821">
        <v>47</v>
      </c>
      <c r="M740" s="637">
        <v>10212</v>
      </c>
      <c r="N740" s="637">
        <v>64790.5</v>
      </c>
      <c r="O740" s="821">
        <v>46</v>
      </c>
      <c r="P740" s="637">
        <v>10148</v>
      </c>
      <c r="Q740" s="637">
        <v>64410.5</v>
      </c>
      <c r="R740" s="813" t="s">
        <v>172</v>
      </c>
      <c r="T740" s="815" t="s">
        <v>172</v>
      </c>
      <c r="U740" s="900" t="s">
        <v>1220</v>
      </c>
    </row>
    <row r="741" spans="1:21" x14ac:dyDescent="0.25">
      <c r="A741" s="813">
        <v>1047</v>
      </c>
      <c r="B741" s="813" t="s">
        <v>339</v>
      </c>
      <c r="C741" s="813" t="s">
        <v>866</v>
      </c>
      <c r="D741" s="813" t="s">
        <v>16</v>
      </c>
      <c r="E741" s="813" t="s">
        <v>14</v>
      </c>
      <c r="F741" s="813" t="s">
        <v>867</v>
      </c>
      <c r="G741" s="813" t="s">
        <v>868</v>
      </c>
      <c r="H741" s="819" t="s">
        <v>35</v>
      </c>
      <c r="I741" s="820" t="s">
        <v>20</v>
      </c>
      <c r="J741" s="820" t="s">
        <v>428</v>
      </c>
      <c r="L741" s="821">
        <v>31</v>
      </c>
      <c r="M741" s="637">
        <v>3736</v>
      </c>
      <c r="N741" s="637">
        <v>26311.25</v>
      </c>
      <c r="O741" s="821">
        <v>30</v>
      </c>
      <c r="P741" s="637">
        <v>3659</v>
      </c>
      <c r="Q741" s="637">
        <v>25853.75</v>
      </c>
      <c r="R741" s="813" t="s">
        <v>172</v>
      </c>
      <c r="T741" s="815" t="s">
        <v>172</v>
      </c>
      <c r="U741" s="900" t="s">
        <v>1220</v>
      </c>
    </row>
    <row r="742" spans="1:21" x14ac:dyDescent="0.25">
      <c r="A742" s="813">
        <v>1048</v>
      </c>
      <c r="B742" s="813" t="s">
        <v>339</v>
      </c>
      <c r="C742" s="813" t="s">
        <v>866</v>
      </c>
      <c r="D742" s="813" t="s">
        <v>16</v>
      </c>
      <c r="E742" s="813" t="s">
        <v>14</v>
      </c>
      <c r="F742" s="813" t="s">
        <v>932</v>
      </c>
      <c r="G742" s="813" t="s">
        <v>933</v>
      </c>
      <c r="H742" s="819" t="s">
        <v>37</v>
      </c>
      <c r="I742" s="820" t="s">
        <v>20</v>
      </c>
      <c r="J742" s="820" t="s">
        <v>428</v>
      </c>
      <c r="L742" s="821">
        <v>4</v>
      </c>
      <c r="M742" s="637">
        <v>420</v>
      </c>
      <c r="N742" s="637">
        <v>5460</v>
      </c>
      <c r="O742" s="821">
        <v>4</v>
      </c>
      <c r="P742" s="637">
        <v>420</v>
      </c>
      <c r="Q742" s="637">
        <v>5460</v>
      </c>
      <c r="R742" s="813" t="s">
        <v>172</v>
      </c>
      <c r="T742" s="815">
        <v>13</v>
      </c>
      <c r="U742" s="900" t="s">
        <v>1220</v>
      </c>
    </row>
    <row r="743" spans="1:21" x14ac:dyDescent="0.25">
      <c r="A743" s="813">
        <v>1049</v>
      </c>
      <c r="B743" s="813" t="s">
        <v>339</v>
      </c>
      <c r="C743" s="813" t="s">
        <v>866</v>
      </c>
      <c r="D743" s="813" t="s">
        <v>16</v>
      </c>
      <c r="E743" s="813" t="s">
        <v>14</v>
      </c>
      <c r="F743" s="813" t="s">
        <v>889</v>
      </c>
      <c r="H743" s="819" t="s">
        <v>39</v>
      </c>
      <c r="I743" s="820" t="s">
        <v>20</v>
      </c>
      <c r="J743" s="820" t="s">
        <v>428</v>
      </c>
      <c r="L743" s="821">
        <v>3</v>
      </c>
      <c r="M743" s="637">
        <v>4</v>
      </c>
      <c r="N743" s="637">
        <v>4</v>
      </c>
      <c r="O743" s="821">
        <v>3</v>
      </c>
      <c r="P743" s="637">
        <v>4</v>
      </c>
      <c r="Q743" s="637">
        <v>4</v>
      </c>
      <c r="R743" s="806" t="s">
        <v>507</v>
      </c>
      <c r="T743" s="815" t="s">
        <v>172</v>
      </c>
      <c r="U743" s="900" t="s">
        <v>1220</v>
      </c>
    </row>
    <row r="744" spans="1:21" x14ac:dyDescent="0.25">
      <c r="A744" s="813">
        <v>1050</v>
      </c>
      <c r="B744" s="813" t="s">
        <v>339</v>
      </c>
      <c r="C744" s="813" t="s">
        <v>866</v>
      </c>
      <c r="D744" s="813" t="s">
        <v>16</v>
      </c>
      <c r="E744" s="813" t="s">
        <v>14</v>
      </c>
      <c r="F744" s="813" t="s">
        <v>869</v>
      </c>
      <c r="H744" s="819" t="s">
        <v>39</v>
      </c>
      <c r="I744" s="820" t="s">
        <v>20</v>
      </c>
      <c r="J744" s="820" t="s">
        <v>428</v>
      </c>
      <c r="L744" s="821">
        <v>18</v>
      </c>
      <c r="M744" s="637">
        <v>19</v>
      </c>
      <c r="N744" s="637">
        <v>19</v>
      </c>
      <c r="O744" s="821">
        <v>18</v>
      </c>
      <c r="P744" s="637">
        <v>19</v>
      </c>
      <c r="Q744" s="637">
        <v>19</v>
      </c>
      <c r="R744" s="806" t="s">
        <v>507</v>
      </c>
      <c r="T744" s="815" t="s">
        <v>172</v>
      </c>
      <c r="U744" s="900" t="s">
        <v>1220</v>
      </c>
    </row>
    <row r="745" spans="1:21" x14ac:dyDescent="0.25">
      <c r="A745" s="813">
        <v>1051</v>
      </c>
      <c r="B745" s="813" t="s">
        <v>339</v>
      </c>
      <c r="C745" s="813" t="s">
        <v>866</v>
      </c>
      <c r="D745" s="813" t="s">
        <v>16</v>
      </c>
      <c r="E745" s="813" t="s">
        <v>14</v>
      </c>
      <c r="F745" s="813" t="s">
        <v>875</v>
      </c>
      <c r="H745" s="819" t="s">
        <v>39</v>
      </c>
      <c r="I745" s="820" t="s">
        <v>20</v>
      </c>
      <c r="J745" s="820" t="s">
        <v>428</v>
      </c>
      <c r="L745" s="821">
        <v>16</v>
      </c>
      <c r="M745" s="637">
        <v>22</v>
      </c>
      <c r="N745" s="637">
        <v>22</v>
      </c>
      <c r="O745" s="821">
        <v>16</v>
      </c>
      <c r="P745" s="637">
        <v>22</v>
      </c>
      <c r="Q745" s="637">
        <v>22</v>
      </c>
      <c r="R745" s="806" t="s">
        <v>507</v>
      </c>
      <c r="T745" s="815" t="s">
        <v>172</v>
      </c>
      <c r="U745" s="900" t="s">
        <v>1220</v>
      </c>
    </row>
    <row r="746" spans="1:21" x14ac:dyDescent="0.25">
      <c r="A746" s="813">
        <v>1052</v>
      </c>
      <c r="B746" s="813" t="s">
        <v>339</v>
      </c>
      <c r="C746" s="813" t="s">
        <v>870</v>
      </c>
      <c r="D746" s="813" t="s">
        <v>13</v>
      </c>
      <c r="E746" s="813" t="s">
        <v>13</v>
      </c>
      <c r="F746" s="813" t="s">
        <v>871</v>
      </c>
      <c r="H746" s="819" t="s">
        <v>391</v>
      </c>
      <c r="I746" s="820" t="s">
        <v>20</v>
      </c>
      <c r="J746" s="820" t="s">
        <v>16</v>
      </c>
      <c r="K746" s="813" t="s">
        <v>13</v>
      </c>
      <c r="L746" s="821">
        <v>42</v>
      </c>
      <c r="M746" s="637">
        <v>5305</v>
      </c>
      <c r="N746" s="637">
        <v>25873.25</v>
      </c>
      <c r="O746" s="821">
        <v>38</v>
      </c>
      <c r="P746" s="637">
        <v>5174</v>
      </c>
      <c r="Q746" s="637">
        <v>25339.25</v>
      </c>
      <c r="R746" s="813" t="s">
        <v>172</v>
      </c>
      <c r="T746" s="815" t="s">
        <v>172</v>
      </c>
      <c r="U746" s="899" t="s">
        <v>1219</v>
      </c>
    </row>
    <row r="747" spans="1:21" x14ac:dyDescent="0.25">
      <c r="A747" s="813">
        <v>1053</v>
      </c>
      <c r="B747" s="813" t="s">
        <v>339</v>
      </c>
      <c r="C747" s="813" t="s">
        <v>465</v>
      </c>
      <c r="D747" s="813" t="s">
        <v>13</v>
      </c>
      <c r="E747" s="813" t="s">
        <v>13</v>
      </c>
      <c r="F747" s="813" t="s">
        <v>872</v>
      </c>
      <c r="G747" s="813" t="s">
        <v>873</v>
      </c>
      <c r="H747" s="819" t="s">
        <v>391</v>
      </c>
      <c r="I747" s="820" t="s">
        <v>20</v>
      </c>
      <c r="J747" s="820" t="s">
        <v>16</v>
      </c>
      <c r="K747" s="813" t="s">
        <v>13</v>
      </c>
      <c r="L747" s="821">
        <v>25</v>
      </c>
      <c r="M747" s="637">
        <v>1370</v>
      </c>
      <c r="N747" s="637">
        <v>9517</v>
      </c>
      <c r="O747" s="821">
        <v>21</v>
      </c>
      <c r="P747" s="637">
        <v>1187</v>
      </c>
      <c r="Q747" s="637">
        <v>8372.75</v>
      </c>
      <c r="R747" s="813" t="s">
        <v>172</v>
      </c>
      <c r="T747" s="815" t="s">
        <v>172</v>
      </c>
      <c r="U747" s="899" t="s">
        <v>1219</v>
      </c>
    </row>
    <row r="748" spans="1:21" x14ac:dyDescent="0.25">
      <c r="A748" s="813">
        <v>1054</v>
      </c>
      <c r="B748" s="813" t="s">
        <v>339</v>
      </c>
      <c r="C748" s="813" t="s">
        <v>465</v>
      </c>
      <c r="D748" s="813" t="s">
        <v>13</v>
      </c>
      <c r="E748" s="813" t="s">
        <v>13</v>
      </c>
      <c r="F748" s="813" t="s">
        <v>877</v>
      </c>
      <c r="H748" s="819" t="s">
        <v>391</v>
      </c>
      <c r="I748" s="820" t="s">
        <v>20</v>
      </c>
      <c r="J748" s="820" t="s">
        <v>16</v>
      </c>
      <c r="K748" s="813" t="s">
        <v>13</v>
      </c>
      <c r="L748" s="821">
        <v>78</v>
      </c>
      <c r="M748" s="637">
        <v>5090</v>
      </c>
      <c r="N748" s="637">
        <v>24045.5</v>
      </c>
      <c r="O748" s="821">
        <v>68</v>
      </c>
      <c r="P748" s="637">
        <v>4940</v>
      </c>
      <c r="Q748" s="637">
        <v>23298.75</v>
      </c>
      <c r="R748" s="813" t="s">
        <v>172</v>
      </c>
      <c r="T748" s="815" t="s">
        <v>172</v>
      </c>
      <c r="U748" s="899" t="s">
        <v>1219</v>
      </c>
    </row>
    <row r="749" spans="1:21" x14ac:dyDescent="0.25">
      <c r="A749" s="813">
        <v>1055</v>
      </c>
      <c r="B749" s="813" t="s">
        <v>339</v>
      </c>
      <c r="C749" s="813" t="s">
        <v>465</v>
      </c>
      <c r="D749" s="813" t="s">
        <v>13</v>
      </c>
      <c r="E749" s="813" t="s">
        <v>13</v>
      </c>
      <c r="F749" s="813" t="s">
        <v>1014</v>
      </c>
      <c r="G749" s="813" t="s">
        <v>1015</v>
      </c>
      <c r="H749" s="819" t="s">
        <v>391</v>
      </c>
      <c r="I749" s="820" t="s">
        <v>20</v>
      </c>
      <c r="J749" s="820" t="s">
        <v>16</v>
      </c>
      <c r="K749" s="813" t="s">
        <v>13</v>
      </c>
      <c r="L749" s="821">
        <v>1</v>
      </c>
      <c r="M749" s="637">
        <v>70</v>
      </c>
      <c r="N749" s="637">
        <v>279.25</v>
      </c>
      <c r="O749" s="821">
        <v>1</v>
      </c>
      <c r="P749" s="637">
        <v>70</v>
      </c>
      <c r="Q749" s="637">
        <v>279.25</v>
      </c>
      <c r="R749" s="813" t="s">
        <v>172</v>
      </c>
      <c r="T749" s="815" t="s">
        <v>172</v>
      </c>
      <c r="U749" s="899" t="s">
        <v>1219</v>
      </c>
    </row>
    <row r="750" spans="1:21" x14ac:dyDescent="0.25">
      <c r="A750" s="813">
        <v>1057</v>
      </c>
      <c r="B750" s="813" t="s">
        <v>339</v>
      </c>
      <c r="C750" s="813" t="s">
        <v>874</v>
      </c>
      <c r="D750" s="813" t="s">
        <v>434</v>
      </c>
      <c r="E750" s="813" t="s">
        <v>14</v>
      </c>
      <c r="F750" s="813" t="s">
        <v>889</v>
      </c>
      <c r="H750" s="819" t="s">
        <v>39</v>
      </c>
      <c r="I750" s="820" t="s">
        <v>20</v>
      </c>
      <c r="J750" s="820" t="s">
        <v>428</v>
      </c>
      <c r="L750" s="821">
        <v>10</v>
      </c>
      <c r="M750" s="637">
        <v>12</v>
      </c>
      <c r="N750" s="637">
        <v>12</v>
      </c>
      <c r="O750" s="821">
        <v>10</v>
      </c>
      <c r="P750" s="637">
        <v>12</v>
      </c>
      <c r="Q750" s="637">
        <v>12</v>
      </c>
      <c r="R750" s="806" t="s">
        <v>507</v>
      </c>
      <c r="T750" s="815" t="s">
        <v>172</v>
      </c>
      <c r="U750" s="900" t="s">
        <v>1220</v>
      </c>
    </row>
    <row r="751" spans="1:21" x14ac:dyDescent="0.25">
      <c r="A751" s="813">
        <v>1058</v>
      </c>
      <c r="B751" s="813" t="s">
        <v>339</v>
      </c>
      <c r="C751" s="813" t="s">
        <v>874</v>
      </c>
      <c r="D751" s="813" t="s">
        <v>434</v>
      </c>
      <c r="E751" s="813" t="s">
        <v>14</v>
      </c>
      <c r="F751" s="813" t="s">
        <v>869</v>
      </c>
      <c r="H751" s="819" t="s">
        <v>39</v>
      </c>
      <c r="I751" s="820" t="s">
        <v>20</v>
      </c>
      <c r="J751" s="820" t="s">
        <v>428</v>
      </c>
      <c r="L751" s="821">
        <v>60</v>
      </c>
      <c r="M751" s="637">
        <v>60</v>
      </c>
      <c r="N751" s="637">
        <v>60</v>
      </c>
      <c r="O751" s="821">
        <v>58</v>
      </c>
      <c r="P751" s="637">
        <v>58</v>
      </c>
      <c r="Q751" s="637">
        <v>58</v>
      </c>
      <c r="R751" s="806" t="s">
        <v>507</v>
      </c>
      <c r="T751" s="815" t="s">
        <v>172</v>
      </c>
      <c r="U751" s="900" t="s">
        <v>1220</v>
      </c>
    </row>
    <row r="752" spans="1:21" x14ac:dyDescent="0.25">
      <c r="A752" s="813">
        <v>1059</v>
      </c>
      <c r="B752" s="813" t="s">
        <v>339</v>
      </c>
      <c r="C752" s="813" t="s">
        <v>874</v>
      </c>
      <c r="D752" s="813" t="s">
        <v>434</v>
      </c>
      <c r="E752" s="813" t="s">
        <v>14</v>
      </c>
      <c r="F752" s="813" t="s">
        <v>890</v>
      </c>
      <c r="G752" s="813" t="s">
        <v>891</v>
      </c>
      <c r="H752" s="819" t="s">
        <v>39</v>
      </c>
      <c r="I752" s="820" t="s">
        <v>20</v>
      </c>
      <c r="J752" s="820" t="s">
        <v>428</v>
      </c>
      <c r="L752" s="821">
        <v>29</v>
      </c>
      <c r="M752" s="637">
        <v>29</v>
      </c>
      <c r="N752" s="637">
        <v>29</v>
      </c>
      <c r="O752" s="821">
        <v>26</v>
      </c>
      <c r="P752" s="637">
        <v>26</v>
      </c>
      <c r="Q752" s="637">
        <v>26</v>
      </c>
      <c r="R752" s="813" t="s">
        <v>529</v>
      </c>
      <c r="T752" s="815" t="s">
        <v>172</v>
      </c>
      <c r="U752" s="900" t="s">
        <v>1220</v>
      </c>
    </row>
    <row r="753" spans="1:21" x14ac:dyDescent="0.25">
      <c r="A753" s="813">
        <v>1060</v>
      </c>
      <c r="B753" s="813" t="s">
        <v>339</v>
      </c>
      <c r="C753" s="813" t="s">
        <v>874</v>
      </c>
      <c r="D753" s="813" t="s">
        <v>434</v>
      </c>
      <c r="E753" s="813" t="s">
        <v>14</v>
      </c>
      <c r="F753" s="813" t="s">
        <v>1097</v>
      </c>
      <c r="H753" s="819" t="s">
        <v>39</v>
      </c>
      <c r="I753" s="820" t="s">
        <v>20</v>
      </c>
      <c r="J753" s="820" t="s">
        <v>428</v>
      </c>
      <c r="L753" s="821">
        <v>1</v>
      </c>
      <c r="M753" s="637">
        <v>1</v>
      </c>
      <c r="N753" s="637">
        <v>1</v>
      </c>
      <c r="O753" s="821">
        <v>1</v>
      </c>
      <c r="P753" s="637">
        <v>1</v>
      </c>
      <c r="Q753" s="637">
        <v>1</v>
      </c>
      <c r="R753" s="813" t="s">
        <v>529</v>
      </c>
      <c r="T753" s="815" t="s">
        <v>172</v>
      </c>
      <c r="U753" s="900" t="s">
        <v>1220</v>
      </c>
    </row>
    <row r="754" spans="1:21" x14ac:dyDescent="0.25">
      <c r="A754" s="813">
        <v>1061</v>
      </c>
      <c r="B754" s="813" t="s">
        <v>339</v>
      </c>
      <c r="C754" s="813" t="s">
        <v>874</v>
      </c>
      <c r="D754" s="813" t="s">
        <v>434</v>
      </c>
      <c r="E754" s="813" t="s">
        <v>14</v>
      </c>
      <c r="F754" s="813" t="s">
        <v>875</v>
      </c>
      <c r="H754" s="819" t="s">
        <v>39</v>
      </c>
      <c r="I754" s="820" t="s">
        <v>20</v>
      </c>
      <c r="J754" s="820" t="s">
        <v>428</v>
      </c>
      <c r="L754" s="821">
        <v>61</v>
      </c>
      <c r="M754" s="637">
        <v>77</v>
      </c>
      <c r="N754" s="637">
        <v>77</v>
      </c>
      <c r="O754" s="821">
        <v>59</v>
      </c>
      <c r="P754" s="637">
        <v>75</v>
      </c>
      <c r="Q754" s="637">
        <v>75</v>
      </c>
      <c r="R754" s="806" t="s">
        <v>507</v>
      </c>
      <c r="T754" s="815" t="s">
        <v>172</v>
      </c>
      <c r="U754" s="900" t="s">
        <v>1220</v>
      </c>
    </row>
    <row r="755" spans="1:21" x14ac:dyDescent="0.25">
      <c r="A755" s="813">
        <v>1062</v>
      </c>
      <c r="B755" s="813" t="s">
        <v>339</v>
      </c>
      <c r="C755" s="813" t="s">
        <v>874</v>
      </c>
      <c r="D755" s="813" t="s">
        <v>434</v>
      </c>
      <c r="E755" s="813" t="s">
        <v>14</v>
      </c>
      <c r="F755" s="813" t="s">
        <v>892</v>
      </c>
      <c r="G755" s="813" t="s">
        <v>893</v>
      </c>
      <c r="H755" s="819" t="s">
        <v>34</v>
      </c>
      <c r="I755" s="820" t="s">
        <v>20</v>
      </c>
      <c r="J755" s="820" t="s">
        <v>428</v>
      </c>
      <c r="L755" s="821">
        <v>4</v>
      </c>
      <c r="M755" s="637">
        <v>52</v>
      </c>
      <c r="N755" s="637">
        <v>306.75</v>
      </c>
      <c r="O755" s="821">
        <v>3</v>
      </c>
      <c r="P755" s="637">
        <v>31</v>
      </c>
      <c r="Q755" s="637">
        <v>138.75</v>
      </c>
      <c r="R755" s="813" t="s">
        <v>172</v>
      </c>
      <c r="T755" s="815" t="s">
        <v>172</v>
      </c>
      <c r="U755" s="900" t="s">
        <v>1220</v>
      </c>
    </row>
    <row r="756" spans="1:21" x14ac:dyDescent="0.25">
      <c r="A756" s="813">
        <v>1063</v>
      </c>
      <c r="B756" s="813" t="s">
        <v>339</v>
      </c>
      <c r="C756" s="813" t="s">
        <v>874</v>
      </c>
      <c r="D756" s="813" t="s">
        <v>434</v>
      </c>
      <c r="E756" s="813" t="s">
        <v>14</v>
      </c>
      <c r="F756" s="813" t="s">
        <v>868</v>
      </c>
      <c r="G756" s="813" t="s">
        <v>868</v>
      </c>
      <c r="H756" s="819" t="s">
        <v>35</v>
      </c>
      <c r="I756" s="820" t="s">
        <v>20</v>
      </c>
      <c r="J756" s="820" t="s">
        <v>428</v>
      </c>
      <c r="L756" s="821">
        <v>142</v>
      </c>
      <c r="M756" s="637">
        <v>14733</v>
      </c>
      <c r="N756" s="637">
        <v>79489</v>
      </c>
      <c r="O756" s="821">
        <v>133</v>
      </c>
      <c r="P756" s="637">
        <v>14314</v>
      </c>
      <c r="Q756" s="637">
        <v>77412.25</v>
      </c>
      <c r="R756" s="813" t="s">
        <v>172</v>
      </c>
      <c r="T756" s="815" t="s">
        <v>172</v>
      </c>
      <c r="U756" s="900" t="s">
        <v>1220</v>
      </c>
    </row>
    <row r="757" spans="1:21" x14ac:dyDescent="0.25">
      <c r="A757" s="813">
        <v>1064</v>
      </c>
      <c r="B757" s="813" t="s">
        <v>339</v>
      </c>
      <c r="C757" s="813" t="s">
        <v>874</v>
      </c>
      <c r="D757" s="813" t="s">
        <v>434</v>
      </c>
      <c r="E757" s="813" t="s">
        <v>14</v>
      </c>
      <c r="F757" s="813" t="s">
        <v>863</v>
      </c>
      <c r="G757" s="813" t="s">
        <v>863</v>
      </c>
      <c r="H757" s="819" t="s">
        <v>18</v>
      </c>
      <c r="I757" s="820" t="s">
        <v>15</v>
      </c>
      <c r="J757" s="820" t="s">
        <v>421</v>
      </c>
      <c r="L757" s="821">
        <v>3</v>
      </c>
      <c r="M757" s="637">
        <v>157</v>
      </c>
      <c r="N757" s="637">
        <v>703.5</v>
      </c>
      <c r="O757" s="821">
        <v>3</v>
      </c>
      <c r="P757" s="637">
        <v>157</v>
      </c>
      <c r="Q757" s="637">
        <v>703.5</v>
      </c>
      <c r="R757" s="813" t="s">
        <v>172</v>
      </c>
      <c r="T757" s="815" t="s">
        <v>172</v>
      </c>
      <c r="U757" s="900" t="s">
        <v>1220</v>
      </c>
    </row>
    <row r="758" spans="1:21" x14ac:dyDescent="0.25">
      <c r="A758" s="813">
        <v>1065</v>
      </c>
      <c r="B758" s="813" t="s">
        <v>339</v>
      </c>
      <c r="C758" s="813" t="s">
        <v>874</v>
      </c>
      <c r="D758" s="813" t="s">
        <v>434</v>
      </c>
      <c r="E758" s="813" t="s">
        <v>14</v>
      </c>
      <c r="F758" s="813" t="s">
        <v>933</v>
      </c>
      <c r="G758" s="813" t="s">
        <v>933</v>
      </c>
      <c r="H758" s="819" t="s">
        <v>37</v>
      </c>
      <c r="I758" s="820" t="s">
        <v>20</v>
      </c>
      <c r="J758" s="820" t="s">
        <v>428</v>
      </c>
      <c r="L758" s="821">
        <v>3</v>
      </c>
      <c r="M758" s="637">
        <v>303</v>
      </c>
      <c r="N758" s="637">
        <v>3939</v>
      </c>
      <c r="O758" s="821">
        <v>3</v>
      </c>
      <c r="P758" s="637">
        <v>303</v>
      </c>
      <c r="Q758" s="637">
        <v>3939</v>
      </c>
      <c r="R758" s="813" t="s">
        <v>172</v>
      </c>
      <c r="T758" s="815">
        <v>13</v>
      </c>
      <c r="U758" s="900" t="s">
        <v>1220</v>
      </c>
    </row>
    <row r="759" spans="1:21" x14ac:dyDescent="0.25">
      <c r="A759" s="813">
        <v>1070</v>
      </c>
      <c r="B759" s="813" t="s">
        <v>339</v>
      </c>
      <c r="C759" s="813" t="s">
        <v>876</v>
      </c>
      <c r="D759" s="813" t="s">
        <v>434</v>
      </c>
      <c r="E759" s="813" t="s">
        <v>15</v>
      </c>
      <c r="F759" s="813" t="s">
        <v>868</v>
      </c>
      <c r="G759" s="813" t="s">
        <v>868</v>
      </c>
      <c r="H759" s="819" t="s">
        <v>35</v>
      </c>
      <c r="I759" s="820" t="s">
        <v>20</v>
      </c>
      <c r="J759" s="820" t="s">
        <v>428</v>
      </c>
      <c r="L759" s="821">
        <v>1</v>
      </c>
      <c r="M759" s="637">
        <v>1</v>
      </c>
      <c r="N759" s="637">
        <v>1</v>
      </c>
      <c r="O759" s="821">
        <v>1</v>
      </c>
      <c r="P759" s="637">
        <v>1</v>
      </c>
      <c r="Q759" s="637">
        <v>1</v>
      </c>
      <c r="R759" s="813" t="s">
        <v>172</v>
      </c>
      <c r="T759" s="815" t="s">
        <v>172</v>
      </c>
      <c r="U759" s="900" t="s">
        <v>1220</v>
      </c>
    </row>
    <row r="760" spans="1:21" x14ac:dyDescent="0.25">
      <c r="A760" s="813">
        <v>1071</v>
      </c>
      <c r="B760" s="813" t="s">
        <v>339</v>
      </c>
      <c r="C760" s="813" t="s">
        <v>876</v>
      </c>
      <c r="D760" s="813" t="s">
        <v>434</v>
      </c>
      <c r="E760" s="813" t="s">
        <v>15</v>
      </c>
      <c r="F760" s="813" t="s">
        <v>863</v>
      </c>
      <c r="G760" s="813" t="s">
        <v>863</v>
      </c>
      <c r="H760" s="819" t="s">
        <v>18</v>
      </c>
      <c r="I760" s="820" t="s">
        <v>15</v>
      </c>
      <c r="J760" s="820" t="s">
        <v>421</v>
      </c>
      <c r="L760" s="821">
        <v>99</v>
      </c>
      <c r="M760" s="637">
        <v>13026</v>
      </c>
      <c r="N760" s="637">
        <v>72370.5</v>
      </c>
      <c r="O760" s="821">
        <v>94</v>
      </c>
      <c r="P760" s="637">
        <v>12839</v>
      </c>
      <c r="Q760" s="637">
        <v>71248</v>
      </c>
      <c r="R760" s="813" t="s">
        <v>172</v>
      </c>
      <c r="T760" s="815" t="s">
        <v>172</v>
      </c>
      <c r="U760" s="900" t="s">
        <v>1220</v>
      </c>
    </row>
    <row r="761" spans="1:21" x14ac:dyDescent="0.25">
      <c r="A761" s="813">
        <v>1072</v>
      </c>
      <c r="B761" s="813" t="s">
        <v>339</v>
      </c>
      <c r="C761" s="813" t="s">
        <v>894</v>
      </c>
      <c r="D761" s="813" t="s">
        <v>14</v>
      </c>
      <c r="E761" s="813" t="s">
        <v>14</v>
      </c>
      <c r="F761" s="813" t="s">
        <v>869</v>
      </c>
      <c r="G761" s="813" t="s">
        <v>895</v>
      </c>
      <c r="H761" s="819" t="s">
        <v>39</v>
      </c>
      <c r="I761" s="820" t="s">
        <v>20</v>
      </c>
      <c r="J761" s="820" t="s">
        <v>428</v>
      </c>
      <c r="L761" s="821">
        <v>8</v>
      </c>
      <c r="M761" s="637">
        <v>8</v>
      </c>
      <c r="N761" s="637">
        <v>8</v>
      </c>
      <c r="O761" s="821">
        <v>8</v>
      </c>
      <c r="P761" s="637">
        <v>8</v>
      </c>
      <c r="Q761" s="637">
        <v>8</v>
      </c>
      <c r="R761" s="806" t="s">
        <v>507</v>
      </c>
      <c r="T761" s="815" t="s">
        <v>172</v>
      </c>
      <c r="U761" s="900" t="s">
        <v>1220</v>
      </c>
    </row>
    <row r="762" spans="1:21" x14ac:dyDescent="0.25">
      <c r="A762" s="813">
        <v>1073</v>
      </c>
      <c r="B762" s="813" t="s">
        <v>339</v>
      </c>
      <c r="C762" s="813" t="s">
        <v>894</v>
      </c>
      <c r="D762" s="813" t="s">
        <v>14</v>
      </c>
      <c r="E762" s="813" t="s">
        <v>14</v>
      </c>
      <c r="F762" s="813" t="s">
        <v>896</v>
      </c>
      <c r="G762" s="813" t="s">
        <v>895</v>
      </c>
      <c r="H762" s="819" t="s">
        <v>39</v>
      </c>
      <c r="I762" s="820" t="s">
        <v>20</v>
      </c>
      <c r="J762" s="820" t="s">
        <v>428</v>
      </c>
      <c r="L762" s="821">
        <v>3</v>
      </c>
      <c r="M762" s="637">
        <v>3</v>
      </c>
      <c r="N762" s="637">
        <v>3</v>
      </c>
      <c r="O762" s="821">
        <v>3</v>
      </c>
      <c r="P762" s="637">
        <v>3</v>
      </c>
      <c r="Q762" s="637">
        <v>3</v>
      </c>
      <c r="R762" s="813" t="s">
        <v>529</v>
      </c>
      <c r="T762" s="815" t="s">
        <v>172</v>
      </c>
      <c r="U762" s="900" t="s">
        <v>1220</v>
      </c>
    </row>
    <row r="763" spans="1:21" x14ac:dyDescent="0.25">
      <c r="A763" s="813">
        <v>1074</v>
      </c>
      <c r="B763" s="813" t="s">
        <v>339</v>
      </c>
      <c r="C763" s="813" t="s">
        <v>894</v>
      </c>
      <c r="D763" s="813" t="s">
        <v>14</v>
      </c>
      <c r="E763" s="813" t="s">
        <v>14</v>
      </c>
      <c r="F763" s="813" t="s">
        <v>875</v>
      </c>
      <c r="H763" s="819" t="s">
        <v>39</v>
      </c>
      <c r="I763" s="820" t="s">
        <v>20</v>
      </c>
      <c r="J763" s="820" t="s">
        <v>428</v>
      </c>
      <c r="L763" s="821">
        <v>2</v>
      </c>
      <c r="M763" s="637">
        <v>2</v>
      </c>
      <c r="N763" s="637">
        <v>2</v>
      </c>
      <c r="O763" s="821">
        <v>2</v>
      </c>
      <c r="P763" s="637">
        <v>2</v>
      </c>
      <c r="Q763" s="637">
        <v>2</v>
      </c>
      <c r="R763" s="806" t="s">
        <v>507</v>
      </c>
      <c r="T763" s="815" t="s">
        <v>172</v>
      </c>
      <c r="U763" s="900" t="s">
        <v>1220</v>
      </c>
    </row>
    <row r="764" spans="1:21" x14ac:dyDescent="0.25">
      <c r="A764" s="813">
        <v>1075</v>
      </c>
      <c r="B764" s="813" t="s">
        <v>339</v>
      </c>
      <c r="C764" s="813" t="s">
        <v>459</v>
      </c>
      <c r="D764" s="813" t="s">
        <v>13</v>
      </c>
      <c r="E764" s="813" t="s">
        <v>13</v>
      </c>
      <c r="F764" s="813" t="s">
        <v>877</v>
      </c>
      <c r="H764" s="819" t="s">
        <v>391</v>
      </c>
      <c r="I764" s="820" t="s">
        <v>20</v>
      </c>
      <c r="J764" s="820" t="s">
        <v>16</v>
      </c>
      <c r="K764" s="813" t="s">
        <v>13</v>
      </c>
      <c r="L764" s="821">
        <v>37</v>
      </c>
      <c r="M764" s="637">
        <v>1303</v>
      </c>
      <c r="N764" s="637">
        <v>6074.25</v>
      </c>
      <c r="O764" s="821">
        <v>29</v>
      </c>
      <c r="P764" s="637">
        <v>1168</v>
      </c>
      <c r="Q764" s="637">
        <v>5534.75</v>
      </c>
      <c r="R764" s="813" t="s">
        <v>172</v>
      </c>
      <c r="T764" s="815" t="s">
        <v>172</v>
      </c>
      <c r="U764" s="899" t="s">
        <v>1219</v>
      </c>
    </row>
    <row r="765" spans="1:21" x14ac:dyDescent="0.25">
      <c r="A765" s="813">
        <v>1076</v>
      </c>
      <c r="B765" s="813" t="s">
        <v>17</v>
      </c>
      <c r="C765" s="813" t="s">
        <v>459</v>
      </c>
      <c r="D765" s="813" t="s">
        <v>13</v>
      </c>
      <c r="E765" s="813" t="s">
        <v>13</v>
      </c>
      <c r="F765" s="813" t="s">
        <v>1017</v>
      </c>
      <c r="H765" s="819" t="s">
        <v>391</v>
      </c>
      <c r="I765" s="820" t="s">
        <v>20</v>
      </c>
      <c r="J765" s="820" t="s">
        <v>16</v>
      </c>
      <c r="K765" s="813" t="s">
        <v>13</v>
      </c>
      <c r="L765" s="821">
        <v>7</v>
      </c>
      <c r="M765" s="637">
        <v>34</v>
      </c>
      <c r="N765" s="637">
        <v>126</v>
      </c>
      <c r="O765" s="821">
        <v>5</v>
      </c>
      <c r="P765" s="637">
        <v>20</v>
      </c>
      <c r="Q765" s="637">
        <v>70.25</v>
      </c>
      <c r="R765" s="813" t="s">
        <v>172</v>
      </c>
      <c r="T765" s="815" t="s">
        <v>172</v>
      </c>
      <c r="U765" s="899" t="s">
        <v>1219</v>
      </c>
    </row>
    <row r="766" spans="1:21" x14ac:dyDescent="0.25">
      <c r="A766" s="813">
        <v>1078</v>
      </c>
      <c r="B766" s="813" t="s">
        <v>339</v>
      </c>
      <c r="C766" s="813" t="s">
        <v>935</v>
      </c>
      <c r="D766" s="813" t="s">
        <v>495</v>
      </c>
      <c r="E766" s="813" t="s">
        <v>15</v>
      </c>
      <c r="F766" s="813" t="s">
        <v>936</v>
      </c>
      <c r="G766" s="813" t="s">
        <v>863</v>
      </c>
      <c r="H766" s="819" t="s">
        <v>18</v>
      </c>
      <c r="I766" s="820" t="s">
        <v>15</v>
      </c>
      <c r="J766" s="820" t="s">
        <v>421</v>
      </c>
      <c r="L766" s="821">
        <v>2</v>
      </c>
      <c r="M766" s="637">
        <v>143</v>
      </c>
      <c r="N766" s="637">
        <v>834.75</v>
      </c>
      <c r="O766" s="821">
        <v>2</v>
      </c>
      <c r="P766" s="637">
        <v>143</v>
      </c>
      <c r="Q766" s="637">
        <v>834.75</v>
      </c>
      <c r="R766" s="813" t="s">
        <v>172</v>
      </c>
      <c r="T766" s="815" t="s">
        <v>172</v>
      </c>
      <c r="U766" s="900" t="s">
        <v>1220</v>
      </c>
    </row>
    <row r="767" spans="1:21" x14ac:dyDescent="0.25">
      <c r="A767" s="813">
        <v>1080</v>
      </c>
      <c r="B767" s="813" t="s">
        <v>339</v>
      </c>
      <c r="C767" s="813" t="s">
        <v>937</v>
      </c>
      <c r="D767" s="813" t="s">
        <v>14</v>
      </c>
      <c r="E767" s="813" t="s">
        <v>14</v>
      </c>
      <c r="F767" s="813" t="s">
        <v>885</v>
      </c>
      <c r="G767" s="813" t="s">
        <v>868</v>
      </c>
      <c r="H767" s="819" t="s">
        <v>35</v>
      </c>
      <c r="I767" s="820" t="s">
        <v>20</v>
      </c>
      <c r="J767" s="820" t="s">
        <v>428</v>
      </c>
      <c r="L767" s="821">
        <v>8</v>
      </c>
      <c r="M767" s="637">
        <v>472</v>
      </c>
      <c r="N767" s="637">
        <v>1950</v>
      </c>
      <c r="O767" s="821">
        <v>8</v>
      </c>
      <c r="P767" s="637">
        <v>472</v>
      </c>
      <c r="Q767" s="637">
        <v>1950</v>
      </c>
      <c r="R767" s="813" t="s">
        <v>172</v>
      </c>
      <c r="T767" s="815" t="s">
        <v>172</v>
      </c>
      <c r="U767" s="900" t="s">
        <v>1220</v>
      </c>
    </row>
    <row r="768" spans="1:21" x14ac:dyDescent="0.25">
      <c r="A768" s="813">
        <v>1081</v>
      </c>
      <c r="B768" s="813" t="s">
        <v>339</v>
      </c>
      <c r="C768" s="813" t="s">
        <v>937</v>
      </c>
      <c r="D768" s="813" t="s">
        <v>14</v>
      </c>
      <c r="E768" s="813" t="s">
        <v>14</v>
      </c>
      <c r="F768" s="813" t="s">
        <v>869</v>
      </c>
      <c r="H768" s="819" t="s">
        <v>39</v>
      </c>
      <c r="I768" s="820" t="s">
        <v>20</v>
      </c>
      <c r="J768" s="820" t="s">
        <v>428</v>
      </c>
      <c r="L768" s="821">
        <v>4</v>
      </c>
      <c r="M768" s="637">
        <v>4</v>
      </c>
      <c r="N768" s="637">
        <v>4</v>
      </c>
      <c r="O768" s="821">
        <v>4</v>
      </c>
      <c r="P768" s="637">
        <v>4</v>
      </c>
      <c r="Q768" s="637">
        <v>4</v>
      </c>
      <c r="R768" s="806" t="s">
        <v>507</v>
      </c>
      <c r="T768" s="815" t="s">
        <v>172</v>
      </c>
      <c r="U768" s="900" t="s">
        <v>1220</v>
      </c>
    </row>
    <row r="769" spans="1:21" x14ac:dyDescent="0.25">
      <c r="A769" s="813">
        <v>1082</v>
      </c>
      <c r="B769" s="813" t="s">
        <v>339</v>
      </c>
      <c r="C769" s="813" t="s">
        <v>937</v>
      </c>
      <c r="D769" s="813" t="s">
        <v>14</v>
      </c>
      <c r="E769" s="813" t="s">
        <v>14</v>
      </c>
      <c r="F769" s="813" t="s">
        <v>875</v>
      </c>
      <c r="H769" s="819" t="s">
        <v>39</v>
      </c>
      <c r="I769" s="820" t="s">
        <v>20</v>
      </c>
      <c r="J769" s="820" t="s">
        <v>428</v>
      </c>
      <c r="L769" s="821">
        <v>1</v>
      </c>
      <c r="M769" s="637">
        <v>1</v>
      </c>
      <c r="N769" s="637">
        <v>1</v>
      </c>
      <c r="O769" s="821">
        <v>1</v>
      </c>
      <c r="P769" s="637">
        <v>1</v>
      </c>
      <c r="Q769" s="637">
        <v>1</v>
      </c>
      <c r="R769" s="806" t="s">
        <v>507</v>
      </c>
      <c r="T769" s="815" t="s">
        <v>172</v>
      </c>
      <c r="U769" s="900" t="s">
        <v>1220</v>
      </c>
    </row>
    <row r="770" spans="1:21" x14ac:dyDescent="0.25">
      <c r="A770" s="813">
        <v>1085</v>
      </c>
      <c r="B770" s="813" t="s">
        <v>339</v>
      </c>
      <c r="C770" s="813" t="s">
        <v>938</v>
      </c>
      <c r="D770" s="813" t="s">
        <v>495</v>
      </c>
      <c r="E770" s="813" t="s">
        <v>15</v>
      </c>
      <c r="F770" s="813" t="s">
        <v>939</v>
      </c>
      <c r="G770" s="813" t="s">
        <v>863</v>
      </c>
      <c r="H770" s="819" t="s">
        <v>18</v>
      </c>
      <c r="I770" s="820" t="s">
        <v>15</v>
      </c>
      <c r="J770" s="820" t="s">
        <v>421</v>
      </c>
      <c r="L770" s="821">
        <v>5</v>
      </c>
      <c r="M770" s="637">
        <v>941</v>
      </c>
      <c r="N770" s="637">
        <v>5867.5</v>
      </c>
      <c r="O770" s="821">
        <v>4</v>
      </c>
      <c r="P770" s="637">
        <v>876</v>
      </c>
      <c r="Q770" s="637">
        <v>5259.75</v>
      </c>
      <c r="R770" s="813" t="s">
        <v>172</v>
      </c>
      <c r="T770" s="815" t="s">
        <v>172</v>
      </c>
      <c r="U770" s="900" t="s">
        <v>1220</v>
      </c>
    </row>
    <row r="771" spans="1:21" x14ac:dyDescent="0.25">
      <c r="A771" s="813">
        <v>1088</v>
      </c>
      <c r="B771" s="813" t="s">
        <v>339</v>
      </c>
      <c r="C771" s="813" t="s">
        <v>940</v>
      </c>
      <c r="D771" s="813" t="s">
        <v>495</v>
      </c>
      <c r="E771" s="813" t="s">
        <v>14</v>
      </c>
      <c r="F771" s="813" t="s">
        <v>885</v>
      </c>
      <c r="G771" s="813" t="s">
        <v>868</v>
      </c>
      <c r="H771" s="819" t="s">
        <v>35</v>
      </c>
      <c r="I771" s="820" t="s">
        <v>20</v>
      </c>
      <c r="J771" s="820" t="s">
        <v>428</v>
      </c>
      <c r="L771" s="821">
        <v>8</v>
      </c>
      <c r="M771" s="637">
        <v>715</v>
      </c>
      <c r="N771" s="637">
        <v>3723.5</v>
      </c>
      <c r="O771" s="821">
        <v>8</v>
      </c>
      <c r="P771" s="637">
        <v>715</v>
      </c>
      <c r="Q771" s="637">
        <v>3723.5</v>
      </c>
      <c r="R771" s="813" t="s">
        <v>172</v>
      </c>
      <c r="T771" s="815" t="s">
        <v>172</v>
      </c>
      <c r="U771" s="900" t="s">
        <v>1220</v>
      </c>
    </row>
    <row r="772" spans="1:21" x14ac:dyDescent="0.25">
      <c r="A772" s="813">
        <v>1089</v>
      </c>
      <c r="B772" s="813" t="s">
        <v>339</v>
      </c>
      <c r="C772" s="813" t="s">
        <v>940</v>
      </c>
      <c r="D772" s="813" t="s">
        <v>495</v>
      </c>
      <c r="E772" s="813" t="s">
        <v>14</v>
      </c>
      <c r="F772" s="813" t="s">
        <v>869</v>
      </c>
      <c r="H772" s="819" t="s">
        <v>39</v>
      </c>
      <c r="I772" s="820" t="s">
        <v>20</v>
      </c>
      <c r="J772" s="820" t="s">
        <v>428</v>
      </c>
      <c r="L772" s="821">
        <v>3</v>
      </c>
      <c r="M772" s="637">
        <v>3</v>
      </c>
      <c r="N772" s="637">
        <v>3</v>
      </c>
      <c r="O772" s="821">
        <v>3</v>
      </c>
      <c r="P772" s="637">
        <v>3</v>
      </c>
      <c r="Q772" s="637">
        <v>3</v>
      </c>
      <c r="R772" s="806" t="s">
        <v>507</v>
      </c>
      <c r="T772" s="815" t="s">
        <v>172</v>
      </c>
      <c r="U772" s="900" t="s">
        <v>1220</v>
      </c>
    </row>
    <row r="773" spans="1:21" x14ac:dyDescent="0.25">
      <c r="A773" s="813">
        <v>1090</v>
      </c>
      <c r="B773" s="813" t="s">
        <v>339</v>
      </c>
      <c r="C773" s="813" t="s">
        <v>940</v>
      </c>
      <c r="D773" s="813" t="s">
        <v>495</v>
      </c>
      <c r="E773" s="813" t="s">
        <v>14</v>
      </c>
      <c r="F773" s="813" t="s">
        <v>875</v>
      </c>
      <c r="H773" s="819" t="s">
        <v>39</v>
      </c>
      <c r="I773" s="820" t="s">
        <v>20</v>
      </c>
      <c r="J773" s="820" t="s">
        <v>428</v>
      </c>
      <c r="L773" s="821">
        <v>2</v>
      </c>
      <c r="M773" s="637">
        <v>4</v>
      </c>
      <c r="N773" s="637">
        <v>4</v>
      </c>
      <c r="O773" s="821">
        <v>2</v>
      </c>
      <c r="P773" s="637">
        <v>4</v>
      </c>
      <c r="Q773" s="637">
        <v>4</v>
      </c>
      <c r="R773" s="806" t="s">
        <v>507</v>
      </c>
      <c r="T773" s="815" t="s">
        <v>172</v>
      </c>
      <c r="U773" s="900" t="s">
        <v>1220</v>
      </c>
    </row>
    <row r="774" spans="1:21" x14ac:dyDescent="0.25">
      <c r="A774" s="813">
        <v>1091</v>
      </c>
      <c r="B774" s="813" t="s">
        <v>339</v>
      </c>
      <c r="C774" s="813" t="s">
        <v>941</v>
      </c>
      <c r="D774" s="813" t="s">
        <v>13</v>
      </c>
      <c r="E774" s="813" t="s">
        <v>14</v>
      </c>
      <c r="F774" s="813" t="s">
        <v>889</v>
      </c>
      <c r="H774" s="819" t="s">
        <v>39</v>
      </c>
      <c r="I774" s="820" t="s">
        <v>20</v>
      </c>
      <c r="J774" s="820" t="s">
        <v>428</v>
      </c>
      <c r="L774" s="821">
        <v>2</v>
      </c>
      <c r="M774" s="637">
        <v>2</v>
      </c>
      <c r="N774" s="637">
        <v>2</v>
      </c>
      <c r="O774" s="821">
        <v>2</v>
      </c>
      <c r="P774" s="637">
        <v>2</v>
      </c>
      <c r="Q774" s="637">
        <v>2</v>
      </c>
      <c r="R774" s="806" t="s">
        <v>507</v>
      </c>
      <c r="T774" s="815" t="s">
        <v>172</v>
      </c>
      <c r="U774" s="900" t="s">
        <v>1220</v>
      </c>
    </row>
    <row r="775" spans="1:21" x14ac:dyDescent="0.25">
      <c r="A775" s="813">
        <v>1092</v>
      </c>
      <c r="B775" s="813" t="s">
        <v>339</v>
      </c>
      <c r="C775" s="813" t="s">
        <v>941</v>
      </c>
      <c r="D775" s="813" t="s">
        <v>13</v>
      </c>
      <c r="E775" s="813" t="s">
        <v>14</v>
      </c>
      <c r="F775" s="813" t="s">
        <v>869</v>
      </c>
      <c r="H775" s="819" t="s">
        <v>39</v>
      </c>
      <c r="I775" s="820" t="s">
        <v>20</v>
      </c>
      <c r="J775" s="820" t="s">
        <v>428</v>
      </c>
      <c r="L775" s="821">
        <v>36</v>
      </c>
      <c r="M775" s="637">
        <v>36</v>
      </c>
      <c r="N775" s="637">
        <v>36</v>
      </c>
      <c r="O775" s="821">
        <v>36</v>
      </c>
      <c r="P775" s="637">
        <v>36</v>
      </c>
      <c r="Q775" s="637">
        <v>36</v>
      </c>
      <c r="R775" s="806" t="s">
        <v>507</v>
      </c>
      <c r="T775" s="815" t="s">
        <v>172</v>
      </c>
      <c r="U775" s="900" t="s">
        <v>1220</v>
      </c>
    </row>
    <row r="776" spans="1:21" x14ac:dyDescent="0.25">
      <c r="A776" s="813">
        <v>1093</v>
      </c>
      <c r="B776" s="813" t="s">
        <v>339</v>
      </c>
      <c r="C776" s="813" t="s">
        <v>941</v>
      </c>
      <c r="D776" s="813" t="s">
        <v>13</v>
      </c>
      <c r="E776" s="813" t="s">
        <v>14</v>
      </c>
      <c r="F776" s="813" t="s">
        <v>875</v>
      </c>
      <c r="H776" s="819" t="s">
        <v>39</v>
      </c>
      <c r="I776" s="820" t="s">
        <v>20</v>
      </c>
      <c r="J776" s="820" t="s">
        <v>428</v>
      </c>
      <c r="L776" s="821">
        <v>37</v>
      </c>
      <c r="M776" s="637">
        <v>53</v>
      </c>
      <c r="N776" s="637">
        <v>53</v>
      </c>
      <c r="O776" s="821">
        <v>36</v>
      </c>
      <c r="P776" s="637">
        <v>52</v>
      </c>
      <c r="Q776" s="637">
        <v>52</v>
      </c>
      <c r="R776" s="806" t="s">
        <v>507</v>
      </c>
      <c r="T776" s="815" t="s">
        <v>172</v>
      </c>
      <c r="U776" s="900" t="s">
        <v>1220</v>
      </c>
    </row>
    <row r="777" spans="1:21" x14ac:dyDescent="0.25">
      <c r="A777" s="813">
        <v>1094</v>
      </c>
      <c r="B777" s="813" t="s">
        <v>339</v>
      </c>
      <c r="C777" s="813" t="s">
        <v>941</v>
      </c>
      <c r="D777" s="813" t="s">
        <v>13</v>
      </c>
      <c r="E777" s="813" t="s">
        <v>14</v>
      </c>
      <c r="F777" s="813" t="s">
        <v>868</v>
      </c>
      <c r="G777" s="813" t="s">
        <v>868</v>
      </c>
      <c r="H777" s="819" t="s">
        <v>35</v>
      </c>
      <c r="I777" s="820" t="s">
        <v>20</v>
      </c>
      <c r="J777" s="820" t="s">
        <v>428</v>
      </c>
      <c r="L777" s="821">
        <v>67</v>
      </c>
      <c r="M777" s="637">
        <v>6938</v>
      </c>
      <c r="N777" s="637">
        <v>41620.5</v>
      </c>
      <c r="O777" s="821">
        <v>64</v>
      </c>
      <c r="P777" s="637">
        <v>6743</v>
      </c>
      <c r="Q777" s="637">
        <v>40415.5</v>
      </c>
      <c r="R777" s="813" t="s">
        <v>172</v>
      </c>
      <c r="T777" s="815" t="s">
        <v>172</v>
      </c>
      <c r="U777" s="900" t="s">
        <v>1220</v>
      </c>
    </row>
    <row r="778" spans="1:21" x14ac:dyDescent="0.25">
      <c r="A778" s="813">
        <v>1095</v>
      </c>
      <c r="B778" s="813" t="s">
        <v>339</v>
      </c>
      <c r="C778" s="813" t="s">
        <v>941</v>
      </c>
      <c r="D778" s="813" t="s">
        <v>13</v>
      </c>
      <c r="E778" s="813" t="s">
        <v>14</v>
      </c>
      <c r="F778" s="813" t="s">
        <v>933</v>
      </c>
      <c r="G778" s="813" t="s">
        <v>933</v>
      </c>
      <c r="H778" s="819" t="s">
        <v>37</v>
      </c>
      <c r="I778" s="820" t="s">
        <v>20</v>
      </c>
      <c r="J778" s="820" t="s">
        <v>428</v>
      </c>
      <c r="L778" s="821">
        <v>1</v>
      </c>
      <c r="M778" s="637">
        <v>86</v>
      </c>
      <c r="N778" s="637">
        <v>1118</v>
      </c>
      <c r="O778" s="821">
        <v>1</v>
      </c>
      <c r="P778" s="637">
        <v>86</v>
      </c>
      <c r="Q778" s="637">
        <v>1118</v>
      </c>
      <c r="R778" s="813" t="s">
        <v>172</v>
      </c>
      <c r="T778" s="815">
        <v>13</v>
      </c>
      <c r="U778" s="900" t="s">
        <v>1220</v>
      </c>
    </row>
    <row r="779" spans="1:21" x14ac:dyDescent="0.25">
      <c r="A779" s="813">
        <v>1098</v>
      </c>
      <c r="B779" s="813" t="s">
        <v>339</v>
      </c>
      <c r="C779" s="813" t="s">
        <v>943</v>
      </c>
      <c r="D779" s="813" t="s">
        <v>13</v>
      </c>
      <c r="E779" s="813" t="s">
        <v>15</v>
      </c>
      <c r="F779" s="813" t="s">
        <v>869</v>
      </c>
      <c r="H779" s="819" t="s">
        <v>39</v>
      </c>
      <c r="I779" s="820" t="s">
        <v>20</v>
      </c>
      <c r="J779" s="820" t="s">
        <v>428</v>
      </c>
      <c r="L779" s="821">
        <v>1</v>
      </c>
      <c r="M779" s="637">
        <v>1</v>
      </c>
      <c r="N779" s="637">
        <v>1</v>
      </c>
      <c r="O779" s="821">
        <v>1</v>
      </c>
      <c r="P779" s="637">
        <v>1</v>
      </c>
      <c r="Q779" s="637">
        <v>1</v>
      </c>
      <c r="R779" s="806" t="s">
        <v>507</v>
      </c>
      <c r="T779" s="815" t="s">
        <v>172</v>
      </c>
      <c r="U779" s="900" t="s">
        <v>1220</v>
      </c>
    </row>
    <row r="780" spans="1:21" x14ac:dyDescent="0.25">
      <c r="A780" s="813">
        <v>1099</v>
      </c>
      <c r="B780" s="813" t="s">
        <v>339</v>
      </c>
      <c r="C780" s="813" t="s">
        <v>943</v>
      </c>
      <c r="D780" s="813" t="s">
        <v>13</v>
      </c>
      <c r="E780" s="813" t="s">
        <v>15</v>
      </c>
      <c r="F780" s="813" t="s">
        <v>863</v>
      </c>
      <c r="G780" s="813" t="s">
        <v>863</v>
      </c>
      <c r="H780" s="819" t="s">
        <v>18</v>
      </c>
      <c r="I780" s="820" t="s">
        <v>15</v>
      </c>
      <c r="J780" s="820" t="s">
        <v>421</v>
      </c>
      <c r="L780" s="821">
        <v>67</v>
      </c>
      <c r="M780" s="637">
        <v>7953</v>
      </c>
      <c r="N780" s="637">
        <v>36322.5</v>
      </c>
      <c r="O780" s="821">
        <v>65</v>
      </c>
      <c r="P780" s="637">
        <v>7814</v>
      </c>
      <c r="Q780" s="637">
        <v>35751</v>
      </c>
      <c r="R780" s="813" t="s">
        <v>172</v>
      </c>
      <c r="T780" s="815" t="s">
        <v>172</v>
      </c>
      <c r="U780" s="900" t="s">
        <v>1220</v>
      </c>
    </row>
    <row r="781" spans="1:21" x14ac:dyDescent="0.25">
      <c r="A781" s="813">
        <v>1100</v>
      </c>
      <c r="B781" s="813" t="s">
        <v>339</v>
      </c>
      <c r="C781" s="813" t="s">
        <v>943</v>
      </c>
      <c r="D781" s="813" t="s">
        <v>13</v>
      </c>
      <c r="E781" s="813" t="s">
        <v>15</v>
      </c>
      <c r="F781" s="813" t="s">
        <v>944</v>
      </c>
      <c r="G781" s="813" t="s">
        <v>863</v>
      </c>
      <c r="H781" s="819" t="s">
        <v>18</v>
      </c>
      <c r="I781" s="820" t="s">
        <v>15</v>
      </c>
      <c r="J781" s="820" t="s">
        <v>421</v>
      </c>
      <c r="L781" s="821">
        <v>1</v>
      </c>
      <c r="M781" s="637">
        <v>71</v>
      </c>
      <c r="N781" s="637">
        <v>354.75</v>
      </c>
      <c r="O781" s="821">
        <v>1</v>
      </c>
      <c r="P781" s="637">
        <v>71</v>
      </c>
      <c r="Q781" s="637">
        <v>354.75</v>
      </c>
      <c r="R781" s="813" t="s">
        <v>172</v>
      </c>
      <c r="T781" s="815" t="s">
        <v>172</v>
      </c>
      <c r="U781" s="900" t="s">
        <v>1220</v>
      </c>
    </row>
    <row r="782" spans="1:21" x14ac:dyDescent="0.25">
      <c r="A782" s="813">
        <v>1101</v>
      </c>
      <c r="B782" s="813" t="s">
        <v>339</v>
      </c>
      <c r="C782" s="813" t="s">
        <v>945</v>
      </c>
      <c r="D782" s="813" t="s">
        <v>495</v>
      </c>
      <c r="E782" s="813" t="s">
        <v>14</v>
      </c>
      <c r="F782" s="813" t="s">
        <v>869</v>
      </c>
      <c r="H782" s="819" t="s">
        <v>39</v>
      </c>
      <c r="I782" s="820" t="s">
        <v>20</v>
      </c>
      <c r="J782" s="820" t="s">
        <v>428</v>
      </c>
      <c r="L782" s="821">
        <v>1</v>
      </c>
      <c r="M782" s="637">
        <v>1</v>
      </c>
      <c r="N782" s="637">
        <v>1</v>
      </c>
      <c r="O782" s="821">
        <v>1</v>
      </c>
      <c r="P782" s="637">
        <v>1</v>
      </c>
      <c r="Q782" s="637">
        <v>1</v>
      </c>
      <c r="R782" s="806" t="s">
        <v>507</v>
      </c>
      <c r="T782" s="815" t="s">
        <v>172</v>
      </c>
      <c r="U782" s="900" t="s">
        <v>1220</v>
      </c>
    </row>
    <row r="783" spans="1:21" x14ac:dyDescent="0.25">
      <c r="A783" s="813">
        <v>1102</v>
      </c>
      <c r="B783" s="813" t="s">
        <v>339</v>
      </c>
      <c r="C783" s="813" t="s">
        <v>878</v>
      </c>
      <c r="D783" s="813" t="s">
        <v>434</v>
      </c>
      <c r="E783" s="813" t="s">
        <v>244</v>
      </c>
      <c r="F783" s="813" t="s">
        <v>1020</v>
      </c>
      <c r="G783" s="813" t="s">
        <v>880</v>
      </c>
      <c r="H783" s="819" t="s">
        <v>390</v>
      </c>
      <c r="I783" s="820" t="s">
        <v>20</v>
      </c>
      <c r="J783" s="820" t="s">
        <v>16</v>
      </c>
      <c r="L783" s="821">
        <v>2</v>
      </c>
      <c r="M783" s="637">
        <v>277</v>
      </c>
      <c r="N783" s="637">
        <v>3262.5</v>
      </c>
      <c r="O783" s="821">
        <v>2</v>
      </c>
      <c r="P783" s="637">
        <v>277</v>
      </c>
      <c r="Q783" s="637">
        <v>3262.5</v>
      </c>
      <c r="R783" s="813" t="s">
        <v>172</v>
      </c>
      <c r="T783" s="815" t="s">
        <v>172</v>
      </c>
      <c r="U783" s="899" t="s">
        <v>1219</v>
      </c>
    </row>
    <row r="784" spans="1:21" x14ac:dyDescent="0.25">
      <c r="A784" s="813">
        <v>1103</v>
      </c>
      <c r="B784" s="813" t="s">
        <v>339</v>
      </c>
      <c r="C784" s="813" t="s">
        <v>878</v>
      </c>
      <c r="D784" s="813" t="s">
        <v>434</v>
      </c>
      <c r="E784" s="813" t="s">
        <v>244</v>
      </c>
      <c r="F784" s="813" t="s">
        <v>879</v>
      </c>
      <c r="G784" s="813" t="s">
        <v>880</v>
      </c>
      <c r="H784" s="819" t="s">
        <v>390</v>
      </c>
      <c r="I784" s="820" t="s">
        <v>20</v>
      </c>
      <c r="J784" s="820" t="s">
        <v>16</v>
      </c>
      <c r="L784" s="821">
        <v>124</v>
      </c>
      <c r="M784" s="637">
        <v>46157</v>
      </c>
      <c r="N784" s="637">
        <v>522702.5</v>
      </c>
      <c r="O784" s="821">
        <v>121</v>
      </c>
      <c r="P784" s="637">
        <v>45913</v>
      </c>
      <c r="Q784" s="637">
        <v>519880.75</v>
      </c>
      <c r="R784" s="813" t="s">
        <v>172</v>
      </c>
      <c r="T784" s="815" t="s">
        <v>172</v>
      </c>
      <c r="U784" s="899" t="s">
        <v>1219</v>
      </c>
    </row>
    <row r="785" spans="1:21" x14ac:dyDescent="0.25">
      <c r="A785" s="813">
        <v>1104</v>
      </c>
      <c r="B785" s="813" t="s">
        <v>339</v>
      </c>
      <c r="C785" s="813" t="s">
        <v>878</v>
      </c>
      <c r="D785" s="813" t="s">
        <v>434</v>
      </c>
      <c r="E785" s="813" t="s">
        <v>244</v>
      </c>
      <c r="F785" s="813" t="s">
        <v>1021</v>
      </c>
      <c r="G785" s="813" t="s">
        <v>880</v>
      </c>
      <c r="H785" s="819" t="s">
        <v>390</v>
      </c>
      <c r="I785" s="820" t="s">
        <v>20</v>
      </c>
      <c r="J785" s="820" t="s">
        <v>16</v>
      </c>
      <c r="L785" s="821">
        <v>2</v>
      </c>
      <c r="M785" s="637">
        <v>159</v>
      </c>
      <c r="N785" s="637">
        <v>1763</v>
      </c>
      <c r="O785" s="821">
        <v>2</v>
      </c>
      <c r="P785" s="637">
        <v>159</v>
      </c>
      <c r="Q785" s="637">
        <v>1763</v>
      </c>
      <c r="R785" s="813" t="s">
        <v>172</v>
      </c>
      <c r="T785" s="815" t="s">
        <v>172</v>
      </c>
      <c r="U785" s="899" t="s">
        <v>1219</v>
      </c>
    </row>
    <row r="786" spans="1:21" x14ac:dyDescent="0.25">
      <c r="A786" s="813">
        <v>1105</v>
      </c>
      <c r="B786" s="813" t="s">
        <v>339</v>
      </c>
      <c r="C786" s="813" t="s">
        <v>878</v>
      </c>
      <c r="D786" s="813" t="s">
        <v>434</v>
      </c>
      <c r="E786" s="813" t="s">
        <v>244</v>
      </c>
      <c r="F786" s="813" t="s">
        <v>881</v>
      </c>
      <c r="G786" s="813" t="s">
        <v>882</v>
      </c>
      <c r="H786" s="819" t="s">
        <v>390</v>
      </c>
      <c r="I786" s="820" t="s">
        <v>20</v>
      </c>
      <c r="J786" s="820" t="s">
        <v>16</v>
      </c>
      <c r="L786" s="821">
        <v>53</v>
      </c>
      <c r="M786" s="637">
        <v>53</v>
      </c>
      <c r="N786" s="637">
        <v>52.25</v>
      </c>
      <c r="O786" s="821">
        <v>51</v>
      </c>
      <c r="P786" s="637">
        <v>51</v>
      </c>
      <c r="Q786" s="637">
        <v>51</v>
      </c>
      <c r="T786" s="815" t="s">
        <v>172</v>
      </c>
      <c r="U786" s="899" t="s">
        <v>1219</v>
      </c>
    </row>
    <row r="787" spans="1:21" x14ac:dyDescent="0.25">
      <c r="A787" s="813">
        <v>1106</v>
      </c>
      <c r="B787" s="813" t="s">
        <v>339</v>
      </c>
      <c r="C787" s="813" t="s">
        <v>878</v>
      </c>
      <c r="D787" s="813" t="s">
        <v>434</v>
      </c>
      <c r="E787" s="813" t="s">
        <v>244</v>
      </c>
      <c r="F787" s="813" t="s">
        <v>889</v>
      </c>
      <c r="H787" s="819" t="s">
        <v>390</v>
      </c>
      <c r="I787" s="820" t="s">
        <v>20</v>
      </c>
      <c r="J787" s="820" t="s">
        <v>16</v>
      </c>
      <c r="L787" s="821">
        <v>8</v>
      </c>
      <c r="M787" s="637">
        <v>10</v>
      </c>
      <c r="N787" s="637">
        <v>10</v>
      </c>
      <c r="O787" s="821">
        <v>8</v>
      </c>
      <c r="P787" s="637">
        <v>10</v>
      </c>
      <c r="Q787" s="637">
        <v>10</v>
      </c>
      <c r="T787" s="815" t="s">
        <v>172</v>
      </c>
      <c r="U787" s="899" t="s">
        <v>1219</v>
      </c>
    </row>
    <row r="788" spans="1:21" x14ac:dyDescent="0.25">
      <c r="A788" s="813">
        <v>1107</v>
      </c>
      <c r="B788" s="813" t="s">
        <v>339</v>
      </c>
      <c r="C788" s="813" t="s">
        <v>878</v>
      </c>
      <c r="D788" s="813" t="s">
        <v>434</v>
      </c>
      <c r="E788" s="813" t="s">
        <v>244</v>
      </c>
      <c r="F788" s="813" t="s">
        <v>869</v>
      </c>
      <c r="H788" s="819" t="s">
        <v>390</v>
      </c>
      <c r="I788" s="820" t="s">
        <v>20</v>
      </c>
      <c r="J788" s="820" t="s">
        <v>16</v>
      </c>
      <c r="L788" s="821">
        <v>4</v>
      </c>
      <c r="M788" s="637">
        <v>4</v>
      </c>
      <c r="N788" s="637">
        <v>4</v>
      </c>
      <c r="O788" s="821">
        <v>4</v>
      </c>
      <c r="P788" s="637">
        <v>4</v>
      </c>
      <c r="Q788" s="637">
        <v>4</v>
      </c>
      <c r="T788" s="815" t="s">
        <v>172</v>
      </c>
      <c r="U788" s="899" t="s">
        <v>1219</v>
      </c>
    </row>
    <row r="789" spans="1:21" x14ac:dyDescent="0.25">
      <c r="A789" s="813">
        <v>1108</v>
      </c>
      <c r="B789" s="813" t="s">
        <v>339</v>
      </c>
      <c r="C789" s="813" t="s">
        <v>878</v>
      </c>
      <c r="D789" s="813" t="s">
        <v>434</v>
      </c>
      <c r="E789" s="813" t="s">
        <v>244</v>
      </c>
      <c r="F789" s="813" t="s">
        <v>875</v>
      </c>
      <c r="H789" s="819" t="s">
        <v>390</v>
      </c>
      <c r="I789" s="820" t="s">
        <v>20</v>
      </c>
      <c r="J789" s="820" t="s">
        <v>16</v>
      </c>
      <c r="L789" s="821">
        <v>2</v>
      </c>
      <c r="M789" s="637">
        <v>2</v>
      </c>
      <c r="N789" s="637">
        <v>2</v>
      </c>
      <c r="O789" s="821">
        <v>2</v>
      </c>
      <c r="P789" s="637">
        <v>2</v>
      </c>
      <c r="Q789" s="637">
        <v>2</v>
      </c>
      <c r="T789" s="815" t="s">
        <v>172</v>
      </c>
      <c r="U789" s="899" t="s">
        <v>1219</v>
      </c>
    </row>
    <row r="790" spans="1:21" x14ac:dyDescent="0.25">
      <c r="A790" s="813">
        <v>1109</v>
      </c>
      <c r="B790" s="813" t="s">
        <v>339</v>
      </c>
      <c r="C790" s="813" t="s">
        <v>878</v>
      </c>
      <c r="D790" s="813" t="s">
        <v>434</v>
      </c>
      <c r="E790" s="813" t="s">
        <v>244</v>
      </c>
      <c r="F790" s="813" t="s">
        <v>883</v>
      </c>
      <c r="G790" s="813" t="s">
        <v>882</v>
      </c>
      <c r="H790" s="819" t="s">
        <v>390</v>
      </c>
      <c r="I790" s="820" t="s">
        <v>20</v>
      </c>
      <c r="J790" s="820" t="s">
        <v>16</v>
      </c>
      <c r="L790" s="821">
        <v>94</v>
      </c>
      <c r="M790" s="637">
        <v>143</v>
      </c>
      <c r="N790" s="637">
        <v>141.5</v>
      </c>
      <c r="O790" s="821">
        <v>93</v>
      </c>
      <c r="P790" s="637">
        <v>142</v>
      </c>
      <c r="Q790" s="637">
        <v>142</v>
      </c>
      <c r="T790" s="815" t="s">
        <v>172</v>
      </c>
      <c r="U790" s="899" t="s">
        <v>1219</v>
      </c>
    </row>
    <row r="791" spans="1:21" x14ac:dyDescent="0.25">
      <c r="A791" s="813">
        <v>1110</v>
      </c>
      <c r="B791" s="813" t="s">
        <v>339</v>
      </c>
      <c r="C791" s="813" t="s">
        <v>492</v>
      </c>
      <c r="D791" s="813" t="s">
        <v>16</v>
      </c>
      <c r="E791" s="813" t="s">
        <v>82</v>
      </c>
      <c r="F791" s="813" t="s">
        <v>885</v>
      </c>
      <c r="H791" s="819" t="s">
        <v>374</v>
      </c>
      <c r="I791" s="820" t="s">
        <v>20</v>
      </c>
      <c r="J791" s="820" t="s">
        <v>248</v>
      </c>
      <c r="L791" s="821">
        <v>33</v>
      </c>
      <c r="M791" s="637">
        <v>65</v>
      </c>
      <c r="N791" s="637">
        <v>247.25</v>
      </c>
      <c r="O791" s="821">
        <v>32</v>
      </c>
      <c r="P791" s="637">
        <v>64</v>
      </c>
      <c r="Q791" s="637">
        <v>246</v>
      </c>
      <c r="R791" s="813" t="s">
        <v>172</v>
      </c>
      <c r="T791" s="815" t="s">
        <v>172</v>
      </c>
      <c r="U791" s="899" t="s">
        <v>1219</v>
      </c>
    </row>
    <row r="792" spans="1:21" x14ac:dyDescent="0.25">
      <c r="A792" s="813">
        <v>1111</v>
      </c>
      <c r="B792" s="813" t="s">
        <v>339</v>
      </c>
      <c r="C792" s="813" t="s">
        <v>464</v>
      </c>
      <c r="D792" s="813" t="s">
        <v>13</v>
      </c>
      <c r="E792" s="813" t="s">
        <v>13</v>
      </c>
      <c r="F792" s="813" t="s">
        <v>948</v>
      </c>
      <c r="G792" s="813" t="s">
        <v>949</v>
      </c>
      <c r="H792" s="819" t="s">
        <v>391</v>
      </c>
      <c r="I792" s="820" t="s">
        <v>20</v>
      </c>
      <c r="J792" s="820" t="s">
        <v>16</v>
      </c>
      <c r="K792" s="813" t="s">
        <v>13</v>
      </c>
      <c r="L792" s="821">
        <v>5</v>
      </c>
      <c r="M792" s="637">
        <v>659</v>
      </c>
      <c r="N792" s="637">
        <v>4803.75</v>
      </c>
      <c r="O792" s="821">
        <v>5</v>
      </c>
      <c r="P792" s="637">
        <v>659</v>
      </c>
      <c r="Q792" s="637">
        <v>4803.75</v>
      </c>
      <c r="R792" s="813" t="s">
        <v>172</v>
      </c>
      <c r="T792" s="815" t="s">
        <v>172</v>
      </c>
      <c r="U792" s="899" t="s">
        <v>1219</v>
      </c>
    </row>
    <row r="793" spans="1:21" x14ac:dyDescent="0.25">
      <c r="A793" s="813">
        <v>1112</v>
      </c>
      <c r="B793" s="813" t="s">
        <v>339</v>
      </c>
      <c r="C793" s="813" t="s">
        <v>248</v>
      </c>
      <c r="D793" s="813" t="s">
        <v>16</v>
      </c>
      <c r="E793" s="813" t="s">
        <v>884</v>
      </c>
      <c r="F793" s="813" t="s">
        <v>1098</v>
      </c>
      <c r="H793" s="819" t="s">
        <v>374</v>
      </c>
      <c r="I793" s="820" t="s">
        <v>20</v>
      </c>
      <c r="J793" s="820" t="s">
        <v>248</v>
      </c>
      <c r="L793" s="821">
        <v>1</v>
      </c>
      <c r="M793" s="637">
        <v>25</v>
      </c>
      <c r="N793" s="637">
        <v>24.75</v>
      </c>
      <c r="O793" s="821">
        <v>1</v>
      </c>
      <c r="P793" s="637">
        <v>25</v>
      </c>
      <c r="Q793" s="637">
        <v>24.75</v>
      </c>
      <c r="R793" s="813" t="s">
        <v>172</v>
      </c>
      <c r="T793" s="815">
        <f>Q793/P793</f>
        <v>0.99</v>
      </c>
      <c r="U793" s="899" t="s">
        <v>1219</v>
      </c>
    </row>
    <row r="794" spans="1:21" x14ac:dyDescent="0.25">
      <c r="A794" s="813">
        <v>1113</v>
      </c>
      <c r="B794" s="813" t="s">
        <v>339</v>
      </c>
      <c r="C794" s="813" t="s">
        <v>248</v>
      </c>
      <c r="D794" s="813" t="s">
        <v>16</v>
      </c>
      <c r="E794" s="813" t="s">
        <v>884</v>
      </c>
      <c r="F794" s="813" t="s">
        <v>1027</v>
      </c>
      <c r="H794" s="819" t="s">
        <v>374</v>
      </c>
      <c r="I794" s="820" t="s">
        <v>20</v>
      </c>
      <c r="J794" s="820" t="s">
        <v>248</v>
      </c>
      <c r="L794" s="821">
        <v>1</v>
      </c>
      <c r="M794" s="637">
        <v>335</v>
      </c>
      <c r="N794" s="637">
        <v>332</v>
      </c>
      <c r="O794" s="821">
        <v>1</v>
      </c>
      <c r="P794" s="637">
        <v>335</v>
      </c>
      <c r="Q794" s="637">
        <v>332</v>
      </c>
      <c r="R794" s="813" t="s">
        <v>172</v>
      </c>
      <c r="T794" s="815">
        <f>Q794/P794</f>
        <v>0.991044776119403</v>
      </c>
      <c r="U794" s="899" t="s">
        <v>1219</v>
      </c>
    </row>
    <row r="795" spans="1:21" x14ac:dyDescent="0.25">
      <c r="A795" s="813">
        <v>1114</v>
      </c>
      <c r="B795" s="813" t="s">
        <v>339</v>
      </c>
      <c r="C795" s="813" t="s">
        <v>248</v>
      </c>
      <c r="D795" s="813" t="s">
        <v>16</v>
      </c>
      <c r="E795" s="813" t="s">
        <v>884</v>
      </c>
      <c r="F795" s="813" t="s">
        <v>1028</v>
      </c>
      <c r="H795" s="819" t="s">
        <v>374</v>
      </c>
      <c r="I795" s="820" t="s">
        <v>20</v>
      </c>
      <c r="J795" s="820" t="s">
        <v>248</v>
      </c>
      <c r="L795" s="821">
        <v>1</v>
      </c>
      <c r="M795" s="637">
        <v>213</v>
      </c>
      <c r="N795" s="637">
        <v>844.5</v>
      </c>
      <c r="O795" s="821">
        <v>1</v>
      </c>
      <c r="P795" s="637">
        <v>213</v>
      </c>
      <c r="Q795" s="637">
        <v>844.5</v>
      </c>
      <c r="R795" s="813" t="s">
        <v>172</v>
      </c>
      <c r="T795" s="815">
        <f>Q795/P795</f>
        <v>3.964788732394366</v>
      </c>
      <c r="U795" s="899" t="s">
        <v>1219</v>
      </c>
    </row>
    <row r="796" spans="1:21" x14ac:dyDescent="0.25">
      <c r="A796" s="813">
        <v>1115</v>
      </c>
      <c r="B796" s="813" t="s">
        <v>339</v>
      </c>
      <c r="C796" s="813" t="s">
        <v>248</v>
      </c>
      <c r="D796" s="813" t="s">
        <v>16</v>
      </c>
      <c r="E796" s="813" t="s">
        <v>884</v>
      </c>
      <c r="F796" s="813" t="s">
        <v>37</v>
      </c>
      <c r="H796" s="819" t="s">
        <v>374</v>
      </c>
      <c r="I796" s="820" t="s">
        <v>20</v>
      </c>
      <c r="J796" s="820" t="s">
        <v>248</v>
      </c>
      <c r="L796" s="821">
        <v>1</v>
      </c>
      <c r="M796" s="637">
        <v>3</v>
      </c>
      <c r="N796" s="637">
        <v>69.75</v>
      </c>
      <c r="O796" s="821">
        <v>1</v>
      </c>
      <c r="P796" s="637">
        <v>3</v>
      </c>
      <c r="Q796" s="637">
        <f>P796*13</f>
        <v>39</v>
      </c>
      <c r="R796" s="813" t="s">
        <v>172</v>
      </c>
      <c r="T796" s="815">
        <f>Q796/P796</f>
        <v>13</v>
      </c>
      <c r="U796" s="899" t="s">
        <v>1219</v>
      </c>
    </row>
    <row r="797" spans="1:21" x14ac:dyDescent="0.25">
      <c r="A797" s="813">
        <v>1116</v>
      </c>
      <c r="B797" s="813" t="s">
        <v>339</v>
      </c>
      <c r="C797" s="813" t="s">
        <v>248</v>
      </c>
      <c r="D797" s="813" t="s">
        <v>16</v>
      </c>
      <c r="E797" s="813" t="s">
        <v>884</v>
      </c>
      <c r="F797" s="813" t="s">
        <v>885</v>
      </c>
      <c r="H797" s="819" t="s">
        <v>374</v>
      </c>
      <c r="I797" s="820" t="s">
        <v>20</v>
      </c>
      <c r="J797" s="820" t="s">
        <v>248</v>
      </c>
      <c r="L797" s="821">
        <v>20</v>
      </c>
      <c r="M797" s="637">
        <v>56</v>
      </c>
      <c r="N797" s="637">
        <v>281</v>
      </c>
      <c r="O797" s="821">
        <v>19</v>
      </c>
      <c r="P797" s="637">
        <v>50</v>
      </c>
      <c r="Q797" s="637">
        <v>221</v>
      </c>
      <c r="R797" s="813" t="s">
        <v>172</v>
      </c>
      <c r="T797" s="815" t="s">
        <v>172</v>
      </c>
      <c r="U797" s="899" t="s">
        <v>1219</v>
      </c>
    </row>
    <row r="798" spans="1:21" x14ac:dyDescent="0.25">
      <c r="A798" s="813">
        <v>1117</v>
      </c>
      <c r="B798" s="813" t="s">
        <v>339</v>
      </c>
      <c r="C798" s="813" t="s">
        <v>248</v>
      </c>
      <c r="D798" s="813" t="s">
        <v>16</v>
      </c>
      <c r="E798" s="813" t="s">
        <v>884</v>
      </c>
      <c r="F798" s="813" t="s">
        <v>869</v>
      </c>
      <c r="H798" s="819" t="s">
        <v>374</v>
      </c>
      <c r="I798" s="820" t="s">
        <v>20</v>
      </c>
      <c r="J798" s="820" t="s">
        <v>248</v>
      </c>
      <c r="L798" s="821">
        <v>1</v>
      </c>
      <c r="M798" s="637">
        <v>1</v>
      </c>
      <c r="N798" s="637">
        <v>0.5</v>
      </c>
      <c r="O798" s="821">
        <v>1</v>
      </c>
      <c r="P798" s="637">
        <v>1</v>
      </c>
      <c r="Q798" s="637">
        <v>1</v>
      </c>
      <c r="R798" s="813" t="s">
        <v>172</v>
      </c>
      <c r="T798" s="815" t="s">
        <v>172</v>
      </c>
      <c r="U798" s="899" t="s">
        <v>1219</v>
      </c>
    </row>
    <row r="799" spans="1:21" x14ac:dyDescent="0.25">
      <c r="A799" s="813">
        <v>1118</v>
      </c>
      <c r="B799" s="813" t="s">
        <v>339</v>
      </c>
      <c r="C799" s="813" t="s">
        <v>248</v>
      </c>
      <c r="D799" s="813" t="s">
        <v>16</v>
      </c>
      <c r="E799" s="813" t="s">
        <v>884</v>
      </c>
      <c r="F799" s="813" t="s">
        <v>1031</v>
      </c>
      <c r="H799" s="819" t="s">
        <v>374</v>
      </c>
      <c r="I799" s="820" t="s">
        <v>20</v>
      </c>
      <c r="J799" s="820" t="s">
        <v>248</v>
      </c>
      <c r="L799" s="821">
        <v>1</v>
      </c>
      <c r="M799" s="637">
        <v>1</v>
      </c>
      <c r="N799" s="637">
        <v>1</v>
      </c>
      <c r="O799" s="821">
        <v>1</v>
      </c>
      <c r="P799" s="637">
        <v>1</v>
      </c>
      <c r="Q799" s="637">
        <v>1</v>
      </c>
      <c r="R799" s="813" t="s">
        <v>172</v>
      </c>
      <c r="T799" s="815" t="s">
        <v>172</v>
      </c>
      <c r="U799" s="899" t="s">
        <v>1219</v>
      </c>
    </row>
    <row r="800" spans="1:21" x14ac:dyDescent="0.25">
      <c r="A800" s="813">
        <v>1119</v>
      </c>
      <c r="B800" s="813" t="s">
        <v>339</v>
      </c>
      <c r="C800" s="813" t="s">
        <v>248</v>
      </c>
      <c r="D800" s="813" t="s">
        <v>16</v>
      </c>
      <c r="E800" s="813" t="s">
        <v>884</v>
      </c>
      <c r="F800" s="813" t="s">
        <v>875</v>
      </c>
      <c r="H800" s="819" t="s">
        <v>374</v>
      </c>
      <c r="I800" s="820" t="s">
        <v>20</v>
      </c>
      <c r="J800" s="820" t="s">
        <v>248</v>
      </c>
      <c r="L800" s="821">
        <v>1</v>
      </c>
      <c r="M800" s="637">
        <v>1</v>
      </c>
      <c r="N800" s="637">
        <v>0.5</v>
      </c>
      <c r="O800" s="821">
        <v>1</v>
      </c>
      <c r="P800" s="637">
        <v>1</v>
      </c>
      <c r="Q800" s="637">
        <v>1</v>
      </c>
      <c r="R800" s="813" t="s">
        <v>172</v>
      </c>
      <c r="T800" s="815" t="s">
        <v>172</v>
      </c>
      <c r="U800" s="899" t="s">
        <v>1219</v>
      </c>
    </row>
    <row r="801" spans="1:21" x14ac:dyDescent="0.25">
      <c r="A801" s="813">
        <v>1120</v>
      </c>
      <c r="B801" s="813" t="s">
        <v>339</v>
      </c>
      <c r="C801" s="813" t="s">
        <v>905</v>
      </c>
      <c r="D801" s="813" t="s">
        <v>16</v>
      </c>
      <c r="E801" s="813" t="s">
        <v>884</v>
      </c>
      <c r="F801" s="813" t="s">
        <v>922</v>
      </c>
      <c r="H801" s="819" t="s">
        <v>374</v>
      </c>
      <c r="I801" s="820" t="s">
        <v>20</v>
      </c>
      <c r="J801" s="820" t="s">
        <v>248</v>
      </c>
      <c r="L801" s="821">
        <v>1</v>
      </c>
      <c r="M801" s="637">
        <v>2</v>
      </c>
      <c r="N801" s="637">
        <v>8</v>
      </c>
      <c r="O801" s="821">
        <v>1</v>
      </c>
      <c r="P801" s="637">
        <v>2</v>
      </c>
      <c r="Q801" s="637">
        <v>8</v>
      </c>
      <c r="R801" s="813" t="s">
        <v>172</v>
      </c>
      <c r="T801" s="815" t="s">
        <v>172</v>
      </c>
      <c r="U801" s="899" t="s">
        <v>1219</v>
      </c>
    </row>
    <row r="802" spans="1:21" x14ac:dyDescent="0.25">
      <c r="A802" s="813">
        <v>1121</v>
      </c>
      <c r="B802" s="813" t="s">
        <v>339</v>
      </c>
      <c r="C802" s="813" t="s">
        <v>905</v>
      </c>
      <c r="D802" s="813" t="s">
        <v>16</v>
      </c>
      <c r="E802" s="813" t="s">
        <v>884</v>
      </c>
      <c r="F802" s="813" t="s">
        <v>885</v>
      </c>
      <c r="H802" s="819" t="s">
        <v>374</v>
      </c>
      <c r="I802" s="820" t="s">
        <v>20</v>
      </c>
      <c r="J802" s="820" t="s">
        <v>248</v>
      </c>
      <c r="L802" s="821">
        <v>14</v>
      </c>
      <c r="M802" s="637">
        <v>1479</v>
      </c>
      <c r="N802" s="637">
        <v>11598.25</v>
      </c>
      <c r="O802" s="821">
        <v>11</v>
      </c>
      <c r="P802" s="637">
        <v>1445</v>
      </c>
      <c r="Q802" s="637">
        <v>11301.5</v>
      </c>
      <c r="R802" s="813" t="s">
        <v>172</v>
      </c>
      <c r="T802" s="815" t="s">
        <v>172</v>
      </c>
      <c r="U802" s="899" t="s">
        <v>1219</v>
      </c>
    </row>
    <row r="803" spans="1:21" x14ac:dyDescent="0.25">
      <c r="A803" s="813">
        <v>1122</v>
      </c>
      <c r="B803" s="813" t="s">
        <v>339</v>
      </c>
      <c r="C803" s="813" t="s">
        <v>905</v>
      </c>
      <c r="D803" s="813" t="s">
        <v>16</v>
      </c>
      <c r="E803" s="813" t="s">
        <v>884</v>
      </c>
      <c r="F803" s="813" t="s">
        <v>966</v>
      </c>
      <c r="H803" s="819" t="s">
        <v>374</v>
      </c>
      <c r="I803" s="820" t="s">
        <v>20</v>
      </c>
      <c r="J803" s="820" t="s">
        <v>248</v>
      </c>
      <c r="L803" s="821">
        <v>2</v>
      </c>
      <c r="M803" s="637">
        <v>2</v>
      </c>
      <c r="N803" s="637">
        <v>6</v>
      </c>
      <c r="O803" s="821">
        <v>2</v>
      </c>
      <c r="P803" s="637">
        <v>2</v>
      </c>
      <c r="Q803" s="637">
        <v>6</v>
      </c>
      <c r="R803" s="813" t="s">
        <v>172</v>
      </c>
      <c r="T803" s="815" t="s">
        <v>172</v>
      </c>
      <c r="U803" s="899" t="s">
        <v>1219</v>
      </c>
    </row>
    <row r="804" spans="1:21" x14ac:dyDescent="0.25">
      <c r="A804" s="813">
        <v>1123</v>
      </c>
      <c r="B804" s="813" t="s">
        <v>339</v>
      </c>
      <c r="C804" s="813" t="s">
        <v>905</v>
      </c>
      <c r="D804" s="813" t="s">
        <v>16</v>
      </c>
      <c r="E804" s="813" t="s">
        <v>884</v>
      </c>
      <c r="F804" s="813" t="s">
        <v>1033</v>
      </c>
      <c r="H804" s="819" t="s">
        <v>374</v>
      </c>
      <c r="I804" s="820" t="s">
        <v>20</v>
      </c>
      <c r="J804" s="820" t="s">
        <v>248</v>
      </c>
      <c r="L804" s="821">
        <v>1</v>
      </c>
      <c r="M804" s="637">
        <v>30</v>
      </c>
      <c r="N804" s="637">
        <v>716.75</v>
      </c>
      <c r="O804" s="821">
        <v>1</v>
      </c>
      <c r="P804" s="637">
        <v>30</v>
      </c>
      <c r="Q804" s="637">
        <f>P804*13</f>
        <v>390</v>
      </c>
      <c r="R804" s="813" t="s">
        <v>172</v>
      </c>
      <c r="T804" s="815">
        <f>Q804/P804</f>
        <v>13</v>
      </c>
      <c r="U804" s="899" t="s">
        <v>1219</v>
      </c>
    </row>
    <row r="805" spans="1:21" x14ac:dyDescent="0.25">
      <c r="A805" s="813">
        <v>1124</v>
      </c>
      <c r="B805" s="813" t="s">
        <v>339</v>
      </c>
      <c r="C805" s="813" t="s">
        <v>905</v>
      </c>
      <c r="D805" s="813" t="s">
        <v>16</v>
      </c>
      <c r="E805" s="813" t="s">
        <v>884</v>
      </c>
      <c r="F805" s="813" t="s">
        <v>869</v>
      </c>
      <c r="H805" s="819" t="s">
        <v>374</v>
      </c>
      <c r="I805" s="820" t="s">
        <v>20</v>
      </c>
      <c r="J805" s="820" t="s">
        <v>248</v>
      </c>
      <c r="L805" s="821">
        <v>13</v>
      </c>
      <c r="M805" s="637">
        <v>13</v>
      </c>
      <c r="N805" s="637">
        <v>7</v>
      </c>
      <c r="O805" s="821">
        <v>11</v>
      </c>
      <c r="P805" s="637">
        <v>11</v>
      </c>
      <c r="Q805" s="637">
        <v>11</v>
      </c>
      <c r="R805" s="813" t="s">
        <v>172</v>
      </c>
      <c r="T805" s="815" t="s">
        <v>172</v>
      </c>
      <c r="U805" s="899" t="s">
        <v>1219</v>
      </c>
    </row>
    <row r="806" spans="1:21" x14ac:dyDescent="0.25">
      <c r="A806" s="813">
        <v>1125</v>
      </c>
      <c r="B806" s="813" t="s">
        <v>339</v>
      </c>
      <c r="C806" s="813" t="s">
        <v>905</v>
      </c>
      <c r="D806" s="813" t="s">
        <v>16</v>
      </c>
      <c r="E806" s="813" t="s">
        <v>884</v>
      </c>
      <c r="F806" s="813" t="s">
        <v>875</v>
      </c>
      <c r="H806" s="819" t="s">
        <v>374</v>
      </c>
      <c r="I806" s="820" t="s">
        <v>20</v>
      </c>
      <c r="J806" s="820" t="s">
        <v>248</v>
      </c>
      <c r="L806" s="821">
        <v>6</v>
      </c>
      <c r="M806" s="637">
        <v>7</v>
      </c>
      <c r="N806" s="637">
        <v>5</v>
      </c>
      <c r="O806" s="821">
        <v>6</v>
      </c>
      <c r="P806" s="637">
        <v>7</v>
      </c>
      <c r="Q806" s="637">
        <v>7</v>
      </c>
      <c r="R806" s="813" t="s">
        <v>172</v>
      </c>
      <c r="T806" s="815" t="s">
        <v>172</v>
      </c>
      <c r="U806" s="899" t="s">
        <v>1219</v>
      </c>
    </row>
    <row r="807" spans="1:21" x14ac:dyDescent="0.25">
      <c r="A807" s="813">
        <v>1126</v>
      </c>
      <c r="B807" s="813" t="s">
        <v>339</v>
      </c>
      <c r="C807" s="813" t="s">
        <v>905</v>
      </c>
      <c r="D807" s="813" t="s">
        <v>16</v>
      </c>
      <c r="E807" s="813" t="s">
        <v>884</v>
      </c>
      <c r="F807" s="813" t="s">
        <v>1099</v>
      </c>
      <c r="H807" s="819" t="s">
        <v>374</v>
      </c>
      <c r="I807" s="820" t="s">
        <v>20</v>
      </c>
      <c r="J807" s="820" t="s">
        <v>248</v>
      </c>
      <c r="L807" s="821">
        <v>1</v>
      </c>
      <c r="M807" s="637">
        <v>4</v>
      </c>
      <c r="N807" s="637">
        <v>2</v>
      </c>
      <c r="O807" s="821">
        <v>1</v>
      </c>
      <c r="P807" s="637">
        <v>4</v>
      </c>
      <c r="Q807" s="637">
        <v>4</v>
      </c>
      <c r="R807" s="813" t="s">
        <v>172</v>
      </c>
      <c r="T807" s="815" t="s">
        <v>172</v>
      </c>
      <c r="U807" s="899" t="s">
        <v>1219</v>
      </c>
    </row>
    <row r="808" spans="1:21" x14ac:dyDescent="0.25">
      <c r="A808" s="813">
        <v>1127</v>
      </c>
      <c r="B808" s="813" t="s">
        <v>339</v>
      </c>
      <c r="C808" s="813" t="s">
        <v>491</v>
      </c>
      <c r="D808" s="813" t="s">
        <v>13</v>
      </c>
      <c r="E808" s="813" t="s">
        <v>13</v>
      </c>
      <c r="F808" s="813" t="s">
        <v>877</v>
      </c>
      <c r="G808" s="813" t="s">
        <v>860</v>
      </c>
      <c r="H808" s="819" t="s">
        <v>391</v>
      </c>
      <c r="I808" s="820" t="s">
        <v>20</v>
      </c>
      <c r="J808" s="820" t="s">
        <v>16</v>
      </c>
      <c r="K808" s="813" t="s">
        <v>13</v>
      </c>
      <c r="L808" s="821">
        <v>5</v>
      </c>
      <c r="M808" s="637">
        <v>42</v>
      </c>
      <c r="N808" s="637">
        <v>157</v>
      </c>
      <c r="O808" s="821">
        <v>4</v>
      </c>
      <c r="P808" s="637">
        <v>32</v>
      </c>
      <c r="Q808" s="637">
        <v>117.25</v>
      </c>
      <c r="R808" s="813" t="s">
        <v>172</v>
      </c>
      <c r="T808" s="815" t="s">
        <v>172</v>
      </c>
      <c r="U808" s="899" t="s">
        <v>1219</v>
      </c>
    </row>
    <row r="809" spans="1:21" x14ac:dyDescent="0.25">
      <c r="A809" s="813">
        <v>1128</v>
      </c>
      <c r="B809" s="813" t="s">
        <v>339</v>
      </c>
      <c r="C809" s="813" t="s">
        <v>1071</v>
      </c>
      <c r="D809" s="813" t="s">
        <v>16</v>
      </c>
      <c r="E809" s="813" t="s">
        <v>13</v>
      </c>
      <c r="F809" s="813" t="s">
        <v>877</v>
      </c>
      <c r="H809" s="819" t="s">
        <v>391</v>
      </c>
      <c r="I809" s="820" t="s">
        <v>20</v>
      </c>
      <c r="J809" s="820" t="s">
        <v>16</v>
      </c>
      <c r="K809" s="813" t="s">
        <v>13</v>
      </c>
      <c r="L809" s="821">
        <v>40</v>
      </c>
      <c r="M809" s="637">
        <v>606</v>
      </c>
      <c r="N809" s="637">
        <v>2550.25</v>
      </c>
      <c r="O809" s="821">
        <v>30</v>
      </c>
      <c r="P809" s="637">
        <v>471</v>
      </c>
      <c r="Q809" s="637">
        <v>2022</v>
      </c>
      <c r="R809" s="813" t="s">
        <v>172</v>
      </c>
      <c r="T809" s="815" t="s">
        <v>172</v>
      </c>
      <c r="U809" s="899" t="s">
        <v>1219</v>
      </c>
    </row>
    <row r="810" spans="1:21" x14ac:dyDescent="0.25">
      <c r="A810" s="813">
        <v>1129</v>
      </c>
      <c r="B810" s="813" t="s">
        <v>339</v>
      </c>
      <c r="C810" s="813" t="s">
        <v>1071</v>
      </c>
      <c r="D810" s="813" t="s">
        <v>16</v>
      </c>
      <c r="E810" s="813" t="s">
        <v>13</v>
      </c>
      <c r="F810" s="813" t="s">
        <v>1072</v>
      </c>
      <c r="H810" s="819" t="s">
        <v>391</v>
      </c>
      <c r="I810" s="820" t="s">
        <v>20</v>
      </c>
      <c r="J810" s="820" t="s">
        <v>16</v>
      </c>
      <c r="K810" s="813" t="s">
        <v>13</v>
      </c>
      <c r="L810" s="821">
        <v>34</v>
      </c>
      <c r="M810" s="637">
        <v>4869</v>
      </c>
      <c r="N810" s="637">
        <v>28750.5</v>
      </c>
      <c r="O810" s="821">
        <v>34</v>
      </c>
      <c r="P810" s="637">
        <v>4869</v>
      </c>
      <c r="Q810" s="637">
        <v>28750.5</v>
      </c>
      <c r="R810" s="813" t="s">
        <v>172</v>
      </c>
      <c r="T810" s="815" t="s">
        <v>172</v>
      </c>
      <c r="U810" s="899" t="s">
        <v>1219</v>
      </c>
    </row>
    <row r="811" spans="1:21" x14ac:dyDescent="0.25">
      <c r="A811" s="813">
        <v>1130</v>
      </c>
      <c r="B811" s="813" t="s">
        <v>339</v>
      </c>
      <c r="C811" s="813" t="s">
        <v>953</v>
      </c>
      <c r="D811" s="813" t="s">
        <v>16</v>
      </c>
      <c r="E811" s="813" t="s">
        <v>14</v>
      </c>
      <c r="F811" s="813" t="s">
        <v>869</v>
      </c>
      <c r="H811" s="819" t="s">
        <v>39</v>
      </c>
      <c r="I811" s="820" t="s">
        <v>20</v>
      </c>
      <c r="J811" s="820" t="s">
        <v>428</v>
      </c>
      <c r="L811" s="821">
        <v>4</v>
      </c>
      <c r="M811" s="637">
        <v>4</v>
      </c>
      <c r="N811" s="637">
        <v>4</v>
      </c>
      <c r="O811" s="821">
        <v>4</v>
      </c>
      <c r="P811" s="637">
        <v>4</v>
      </c>
      <c r="Q811" s="637">
        <v>4</v>
      </c>
      <c r="R811" s="806" t="s">
        <v>507</v>
      </c>
      <c r="T811" s="815" t="s">
        <v>172</v>
      </c>
      <c r="U811" s="900" t="s">
        <v>1220</v>
      </c>
    </row>
    <row r="812" spans="1:21" x14ac:dyDescent="0.25">
      <c r="A812" s="813">
        <v>1131</v>
      </c>
      <c r="B812" s="813" t="s">
        <v>339</v>
      </c>
      <c r="C812" s="813" t="s">
        <v>953</v>
      </c>
      <c r="D812" s="813" t="s">
        <v>16</v>
      </c>
      <c r="E812" s="813" t="s">
        <v>14</v>
      </c>
      <c r="F812" s="813" t="s">
        <v>875</v>
      </c>
      <c r="H812" s="819" t="s">
        <v>39</v>
      </c>
      <c r="I812" s="820" t="s">
        <v>20</v>
      </c>
      <c r="J812" s="820" t="s">
        <v>428</v>
      </c>
      <c r="L812" s="821">
        <v>11</v>
      </c>
      <c r="M812" s="637">
        <v>16</v>
      </c>
      <c r="N812" s="637">
        <v>16</v>
      </c>
      <c r="O812" s="821">
        <v>11</v>
      </c>
      <c r="P812" s="637">
        <v>16</v>
      </c>
      <c r="Q812" s="637">
        <v>16</v>
      </c>
      <c r="R812" s="806" t="s">
        <v>507</v>
      </c>
      <c r="T812" s="815" t="s">
        <v>172</v>
      </c>
      <c r="U812" s="900" t="s">
        <v>1220</v>
      </c>
    </row>
    <row r="813" spans="1:21" x14ac:dyDescent="0.25">
      <c r="A813" s="813">
        <v>1132</v>
      </c>
      <c r="B813" s="813" t="s">
        <v>339</v>
      </c>
      <c r="C813" s="813" t="s">
        <v>953</v>
      </c>
      <c r="D813" s="813" t="s">
        <v>16</v>
      </c>
      <c r="E813" s="813" t="s">
        <v>14</v>
      </c>
      <c r="F813" s="813" t="s">
        <v>868</v>
      </c>
      <c r="G813" s="813" t="s">
        <v>868</v>
      </c>
      <c r="H813" s="819" t="s">
        <v>35</v>
      </c>
      <c r="I813" s="820" t="s">
        <v>20</v>
      </c>
      <c r="J813" s="820" t="s">
        <v>428</v>
      </c>
      <c r="L813" s="821">
        <v>13</v>
      </c>
      <c r="M813" s="637">
        <v>1569</v>
      </c>
      <c r="N813" s="637">
        <v>10322.75</v>
      </c>
      <c r="O813" s="821">
        <v>13</v>
      </c>
      <c r="P813" s="637">
        <v>1569</v>
      </c>
      <c r="Q813" s="637">
        <v>10322.75</v>
      </c>
      <c r="R813" s="813" t="s">
        <v>172</v>
      </c>
      <c r="T813" s="815" t="s">
        <v>172</v>
      </c>
      <c r="U813" s="900" t="s">
        <v>1220</v>
      </c>
    </row>
    <row r="814" spans="1:21" x14ac:dyDescent="0.25">
      <c r="A814" s="813">
        <v>1133</v>
      </c>
      <c r="B814" s="813" t="s">
        <v>339</v>
      </c>
      <c r="C814" s="813" t="s">
        <v>953</v>
      </c>
      <c r="D814" s="813" t="s">
        <v>16</v>
      </c>
      <c r="E814" s="813" t="s">
        <v>14</v>
      </c>
      <c r="F814" s="813" t="s">
        <v>933</v>
      </c>
      <c r="G814" s="813" t="s">
        <v>933</v>
      </c>
      <c r="H814" s="819" t="s">
        <v>37</v>
      </c>
      <c r="I814" s="820" t="s">
        <v>20</v>
      </c>
      <c r="J814" s="820" t="s">
        <v>428</v>
      </c>
      <c r="L814" s="821">
        <v>4</v>
      </c>
      <c r="M814" s="637">
        <v>650</v>
      </c>
      <c r="N814" s="637">
        <v>8450</v>
      </c>
      <c r="O814" s="821">
        <v>4</v>
      </c>
      <c r="P814" s="637">
        <v>650</v>
      </c>
      <c r="Q814" s="637">
        <v>8450</v>
      </c>
      <c r="R814" s="813" t="s">
        <v>172</v>
      </c>
      <c r="T814" s="815">
        <v>13</v>
      </c>
      <c r="U814" s="900" t="s">
        <v>1220</v>
      </c>
    </row>
    <row r="815" spans="1:21" x14ac:dyDescent="0.25">
      <c r="A815" s="813">
        <v>1137</v>
      </c>
      <c r="B815" s="813" t="s">
        <v>339</v>
      </c>
      <c r="C815" s="813" t="s">
        <v>954</v>
      </c>
      <c r="D815" s="813" t="s">
        <v>16</v>
      </c>
      <c r="E815" s="813" t="s">
        <v>15</v>
      </c>
      <c r="F815" s="813" t="s">
        <v>863</v>
      </c>
      <c r="G815" s="813" t="s">
        <v>863</v>
      </c>
      <c r="H815" s="819" t="s">
        <v>18</v>
      </c>
      <c r="I815" s="820" t="s">
        <v>15</v>
      </c>
      <c r="J815" s="820" t="s">
        <v>421</v>
      </c>
      <c r="L815" s="821">
        <v>23</v>
      </c>
      <c r="M815" s="637">
        <v>6036</v>
      </c>
      <c r="N815" s="637">
        <v>38724.75</v>
      </c>
      <c r="O815" s="821">
        <v>22</v>
      </c>
      <c r="P815" s="637">
        <v>5995</v>
      </c>
      <c r="Q815" s="637">
        <v>38439.75</v>
      </c>
      <c r="R815" s="813" t="s">
        <v>172</v>
      </c>
      <c r="T815" s="815" t="s">
        <v>172</v>
      </c>
      <c r="U815" s="900" t="s">
        <v>1220</v>
      </c>
    </row>
    <row r="816" spans="1:21" x14ac:dyDescent="0.25">
      <c r="A816" s="813">
        <v>1138</v>
      </c>
      <c r="B816" s="813" t="s">
        <v>339</v>
      </c>
      <c r="C816" s="813" t="s">
        <v>1037</v>
      </c>
      <c r="D816" s="813" t="s">
        <v>434</v>
      </c>
      <c r="E816" s="813" t="s">
        <v>244</v>
      </c>
      <c r="F816" s="813" t="s">
        <v>1038</v>
      </c>
      <c r="G816" s="813" t="s">
        <v>1039</v>
      </c>
      <c r="H816" s="819" t="s">
        <v>390</v>
      </c>
      <c r="I816" s="820" t="s">
        <v>20</v>
      </c>
      <c r="J816" s="820" t="s">
        <v>16</v>
      </c>
      <c r="L816" s="821">
        <v>3</v>
      </c>
      <c r="M816" s="637">
        <v>1205</v>
      </c>
      <c r="N816" s="637">
        <v>13519.5</v>
      </c>
      <c r="O816" s="821">
        <v>3</v>
      </c>
      <c r="P816" s="637">
        <v>1205</v>
      </c>
      <c r="Q816" s="637">
        <v>13519.5</v>
      </c>
      <c r="R816" s="813" t="s">
        <v>172</v>
      </c>
      <c r="T816" s="815" t="s">
        <v>172</v>
      </c>
      <c r="U816" s="899" t="s">
        <v>1219</v>
      </c>
    </row>
    <row r="817" spans="1:21" x14ac:dyDescent="0.25">
      <c r="A817" s="813">
        <v>1139</v>
      </c>
      <c r="B817" s="813" t="s">
        <v>339</v>
      </c>
      <c r="C817" s="813" t="s">
        <v>1037</v>
      </c>
      <c r="D817" s="813" t="s">
        <v>434</v>
      </c>
      <c r="E817" s="813" t="s">
        <v>244</v>
      </c>
      <c r="F817" s="813" t="s">
        <v>869</v>
      </c>
      <c r="H817" s="819" t="s">
        <v>390</v>
      </c>
      <c r="I817" s="820" t="s">
        <v>20</v>
      </c>
      <c r="J817" s="820" t="s">
        <v>16</v>
      </c>
      <c r="L817" s="821">
        <v>1</v>
      </c>
      <c r="M817" s="637">
        <v>1</v>
      </c>
      <c r="N817" s="637">
        <v>1</v>
      </c>
      <c r="O817" s="821">
        <v>1</v>
      </c>
      <c r="P817" s="637">
        <v>1</v>
      </c>
      <c r="Q817" s="637">
        <v>1</v>
      </c>
      <c r="T817" s="815" t="s">
        <v>172</v>
      </c>
      <c r="U817" s="899" t="s">
        <v>1219</v>
      </c>
    </row>
    <row r="818" spans="1:21" x14ac:dyDescent="0.25">
      <c r="A818" s="813">
        <v>1140</v>
      </c>
      <c r="B818" s="813" t="s">
        <v>339</v>
      </c>
      <c r="C818" s="813" t="s">
        <v>1037</v>
      </c>
      <c r="D818" s="813" t="s">
        <v>434</v>
      </c>
      <c r="E818" s="813" t="s">
        <v>244</v>
      </c>
      <c r="F818" s="813" t="s">
        <v>875</v>
      </c>
      <c r="H818" s="819" t="s">
        <v>390</v>
      </c>
      <c r="I818" s="820" t="s">
        <v>20</v>
      </c>
      <c r="J818" s="820" t="s">
        <v>16</v>
      </c>
      <c r="L818" s="821">
        <v>2</v>
      </c>
      <c r="M818" s="637">
        <v>3</v>
      </c>
      <c r="N818" s="637">
        <v>2.5</v>
      </c>
      <c r="O818" s="821">
        <v>2</v>
      </c>
      <c r="P818" s="637">
        <v>3</v>
      </c>
      <c r="Q818" s="637">
        <v>3</v>
      </c>
      <c r="T818" s="815" t="s">
        <v>172</v>
      </c>
      <c r="U818" s="899" t="s">
        <v>1219</v>
      </c>
    </row>
    <row r="819" spans="1:21" x14ac:dyDescent="0.25">
      <c r="A819" s="813">
        <v>1141</v>
      </c>
      <c r="B819" s="813" t="s">
        <v>339</v>
      </c>
      <c r="C819" s="813" t="s">
        <v>1100</v>
      </c>
      <c r="D819" s="813" t="s">
        <v>495</v>
      </c>
      <c r="E819" s="813" t="s">
        <v>15</v>
      </c>
      <c r="F819" s="813" t="s">
        <v>898</v>
      </c>
      <c r="G819" s="813" t="s">
        <v>863</v>
      </c>
      <c r="H819" s="819" t="s">
        <v>18</v>
      </c>
      <c r="I819" s="820" t="s">
        <v>15</v>
      </c>
      <c r="J819" s="820" t="s">
        <v>421</v>
      </c>
      <c r="L819" s="821">
        <v>1</v>
      </c>
      <c r="M819" s="637">
        <v>58</v>
      </c>
      <c r="N819" s="637">
        <v>330</v>
      </c>
      <c r="O819" s="821">
        <v>1</v>
      </c>
      <c r="P819" s="637">
        <v>58</v>
      </c>
      <c r="Q819" s="637">
        <v>330</v>
      </c>
      <c r="R819" s="813" t="s">
        <v>172</v>
      </c>
      <c r="T819" s="815" t="s">
        <v>172</v>
      </c>
      <c r="U819" s="900" t="s">
        <v>1220</v>
      </c>
    </row>
    <row r="820" spans="1:21" x14ac:dyDescent="0.25">
      <c r="A820" s="813">
        <v>1146</v>
      </c>
      <c r="B820" s="813" t="s">
        <v>339</v>
      </c>
      <c r="C820" s="813" t="s">
        <v>955</v>
      </c>
      <c r="D820" s="813" t="s">
        <v>495</v>
      </c>
      <c r="E820" s="813" t="s">
        <v>15</v>
      </c>
      <c r="F820" s="813" t="s">
        <v>898</v>
      </c>
      <c r="G820" s="813" t="s">
        <v>863</v>
      </c>
      <c r="H820" s="819" t="s">
        <v>18</v>
      </c>
      <c r="I820" s="820" t="s">
        <v>15</v>
      </c>
      <c r="J820" s="820" t="s">
        <v>421</v>
      </c>
      <c r="L820" s="821">
        <v>173</v>
      </c>
      <c r="M820" s="637">
        <v>25202</v>
      </c>
      <c r="N820" s="637">
        <v>135337.25</v>
      </c>
      <c r="O820" s="821">
        <v>167</v>
      </c>
      <c r="P820" s="637">
        <v>24782</v>
      </c>
      <c r="Q820" s="637">
        <v>131403</v>
      </c>
      <c r="R820" s="813" t="s">
        <v>172</v>
      </c>
      <c r="T820" s="815" t="s">
        <v>172</v>
      </c>
      <c r="U820" s="900" t="s">
        <v>1220</v>
      </c>
    </row>
    <row r="821" spans="1:21" x14ac:dyDescent="0.25">
      <c r="A821" s="813">
        <v>1147</v>
      </c>
      <c r="B821" s="813" t="s">
        <v>339</v>
      </c>
      <c r="C821" s="813" t="s">
        <v>955</v>
      </c>
      <c r="D821" s="813" t="s">
        <v>495</v>
      </c>
      <c r="E821" s="813" t="s">
        <v>15</v>
      </c>
      <c r="F821" s="813" t="s">
        <v>956</v>
      </c>
      <c r="G821" s="813" t="s">
        <v>957</v>
      </c>
      <c r="H821" s="819" t="s">
        <v>44</v>
      </c>
      <c r="I821" s="820" t="s">
        <v>15</v>
      </c>
      <c r="J821" s="820" t="s">
        <v>421</v>
      </c>
      <c r="L821" s="821">
        <v>2</v>
      </c>
      <c r="M821" s="637">
        <v>63</v>
      </c>
      <c r="N821" s="637">
        <v>318.75</v>
      </c>
      <c r="O821" s="821">
        <v>2</v>
      </c>
      <c r="P821" s="637">
        <v>63</v>
      </c>
      <c r="Q821" s="637">
        <v>318.75</v>
      </c>
      <c r="R821" s="813" t="s">
        <v>172</v>
      </c>
      <c r="T821" s="815" t="s">
        <v>172</v>
      </c>
      <c r="U821" s="900" t="s">
        <v>1220</v>
      </c>
    </row>
    <row r="822" spans="1:21" x14ac:dyDescent="0.25">
      <c r="A822" s="813">
        <v>1148</v>
      </c>
      <c r="B822" s="813" t="s">
        <v>339</v>
      </c>
      <c r="C822" s="813" t="s">
        <v>958</v>
      </c>
      <c r="D822" s="813" t="s">
        <v>14</v>
      </c>
      <c r="E822" s="813" t="s">
        <v>14</v>
      </c>
      <c r="F822" s="813" t="s">
        <v>1042</v>
      </c>
      <c r="G822" s="813" t="s">
        <v>1043</v>
      </c>
      <c r="H822" s="819" t="s">
        <v>34</v>
      </c>
      <c r="I822" s="820" t="s">
        <v>20</v>
      </c>
      <c r="J822" s="820" t="s">
        <v>428</v>
      </c>
      <c r="L822" s="821">
        <v>1</v>
      </c>
      <c r="M822" s="637">
        <v>142</v>
      </c>
      <c r="N822" s="637">
        <v>695.5</v>
      </c>
      <c r="O822" s="821">
        <v>1</v>
      </c>
      <c r="P822" s="637">
        <v>142</v>
      </c>
      <c r="Q822" s="637">
        <v>695.5</v>
      </c>
      <c r="R822" s="813" t="s">
        <v>172</v>
      </c>
      <c r="T822" s="815" t="s">
        <v>172</v>
      </c>
      <c r="U822" s="900" t="s">
        <v>1220</v>
      </c>
    </row>
    <row r="823" spans="1:21" x14ac:dyDescent="0.25">
      <c r="A823" s="813">
        <v>1149</v>
      </c>
      <c r="B823" s="813" t="s">
        <v>339</v>
      </c>
      <c r="C823" s="813" t="s">
        <v>958</v>
      </c>
      <c r="D823" s="813" t="s">
        <v>14</v>
      </c>
      <c r="E823" s="813" t="s">
        <v>14</v>
      </c>
      <c r="F823" s="813" t="s">
        <v>960</v>
      </c>
      <c r="G823" s="813" t="s">
        <v>933</v>
      </c>
      <c r="H823" s="819" t="s">
        <v>37</v>
      </c>
      <c r="I823" s="820" t="s">
        <v>20</v>
      </c>
      <c r="J823" s="820" t="s">
        <v>428</v>
      </c>
      <c r="L823" s="821">
        <v>1</v>
      </c>
      <c r="M823" s="637">
        <v>3</v>
      </c>
      <c r="N823" s="637">
        <v>39</v>
      </c>
      <c r="O823" s="821">
        <v>1</v>
      </c>
      <c r="P823" s="637">
        <v>3</v>
      </c>
      <c r="Q823" s="637">
        <v>39</v>
      </c>
      <c r="R823" s="813" t="s">
        <v>172</v>
      </c>
      <c r="T823" s="815">
        <v>13</v>
      </c>
      <c r="U823" s="900" t="s">
        <v>1220</v>
      </c>
    </row>
    <row r="824" spans="1:21" x14ac:dyDescent="0.25">
      <c r="A824" s="813">
        <v>1150</v>
      </c>
      <c r="B824" s="813" t="s">
        <v>339</v>
      </c>
      <c r="C824" s="813" t="s">
        <v>958</v>
      </c>
      <c r="D824" s="813" t="s">
        <v>14</v>
      </c>
      <c r="E824" s="813" t="s">
        <v>14</v>
      </c>
      <c r="F824" s="813" t="s">
        <v>961</v>
      </c>
      <c r="G824" s="813" t="s">
        <v>962</v>
      </c>
      <c r="H824" s="819" t="s">
        <v>37</v>
      </c>
      <c r="I824" s="820" t="s">
        <v>20</v>
      </c>
      <c r="J824" s="820" t="s">
        <v>428</v>
      </c>
      <c r="L824" s="821">
        <v>1</v>
      </c>
      <c r="M824" s="637">
        <v>14</v>
      </c>
      <c r="N824" s="637">
        <v>182</v>
      </c>
      <c r="O824" s="821">
        <v>1</v>
      </c>
      <c r="P824" s="637">
        <v>14</v>
      </c>
      <c r="Q824" s="637">
        <v>182</v>
      </c>
      <c r="R824" s="813" t="s">
        <v>172</v>
      </c>
      <c r="T824" s="815">
        <v>13</v>
      </c>
      <c r="U824" s="900" t="s">
        <v>1220</v>
      </c>
    </row>
    <row r="825" spans="1:21" x14ac:dyDescent="0.25">
      <c r="A825" s="813">
        <v>1151</v>
      </c>
      <c r="B825" s="813" t="s">
        <v>339</v>
      </c>
      <c r="C825" s="813" t="s">
        <v>958</v>
      </c>
      <c r="D825" s="813" t="s">
        <v>14</v>
      </c>
      <c r="E825" s="813" t="s">
        <v>14</v>
      </c>
      <c r="F825" s="813" t="s">
        <v>963</v>
      </c>
      <c r="G825" s="813" t="s">
        <v>964</v>
      </c>
      <c r="H825" s="819" t="s">
        <v>41</v>
      </c>
      <c r="I825" s="820" t="s">
        <v>20</v>
      </c>
      <c r="J825" s="820" t="s">
        <v>428</v>
      </c>
      <c r="L825" s="821">
        <v>7</v>
      </c>
      <c r="M825" s="637">
        <v>284</v>
      </c>
      <c r="N825" s="637">
        <v>587</v>
      </c>
      <c r="O825" s="821">
        <v>7</v>
      </c>
      <c r="P825" s="637">
        <v>284</v>
      </c>
      <c r="Q825" s="637">
        <v>587</v>
      </c>
      <c r="R825" s="813" t="s">
        <v>172</v>
      </c>
      <c r="T825" s="815" t="s">
        <v>172</v>
      </c>
      <c r="U825" s="900" t="s">
        <v>1220</v>
      </c>
    </row>
    <row r="826" spans="1:21" x14ac:dyDescent="0.25">
      <c r="A826" s="813">
        <v>1152</v>
      </c>
      <c r="B826" s="813" t="s">
        <v>339</v>
      </c>
      <c r="C826" s="813" t="s">
        <v>958</v>
      </c>
      <c r="D826" s="813" t="s">
        <v>14</v>
      </c>
      <c r="E826" s="813" t="s">
        <v>14</v>
      </c>
      <c r="F826" s="813" t="s">
        <v>885</v>
      </c>
      <c r="G826" s="813" t="s">
        <v>868</v>
      </c>
      <c r="H826" s="819" t="s">
        <v>35</v>
      </c>
      <c r="I826" s="820" t="s">
        <v>20</v>
      </c>
      <c r="J826" s="820" t="s">
        <v>428</v>
      </c>
      <c r="L826" s="821">
        <v>211</v>
      </c>
      <c r="M826" s="637">
        <v>17866</v>
      </c>
      <c r="N826" s="637">
        <v>98131</v>
      </c>
      <c r="O826" s="821">
        <v>193</v>
      </c>
      <c r="P826" s="637">
        <v>17176</v>
      </c>
      <c r="Q826" s="637">
        <v>95331.75</v>
      </c>
      <c r="R826" s="813" t="s">
        <v>172</v>
      </c>
      <c r="T826" s="815" t="s">
        <v>172</v>
      </c>
      <c r="U826" s="900" t="s">
        <v>1220</v>
      </c>
    </row>
    <row r="827" spans="1:21" x14ac:dyDescent="0.25">
      <c r="A827" s="813">
        <v>1153</v>
      </c>
      <c r="B827" s="813" t="s">
        <v>339</v>
      </c>
      <c r="C827" s="813" t="s">
        <v>958</v>
      </c>
      <c r="D827" s="813" t="s">
        <v>14</v>
      </c>
      <c r="E827" s="813" t="s">
        <v>14</v>
      </c>
      <c r="F827" s="813" t="s">
        <v>885</v>
      </c>
      <c r="G827" s="813" t="s">
        <v>965</v>
      </c>
      <c r="H827" s="819" t="s">
        <v>35</v>
      </c>
      <c r="I827" s="820" t="s">
        <v>20</v>
      </c>
      <c r="J827" s="820" t="s">
        <v>428</v>
      </c>
      <c r="L827" s="821">
        <v>90</v>
      </c>
      <c r="M827" s="637">
        <v>3607</v>
      </c>
      <c r="N827" s="637">
        <v>23806.5</v>
      </c>
      <c r="O827" s="821">
        <v>79</v>
      </c>
      <c r="P827" s="637">
        <v>3323</v>
      </c>
      <c r="Q827" s="637">
        <v>21690</v>
      </c>
      <c r="R827" s="813" t="s">
        <v>172</v>
      </c>
      <c r="T827" s="815" t="s">
        <v>172</v>
      </c>
      <c r="U827" s="900" t="s">
        <v>1220</v>
      </c>
    </row>
    <row r="828" spans="1:21" x14ac:dyDescent="0.25">
      <c r="A828" s="813">
        <v>1154</v>
      </c>
      <c r="B828" s="813" t="s">
        <v>339</v>
      </c>
      <c r="C828" s="813" t="s">
        <v>958</v>
      </c>
      <c r="D828" s="813" t="s">
        <v>14</v>
      </c>
      <c r="E828" s="813" t="s">
        <v>14</v>
      </c>
      <c r="F828" s="813" t="s">
        <v>966</v>
      </c>
      <c r="G828" s="813" t="s">
        <v>967</v>
      </c>
      <c r="H828" s="819" t="s">
        <v>41</v>
      </c>
      <c r="I828" s="820" t="s">
        <v>20</v>
      </c>
      <c r="J828" s="820" t="s">
        <v>428</v>
      </c>
      <c r="L828" s="821">
        <v>6</v>
      </c>
      <c r="M828" s="637">
        <v>312</v>
      </c>
      <c r="N828" s="637">
        <v>1229.75</v>
      </c>
      <c r="O828" s="821">
        <v>4</v>
      </c>
      <c r="P828" s="637">
        <v>273</v>
      </c>
      <c r="Q828" s="637">
        <v>1088.5</v>
      </c>
      <c r="R828" s="813" t="s">
        <v>172</v>
      </c>
      <c r="T828" s="815" t="s">
        <v>172</v>
      </c>
      <c r="U828" s="900" t="s">
        <v>1220</v>
      </c>
    </row>
    <row r="829" spans="1:21" x14ac:dyDescent="0.25">
      <c r="A829" s="813">
        <v>1155</v>
      </c>
      <c r="B829" s="813" t="s">
        <v>339</v>
      </c>
      <c r="C829" s="813" t="s">
        <v>958</v>
      </c>
      <c r="D829" s="813" t="s">
        <v>14</v>
      </c>
      <c r="E829" s="813" t="s">
        <v>14</v>
      </c>
      <c r="F829" s="813" t="s">
        <v>968</v>
      </c>
      <c r="G829" s="813" t="s">
        <v>969</v>
      </c>
      <c r="H829" s="819" t="s">
        <v>41</v>
      </c>
      <c r="I829" s="820" t="s">
        <v>20</v>
      </c>
      <c r="J829" s="820" t="s">
        <v>428</v>
      </c>
      <c r="L829" s="821">
        <v>3</v>
      </c>
      <c r="M829" s="637">
        <v>28</v>
      </c>
      <c r="N829" s="637">
        <v>111.25</v>
      </c>
      <c r="O829" s="821">
        <v>2</v>
      </c>
      <c r="P829" s="637">
        <v>27</v>
      </c>
      <c r="Q829" s="637">
        <v>108.25</v>
      </c>
      <c r="R829" s="813" t="s">
        <v>172</v>
      </c>
      <c r="T829" s="815" t="s">
        <v>172</v>
      </c>
      <c r="U829" s="900" t="s">
        <v>1220</v>
      </c>
    </row>
    <row r="830" spans="1:21" x14ac:dyDescent="0.25">
      <c r="A830" s="813">
        <v>1156</v>
      </c>
      <c r="B830" s="813" t="s">
        <v>339</v>
      </c>
      <c r="C830" s="813" t="s">
        <v>958</v>
      </c>
      <c r="D830" s="813" t="s">
        <v>14</v>
      </c>
      <c r="E830" s="813" t="s">
        <v>14</v>
      </c>
      <c r="F830" s="813" t="s">
        <v>970</v>
      </c>
      <c r="G830" s="813" t="s">
        <v>965</v>
      </c>
      <c r="H830" s="819" t="s">
        <v>35</v>
      </c>
      <c r="I830" s="820" t="s">
        <v>20</v>
      </c>
      <c r="J830" s="820" t="s">
        <v>428</v>
      </c>
      <c r="L830" s="821">
        <v>43</v>
      </c>
      <c r="M830" s="637">
        <v>487</v>
      </c>
      <c r="N830" s="637">
        <v>2799.5</v>
      </c>
      <c r="O830" s="821">
        <v>42</v>
      </c>
      <c r="P830" s="637">
        <v>485</v>
      </c>
      <c r="Q830" s="637">
        <v>2791.5</v>
      </c>
      <c r="R830" s="813" t="s">
        <v>172</v>
      </c>
      <c r="T830" s="815" t="s">
        <v>172</v>
      </c>
      <c r="U830" s="900" t="s">
        <v>1220</v>
      </c>
    </row>
    <row r="831" spans="1:21" x14ac:dyDescent="0.25">
      <c r="A831" s="813">
        <v>1157</v>
      </c>
      <c r="B831" s="813" t="s">
        <v>339</v>
      </c>
      <c r="C831" s="813" t="s">
        <v>958</v>
      </c>
      <c r="D831" s="813" t="s">
        <v>14</v>
      </c>
      <c r="E831" s="813" t="s">
        <v>14</v>
      </c>
      <c r="F831" s="813" t="s">
        <v>889</v>
      </c>
      <c r="H831" s="819" t="s">
        <v>39</v>
      </c>
      <c r="I831" s="820" t="s">
        <v>20</v>
      </c>
      <c r="J831" s="820" t="s">
        <v>428</v>
      </c>
      <c r="L831" s="821">
        <v>21</v>
      </c>
      <c r="M831" s="637">
        <v>22</v>
      </c>
      <c r="N831" s="637">
        <v>22</v>
      </c>
      <c r="O831" s="821">
        <v>20</v>
      </c>
      <c r="P831" s="637">
        <v>21</v>
      </c>
      <c r="Q831" s="637">
        <v>21</v>
      </c>
      <c r="R831" s="806" t="s">
        <v>507</v>
      </c>
      <c r="T831" s="815" t="s">
        <v>172</v>
      </c>
      <c r="U831" s="900" t="s">
        <v>1220</v>
      </c>
    </row>
    <row r="832" spans="1:21" x14ac:dyDescent="0.25">
      <c r="A832" s="813">
        <v>1158</v>
      </c>
      <c r="B832" s="813" t="s">
        <v>339</v>
      </c>
      <c r="C832" s="813" t="s">
        <v>958</v>
      </c>
      <c r="D832" s="813" t="s">
        <v>14</v>
      </c>
      <c r="E832" s="813" t="s">
        <v>14</v>
      </c>
      <c r="F832" s="813" t="s">
        <v>869</v>
      </c>
      <c r="H832" s="819" t="s">
        <v>39</v>
      </c>
      <c r="I832" s="820" t="s">
        <v>20</v>
      </c>
      <c r="J832" s="820" t="s">
        <v>428</v>
      </c>
      <c r="L832" s="821">
        <v>2</v>
      </c>
      <c r="M832" s="637">
        <v>2</v>
      </c>
      <c r="N832" s="637">
        <v>2</v>
      </c>
      <c r="O832" s="821">
        <v>2</v>
      </c>
      <c r="P832" s="637">
        <v>2</v>
      </c>
      <c r="Q832" s="637">
        <v>2</v>
      </c>
      <c r="R832" s="806" t="s">
        <v>507</v>
      </c>
      <c r="T832" s="815" t="s">
        <v>172</v>
      </c>
      <c r="U832" s="900" t="s">
        <v>1220</v>
      </c>
    </row>
    <row r="833" spans="1:21" x14ac:dyDescent="0.25">
      <c r="A833" s="813">
        <v>1159</v>
      </c>
      <c r="B833" s="813" t="s">
        <v>339</v>
      </c>
      <c r="C833" s="813" t="s">
        <v>958</v>
      </c>
      <c r="D833" s="813" t="s">
        <v>14</v>
      </c>
      <c r="E833" s="813" t="s">
        <v>14</v>
      </c>
      <c r="F833" s="813" t="s">
        <v>971</v>
      </c>
      <c r="G833" s="813" t="s">
        <v>903</v>
      </c>
      <c r="H833" s="819" t="s">
        <v>38</v>
      </c>
      <c r="I833" s="820" t="s">
        <v>20</v>
      </c>
      <c r="J833" s="820" t="s">
        <v>428</v>
      </c>
      <c r="L833" s="821">
        <v>132</v>
      </c>
      <c r="M833" s="637">
        <v>132</v>
      </c>
      <c r="N833" s="637">
        <v>132</v>
      </c>
      <c r="O833" s="821">
        <v>119</v>
      </c>
      <c r="P833" s="637">
        <v>119</v>
      </c>
      <c r="Q833" s="637">
        <v>119</v>
      </c>
      <c r="R833" s="813" t="s">
        <v>529</v>
      </c>
      <c r="T833" s="815" t="s">
        <v>172</v>
      </c>
      <c r="U833" s="900" t="s">
        <v>1220</v>
      </c>
    </row>
    <row r="834" spans="1:21" x14ac:dyDescent="0.25">
      <c r="A834" s="813">
        <v>1160</v>
      </c>
      <c r="B834" s="813" t="s">
        <v>339</v>
      </c>
      <c r="C834" s="813" t="s">
        <v>958</v>
      </c>
      <c r="D834" s="813" t="s">
        <v>14</v>
      </c>
      <c r="E834" s="813" t="s">
        <v>14</v>
      </c>
      <c r="F834" s="813" t="s">
        <v>875</v>
      </c>
      <c r="H834" s="819" t="s">
        <v>39</v>
      </c>
      <c r="I834" s="820" t="s">
        <v>20</v>
      </c>
      <c r="J834" s="820" t="s">
        <v>428</v>
      </c>
      <c r="L834" s="821">
        <v>87</v>
      </c>
      <c r="M834" s="637">
        <v>131</v>
      </c>
      <c r="N834" s="637">
        <v>131</v>
      </c>
      <c r="O834" s="821">
        <v>83</v>
      </c>
      <c r="P834" s="637">
        <v>125</v>
      </c>
      <c r="Q834" s="637">
        <v>125</v>
      </c>
      <c r="R834" s="806" t="s">
        <v>507</v>
      </c>
      <c r="T834" s="815" t="s">
        <v>172</v>
      </c>
      <c r="U834" s="900" t="s">
        <v>1220</v>
      </c>
    </row>
    <row r="835" spans="1:21" x14ac:dyDescent="0.25">
      <c r="A835" s="813">
        <v>1161</v>
      </c>
      <c r="B835" s="813" t="s">
        <v>339</v>
      </c>
      <c r="C835" s="813" t="s">
        <v>906</v>
      </c>
      <c r="D835" s="813" t="s">
        <v>14</v>
      </c>
      <c r="E835" s="813" t="s">
        <v>14</v>
      </c>
      <c r="F835" s="813" t="s">
        <v>889</v>
      </c>
      <c r="H835" s="819" t="s">
        <v>39</v>
      </c>
      <c r="I835" s="820" t="s">
        <v>20</v>
      </c>
      <c r="J835" s="820" t="s">
        <v>428</v>
      </c>
      <c r="L835" s="821">
        <v>9</v>
      </c>
      <c r="M835" s="637">
        <v>11</v>
      </c>
      <c r="N835" s="637">
        <v>11</v>
      </c>
      <c r="O835" s="821">
        <v>7</v>
      </c>
      <c r="P835" s="637">
        <v>8</v>
      </c>
      <c r="Q835" s="637">
        <v>8</v>
      </c>
      <c r="R835" s="806" t="s">
        <v>507</v>
      </c>
      <c r="T835" s="815" t="s">
        <v>172</v>
      </c>
      <c r="U835" s="900" t="s">
        <v>1220</v>
      </c>
    </row>
    <row r="836" spans="1:21" x14ac:dyDescent="0.25">
      <c r="A836" s="813">
        <v>1162</v>
      </c>
      <c r="B836" s="813" t="s">
        <v>339</v>
      </c>
      <c r="C836" s="813" t="s">
        <v>906</v>
      </c>
      <c r="D836" s="813" t="s">
        <v>14</v>
      </c>
      <c r="E836" s="813" t="s">
        <v>14</v>
      </c>
      <c r="F836" s="813" t="s">
        <v>869</v>
      </c>
      <c r="H836" s="819" t="s">
        <v>39</v>
      </c>
      <c r="I836" s="820" t="s">
        <v>20</v>
      </c>
      <c r="J836" s="820" t="s">
        <v>428</v>
      </c>
      <c r="L836" s="821">
        <v>37</v>
      </c>
      <c r="M836" s="637">
        <v>38</v>
      </c>
      <c r="N836" s="637">
        <v>38</v>
      </c>
      <c r="O836" s="821">
        <v>35</v>
      </c>
      <c r="P836" s="637">
        <v>36</v>
      </c>
      <c r="Q836" s="637">
        <v>36</v>
      </c>
      <c r="R836" s="806" t="s">
        <v>507</v>
      </c>
      <c r="T836" s="815" t="s">
        <v>172</v>
      </c>
      <c r="U836" s="900" t="s">
        <v>1220</v>
      </c>
    </row>
    <row r="837" spans="1:21" x14ac:dyDescent="0.25">
      <c r="A837" s="813">
        <v>1163</v>
      </c>
      <c r="B837" s="813" t="s">
        <v>339</v>
      </c>
      <c r="C837" s="813" t="s">
        <v>906</v>
      </c>
      <c r="D837" s="813" t="s">
        <v>14</v>
      </c>
      <c r="E837" s="813" t="s">
        <v>14</v>
      </c>
      <c r="F837" s="813" t="s">
        <v>875</v>
      </c>
      <c r="H837" s="819" t="s">
        <v>39</v>
      </c>
      <c r="I837" s="820" t="s">
        <v>20</v>
      </c>
      <c r="J837" s="820" t="s">
        <v>428</v>
      </c>
      <c r="L837" s="821">
        <v>48</v>
      </c>
      <c r="M837" s="637">
        <v>75</v>
      </c>
      <c r="N837" s="637">
        <v>75</v>
      </c>
      <c r="O837" s="821">
        <v>47</v>
      </c>
      <c r="P837" s="637">
        <v>74</v>
      </c>
      <c r="Q837" s="637">
        <v>74</v>
      </c>
      <c r="R837" s="806" t="s">
        <v>507</v>
      </c>
      <c r="T837" s="815" t="s">
        <v>172</v>
      </c>
      <c r="U837" s="900" t="s">
        <v>1220</v>
      </c>
    </row>
    <row r="838" spans="1:21" x14ac:dyDescent="0.25">
      <c r="A838" s="813">
        <v>1164</v>
      </c>
      <c r="B838" s="813" t="s">
        <v>339</v>
      </c>
      <c r="C838" s="813" t="s">
        <v>906</v>
      </c>
      <c r="D838" s="813" t="s">
        <v>14</v>
      </c>
      <c r="E838" s="813" t="s">
        <v>14</v>
      </c>
      <c r="F838" s="813" t="s">
        <v>1073</v>
      </c>
      <c r="G838" s="813" t="s">
        <v>868</v>
      </c>
      <c r="H838" s="819" t="s">
        <v>35</v>
      </c>
      <c r="I838" s="820" t="s">
        <v>20</v>
      </c>
      <c r="J838" s="820" t="s">
        <v>428</v>
      </c>
      <c r="L838" s="821">
        <v>2</v>
      </c>
      <c r="M838" s="637">
        <v>232</v>
      </c>
      <c r="N838" s="637">
        <v>987.75</v>
      </c>
      <c r="O838" s="821">
        <v>2</v>
      </c>
      <c r="P838" s="637">
        <v>232</v>
      </c>
      <c r="Q838" s="637">
        <v>987.75</v>
      </c>
      <c r="R838" s="813" t="s">
        <v>172</v>
      </c>
      <c r="T838" s="815" t="s">
        <v>172</v>
      </c>
      <c r="U838" s="900" t="s">
        <v>1220</v>
      </c>
    </row>
    <row r="839" spans="1:21" x14ac:dyDescent="0.25">
      <c r="A839" s="813">
        <v>1165</v>
      </c>
      <c r="B839" s="813" t="s">
        <v>339</v>
      </c>
      <c r="C839" s="813" t="s">
        <v>906</v>
      </c>
      <c r="D839" s="813" t="s">
        <v>14</v>
      </c>
      <c r="E839" s="813" t="s">
        <v>14</v>
      </c>
      <c r="F839" s="813" t="s">
        <v>1046</v>
      </c>
      <c r="G839" s="813" t="s">
        <v>868</v>
      </c>
      <c r="H839" s="819" t="s">
        <v>35</v>
      </c>
      <c r="I839" s="820" t="s">
        <v>20</v>
      </c>
      <c r="J839" s="820" t="s">
        <v>428</v>
      </c>
      <c r="L839" s="821">
        <v>87</v>
      </c>
      <c r="M839" s="637">
        <v>10833</v>
      </c>
      <c r="N839" s="637">
        <v>73922.75</v>
      </c>
      <c r="O839" s="821">
        <v>79</v>
      </c>
      <c r="P839" s="637">
        <v>10390</v>
      </c>
      <c r="Q839" s="637">
        <v>71124</v>
      </c>
      <c r="R839" s="813" t="s">
        <v>172</v>
      </c>
      <c r="T839" s="815" t="s">
        <v>172</v>
      </c>
      <c r="U839" s="900" t="s">
        <v>1220</v>
      </c>
    </row>
    <row r="840" spans="1:21" x14ac:dyDescent="0.25">
      <c r="A840" s="813">
        <v>1166</v>
      </c>
      <c r="B840" s="813" t="s">
        <v>339</v>
      </c>
      <c r="C840" s="813" t="s">
        <v>906</v>
      </c>
      <c r="D840" s="813" t="s">
        <v>14</v>
      </c>
      <c r="E840" s="813" t="s">
        <v>14</v>
      </c>
      <c r="F840" s="813" t="s">
        <v>1101</v>
      </c>
      <c r="G840" s="813" t="s">
        <v>868</v>
      </c>
      <c r="H840" s="819" t="s">
        <v>35</v>
      </c>
      <c r="I840" s="820" t="s">
        <v>20</v>
      </c>
      <c r="J840" s="820" t="s">
        <v>428</v>
      </c>
      <c r="L840" s="821">
        <v>4</v>
      </c>
      <c r="M840" s="637">
        <v>557</v>
      </c>
      <c r="N840" s="637">
        <v>5296</v>
      </c>
      <c r="O840" s="821">
        <v>3</v>
      </c>
      <c r="P840" s="637">
        <v>527</v>
      </c>
      <c r="Q840" s="637">
        <v>5132.5</v>
      </c>
      <c r="R840" s="813" t="s">
        <v>172</v>
      </c>
      <c r="T840" s="815" t="s">
        <v>172</v>
      </c>
      <c r="U840" s="900" t="s">
        <v>1220</v>
      </c>
    </row>
    <row r="841" spans="1:21" x14ac:dyDescent="0.25">
      <c r="A841" s="813">
        <v>1167</v>
      </c>
      <c r="B841" s="813" t="s">
        <v>339</v>
      </c>
      <c r="C841" s="813" t="s">
        <v>906</v>
      </c>
      <c r="D841" s="813" t="s">
        <v>14</v>
      </c>
      <c r="E841" s="813" t="s">
        <v>14</v>
      </c>
      <c r="F841" s="813" t="s">
        <v>1102</v>
      </c>
      <c r="G841" s="813" t="s">
        <v>967</v>
      </c>
      <c r="H841" s="819" t="s">
        <v>41</v>
      </c>
      <c r="I841" s="820" t="s">
        <v>20</v>
      </c>
      <c r="J841" s="820" t="s">
        <v>428</v>
      </c>
      <c r="L841" s="821">
        <v>12</v>
      </c>
      <c r="M841" s="637">
        <v>1768</v>
      </c>
      <c r="N841" s="637">
        <v>14877</v>
      </c>
      <c r="O841" s="821">
        <v>11</v>
      </c>
      <c r="P841" s="637">
        <v>1709</v>
      </c>
      <c r="Q841" s="637">
        <v>14297</v>
      </c>
      <c r="R841" s="813" t="s">
        <v>172</v>
      </c>
      <c r="T841" s="815" t="s">
        <v>172</v>
      </c>
      <c r="U841" s="900" t="s">
        <v>1220</v>
      </c>
    </row>
    <row r="842" spans="1:21" x14ac:dyDescent="0.25">
      <c r="A842" s="813">
        <v>1168</v>
      </c>
      <c r="B842" s="813" t="s">
        <v>339</v>
      </c>
      <c r="C842" s="813" t="s">
        <v>906</v>
      </c>
      <c r="D842" s="813" t="s">
        <v>14</v>
      </c>
      <c r="E842" s="813" t="s">
        <v>14</v>
      </c>
      <c r="F842" s="813" t="s">
        <v>1103</v>
      </c>
      <c r="G842" s="813" t="s">
        <v>933</v>
      </c>
      <c r="H842" s="819" t="s">
        <v>37</v>
      </c>
      <c r="I842" s="820" t="s">
        <v>20</v>
      </c>
      <c r="J842" s="820" t="s">
        <v>428</v>
      </c>
      <c r="L842" s="821">
        <v>4</v>
      </c>
      <c r="M842" s="637">
        <v>563</v>
      </c>
      <c r="N842" s="637">
        <v>7319</v>
      </c>
      <c r="O842" s="821">
        <v>4</v>
      </c>
      <c r="P842" s="637">
        <v>563</v>
      </c>
      <c r="Q842" s="637">
        <v>7319</v>
      </c>
      <c r="R842" s="813" t="s">
        <v>172</v>
      </c>
      <c r="T842" s="815">
        <v>13</v>
      </c>
      <c r="U842" s="900" t="s">
        <v>1220</v>
      </c>
    </row>
    <row r="843" spans="1:21" x14ac:dyDescent="0.25">
      <c r="A843" s="813">
        <v>1172</v>
      </c>
      <c r="B843" s="813" t="s">
        <v>339</v>
      </c>
      <c r="C843" s="813" t="s">
        <v>909</v>
      </c>
      <c r="D843" s="813" t="s">
        <v>14</v>
      </c>
      <c r="E843" s="813" t="s">
        <v>15</v>
      </c>
      <c r="F843" s="813" t="s">
        <v>912</v>
      </c>
      <c r="G843" s="813" t="s">
        <v>863</v>
      </c>
      <c r="H843" s="819" t="s">
        <v>18</v>
      </c>
      <c r="I843" s="820" t="s">
        <v>15</v>
      </c>
      <c r="J843" s="820" t="s">
        <v>421</v>
      </c>
      <c r="L843" s="821">
        <v>1</v>
      </c>
      <c r="M843" s="637">
        <v>184</v>
      </c>
      <c r="N843" s="637">
        <v>1050</v>
      </c>
      <c r="O843" s="821">
        <v>1</v>
      </c>
      <c r="P843" s="637">
        <v>184</v>
      </c>
      <c r="Q843" s="637">
        <v>1050</v>
      </c>
      <c r="R843" s="813" t="s">
        <v>172</v>
      </c>
      <c r="T843" s="815" t="s">
        <v>172</v>
      </c>
      <c r="U843" s="900" t="s">
        <v>1220</v>
      </c>
    </row>
    <row r="844" spans="1:21" x14ac:dyDescent="0.25">
      <c r="A844" s="813">
        <v>1173</v>
      </c>
      <c r="B844" s="813" t="s">
        <v>339</v>
      </c>
      <c r="C844" s="813" t="s">
        <v>909</v>
      </c>
      <c r="D844" s="813" t="s">
        <v>14</v>
      </c>
      <c r="E844" s="813" t="s">
        <v>15</v>
      </c>
      <c r="F844" s="813" t="s">
        <v>997</v>
      </c>
      <c r="G844" s="813" t="s">
        <v>863</v>
      </c>
      <c r="H844" s="819" t="s">
        <v>18</v>
      </c>
      <c r="I844" s="820" t="s">
        <v>15</v>
      </c>
      <c r="J844" s="820" t="s">
        <v>421</v>
      </c>
      <c r="L844" s="821">
        <v>1</v>
      </c>
      <c r="M844" s="637">
        <v>249</v>
      </c>
      <c r="N844" s="637">
        <v>845.5</v>
      </c>
      <c r="O844" s="821">
        <v>1</v>
      </c>
      <c r="P844" s="637">
        <v>249</v>
      </c>
      <c r="Q844" s="637">
        <v>845.5</v>
      </c>
      <c r="R844" s="813" t="s">
        <v>172</v>
      </c>
      <c r="T844" s="815" t="s">
        <v>172</v>
      </c>
      <c r="U844" s="900" t="s">
        <v>1220</v>
      </c>
    </row>
    <row r="845" spans="1:21" x14ac:dyDescent="0.25">
      <c r="A845" s="813">
        <v>1174</v>
      </c>
      <c r="B845" s="813" t="s">
        <v>339</v>
      </c>
      <c r="C845" s="813" t="s">
        <v>909</v>
      </c>
      <c r="D845" s="813" t="s">
        <v>14</v>
      </c>
      <c r="E845" s="813" t="s">
        <v>15</v>
      </c>
      <c r="F845" s="813" t="s">
        <v>1104</v>
      </c>
      <c r="G845" s="813" t="s">
        <v>863</v>
      </c>
      <c r="H845" s="819" t="s">
        <v>18</v>
      </c>
      <c r="I845" s="820" t="s">
        <v>15</v>
      </c>
      <c r="J845" s="820" t="s">
        <v>421</v>
      </c>
      <c r="L845" s="821">
        <v>71</v>
      </c>
      <c r="M845" s="637">
        <v>14242</v>
      </c>
      <c r="N845" s="637">
        <v>75838.75</v>
      </c>
      <c r="O845" s="821">
        <v>68</v>
      </c>
      <c r="P845" s="637">
        <v>14123</v>
      </c>
      <c r="Q845" s="637">
        <v>75110</v>
      </c>
      <c r="R845" s="813" t="s">
        <v>172</v>
      </c>
      <c r="T845" s="815" t="s">
        <v>172</v>
      </c>
      <c r="U845" s="900" t="s">
        <v>1220</v>
      </c>
    </row>
    <row r="846" spans="1:21" x14ac:dyDescent="0.25">
      <c r="A846" s="813">
        <v>1175</v>
      </c>
      <c r="B846" s="813" t="s">
        <v>339</v>
      </c>
      <c r="C846" s="813" t="s">
        <v>909</v>
      </c>
      <c r="D846" s="813" t="s">
        <v>14</v>
      </c>
      <c r="E846" s="813" t="s">
        <v>15</v>
      </c>
      <c r="F846" s="813" t="s">
        <v>985</v>
      </c>
      <c r="G846" s="813" t="s">
        <v>863</v>
      </c>
      <c r="H846" s="819" t="s">
        <v>18</v>
      </c>
      <c r="I846" s="820" t="s">
        <v>15</v>
      </c>
      <c r="J846" s="820" t="s">
        <v>421</v>
      </c>
      <c r="L846" s="821">
        <v>1</v>
      </c>
      <c r="M846" s="637">
        <v>158</v>
      </c>
      <c r="N846" s="637">
        <v>588.75</v>
      </c>
      <c r="O846" s="821">
        <v>1</v>
      </c>
      <c r="P846" s="637">
        <v>158</v>
      </c>
      <c r="Q846" s="637">
        <v>588.75</v>
      </c>
      <c r="R846" s="813" t="s">
        <v>172</v>
      </c>
      <c r="T846" s="815" t="s">
        <v>172</v>
      </c>
      <c r="U846" s="900" t="s">
        <v>1220</v>
      </c>
    </row>
    <row r="847" spans="1:21" x14ac:dyDescent="0.25">
      <c r="A847" s="813">
        <v>1176</v>
      </c>
      <c r="B847" s="813" t="s">
        <v>339</v>
      </c>
      <c r="C847" s="813" t="s">
        <v>909</v>
      </c>
      <c r="D847" s="813" t="s">
        <v>14</v>
      </c>
      <c r="E847" s="813" t="s">
        <v>15</v>
      </c>
      <c r="F847" s="813" t="s">
        <v>1105</v>
      </c>
      <c r="G847" s="813" t="s">
        <v>863</v>
      </c>
      <c r="H847" s="819" t="s">
        <v>18</v>
      </c>
      <c r="I847" s="820" t="s">
        <v>15</v>
      </c>
      <c r="J847" s="820" t="s">
        <v>421</v>
      </c>
      <c r="L847" s="821">
        <v>1</v>
      </c>
      <c r="M847" s="637">
        <v>207</v>
      </c>
      <c r="N847" s="637">
        <v>1241.25</v>
      </c>
      <c r="O847" s="821">
        <v>1</v>
      </c>
      <c r="P847" s="637">
        <v>207</v>
      </c>
      <c r="Q847" s="637">
        <v>1241.25</v>
      </c>
      <c r="R847" s="813" t="s">
        <v>172</v>
      </c>
      <c r="T847" s="815" t="s">
        <v>172</v>
      </c>
      <c r="U847" s="900" t="s">
        <v>1220</v>
      </c>
    </row>
    <row r="848" spans="1:21" x14ac:dyDescent="0.25">
      <c r="A848" s="813">
        <v>1177</v>
      </c>
      <c r="B848" s="813" t="s">
        <v>339</v>
      </c>
      <c r="C848" s="813" t="s">
        <v>909</v>
      </c>
      <c r="D848" s="813" t="s">
        <v>14</v>
      </c>
      <c r="E848" s="813" t="s">
        <v>15</v>
      </c>
      <c r="F848" s="813" t="s">
        <v>1106</v>
      </c>
      <c r="G848" s="813" t="s">
        <v>957</v>
      </c>
      <c r="H848" s="819" t="s">
        <v>44</v>
      </c>
      <c r="I848" s="820" t="s">
        <v>15</v>
      </c>
      <c r="J848" s="820" t="s">
        <v>421</v>
      </c>
      <c r="L848" s="821">
        <v>2</v>
      </c>
      <c r="M848" s="637">
        <v>341</v>
      </c>
      <c r="N848" s="637">
        <v>3675.75</v>
      </c>
      <c r="O848" s="821">
        <v>0</v>
      </c>
      <c r="P848" s="637">
        <v>0</v>
      </c>
      <c r="R848" s="813" t="s">
        <v>172</v>
      </c>
      <c r="T848" s="815" t="s">
        <v>172</v>
      </c>
      <c r="U848" s="900" t="s">
        <v>1220</v>
      </c>
    </row>
    <row r="849" spans="1:21" x14ac:dyDescent="0.25">
      <c r="A849" s="813">
        <v>1178</v>
      </c>
      <c r="B849" s="813" t="s">
        <v>339</v>
      </c>
      <c r="C849" s="813" t="s">
        <v>914</v>
      </c>
      <c r="D849" s="813" t="s">
        <v>434</v>
      </c>
      <c r="E849" s="813" t="s">
        <v>14</v>
      </c>
      <c r="F849" s="813" t="s">
        <v>885</v>
      </c>
      <c r="G849" s="813" t="s">
        <v>868</v>
      </c>
      <c r="H849" s="819" t="s">
        <v>35</v>
      </c>
      <c r="I849" s="820" t="s">
        <v>20</v>
      </c>
      <c r="J849" s="820" t="s">
        <v>428</v>
      </c>
      <c r="L849" s="821">
        <v>1</v>
      </c>
      <c r="M849" s="637">
        <v>2</v>
      </c>
      <c r="N849" s="637">
        <v>6</v>
      </c>
      <c r="O849" s="821">
        <v>1</v>
      </c>
      <c r="P849" s="637">
        <v>2</v>
      </c>
      <c r="Q849" s="637">
        <v>6</v>
      </c>
      <c r="R849" s="813" t="s">
        <v>172</v>
      </c>
      <c r="T849" s="815" t="s">
        <v>172</v>
      </c>
      <c r="U849" s="900" t="s">
        <v>1220</v>
      </c>
    </row>
    <row r="850" spans="1:21" x14ac:dyDescent="0.25">
      <c r="A850" s="813">
        <v>1179</v>
      </c>
      <c r="B850" s="813" t="s">
        <v>339</v>
      </c>
      <c r="C850" s="813" t="s">
        <v>914</v>
      </c>
      <c r="D850" s="813" t="s">
        <v>434</v>
      </c>
      <c r="E850" s="813" t="s">
        <v>14</v>
      </c>
      <c r="F850" s="813" t="s">
        <v>875</v>
      </c>
      <c r="H850" s="819" t="s">
        <v>39</v>
      </c>
      <c r="I850" s="820" t="s">
        <v>20</v>
      </c>
      <c r="J850" s="820" t="s">
        <v>428</v>
      </c>
      <c r="L850" s="821">
        <v>1</v>
      </c>
      <c r="M850" s="637">
        <v>2</v>
      </c>
      <c r="N850" s="637">
        <v>2</v>
      </c>
      <c r="O850" s="821">
        <v>1</v>
      </c>
      <c r="P850" s="637">
        <v>2</v>
      </c>
      <c r="Q850" s="637">
        <v>2</v>
      </c>
      <c r="R850" s="806" t="s">
        <v>507</v>
      </c>
      <c r="T850" s="815" t="s">
        <v>172</v>
      </c>
      <c r="U850" s="900" t="s">
        <v>1220</v>
      </c>
    </row>
    <row r="851" spans="1:21" x14ac:dyDescent="0.25">
      <c r="A851" s="813">
        <v>1180</v>
      </c>
      <c r="B851" s="813" t="s">
        <v>339</v>
      </c>
      <c r="C851" s="813" t="s">
        <v>1051</v>
      </c>
      <c r="D851" s="813" t="s">
        <v>13</v>
      </c>
      <c r="E851" s="813" t="s">
        <v>13</v>
      </c>
      <c r="F851" s="813" t="s">
        <v>1052</v>
      </c>
      <c r="G851" s="813" t="s">
        <v>1052</v>
      </c>
      <c r="H851" s="819" t="s">
        <v>391</v>
      </c>
      <c r="I851" s="820" t="s">
        <v>20</v>
      </c>
      <c r="J851" s="820" t="s">
        <v>16</v>
      </c>
      <c r="K851" s="813" t="s">
        <v>13</v>
      </c>
      <c r="L851" s="821">
        <v>23</v>
      </c>
      <c r="M851" s="637">
        <v>1418</v>
      </c>
      <c r="N851" s="637">
        <v>13736.25</v>
      </c>
      <c r="O851" s="821">
        <v>23</v>
      </c>
      <c r="P851" s="637">
        <v>1418</v>
      </c>
      <c r="Q851" s="637">
        <v>13736.25</v>
      </c>
      <c r="R851" s="813" t="s">
        <v>172</v>
      </c>
      <c r="T851" s="815" t="s">
        <v>172</v>
      </c>
      <c r="U851" s="899" t="s">
        <v>1219</v>
      </c>
    </row>
    <row r="852" spans="1:21" x14ac:dyDescent="0.25">
      <c r="A852" s="813">
        <v>1181</v>
      </c>
      <c r="B852" s="813" t="s">
        <v>339</v>
      </c>
      <c r="C852" s="813" t="s">
        <v>1051</v>
      </c>
      <c r="D852" s="813" t="s">
        <v>13</v>
      </c>
      <c r="E852" s="813" t="s">
        <v>13</v>
      </c>
      <c r="F852" s="813" t="s">
        <v>1107</v>
      </c>
      <c r="G852" s="813" t="s">
        <v>1107</v>
      </c>
      <c r="H852" s="819" t="s">
        <v>391</v>
      </c>
      <c r="I852" s="820" t="s">
        <v>20</v>
      </c>
      <c r="J852" s="820" t="s">
        <v>16</v>
      </c>
      <c r="K852" s="813" t="s">
        <v>13</v>
      </c>
      <c r="L852" s="821">
        <v>1</v>
      </c>
      <c r="M852" s="637">
        <v>13</v>
      </c>
      <c r="N852" s="637">
        <v>51.75</v>
      </c>
      <c r="O852" s="821">
        <v>1</v>
      </c>
      <c r="P852" s="637">
        <v>13</v>
      </c>
      <c r="Q852" s="637">
        <v>51.75</v>
      </c>
      <c r="R852" s="813" t="s">
        <v>172</v>
      </c>
      <c r="T852" s="815" t="s">
        <v>172</v>
      </c>
      <c r="U852" s="899" t="s">
        <v>1219</v>
      </c>
    </row>
    <row r="853" spans="1:21" x14ac:dyDescent="0.25">
      <c r="A853" s="813">
        <v>1182</v>
      </c>
      <c r="B853" s="813" t="s">
        <v>339</v>
      </c>
      <c r="C853" s="813" t="s">
        <v>1051</v>
      </c>
      <c r="D853" s="813" t="s">
        <v>13</v>
      </c>
      <c r="E853" s="813" t="s">
        <v>13</v>
      </c>
      <c r="F853" s="813" t="s">
        <v>860</v>
      </c>
      <c r="G853" s="813" t="s">
        <v>860</v>
      </c>
      <c r="H853" s="819" t="s">
        <v>391</v>
      </c>
      <c r="I853" s="820" t="s">
        <v>20</v>
      </c>
      <c r="J853" s="820" t="s">
        <v>16</v>
      </c>
      <c r="K853" s="813" t="s">
        <v>13</v>
      </c>
      <c r="L853" s="821">
        <v>1</v>
      </c>
      <c r="M853" s="637">
        <v>6</v>
      </c>
      <c r="N853" s="637">
        <v>23.75</v>
      </c>
      <c r="O853" s="821">
        <v>0</v>
      </c>
      <c r="P853" s="637">
        <v>0</v>
      </c>
      <c r="R853" s="813" t="s">
        <v>172</v>
      </c>
      <c r="T853" s="815" t="s">
        <v>172</v>
      </c>
      <c r="U853" s="899" t="s">
        <v>1219</v>
      </c>
    </row>
    <row r="854" spans="1:21" x14ac:dyDescent="0.25">
      <c r="A854" s="813">
        <v>1183</v>
      </c>
      <c r="B854" s="813" t="s">
        <v>340</v>
      </c>
      <c r="C854" s="813" t="s">
        <v>886</v>
      </c>
      <c r="D854" s="813" t="s">
        <v>495</v>
      </c>
      <c r="E854" s="813" t="s">
        <v>495</v>
      </c>
      <c r="F854" s="813" t="s">
        <v>887</v>
      </c>
      <c r="G854" s="813" t="s">
        <v>868</v>
      </c>
      <c r="H854" s="809" t="s">
        <v>390</v>
      </c>
      <c r="I854" s="810" t="s">
        <v>20</v>
      </c>
      <c r="J854" s="810" t="s">
        <v>16</v>
      </c>
      <c r="L854" s="821">
        <v>3</v>
      </c>
      <c r="M854" s="637">
        <v>31</v>
      </c>
      <c r="N854" s="637">
        <v>153</v>
      </c>
      <c r="O854" s="821">
        <v>3</v>
      </c>
      <c r="P854" s="637">
        <v>31</v>
      </c>
      <c r="Q854" s="637">
        <v>153</v>
      </c>
      <c r="R854" s="813" t="s">
        <v>172</v>
      </c>
      <c r="T854" s="815" t="s">
        <v>172</v>
      </c>
      <c r="U854" s="899" t="s">
        <v>1219</v>
      </c>
    </row>
    <row r="855" spans="1:21" x14ac:dyDescent="0.25">
      <c r="A855" s="813">
        <v>1184</v>
      </c>
      <c r="B855" s="813" t="s">
        <v>340</v>
      </c>
      <c r="C855" s="813" t="s">
        <v>886</v>
      </c>
      <c r="D855" s="813" t="s">
        <v>495</v>
      </c>
      <c r="E855" s="813" t="s">
        <v>495</v>
      </c>
      <c r="F855" s="813" t="s">
        <v>888</v>
      </c>
      <c r="G855" s="813" t="s">
        <v>868</v>
      </c>
      <c r="H855" s="809" t="s">
        <v>390</v>
      </c>
      <c r="I855" s="810" t="s">
        <v>20</v>
      </c>
      <c r="J855" s="810" t="s">
        <v>16</v>
      </c>
      <c r="L855" s="821">
        <v>3</v>
      </c>
      <c r="M855" s="637">
        <v>3</v>
      </c>
      <c r="N855" s="637">
        <v>3</v>
      </c>
      <c r="O855" s="821">
        <v>3</v>
      </c>
      <c r="P855" s="637">
        <v>3</v>
      </c>
      <c r="Q855" s="637">
        <v>3</v>
      </c>
      <c r="R855" s="806" t="s">
        <v>507</v>
      </c>
      <c r="T855" s="815" t="s">
        <v>172</v>
      </c>
      <c r="U855" s="899" t="s">
        <v>1219</v>
      </c>
    </row>
    <row r="856" spans="1:21" x14ac:dyDescent="0.25">
      <c r="A856" s="813">
        <v>1185</v>
      </c>
      <c r="B856" s="813" t="s">
        <v>340</v>
      </c>
      <c r="C856" s="813" t="s">
        <v>874</v>
      </c>
      <c r="D856" s="813" t="s">
        <v>434</v>
      </c>
      <c r="E856" s="813" t="s">
        <v>14</v>
      </c>
      <c r="F856" s="813" t="s">
        <v>889</v>
      </c>
      <c r="H856" s="819" t="s">
        <v>39</v>
      </c>
      <c r="I856" s="820" t="s">
        <v>20</v>
      </c>
      <c r="J856" s="820" t="s">
        <v>428</v>
      </c>
      <c r="L856" s="821">
        <v>1</v>
      </c>
      <c r="M856" s="637">
        <v>1</v>
      </c>
      <c r="N856" s="637">
        <v>1</v>
      </c>
      <c r="O856" s="821">
        <v>0</v>
      </c>
      <c r="P856" s="637">
        <v>0</v>
      </c>
      <c r="Q856" s="637">
        <v>0</v>
      </c>
      <c r="R856" s="806" t="s">
        <v>507</v>
      </c>
      <c r="T856" s="815" t="s">
        <v>172</v>
      </c>
      <c r="U856" s="900" t="s">
        <v>1220</v>
      </c>
    </row>
    <row r="857" spans="1:21" x14ac:dyDescent="0.25">
      <c r="A857" s="813">
        <v>1186</v>
      </c>
      <c r="B857" s="813" t="s">
        <v>340</v>
      </c>
      <c r="C857" s="813" t="s">
        <v>874</v>
      </c>
      <c r="D857" s="813" t="s">
        <v>434</v>
      </c>
      <c r="E857" s="813" t="s">
        <v>14</v>
      </c>
      <c r="F857" s="813" t="s">
        <v>869</v>
      </c>
      <c r="H857" s="819" t="s">
        <v>39</v>
      </c>
      <c r="I857" s="820" t="s">
        <v>20</v>
      </c>
      <c r="J857" s="820" t="s">
        <v>428</v>
      </c>
      <c r="L857" s="821">
        <v>8</v>
      </c>
      <c r="M857" s="637">
        <v>9</v>
      </c>
      <c r="N857" s="637">
        <v>9</v>
      </c>
      <c r="O857" s="821">
        <v>7</v>
      </c>
      <c r="P857" s="637">
        <v>8</v>
      </c>
      <c r="Q857" s="637">
        <v>8</v>
      </c>
      <c r="R857" s="806" t="s">
        <v>507</v>
      </c>
      <c r="T857" s="815" t="s">
        <v>172</v>
      </c>
      <c r="U857" s="900" t="s">
        <v>1220</v>
      </c>
    </row>
    <row r="858" spans="1:21" x14ac:dyDescent="0.25">
      <c r="A858" s="813">
        <v>1187</v>
      </c>
      <c r="B858" s="813" t="s">
        <v>340</v>
      </c>
      <c r="C858" s="813" t="s">
        <v>874</v>
      </c>
      <c r="D858" s="813" t="s">
        <v>434</v>
      </c>
      <c r="E858" s="813" t="s">
        <v>14</v>
      </c>
      <c r="F858" s="813" t="s">
        <v>890</v>
      </c>
      <c r="G858" s="813" t="s">
        <v>891</v>
      </c>
      <c r="H858" s="819" t="s">
        <v>39</v>
      </c>
      <c r="I858" s="820" t="s">
        <v>20</v>
      </c>
      <c r="J858" s="820" t="s">
        <v>428</v>
      </c>
      <c r="L858" s="821">
        <v>2</v>
      </c>
      <c r="M858" s="637">
        <v>2</v>
      </c>
      <c r="N858" s="637">
        <v>2</v>
      </c>
      <c r="O858" s="821">
        <v>2</v>
      </c>
      <c r="P858" s="637">
        <v>2</v>
      </c>
      <c r="Q858" s="637">
        <v>2</v>
      </c>
      <c r="R858" s="813" t="s">
        <v>529</v>
      </c>
      <c r="T858" s="815" t="s">
        <v>172</v>
      </c>
      <c r="U858" s="900" t="s">
        <v>1220</v>
      </c>
    </row>
    <row r="859" spans="1:21" x14ac:dyDescent="0.25">
      <c r="A859" s="813">
        <v>1188</v>
      </c>
      <c r="B859" s="813" t="s">
        <v>340</v>
      </c>
      <c r="C859" s="813" t="s">
        <v>874</v>
      </c>
      <c r="D859" s="813" t="s">
        <v>434</v>
      </c>
      <c r="E859" s="813" t="s">
        <v>14</v>
      </c>
      <c r="F859" s="813" t="s">
        <v>875</v>
      </c>
      <c r="H859" s="819" t="s">
        <v>39</v>
      </c>
      <c r="I859" s="820" t="s">
        <v>20</v>
      </c>
      <c r="J859" s="820" t="s">
        <v>428</v>
      </c>
      <c r="L859" s="821">
        <v>5</v>
      </c>
      <c r="M859" s="637">
        <v>6</v>
      </c>
      <c r="N859" s="637">
        <v>6</v>
      </c>
      <c r="O859" s="821">
        <v>4</v>
      </c>
      <c r="P859" s="637">
        <v>4</v>
      </c>
      <c r="Q859" s="637">
        <v>4</v>
      </c>
      <c r="R859" s="806" t="s">
        <v>507</v>
      </c>
      <c r="T859" s="815" t="s">
        <v>172</v>
      </c>
      <c r="U859" s="900" t="s">
        <v>1220</v>
      </c>
    </row>
    <row r="860" spans="1:21" x14ac:dyDescent="0.25">
      <c r="A860" s="813">
        <v>1189</v>
      </c>
      <c r="B860" s="813" t="s">
        <v>340</v>
      </c>
      <c r="C860" s="813" t="s">
        <v>874</v>
      </c>
      <c r="D860" s="813" t="s">
        <v>434</v>
      </c>
      <c r="E860" s="813" t="s">
        <v>14</v>
      </c>
      <c r="F860" s="813" t="s">
        <v>868</v>
      </c>
      <c r="G860" s="813" t="s">
        <v>868</v>
      </c>
      <c r="H860" s="819" t="s">
        <v>35</v>
      </c>
      <c r="I860" s="820" t="s">
        <v>20</v>
      </c>
      <c r="J860" s="820" t="s">
        <v>428</v>
      </c>
      <c r="L860" s="821">
        <v>14</v>
      </c>
      <c r="M860" s="637">
        <v>1165</v>
      </c>
      <c r="N860" s="637">
        <v>4647.5</v>
      </c>
      <c r="O860" s="821">
        <v>12</v>
      </c>
      <c r="P860" s="637">
        <v>971</v>
      </c>
      <c r="Q860" s="637">
        <v>3659.75</v>
      </c>
      <c r="R860" s="813" t="s">
        <v>172</v>
      </c>
      <c r="T860" s="815" t="s">
        <v>172</v>
      </c>
      <c r="U860" s="900" t="s">
        <v>1220</v>
      </c>
    </row>
    <row r="861" spans="1:21" x14ac:dyDescent="0.25">
      <c r="A861" s="813">
        <v>1196</v>
      </c>
      <c r="B861" s="813" t="s">
        <v>340</v>
      </c>
      <c r="C861" s="813" t="s">
        <v>876</v>
      </c>
      <c r="D861" s="813" t="s">
        <v>434</v>
      </c>
      <c r="E861" s="813" t="s">
        <v>15</v>
      </c>
      <c r="F861" s="813" t="s">
        <v>863</v>
      </c>
      <c r="G861" s="813" t="s">
        <v>863</v>
      </c>
      <c r="H861" s="819" t="s">
        <v>18</v>
      </c>
      <c r="I861" s="820" t="s">
        <v>15</v>
      </c>
      <c r="J861" s="820" t="s">
        <v>421</v>
      </c>
      <c r="L861" s="821">
        <v>31</v>
      </c>
      <c r="M861" s="637">
        <v>5117</v>
      </c>
      <c r="N861" s="637">
        <v>25749.5</v>
      </c>
      <c r="O861" s="821">
        <v>29</v>
      </c>
      <c r="P861" s="637">
        <v>4999</v>
      </c>
      <c r="Q861" s="637">
        <v>24930.25</v>
      </c>
      <c r="R861" s="813" t="s">
        <v>172</v>
      </c>
      <c r="T861" s="815" t="s">
        <v>172</v>
      </c>
      <c r="U861" s="900" t="s">
        <v>1220</v>
      </c>
    </row>
    <row r="862" spans="1:21" x14ac:dyDescent="0.25">
      <c r="A862" s="813">
        <v>1197</v>
      </c>
      <c r="B862" s="813" t="s">
        <v>340</v>
      </c>
      <c r="C862" s="813" t="s">
        <v>876</v>
      </c>
      <c r="D862" s="813" t="s">
        <v>434</v>
      </c>
      <c r="E862" s="813" t="s">
        <v>15</v>
      </c>
      <c r="F862" s="813" t="s">
        <v>934</v>
      </c>
      <c r="G862" s="813" t="s">
        <v>934</v>
      </c>
      <c r="H862" s="819" t="s">
        <v>43</v>
      </c>
      <c r="I862" s="820" t="s">
        <v>15</v>
      </c>
      <c r="J862" s="820" t="s">
        <v>421</v>
      </c>
      <c r="L862" s="821">
        <v>1</v>
      </c>
      <c r="M862" s="637">
        <v>6</v>
      </c>
      <c r="N862" s="637">
        <v>78</v>
      </c>
      <c r="O862" s="821">
        <v>1</v>
      </c>
      <c r="P862" s="637">
        <v>6</v>
      </c>
      <c r="Q862" s="637">
        <v>78</v>
      </c>
      <c r="R862" s="813" t="s">
        <v>172</v>
      </c>
      <c r="T862" s="815">
        <f>Q862/P862</f>
        <v>13</v>
      </c>
      <c r="U862" s="900" t="s">
        <v>1220</v>
      </c>
    </row>
    <row r="863" spans="1:21" x14ac:dyDescent="0.25">
      <c r="A863" s="813">
        <v>1199</v>
      </c>
      <c r="B863" s="813" t="s">
        <v>340</v>
      </c>
      <c r="C863" s="813" t="s">
        <v>897</v>
      </c>
      <c r="D863" s="813" t="s">
        <v>14</v>
      </c>
      <c r="E863" s="813" t="s">
        <v>15</v>
      </c>
      <c r="F863" s="813" t="s">
        <v>898</v>
      </c>
      <c r="G863" s="813" t="s">
        <v>863</v>
      </c>
      <c r="H863" s="819" t="s">
        <v>18</v>
      </c>
      <c r="I863" s="820" t="s">
        <v>15</v>
      </c>
      <c r="J863" s="820" t="s">
        <v>421</v>
      </c>
      <c r="L863" s="821">
        <v>4</v>
      </c>
      <c r="M863" s="637">
        <v>273</v>
      </c>
      <c r="N863" s="637">
        <v>1547.5</v>
      </c>
      <c r="O863" s="821">
        <v>3</v>
      </c>
      <c r="P863" s="637">
        <v>271</v>
      </c>
      <c r="Q863" s="637">
        <v>1542.5</v>
      </c>
      <c r="R863" s="813" t="s">
        <v>172</v>
      </c>
      <c r="T863" s="815" t="s">
        <v>172</v>
      </c>
      <c r="U863" s="900" t="s">
        <v>1220</v>
      </c>
    </row>
    <row r="864" spans="1:21" x14ac:dyDescent="0.25">
      <c r="A864" s="813">
        <v>1200</v>
      </c>
      <c r="B864" s="813" t="s">
        <v>340</v>
      </c>
      <c r="C864" s="813" t="s">
        <v>899</v>
      </c>
      <c r="D864" s="813" t="s">
        <v>14</v>
      </c>
      <c r="E864" s="813" t="s">
        <v>14</v>
      </c>
      <c r="F864" s="813" t="s">
        <v>885</v>
      </c>
      <c r="G864" s="813" t="s">
        <v>868</v>
      </c>
      <c r="H864" s="819" t="s">
        <v>35</v>
      </c>
      <c r="I864" s="820" t="s">
        <v>20</v>
      </c>
      <c r="J864" s="820" t="s">
        <v>428</v>
      </c>
      <c r="L864" s="821">
        <v>4</v>
      </c>
      <c r="M864" s="637">
        <v>75</v>
      </c>
      <c r="N864" s="637">
        <v>387.25</v>
      </c>
      <c r="O864" s="821">
        <v>3</v>
      </c>
      <c r="P864" s="637">
        <v>47</v>
      </c>
      <c r="Q864" s="637">
        <v>233.25</v>
      </c>
      <c r="R864" s="813" t="s">
        <v>172</v>
      </c>
      <c r="T864" s="815" t="s">
        <v>172</v>
      </c>
      <c r="U864" s="900" t="s">
        <v>1220</v>
      </c>
    </row>
    <row r="865" spans="1:21" x14ac:dyDescent="0.25">
      <c r="A865" s="813">
        <v>1201</v>
      </c>
      <c r="B865" s="813" t="s">
        <v>340</v>
      </c>
      <c r="C865" s="813" t="s">
        <v>899</v>
      </c>
      <c r="D865" s="813" t="s">
        <v>14</v>
      </c>
      <c r="E865" s="813" t="s">
        <v>14</v>
      </c>
      <c r="F865" s="813" t="s">
        <v>900</v>
      </c>
      <c r="H865" s="819" t="s">
        <v>39</v>
      </c>
      <c r="I865" s="820" t="s">
        <v>20</v>
      </c>
      <c r="J865" s="820" t="s">
        <v>428</v>
      </c>
      <c r="L865" s="821">
        <v>4</v>
      </c>
      <c r="M865" s="637">
        <v>4</v>
      </c>
      <c r="N865" s="637">
        <v>4</v>
      </c>
      <c r="O865" s="821">
        <v>3</v>
      </c>
      <c r="P865" s="637">
        <v>3</v>
      </c>
      <c r="Q865" s="637">
        <v>3</v>
      </c>
      <c r="R865" s="806" t="s">
        <v>507</v>
      </c>
      <c r="T865" s="815" t="s">
        <v>172</v>
      </c>
      <c r="U865" s="900" t="s">
        <v>1220</v>
      </c>
    </row>
    <row r="866" spans="1:21" x14ac:dyDescent="0.25">
      <c r="A866" s="813">
        <v>1202</v>
      </c>
      <c r="B866" s="813" t="s">
        <v>340</v>
      </c>
      <c r="C866" s="813" t="s">
        <v>248</v>
      </c>
      <c r="D866" s="813" t="s">
        <v>16</v>
      </c>
      <c r="E866" s="813" t="s">
        <v>884</v>
      </c>
      <c r="F866" s="813" t="s">
        <v>885</v>
      </c>
      <c r="H866" s="819" t="s">
        <v>374</v>
      </c>
      <c r="I866" s="820" t="s">
        <v>20</v>
      </c>
      <c r="J866" s="820" t="s">
        <v>248</v>
      </c>
      <c r="L866" s="821">
        <v>1</v>
      </c>
      <c r="M866" s="637">
        <v>7</v>
      </c>
      <c r="N866" s="637">
        <v>84</v>
      </c>
      <c r="O866" s="821">
        <v>1</v>
      </c>
      <c r="P866" s="637">
        <v>7</v>
      </c>
      <c r="Q866" s="637">
        <v>84</v>
      </c>
      <c r="R866" s="813" t="s">
        <v>172</v>
      </c>
      <c r="T866" s="815" t="s">
        <v>172</v>
      </c>
      <c r="U866" s="899" t="s">
        <v>1219</v>
      </c>
    </row>
    <row r="867" spans="1:21" x14ac:dyDescent="0.25">
      <c r="A867" s="813">
        <v>1203</v>
      </c>
      <c r="B867" s="813" t="s">
        <v>340</v>
      </c>
      <c r="C867" s="813" t="s">
        <v>906</v>
      </c>
      <c r="D867" s="813" t="s">
        <v>14</v>
      </c>
      <c r="E867" s="813" t="s">
        <v>14</v>
      </c>
      <c r="F867" s="813" t="s">
        <v>889</v>
      </c>
      <c r="H867" s="819" t="s">
        <v>39</v>
      </c>
      <c r="I867" s="820" t="s">
        <v>20</v>
      </c>
      <c r="J867" s="820" t="s">
        <v>428</v>
      </c>
      <c r="L867" s="821">
        <v>2</v>
      </c>
      <c r="M867" s="637">
        <v>2</v>
      </c>
      <c r="N867" s="637">
        <v>2</v>
      </c>
      <c r="O867" s="821">
        <v>1</v>
      </c>
      <c r="P867" s="637">
        <v>1</v>
      </c>
      <c r="Q867" s="637">
        <v>1</v>
      </c>
      <c r="R867" s="806" t="s">
        <v>507</v>
      </c>
      <c r="T867" s="815" t="s">
        <v>172</v>
      </c>
      <c r="U867" s="900" t="s">
        <v>1220</v>
      </c>
    </row>
    <row r="868" spans="1:21" x14ac:dyDescent="0.25">
      <c r="A868" s="813">
        <v>1204</v>
      </c>
      <c r="B868" s="813" t="s">
        <v>340</v>
      </c>
      <c r="C868" s="813" t="s">
        <v>906</v>
      </c>
      <c r="D868" s="813" t="s">
        <v>14</v>
      </c>
      <c r="E868" s="813" t="s">
        <v>14</v>
      </c>
      <c r="F868" s="813" t="s">
        <v>869</v>
      </c>
      <c r="H868" s="819" t="s">
        <v>39</v>
      </c>
      <c r="I868" s="820" t="s">
        <v>20</v>
      </c>
      <c r="J868" s="820" t="s">
        <v>428</v>
      </c>
      <c r="L868" s="821">
        <v>11</v>
      </c>
      <c r="M868" s="637">
        <v>12</v>
      </c>
      <c r="N868" s="637">
        <v>12</v>
      </c>
      <c r="O868" s="821">
        <v>9</v>
      </c>
      <c r="P868" s="637">
        <v>9</v>
      </c>
      <c r="Q868" s="637">
        <v>9</v>
      </c>
      <c r="R868" s="806" t="s">
        <v>507</v>
      </c>
      <c r="T868" s="815" t="s">
        <v>172</v>
      </c>
      <c r="U868" s="900" t="s">
        <v>1220</v>
      </c>
    </row>
    <row r="869" spans="1:21" x14ac:dyDescent="0.25">
      <c r="A869" s="813">
        <v>1205</v>
      </c>
      <c r="B869" s="813" t="s">
        <v>340</v>
      </c>
      <c r="C869" s="813" t="s">
        <v>906</v>
      </c>
      <c r="D869" s="813" t="s">
        <v>14</v>
      </c>
      <c r="E869" s="813" t="s">
        <v>14</v>
      </c>
      <c r="F869" s="813" t="s">
        <v>875</v>
      </c>
      <c r="H869" s="819" t="s">
        <v>39</v>
      </c>
      <c r="I869" s="820" t="s">
        <v>20</v>
      </c>
      <c r="J869" s="820" t="s">
        <v>428</v>
      </c>
      <c r="L869" s="821">
        <v>7</v>
      </c>
      <c r="M869" s="637">
        <v>10</v>
      </c>
      <c r="N869" s="637">
        <v>10</v>
      </c>
      <c r="O869" s="821">
        <v>7</v>
      </c>
      <c r="P869" s="637">
        <v>10</v>
      </c>
      <c r="Q869" s="637">
        <v>10</v>
      </c>
      <c r="R869" s="806" t="s">
        <v>507</v>
      </c>
      <c r="T869" s="815" t="s">
        <v>172</v>
      </c>
      <c r="U869" s="900" t="s">
        <v>1220</v>
      </c>
    </row>
    <row r="870" spans="1:21" x14ac:dyDescent="0.25">
      <c r="A870" s="813">
        <v>1206</v>
      </c>
      <c r="B870" s="813" t="s">
        <v>340</v>
      </c>
      <c r="C870" s="813" t="s">
        <v>906</v>
      </c>
      <c r="D870" s="813" t="s">
        <v>14</v>
      </c>
      <c r="E870" s="813" t="s">
        <v>14</v>
      </c>
      <c r="F870" s="813" t="s">
        <v>1108</v>
      </c>
      <c r="G870" s="813" t="s">
        <v>868</v>
      </c>
      <c r="H870" s="819" t="s">
        <v>35</v>
      </c>
      <c r="I870" s="820" t="s">
        <v>20</v>
      </c>
      <c r="J870" s="820" t="s">
        <v>428</v>
      </c>
      <c r="L870" s="821">
        <v>18</v>
      </c>
      <c r="M870" s="637">
        <v>1282</v>
      </c>
      <c r="N870" s="637">
        <v>5186.5</v>
      </c>
      <c r="O870" s="821">
        <v>15</v>
      </c>
      <c r="P870" s="637">
        <v>1107</v>
      </c>
      <c r="Q870" s="637">
        <v>4529</v>
      </c>
      <c r="R870" s="813" t="s">
        <v>172</v>
      </c>
      <c r="T870" s="815" t="s">
        <v>172</v>
      </c>
      <c r="U870" s="900" t="s">
        <v>1220</v>
      </c>
    </row>
    <row r="871" spans="1:21" x14ac:dyDescent="0.25">
      <c r="A871" s="813">
        <v>1207</v>
      </c>
      <c r="B871" s="813" t="s">
        <v>340</v>
      </c>
      <c r="C871" s="813" t="s">
        <v>906</v>
      </c>
      <c r="D871" s="813" t="s">
        <v>14</v>
      </c>
      <c r="E871" s="813" t="s">
        <v>14</v>
      </c>
      <c r="F871" s="813" t="s">
        <v>913</v>
      </c>
      <c r="G871" s="813" t="s">
        <v>863</v>
      </c>
      <c r="H871" s="819" t="s">
        <v>18</v>
      </c>
      <c r="I871" s="820" t="s">
        <v>15</v>
      </c>
      <c r="J871" s="820" t="s">
        <v>421</v>
      </c>
      <c r="L871" s="821">
        <v>1</v>
      </c>
      <c r="M871" s="637">
        <v>96</v>
      </c>
      <c r="N871" s="637">
        <v>467</v>
      </c>
      <c r="O871" s="821">
        <v>1</v>
      </c>
      <c r="P871" s="637">
        <v>96</v>
      </c>
      <c r="Q871" s="637">
        <v>467</v>
      </c>
      <c r="R871" s="813" t="s">
        <v>172</v>
      </c>
      <c r="T871" s="815" t="s">
        <v>172</v>
      </c>
      <c r="U871" s="900" t="s">
        <v>1220</v>
      </c>
    </row>
    <row r="872" spans="1:21" x14ac:dyDescent="0.25">
      <c r="A872" s="813">
        <v>1210</v>
      </c>
      <c r="B872" s="813" t="s">
        <v>340</v>
      </c>
      <c r="C872" s="813" t="s">
        <v>909</v>
      </c>
      <c r="D872" s="813" t="s">
        <v>14</v>
      </c>
      <c r="E872" s="813" t="s">
        <v>15</v>
      </c>
      <c r="F872" s="813" t="s">
        <v>913</v>
      </c>
      <c r="G872" s="813" t="s">
        <v>863</v>
      </c>
      <c r="H872" s="819" t="s">
        <v>18</v>
      </c>
      <c r="I872" s="820" t="s">
        <v>15</v>
      </c>
      <c r="J872" s="820" t="s">
        <v>421</v>
      </c>
      <c r="L872" s="821">
        <v>31</v>
      </c>
      <c r="M872" s="637">
        <v>4740</v>
      </c>
      <c r="N872" s="637">
        <v>20321.75</v>
      </c>
      <c r="O872" s="821">
        <v>28</v>
      </c>
      <c r="P872" s="637">
        <v>4421</v>
      </c>
      <c r="Q872" s="637">
        <v>19199.75</v>
      </c>
      <c r="R872" s="813" t="s">
        <v>172</v>
      </c>
      <c r="T872" s="815" t="s">
        <v>172</v>
      </c>
      <c r="U872" s="900" t="s">
        <v>1220</v>
      </c>
    </row>
    <row r="873" spans="1:21" x14ac:dyDescent="0.25">
      <c r="A873" s="813">
        <v>1211</v>
      </c>
      <c r="B873" s="813" t="s">
        <v>367</v>
      </c>
      <c r="C873" s="813" t="s">
        <v>458</v>
      </c>
      <c r="D873" s="813" t="s">
        <v>13</v>
      </c>
      <c r="E873" s="813" t="s">
        <v>13</v>
      </c>
      <c r="F873" s="813" t="s">
        <v>859</v>
      </c>
      <c r="G873" s="813" t="s">
        <v>860</v>
      </c>
      <c r="H873" s="819" t="s">
        <v>391</v>
      </c>
      <c r="I873" s="820" t="s">
        <v>20</v>
      </c>
      <c r="J873" s="820" t="s">
        <v>16</v>
      </c>
      <c r="K873" s="813" t="s">
        <v>13</v>
      </c>
      <c r="L873" s="821">
        <v>10</v>
      </c>
      <c r="M873" s="637">
        <v>148</v>
      </c>
      <c r="N873" s="637">
        <v>572.75</v>
      </c>
      <c r="O873" s="821">
        <v>5</v>
      </c>
      <c r="P873" s="637">
        <v>58</v>
      </c>
      <c r="Q873" s="637">
        <v>223</v>
      </c>
      <c r="R873" s="813" t="s">
        <v>172</v>
      </c>
      <c r="T873" s="815" t="s">
        <v>172</v>
      </c>
      <c r="U873" s="899" t="s">
        <v>1219</v>
      </c>
    </row>
    <row r="874" spans="1:21" x14ac:dyDescent="0.25">
      <c r="A874" s="813">
        <v>1212</v>
      </c>
      <c r="B874" s="813" t="s">
        <v>367</v>
      </c>
      <c r="C874" s="813" t="s">
        <v>458</v>
      </c>
      <c r="D874" s="813" t="s">
        <v>13</v>
      </c>
      <c r="E874" s="813" t="s">
        <v>13</v>
      </c>
      <c r="F874" s="813" t="s">
        <v>915</v>
      </c>
      <c r="G874" s="813" t="s">
        <v>860</v>
      </c>
      <c r="H874" s="819" t="s">
        <v>391</v>
      </c>
      <c r="I874" s="820" t="s">
        <v>20</v>
      </c>
      <c r="J874" s="820" t="s">
        <v>16</v>
      </c>
      <c r="K874" s="813" t="s">
        <v>13</v>
      </c>
      <c r="L874" s="821">
        <v>40</v>
      </c>
      <c r="M874" s="637">
        <v>4964</v>
      </c>
      <c r="N874" s="637">
        <v>33164.5</v>
      </c>
      <c r="O874" s="821">
        <v>36</v>
      </c>
      <c r="P874" s="637">
        <v>4798</v>
      </c>
      <c r="Q874" s="637">
        <v>32267.25</v>
      </c>
      <c r="R874" s="813" t="s">
        <v>172</v>
      </c>
      <c r="T874" s="815" t="s">
        <v>172</v>
      </c>
      <c r="U874" s="899" t="s">
        <v>1219</v>
      </c>
    </row>
    <row r="875" spans="1:21" x14ac:dyDescent="0.25">
      <c r="A875" s="813">
        <v>1213</v>
      </c>
      <c r="B875" s="813" t="s">
        <v>367</v>
      </c>
      <c r="C875" s="813" t="s">
        <v>1109</v>
      </c>
      <c r="D875" s="813" t="s">
        <v>16</v>
      </c>
      <c r="E875" s="813" t="s">
        <v>884</v>
      </c>
      <c r="F875" s="813" t="s">
        <v>492</v>
      </c>
      <c r="H875" s="809" t="s">
        <v>374</v>
      </c>
      <c r="I875" s="810" t="s">
        <v>20</v>
      </c>
      <c r="J875" s="810" t="s">
        <v>248</v>
      </c>
      <c r="L875" s="821">
        <v>1</v>
      </c>
      <c r="M875" s="637">
        <v>2</v>
      </c>
      <c r="N875" s="637">
        <v>3.5</v>
      </c>
      <c r="O875" s="821">
        <v>1</v>
      </c>
      <c r="P875" s="637">
        <v>2</v>
      </c>
      <c r="Q875" s="637">
        <v>3.5</v>
      </c>
      <c r="R875" s="813" t="s">
        <v>172</v>
      </c>
      <c r="T875" s="815" t="s">
        <v>172</v>
      </c>
      <c r="U875" s="899" t="s">
        <v>1219</v>
      </c>
    </row>
    <row r="876" spans="1:21" x14ac:dyDescent="0.25">
      <c r="A876" s="813">
        <v>1214</v>
      </c>
      <c r="B876" s="813" t="s">
        <v>367</v>
      </c>
      <c r="C876" s="813" t="s">
        <v>918</v>
      </c>
      <c r="D876" s="813" t="s">
        <v>495</v>
      </c>
      <c r="E876" s="813" t="s">
        <v>15</v>
      </c>
      <c r="F876" s="813" t="s">
        <v>898</v>
      </c>
      <c r="G876" s="813" t="s">
        <v>863</v>
      </c>
      <c r="H876" s="819" t="s">
        <v>18</v>
      </c>
      <c r="I876" s="820" t="s">
        <v>15</v>
      </c>
      <c r="J876" s="820" t="s">
        <v>421</v>
      </c>
      <c r="L876" s="821">
        <v>8</v>
      </c>
      <c r="M876" s="637">
        <v>771</v>
      </c>
      <c r="N876" s="637">
        <v>3758.75</v>
      </c>
      <c r="O876" s="821">
        <v>8</v>
      </c>
      <c r="P876" s="637">
        <v>771</v>
      </c>
      <c r="Q876" s="637">
        <v>3758.75</v>
      </c>
      <c r="R876" s="813" t="s">
        <v>172</v>
      </c>
      <c r="T876" s="815" t="s">
        <v>172</v>
      </c>
      <c r="U876" s="900" t="s">
        <v>1220</v>
      </c>
    </row>
    <row r="877" spans="1:21" x14ac:dyDescent="0.25">
      <c r="A877" s="813">
        <v>1215</v>
      </c>
      <c r="B877" s="813" t="s">
        <v>367</v>
      </c>
      <c r="C877" s="813" t="s">
        <v>919</v>
      </c>
      <c r="D877" s="813" t="s">
        <v>495</v>
      </c>
      <c r="E877" s="813" t="s">
        <v>14</v>
      </c>
      <c r="F877" s="813" t="s">
        <v>885</v>
      </c>
      <c r="G877" s="813" t="s">
        <v>868</v>
      </c>
      <c r="H877" s="819" t="s">
        <v>35</v>
      </c>
      <c r="I877" s="820" t="s">
        <v>20</v>
      </c>
      <c r="J877" s="820" t="s">
        <v>428</v>
      </c>
      <c r="L877" s="821">
        <v>8</v>
      </c>
      <c r="M877" s="637">
        <v>723</v>
      </c>
      <c r="N877" s="637">
        <v>6020.75</v>
      </c>
      <c r="O877" s="821">
        <v>8</v>
      </c>
      <c r="P877" s="637">
        <v>723</v>
      </c>
      <c r="Q877" s="637">
        <v>6020.75</v>
      </c>
      <c r="R877" s="813" t="s">
        <v>172</v>
      </c>
      <c r="T877" s="815" t="s">
        <v>172</v>
      </c>
      <c r="U877" s="900" t="s">
        <v>1220</v>
      </c>
    </row>
    <row r="878" spans="1:21" x14ac:dyDescent="0.25">
      <c r="A878" s="813">
        <v>1216</v>
      </c>
      <c r="B878" s="813" t="s">
        <v>367</v>
      </c>
      <c r="C878" s="813" t="s">
        <v>919</v>
      </c>
      <c r="D878" s="813" t="s">
        <v>495</v>
      </c>
      <c r="E878" s="813" t="s">
        <v>14</v>
      </c>
      <c r="F878" s="813" t="s">
        <v>889</v>
      </c>
      <c r="H878" s="819" t="s">
        <v>39</v>
      </c>
      <c r="I878" s="820" t="s">
        <v>20</v>
      </c>
      <c r="J878" s="820" t="s">
        <v>428</v>
      </c>
      <c r="L878" s="821">
        <v>1</v>
      </c>
      <c r="M878" s="637">
        <v>1</v>
      </c>
      <c r="N878" s="637">
        <v>1</v>
      </c>
      <c r="O878" s="821">
        <v>1</v>
      </c>
      <c r="P878" s="637">
        <v>1</v>
      </c>
      <c r="Q878" s="637">
        <v>1</v>
      </c>
      <c r="R878" s="806" t="s">
        <v>507</v>
      </c>
      <c r="T878" s="815" t="s">
        <v>172</v>
      </c>
      <c r="U878" s="900" t="s">
        <v>1220</v>
      </c>
    </row>
    <row r="879" spans="1:21" x14ac:dyDescent="0.25">
      <c r="A879" s="813">
        <v>1217</v>
      </c>
      <c r="B879" s="813" t="s">
        <v>367</v>
      </c>
      <c r="C879" s="813" t="s">
        <v>919</v>
      </c>
      <c r="D879" s="813" t="s">
        <v>495</v>
      </c>
      <c r="E879" s="813" t="s">
        <v>14</v>
      </c>
      <c r="F879" s="813" t="s">
        <v>875</v>
      </c>
      <c r="H879" s="819" t="s">
        <v>39</v>
      </c>
      <c r="I879" s="820" t="s">
        <v>20</v>
      </c>
      <c r="J879" s="820" t="s">
        <v>428</v>
      </c>
      <c r="L879" s="821">
        <v>4</v>
      </c>
      <c r="M879" s="637">
        <v>4</v>
      </c>
      <c r="N879" s="637">
        <v>4</v>
      </c>
      <c r="O879" s="821">
        <v>4</v>
      </c>
      <c r="P879" s="637">
        <v>4</v>
      </c>
      <c r="Q879" s="637">
        <v>4</v>
      </c>
      <c r="R879" s="806" t="s">
        <v>507</v>
      </c>
      <c r="T879" s="815" t="s">
        <v>172</v>
      </c>
      <c r="U879" s="900" t="s">
        <v>1220</v>
      </c>
    </row>
    <row r="880" spans="1:21" x14ac:dyDescent="0.25">
      <c r="A880" s="813">
        <v>1218</v>
      </c>
      <c r="B880" s="813" t="s">
        <v>367</v>
      </c>
      <c r="C880" s="813" t="s">
        <v>1110</v>
      </c>
      <c r="D880" s="813" t="s">
        <v>495</v>
      </c>
      <c r="E880" s="813" t="s">
        <v>14</v>
      </c>
      <c r="F880" s="813" t="s">
        <v>1042</v>
      </c>
      <c r="G880" s="813" t="s">
        <v>1043</v>
      </c>
      <c r="H880" s="809" t="s">
        <v>390</v>
      </c>
      <c r="I880" s="810" t="s">
        <v>20</v>
      </c>
      <c r="J880" s="810" t="s">
        <v>16</v>
      </c>
      <c r="L880" s="821">
        <v>1</v>
      </c>
      <c r="M880" s="637">
        <v>550</v>
      </c>
      <c r="N880" s="637">
        <v>3178.75</v>
      </c>
      <c r="O880" s="821">
        <v>1</v>
      </c>
      <c r="P880" s="637">
        <v>550</v>
      </c>
      <c r="Q880" s="637">
        <v>3178.75</v>
      </c>
      <c r="R880" s="813" t="s">
        <v>172</v>
      </c>
      <c r="T880" s="815" t="s">
        <v>172</v>
      </c>
      <c r="U880" s="899" t="s">
        <v>1219</v>
      </c>
    </row>
    <row r="881" spans="1:21" x14ac:dyDescent="0.25">
      <c r="A881" s="813">
        <v>1219</v>
      </c>
      <c r="B881" s="813" t="s">
        <v>367</v>
      </c>
      <c r="C881" s="813" t="s">
        <v>1110</v>
      </c>
      <c r="D881" s="813" t="s">
        <v>495</v>
      </c>
      <c r="E881" s="813" t="s">
        <v>14</v>
      </c>
      <c r="F881" s="813" t="s">
        <v>1111</v>
      </c>
      <c r="G881" s="813" t="s">
        <v>1085</v>
      </c>
      <c r="H881" s="809" t="s">
        <v>390</v>
      </c>
      <c r="I881" s="810" t="s">
        <v>20</v>
      </c>
      <c r="J881" s="810" t="s">
        <v>16</v>
      </c>
      <c r="L881" s="821">
        <v>1</v>
      </c>
      <c r="M881" s="637">
        <v>21</v>
      </c>
      <c r="N881" s="637">
        <v>273</v>
      </c>
      <c r="O881" s="821">
        <v>1</v>
      </c>
      <c r="P881" s="637">
        <v>21</v>
      </c>
      <c r="Q881" s="637">
        <v>273</v>
      </c>
      <c r="R881" s="813" t="s">
        <v>172</v>
      </c>
      <c r="T881" s="815">
        <v>13</v>
      </c>
      <c r="U881" s="899" t="s">
        <v>1219</v>
      </c>
    </row>
    <row r="882" spans="1:21" x14ac:dyDescent="0.25">
      <c r="A882" s="813">
        <v>1220</v>
      </c>
      <c r="B882" s="813" t="s">
        <v>367</v>
      </c>
      <c r="C882" s="813" t="s">
        <v>1110</v>
      </c>
      <c r="D882" s="813" t="s">
        <v>495</v>
      </c>
      <c r="E882" s="813" t="s">
        <v>14</v>
      </c>
      <c r="F882" s="813" t="s">
        <v>885</v>
      </c>
      <c r="G882" s="813" t="s">
        <v>868</v>
      </c>
      <c r="H882" s="809" t="s">
        <v>390</v>
      </c>
      <c r="I882" s="810" t="s">
        <v>20</v>
      </c>
      <c r="J882" s="810" t="s">
        <v>16</v>
      </c>
      <c r="L882" s="821">
        <v>2</v>
      </c>
      <c r="M882" s="637">
        <v>242</v>
      </c>
      <c r="N882" s="637">
        <v>2016</v>
      </c>
      <c r="O882" s="821">
        <v>2</v>
      </c>
      <c r="P882" s="637">
        <v>242</v>
      </c>
      <c r="Q882" s="637">
        <v>2016</v>
      </c>
      <c r="R882" s="813" t="s">
        <v>172</v>
      </c>
      <c r="T882" s="815" t="s">
        <v>172</v>
      </c>
      <c r="U882" s="899" t="s">
        <v>1219</v>
      </c>
    </row>
    <row r="883" spans="1:21" x14ac:dyDescent="0.25">
      <c r="A883" s="813">
        <v>1221</v>
      </c>
      <c r="B883" s="813" t="s">
        <v>367</v>
      </c>
      <c r="C883" s="813" t="s">
        <v>1110</v>
      </c>
      <c r="D883" s="813" t="s">
        <v>495</v>
      </c>
      <c r="E883" s="813" t="s">
        <v>14</v>
      </c>
      <c r="F883" s="813" t="s">
        <v>889</v>
      </c>
      <c r="H883" s="809" t="s">
        <v>390</v>
      </c>
      <c r="I883" s="810" t="s">
        <v>20</v>
      </c>
      <c r="J883" s="810" t="s">
        <v>16</v>
      </c>
      <c r="L883" s="821">
        <v>1</v>
      </c>
      <c r="M883" s="637">
        <v>1</v>
      </c>
      <c r="N883" s="637">
        <v>1</v>
      </c>
      <c r="O883" s="821">
        <v>1</v>
      </c>
      <c r="P883" s="637">
        <v>1</v>
      </c>
      <c r="Q883" s="637">
        <v>1</v>
      </c>
      <c r="R883" s="806" t="s">
        <v>507</v>
      </c>
      <c r="T883" s="815" t="s">
        <v>172</v>
      </c>
      <c r="U883" s="899" t="s">
        <v>1219</v>
      </c>
    </row>
    <row r="884" spans="1:21" x14ac:dyDescent="0.25">
      <c r="A884" s="813">
        <v>1222</v>
      </c>
      <c r="B884" s="813" t="s">
        <v>367</v>
      </c>
      <c r="C884" s="813" t="s">
        <v>1110</v>
      </c>
      <c r="D884" s="813" t="s">
        <v>495</v>
      </c>
      <c r="E884" s="813" t="s">
        <v>14</v>
      </c>
      <c r="F884" s="813" t="s">
        <v>875</v>
      </c>
      <c r="H884" s="809" t="s">
        <v>390</v>
      </c>
      <c r="I884" s="810" t="s">
        <v>20</v>
      </c>
      <c r="J884" s="810" t="s">
        <v>16</v>
      </c>
      <c r="L884" s="821">
        <v>2</v>
      </c>
      <c r="M884" s="637">
        <v>4</v>
      </c>
      <c r="N884" s="637">
        <v>4</v>
      </c>
      <c r="O884" s="821">
        <v>2</v>
      </c>
      <c r="P884" s="637">
        <v>4</v>
      </c>
      <c r="Q884" s="637">
        <v>4</v>
      </c>
      <c r="R884" s="806" t="s">
        <v>507</v>
      </c>
      <c r="T884" s="815" t="s">
        <v>172</v>
      </c>
      <c r="U884" s="899" t="s">
        <v>1219</v>
      </c>
    </row>
    <row r="885" spans="1:21" x14ac:dyDescent="0.25">
      <c r="A885" s="813">
        <v>1223</v>
      </c>
      <c r="B885" s="813" t="s">
        <v>367</v>
      </c>
      <c r="C885" s="813" t="s">
        <v>924</v>
      </c>
      <c r="D885" s="813" t="s">
        <v>16</v>
      </c>
      <c r="E885" s="813" t="s">
        <v>14</v>
      </c>
      <c r="F885" s="813" t="s">
        <v>875</v>
      </c>
      <c r="H885" s="809" t="s">
        <v>390</v>
      </c>
      <c r="I885" s="810" t="s">
        <v>20</v>
      </c>
      <c r="J885" s="810" t="s">
        <v>16</v>
      </c>
      <c r="L885" s="821">
        <v>1</v>
      </c>
      <c r="M885" s="637">
        <v>1</v>
      </c>
      <c r="N885" s="637">
        <v>1</v>
      </c>
      <c r="O885" s="821">
        <v>1</v>
      </c>
      <c r="P885" s="637">
        <v>1</v>
      </c>
      <c r="Q885" s="637">
        <v>1</v>
      </c>
      <c r="R885" s="806" t="s">
        <v>507</v>
      </c>
      <c r="T885" s="815" t="s">
        <v>172</v>
      </c>
      <c r="U885" s="899" t="s">
        <v>1219</v>
      </c>
    </row>
    <row r="886" spans="1:21" x14ac:dyDescent="0.25">
      <c r="A886" s="813">
        <v>1224</v>
      </c>
      <c r="B886" s="813" t="s">
        <v>367</v>
      </c>
      <c r="C886" s="813" t="s">
        <v>924</v>
      </c>
      <c r="D886" s="813" t="s">
        <v>16</v>
      </c>
      <c r="E886" s="813" t="s">
        <v>14</v>
      </c>
      <c r="F886" s="813" t="s">
        <v>868</v>
      </c>
      <c r="G886" s="813" t="s">
        <v>868</v>
      </c>
      <c r="H886" s="809" t="s">
        <v>390</v>
      </c>
      <c r="I886" s="810" t="s">
        <v>20</v>
      </c>
      <c r="J886" s="810" t="s">
        <v>16</v>
      </c>
      <c r="L886" s="821">
        <v>1</v>
      </c>
      <c r="M886" s="637">
        <v>142</v>
      </c>
      <c r="N886" s="637">
        <v>609.75</v>
      </c>
      <c r="O886" s="821">
        <v>1</v>
      </c>
      <c r="P886" s="637">
        <v>142</v>
      </c>
      <c r="Q886" s="637">
        <v>609.75</v>
      </c>
      <c r="R886" s="813" t="s">
        <v>172</v>
      </c>
      <c r="T886" s="815" t="s">
        <v>172</v>
      </c>
      <c r="U886" s="899" t="s">
        <v>1219</v>
      </c>
    </row>
    <row r="887" spans="1:21" x14ac:dyDescent="0.25">
      <c r="A887" s="813">
        <v>1225</v>
      </c>
      <c r="B887" s="813" t="s">
        <v>367</v>
      </c>
      <c r="C887" s="813" t="s">
        <v>926</v>
      </c>
      <c r="D887" s="813" t="s">
        <v>14</v>
      </c>
      <c r="E887" s="813" t="s">
        <v>14</v>
      </c>
      <c r="F887" s="813" t="s">
        <v>885</v>
      </c>
      <c r="G887" s="813" t="s">
        <v>868</v>
      </c>
      <c r="H887" s="819" t="s">
        <v>35</v>
      </c>
      <c r="I887" s="820" t="s">
        <v>20</v>
      </c>
      <c r="J887" s="820" t="s">
        <v>428</v>
      </c>
      <c r="L887" s="821">
        <v>94</v>
      </c>
      <c r="M887" s="637">
        <v>12619</v>
      </c>
      <c r="N887" s="637">
        <v>71127.5</v>
      </c>
      <c r="O887" s="821">
        <v>88</v>
      </c>
      <c r="P887" s="637">
        <v>12338</v>
      </c>
      <c r="Q887" s="637">
        <v>69632.75</v>
      </c>
      <c r="R887" s="813" t="s">
        <v>172</v>
      </c>
      <c r="T887" s="815" t="s">
        <v>172</v>
      </c>
      <c r="U887" s="900" t="s">
        <v>1220</v>
      </c>
    </row>
    <row r="888" spans="1:21" x14ac:dyDescent="0.25">
      <c r="A888" s="813">
        <v>1226</v>
      </c>
      <c r="B888" s="813" t="s">
        <v>367</v>
      </c>
      <c r="C888" s="813" t="s">
        <v>926</v>
      </c>
      <c r="D888" s="813" t="s">
        <v>14</v>
      </c>
      <c r="E888" s="813" t="s">
        <v>14</v>
      </c>
      <c r="F888" s="813" t="s">
        <v>1011</v>
      </c>
      <c r="G888" s="813" t="s">
        <v>933</v>
      </c>
      <c r="H888" s="819" t="s">
        <v>37</v>
      </c>
      <c r="I888" s="820" t="s">
        <v>20</v>
      </c>
      <c r="J888" s="820" t="s">
        <v>428</v>
      </c>
      <c r="L888" s="821">
        <v>5</v>
      </c>
      <c r="M888" s="637">
        <v>1093</v>
      </c>
      <c r="N888" s="637">
        <v>14209</v>
      </c>
      <c r="O888" s="821">
        <v>5</v>
      </c>
      <c r="P888" s="637">
        <v>1093</v>
      </c>
      <c r="Q888" s="637">
        <v>14209</v>
      </c>
      <c r="R888" s="813" t="s">
        <v>172</v>
      </c>
      <c r="T888" s="815">
        <v>13</v>
      </c>
      <c r="U888" s="900" t="s">
        <v>1220</v>
      </c>
    </row>
    <row r="889" spans="1:21" x14ac:dyDescent="0.25">
      <c r="A889" s="813">
        <v>1227</v>
      </c>
      <c r="B889" s="813" t="s">
        <v>367</v>
      </c>
      <c r="C889" s="813" t="s">
        <v>926</v>
      </c>
      <c r="D889" s="813" t="s">
        <v>14</v>
      </c>
      <c r="E889" s="813" t="s">
        <v>14</v>
      </c>
      <c r="F889" s="813" t="s">
        <v>889</v>
      </c>
      <c r="H889" s="819" t="s">
        <v>39</v>
      </c>
      <c r="I889" s="820" t="s">
        <v>20</v>
      </c>
      <c r="J889" s="820" t="s">
        <v>428</v>
      </c>
      <c r="L889" s="821">
        <v>8</v>
      </c>
      <c r="M889" s="637">
        <v>8</v>
      </c>
      <c r="N889" s="637">
        <v>8</v>
      </c>
      <c r="O889" s="821">
        <v>8</v>
      </c>
      <c r="P889" s="637">
        <v>8</v>
      </c>
      <c r="Q889" s="637">
        <v>8</v>
      </c>
      <c r="R889" s="806" t="s">
        <v>507</v>
      </c>
      <c r="T889" s="815" t="s">
        <v>172</v>
      </c>
      <c r="U889" s="900" t="s">
        <v>1220</v>
      </c>
    </row>
    <row r="890" spans="1:21" x14ac:dyDescent="0.25">
      <c r="A890" s="813">
        <v>1228</v>
      </c>
      <c r="B890" s="813" t="s">
        <v>367</v>
      </c>
      <c r="C890" s="813" t="s">
        <v>926</v>
      </c>
      <c r="D890" s="813" t="s">
        <v>14</v>
      </c>
      <c r="E890" s="813" t="s">
        <v>14</v>
      </c>
      <c r="F890" s="813" t="s">
        <v>869</v>
      </c>
      <c r="H890" s="819" t="s">
        <v>39</v>
      </c>
      <c r="I890" s="820" t="s">
        <v>20</v>
      </c>
      <c r="J890" s="820" t="s">
        <v>428</v>
      </c>
      <c r="L890" s="821">
        <v>49</v>
      </c>
      <c r="M890" s="637">
        <v>49</v>
      </c>
      <c r="N890" s="637">
        <v>49</v>
      </c>
      <c r="O890" s="821">
        <v>47</v>
      </c>
      <c r="P890" s="637">
        <v>47</v>
      </c>
      <c r="Q890" s="637">
        <v>47</v>
      </c>
      <c r="R890" s="806" t="s">
        <v>507</v>
      </c>
      <c r="T890" s="815" t="s">
        <v>172</v>
      </c>
      <c r="U890" s="900" t="s">
        <v>1220</v>
      </c>
    </row>
    <row r="891" spans="1:21" x14ac:dyDescent="0.25">
      <c r="A891" s="813">
        <v>1229</v>
      </c>
      <c r="B891" s="813" t="s">
        <v>367</v>
      </c>
      <c r="C891" s="813" t="s">
        <v>926</v>
      </c>
      <c r="D891" s="813" t="s">
        <v>14</v>
      </c>
      <c r="E891" s="813" t="s">
        <v>14</v>
      </c>
      <c r="F891" s="813" t="s">
        <v>1112</v>
      </c>
      <c r="H891" s="819" t="s">
        <v>39</v>
      </c>
      <c r="I891" s="820" t="s">
        <v>20</v>
      </c>
      <c r="J891" s="820" t="s">
        <v>428</v>
      </c>
      <c r="L891" s="821">
        <v>1</v>
      </c>
      <c r="M891" s="637">
        <v>1</v>
      </c>
      <c r="N891" s="637">
        <v>1</v>
      </c>
      <c r="O891" s="821">
        <v>1</v>
      </c>
      <c r="P891" s="637">
        <v>1</v>
      </c>
      <c r="Q891" s="637">
        <v>1</v>
      </c>
      <c r="R891" s="813" t="s">
        <v>529</v>
      </c>
      <c r="T891" s="815" t="s">
        <v>172</v>
      </c>
      <c r="U891" s="900" t="s">
        <v>1220</v>
      </c>
    </row>
    <row r="892" spans="1:21" x14ac:dyDescent="0.25">
      <c r="A892" s="813">
        <v>1230</v>
      </c>
      <c r="B892" s="813" t="s">
        <v>367</v>
      </c>
      <c r="C892" s="813" t="s">
        <v>926</v>
      </c>
      <c r="D892" s="813" t="s">
        <v>14</v>
      </c>
      <c r="E892" s="813" t="s">
        <v>14</v>
      </c>
      <c r="F892" s="813" t="s">
        <v>875</v>
      </c>
      <c r="H892" s="819" t="s">
        <v>39</v>
      </c>
      <c r="I892" s="820" t="s">
        <v>20</v>
      </c>
      <c r="J892" s="820" t="s">
        <v>428</v>
      </c>
      <c r="L892" s="821">
        <v>53</v>
      </c>
      <c r="M892" s="637">
        <v>83</v>
      </c>
      <c r="N892" s="637">
        <v>83</v>
      </c>
      <c r="O892" s="821">
        <v>52</v>
      </c>
      <c r="P892" s="637">
        <v>82</v>
      </c>
      <c r="Q892" s="637">
        <v>82</v>
      </c>
      <c r="R892" s="806" t="s">
        <v>507</v>
      </c>
      <c r="T892" s="815" t="s">
        <v>172</v>
      </c>
      <c r="U892" s="900" t="s">
        <v>1220</v>
      </c>
    </row>
    <row r="893" spans="1:21" x14ac:dyDescent="0.25">
      <c r="A893" s="813">
        <v>1235</v>
      </c>
      <c r="B893" s="813" t="s">
        <v>367</v>
      </c>
      <c r="C893" s="813" t="s">
        <v>861</v>
      </c>
      <c r="D893" s="813" t="s">
        <v>14</v>
      </c>
      <c r="E893" s="813" t="s">
        <v>15</v>
      </c>
      <c r="F893" s="813" t="s">
        <v>862</v>
      </c>
      <c r="G893" s="813" t="s">
        <v>863</v>
      </c>
      <c r="H893" s="819" t="s">
        <v>18</v>
      </c>
      <c r="I893" s="820" t="s">
        <v>15</v>
      </c>
      <c r="J893" s="820" t="s">
        <v>421</v>
      </c>
      <c r="L893" s="821">
        <v>49</v>
      </c>
      <c r="M893" s="637">
        <v>11864</v>
      </c>
      <c r="N893" s="637">
        <v>54709.75</v>
      </c>
      <c r="O893" s="821">
        <v>48</v>
      </c>
      <c r="P893" s="637">
        <v>11840</v>
      </c>
      <c r="Q893" s="637">
        <v>54424</v>
      </c>
      <c r="R893" s="813" t="s">
        <v>172</v>
      </c>
      <c r="T893" s="815" t="s">
        <v>172</v>
      </c>
      <c r="U893" s="900" t="s">
        <v>1220</v>
      </c>
    </row>
    <row r="894" spans="1:21" x14ac:dyDescent="0.25">
      <c r="A894" s="813">
        <v>1236</v>
      </c>
      <c r="B894" s="813" t="s">
        <v>367</v>
      </c>
      <c r="C894" s="813" t="s">
        <v>927</v>
      </c>
      <c r="D894" s="813" t="s">
        <v>14</v>
      </c>
      <c r="E894" s="813" t="s">
        <v>14</v>
      </c>
      <c r="F894" s="813" t="s">
        <v>869</v>
      </c>
      <c r="H894" s="819" t="s">
        <v>39</v>
      </c>
      <c r="I894" s="820" t="s">
        <v>20</v>
      </c>
      <c r="J894" s="820" t="s">
        <v>428</v>
      </c>
      <c r="L894" s="821">
        <v>12</v>
      </c>
      <c r="M894" s="637">
        <v>12</v>
      </c>
      <c r="N894" s="637">
        <v>12</v>
      </c>
      <c r="O894" s="821">
        <v>11</v>
      </c>
      <c r="P894" s="637">
        <v>11</v>
      </c>
      <c r="Q894" s="637">
        <v>11</v>
      </c>
      <c r="R894" s="806" t="s">
        <v>507</v>
      </c>
      <c r="T894" s="815" t="s">
        <v>172</v>
      </c>
      <c r="U894" s="900" t="s">
        <v>1220</v>
      </c>
    </row>
    <row r="895" spans="1:21" x14ac:dyDescent="0.25">
      <c r="A895" s="813">
        <v>1237</v>
      </c>
      <c r="B895" s="813" t="s">
        <v>367</v>
      </c>
      <c r="C895" s="813" t="s">
        <v>927</v>
      </c>
      <c r="D895" s="813" t="s">
        <v>14</v>
      </c>
      <c r="E895" s="813" t="s">
        <v>14</v>
      </c>
      <c r="F895" s="813" t="s">
        <v>875</v>
      </c>
      <c r="H895" s="819" t="s">
        <v>39</v>
      </c>
      <c r="I895" s="820" t="s">
        <v>20</v>
      </c>
      <c r="J895" s="820" t="s">
        <v>428</v>
      </c>
      <c r="L895" s="821">
        <v>6</v>
      </c>
      <c r="M895" s="637">
        <v>9</v>
      </c>
      <c r="N895" s="637">
        <v>9</v>
      </c>
      <c r="O895" s="821">
        <v>6</v>
      </c>
      <c r="P895" s="637">
        <v>9</v>
      </c>
      <c r="Q895" s="637">
        <v>9</v>
      </c>
      <c r="R895" s="806" t="s">
        <v>507</v>
      </c>
      <c r="T895" s="815" t="s">
        <v>172</v>
      </c>
      <c r="U895" s="900" t="s">
        <v>1220</v>
      </c>
    </row>
    <row r="896" spans="1:21" x14ac:dyDescent="0.25">
      <c r="A896" s="813">
        <v>1238</v>
      </c>
      <c r="B896" s="813" t="s">
        <v>367</v>
      </c>
      <c r="C896" s="813" t="s">
        <v>927</v>
      </c>
      <c r="D896" s="813" t="s">
        <v>14</v>
      </c>
      <c r="E896" s="813" t="s">
        <v>14</v>
      </c>
      <c r="F896" s="813" t="s">
        <v>868</v>
      </c>
      <c r="G896" s="813" t="s">
        <v>868</v>
      </c>
      <c r="H896" s="819" t="s">
        <v>35</v>
      </c>
      <c r="I896" s="820" t="s">
        <v>20</v>
      </c>
      <c r="J896" s="820" t="s">
        <v>428</v>
      </c>
      <c r="L896" s="821">
        <v>17</v>
      </c>
      <c r="M896" s="637">
        <v>1833</v>
      </c>
      <c r="N896" s="637">
        <v>9339.75</v>
      </c>
      <c r="O896" s="821">
        <v>14</v>
      </c>
      <c r="P896" s="637">
        <v>1775</v>
      </c>
      <c r="Q896" s="637">
        <v>8953.5</v>
      </c>
      <c r="R896" s="813" t="s">
        <v>172</v>
      </c>
      <c r="T896" s="815" t="s">
        <v>172</v>
      </c>
      <c r="U896" s="900" t="s">
        <v>1220</v>
      </c>
    </row>
    <row r="897" spans="1:21" x14ac:dyDescent="0.25">
      <c r="A897" s="813">
        <v>1239</v>
      </c>
      <c r="B897" s="813" t="s">
        <v>367</v>
      </c>
      <c r="C897" s="813" t="s">
        <v>927</v>
      </c>
      <c r="D897" s="813" t="s">
        <v>14</v>
      </c>
      <c r="E897" s="813" t="s">
        <v>14</v>
      </c>
      <c r="F897" s="813" t="s">
        <v>933</v>
      </c>
      <c r="G897" s="813" t="s">
        <v>933</v>
      </c>
      <c r="H897" s="819" t="s">
        <v>37</v>
      </c>
      <c r="I897" s="820" t="s">
        <v>20</v>
      </c>
      <c r="J897" s="820" t="s">
        <v>428</v>
      </c>
      <c r="L897" s="821">
        <v>2</v>
      </c>
      <c r="M897" s="637">
        <v>93</v>
      </c>
      <c r="N897" s="637">
        <v>1209</v>
      </c>
      <c r="O897" s="821">
        <v>2</v>
      </c>
      <c r="P897" s="637">
        <v>93</v>
      </c>
      <c r="Q897" s="637">
        <v>1209</v>
      </c>
      <c r="R897" s="813" t="s">
        <v>172</v>
      </c>
      <c r="T897" s="815">
        <v>13</v>
      </c>
      <c r="U897" s="900" t="s">
        <v>1220</v>
      </c>
    </row>
    <row r="898" spans="1:21" x14ac:dyDescent="0.25">
      <c r="A898" s="813">
        <v>1242</v>
      </c>
      <c r="B898" s="813" t="s">
        <v>367</v>
      </c>
      <c r="C898" s="813" t="s">
        <v>928</v>
      </c>
      <c r="D898" s="813" t="s">
        <v>14</v>
      </c>
      <c r="E898" s="813" t="s">
        <v>15</v>
      </c>
      <c r="F898" s="813" t="s">
        <v>863</v>
      </c>
      <c r="G898" s="813" t="s">
        <v>863</v>
      </c>
      <c r="H898" s="819" t="s">
        <v>18</v>
      </c>
      <c r="I898" s="820" t="s">
        <v>15</v>
      </c>
      <c r="J898" s="820" t="s">
        <v>421</v>
      </c>
      <c r="L898" s="821">
        <v>12</v>
      </c>
      <c r="M898" s="637">
        <v>2473</v>
      </c>
      <c r="N898" s="637">
        <v>12336</v>
      </c>
      <c r="O898" s="821">
        <v>12</v>
      </c>
      <c r="P898" s="637">
        <v>2473</v>
      </c>
      <c r="Q898" s="637">
        <v>12336</v>
      </c>
      <c r="R898" s="813" t="s">
        <v>172</v>
      </c>
      <c r="T898" s="815" t="s">
        <v>172</v>
      </c>
      <c r="U898" s="900" t="s">
        <v>1220</v>
      </c>
    </row>
    <row r="899" spans="1:21" x14ac:dyDescent="0.25">
      <c r="A899" s="813">
        <v>1245</v>
      </c>
      <c r="B899" s="813" t="s">
        <v>367</v>
      </c>
      <c r="C899" s="813" t="s">
        <v>930</v>
      </c>
      <c r="D899" s="813" t="s">
        <v>14</v>
      </c>
      <c r="E899" s="813" t="s">
        <v>15</v>
      </c>
      <c r="F899" s="813" t="s">
        <v>898</v>
      </c>
      <c r="G899" s="813" t="s">
        <v>863</v>
      </c>
      <c r="H899" s="819" t="s">
        <v>18</v>
      </c>
      <c r="I899" s="820" t="s">
        <v>15</v>
      </c>
      <c r="J899" s="820" t="s">
        <v>421</v>
      </c>
      <c r="L899" s="821">
        <v>3</v>
      </c>
      <c r="M899" s="637">
        <v>383</v>
      </c>
      <c r="N899" s="637">
        <v>2323.25</v>
      </c>
      <c r="O899" s="821">
        <v>3</v>
      </c>
      <c r="P899" s="637">
        <v>383</v>
      </c>
      <c r="Q899" s="637">
        <v>2323.25</v>
      </c>
      <c r="R899" s="813" t="s">
        <v>172</v>
      </c>
      <c r="T899" s="815" t="s">
        <v>172</v>
      </c>
      <c r="U899" s="900" t="s">
        <v>1220</v>
      </c>
    </row>
    <row r="900" spans="1:21" x14ac:dyDescent="0.25">
      <c r="A900" s="813">
        <v>1246</v>
      </c>
      <c r="B900" s="813" t="s">
        <v>367</v>
      </c>
      <c r="C900" s="813" t="s">
        <v>931</v>
      </c>
      <c r="D900" s="813" t="s">
        <v>14</v>
      </c>
      <c r="E900" s="813" t="s">
        <v>14</v>
      </c>
      <c r="F900" s="813" t="s">
        <v>867</v>
      </c>
      <c r="G900" s="813" t="s">
        <v>868</v>
      </c>
      <c r="H900" s="819" t="s">
        <v>35</v>
      </c>
      <c r="I900" s="820" t="s">
        <v>20</v>
      </c>
      <c r="J900" s="820" t="s">
        <v>428</v>
      </c>
      <c r="L900" s="821">
        <v>2</v>
      </c>
      <c r="M900" s="637">
        <v>97</v>
      </c>
      <c r="N900" s="637">
        <v>543</v>
      </c>
      <c r="O900" s="821">
        <v>2</v>
      </c>
      <c r="P900" s="637">
        <v>97</v>
      </c>
      <c r="Q900" s="637">
        <v>543</v>
      </c>
      <c r="R900" s="813" t="s">
        <v>172</v>
      </c>
      <c r="T900" s="815" t="s">
        <v>172</v>
      </c>
      <c r="U900" s="900" t="s">
        <v>1220</v>
      </c>
    </row>
    <row r="901" spans="1:21" x14ac:dyDescent="0.25">
      <c r="A901" s="813">
        <v>1247</v>
      </c>
      <c r="B901" s="813" t="s">
        <v>367</v>
      </c>
      <c r="C901" s="813" t="s">
        <v>931</v>
      </c>
      <c r="D901" s="813" t="s">
        <v>14</v>
      </c>
      <c r="E901" s="813" t="s">
        <v>14</v>
      </c>
      <c r="F901" s="813" t="s">
        <v>869</v>
      </c>
      <c r="H901" s="819" t="s">
        <v>39</v>
      </c>
      <c r="I901" s="820" t="s">
        <v>20</v>
      </c>
      <c r="J901" s="820" t="s">
        <v>428</v>
      </c>
      <c r="L901" s="821">
        <v>2</v>
      </c>
      <c r="M901" s="637">
        <v>2</v>
      </c>
      <c r="N901" s="637">
        <v>2</v>
      </c>
      <c r="O901" s="821">
        <v>2</v>
      </c>
      <c r="P901" s="637">
        <v>2</v>
      </c>
      <c r="Q901" s="637">
        <v>2</v>
      </c>
      <c r="R901" s="806" t="s">
        <v>507</v>
      </c>
      <c r="T901" s="815" t="s">
        <v>172</v>
      </c>
      <c r="U901" s="900" t="s">
        <v>1220</v>
      </c>
    </row>
    <row r="902" spans="1:21" x14ac:dyDescent="0.25">
      <c r="A902" s="813">
        <v>1252</v>
      </c>
      <c r="B902" s="813" t="s">
        <v>367</v>
      </c>
      <c r="C902" s="813" t="s">
        <v>864</v>
      </c>
      <c r="D902" s="813" t="s">
        <v>16</v>
      </c>
      <c r="E902" s="813" t="s">
        <v>15</v>
      </c>
      <c r="F902" s="813" t="s">
        <v>865</v>
      </c>
      <c r="G902" s="813" t="s">
        <v>863</v>
      </c>
      <c r="H902" s="819" t="s">
        <v>18</v>
      </c>
      <c r="I902" s="820" t="s">
        <v>15</v>
      </c>
      <c r="J902" s="820" t="s">
        <v>421</v>
      </c>
      <c r="L902" s="821">
        <v>30</v>
      </c>
      <c r="M902" s="637">
        <v>6190</v>
      </c>
      <c r="N902" s="637">
        <v>36430.5</v>
      </c>
      <c r="O902" s="821">
        <v>27</v>
      </c>
      <c r="P902" s="637">
        <v>6108</v>
      </c>
      <c r="Q902" s="637">
        <v>35667.75</v>
      </c>
      <c r="R902" s="813" t="s">
        <v>172</v>
      </c>
      <c r="T902" s="815" t="s">
        <v>172</v>
      </c>
      <c r="U902" s="900" t="s">
        <v>1220</v>
      </c>
    </row>
    <row r="903" spans="1:21" x14ac:dyDescent="0.25">
      <c r="A903" s="813">
        <v>1253</v>
      </c>
      <c r="B903" s="813" t="s">
        <v>367</v>
      </c>
      <c r="C903" s="813" t="s">
        <v>864</v>
      </c>
      <c r="D903" s="813" t="s">
        <v>16</v>
      </c>
      <c r="E903" s="813" t="s">
        <v>15</v>
      </c>
      <c r="F903" s="813" t="s">
        <v>1013</v>
      </c>
      <c r="G903" s="813" t="s">
        <v>934</v>
      </c>
      <c r="H903" s="819" t="s">
        <v>43</v>
      </c>
      <c r="I903" s="820" t="s">
        <v>15</v>
      </c>
      <c r="J903" s="820" t="s">
        <v>421</v>
      </c>
      <c r="L903" s="821">
        <v>2</v>
      </c>
      <c r="M903" s="637">
        <v>495</v>
      </c>
      <c r="N903" s="637">
        <v>6435</v>
      </c>
      <c r="O903" s="821">
        <v>2</v>
      </c>
      <c r="P903" s="637">
        <v>495</v>
      </c>
      <c r="Q903" s="637">
        <v>6435</v>
      </c>
      <c r="R903" s="813" t="s">
        <v>172</v>
      </c>
      <c r="T903" s="815">
        <v>13</v>
      </c>
      <c r="U903" s="900" t="s">
        <v>1220</v>
      </c>
    </row>
    <row r="904" spans="1:21" x14ac:dyDescent="0.25">
      <c r="A904" s="813">
        <v>1254</v>
      </c>
      <c r="B904" s="813" t="s">
        <v>367</v>
      </c>
      <c r="C904" s="813" t="s">
        <v>866</v>
      </c>
      <c r="D904" s="813" t="s">
        <v>16</v>
      </c>
      <c r="E904" s="813" t="s">
        <v>14</v>
      </c>
      <c r="F904" s="813" t="s">
        <v>867</v>
      </c>
      <c r="G904" s="813" t="s">
        <v>868</v>
      </c>
      <c r="H904" s="819" t="s">
        <v>35</v>
      </c>
      <c r="I904" s="820" t="s">
        <v>20</v>
      </c>
      <c r="J904" s="820" t="s">
        <v>428</v>
      </c>
      <c r="L904" s="821">
        <v>21</v>
      </c>
      <c r="M904" s="637">
        <v>3155</v>
      </c>
      <c r="N904" s="637">
        <v>19337.25</v>
      </c>
      <c r="O904" s="821">
        <v>19</v>
      </c>
      <c r="P904" s="637">
        <v>3096</v>
      </c>
      <c r="Q904" s="637">
        <v>18900.25</v>
      </c>
      <c r="R904" s="813" t="s">
        <v>172</v>
      </c>
      <c r="T904" s="815" t="s">
        <v>172</v>
      </c>
      <c r="U904" s="900" t="s">
        <v>1220</v>
      </c>
    </row>
    <row r="905" spans="1:21" x14ac:dyDescent="0.25">
      <c r="A905" s="813">
        <v>1255</v>
      </c>
      <c r="B905" s="813" t="s">
        <v>367</v>
      </c>
      <c r="C905" s="813" t="s">
        <v>866</v>
      </c>
      <c r="D905" s="813" t="s">
        <v>16</v>
      </c>
      <c r="E905" s="813" t="s">
        <v>14</v>
      </c>
      <c r="F905" s="813" t="s">
        <v>932</v>
      </c>
      <c r="G905" s="813" t="s">
        <v>933</v>
      </c>
      <c r="H905" s="819" t="s">
        <v>37</v>
      </c>
      <c r="I905" s="820" t="s">
        <v>20</v>
      </c>
      <c r="J905" s="820" t="s">
        <v>428</v>
      </c>
      <c r="L905" s="821">
        <v>1</v>
      </c>
      <c r="M905" s="637">
        <v>98</v>
      </c>
      <c r="N905" s="637">
        <v>1274</v>
      </c>
      <c r="O905" s="821">
        <v>0</v>
      </c>
      <c r="P905" s="637">
        <v>0</v>
      </c>
      <c r="Q905" s="637">
        <v>0</v>
      </c>
      <c r="R905" s="813" t="s">
        <v>172</v>
      </c>
      <c r="T905" s="815" t="e">
        <v>#DIV/0!</v>
      </c>
      <c r="U905" s="900" t="s">
        <v>1220</v>
      </c>
    </row>
    <row r="906" spans="1:21" x14ac:dyDescent="0.25">
      <c r="A906" s="813">
        <v>1256</v>
      </c>
      <c r="B906" s="813" t="s">
        <v>367</v>
      </c>
      <c r="C906" s="813" t="s">
        <v>866</v>
      </c>
      <c r="D906" s="813" t="s">
        <v>16</v>
      </c>
      <c r="E906" s="813" t="s">
        <v>14</v>
      </c>
      <c r="F906" s="813" t="s">
        <v>889</v>
      </c>
      <c r="H906" s="819" t="s">
        <v>39</v>
      </c>
      <c r="I906" s="820" t="s">
        <v>20</v>
      </c>
      <c r="J906" s="820" t="s">
        <v>428</v>
      </c>
      <c r="L906" s="821">
        <v>2</v>
      </c>
      <c r="M906" s="637">
        <v>2</v>
      </c>
      <c r="N906" s="637">
        <v>2</v>
      </c>
      <c r="O906" s="821">
        <v>2</v>
      </c>
      <c r="P906" s="637">
        <v>2</v>
      </c>
      <c r="Q906" s="637">
        <v>2</v>
      </c>
      <c r="R906" s="806" t="s">
        <v>507</v>
      </c>
      <c r="T906" s="815" t="s">
        <v>172</v>
      </c>
      <c r="U906" s="900" t="s">
        <v>1220</v>
      </c>
    </row>
    <row r="907" spans="1:21" x14ac:dyDescent="0.25">
      <c r="A907" s="813">
        <v>1257</v>
      </c>
      <c r="B907" s="813" t="s">
        <v>367</v>
      </c>
      <c r="C907" s="813" t="s">
        <v>866</v>
      </c>
      <c r="D907" s="813" t="s">
        <v>16</v>
      </c>
      <c r="E907" s="813" t="s">
        <v>14</v>
      </c>
      <c r="F907" s="813" t="s">
        <v>869</v>
      </c>
      <c r="H907" s="819" t="s">
        <v>39</v>
      </c>
      <c r="I907" s="820" t="s">
        <v>20</v>
      </c>
      <c r="J907" s="820" t="s">
        <v>428</v>
      </c>
      <c r="L907" s="821">
        <v>9</v>
      </c>
      <c r="M907" s="637">
        <v>9</v>
      </c>
      <c r="N907" s="637">
        <v>9</v>
      </c>
      <c r="O907" s="821">
        <v>7</v>
      </c>
      <c r="P907" s="637">
        <v>7</v>
      </c>
      <c r="Q907" s="637">
        <v>7</v>
      </c>
      <c r="R907" s="806" t="s">
        <v>507</v>
      </c>
      <c r="T907" s="815" t="s">
        <v>172</v>
      </c>
      <c r="U907" s="900" t="s">
        <v>1220</v>
      </c>
    </row>
    <row r="908" spans="1:21" x14ac:dyDescent="0.25">
      <c r="A908" s="813">
        <v>1258</v>
      </c>
      <c r="B908" s="813" t="s">
        <v>367</v>
      </c>
      <c r="C908" s="813" t="s">
        <v>866</v>
      </c>
      <c r="D908" s="813" t="s">
        <v>16</v>
      </c>
      <c r="E908" s="813" t="s">
        <v>14</v>
      </c>
      <c r="F908" s="813" t="s">
        <v>875</v>
      </c>
      <c r="H908" s="819" t="s">
        <v>39</v>
      </c>
      <c r="I908" s="820" t="s">
        <v>20</v>
      </c>
      <c r="J908" s="820" t="s">
        <v>428</v>
      </c>
      <c r="L908" s="821">
        <v>11</v>
      </c>
      <c r="M908" s="637">
        <v>19</v>
      </c>
      <c r="N908" s="637">
        <v>19</v>
      </c>
      <c r="O908" s="821">
        <v>11</v>
      </c>
      <c r="P908" s="637">
        <v>19</v>
      </c>
      <c r="Q908" s="637">
        <v>19</v>
      </c>
      <c r="R908" s="806" t="s">
        <v>507</v>
      </c>
      <c r="T908" s="815" t="s">
        <v>172</v>
      </c>
      <c r="U908" s="900" t="s">
        <v>1220</v>
      </c>
    </row>
    <row r="909" spans="1:21" x14ac:dyDescent="0.25">
      <c r="A909" s="813">
        <v>1259</v>
      </c>
      <c r="B909" s="813" t="s">
        <v>367</v>
      </c>
      <c r="C909" s="813" t="s">
        <v>465</v>
      </c>
      <c r="D909" s="813" t="s">
        <v>13</v>
      </c>
      <c r="E909" s="813" t="s">
        <v>13</v>
      </c>
      <c r="F909" s="813" t="s">
        <v>872</v>
      </c>
      <c r="G909" s="813" t="s">
        <v>873</v>
      </c>
      <c r="H909" s="819" t="s">
        <v>391</v>
      </c>
      <c r="I909" s="820" t="s">
        <v>20</v>
      </c>
      <c r="J909" s="820" t="s">
        <v>16</v>
      </c>
      <c r="K909" s="813" t="s">
        <v>13</v>
      </c>
      <c r="L909" s="821">
        <v>9</v>
      </c>
      <c r="M909" s="637">
        <v>439</v>
      </c>
      <c r="N909" s="637">
        <v>2399.75</v>
      </c>
      <c r="O909" s="821">
        <v>8</v>
      </c>
      <c r="P909" s="637">
        <v>419</v>
      </c>
      <c r="Q909" s="637">
        <v>2288.25</v>
      </c>
      <c r="R909" s="813" t="s">
        <v>172</v>
      </c>
      <c r="T909" s="815" t="s">
        <v>172</v>
      </c>
      <c r="U909" s="899" t="s">
        <v>1219</v>
      </c>
    </row>
    <row r="910" spans="1:21" x14ac:dyDescent="0.25">
      <c r="A910" s="813">
        <v>1260</v>
      </c>
      <c r="B910" s="813" t="s">
        <v>367</v>
      </c>
      <c r="C910" s="813" t="s">
        <v>465</v>
      </c>
      <c r="D910" s="813" t="s">
        <v>13</v>
      </c>
      <c r="E910" s="813" t="s">
        <v>13</v>
      </c>
      <c r="F910" s="813" t="s">
        <v>877</v>
      </c>
      <c r="H910" s="819" t="s">
        <v>391</v>
      </c>
      <c r="I910" s="820" t="s">
        <v>20</v>
      </c>
      <c r="J910" s="820" t="s">
        <v>16</v>
      </c>
      <c r="K910" s="813" t="s">
        <v>13</v>
      </c>
      <c r="L910" s="821">
        <v>24</v>
      </c>
      <c r="M910" s="637">
        <v>1364</v>
      </c>
      <c r="N910" s="637">
        <v>6228.5</v>
      </c>
      <c r="O910" s="821">
        <v>22</v>
      </c>
      <c r="P910" s="637">
        <v>1306</v>
      </c>
      <c r="Q910" s="637">
        <v>6019.75</v>
      </c>
      <c r="R910" s="813" t="s">
        <v>172</v>
      </c>
      <c r="T910" s="815" t="s">
        <v>172</v>
      </c>
      <c r="U910" s="899" t="s">
        <v>1219</v>
      </c>
    </row>
    <row r="911" spans="1:21" x14ac:dyDescent="0.25">
      <c r="A911" s="813">
        <v>1261</v>
      </c>
      <c r="B911" s="813" t="s">
        <v>367</v>
      </c>
      <c r="C911" s="813" t="s">
        <v>465</v>
      </c>
      <c r="D911" s="813" t="s">
        <v>13</v>
      </c>
      <c r="E911" s="813" t="s">
        <v>13</v>
      </c>
      <c r="F911" s="813" t="s">
        <v>1014</v>
      </c>
      <c r="G911" s="813" t="s">
        <v>1015</v>
      </c>
      <c r="H911" s="819" t="s">
        <v>391</v>
      </c>
      <c r="I911" s="820" t="s">
        <v>20</v>
      </c>
      <c r="J911" s="820" t="s">
        <v>16</v>
      </c>
      <c r="K911" s="813" t="s">
        <v>13</v>
      </c>
      <c r="L911" s="821">
        <v>1</v>
      </c>
      <c r="M911" s="637">
        <v>4</v>
      </c>
      <c r="N911" s="637">
        <v>16</v>
      </c>
      <c r="O911" s="821">
        <v>1</v>
      </c>
      <c r="P911" s="637">
        <v>4</v>
      </c>
      <c r="Q911" s="637">
        <v>16</v>
      </c>
      <c r="R911" s="813" t="s">
        <v>172</v>
      </c>
      <c r="T911" s="815" t="s">
        <v>172</v>
      </c>
      <c r="U911" s="899" t="s">
        <v>1219</v>
      </c>
    </row>
    <row r="912" spans="1:21" x14ac:dyDescent="0.25">
      <c r="A912" s="813">
        <v>1262</v>
      </c>
      <c r="B912" s="813" t="s">
        <v>367</v>
      </c>
      <c r="C912" s="813" t="s">
        <v>874</v>
      </c>
      <c r="D912" s="813" t="s">
        <v>434</v>
      </c>
      <c r="E912" s="813" t="s">
        <v>14</v>
      </c>
      <c r="F912" s="813" t="s">
        <v>889</v>
      </c>
      <c r="H912" s="819" t="s">
        <v>39</v>
      </c>
      <c r="I912" s="820" t="s">
        <v>20</v>
      </c>
      <c r="J912" s="820" t="s">
        <v>428</v>
      </c>
      <c r="L912" s="821">
        <v>5</v>
      </c>
      <c r="M912" s="637">
        <v>6</v>
      </c>
      <c r="N912" s="637">
        <v>6</v>
      </c>
      <c r="O912" s="821">
        <v>5</v>
      </c>
      <c r="P912" s="637">
        <v>6</v>
      </c>
      <c r="Q912" s="637">
        <v>6</v>
      </c>
      <c r="R912" s="806" t="s">
        <v>507</v>
      </c>
      <c r="T912" s="815" t="s">
        <v>172</v>
      </c>
      <c r="U912" s="900" t="s">
        <v>1220</v>
      </c>
    </row>
    <row r="913" spans="1:21" x14ac:dyDescent="0.25">
      <c r="A913" s="813">
        <v>1263</v>
      </c>
      <c r="B913" s="813" t="s">
        <v>367</v>
      </c>
      <c r="C913" s="813" t="s">
        <v>874</v>
      </c>
      <c r="D913" s="813" t="s">
        <v>434</v>
      </c>
      <c r="E913" s="813" t="s">
        <v>14</v>
      </c>
      <c r="F913" s="813" t="s">
        <v>869</v>
      </c>
      <c r="H913" s="819" t="s">
        <v>39</v>
      </c>
      <c r="I913" s="820" t="s">
        <v>20</v>
      </c>
      <c r="J913" s="820" t="s">
        <v>428</v>
      </c>
      <c r="L913" s="821">
        <v>30</v>
      </c>
      <c r="M913" s="637">
        <v>30</v>
      </c>
      <c r="N913" s="637">
        <v>30</v>
      </c>
      <c r="O913" s="821">
        <v>30</v>
      </c>
      <c r="P913" s="637">
        <v>30</v>
      </c>
      <c r="Q913" s="637">
        <v>30</v>
      </c>
      <c r="R913" s="806" t="s">
        <v>507</v>
      </c>
      <c r="T913" s="815" t="s">
        <v>172</v>
      </c>
      <c r="U913" s="900" t="s">
        <v>1220</v>
      </c>
    </row>
    <row r="914" spans="1:21" x14ac:dyDescent="0.25">
      <c r="A914" s="813">
        <v>1264</v>
      </c>
      <c r="B914" s="813" t="s">
        <v>367</v>
      </c>
      <c r="C914" s="813" t="s">
        <v>874</v>
      </c>
      <c r="D914" s="813" t="s">
        <v>434</v>
      </c>
      <c r="E914" s="813" t="s">
        <v>14</v>
      </c>
      <c r="F914" s="813" t="s">
        <v>890</v>
      </c>
      <c r="G914" s="813" t="s">
        <v>891</v>
      </c>
      <c r="H914" s="819" t="s">
        <v>39</v>
      </c>
      <c r="I914" s="820" t="s">
        <v>20</v>
      </c>
      <c r="J914" s="820" t="s">
        <v>428</v>
      </c>
      <c r="L914" s="821">
        <v>13</v>
      </c>
      <c r="M914" s="637">
        <v>13</v>
      </c>
      <c r="N914" s="637">
        <v>13</v>
      </c>
      <c r="O914" s="821">
        <v>13</v>
      </c>
      <c r="P914" s="637">
        <v>13</v>
      </c>
      <c r="Q914" s="637">
        <v>13</v>
      </c>
      <c r="R914" s="813" t="s">
        <v>529</v>
      </c>
      <c r="T914" s="815" t="s">
        <v>172</v>
      </c>
      <c r="U914" s="900" t="s">
        <v>1220</v>
      </c>
    </row>
    <row r="915" spans="1:21" x14ac:dyDescent="0.25">
      <c r="A915" s="813">
        <v>1265</v>
      </c>
      <c r="B915" s="813" t="s">
        <v>367</v>
      </c>
      <c r="C915" s="813" t="s">
        <v>874</v>
      </c>
      <c r="D915" s="813" t="s">
        <v>434</v>
      </c>
      <c r="E915" s="813" t="s">
        <v>14</v>
      </c>
      <c r="F915" s="813" t="s">
        <v>875</v>
      </c>
      <c r="H915" s="819" t="s">
        <v>39</v>
      </c>
      <c r="I915" s="820" t="s">
        <v>20</v>
      </c>
      <c r="J915" s="820" t="s">
        <v>428</v>
      </c>
      <c r="L915" s="821">
        <v>33</v>
      </c>
      <c r="M915" s="637">
        <v>40</v>
      </c>
      <c r="N915" s="637">
        <v>40</v>
      </c>
      <c r="O915" s="821">
        <v>33</v>
      </c>
      <c r="P915" s="637">
        <v>40</v>
      </c>
      <c r="Q915" s="637">
        <v>40</v>
      </c>
      <c r="R915" s="806" t="s">
        <v>507</v>
      </c>
      <c r="T915" s="815" t="s">
        <v>172</v>
      </c>
      <c r="U915" s="900" t="s">
        <v>1220</v>
      </c>
    </row>
    <row r="916" spans="1:21" x14ac:dyDescent="0.25">
      <c r="A916" s="813">
        <v>1266</v>
      </c>
      <c r="B916" s="813" t="s">
        <v>367</v>
      </c>
      <c r="C916" s="813" t="s">
        <v>874</v>
      </c>
      <c r="D916" s="813" t="s">
        <v>434</v>
      </c>
      <c r="E916" s="813" t="s">
        <v>14</v>
      </c>
      <c r="F916" s="813" t="s">
        <v>892</v>
      </c>
      <c r="G916" s="813" t="s">
        <v>893</v>
      </c>
      <c r="H916" s="819" t="s">
        <v>34</v>
      </c>
      <c r="I916" s="820" t="s">
        <v>20</v>
      </c>
      <c r="J916" s="820" t="s">
        <v>428</v>
      </c>
      <c r="L916" s="821">
        <v>1</v>
      </c>
      <c r="M916" s="637">
        <v>2</v>
      </c>
      <c r="N916" s="637">
        <v>10</v>
      </c>
      <c r="O916" s="821">
        <v>1</v>
      </c>
      <c r="P916" s="637">
        <v>2</v>
      </c>
      <c r="Q916" s="637">
        <v>10</v>
      </c>
      <c r="R916" s="813" t="s">
        <v>172</v>
      </c>
      <c r="T916" s="815" t="s">
        <v>172</v>
      </c>
      <c r="U916" s="900" t="s">
        <v>1220</v>
      </c>
    </row>
    <row r="917" spans="1:21" x14ac:dyDescent="0.25">
      <c r="A917" s="813">
        <v>1267</v>
      </c>
      <c r="B917" s="813" t="s">
        <v>367</v>
      </c>
      <c r="C917" s="813" t="s">
        <v>874</v>
      </c>
      <c r="D917" s="813" t="s">
        <v>434</v>
      </c>
      <c r="E917" s="813" t="s">
        <v>14</v>
      </c>
      <c r="F917" s="813" t="s">
        <v>868</v>
      </c>
      <c r="G917" s="813" t="s">
        <v>868</v>
      </c>
      <c r="H917" s="819" t="s">
        <v>35</v>
      </c>
      <c r="I917" s="820" t="s">
        <v>20</v>
      </c>
      <c r="J917" s="820" t="s">
        <v>428</v>
      </c>
      <c r="L917" s="821">
        <v>79</v>
      </c>
      <c r="M917" s="637">
        <v>8762</v>
      </c>
      <c r="N917" s="637">
        <v>50727.75</v>
      </c>
      <c r="O917" s="821">
        <v>76</v>
      </c>
      <c r="P917" s="637">
        <v>8720</v>
      </c>
      <c r="Q917" s="637">
        <v>50552.25</v>
      </c>
      <c r="R917" s="813" t="s">
        <v>172</v>
      </c>
      <c r="T917" s="815" t="s">
        <v>172</v>
      </c>
      <c r="U917" s="900" t="s">
        <v>1220</v>
      </c>
    </row>
    <row r="918" spans="1:21" x14ac:dyDescent="0.25">
      <c r="A918" s="813">
        <v>1268</v>
      </c>
      <c r="B918" s="813" t="s">
        <v>367</v>
      </c>
      <c r="C918" s="813" t="s">
        <v>874</v>
      </c>
      <c r="D918" s="813" t="s">
        <v>434</v>
      </c>
      <c r="E918" s="813" t="s">
        <v>14</v>
      </c>
      <c r="F918" s="813" t="s">
        <v>933</v>
      </c>
      <c r="G918" s="813" t="s">
        <v>933</v>
      </c>
      <c r="H918" s="819" t="s">
        <v>37</v>
      </c>
      <c r="I918" s="820" t="s">
        <v>20</v>
      </c>
      <c r="J918" s="820" t="s">
        <v>428</v>
      </c>
      <c r="L918" s="821">
        <v>2</v>
      </c>
      <c r="M918" s="637">
        <v>105</v>
      </c>
      <c r="N918" s="637">
        <v>1365</v>
      </c>
      <c r="O918" s="821">
        <v>2</v>
      </c>
      <c r="P918" s="637">
        <v>105</v>
      </c>
      <c r="Q918" s="637">
        <v>1365</v>
      </c>
      <c r="R918" s="813" t="s">
        <v>172</v>
      </c>
      <c r="T918" s="815">
        <v>13</v>
      </c>
      <c r="U918" s="900" t="s">
        <v>1220</v>
      </c>
    </row>
    <row r="919" spans="1:21" x14ac:dyDescent="0.25">
      <c r="A919" s="813">
        <v>1271</v>
      </c>
      <c r="B919" s="813" t="s">
        <v>367</v>
      </c>
      <c r="C919" s="813" t="s">
        <v>876</v>
      </c>
      <c r="D919" s="813" t="s">
        <v>434</v>
      </c>
      <c r="E919" s="813" t="s">
        <v>15</v>
      </c>
      <c r="F919" s="813" t="s">
        <v>863</v>
      </c>
      <c r="G919" s="813" t="s">
        <v>863</v>
      </c>
      <c r="H919" s="819" t="s">
        <v>18</v>
      </c>
      <c r="I919" s="820" t="s">
        <v>15</v>
      </c>
      <c r="J919" s="820" t="s">
        <v>421</v>
      </c>
      <c r="L919" s="821">
        <v>28</v>
      </c>
      <c r="M919" s="637">
        <v>4454</v>
      </c>
      <c r="N919" s="637">
        <v>21993.5</v>
      </c>
      <c r="O919" s="821">
        <v>27</v>
      </c>
      <c r="P919" s="637">
        <v>4449</v>
      </c>
      <c r="Q919" s="637">
        <v>21955.5</v>
      </c>
      <c r="R919" s="813" t="s">
        <v>172</v>
      </c>
      <c r="T919" s="815" t="s">
        <v>172</v>
      </c>
      <c r="U919" s="900" t="s">
        <v>1220</v>
      </c>
    </row>
    <row r="920" spans="1:21" x14ac:dyDescent="0.25">
      <c r="A920" s="813">
        <v>1272</v>
      </c>
      <c r="B920" s="813" t="s">
        <v>367</v>
      </c>
      <c r="C920" s="813" t="s">
        <v>894</v>
      </c>
      <c r="D920" s="813" t="s">
        <v>14</v>
      </c>
      <c r="E920" s="813" t="s">
        <v>14</v>
      </c>
      <c r="F920" s="813" t="s">
        <v>885</v>
      </c>
      <c r="G920" s="813" t="s">
        <v>868</v>
      </c>
      <c r="H920" s="819" t="s">
        <v>35</v>
      </c>
      <c r="I920" s="820" t="s">
        <v>20</v>
      </c>
      <c r="J920" s="820" t="s">
        <v>428</v>
      </c>
      <c r="L920" s="821">
        <v>1</v>
      </c>
      <c r="M920" s="637">
        <v>1</v>
      </c>
      <c r="N920" s="637">
        <v>1</v>
      </c>
      <c r="O920" s="821">
        <v>1</v>
      </c>
      <c r="P920" s="637">
        <v>1</v>
      </c>
      <c r="Q920" s="637">
        <v>1</v>
      </c>
      <c r="R920" s="813" t="s">
        <v>172</v>
      </c>
      <c r="T920" s="815" t="s">
        <v>172</v>
      </c>
      <c r="U920" s="900" t="s">
        <v>1220</v>
      </c>
    </row>
    <row r="921" spans="1:21" x14ac:dyDescent="0.25">
      <c r="A921" s="813">
        <v>1273</v>
      </c>
      <c r="B921" s="813" t="s">
        <v>367</v>
      </c>
      <c r="C921" s="813" t="s">
        <v>894</v>
      </c>
      <c r="D921" s="813" t="s">
        <v>14</v>
      </c>
      <c r="E921" s="813" t="s">
        <v>14</v>
      </c>
      <c r="F921" s="813" t="s">
        <v>869</v>
      </c>
      <c r="G921" s="813" t="s">
        <v>895</v>
      </c>
      <c r="H921" s="819" t="s">
        <v>39</v>
      </c>
      <c r="I921" s="820" t="s">
        <v>20</v>
      </c>
      <c r="J921" s="820" t="s">
        <v>428</v>
      </c>
      <c r="L921" s="821">
        <v>4</v>
      </c>
      <c r="M921" s="637">
        <v>4</v>
      </c>
      <c r="N921" s="637">
        <v>4</v>
      </c>
      <c r="O921" s="821">
        <v>3</v>
      </c>
      <c r="P921" s="637">
        <v>3</v>
      </c>
      <c r="Q921" s="637">
        <v>3</v>
      </c>
      <c r="R921" s="806" t="s">
        <v>507</v>
      </c>
      <c r="T921" s="815" t="s">
        <v>172</v>
      </c>
      <c r="U921" s="900" t="s">
        <v>1220</v>
      </c>
    </row>
    <row r="922" spans="1:21" x14ac:dyDescent="0.25">
      <c r="A922" s="813">
        <v>1274</v>
      </c>
      <c r="B922" s="813" t="s">
        <v>367</v>
      </c>
      <c r="C922" s="813" t="s">
        <v>894</v>
      </c>
      <c r="D922" s="813" t="s">
        <v>14</v>
      </c>
      <c r="E922" s="813" t="s">
        <v>14</v>
      </c>
      <c r="F922" s="813" t="s">
        <v>896</v>
      </c>
      <c r="G922" s="813" t="s">
        <v>895</v>
      </c>
      <c r="H922" s="819" t="s">
        <v>39</v>
      </c>
      <c r="I922" s="820" t="s">
        <v>20</v>
      </c>
      <c r="J922" s="820" t="s">
        <v>428</v>
      </c>
      <c r="L922" s="821">
        <v>12</v>
      </c>
      <c r="M922" s="637">
        <v>12</v>
      </c>
      <c r="N922" s="637">
        <v>12</v>
      </c>
      <c r="O922" s="821">
        <v>11</v>
      </c>
      <c r="P922" s="637">
        <v>11</v>
      </c>
      <c r="Q922" s="637">
        <v>11</v>
      </c>
      <c r="R922" s="813" t="s">
        <v>529</v>
      </c>
      <c r="T922" s="815" t="s">
        <v>172</v>
      </c>
      <c r="U922" s="900" t="s">
        <v>1220</v>
      </c>
    </row>
    <row r="923" spans="1:21" x14ac:dyDescent="0.25">
      <c r="A923" s="813">
        <v>1276</v>
      </c>
      <c r="B923" s="813" t="s">
        <v>367</v>
      </c>
      <c r="C923" s="813" t="s">
        <v>935</v>
      </c>
      <c r="D923" s="813" t="s">
        <v>495</v>
      </c>
      <c r="E923" s="813" t="s">
        <v>15</v>
      </c>
      <c r="F923" s="813" t="s">
        <v>936</v>
      </c>
      <c r="G923" s="813" t="s">
        <v>863</v>
      </c>
      <c r="H923" s="819" t="s">
        <v>18</v>
      </c>
      <c r="I923" s="820" t="s">
        <v>15</v>
      </c>
      <c r="J923" s="820" t="s">
        <v>421</v>
      </c>
      <c r="L923" s="821">
        <v>1</v>
      </c>
      <c r="M923" s="637">
        <v>366</v>
      </c>
      <c r="N923" s="637">
        <v>1097.75</v>
      </c>
      <c r="O923" s="821">
        <v>1</v>
      </c>
      <c r="P923" s="637">
        <v>366</v>
      </c>
      <c r="Q923" s="637">
        <v>1097.75</v>
      </c>
      <c r="R923" s="813" t="s">
        <v>172</v>
      </c>
      <c r="T923" s="815" t="s">
        <v>172</v>
      </c>
      <c r="U923" s="900" t="s">
        <v>1220</v>
      </c>
    </row>
    <row r="924" spans="1:21" x14ac:dyDescent="0.25">
      <c r="A924" s="813">
        <v>1278</v>
      </c>
      <c r="B924" s="813" t="s">
        <v>367</v>
      </c>
      <c r="C924" s="813" t="s">
        <v>937</v>
      </c>
      <c r="D924" s="813" t="s">
        <v>14</v>
      </c>
      <c r="E924" s="813" t="s">
        <v>14</v>
      </c>
      <c r="F924" s="813" t="s">
        <v>885</v>
      </c>
      <c r="G924" s="813" t="s">
        <v>868</v>
      </c>
      <c r="H924" s="819" t="s">
        <v>35</v>
      </c>
      <c r="I924" s="820" t="s">
        <v>20</v>
      </c>
      <c r="J924" s="820" t="s">
        <v>428</v>
      </c>
      <c r="L924" s="821">
        <v>8</v>
      </c>
      <c r="M924" s="637">
        <v>1103</v>
      </c>
      <c r="N924" s="637">
        <v>7958.25</v>
      </c>
      <c r="O924" s="821">
        <v>8</v>
      </c>
      <c r="P924" s="637">
        <v>1103</v>
      </c>
      <c r="Q924" s="637">
        <v>7958.25</v>
      </c>
      <c r="R924" s="813" t="s">
        <v>172</v>
      </c>
      <c r="T924" s="815" t="s">
        <v>172</v>
      </c>
      <c r="U924" s="900" t="s">
        <v>1220</v>
      </c>
    </row>
    <row r="925" spans="1:21" x14ac:dyDescent="0.25">
      <c r="A925" s="813">
        <v>1279</v>
      </c>
      <c r="B925" s="813" t="s">
        <v>367</v>
      </c>
      <c r="C925" s="813" t="s">
        <v>937</v>
      </c>
      <c r="D925" s="813" t="s">
        <v>14</v>
      </c>
      <c r="E925" s="813" t="s">
        <v>14</v>
      </c>
      <c r="F925" s="813" t="s">
        <v>932</v>
      </c>
      <c r="G925" s="813" t="s">
        <v>933</v>
      </c>
      <c r="H925" s="819" t="s">
        <v>37</v>
      </c>
      <c r="I925" s="820" t="s">
        <v>20</v>
      </c>
      <c r="J925" s="820" t="s">
        <v>428</v>
      </c>
      <c r="L925" s="821">
        <v>2</v>
      </c>
      <c r="M925" s="637">
        <v>68</v>
      </c>
      <c r="N925" s="637">
        <v>884</v>
      </c>
      <c r="O925" s="821">
        <v>2</v>
      </c>
      <c r="P925" s="637">
        <v>68</v>
      </c>
      <c r="Q925" s="637">
        <v>884</v>
      </c>
      <c r="R925" s="813" t="s">
        <v>172</v>
      </c>
      <c r="T925" s="815">
        <v>13</v>
      </c>
      <c r="U925" s="900" t="s">
        <v>1220</v>
      </c>
    </row>
    <row r="926" spans="1:21" x14ac:dyDescent="0.25">
      <c r="A926" s="813">
        <v>1280</v>
      </c>
      <c r="B926" s="813" t="s">
        <v>367</v>
      </c>
      <c r="C926" s="813" t="s">
        <v>937</v>
      </c>
      <c r="D926" s="813" t="s">
        <v>14</v>
      </c>
      <c r="E926" s="813" t="s">
        <v>14</v>
      </c>
      <c r="F926" s="813" t="s">
        <v>869</v>
      </c>
      <c r="H926" s="819" t="s">
        <v>39</v>
      </c>
      <c r="I926" s="820" t="s">
        <v>20</v>
      </c>
      <c r="J926" s="820" t="s">
        <v>428</v>
      </c>
      <c r="L926" s="821">
        <v>5</v>
      </c>
      <c r="M926" s="637">
        <v>5</v>
      </c>
      <c r="N926" s="637">
        <v>5</v>
      </c>
      <c r="O926" s="821">
        <v>5</v>
      </c>
      <c r="P926" s="637">
        <v>5</v>
      </c>
      <c r="Q926" s="637">
        <v>5</v>
      </c>
      <c r="R926" s="806" t="s">
        <v>507</v>
      </c>
      <c r="T926" s="815" t="s">
        <v>172</v>
      </c>
      <c r="U926" s="900" t="s">
        <v>1220</v>
      </c>
    </row>
    <row r="927" spans="1:21" x14ac:dyDescent="0.25">
      <c r="A927" s="813">
        <v>1281</v>
      </c>
      <c r="B927" s="813" t="s">
        <v>367</v>
      </c>
      <c r="C927" s="813" t="s">
        <v>937</v>
      </c>
      <c r="D927" s="813" t="s">
        <v>14</v>
      </c>
      <c r="E927" s="813" t="s">
        <v>14</v>
      </c>
      <c r="F927" s="813" t="s">
        <v>875</v>
      </c>
      <c r="H927" s="819" t="s">
        <v>39</v>
      </c>
      <c r="I927" s="820" t="s">
        <v>20</v>
      </c>
      <c r="J927" s="820" t="s">
        <v>428</v>
      </c>
      <c r="L927" s="821">
        <v>4</v>
      </c>
      <c r="M927" s="637">
        <v>6</v>
      </c>
      <c r="N927" s="637">
        <v>6</v>
      </c>
      <c r="O927" s="821">
        <v>4</v>
      </c>
      <c r="P927" s="637">
        <v>6</v>
      </c>
      <c r="Q927" s="637">
        <v>6</v>
      </c>
      <c r="R927" s="806" t="s">
        <v>507</v>
      </c>
      <c r="T927" s="815" t="s">
        <v>172</v>
      </c>
      <c r="U927" s="900" t="s">
        <v>1220</v>
      </c>
    </row>
    <row r="928" spans="1:21" x14ac:dyDescent="0.25">
      <c r="A928" s="813">
        <v>1283</v>
      </c>
      <c r="B928" s="813" t="s">
        <v>367</v>
      </c>
      <c r="C928" s="813" t="s">
        <v>938</v>
      </c>
      <c r="D928" s="813" t="s">
        <v>495</v>
      </c>
      <c r="E928" s="813" t="s">
        <v>15</v>
      </c>
      <c r="F928" s="813" t="s">
        <v>939</v>
      </c>
      <c r="G928" s="813" t="s">
        <v>863</v>
      </c>
      <c r="H928" s="819" t="s">
        <v>18</v>
      </c>
      <c r="I928" s="820" t="s">
        <v>15</v>
      </c>
      <c r="J928" s="820" t="s">
        <v>421</v>
      </c>
      <c r="L928" s="821">
        <v>1</v>
      </c>
      <c r="M928" s="637">
        <v>175</v>
      </c>
      <c r="N928" s="637">
        <v>1529</v>
      </c>
      <c r="O928" s="821">
        <v>1</v>
      </c>
      <c r="P928" s="637">
        <v>175</v>
      </c>
      <c r="Q928" s="637">
        <v>1529</v>
      </c>
      <c r="R928" s="813" t="s">
        <v>172</v>
      </c>
      <c r="T928" s="815" t="s">
        <v>172</v>
      </c>
      <c r="U928" s="900" t="s">
        <v>1220</v>
      </c>
    </row>
    <row r="929" spans="1:21" x14ac:dyDescent="0.25">
      <c r="A929" s="813">
        <v>1285</v>
      </c>
      <c r="B929" s="813" t="s">
        <v>367</v>
      </c>
      <c r="C929" s="813" t="s">
        <v>940</v>
      </c>
      <c r="D929" s="813" t="s">
        <v>495</v>
      </c>
      <c r="E929" s="813" t="s">
        <v>14</v>
      </c>
      <c r="F929" s="813" t="s">
        <v>885</v>
      </c>
      <c r="G929" s="813" t="s">
        <v>868</v>
      </c>
      <c r="H929" s="819" t="s">
        <v>35</v>
      </c>
      <c r="I929" s="820" t="s">
        <v>20</v>
      </c>
      <c r="J929" s="820" t="s">
        <v>428</v>
      </c>
      <c r="L929" s="821">
        <v>5</v>
      </c>
      <c r="M929" s="637">
        <v>740</v>
      </c>
      <c r="N929" s="637">
        <v>3494</v>
      </c>
      <c r="O929" s="821">
        <v>3</v>
      </c>
      <c r="P929" s="637">
        <v>642</v>
      </c>
      <c r="Q929" s="637">
        <v>3103</v>
      </c>
      <c r="R929" s="813" t="s">
        <v>172</v>
      </c>
      <c r="T929" s="815" t="s">
        <v>172</v>
      </c>
      <c r="U929" s="900" t="s">
        <v>1220</v>
      </c>
    </row>
    <row r="930" spans="1:21" x14ac:dyDescent="0.25">
      <c r="A930" s="813">
        <v>1286</v>
      </c>
      <c r="B930" s="813" t="s">
        <v>367</v>
      </c>
      <c r="C930" s="813" t="s">
        <v>940</v>
      </c>
      <c r="D930" s="813" t="s">
        <v>495</v>
      </c>
      <c r="E930" s="813" t="s">
        <v>14</v>
      </c>
      <c r="F930" s="813" t="s">
        <v>889</v>
      </c>
      <c r="H930" s="819" t="s">
        <v>39</v>
      </c>
      <c r="I930" s="820" t="s">
        <v>20</v>
      </c>
      <c r="J930" s="820" t="s">
        <v>428</v>
      </c>
      <c r="L930" s="821">
        <v>2</v>
      </c>
      <c r="M930" s="637">
        <v>2</v>
      </c>
      <c r="N930" s="637">
        <v>2</v>
      </c>
      <c r="O930" s="821">
        <v>2</v>
      </c>
      <c r="P930" s="637">
        <v>2</v>
      </c>
      <c r="Q930" s="637">
        <v>2</v>
      </c>
      <c r="R930" s="806" t="s">
        <v>507</v>
      </c>
      <c r="T930" s="815" t="s">
        <v>172</v>
      </c>
      <c r="U930" s="900" t="s">
        <v>1220</v>
      </c>
    </row>
    <row r="931" spans="1:21" x14ac:dyDescent="0.25">
      <c r="A931" s="813">
        <v>1287</v>
      </c>
      <c r="B931" s="813" t="s">
        <v>367</v>
      </c>
      <c r="C931" s="813" t="s">
        <v>940</v>
      </c>
      <c r="D931" s="813" t="s">
        <v>495</v>
      </c>
      <c r="E931" s="813" t="s">
        <v>14</v>
      </c>
      <c r="F931" s="813" t="s">
        <v>869</v>
      </c>
      <c r="H931" s="819" t="s">
        <v>39</v>
      </c>
      <c r="I931" s="820" t="s">
        <v>20</v>
      </c>
      <c r="J931" s="820" t="s">
        <v>428</v>
      </c>
      <c r="L931" s="821">
        <v>2</v>
      </c>
      <c r="M931" s="637">
        <v>2</v>
      </c>
      <c r="N931" s="637">
        <v>2</v>
      </c>
      <c r="O931" s="821">
        <v>1</v>
      </c>
      <c r="P931" s="637">
        <v>1</v>
      </c>
      <c r="Q931" s="637">
        <v>1</v>
      </c>
      <c r="R931" s="806" t="s">
        <v>507</v>
      </c>
      <c r="T931" s="815" t="s">
        <v>172</v>
      </c>
      <c r="U931" s="900" t="s">
        <v>1220</v>
      </c>
    </row>
    <row r="932" spans="1:21" x14ac:dyDescent="0.25">
      <c r="A932" s="813">
        <v>1288</v>
      </c>
      <c r="B932" s="813" t="s">
        <v>367</v>
      </c>
      <c r="C932" s="813" t="s">
        <v>940</v>
      </c>
      <c r="D932" s="813" t="s">
        <v>495</v>
      </c>
      <c r="E932" s="813" t="s">
        <v>14</v>
      </c>
      <c r="F932" s="813" t="s">
        <v>875</v>
      </c>
      <c r="H932" s="819" t="s">
        <v>39</v>
      </c>
      <c r="I932" s="820" t="s">
        <v>20</v>
      </c>
      <c r="J932" s="820" t="s">
        <v>428</v>
      </c>
      <c r="L932" s="821">
        <v>4</v>
      </c>
      <c r="M932" s="637">
        <v>4</v>
      </c>
      <c r="N932" s="637">
        <v>4</v>
      </c>
      <c r="O932" s="821">
        <v>3</v>
      </c>
      <c r="P932" s="637">
        <v>3</v>
      </c>
      <c r="Q932" s="637">
        <v>3</v>
      </c>
      <c r="R932" s="806" t="s">
        <v>507</v>
      </c>
      <c r="T932" s="815" t="s">
        <v>172</v>
      </c>
      <c r="U932" s="900" t="s">
        <v>1220</v>
      </c>
    </row>
    <row r="933" spans="1:21" x14ac:dyDescent="0.25">
      <c r="A933" s="813">
        <v>1289</v>
      </c>
      <c r="B933" s="813" t="s">
        <v>367</v>
      </c>
      <c r="C933" s="813" t="s">
        <v>941</v>
      </c>
      <c r="D933" s="813" t="s">
        <v>13</v>
      </c>
      <c r="E933" s="813" t="s">
        <v>14</v>
      </c>
      <c r="F933" s="813" t="s">
        <v>869</v>
      </c>
      <c r="H933" s="819" t="s">
        <v>39</v>
      </c>
      <c r="I933" s="820" t="s">
        <v>20</v>
      </c>
      <c r="J933" s="820" t="s">
        <v>428</v>
      </c>
      <c r="L933" s="821">
        <v>10</v>
      </c>
      <c r="M933" s="637">
        <v>10</v>
      </c>
      <c r="N933" s="637">
        <v>10</v>
      </c>
      <c r="O933" s="821">
        <v>10</v>
      </c>
      <c r="P933" s="637">
        <v>10</v>
      </c>
      <c r="Q933" s="637">
        <v>10</v>
      </c>
      <c r="R933" s="806" t="s">
        <v>507</v>
      </c>
      <c r="T933" s="815" t="s">
        <v>172</v>
      </c>
      <c r="U933" s="900" t="s">
        <v>1220</v>
      </c>
    </row>
    <row r="934" spans="1:21" x14ac:dyDescent="0.25">
      <c r="A934" s="813">
        <v>1290</v>
      </c>
      <c r="B934" s="813" t="s">
        <v>367</v>
      </c>
      <c r="C934" s="813" t="s">
        <v>941</v>
      </c>
      <c r="D934" s="813" t="s">
        <v>13</v>
      </c>
      <c r="E934" s="813" t="s">
        <v>14</v>
      </c>
      <c r="F934" s="813" t="s">
        <v>875</v>
      </c>
      <c r="H934" s="819" t="s">
        <v>39</v>
      </c>
      <c r="I934" s="820" t="s">
        <v>20</v>
      </c>
      <c r="J934" s="820" t="s">
        <v>428</v>
      </c>
      <c r="L934" s="821">
        <v>15</v>
      </c>
      <c r="M934" s="637">
        <v>21</v>
      </c>
      <c r="N934" s="637">
        <v>21</v>
      </c>
      <c r="O934" s="821">
        <v>15</v>
      </c>
      <c r="P934" s="637">
        <v>21</v>
      </c>
      <c r="Q934" s="637">
        <v>21</v>
      </c>
      <c r="R934" s="806" t="s">
        <v>507</v>
      </c>
      <c r="T934" s="815" t="s">
        <v>172</v>
      </c>
      <c r="U934" s="900" t="s">
        <v>1220</v>
      </c>
    </row>
    <row r="935" spans="1:21" x14ac:dyDescent="0.25">
      <c r="A935" s="813">
        <v>1291</v>
      </c>
      <c r="B935" s="813" t="s">
        <v>367</v>
      </c>
      <c r="C935" s="813" t="s">
        <v>941</v>
      </c>
      <c r="D935" s="813" t="s">
        <v>13</v>
      </c>
      <c r="E935" s="813" t="s">
        <v>14</v>
      </c>
      <c r="F935" s="813" t="s">
        <v>892</v>
      </c>
      <c r="G935" s="813" t="s">
        <v>892</v>
      </c>
      <c r="H935" s="819" t="s">
        <v>34</v>
      </c>
      <c r="I935" s="820" t="s">
        <v>20</v>
      </c>
      <c r="J935" s="820" t="s">
        <v>428</v>
      </c>
      <c r="L935" s="821">
        <v>3</v>
      </c>
      <c r="M935" s="637">
        <v>95</v>
      </c>
      <c r="N935" s="637">
        <v>589.75</v>
      </c>
      <c r="O935" s="821">
        <v>3</v>
      </c>
      <c r="P935" s="637">
        <v>95</v>
      </c>
      <c r="Q935" s="637">
        <v>589.75</v>
      </c>
      <c r="R935" s="813" t="s">
        <v>172</v>
      </c>
      <c r="T935" s="815" t="s">
        <v>172</v>
      </c>
      <c r="U935" s="900" t="s">
        <v>1220</v>
      </c>
    </row>
    <row r="936" spans="1:21" x14ac:dyDescent="0.25">
      <c r="A936" s="813">
        <v>1292</v>
      </c>
      <c r="B936" s="813" t="s">
        <v>367</v>
      </c>
      <c r="C936" s="813" t="s">
        <v>941</v>
      </c>
      <c r="D936" s="813" t="s">
        <v>13</v>
      </c>
      <c r="E936" s="813" t="s">
        <v>14</v>
      </c>
      <c r="F936" s="813" t="s">
        <v>868</v>
      </c>
      <c r="G936" s="813" t="s">
        <v>868</v>
      </c>
      <c r="H936" s="819" t="s">
        <v>35</v>
      </c>
      <c r="I936" s="820" t="s">
        <v>20</v>
      </c>
      <c r="J936" s="820" t="s">
        <v>428</v>
      </c>
      <c r="L936" s="821">
        <v>22</v>
      </c>
      <c r="M936" s="637">
        <v>1832</v>
      </c>
      <c r="N936" s="637">
        <v>8942.25</v>
      </c>
      <c r="O936" s="821">
        <v>21</v>
      </c>
      <c r="P936" s="637">
        <v>1813</v>
      </c>
      <c r="Q936" s="637">
        <v>8828.5</v>
      </c>
      <c r="R936" s="813" t="s">
        <v>172</v>
      </c>
      <c r="T936" s="815" t="s">
        <v>172</v>
      </c>
      <c r="U936" s="900" t="s">
        <v>1220</v>
      </c>
    </row>
    <row r="937" spans="1:21" x14ac:dyDescent="0.25">
      <c r="A937" s="813">
        <v>1293</v>
      </c>
      <c r="B937" s="813" t="s">
        <v>367</v>
      </c>
      <c r="C937" s="813" t="s">
        <v>941</v>
      </c>
      <c r="D937" s="813" t="s">
        <v>13</v>
      </c>
      <c r="E937" s="813" t="s">
        <v>14</v>
      </c>
      <c r="F937" s="813" t="s">
        <v>933</v>
      </c>
      <c r="G937" s="813" t="s">
        <v>933</v>
      </c>
      <c r="H937" s="819" t="s">
        <v>37</v>
      </c>
      <c r="I937" s="820" t="s">
        <v>20</v>
      </c>
      <c r="J937" s="820" t="s">
        <v>428</v>
      </c>
      <c r="L937" s="821">
        <v>1</v>
      </c>
      <c r="M937" s="637">
        <v>90</v>
      </c>
      <c r="N937" s="637">
        <v>1170</v>
      </c>
      <c r="O937" s="821">
        <v>1</v>
      </c>
      <c r="P937" s="637">
        <v>90</v>
      </c>
      <c r="Q937" s="637">
        <v>1170</v>
      </c>
      <c r="R937" s="813" t="s">
        <v>172</v>
      </c>
      <c r="T937" s="815">
        <v>13</v>
      </c>
      <c r="U937" s="900" t="s">
        <v>1220</v>
      </c>
    </row>
    <row r="938" spans="1:21" x14ac:dyDescent="0.25">
      <c r="A938" s="813">
        <v>1295</v>
      </c>
      <c r="B938" s="813" t="s">
        <v>367</v>
      </c>
      <c r="C938" s="813" t="s">
        <v>943</v>
      </c>
      <c r="D938" s="813" t="s">
        <v>13</v>
      </c>
      <c r="E938" s="813" t="s">
        <v>15</v>
      </c>
      <c r="F938" s="813" t="s">
        <v>863</v>
      </c>
      <c r="G938" s="813" t="s">
        <v>863</v>
      </c>
      <c r="H938" s="819" t="s">
        <v>18</v>
      </c>
      <c r="I938" s="820" t="s">
        <v>15</v>
      </c>
      <c r="J938" s="820" t="s">
        <v>421</v>
      </c>
      <c r="L938" s="821">
        <v>18</v>
      </c>
      <c r="M938" s="637">
        <v>1724</v>
      </c>
      <c r="N938" s="637">
        <v>8581.5</v>
      </c>
      <c r="O938" s="821">
        <v>16</v>
      </c>
      <c r="P938" s="637">
        <v>1603</v>
      </c>
      <c r="Q938" s="637">
        <v>8065.25</v>
      </c>
      <c r="R938" s="813" t="s">
        <v>172</v>
      </c>
      <c r="T938" s="815" t="s">
        <v>172</v>
      </c>
      <c r="U938" s="900" t="s">
        <v>1220</v>
      </c>
    </row>
    <row r="939" spans="1:21" x14ac:dyDescent="0.25">
      <c r="A939" s="813">
        <v>1296</v>
      </c>
      <c r="B939" s="813" t="s">
        <v>367</v>
      </c>
      <c r="C939" s="813" t="s">
        <v>878</v>
      </c>
      <c r="D939" s="813" t="s">
        <v>434</v>
      </c>
      <c r="E939" s="813" t="s">
        <v>244</v>
      </c>
      <c r="F939" s="813" t="s">
        <v>879</v>
      </c>
      <c r="G939" s="813" t="s">
        <v>880</v>
      </c>
      <c r="H939" s="819" t="s">
        <v>390</v>
      </c>
      <c r="I939" s="820" t="s">
        <v>20</v>
      </c>
      <c r="J939" s="820" t="s">
        <v>16</v>
      </c>
      <c r="L939" s="821">
        <v>67</v>
      </c>
      <c r="M939" s="637">
        <v>27910</v>
      </c>
      <c r="N939" s="637">
        <v>305613.5</v>
      </c>
      <c r="O939" s="821">
        <v>64</v>
      </c>
      <c r="P939" s="637">
        <v>27769</v>
      </c>
      <c r="Q939" s="637">
        <v>303990.5</v>
      </c>
      <c r="R939" s="813" t="s">
        <v>172</v>
      </c>
      <c r="T939" s="815" t="s">
        <v>172</v>
      </c>
      <c r="U939" s="899" t="s">
        <v>1219</v>
      </c>
    </row>
    <row r="940" spans="1:21" x14ac:dyDescent="0.25">
      <c r="A940" s="813">
        <v>1297</v>
      </c>
      <c r="B940" s="813" t="s">
        <v>367</v>
      </c>
      <c r="C940" s="813" t="s">
        <v>878</v>
      </c>
      <c r="D940" s="813" t="s">
        <v>434</v>
      </c>
      <c r="E940" s="813" t="s">
        <v>244</v>
      </c>
      <c r="F940" s="813" t="s">
        <v>1021</v>
      </c>
      <c r="G940" s="813" t="s">
        <v>880</v>
      </c>
      <c r="H940" s="819" t="s">
        <v>390</v>
      </c>
      <c r="I940" s="820" t="s">
        <v>20</v>
      </c>
      <c r="J940" s="820" t="s">
        <v>16</v>
      </c>
      <c r="L940" s="821">
        <v>1</v>
      </c>
      <c r="M940" s="637">
        <v>128</v>
      </c>
      <c r="N940" s="637">
        <v>1331.75</v>
      </c>
      <c r="O940" s="821">
        <v>1</v>
      </c>
      <c r="P940" s="637">
        <v>128</v>
      </c>
      <c r="Q940" s="637">
        <v>1331.75</v>
      </c>
      <c r="R940" s="813" t="s">
        <v>172</v>
      </c>
      <c r="T940" s="815" t="s">
        <v>172</v>
      </c>
      <c r="U940" s="899" t="s">
        <v>1219</v>
      </c>
    </row>
    <row r="941" spans="1:21" x14ac:dyDescent="0.25">
      <c r="A941" s="813">
        <v>1298</v>
      </c>
      <c r="B941" s="813" t="s">
        <v>367</v>
      </c>
      <c r="C941" s="813" t="s">
        <v>878</v>
      </c>
      <c r="D941" s="813" t="s">
        <v>434</v>
      </c>
      <c r="E941" s="813" t="s">
        <v>244</v>
      </c>
      <c r="F941" s="813" t="s">
        <v>881</v>
      </c>
      <c r="G941" s="813" t="s">
        <v>882</v>
      </c>
      <c r="H941" s="819" t="s">
        <v>390</v>
      </c>
      <c r="I941" s="820" t="s">
        <v>20</v>
      </c>
      <c r="J941" s="820" t="s">
        <v>16</v>
      </c>
      <c r="L941" s="821">
        <v>22</v>
      </c>
      <c r="M941" s="637">
        <v>22</v>
      </c>
      <c r="N941" s="637">
        <v>23</v>
      </c>
      <c r="O941" s="821">
        <v>20</v>
      </c>
      <c r="P941" s="637">
        <v>20</v>
      </c>
      <c r="Q941" s="637">
        <v>20</v>
      </c>
      <c r="T941" s="815" t="s">
        <v>172</v>
      </c>
      <c r="U941" s="899" t="s">
        <v>1219</v>
      </c>
    </row>
    <row r="942" spans="1:21" x14ac:dyDescent="0.25">
      <c r="A942" s="813">
        <v>1299</v>
      </c>
      <c r="B942" s="813" t="s">
        <v>367</v>
      </c>
      <c r="C942" s="813" t="s">
        <v>878</v>
      </c>
      <c r="D942" s="813" t="s">
        <v>434</v>
      </c>
      <c r="E942" s="813" t="s">
        <v>244</v>
      </c>
      <c r="F942" s="813" t="s">
        <v>889</v>
      </c>
      <c r="H942" s="819" t="s">
        <v>390</v>
      </c>
      <c r="I942" s="820" t="s">
        <v>20</v>
      </c>
      <c r="J942" s="820" t="s">
        <v>16</v>
      </c>
      <c r="L942" s="821">
        <v>3</v>
      </c>
      <c r="M942" s="637">
        <v>3</v>
      </c>
      <c r="N942" s="637">
        <v>3</v>
      </c>
      <c r="O942" s="821">
        <v>3</v>
      </c>
      <c r="P942" s="637">
        <v>3</v>
      </c>
      <c r="Q942" s="637">
        <v>3</v>
      </c>
      <c r="T942" s="815" t="s">
        <v>172</v>
      </c>
      <c r="U942" s="899" t="s">
        <v>1219</v>
      </c>
    </row>
    <row r="943" spans="1:21" x14ac:dyDescent="0.25">
      <c r="A943" s="813">
        <v>1300</v>
      </c>
      <c r="B943" s="813" t="s">
        <v>367</v>
      </c>
      <c r="C943" s="813" t="s">
        <v>878</v>
      </c>
      <c r="D943" s="813" t="s">
        <v>434</v>
      </c>
      <c r="E943" s="813" t="s">
        <v>244</v>
      </c>
      <c r="F943" s="813" t="s">
        <v>869</v>
      </c>
      <c r="H943" s="819" t="s">
        <v>390</v>
      </c>
      <c r="I943" s="820" t="s">
        <v>20</v>
      </c>
      <c r="J943" s="820" t="s">
        <v>16</v>
      </c>
      <c r="L943" s="821">
        <v>6</v>
      </c>
      <c r="M943" s="637">
        <v>6</v>
      </c>
      <c r="N943" s="637">
        <v>6</v>
      </c>
      <c r="O943" s="821">
        <v>6</v>
      </c>
      <c r="P943" s="637">
        <v>6</v>
      </c>
      <c r="Q943" s="637">
        <v>6</v>
      </c>
      <c r="T943" s="815" t="s">
        <v>172</v>
      </c>
      <c r="U943" s="899" t="s">
        <v>1219</v>
      </c>
    </row>
    <row r="944" spans="1:21" x14ac:dyDescent="0.25">
      <c r="A944" s="813">
        <v>1301</v>
      </c>
      <c r="B944" s="813" t="s">
        <v>367</v>
      </c>
      <c r="C944" s="813" t="s">
        <v>878</v>
      </c>
      <c r="D944" s="813" t="s">
        <v>434</v>
      </c>
      <c r="E944" s="813" t="s">
        <v>244</v>
      </c>
      <c r="F944" s="813" t="s">
        <v>875</v>
      </c>
      <c r="H944" s="819" t="s">
        <v>390</v>
      </c>
      <c r="I944" s="820" t="s">
        <v>20</v>
      </c>
      <c r="J944" s="820" t="s">
        <v>16</v>
      </c>
      <c r="L944" s="821">
        <v>1</v>
      </c>
      <c r="M944" s="637">
        <v>1</v>
      </c>
      <c r="N944" s="637">
        <v>1</v>
      </c>
      <c r="O944" s="821">
        <v>1</v>
      </c>
      <c r="P944" s="637">
        <v>1</v>
      </c>
      <c r="Q944" s="637">
        <v>1</v>
      </c>
      <c r="T944" s="815" t="s">
        <v>172</v>
      </c>
      <c r="U944" s="899" t="s">
        <v>1219</v>
      </c>
    </row>
    <row r="945" spans="1:21" x14ac:dyDescent="0.25">
      <c r="A945" s="813">
        <v>1302</v>
      </c>
      <c r="B945" s="813" t="s">
        <v>367</v>
      </c>
      <c r="C945" s="813" t="s">
        <v>878</v>
      </c>
      <c r="D945" s="813" t="s">
        <v>434</v>
      </c>
      <c r="E945" s="813" t="s">
        <v>244</v>
      </c>
      <c r="F945" s="813" t="s">
        <v>883</v>
      </c>
      <c r="G945" s="813" t="s">
        <v>882</v>
      </c>
      <c r="H945" s="819" t="s">
        <v>390</v>
      </c>
      <c r="I945" s="820" t="s">
        <v>20</v>
      </c>
      <c r="J945" s="820" t="s">
        <v>16</v>
      </c>
      <c r="L945" s="821">
        <v>55</v>
      </c>
      <c r="M945" s="637">
        <v>92</v>
      </c>
      <c r="N945" s="637">
        <v>90.5</v>
      </c>
      <c r="O945" s="821">
        <v>54</v>
      </c>
      <c r="P945" s="637">
        <v>90</v>
      </c>
      <c r="Q945" s="637">
        <v>90</v>
      </c>
      <c r="T945" s="815" t="s">
        <v>172</v>
      </c>
      <c r="U945" s="899" t="s">
        <v>1219</v>
      </c>
    </row>
    <row r="946" spans="1:21" x14ac:dyDescent="0.25">
      <c r="A946" s="813">
        <v>1303</v>
      </c>
      <c r="B946" s="813" t="s">
        <v>367</v>
      </c>
      <c r="C946" s="813" t="s">
        <v>492</v>
      </c>
      <c r="D946" s="813" t="s">
        <v>16</v>
      </c>
      <c r="E946" s="813" t="s">
        <v>82</v>
      </c>
      <c r="F946" s="813" t="s">
        <v>885</v>
      </c>
      <c r="H946" s="819" t="s">
        <v>374</v>
      </c>
      <c r="I946" s="820" t="s">
        <v>20</v>
      </c>
      <c r="J946" s="820" t="s">
        <v>248</v>
      </c>
      <c r="L946" s="821">
        <v>13</v>
      </c>
      <c r="M946" s="637">
        <v>16</v>
      </c>
      <c r="N946" s="637">
        <v>44.25</v>
      </c>
      <c r="O946" s="821">
        <v>13</v>
      </c>
      <c r="P946" s="637">
        <v>16</v>
      </c>
      <c r="Q946" s="637">
        <v>44.25</v>
      </c>
      <c r="R946" s="813" t="s">
        <v>172</v>
      </c>
      <c r="T946" s="815" t="s">
        <v>172</v>
      </c>
      <c r="U946" s="899" t="s">
        <v>1219</v>
      </c>
    </row>
    <row r="947" spans="1:21" x14ac:dyDescent="0.25">
      <c r="A947" s="813">
        <v>1304</v>
      </c>
      <c r="B947" s="813" t="s">
        <v>367</v>
      </c>
      <c r="C947" s="813" t="s">
        <v>464</v>
      </c>
      <c r="D947" s="813" t="s">
        <v>13</v>
      </c>
      <c r="E947" s="813" t="s">
        <v>13</v>
      </c>
      <c r="F947" s="813" t="s">
        <v>1025</v>
      </c>
      <c r="H947" s="819" t="s">
        <v>391</v>
      </c>
      <c r="I947" s="820" t="s">
        <v>20</v>
      </c>
      <c r="J947" s="820" t="s">
        <v>16</v>
      </c>
      <c r="K947" s="813" t="s">
        <v>13</v>
      </c>
      <c r="L947" s="821">
        <v>1</v>
      </c>
      <c r="M947" s="637">
        <v>11</v>
      </c>
      <c r="N947" s="637">
        <v>42.75</v>
      </c>
      <c r="O947" s="821">
        <v>1</v>
      </c>
      <c r="P947" s="637">
        <v>11</v>
      </c>
      <c r="Q947" s="637">
        <v>42.75</v>
      </c>
      <c r="R947" s="813" t="s">
        <v>172</v>
      </c>
      <c r="T947" s="815" t="s">
        <v>172</v>
      </c>
      <c r="U947" s="899" t="s">
        <v>1219</v>
      </c>
    </row>
    <row r="948" spans="1:21" x14ac:dyDescent="0.25">
      <c r="A948" s="813">
        <v>1305</v>
      </c>
      <c r="B948" s="813" t="s">
        <v>367</v>
      </c>
      <c r="C948" s="813" t="s">
        <v>248</v>
      </c>
      <c r="D948" s="813" t="s">
        <v>16</v>
      </c>
      <c r="E948" s="813" t="s">
        <v>884</v>
      </c>
      <c r="F948" s="813" t="s">
        <v>1113</v>
      </c>
      <c r="H948" s="819" t="s">
        <v>374</v>
      </c>
      <c r="I948" s="820" t="s">
        <v>20</v>
      </c>
      <c r="J948" s="820" t="s">
        <v>248</v>
      </c>
      <c r="L948" s="821">
        <v>1</v>
      </c>
      <c r="M948" s="637">
        <v>22</v>
      </c>
      <c r="N948" s="637">
        <v>296.5</v>
      </c>
      <c r="O948" s="821">
        <v>1</v>
      </c>
      <c r="P948" s="637">
        <v>22</v>
      </c>
      <c r="Q948" s="637">
        <v>286</v>
      </c>
      <c r="R948" s="813" t="s">
        <v>172</v>
      </c>
      <c r="T948" s="815">
        <f>Q948/P948</f>
        <v>13</v>
      </c>
      <c r="U948" s="899" t="s">
        <v>1219</v>
      </c>
    </row>
    <row r="949" spans="1:21" x14ac:dyDescent="0.25">
      <c r="A949" s="813">
        <v>1306</v>
      </c>
      <c r="B949" s="813" t="s">
        <v>367</v>
      </c>
      <c r="C949" s="813" t="s">
        <v>248</v>
      </c>
      <c r="D949" s="813" t="s">
        <v>16</v>
      </c>
      <c r="E949" s="813" t="s">
        <v>884</v>
      </c>
      <c r="F949" s="813" t="s">
        <v>885</v>
      </c>
      <c r="H949" s="819" t="s">
        <v>374</v>
      </c>
      <c r="I949" s="820" t="s">
        <v>20</v>
      </c>
      <c r="J949" s="820" t="s">
        <v>248</v>
      </c>
      <c r="L949" s="821">
        <v>9</v>
      </c>
      <c r="M949" s="637">
        <v>73</v>
      </c>
      <c r="N949" s="637">
        <v>217</v>
      </c>
      <c r="O949" s="821">
        <v>7</v>
      </c>
      <c r="P949" s="637">
        <v>14</v>
      </c>
      <c r="Q949" s="637">
        <v>48</v>
      </c>
      <c r="R949" s="813" t="s">
        <v>172</v>
      </c>
      <c r="T949" s="815" t="s">
        <v>172</v>
      </c>
      <c r="U949" s="899" t="s">
        <v>1219</v>
      </c>
    </row>
    <row r="950" spans="1:21" x14ac:dyDescent="0.25">
      <c r="A950" s="813">
        <v>1307</v>
      </c>
      <c r="B950" s="813" t="s">
        <v>367</v>
      </c>
      <c r="C950" s="813" t="s">
        <v>905</v>
      </c>
      <c r="D950" s="813" t="s">
        <v>16</v>
      </c>
      <c r="E950" s="813" t="s">
        <v>884</v>
      </c>
      <c r="F950" s="813" t="s">
        <v>1114</v>
      </c>
      <c r="H950" s="819" t="s">
        <v>374</v>
      </c>
      <c r="I950" s="820" t="s">
        <v>20</v>
      </c>
      <c r="J950" s="820" t="s">
        <v>248</v>
      </c>
      <c r="L950" s="821">
        <v>1</v>
      </c>
      <c r="M950" s="637">
        <v>366</v>
      </c>
      <c r="N950" s="637">
        <v>8610.25</v>
      </c>
      <c r="O950" s="821">
        <v>1</v>
      </c>
      <c r="P950" s="637">
        <v>366</v>
      </c>
      <c r="Q950" s="637">
        <f>P950*13</f>
        <v>4758</v>
      </c>
      <c r="R950" s="813" t="s">
        <v>172</v>
      </c>
      <c r="T950" s="815">
        <f>Q950/P950</f>
        <v>13</v>
      </c>
      <c r="U950" s="899" t="s">
        <v>1219</v>
      </c>
    </row>
    <row r="951" spans="1:21" x14ac:dyDescent="0.25">
      <c r="A951" s="813">
        <v>1308</v>
      </c>
      <c r="B951" s="813" t="s">
        <v>367</v>
      </c>
      <c r="C951" s="813" t="s">
        <v>905</v>
      </c>
      <c r="D951" s="813" t="s">
        <v>16</v>
      </c>
      <c r="E951" s="813" t="s">
        <v>884</v>
      </c>
      <c r="F951" s="813" t="s">
        <v>885</v>
      </c>
      <c r="H951" s="819" t="s">
        <v>374</v>
      </c>
      <c r="I951" s="820" t="s">
        <v>20</v>
      </c>
      <c r="J951" s="820" t="s">
        <v>248</v>
      </c>
      <c r="L951" s="821">
        <v>2</v>
      </c>
      <c r="M951" s="637">
        <v>217</v>
      </c>
      <c r="N951" s="637">
        <v>2941.25</v>
      </c>
      <c r="O951" s="821">
        <v>2</v>
      </c>
      <c r="P951" s="637">
        <v>217</v>
      </c>
      <c r="Q951" s="637">
        <v>2941.25</v>
      </c>
      <c r="R951" s="813" t="s">
        <v>172</v>
      </c>
      <c r="T951" s="815" t="s">
        <v>172</v>
      </c>
      <c r="U951" s="899" t="s">
        <v>1219</v>
      </c>
    </row>
    <row r="952" spans="1:21" x14ac:dyDescent="0.25">
      <c r="A952" s="813">
        <v>1309</v>
      </c>
      <c r="B952" s="813" t="s">
        <v>367</v>
      </c>
      <c r="C952" s="813" t="s">
        <v>905</v>
      </c>
      <c r="D952" s="813" t="s">
        <v>16</v>
      </c>
      <c r="E952" s="813" t="s">
        <v>884</v>
      </c>
      <c r="F952" s="813" t="s">
        <v>1033</v>
      </c>
      <c r="H952" s="819" t="s">
        <v>374</v>
      </c>
      <c r="I952" s="820" t="s">
        <v>20</v>
      </c>
      <c r="J952" s="820" t="s">
        <v>248</v>
      </c>
      <c r="L952" s="821">
        <v>1</v>
      </c>
      <c r="M952" s="637">
        <v>6</v>
      </c>
      <c r="N952" s="637">
        <v>55.5</v>
      </c>
      <c r="O952" s="821">
        <v>1</v>
      </c>
      <c r="P952" s="637">
        <v>6</v>
      </c>
      <c r="Q952" s="637">
        <v>55.5</v>
      </c>
      <c r="R952" s="813" t="s">
        <v>172</v>
      </c>
      <c r="T952" s="815">
        <f>Q952/P952</f>
        <v>9.25</v>
      </c>
      <c r="U952" s="899" t="s">
        <v>1219</v>
      </c>
    </row>
    <row r="953" spans="1:21" x14ac:dyDescent="0.25">
      <c r="A953" s="813">
        <v>1310</v>
      </c>
      <c r="B953" s="813" t="s">
        <v>367</v>
      </c>
      <c r="C953" s="813" t="s">
        <v>905</v>
      </c>
      <c r="D953" s="813" t="s">
        <v>16</v>
      </c>
      <c r="E953" s="813" t="s">
        <v>884</v>
      </c>
      <c r="F953" s="813" t="s">
        <v>869</v>
      </c>
      <c r="H953" s="819" t="s">
        <v>374</v>
      </c>
      <c r="I953" s="820" t="s">
        <v>20</v>
      </c>
      <c r="J953" s="820" t="s">
        <v>248</v>
      </c>
      <c r="L953" s="821">
        <v>1</v>
      </c>
      <c r="M953" s="637">
        <v>1</v>
      </c>
      <c r="N953" s="637">
        <v>1.5</v>
      </c>
      <c r="O953" s="821">
        <v>1</v>
      </c>
      <c r="P953" s="637">
        <v>1</v>
      </c>
      <c r="Q953" s="637">
        <v>1</v>
      </c>
      <c r="R953" s="813" t="s">
        <v>172</v>
      </c>
      <c r="T953" s="815" t="s">
        <v>172</v>
      </c>
      <c r="U953" s="899" t="s">
        <v>1219</v>
      </c>
    </row>
    <row r="954" spans="1:21" x14ac:dyDescent="0.25">
      <c r="A954" s="813">
        <v>1311</v>
      </c>
      <c r="B954" s="813" t="s">
        <v>367</v>
      </c>
      <c r="C954" s="813" t="s">
        <v>905</v>
      </c>
      <c r="D954" s="813" t="s">
        <v>16</v>
      </c>
      <c r="E954" s="813" t="s">
        <v>884</v>
      </c>
      <c r="F954" s="813" t="s">
        <v>875</v>
      </c>
      <c r="H954" s="819" t="s">
        <v>374</v>
      </c>
      <c r="I954" s="820" t="s">
        <v>20</v>
      </c>
      <c r="J954" s="820" t="s">
        <v>248</v>
      </c>
      <c r="L954" s="821">
        <v>1</v>
      </c>
      <c r="M954" s="637">
        <v>2</v>
      </c>
      <c r="N954" s="637">
        <v>1.5</v>
      </c>
      <c r="O954" s="821">
        <v>1</v>
      </c>
      <c r="P954" s="637">
        <v>2</v>
      </c>
      <c r="Q954" s="637">
        <v>2</v>
      </c>
      <c r="R954" s="813" t="s">
        <v>172</v>
      </c>
      <c r="T954" s="815" t="s">
        <v>172</v>
      </c>
      <c r="U954" s="899" t="s">
        <v>1219</v>
      </c>
    </row>
    <row r="955" spans="1:21" x14ac:dyDescent="0.25">
      <c r="A955" s="813">
        <v>1312</v>
      </c>
      <c r="B955" s="813" t="s">
        <v>367</v>
      </c>
      <c r="C955" s="813" t="s">
        <v>491</v>
      </c>
      <c r="D955" s="813" t="s">
        <v>13</v>
      </c>
      <c r="E955" s="813" t="s">
        <v>13</v>
      </c>
      <c r="F955" s="813" t="s">
        <v>877</v>
      </c>
      <c r="G955" s="813" t="s">
        <v>860</v>
      </c>
      <c r="H955" s="819" t="s">
        <v>391</v>
      </c>
      <c r="I955" s="820" t="s">
        <v>20</v>
      </c>
      <c r="J955" s="820" t="s">
        <v>16</v>
      </c>
      <c r="K955" s="813" t="s">
        <v>13</v>
      </c>
      <c r="L955" s="821">
        <v>11</v>
      </c>
      <c r="M955" s="637">
        <v>109</v>
      </c>
      <c r="N955" s="637">
        <v>414</v>
      </c>
      <c r="O955" s="821">
        <v>7</v>
      </c>
      <c r="P955" s="637">
        <v>94</v>
      </c>
      <c r="Q955" s="637">
        <v>365.75</v>
      </c>
      <c r="R955" s="813" t="s">
        <v>172</v>
      </c>
      <c r="T955" s="815" t="s">
        <v>172</v>
      </c>
      <c r="U955" s="899" t="s">
        <v>1219</v>
      </c>
    </row>
    <row r="956" spans="1:21" x14ac:dyDescent="0.25">
      <c r="A956" s="813">
        <v>1313</v>
      </c>
      <c r="B956" s="813" t="s">
        <v>367</v>
      </c>
      <c r="C956" s="813" t="s">
        <v>1037</v>
      </c>
      <c r="D956" s="813" t="s">
        <v>434</v>
      </c>
      <c r="E956" s="813" t="s">
        <v>244</v>
      </c>
      <c r="F956" s="813" t="s">
        <v>1038</v>
      </c>
      <c r="G956" s="813" t="s">
        <v>1039</v>
      </c>
      <c r="H956" s="819" t="s">
        <v>390</v>
      </c>
      <c r="I956" s="820" t="s">
        <v>20</v>
      </c>
      <c r="J956" s="820" t="s">
        <v>16</v>
      </c>
      <c r="L956" s="821">
        <v>1</v>
      </c>
      <c r="M956" s="637">
        <v>48</v>
      </c>
      <c r="N956" s="637">
        <v>418</v>
      </c>
      <c r="O956" s="821">
        <v>1</v>
      </c>
      <c r="P956" s="637">
        <v>48</v>
      </c>
      <c r="Q956" s="637">
        <v>418</v>
      </c>
      <c r="R956" s="813" t="s">
        <v>172</v>
      </c>
      <c r="T956" s="815" t="s">
        <v>172</v>
      </c>
      <c r="U956" s="899" t="s">
        <v>1219</v>
      </c>
    </row>
    <row r="957" spans="1:21" x14ac:dyDescent="0.25">
      <c r="A957" s="813">
        <v>1319</v>
      </c>
      <c r="B957" s="813" t="s">
        <v>367</v>
      </c>
      <c r="C957" s="813" t="s">
        <v>955</v>
      </c>
      <c r="D957" s="813" t="s">
        <v>495</v>
      </c>
      <c r="E957" s="813" t="s">
        <v>15</v>
      </c>
      <c r="F957" s="813" t="s">
        <v>898</v>
      </c>
      <c r="G957" s="813" t="s">
        <v>863</v>
      </c>
      <c r="H957" s="819" t="s">
        <v>18</v>
      </c>
      <c r="I957" s="820" t="s">
        <v>15</v>
      </c>
      <c r="J957" s="820" t="s">
        <v>421</v>
      </c>
      <c r="L957" s="821">
        <v>24</v>
      </c>
      <c r="M957" s="637">
        <v>2347</v>
      </c>
      <c r="N957" s="637">
        <v>13476</v>
      </c>
      <c r="O957" s="821">
        <v>22</v>
      </c>
      <c r="P957" s="637">
        <v>2286</v>
      </c>
      <c r="Q957" s="637">
        <v>13117</v>
      </c>
      <c r="R957" s="813" t="s">
        <v>172</v>
      </c>
      <c r="T957" s="815" t="s">
        <v>172</v>
      </c>
      <c r="U957" s="900" t="s">
        <v>1220</v>
      </c>
    </row>
    <row r="958" spans="1:21" x14ac:dyDescent="0.25">
      <c r="A958" s="813">
        <v>1320</v>
      </c>
      <c r="B958" s="813" t="s">
        <v>367</v>
      </c>
      <c r="C958" s="813" t="s">
        <v>955</v>
      </c>
      <c r="D958" s="813" t="s">
        <v>495</v>
      </c>
      <c r="E958" s="813" t="s">
        <v>15</v>
      </c>
      <c r="F958" s="813" t="s">
        <v>956</v>
      </c>
      <c r="G958" s="813" t="s">
        <v>957</v>
      </c>
      <c r="H958" s="819" t="s">
        <v>44</v>
      </c>
      <c r="I958" s="820" t="s">
        <v>15</v>
      </c>
      <c r="J958" s="820" t="s">
        <v>421</v>
      </c>
      <c r="L958" s="821">
        <v>3</v>
      </c>
      <c r="M958" s="637">
        <v>80</v>
      </c>
      <c r="N958" s="637">
        <v>356.25</v>
      </c>
      <c r="O958" s="821">
        <v>3</v>
      </c>
      <c r="P958" s="637">
        <v>80</v>
      </c>
      <c r="Q958" s="637">
        <v>356.25</v>
      </c>
      <c r="R958" s="813" t="s">
        <v>172</v>
      </c>
      <c r="T958" s="815" t="s">
        <v>172</v>
      </c>
      <c r="U958" s="900" t="s">
        <v>1220</v>
      </c>
    </row>
    <row r="959" spans="1:21" x14ac:dyDescent="0.25">
      <c r="A959" s="813">
        <v>1321</v>
      </c>
      <c r="B959" s="813" t="s">
        <v>367</v>
      </c>
      <c r="C959" s="813" t="s">
        <v>958</v>
      </c>
      <c r="D959" s="813" t="s">
        <v>14</v>
      </c>
      <c r="E959" s="813" t="s">
        <v>14</v>
      </c>
      <c r="F959" s="813" t="s">
        <v>963</v>
      </c>
      <c r="G959" s="813" t="s">
        <v>964</v>
      </c>
      <c r="H959" s="819" t="s">
        <v>41</v>
      </c>
      <c r="I959" s="820" t="s">
        <v>20</v>
      </c>
      <c r="J959" s="820" t="s">
        <v>428</v>
      </c>
      <c r="L959" s="821">
        <v>3</v>
      </c>
      <c r="M959" s="637">
        <v>166</v>
      </c>
      <c r="N959" s="637">
        <v>407.5</v>
      </c>
      <c r="O959" s="821">
        <v>3</v>
      </c>
      <c r="P959" s="637">
        <v>166</v>
      </c>
      <c r="Q959" s="637">
        <v>407.5</v>
      </c>
      <c r="R959" s="813" t="s">
        <v>172</v>
      </c>
      <c r="T959" s="815" t="s">
        <v>172</v>
      </c>
      <c r="U959" s="900" t="s">
        <v>1220</v>
      </c>
    </row>
    <row r="960" spans="1:21" x14ac:dyDescent="0.25">
      <c r="A960" s="813">
        <v>1322</v>
      </c>
      <c r="B960" s="813" t="s">
        <v>367</v>
      </c>
      <c r="C960" s="813" t="s">
        <v>958</v>
      </c>
      <c r="D960" s="813" t="s">
        <v>14</v>
      </c>
      <c r="E960" s="813" t="s">
        <v>14</v>
      </c>
      <c r="F960" s="813" t="s">
        <v>885</v>
      </c>
      <c r="G960" s="813" t="s">
        <v>868</v>
      </c>
      <c r="H960" s="819" t="s">
        <v>35</v>
      </c>
      <c r="I960" s="820" t="s">
        <v>20</v>
      </c>
      <c r="J960" s="820" t="s">
        <v>428</v>
      </c>
      <c r="L960" s="821">
        <v>36</v>
      </c>
      <c r="M960" s="637">
        <v>2074</v>
      </c>
      <c r="N960" s="637">
        <v>13077.75</v>
      </c>
      <c r="O960" s="821">
        <v>36</v>
      </c>
      <c r="P960" s="637">
        <v>2074</v>
      </c>
      <c r="Q960" s="637">
        <v>13077.75</v>
      </c>
      <c r="R960" s="813" t="s">
        <v>172</v>
      </c>
      <c r="T960" s="815" t="s">
        <v>172</v>
      </c>
      <c r="U960" s="900" t="s">
        <v>1220</v>
      </c>
    </row>
    <row r="961" spans="1:21" x14ac:dyDescent="0.25">
      <c r="A961" s="813">
        <v>1323</v>
      </c>
      <c r="B961" s="813" t="s">
        <v>367</v>
      </c>
      <c r="C961" s="813" t="s">
        <v>958</v>
      </c>
      <c r="D961" s="813" t="s">
        <v>14</v>
      </c>
      <c r="E961" s="813" t="s">
        <v>14</v>
      </c>
      <c r="F961" s="813" t="s">
        <v>885</v>
      </c>
      <c r="G961" s="813" t="s">
        <v>965</v>
      </c>
      <c r="H961" s="819" t="s">
        <v>35</v>
      </c>
      <c r="I961" s="820" t="s">
        <v>20</v>
      </c>
      <c r="J961" s="820" t="s">
        <v>428</v>
      </c>
      <c r="L961" s="821">
        <v>8</v>
      </c>
      <c r="M961" s="637">
        <v>282</v>
      </c>
      <c r="N961" s="637">
        <v>2676.25</v>
      </c>
      <c r="O961" s="821">
        <v>8</v>
      </c>
      <c r="P961" s="637">
        <v>282</v>
      </c>
      <c r="Q961" s="637">
        <v>2676.25</v>
      </c>
      <c r="R961" s="813" t="s">
        <v>172</v>
      </c>
      <c r="T961" s="815" t="s">
        <v>172</v>
      </c>
      <c r="U961" s="900" t="s">
        <v>1220</v>
      </c>
    </row>
    <row r="962" spans="1:21" x14ac:dyDescent="0.25">
      <c r="A962" s="813">
        <v>1324</v>
      </c>
      <c r="B962" s="813" t="s">
        <v>367</v>
      </c>
      <c r="C962" s="813" t="s">
        <v>958</v>
      </c>
      <c r="D962" s="813" t="s">
        <v>14</v>
      </c>
      <c r="E962" s="813" t="s">
        <v>14</v>
      </c>
      <c r="F962" s="813" t="s">
        <v>966</v>
      </c>
      <c r="G962" s="813" t="s">
        <v>967</v>
      </c>
      <c r="H962" s="819" t="s">
        <v>41</v>
      </c>
      <c r="I962" s="820" t="s">
        <v>20</v>
      </c>
      <c r="J962" s="820" t="s">
        <v>428</v>
      </c>
      <c r="L962" s="821">
        <v>4</v>
      </c>
      <c r="M962" s="637">
        <v>102</v>
      </c>
      <c r="N962" s="637">
        <v>310.75</v>
      </c>
      <c r="O962" s="821">
        <v>2</v>
      </c>
      <c r="P962" s="637">
        <v>59</v>
      </c>
      <c r="Q962" s="637">
        <v>180.75</v>
      </c>
      <c r="R962" s="813" t="s">
        <v>172</v>
      </c>
      <c r="T962" s="815" t="s">
        <v>172</v>
      </c>
      <c r="U962" s="900" t="s">
        <v>1220</v>
      </c>
    </row>
    <row r="963" spans="1:21" x14ac:dyDescent="0.25">
      <c r="A963" s="813">
        <v>1325</v>
      </c>
      <c r="B963" s="813" t="s">
        <v>367</v>
      </c>
      <c r="C963" s="813" t="s">
        <v>958</v>
      </c>
      <c r="D963" s="813" t="s">
        <v>14</v>
      </c>
      <c r="E963" s="813" t="s">
        <v>14</v>
      </c>
      <c r="F963" s="813" t="s">
        <v>968</v>
      </c>
      <c r="G963" s="813" t="s">
        <v>969</v>
      </c>
      <c r="H963" s="819" t="s">
        <v>41</v>
      </c>
      <c r="I963" s="820" t="s">
        <v>20</v>
      </c>
      <c r="J963" s="820" t="s">
        <v>428</v>
      </c>
      <c r="L963" s="821">
        <v>1</v>
      </c>
      <c r="M963" s="637">
        <v>14</v>
      </c>
      <c r="N963" s="637">
        <v>40.5</v>
      </c>
      <c r="O963" s="821">
        <v>1</v>
      </c>
      <c r="P963" s="637">
        <v>14</v>
      </c>
      <c r="Q963" s="637">
        <v>40.5</v>
      </c>
      <c r="R963" s="813" t="s">
        <v>172</v>
      </c>
      <c r="T963" s="815" t="s">
        <v>172</v>
      </c>
      <c r="U963" s="900" t="s">
        <v>1220</v>
      </c>
    </row>
    <row r="964" spans="1:21" x14ac:dyDescent="0.25">
      <c r="A964" s="813">
        <v>1326</v>
      </c>
      <c r="B964" s="813" t="s">
        <v>367</v>
      </c>
      <c r="C964" s="813" t="s">
        <v>958</v>
      </c>
      <c r="D964" s="813" t="s">
        <v>14</v>
      </c>
      <c r="E964" s="813" t="s">
        <v>14</v>
      </c>
      <c r="F964" s="813" t="s">
        <v>970</v>
      </c>
      <c r="G964" s="813" t="s">
        <v>965</v>
      </c>
      <c r="H964" s="819" t="s">
        <v>35</v>
      </c>
      <c r="I964" s="820" t="s">
        <v>20</v>
      </c>
      <c r="J964" s="820" t="s">
        <v>428</v>
      </c>
      <c r="L964" s="821">
        <v>17</v>
      </c>
      <c r="M964" s="637">
        <v>183</v>
      </c>
      <c r="N964" s="637">
        <v>967.5</v>
      </c>
      <c r="O964" s="821">
        <v>17</v>
      </c>
      <c r="P964" s="637">
        <v>183</v>
      </c>
      <c r="Q964" s="637">
        <v>967.5</v>
      </c>
      <c r="R964" s="813" t="s">
        <v>172</v>
      </c>
      <c r="T964" s="815" t="s">
        <v>172</v>
      </c>
      <c r="U964" s="900" t="s">
        <v>1220</v>
      </c>
    </row>
    <row r="965" spans="1:21" x14ac:dyDescent="0.25">
      <c r="A965" s="813">
        <v>1327</v>
      </c>
      <c r="B965" s="813" t="s">
        <v>367</v>
      </c>
      <c r="C965" s="813" t="s">
        <v>958</v>
      </c>
      <c r="D965" s="813" t="s">
        <v>14</v>
      </c>
      <c r="E965" s="813" t="s">
        <v>14</v>
      </c>
      <c r="F965" s="813" t="s">
        <v>889</v>
      </c>
      <c r="H965" s="819" t="s">
        <v>39</v>
      </c>
      <c r="I965" s="820" t="s">
        <v>20</v>
      </c>
      <c r="J965" s="820" t="s">
        <v>428</v>
      </c>
      <c r="L965" s="821">
        <v>3</v>
      </c>
      <c r="M965" s="637">
        <v>3</v>
      </c>
      <c r="N965" s="637">
        <v>3</v>
      </c>
      <c r="O965" s="821">
        <v>3</v>
      </c>
      <c r="P965" s="637">
        <v>3</v>
      </c>
      <c r="Q965" s="637">
        <v>3</v>
      </c>
      <c r="R965" s="806" t="s">
        <v>507</v>
      </c>
      <c r="T965" s="815" t="s">
        <v>172</v>
      </c>
      <c r="U965" s="900" t="s">
        <v>1220</v>
      </c>
    </row>
    <row r="966" spans="1:21" x14ac:dyDescent="0.25">
      <c r="A966" s="813">
        <v>1328</v>
      </c>
      <c r="B966" s="813" t="s">
        <v>367</v>
      </c>
      <c r="C966" s="813" t="s">
        <v>958</v>
      </c>
      <c r="D966" s="813" t="s">
        <v>14</v>
      </c>
      <c r="E966" s="813" t="s">
        <v>14</v>
      </c>
      <c r="F966" s="813" t="s">
        <v>971</v>
      </c>
      <c r="G966" s="813" t="s">
        <v>903</v>
      </c>
      <c r="H966" s="819" t="s">
        <v>38</v>
      </c>
      <c r="I966" s="820" t="s">
        <v>20</v>
      </c>
      <c r="J966" s="820" t="s">
        <v>428</v>
      </c>
      <c r="L966" s="821">
        <v>34</v>
      </c>
      <c r="M966" s="637">
        <v>34</v>
      </c>
      <c r="N966" s="637">
        <v>34</v>
      </c>
      <c r="O966" s="821">
        <v>32</v>
      </c>
      <c r="P966" s="637">
        <v>32</v>
      </c>
      <c r="Q966" s="637">
        <v>32</v>
      </c>
      <c r="R966" s="813" t="s">
        <v>529</v>
      </c>
      <c r="T966" s="815" t="s">
        <v>172</v>
      </c>
      <c r="U966" s="900" t="s">
        <v>1220</v>
      </c>
    </row>
    <row r="967" spans="1:21" x14ac:dyDescent="0.25">
      <c r="A967" s="813">
        <v>1329</v>
      </c>
      <c r="B967" s="813" t="s">
        <v>367</v>
      </c>
      <c r="C967" s="813" t="s">
        <v>958</v>
      </c>
      <c r="D967" s="813" t="s">
        <v>14</v>
      </c>
      <c r="E967" s="813" t="s">
        <v>14</v>
      </c>
      <c r="F967" s="813" t="s">
        <v>875</v>
      </c>
      <c r="H967" s="819" t="s">
        <v>39</v>
      </c>
      <c r="I967" s="820" t="s">
        <v>20</v>
      </c>
      <c r="J967" s="820" t="s">
        <v>428</v>
      </c>
      <c r="L967" s="821">
        <v>4</v>
      </c>
      <c r="M967" s="637">
        <v>5</v>
      </c>
      <c r="N967" s="637">
        <v>5</v>
      </c>
      <c r="O967" s="821">
        <v>4</v>
      </c>
      <c r="P967" s="637">
        <v>5</v>
      </c>
      <c r="Q967" s="637">
        <v>5</v>
      </c>
      <c r="R967" s="806" t="s">
        <v>507</v>
      </c>
      <c r="T967" s="815" t="s">
        <v>172</v>
      </c>
      <c r="U967" s="900" t="s">
        <v>1220</v>
      </c>
    </row>
    <row r="968" spans="1:21" x14ac:dyDescent="0.25">
      <c r="A968" s="813">
        <v>1330</v>
      </c>
      <c r="B968" s="813" t="s">
        <v>367</v>
      </c>
      <c r="C968" s="813" t="s">
        <v>906</v>
      </c>
      <c r="D968" s="813" t="s">
        <v>14</v>
      </c>
      <c r="E968" s="813" t="s">
        <v>14</v>
      </c>
      <c r="F968" s="813" t="s">
        <v>959</v>
      </c>
      <c r="H968" s="819" t="s">
        <v>38</v>
      </c>
      <c r="I968" s="820" t="s">
        <v>20</v>
      </c>
      <c r="J968" s="820" t="s">
        <v>428</v>
      </c>
      <c r="L968" s="821">
        <v>1</v>
      </c>
      <c r="M968" s="637">
        <v>1</v>
      </c>
      <c r="N968" s="637">
        <v>1</v>
      </c>
      <c r="O968" s="821">
        <v>0</v>
      </c>
      <c r="P968" s="637">
        <v>0</v>
      </c>
      <c r="Q968" s="637">
        <v>0</v>
      </c>
      <c r="R968" s="806" t="s">
        <v>507</v>
      </c>
      <c r="T968" s="815" t="s">
        <v>172</v>
      </c>
      <c r="U968" s="900" t="s">
        <v>1220</v>
      </c>
    </row>
    <row r="969" spans="1:21" x14ac:dyDescent="0.25">
      <c r="A969" s="813">
        <v>1331</v>
      </c>
      <c r="B969" s="813" t="s">
        <v>367</v>
      </c>
      <c r="C969" s="813" t="s">
        <v>906</v>
      </c>
      <c r="D969" s="813" t="s">
        <v>14</v>
      </c>
      <c r="E969" s="813" t="s">
        <v>14</v>
      </c>
      <c r="F969" s="813" t="s">
        <v>889</v>
      </c>
      <c r="H969" s="819" t="s">
        <v>39</v>
      </c>
      <c r="I969" s="820" t="s">
        <v>20</v>
      </c>
      <c r="J969" s="820" t="s">
        <v>428</v>
      </c>
      <c r="L969" s="821">
        <v>9</v>
      </c>
      <c r="M969" s="637">
        <v>11</v>
      </c>
      <c r="N969" s="637">
        <v>11</v>
      </c>
      <c r="O969" s="821">
        <v>9</v>
      </c>
      <c r="P969" s="637">
        <v>11</v>
      </c>
      <c r="Q969" s="637">
        <v>11</v>
      </c>
      <c r="R969" s="806" t="s">
        <v>507</v>
      </c>
      <c r="T969" s="815" t="s">
        <v>172</v>
      </c>
      <c r="U969" s="900" t="s">
        <v>1220</v>
      </c>
    </row>
    <row r="970" spans="1:21" x14ac:dyDescent="0.25">
      <c r="A970" s="813">
        <v>1332</v>
      </c>
      <c r="B970" s="813" t="s">
        <v>367</v>
      </c>
      <c r="C970" s="813" t="s">
        <v>906</v>
      </c>
      <c r="D970" s="813" t="s">
        <v>14</v>
      </c>
      <c r="E970" s="813" t="s">
        <v>14</v>
      </c>
      <c r="F970" s="813" t="s">
        <v>907</v>
      </c>
      <c r="H970" s="819" t="s">
        <v>39</v>
      </c>
      <c r="I970" s="820" t="s">
        <v>20</v>
      </c>
      <c r="J970" s="820" t="s">
        <v>428</v>
      </c>
      <c r="L970" s="821">
        <v>1</v>
      </c>
      <c r="M970" s="637">
        <v>1</v>
      </c>
      <c r="N970" s="637">
        <v>1</v>
      </c>
      <c r="O970" s="821">
        <v>1</v>
      </c>
      <c r="P970" s="637">
        <v>1</v>
      </c>
      <c r="Q970" s="637">
        <v>1</v>
      </c>
      <c r="R970" s="813" t="s">
        <v>529</v>
      </c>
      <c r="T970" s="815" t="s">
        <v>172</v>
      </c>
      <c r="U970" s="900" t="s">
        <v>1220</v>
      </c>
    </row>
    <row r="971" spans="1:21" x14ac:dyDescent="0.25">
      <c r="A971" s="813">
        <v>1333</v>
      </c>
      <c r="B971" s="813" t="s">
        <v>367</v>
      </c>
      <c r="C971" s="813" t="s">
        <v>906</v>
      </c>
      <c r="D971" s="813" t="s">
        <v>14</v>
      </c>
      <c r="E971" s="813" t="s">
        <v>14</v>
      </c>
      <c r="F971" s="813" t="s">
        <v>869</v>
      </c>
      <c r="H971" s="819" t="s">
        <v>39</v>
      </c>
      <c r="I971" s="820" t="s">
        <v>20</v>
      </c>
      <c r="J971" s="820" t="s">
        <v>428</v>
      </c>
      <c r="L971" s="821">
        <v>33</v>
      </c>
      <c r="M971" s="637">
        <v>34</v>
      </c>
      <c r="N971" s="637">
        <v>34</v>
      </c>
      <c r="O971" s="821">
        <v>27</v>
      </c>
      <c r="P971" s="637">
        <v>28</v>
      </c>
      <c r="Q971" s="637">
        <v>28</v>
      </c>
      <c r="R971" s="806" t="s">
        <v>507</v>
      </c>
      <c r="T971" s="815" t="s">
        <v>172</v>
      </c>
      <c r="U971" s="900" t="s">
        <v>1220</v>
      </c>
    </row>
    <row r="972" spans="1:21" x14ac:dyDescent="0.25">
      <c r="A972" s="813">
        <v>1334</v>
      </c>
      <c r="B972" s="813" t="s">
        <v>367</v>
      </c>
      <c r="C972" s="813" t="s">
        <v>906</v>
      </c>
      <c r="D972" s="813" t="s">
        <v>14</v>
      </c>
      <c r="E972" s="813" t="s">
        <v>14</v>
      </c>
      <c r="F972" s="813" t="s">
        <v>875</v>
      </c>
      <c r="H972" s="819" t="s">
        <v>39</v>
      </c>
      <c r="I972" s="820" t="s">
        <v>20</v>
      </c>
      <c r="J972" s="820" t="s">
        <v>428</v>
      </c>
      <c r="L972" s="821">
        <v>73</v>
      </c>
      <c r="M972" s="637">
        <v>126</v>
      </c>
      <c r="N972" s="637">
        <v>126</v>
      </c>
      <c r="O972" s="821">
        <v>68</v>
      </c>
      <c r="P972" s="637">
        <v>117</v>
      </c>
      <c r="Q972" s="637">
        <v>117</v>
      </c>
      <c r="R972" s="806" t="s">
        <v>507</v>
      </c>
      <c r="T972" s="815" t="s">
        <v>172</v>
      </c>
      <c r="U972" s="900" t="s">
        <v>1220</v>
      </c>
    </row>
    <row r="973" spans="1:21" x14ac:dyDescent="0.25">
      <c r="A973" s="813">
        <v>1335</v>
      </c>
      <c r="B973" s="813" t="s">
        <v>367</v>
      </c>
      <c r="C973" s="813" t="s">
        <v>906</v>
      </c>
      <c r="D973" s="813" t="s">
        <v>14</v>
      </c>
      <c r="E973" s="813" t="s">
        <v>14</v>
      </c>
      <c r="F973" s="813" t="s">
        <v>974</v>
      </c>
      <c r="G973" s="813" t="s">
        <v>868</v>
      </c>
      <c r="H973" s="819" t="s">
        <v>35</v>
      </c>
      <c r="I973" s="820" t="s">
        <v>20</v>
      </c>
      <c r="J973" s="820" t="s">
        <v>428</v>
      </c>
      <c r="L973" s="821">
        <v>1</v>
      </c>
      <c r="M973" s="637">
        <v>304</v>
      </c>
      <c r="N973" s="637">
        <v>3612.5</v>
      </c>
      <c r="O973" s="821">
        <v>1</v>
      </c>
      <c r="P973" s="637">
        <v>304</v>
      </c>
      <c r="Q973" s="637">
        <v>3612.5</v>
      </c>
      <c r="R973" s="813" t="s">
        <v>172</v>
      </c>
      <c r="T973" s="815" t="s">
        <v>172</v>
      </c>
      <c r="U973" s="900" t="s">
        <v>1220</v>
      </c>
    </row>
    <row r="974" spans="1:21" x14ac:dyDescent="0.25">
      <c r="A974" s="813">
        <v>1336</v>
      </c>
      <c r="B974" s="813" t="s">
        <v>367</v>
      </c>
      <c r="C974" s="813" t="s">
        <v>906</v>
      </c>
      <c r="D974" s="813" t="s">
        <v>14</v>
      </c>
      <c r="E974" s="813" t="s">
        <v>14</v>
      </c>
      <c r="F974" s="813" t="s">
        <v>1115</v>
      </c>
      <c r="G974" s="813" t="s">
        <v>868</v>
      </c>
      <c r="H974" s="819" t="s">
        <v>35</v>
      </c>
      <c r="I974" s="820" t="s">
        <v>20</v>
      </c>
      <c r="J974" s="820" t="s">
        <v>428</v>
      </c>
      <c r="L974" s="821">
        <v>102</v>
      </c>
      <c r="M974" s="637">
        <v>14170</v>
      </c>
      <c r="N974" s="637">
        <v>94715.5</v>
      </c>
      <c r="O974" s="821">
        <v>89</v>
      </c>
      <c r="P974" s="637">
        <v>12950</v>
      </c>
      <c r="Q974" s="637">
        <v>86054.25</v>
      </c>
      <c r="R974" s="813" t="s">
        <v>172</v>
      </c>
      <c r="T974" s="815" t="s">
        <v>172</v>
      </c>
      <c r="U974" s="900" t="s">
        <v>1220</v>
      </c>
    </row>
    <row r="975" spans="1:21" x14ac:dyDescent="0.25">
      <c r="A975" s="813">
        <v>1337</v>
      </c>
      <c r="B975" s="813" t="s">
        <v>367</v>
      </c>
      <c r="C975" s="813" t="s">
        <v>906</v>
      </c>
      <c r="D975" s="813" t="s">
        <v>14</v>
      </c>
      <c r="E975" s="813" t="s">
        <v>14</v>
      </c>
      <c r="F975" s="813" t="s">
        <v>1116</v>
      </c>
      <c r="G975" s="813" t="s">
        <v>868</v>
      </c>
      <c r="H975" s="819" t="s">
        <v>35</v>
      </c>
      <c r="I975" s="820" t="s">
        <v>20</v>
      </c>
      <c r="J975" s="820" t="s">
        <v>428</v>
      </c>
      <c r="L975" s="821">
        <v>1</v>
      </c>
      <c r="M975" s="637">
        <v>65</v>
      </c>
      <c r="N975" s="637">
        <v>327.25</v>
      </c>
      <c r="O975" s="821">
        <v>1</v>
      </c>
      <c r="P975" s="637">
        <v>65</v>
      </c>
      <c r="Q975" s="637">
        <v>327.25</v>
      </c>
      <c r="R975" s="813" t="s">
        <v>172</v>
      </c>
      <c r="T975" s="815" t="s">
        <v>172</v>
      </c>
      <c r="U975" s="900" t="s">
        <v>1220</v>
      </c>
    </row>
    <row r="976" spans="1:21" x14ac:dyDescent="0.25">
      <c r="A976" s="813">
        <v>1338</v>
      </c>
      <c r="B976" s="813" t="s">
        <v>367</v>
      </c>
      <c r="C976" s="813" t="s">
        <v>906</v>
      </c>
      <c r="D976" s="813" t="s">
        <v>14</v>
      </c>
      <c r="E976" s="813" t="s">
        <v>14</v>
      </c>
      <c r="F976" s="813" t="s">
        <v>1117</v>
      </c>
      <c r="G976" s="813" t="s">
        <v>967</v>
      </c>
      <c r="H976" s="819" t="s">
        <v>41</v>
      </c>
      <c r="I976" s="820" t="s">
        <v>20</v>
      </c>
      <c r="J976" s="820" t="s">
        <v>428</v>
      </c>
      <c r="L976" s="821">
        <v>20</v>
      </c>
      <c r="M976" s="637">
        <v>1042</v>
      </c>
      <c r="N976" s="637">
        <v>8445.75</v>
      </c>
      <c r="O976" s="821">
        <v>20</v>
      </c>
      <c r="P976" s="637">
        <v>1042</v>
      </c>
      <c r="Q976" s="637">
        <v>8445.75</v>
      </c>
      <c r="R976" s="813" t="s">
        <v>172</v>
      </c>
      <c r="T976" s="815" t="s">
        <v>172</v>
      </c>
      <c r="U976" s="900" t="s">
        <v>1220</v>
      </c>
    </row>
    <row r="977" spans="1:21" x14ac:dyDescent="0.25">
      <c r="A977" s="813">
        <v>1339</v>
      </c>
      <c r="B977" s="813" t="s">
        <v>367</v>
      </c>
      <c r="C977" s="813" t="s">
        <v>906</v>
      </c>
      <c r="D977" s="813" t="s">
        <v>14</v>
      </c>
      <c r="E977" s="813" t="s">
        <v>14</v>
      </c>
      <c r="F977" s="813" t="s">
        <v>1118</v>
      </c>
      <c r="G977" s="813" t="s">
        <v>964</v>
      </c>
      <c r="H977" s="819" t="s">
        <v>41</v>
      </c>
      <c r="I977" s="820" t="s">
        <v>20</v>
      </c>
      <c r="J977" s="820" t="s">
        <v>428</v>
      </c>
      <c r="L977" s="821">
        <v>3</v>
      </c>
      <c r="M977" s="637">
        <v>120</v>
      </c>
      <c r="N977" s="637">
        <v>469</v>
      </c>
      <c r="O977" s="821">
        <v>3</v>
      </c>
      <c r="P977" s="637">
        <v>120</v>
      </c>
      <c r="Q977" s="637">
        <v>469</v>
      </c>
      <c r="R977" s="813" t="s">
        <v>172</v>
      </c>
      <c r="T977" s="815" t="s">
        <v>172</v>
      </c>
      <c r="U977" s="900" t="s">
        <v>1220</v>
      </c>
    </row>
    <row r="978" spans="1:21" x14ac:dyDescent="0.25">
      <c r="A978" s="813">
        <v>1340</v>
      </c>
      <c r="B978" s="813" t="s">
        <v>367</v>
      </c>
      <c r="C978" s="813" t="s">
        <v>906</v>
      </c>
      <c r="D978" s="813" t="s">
        <v>14</v>
      </c>
      <c r="E978" s="813" t="s">
        <v>14</v>
      </c>
      <c r="F978" s="813" t="s">
        <v>1119</v>
      </c>
      <c r="G978" s="813" t="s">
        <v>933</v>
      </c>
      <c r="H978" s="819" t="s">
        <v>37</v>
      </c>
      <c r="I978" s="820" t="s">
        <v>20</v>
      </c>
      <c r="J978" s="820" t="s">
        <v>428</v>
      </c>
      <c r="L978" s="821">
        <v>2</v>
      </c>
      <c r="M978" s="637">
        <v>12</v>
      </c>
      <c r="N978" s="637">
        <v>156</v>
      </c>
      <c r="O978" s="821">
        <v>2</v>
      </c>
      <c r="P978" s="637">
        <v>12</v>
      </c>
      <c r="Q978" s="637">
        <v>156</v>
      </c>
      <c r="R978" s="813" t="s">
        <v>172</v>
      </c>
      <c r="T978" s="815">
        <v>13</v>
      </c>
      <c r="U978" s="900" t="s">
        <v>1220</v>
      </c>
    </row>
    <row r="979" spans="1:21" x14ac:dyDescent="0.25">
      <c r="A979" s="813">
        <v>1341</v>
      </c>
      <c r="B979" s="813" t="s">
        <v>367</v>
      </c>
      <c r="C979" s="813" t="s">
        <v>906</v>
      </c>
      <c r="D979" s="813" t="s">
        <v>14</v>
      </c>
      <c r="E979" s="813" t="s">
        <v>14</v>
      </c>
      <c r="F979" s="813" t="s">
        <v>1120</v>
      </c>
      <c r="G979" s="813" t="s">
        <v>933</v>
      </c>
      <c r="H979" s="819" t="s">
        <v>37</v>
      </c>
      <c r="I979" s="820" t="s">
        <v>20</v>
      </c>
      <c r="J979" s="820" t="s">
        <v>428</v>
      </c>
      <c r="L979" s="821">
        <v>1</v>
      </c>
      <c r="M979" s="637">
        <v>152</v>
      </c>
      <c r="N979" s="637">
        <v>1976</v>
      </c>
      <c r="O979" s="821">
        <v>1</v>
      </c>
      <c r="P979" s="637">
        <v>152</v>
      </c>
      <c r="Q979" s="637">
        <v>1976</v>
      </c>
      <c r="R979" s="813" t="s">
        <v>172</v>
      </c>
      <c r="T979" s="815">
        <v>13</v>
      </c>
      <c r="U979" s="900" t="s">
        <v>1220</v>
      </c>
    </row>
    <row r="980" spans="1:21" x14ac:dyDescent="0.25">
      <c r="A980" s="813">
        <v>1342</v>
      </c>
      <c r="B980" s="813" t="s">
        <v>367</v>
      </c>
      <c r="C980" s="813" t="s">
        <v>906</v>
      </c>
      <c r="D980" s="813" t="s">
        <v>14</v>
      </c>
      <c r="E980" s="813" t="s">
        <v>14</v>
      </c>
      <c r="F980" s="813" t="s">
        <v>1121</v>
      </c>
      <c r="G980" s="813" t="s">
        <v>978</v>
      </c>
      <c r="H980" s="819" t="s">
        <v>37</v>
      </c>
      <c r="I980" s="820" t="s">
        <v>20</v>
      </c>
      <c r="J980" s="820" t="s">
        <v>428</v>
      </c>
      <c r="L980" s="821">
        <v>2</v>
      </c>
      <c r="M980" s="637">
        <v>205</v>
      </c>
      <c r="N980" s="637">
        <v>2665</v>
      </c>
      <c r="O980" s="821">
        <v>2</v>
      </c>
      <c r="P980" s="637">
        <v>205</v>
      </c>
      <c r="Q980" s="637">
        <v>2665</v>
      </c>
      <c r="R980" s="813" t="s">
        <v>172</v>
      </c>
      <c r="T980" s="815">
        <v>13</v>
      </c>
      <c r="U980" s="900" t="s">
        <v>1220</v>
      </c>
    </row>
    <row r="981" spans="1:21" x14ac:dyDescent="0.25">
      <c r="A981" s="813">
        <v>1348</v>
      </c>
      <c r="B981" s="813" t="s">
        <v>367</v>
      </c>
      <c r="C981" s="813" t="s">
        <v>909</v>
      </c>
      <c r="D981" s="813" t="s">
        <v>14</v>
      </c>
      <c r="E981" s="813" t="s">
        <v>15</v>
      </c>
      <c r="F981" s="813" t="s">
        <v>997</v>
      </c>
      <c r="G981" s="813" t="s">
        <v>863</v>
      </c>
      <c r="H981" s="819" t="s">
        <v>18</v>
      </c>
      <c r="I981" s="820" t="s">
        <v>15</v>
      </c>
      <c r="J981" s="820" t="s">
        <v>421</v>
      </c>
      <c r="L981" s="821">
        <v>1</v>
      </c>
      <c r="M981" s="637">
        <v>716</v>
      </c>
      <c r="N981" s="637">
        <v>3881.75</v>
      </c>
      <c r="O981" s="821">
        <v>1</v>
      </c>
      <c r="P981" s="637">
        <v>716</v>
      </c>
      <c r="Q981" s="637">
        <v>3881.75</v>
      </c>
      <c r="R981" s="813" t="s">
        <v>172</v>
      </c>
      <c r="T981" s="815" t="s">
        <v>172</v>
      </c>
      <c r="U981" s="900" t="s">
        <v>1220</v>
      </c>
    </row>
    <row r="982" spans="1:21" x14ac:dyDescent="0.25">
      <c r="A982" s="813">
        <v>1349</v>
      </c>
      <c r="B982" s="813" t="s">
        <v>367</v>
      </c>
      <c r="C982" s="813" t="s">
        <v>909</v>
      </c>
      <c r="D982" s="813" t="s">
        <v>14</v>
      </c>
      <c r="E982" s="813" t="s">
        <v>15</v>
      </c>
      <c r="F982" s="813" t="s">
        <v>1105</v>
      </c>
      <c r="G982" s="813" t="s">
        <v>863</v>
      </c>
      <c r="H982" s="819" t="s">
        <v>18</v>
      </c>
      <c r="I982" s="820" t="s">
        <v>15</v>
      </c>
      <c r="J982" s="820" t="s">
        <v>421</v>
      </c>
      <c r="L982" s="821">
        <v>72</v>
      </c>
      <c r="M982" s="637">
        <v>15218</v>
      </c>
      <c r="N982" s="637">
        <v>89542.75</v>
      </c>
      <c r="O982" s="821">
        <v>64</v>
      </c>
      <c r="P982" s="637">
        <v>14719</v>
      </c>
      <c r="Q982" s="637">
        <v>86699.5</v>
      </c>
      <c r="R982" s="813" t="s">
        <v>172</v>
      </c>
      <c r="T982" s="815" t="s">
        <v>172</v>
      </c>
      <c r="U982" s="900" t="s">
        <v>1220</v>
      </c>
    </row>
    <row r="983" spans="1:21" x14ac:dyDescent="0.25">
      <c r="A983" s="813">
        <v>1350</v>
      </c>
      <c r="B983" s="813" t="s">
        <v>367</v>
      </c>
      <c r="C983" s="813" t="s">
        <v>909</v>
      </c>
      <c r="D983" s="813" t="s">
        <v>14</v>
      </c>
      <c r="E983" s="813" t="s">
        <v>15</v>
      </c>
      <c r="F983" s="813" t="s">
        <v>1122</v>
      </c>
      <c r="G983" s="813" t="s">
        <v>863</v>
      </c>
      <c r="H983" s="819" t="s">
        <v>18</v>
      </c>
      <c r="I983" s="820" t="s">
        <v>15</v>
      </c>
      <c r="J983" s="820" t="s">
        <v>421</v>
      </c>
      <c r="L983" s="821">
        <v>1</v>
      </c>
      <c r="M983" s="637">
        <v>333</v>
      </c>
      <c r="N983" s="637">
        <v>1996.75</v>
      </c>
      <c r="O983" s="821">
        <v>1</v>
      </c>
      <c r="P983" s="637">
        <v>333</v>
      </c>
      <c r="Q983" s="637">
        <v>1996.75</v>
      </c>
      <c r="R983" s="813" t="s">
        <v>172</v>
      </c>
      <c r="T983" s="815" t="s">
        <v>172</v>
      </c>
      <c r="U983" s="900" t="s">
        <v>1220</v>
      </c>
    </row>
    <row r="984" spans="1:21" x14ac:dyDescent="0.25">
      <c r="A984" s="813">
        <v>1351</v>
      </c>
      <c r="B984" s="813" t="s">
        <v>367</v>
      </c>
      <c r="C984" s="813" t="s">
        <v>909</v>
      </c>
      <c r="D984" s="813" t="s">
        <v>14</v>
      </c>
      <c r="E984" s="813" t="s">
        <v>15</v>
      </c>
      <c r="F984" s="813" t="s">
        <v>1123</v>
      </c>
      <c r="G984" s="813" t="s">
        <v>957</v>
      </c>
      <c r="H984" s="819" t="s">
        <v>44</v>
      </c>
      <c r="I984" s="820" t="s">
        <v>15</v>
      </c>
      <c r="J984" s="820" t="s">
        <v>421</v>
      </c>
      <c r="L984" s="821">
        <v>4</v>
      </c>
      <c r="M984" s="637">
        <v>503</v>
      </c>
      <c r="N984" s="637">
        <v>1633.75</v>
      </c>
      <c r="O984" s="821">
        <v>4</v>
      </c>
      <c r="P984" s="637">
        <v>503</v>
      </c>
      <c r="Q984" s="637">
        <v>1633.75</v>
      </c>
      <c r="R984" s="813" t="s">
        <v>172</v>
      </c>
      <c r="T984" s="815" t="s">
        <v>172</v>
      </c>
      <c r="U984" s="900" t="s">
        <v>1220</v>
      </c>
    </row>
    <row r="985" spans="1:21" x14ac:dyDescent="0.25">
      <c r="A985" s="813">
        <v>1352</v>
      </c>
      <c r="B985" s="813" t="s">
        <v>367</v>
      </c>
      <c r="C985" s="813" t="s">
        <v>909</v>
      </c>
      <c r="D985" s="813" t="s">
        <v>14</v>
      </c>
      <c r="E985" s="813" t="s">
        <v>15</v>
      </c>
      <c r="F985" s="813" t="s">
        <v>1124</v>
      </c>
      <c r="G985" s="813" t="s">
        <v>934</v>
      </c>
      <c r="H985" s="819" t="s">
        <v>43</v>
      </c>
      <c r="I985" s="820" t="s">
        <v>15</v>
      </c>
      <c r="J985" s="820" t="s">
        <v>421</v>
      </c>
      <c r="L985" s="821">
        <v>1</v>
      </c>
      <c r="M985" s="637">
        <v>299</v>
      </c>
      <c r="N985" s="637">
        <v>3887</v>
      </c>
      <c r="O985" s="821">
        <v>1</v>
      </c>
      <c r="P985" s="637">
        <v>299</v>
      </c>
      <c r="Q985" s="637">
        <v>3887</v>
      </c>
      <c r="R985" s="813" t="s">
        <v>172</v>
      </c>
      <c r="T985" s="815">
        <v>13</v>
      </c>
      <c r="U985" s="900" t="s">
        <v>1220</v>
      </c>
    </row>
    <row r="986" spans="1:21" x14ac:dyDescent="0.25">
      <c r="A986" s="813">
        <v>1353</v>
      </c>
      <c r="B986" s="813" t="s">
        <v>367</v>
      </c>
      <c r="C986" s="813" t="s">
        <v>909</v>
      </c>
      <c r="D986" s="813" t="s">
        <v>14</v>
      </c>
      <c r="E986" s="813" t="s">
        <v>15</v>
      </c>
      <c r="F986" s="813" t="s">
        <v>1125</v>
      </c>
      <c r="G986" s="813" t="s">
        <v>1126</v>
      </c>
      <c r="H986" s="819" t="s">
        <v>46</v>
      </c>
      <c r="I986" s="820" t="s">
        <v>15</v>
      </c>
      <c r="J986" s="820" t="s">
        <v>421</v>
      </c>
      <c r="L986" s="821">
        <v>1</v>
      </c>
      <c r="M986" s="637">
        <v>1</v>
      </c>
      <c r="N986" s="637">
        <v>13</v>
      </c>
      <c r="O986" s="821">
        <v>1</v>
      </c>
      <c r="P986" s="637">
        <v>1</v>
      </c>
      <c r="Q986" s="637">
        <v>13</v>
      </c>
      <c r="R986" s="813" t="s">
        <v>172</v>
      </c>
      <c r="T986" s="815">
        <v>13</v>
      </c>
      <c r="U986" s="900" t="s">
        <v>1220</v>
      </c>
    </row>
    <row r="987" spans="1:21" x14ac:dyDescent="0.25">
      <c r="A987" s="813">
        <v>1354</v>
      </c>
      <c r="B987" s="813" t="s">
        <v>367</v>
      </c>
      <c r="C987" s="813" t="s">
        <v>914</v>
      </c>
      <c r="D987" s="813" t="s">
        <v>434</v>
      </c>
      <c r="E987" s="813" t="s">
        <v>14</v>
      </c>
      <c r="F987" s="813" t="s">
        <v>885</v>
      </c>
      <c r="G987" s="813" t="s">
        <v>868</v>
      </c>
      <c r="H987" s="819" t="s">
        <v>35</v>
      </c>
      <c r="I987" s="820" t="s">
        <v>20</v>
      </c>
      <c r="J987" s="820" t="s">
        <v>428</v>
      </c>
      <c r="L987" s="821">
        <v>2</v>
      </c>
      <c r="M987" s="637">
        <v>61</v>
      </c>
      <c r="N987" s="637">
        <v>216.75</v>
      </c>
      <c r="O987" s="821">
        <v>1</v>
      </c>
      <c r="P987" s="637">
        <v>59</v>
      </c>
      <c r="Q987" s="637">
        <v>211.75</v>
      </c>
      <c r="R987" s="813" t="s">
        <v>172</v>
      </c>
      <c r="T987" s="815" t="s">
        <v>172</v>
      </c>
      <c r="U987" s="900" t="s">
        <v>1220</v>
      </c>
    </row>
    <row r="988" spans="1:21" x14ac:dyDescent="0.25">
      <c r="A988" s="813">
        <v>1355</v>
      </c>
      <c r="B988" s="813" t="s">
        <v>367</v>
      </c>
      <c r="C988" s="813" t="s">
        <v>914</v>
      </c>
      <c r="D988" s="813" t="s">
        <v>434</v>
      </c>
      <c r="E988" s="813" t="s">
        <v>14</v>
      </c>
      <c r="F988" s="813" t="s">
        <v>1127</v>
      </c>
      <c r="G988" s="813" t="s">
        <v>967</v>
      </c>
      <c r="H988" s="819" t="s">
        <v>41</v>
      </c>
      <c r="I988" s="820" t="s">
        <v>20</v>
      </c>
      <c r="J988" s="820" t="s">
        <v>428</v>
      </c>
      <c r="L988" s="821">
        <v>3</v>
      </c>
      <c r="M988" s="637">
        <v>20</v>
      </c>
      <c r="N988" s="637">
        <v>74.25</v>
      </c>
      <c r="O988" s="821">
        <v>3</v>
      </c>
      <c r="P988" s="637">
        <v>20</v>
      </c>
      <c r="Q988" s="637">
        <v>74.25</v>
      </c>
      <c r="R988" s="813" t="s">
        <v>172</v>
      </c>
      <c r="T988" s="815" t="s">
        <v>172</v>
      </c>
      <c r="U988" s="900" t="s">
        <v>1220</v>
      </c>
    </row>
    <row r="989" spans="1:21" x14ac:dyDescent="0.25">
      <c r="A989" s="813">
        <v>1356</v>
      </c>
      <c r="B989" s="813" t="s">
        <v>367</v>
      </c>
      <c r="C989" s="813" t="s">
        <v>914</v>
      </c>
      <c r="D989" s="813" t="s">
        <v>434</v>
      </c>
      <c r="E989" s="813" t="s">
        <v>14</v>
      </c>
      <c r="F989" s="813" t="s">
        <v>875</v>
      </c>
      <c r="H989" s="819" t="s">
        <v>39</v>
      </c>
      <c r="I989" s="820" t="s">
        <v>20</v>
      </c>
      <c r="J989" s="820" t="s">
        <v>428</v>
      </c>
      <c r="L989" s="821">
        <v>4</v>
      </c>
      <c r="M989" s="637">
        <v>4</v>
      </c>
      <c r="N989" s="637">
        <v>4</v>
      </c>
      <c r="O989" s="821">
        <v>3</v>
      </c>
      <c r="P989" s="637">
        <v>3</v>
      </c>
      <c r="Q989" s="637">
        <v>3</v>
      </c>
      <c r="R989" s="806" t="s">
        <v>507</v>
      </c>
      <c r="T989" s="815" t="s">
        <v>172</v>
      </c>
      <c r="U989" s="900" t="s">
        <v>1220</v>
      </c>
    </row>
    <row r="990" spans="1:21" x14ac:dyDescent="0.25">
      <c r="A990" s="813">
        <v>1358</v>
      </c>
      <c r="B990" s="813" t="s">
        <v>341</v>
      </c>
      <c r="C990" s="813" t="s">
        <v>861</v>
      </c>
      <c r="D990" s="813" t="s">
        <v>14</v>
      </c>
      <c r="E990" s="813" t="s">
        <v>15</v>
      </c>
      <c r="F990" s="813" t="s">
        <v>992</v>
      </c>
      <c r="G990" s="813" t="s">
        <v>863</v>
      </c>
      <c r="H990" s="819" t="s">
        <v>18</v>
      </c>
      <c r="I990" s="820" t="s">
        <v>15</v>
      </c>
      <c r="J990" s="820" t="s">
        <v>421</v>
      </c>
      <c r="L990" s="821">
        <v>3</v>
      </c>
      <c r="M990" s="637">
        <v>828</v>
      </c>
      <c r="N990" s="637">
        <v>2863.5</v>
      </c>
      <c r="O990" s="821">
        <v>3</v>
      </c>
      <c r="P990" s="637">
        <v>828</v>
      </c>
      <c r="Q990" s="637">
        <v>2863.5</v>
      </c>
      <c r="R990" s="813" t="s">
        <v>172</v>
      </c>
      <c r="T990" s="815" t="s">
        <v>172</v>
      </c>
      <c r="U990" s="900" t="s">
        <v>1220</v>
      </c>
    </row>
    <row r="991" spans="1:21" x14ac:dyDescent="0.25">
      <c r="A991" s="813">
        <v>1359</v>
      </c>
      <c r="B991" s="813" t="s">
        <v>341</v>
      </c>
      <c r="C991" s="813" t="s">
        <v>861</v>
      </c>
      <c r="D991" s="813" t="s">
        <v>14</v>
      </c>
      <c r="E991" s="813" t="s">
        <v>15</v>
      </c>
      <c r="F991" s="813" t="s">
        <v>993</v>
      </c>
      <c r="G991" s="813" t="s">
        <v>863</v>
      </c>
      <c r="H991" s="819" t="s">
        <v>18</v>
      </c>
      <c r="I991" s="820" t="s">
        <v>15</v>
      </c>
      <c r="J991" s="820" t="s">
        <v>421</v>
      </c>
      <c r="L991" s="821">
        <v>5</v>
      </c>
      <c r="M991" s="637">
        <v>774</v>
      </c>
      <c r="N991" s="637">
        <v>3324.5</v>
      </c>
      <c r="O991" s="821">
        <v>5</v>
      </c>
      <c r="P991" s="637">
        <v>774</v>
      </c>
      <c r="Q991" s="637">
        <v>3324.5</v>
      </c>
      <c r="R991" s="813" t="s">
        <v>172</v>
      </c>
      <c r="T991" s="815" t="s">
        <v>172</v>
      </c>
      <c r="U991" s="900" t="s">
        <v>1220</v>
      </c>
    </row>
    <row r="992" spans="1:21" x14ac:dyDescent="0.25">
      <c r="A992" s="813">
        <v>1361</v>
      </c>
      <c r="B992" s="813" t="s">
        <v>341</v>
      </c>
      <c r="C992" s="813" t="s">
        <v>928</v>
      </c>
      <c r="D992" s="813" t="s">
        <v>14</v>
      </c>
      <c r="E992" s="813" t="s">
        <v>15</v>
      </c>
      <c r="F992" s="813" t="s">
        <v>863</v>
      </c>
      <c r="G992" s="813" t="s">
        <v>863</v>
      </c>
      <c r="H992" s="819" t="s">
        <v>18</v>
      </c>
      <c r="I992" s="820" t="s">
        <v>15</v>
      </c>
      <c r="J992" s="820" t="s">
        <v>421</v>
      </c>
      <c r="L992" s="821">
        <v>2</v>
      </c>
      <c r="M992" s="637">
        <v>225</v>
      </c>
      <c r="N992" s="637">
        <v>2043.75</v>
      </c>
      <c r="O992" s="821">
        <v>2</v>
      </c>
      <c r="P992" s="637">
        <v>225</v>
      </c>
      <c r="Q992" s="637">
        <v>2043.75</v>
      </c>
      <c r="R992" s="813" t="s">
        <v>172</v>
      </c>
      <c r="T992" s="815" t="s">
        <v>172</v>
      </c>
      <c r="U992" s="900" t="s">
        <v>1220</v>
      </c>
    </row>
    <row r="993" spans="1:21" x14ac:dyDescent="0.25">
      <c r="A993" s="813">
        <v>1363</v>
      </c>
      <c r="B993" s="813" t="s">
        <v>341</v>
      </c>
      <c r="C993" s="813" t="s">
        <v>876</v>
      </c>
      <c r="D993" s="813" t="s">
        <v>434</v>
      </c>
      <c r="E993" s="813" t="s">
        <v>15</v>
      </c>
      <c r="F993" s="813" t="s">
        <v>863</v>
      </c>
      <c r="G993" s="813" t="s">
        <v>863</v>
      </c>
      <c r="H993" s="819" t="s">
        <v>18</v>
      </c>
      <c r="I993" s="820" t="s">
        <v>15</v>
      </c>
      <c r="J993" s="820" t="s">
        <v>421</v>
      </c>
      <c r="L993" s="821">
        <v>9</v>
      </c>
      <c r="M993" s="637">
        <v>1070</v>
      </c>
      <c r="N993" s="637">
        <v>4178.25</v>
      </c>
      <c r="O993" s="821">
        <v>9</v>
      </c>
      <c r="P993" s="637">
        <v>1070</v>
      </c>
      <c r="Q993" s="637">
        <v>4178.25</v>
      </c>
      <c r="R993" s="813" t="s">
        <v>172</v>
      </c>
      <c r="T993" s="815" t="s">
        <v>172</v>
      </c>
      <c r="U993" s="900" t="s">
        <v>1220</v>
      </c>
    </row>
    <row r="994" spans="1:21" x14ac:dyDescent="0.25">
      <c r="A994" s="813">
        <v>1365</v>
      </c>
      <c r="B994" s="813" t="s">
        <v>341</v>
      </c>
      <c r="C994" s="813" t="s">
        <v>935</v>
      </c>
      <c r="D994" s="813" t="s">
        <v>495</v>
      </c>
      <c r="E994" s="813" t="s">
        <v>15</v>
      </c>
      <c r="F994" s="813" t="s">
        <v>936</v>
      </c>
      <c r="G994" s="813" t="s">
        <v>863</v>
      </c>
      <c r="H994" s="819" t="s">
        <v>18</v>
      </c>
      <c r="I994" s="820" t="s">
        <v>15</v>
      </c>
      <c r="J994" s="820" t="s">
        <v>421</v>
      </c>
      <c r="L994" s="821">
        <v>1</v>
      </c>
      <c r="M994" s="637">
        <v>127</v>
      </c>
      <c r="N994" s="637">
        <v>1102.25</v>
      </c>
      <c r="O994" s="821">
        <v>1</v>
      </c>
      <c r="P994" s="637">
        <v>127</v>
      </c>
      <c r="Q994" s="637">
        <v>1102.25</v>
      </c>
      <c r="R994" s="813" t="s">
        <v>172</v>
      </c>
      <c r="T994" s="815" t="s">
        <v>172</v>
      </c>
      <c r="U994" s="900" t="s">
        <v>1220</v>
      </c>
    </row>
    <row r="995" spans="1:21" x14ac:dyDescent="0.25">
      <c r="A995" s="813">
        <v>1366</v>
      </c>
      <c r="B995" s="813" t="s">
        <v>341</v>
      </c>
      <c r="C995" s="813" t="s">
        <v>935</v>
      </c>
      <c r="D995" s="813" t="s">
        <v>495</v>
      </c>
      <c r="E995" s="813" t="s">
        <v>15</v>
      </c>
      <c r="F995" s="813" t="s">
        <v>989</v>
      </c>
      <c r="G995" s="813" t="s">
        <v>863</v>
      </c>
      <c r="H995" s="819" t="s">
        <v>18</v>
      </c>
      <c r="I995" s="820" t="s">
        <v>15</v>
      </c>
      <c r="J995" s="820" t="s">
        <v>421</v>
      </c>
      <c r="L995" s="821">
        <v>2</v>
      </c>
      <c r="M995" s="637">
        <v>524</v>
      </c>
      <c r="N995" s="637">
        <v>2088</v>
      </c>
      <c r="O995" s="821">
        <v>2</v>
      </c>
      <c r="P995" s="637">
        <v>524</v>
      </c>
      <c r="Q995" s="637">
        <v>2088</v>
      </c>
      <c r="R995" s="813" t="s">
        <v>172</v>
      </c>
      <c r="T995" s="815" t="s">
        <v>172</v>
      </c>
      <c r="U995" s="900" t="s">
        <v>1220</v>
      </c>
    </row>
    <row r="996" spans="1:21" x14ac:dyDescent="0.25">
      <c r="A996" s="813">
        <v>1369</v>
      </c>
      <c r="B996" s="813" t="s">
        <v>341</v>
      </c>
      <c r="C996" s="813" t="s">
        <v>943</v>
      </c>
      <c r="D996" s="813" t="s">
        <v>13</v>
      </c>
      <c r="E996" s="813" t="s">
        <v>15</v>
      </c>
      <c r="F996" s="813" t="s">
        <v>863</v>
      </c>
      <c r="G996" s="813" t="s">
        <v>863</v>
      </c>
      <c r="H996" s="819" t="s">
        <v>18</v>
      </c>
      <c r="I996" s="820" t="s">
        <v>15</v>
      </c>
      <c r="J996" s="820" t="s">
        <v>421</v>
      </c>
      <c r="L996" s="821">
        <v>1</v>
      </c>
      <c r="M996" s="637">
        <v>230</v>
      </c>
      <c r="N996" s="637">
        <v>1422.5</v>
      </c>
      <c r="O996" s="821">
        <v>1</v>
      </c>
      <c r="P996" s="637">
        <v>230</v>
      </c>
      <c r="Q996" s="637">
        <v>1422.5</v>
      </c>
      <c r="R996" s="813" t="s">
        <v>172</v>
      </c>
      <c r="T996" s="815" t="s">
        <v>172</v>
      </c>
      <c r="U996" s="900" t="s">
        <v>1220</v>
      </c>
    </row>
    <row r="997" spans="1:21" x14ac:dyDescent="0.25">
      <c r="A997" s="813">
        <v>1372</v>
      </c>
      <c r="B997" s="813" t="s">
        <v>341</v>
      </c>
      <c r="C997" s="813" t="s">
        <v>909</v>
      </c>
      <c r="D997" s="813" t="s">
        <v>14</v>
      </c>
      <c r="E997" s="813" t="s">
        <v>15</v>
      </c>
      <c r="F997" s="813" t="s">
        <v>1128</v>
      </c>
      <c r="G997" s="813" t="s">
        <v>863</v>
      </c>
      <c r="H997" s="819" t="s">
        <v>18</v>
      </c>
      <c r="I997" s="820" t="s">
        <v>15</v>
      </c>
      <c r="J997" s="820" t="s">
        <v>421</v>
      </c>
      <c r="L997" s="821">
        <v>11</v>
      </c>
      <c r="M997" s="637">
        <v>3066</v>
      </c>
      <c r="N997" s="637">
        <v>17324.75</v>
      </c>
      <c r="O997" s="821">
        <v>10</v>
      </c>
      <c r="P997" s="637">
        <v>2888</v>
      </c>
      <c r="Q997" s="637">
        <v>16612.75</v>
      </c>
      <c r="R997" s="813" t="s">
        <v>172</v>
      </c>
      <c r="T997" s="815" t="s">
        <v>172</v>
      </c>
      <c r="U997" s="900" t="s">
        <v>1220</v>
      </c>
    </row>
    <row r="998" spans="1:21" x14ac:dyDescent="0.25">
      <c r="A998" s="813">
        <v>1374</v>
      </c>
      <c r="B998" s="813" t="s">
        <v>342</v>
      </c>
      <c r="C998" s="813" t="s">
        <v>876</v>
      </c>
      <c r="D998" s="813" t="s">
        <v>434</v>
      </c>
      <c r="E998" s="813" t="s">
        <v>15</v>
      </c>
      <c r="F998" s="813" t="s">
        <v>863</v>
      </c>
      <c r="G998" s="813" t="s">
        <v>863</v>
      </c>
      <c r="H998" s="819" t="s">
        <v>18</v>
      </c>
      <c r="I998" s="820" t="s">
        <v>15</v>
      </c>
      <c r="J998" s="820" t="s">
        <v>421</v>
      </c>
      <c r="L998" s="821">
        <v>10</v>
      </c>
      <c r="M998" s="637">
        <v>1206</v>
      </c>
      <c r="N998" s="637">
        <v>5194.25</v>
      </c>
      <c r="O998" s="821">
        <v>10</v>
      </c>
      <c r="P998" s="637">
        <v>1206</v>
      </c>
      <c r="Q998" s="637">
        <v>5194.25</v>
      </c>
      <c r="R998" s="813" t="s">
        <v>172</v>
      </c>
      <c r="T998" s="815" t="s">
        <v>172</v>
      </c>
      <c r="U998" s="900" t="s">
        <v>1220</v>
      </c>
    </row>
    <row r="999" spans="1:21" x14ac:dyDescent="0.25">
      <c r="A999" s="813">
        <v>1377</v>
      </c>
      <c r="B999" s="813" t="s">
        <v>342</v>
      </c>
      <c r="C999" s="813" t="s">
        <v>897</v>
      </c>
      <c r="D999" s="813" t="s">
        <v>14</v>
      </c>
      <c r="E999" s="813" t="s">
        <v>15</v>
      </c>
      <c r="F999" s="813" t="s">
        <v>898</v>
      </c>
      <c r="G999" s="813" t="s">
        <v>863</v>
      </c>
      <c r="H999" s="819" t="s">
        <v>18</v>
      </c>
      <c r="I999" s="820" t="s">
        <v>15</v>
      </c>
      <c r="J999" s="820" t="s">
        <v>421</v>
      </c>
      <c r="L999" s="821">
        <v>2</v>
      </c>
      <c r="M999" s="637">
        <v>650</v>
      </c>
      <c r="N999" s="637">
        <v>4618.75</v>
      </c>
      <c r="O999" s="821">
        <v>2</v>
      </c>
      <c r="P999" s="637">
        <v>650</v>
      </c>
      <c r="Q999" s="637">
        <v>4618.75</v>
      </c>
      <c r="R999" s="813" t="s">
        <v>172</v>
      </c>
      <c r="T999" s="815" t="s">
        <v>172</v>
      </c>
      <c r="U999" s="900" t="s">
        <v>1220</v>
      </c>
    </row>
    <row r="1000" spans="1:21" x14ac:dyDescent="0.25">
      <c r="A1000" s="813">
        <v>1378</v>
      </c>
      <c r="B1000" s="813" t="s">
        <v>343</v>
      </c>
      <c r="C1000" s="813" t="s">
        <v>874</v>
      </c>
      <c r="D1000" s="813" t="s">
        <v>434</v>
      </c>
      <c r="E1000" s="813" t="s">
        <v>14</v>
      </c>
      <c r="F1000" s="813" t="s">
        <v>869</v>
      </c>
      <c r="H1000" s="819" t="s">
        <v>39</v>
      </c>
      <c r="I1000" s="820" t="s">
        <v>20</v>
      </c>
      <c r="J1000" s="820" t="s">
        <v>428</v>
      </c>
      <c r="L1000" s="821">
        <v>1</v>
      </c>
      <c r="M1000" s="637">
        <v>1</v>
      </c>
      <c r="N1000" s="637">
        <v>1</v>
      </c>
      <c r="O1000" s="821">
        <v>1</v>
      </c>
      <c r="P1000" s="637">
        <v>1</v>
      </c>
      <c r="Q1000" s="637">
        <v>1</v>
      </c>
      <c r="R1000" s="806" t="s">
        <v>507</v>
      </c>
      <c r="T1000" s="815" t="s">
        <v>172</v>
      </c>
      <c r="U1000" s="900" t="s">
        <v>1220</v>
      </c>
    </row>
    <row r="1001" spans="1:21" x14ac:dyDescent="0.25">
      <c r="A1001" s="813">
        <v>1379</v>
      </c>
      <c r="B1001" s="813" t="s">
        <v>343</v>
      </c>
      <c r="C1001" s="813" t="s">
        <v>874</v>
      </c>
      <c r="D1001" s="813" t="s">
        <v>434</v>
      </c>
      <c r="E1001" s="813" t="s">
        <v>14</v>
      </c>
      <c r="F1001" s="813" t="s">
        <v>868</v>
      </c>
      <c r="G1001" s="813" t="s">
        <v>868</v>
      </c>
      <c r="H1001" s="819" t="s">
        <v>35</v>
      </c>
      <c r="I1001" s="820" t="s">
        <v>20</v>
      </c>
      <c r="J1001" s="820" t="s">
        <v>428</v>
      </c>
      <c r="L1001" s="821">
        <v>2</v>
      </c>
      <c r="M1001" s="637">
        <v>36</v>
      </c>
      <c r="N1001" s="637">
        <v>162.75</v>
      </c>
      <c r="O1001" s="821">
        <v>2</v>
      </c>
      <c r="P1001" s="637">
        <v>36</v>
      </c>
      <c r="Q1001" s="637">
        <v>162.75</v>
      </c>
      <c r="R1001" s="813" t="s">
        <v>172</v>
      </c>
      <c r="T1001" s="815" t="s">
        <v>172</v>
      </c>
      <c r="U1001" s="900" t="s">
        <v>1220</v>
      </c>
    </row>
    <row r="1002" spans="1:21" x14ac:dyDescent="0.25">
      <c r="A1002" s="813">
        <v>1380</v>
      </c>
      <c r="B1002" s="813" t="s">
        <v>343</v>
      </c>
      <c r="C1002" s="813" t="s">
        <v>874</v>
      </c>
      <c r="D1002" s="813" t="s">
        <v>434</v>
      </c>
      <c r="E1002" s="813" t="s">
        <v>14</v>
      </c>
      <c r="F1002" s="813" t="s">
        <v>863</v>
      </c>
      <c r="G1002" s="813" t="s">
        <v>863</v>
      </c>
      <c r="H1002" s="819" t="s">
        <v>18</v>
      </c>
      <c r="I1002" s="820" t="s">
        <v>15</v>
      </c>
      <c r="J1002" s="820" t="s">
        <v>421</v>
      </c>
      <c r="L1002" s="821">
        <v>1</v>
      </c>
      <c r="M1002" s="637">
        <v>17</v>
      </c>
      <c r="N1002" s="637">
        <v>69</v>
      </c>
      <c r="O1002" s="821">
        <v>1</v>
      </c>
      <c r="P1002" s="637">
        <v>17</v>
      </c>
      <c r="Q1002" s="637">
        <v>69</v>
      </c>
      <c r="R1002" s="813" t="s">
        <v>172</v>
      </c>
      <c r="T1002" s="815" t="s">
        <v>172</v>
      </c>
      <c r="U1002" s="900" t="s">
        <v>1220</v>
      </c>
    </row>
    <row r="1003" spans="1:21" x14ac:dyDescent="0.25">
      <c r="A1003" s="813">
        <v>1383</v>
      </c>
      <c r="B1003" s="813" t="s">
        <v>343</v>
      </c>
      <c r="C1003" s="813" t="s">
        <v>876</v>
      </c>
      <c r="D1003" s="813" t="s">
        <v>434</v>
      </c>
      <c r="E1003" s="813" t="s">
        <v>15</v>
      </c>
      <c r="F1003" s="813" t="s">
        <v>869</v>
      </c>
      <c r="H1003" s="819" t="s">
        <v>39</v>
      </c>
      <c r="I1003" s="820" t="s">
        <v>20</v>
      </c>
      <c r="J1003" s="820" t="s">
        <v>428</v>
      </c>
      <c r="L1003" s="821">
        <v>1</v>
      </c>
      <c r="M1003" s="637">
        <v>1</v>
      </c>
      <c r="N1003" s="637">
        <v>1</v>
      </c>
      <c r="O1003" s="821">
        <v>1</v>
      </c>
      <c r="P1003" s="637">
        <v>1</v>
      </c>
      <c r="Q1003" s="637">
        <v>1</v>
      </c>
      <c r="R1003" s="806" t="s">
        <v>507</v>
      </c>
      <c r="T1003" s="815" t="s">
        <v>172</v>
      </c>
      <c r="U1003" s="900" t="s">
        <v>1220</v>
      </c>
    </row>
    <row r="1004" spans="1:21" x14ac:dyDescent="0.25">
      <c r="A1004" s="813">
        <v>1384</v>
      </c>
      <c r="B1004" s="813" t="s">
        <v>343</v>
      </c>
      <c r="C1004" s="813" t="s">
        <v>876</v>
      </c>
      <c r="D1004" s="813" t="s">
        <v>434</v>
      </c>
      <c r="E1004" s="813" t="s">
        <v>15</v>
      </c>
      <c r="F1004" s="813" t="s">
        <v>868</v>
      </c>
      <c r="G1004" s="813" t="s">
        <v>868</v>
      </c>
      <c r="H1004" s="819" t="s">
        <v>35</v>
      </c>
      <c r="I1004" s="820" t="s">
        <v>20</v>
      </c>
      <c r="J1004" s="820" t="s">
        <v>428</v>
      </c>
      <c r="L1004" s="821">
        <v>1</v>
      </c>
      <c r="M1004" s="637">
        <v>27</v>
      </c>
      <c r="N1004" s="637">
        <v>107</v>
      </c>
      <c r="O1004" s="821">
        <v>1</v>
      </c>
      <c r="P1004" s="637">
        <v>27</v>
      </c>
      <c r="Q1004" s="637">
        <v>107</v>
      </c>
      <c r="R1004" s="813" t="s">
        <v>172</v>
      </c>
      <c r="T1004" s="815" t="s">
        <v>172</v>
      </c>
      <c r="U1004" s="900" t="s">
        <v>1220</v>
      </c>
    </row>
    <row r="1005" spans="1:21" x14ac:dyDescent="0.25">
      <c r="A1005" s="813">
        <v>1385</v>
      </c>
      <c r="B1005" s="813" t="s">
        <v>343</v>
      </c>
      <c r="C1005" s="813" t="s">
        <v>876</v>
      </c>
      <c r="D1005" s="813" t="s">
        <v>434</v>
      </c>
      <c r="E1005" s="813" t="s">
        <v>15</v>
      </c>
      <c r="F1005" s="813" t="s">
        <v>863</v>
      </c>
      <c r="G1005" s="813" t="s">
        <v>863</v>
      </c>
      <c r="H1005" s="819" t="s">
        <v>18</v>
      </c>
      <c r="I1005" s="820" t="s">
        <v>15</v>
      </c>
      <c r="J1005" s="820" t="s">
        <v>421</v>
      </c>
      <c r="L1005" s="821">
        <v>13</v>
      </c>
      <c r="M1005" s="637">
        <v>1181</v>
      </c>
      <c r="N1005" s="637">
        <v>6850.25</v>
      </c>
      <c r="O1005" s="821">
        <v>11</v>
      </c>
      <c r="P1005" s="637">
        <v>1162</v>
      </c>
      <c r="Q1005" s="637">
        <v>6759.5</v>
      </c>
      <c r="R1005" s="813" t="s">
        <v>172</v>
      </c>
      <c r="T1005" s="815" t="s">
        <v>172</v>
      </c>
      <c r="U1005" s="900" t="s">
        <v>1220</v>
      </c>
    </row>
    <row r="1006" spans="1:21" x14ac:dyDescent="0.25">
      <c r="A1006" s="813">
        <v>1388</v>
      </c>
      <c r="B1006" s="813" t="s">
        <v>343</v>
      </c>
      <c r="C1006" s="813" t="s">
        <v>897</v>
      </c>
      <c r="D1006" s="813" t="s">
        <v>14</v>
      </c>
      <c r="E1006" s="813" t="s">
        <v>15</v>
      </c>
      <c r="F1006" s="813" t="s">
        <v>898</v>
      </c>
      <c r="G1006" s="813" t="s">
        <v>863</v>
      </c>
      <c r="H1006" s="819" t="s">
        <v>18</v>
      </c>
      <c r="I1006" s="820" t="s">
        <v>15</v>
      </c>
      <c r="J1006" s="820" t="s">
        <v>421</v>
      </c>
      <c r="L1006" s="821">
        <v>2</v>
      </c>
      <c r="M1006" s="637">
        <v>1162</v>
      </c>
      <c r="N1006" s="637">
        <v>3813.5</v>
      </c>
      <c r="O1006" s="821">
        <v>2</v>
      </c>
      <c r="P1006" s="637">
        <v>1162</v>
      </c>
      <c r="Q1006" s="637">
        <v>3813.5</v>
      </c>
      <c r="R1006" s="813" t="s">
        <v>172</v>
      </c>
      <c r="T1006" s="815" t="s">
        <v>172</v>
      </c>
      <c r="U1006" s="900" t="s">
        <v>1220</v>
      </c>
    </row>
    <row r="1007" spans="1:21" x14ac:dyDescent="0.25">
      <c r="A1007" s="813">
        <v>1389</v>
      </c>
      <c r="B1007" s="813" t="s">
        <v>343</v>
      </c>
      <c r="C1007" s="813" t="s">
        <v>906</v>
      </c>
      <c r="D1007" s="813" t="s">
        <v>14</v>
      </c>
      <c r="E1007" s="813" t="s">
        <v>14</v>
      </c>
      <c r="F1007" s="813" t="s">
        <v>869</v>
      </c>
      <c r="H1007" s="819" t="s">
        <v>39</v>
      </c>
      <c r="I1007" s="820" t="s">
        <v>20</v>
      </c>
      <c r="J1007" s="820" t="s">
        <v>428</v>
      </c>
      <c r="L1007" s="821">
        <v>3</v>
      </c>
      <c r="M1007" s="637">
        <v>3</v>
      </c>
      <c r="N1007" s="637">
        <v>3</v>
      </c>
      <c r="O1007" s="821">
        <v>3</v>
      </c>
      <c r="P1007" s="637">
        <v>3</v>
      </c>
      <c r="Q1007" s="637">
        <v>3</v>
      </c>
      <c r="R1007" s="806" t="s">
        <v>507</v>
      </c>
      <c r="T1007" s="815" t="s">
        <v>172</v>
      </c>
      <c r="U1007" s="900" t="s">
        <v>1220</v>
      </c>
    </row>
    <row r="1008" spans="1:21" x14ac:dyDescent="0.25">
      <c r="A1008" s="813">
        <v>1390</v>
      </c>
      <c r="B1008" s="813" t="s">
        <v>343</v>
      </c>
      <c r="C1008" s="813" t="s">
        <v>906</v>
      </c>
      <c r="D1008" s="813" t="s">
        <v>14</v>
      </c>
      <c r="E1008" s="813" t="s">
        <v>14</v>
      </c>
      <c r="F1008" s="813" t="s">
        <v>875</v>
      </c>
      <c r="H1008" s="819" t="s">
        <v>39</v>
      </c>
      <c r="I1008" s="820" t="s">
        <v>20</v>
      </c>
      <c r="J1008" s="820" t="s">
        <v>428</v>
      </c>
      <c r="L1008" s="821">
        <v>2</v>
      </c>
      <c r="M1008" s="637">
        <v>2</v>
      </c>
      <c r="N1008" s="637">
        <v>2</v>
      </c>
      <c r="O1008" s="821">
        <v>2</v>
      </c>
      <c r="P1008" s="637">
        <v>2</v>
      </c>
      <c r="Q1008" s="637">
        <v>2</v>
      </c>
      <c r="R1008" s="806" t="s">
        <v>507</v>
      </c>
      <c r="T1008" s="815" t="s">
        <v>172</v>
      </c>
      <c r="U1008" s="900" t="s">
        <v>1220</v>
      </c>
    </row>
    <row r="1009" spans="1:21" x14ac:dyDescent="0.25">
      <c r="A1009" s="813">
        <v>1391</v>
      </c>
      <c r="B1009" s="813" t="s">
        <v>343</v>
      </c>
      <c r="C1009" s="813" t="s">
        <v>906</v>
      </c>
      <c r="D1009" s="813" t="s">
        <v>14</v>
      </c>
      <c r="E1009" s="813" t="s">
        <v>14</v>
      </c>
      <c r="F1009" s="813" t="s">
        <v>1129</v>
      </c>
      <c r="G1009" s="813" t="s">
        <v>868</v>
      </c>
      <c r="H1009" s="819" t="s">
        <v>35</v>
      </c>
      <c r="I1009" s="820" t="s">
        <v>20</v>
      </c>
      <c r="J1009" s="820" t="s">
        <v>428</v>
      </c>
      <c r="L1009" s="821">
        <v>3</v>
      </c>
      <c r="M1009" s="637">
        <v>195</v>
      </c>
      <c r="N1009" s="637">
        <v>1034.75</v>
      </c>
      <c r="O1009" s="821">
        <v>3</v>
      </c>
      <c r="P1009" s="637">
        <v>195</v>
      </c>
      <c r="Q1009" s="637">
        <v>1034.75</v>
      </c>
      <c r="R1009" s="813" t="s">
        <v>172</v>
      </c>
      <c r="T1009" s="815" t="s">
        <v>172</v>
      </c>
      <c r="U1009" s="900" t="s">
        <v>1220</v>
      </c>
    </row>
    <row r="1010" spans="1:21" x14ac:dyDescent="0.25">
      <c r="A1010" s="813">
        <v>1394</v>
      </c>
      <c r="B1010" s="813" t="s">
        <v>343</v>
      </c>
      <c r="C1010" s="813" t="s">
        <v>909</v>
      </c>
      <c r="D1010" s="813" t="s">
        <v>14</v>
      </c>
      <c r="E1010" s="813" t="s">
        <v>15</v>
      </c>
      <c r="F1010" s="813" t="s">
        <v>1130</v>
      </c>
      <c r="G1010" s="813" t="s">
        <v>863</v>
      </c>
      <c r="H1010" s="819" t="s">
        <v>18</v>
      </c>
      <c r="I1010" s="820" t="s">
        <v>15</v>
      </c>
      <c r="J1010" s="820" t="s">
        <v>421</v>
      </c>
      <c r="L1010" s="821">
        <v>16</v>
      </c>
      <c r="M1010" s="637">
        <v>3063</v>
      </c>
      <c r="N1010" s="637">
        <v>13927</v>
      </c>
      <c r="O1010" s="821">
        <v>16</v>
      </c>
      <c r="P1010" s="637">
        <v>3063</v>
      </c>
      <c r="Q1010" s="637">
        <v>13927</v>
      </c>
      <c r="R1010" s="813" t="s">
        <v>172</v>
      </c>
      <c r="T1010" s="815" t="s">
        <v>172</v>
      </c>
      <c r="U1010" s="900" t="s">
        <v>1220</v>
      </c>
    </row>
    <row r="1011" spans="1:21" x14ac:dyDescent="0.25">
      <c r="A1011" s="813">
        <v>1395</v>
      </c>
      <c r="B1011" s="813" t="s">
        <v>343</v>
      </c>
      <c r="C1011" s="813" t="s">
        <v>909</v>
      </c>
      <c r="D1011" s="813" t="s">
        <v>14</v>
      </c>
      <c r="E1011" s="813" t="s">
        <v>15</v>
      </c>
      <c r="F1011" s="813" t="s">
        <v>1131</v>
      </c>
      <c r="G1011" s="813" t="s">
        <v>863</v>
      </c>
      <c r="H1011" s="819" t="s">
        <v>18</v>
      </c>
      <c r="I1011" s="820" t="s">
        <v>15</v>
      </c>
      <c r="J1011" s="820" t="s">
        <v>421</v>
      </c>
      <c r="L1011" s="821">
        <v>1</v>
      </c>
      <c r="M1011" s="637">
        <v>24</v>
      </c>
      <c r="N1011" s="637">
        <v>120</v>
      </c>
      <c r="O1011" s="821">
        <v>1</v>
      </c>
      <c r="P1011" s="637">
        <v>24</v>
      </c>
      <c r="Q1011" s="637">
        <v>120</v>
      </c>
      <c r="R1011" s="813" t="s">
        <v>172</v>
      </c>
      <c r="T1011" s="815" t="s">
        <v>172</v>
      </c>
      <c r="U1011" s="900" t="s">
        <v>1220</v>
      </c>
    </row>
    <row r="1012" spans="1:21" x14ac:dyDescent="0.25">
      <c r="A1012" s="813">
        <v>1396</v>
      </c>
      <c r="B1012" s="813" t="s">
        <v>344</v>
      </c>
      <c r="C1012" s="813" t="s">
        <v>886</v>
      </c>
      <c r="D1012" s="813" t="s">
        <v>495</v>
      </c>
      <c r="E1012" s="813" t="s">
        <v>495</v>
      </c>
      <c r="F1012" s="813" t="s">
        <v>887</v>
      </c>
      <c r="G1012" s="813" t="s">
        <v>868</v>
      </c>
      <c r="H1012" s="809" t="s">
        <v>390</v>
      </c>
      <c r="I1012" s="810" t="s">
        <v>20</v>
      </c>
      <c r="J1012" s="810" t="s">
        <v>16</v>
      </c>
      <c r="L1012" s="821">
        <v>1</v>
      </c>
      <c r="M1012" s="637">
        <v>38</v>
      </c>
      <c r="N1012" s="637">
        <v>185</v>
      </c>
      <c r="O1012" s="821">
        <v>1</v>
      </c>
      <c r="P1012" s="637">
        <v>38</v>
      </c>
      <c r="Q1012" s="637">
        <v>185</v>
      </c>
      <c r="R1012" s="813" t="s">
        <v>172</v>
      </c>
      <c r="T1012" s="815" t="s">
        <v>172</v>
      </c>
      <c r="U1012" s="899" t="s">
        <v>1219</v>
      </c>
    </row>
    <row r="1013" spans="1:21" x14ac:dyDescent="0.25">
      <c r="A1013" s="813">
        <v>1397</v>
      </c>
      <c r="B1013" s="813" t="s">
        <v>344</v>
      </c>
      <c r="C1013" s="813" t="s">
        <v>886</v>
      </c>
      <c r="D1013" s="813" t="s">
        <v>495</v>
      </c>
      <c r="E1013" s="813" t="s">
        <v>495</v>
      </c>
      <c r="F1013" s="813" t="s">
        <v>1006</v>
      </c>
      <c r="G1013" s="813" t="s">
        <v>868</v>
      </c>
      <c r="H1013" s="809" t="s">
        <v>390</v>
      </c>
      <c r="I1013" s="810" t="s">
        <v>20</v>
      </c>
      <c r="J1013" s="810" t="s">
        <v>16</v>
      </c>
      <c r="L1013" s="821">
        <v>1</v>
      </c>
      <c r="M1013" s="637">
        <v>1</v>
      </c>
      <c r="N1013" s="637">
        <v>1</v>
      </c>
      <c r="O1013" s="821">
        <v>1</v>
      </c>
      <c r="P1013" s="637">
        <v>1</v>
      </c>
      <c r="Q1013" s="637">
        <v>1</v>
      </c>
      <c r="R1013" s="806" t="s">
        <v>507</v>
      </c>
      <c r="T1013" s="815" t="s">
        <v>172</v>
      </c>
      <c r="U1013" s="899" t="s">
        <v>1219</v>
      </c>
    </row>
    <row r="1014" spans="1:21" x14ac:dyDescent="0.25">
      <c r="A1014" s="813">
        <v>1398</v>
      </c>
      <c r="B1014" s="813" t="s">
        <v>344</v>
      </c>
      <c r="C1014" s="813" t="s">
        <v>874</v>
      </c>
      <c r="D1014" s="813" t="s">
        <v>434</v>
      </c>
      <c r="E1014" s="813" t="s">
        <v>14</v>
      </c>
      <c r="F1014" s="813" t="s">
        <v>869</v>
      </c>
      <c r="H1014" s="819" t="s">
        <v>39</v>
      </c>
      <c r="I1014" s="820" t="s">
        <v>20</v>
      </c>
      <c r="J1014" s="820" t="s">
        <v>428</v>
      </c>
      <c r="L1014" s="821">
        <v>15</v>
      </c>
      <c r="M1014" s="637">
        <v>15</v>
      </c>
      <c r="N1014" s="637">
        <v>15</v>
      </c>
      <c r="O1014" s="821">
        <v>15</v>
      </c>
      <c r="P1014" s="637">
        <v>15</v>
      </c>
      <c r="Q1014" s="637">
        <v>15</v>
      </c>
      <c r="R1014" s="806" t="s">
        <v>507</v>
      </c>
      <c r="T1014" s="815" t="s">
        <v>172</v>
      </c>
      <c r="U1014" s="900" t="s">
        <v>1220</v>
      </c>
    </row>
    <row r="1015" spans="1:21" x14ac:dyDescent="0.25">
      <c r="A1015" s="813">
        <v>1399</v>
      </c>
      <c r="B1015" s="813" t="s">
        <v>344</v>
      </c>
      <c r="C1015" s="813" t="s">
        <v>874</v>
      </c>
      <c r="D1015" s="813" t="s">
        <v>434</v>
      </c>
      <c r="E1015" s="813" t="s">
        <v>14</v>
      </c>
      <c r="F1015" s="813" t="s">
        <v>890</v>
      </c>
      <c r="G1015" s="813" t="s">
        <v>891</v>
      </c>
      <c r="H1015" s="819" t="s">
        <v>39</v>
      </c>
      <c r="I1015" s="820" t="s">
        <v>20</v>
      </c>
      <c r="J1015" s="820" t="s">
        <v>428</v>
      </c>
      <c r="L1015" s="821">
        <v>6</v>
      </c>
      <c r="M1015" s="637">
        <v>6</v>
      </c>
      <c r="N1015" s="637">
        <v>6</v>
      </c>
      <c r="O1015" s="821">
        <v>6</v>
      </c>
      <c r="P1015" s="637">
        <v>6</v>
      </c>
      <c r="Q1015" s="637">
        <v>6</v>
      </c>
      <c r="R1015" s="813" t="s">
        <v>529</v>
      </c>
      <c r="T1015" s="815" t="s">
        <v>172</v>
      </c>
      <c r="U1015" s="900" t="s">
        <v>1220</v>
      </c>
    </row>
    <row r="1016" spans="1:21" x14ac:dyDescent="0.25">
      <c r="A1016" s="813">
        <v>1400</v>
      </c>
      <c r="B1016" s="813" t="s">
        <v>344</v>
      </c>
      <c r="C1016" s="813" t="s">
        <v>874</v>
      </c>
      <c r="D1016" s="813" t="s">
        <v>434</v>
      </c>
      <c r="E1016" s="813" t="s">
        <v>14</v>
      </c>
      <c r="F1016" s="813" t="s">
        <v>875</v>
      </c>
      <c r="H1016" s="819" t="s">
        <v>39</v>
      </c>
      <c r="I1016" s="820" t="s">
        <v>20</v>
      </c>
      <c r="J1016" s="820" t="s">
        <v>428</v>
      </c>
      <c r="L1016" s="821">
        <v>11</v>
      </c>
      <c r="M1016" s="637">
        <v>13</v>
      </c>
      <c r="N1016" s="637">
        <v>13</v>
      </c>
      <c r="O1016" s="821">
        <v>11</v>
      </c>
      <c r="P1016" s="637">
        <v>13</v>
      </c>
      <c r="Q1016" s="637">
        <v>13</v>
      </c>
      <c r="R1016" s="806" t="s">
        <v>507</v>
      </c>
      <c r="T1016" s="815" t="s">
        <v>172</v>
      </c>
      <c r="U1016" s="900" t="s">
        <v>1220</v>
      </c>
    </row>
    <row r="1017" spans="1:21" x14ac:dyDescent="0.25">
      <c r="A1017" s="813">
        <v>1401</v>
      </c>
      <c r="B1017" s="813" t="s">
        <v>344</v>
      </c>
      <c r="C1017" s="813" t="s">
        <v>874</v>
      </c>
      <c r="D1017" s="813" t="s">
        <v>434</v>
      </c>
      <c r="E1017" s="813" t="s">
        <v>14</v>
      </c>
      <c r="F1017" s="813" t="s">
        <v>868</v>
      </c>
      <c r="G1017" s="813" t="s">
        <v>868</v>
      </c>
      <c r="H1017" s="819" t="s">
        <v>35</v>
      </c>
      <c r="I1017" s="820" t="s">
        <v>20</v>
      </c>
      <c r="J1017" s="820" t="s">
        <v>428</v>
      </c>
      <c r="L1017" s="821">
        <v>31</v>
      </c>
      <c r="M1017" s="637">
        <v>2252</v>
      </c>
      <c r="N1017" s="637">
        <v>10117.25</v>
      </c>
      <c r="O1017" s="821">
        <v>30</v>
      </c>
      <c r="P1017" s="637">
        <v>2245</v>
      </c>
      <c r="Q1017" s="637">
        <v>10103</v>
      </c>
      <c r="R1017" s="813" t="s">
        <v>172</v>
      </c>
      <c r="T1017" s="815" t="s">
        <v>172</v>
      </c>
      <c r="U1017" s="900" t="s">
        <v>1220</v>
      </c>
    </row>
    <row r="1018" spans="1:21" x14ac:dyDescent="0.25">
      <c r="A1018" s="813">
        <v>1402</v>
      </c>
      <c r="B1018" s="813" t="s">
        <v>344</v>
      </c>
      <c r="C1018" s="813" t="s">
        <v>874</v>
      </c>
      <c r="D1018" s="813" t="s">
        <v>434</v>
      </c>
      <c r="E1018" s="813" t="s">
        <v>14</v>
      </c>
      <c r="F1018" s="813" t="s">
        <v>863</v>
      </c>
      <c r="G1018" s="813" t="s">
        <v>863</v>
      </c>
      <c r="H1018" s="819" t="s">
        <v>18</v>
      </c>
      <c r="I1018" s="820" t="s">
        <v>15</v>
      </c>
      <c r="J1018" s="820" t="s">
        <v>421</v>
      </c>
      <c r="L1018" s="821">
        <v>1</v>
      </c>
      <c r="M1018" s="637">
        <v>63</v>
      </c>
      <c r="N1018" s="637">
        <v>250.75</v>
      </c>
      <c r="O1018" s="821">
        <v>1</v>
      </c>
      <c r="P1018" s="637">
        <v>63</v>
      </c>
      <c r="Q1018" s="637">
        <v>250.75</v>
      </c>
      <c r="R1018" s="813" t="s">
        <v>172</v>
      </c>
      <c r="T1018" s="815" t="s">
        <v>172</v>
      </c>
      <c r="U1018" s="900" t="s">
        <v>1220</v>
      </c>
    </row>
    <row r="1019" spans="1:21" x14ac:dyDescent="0.25">
      <c r="A1019" s="813">
        <v>1406</v>
      </c>
      <c r="B1019" s="813" t="s">
        <v>344</v>
      </c>
      <c r="C1019" s="813" t="s">
        <v>876</v>
      </c>
      <c r="D1019" s="813" t="s">
        <v>434</v>
      </c>
      <c r="E1019" s="813" t="s">
        <v>15</v>
      </c>
      <c r="F1019" s="813" t="s">
        <v>863</v>
      </c>
      <c r="G1019" s="813" t="s">
        <v>863</v>
      </c>
      <c r="H1019" s="819" t="s">
        <v>18</v>
      </c>
      <c r="I1019" s="820" t="s">
        <v>15</v>
      </c>
      <c r="J1019" s="820" t="s">
        <v>421</v>
      </c>
      <c r="L1019" s="821">
        <v>79</v>
      </c>
      <c r="M1019" s="637">
        <v>12153</v>
      </c>
      <c r="N1019" s="637">
        <v>54295.25</v>
      </c>
      <c r="O1019" s="821">
        <v>76</v>
      </c>
      <c r="P1019" s="637">
        <v>11992</v>
      </c>
      <c r="Q1019" s="637">
        <v>53160.25</v>
      </c>
      <c r="R1019" s="813" t="s">
        <v>172</v>
      </c>
      <c r="T1019" s="815" t="s">
        <v>172</v>
      </c>
      <c r="U1019" s="900" t="s">
        <v>1220</v>
      </c>
    </row>
    <row r="1020" spans="1:21" x14ac:dyDescent="0.25">
      <c r="A1020" s="813">
        <v>1407</v>
      </c>
      <c r="B1020" s="813" t="s">
        <v>344</v>
      </c>
      <c r="C1020" s="813" t="s">
        <v>894</v>
      </c>
      <c r="D1020" s="813" t="s">
        <v>14</v>
      </c>
      <c r="E1020" s="813" t="s">
        <v>14</v>
      </c>
      <c r="F1020" s="813" t="s">
        <v>885</v>
      </c>
      <c r="G1020" s="813" t="s">
        <v>868</v>
      </c>
      <c r="H1020" s="819" t="s">
        <v>35</v>
      </c>
      <c r="I1020" s="820" t="s">
        <v>20</v>
      </c>
      <c r="J1020" s="820" t="s">
        <v>428</v>
      </c>
      <c r="L1020" s="821">
        <v>2</v>
      </c>
      <c r="M1020" s="637">
        <v>3</v>
      </c>
      <c r="N1020" s="637">
        <v>6</v>
      </c>
      <c r="O1020" s="821">
        <v>2</v>
      </c>
      <c r="P1020" s="637">
        <v>3</v>
      </c>
      <c r="Q1020" s="637">
        <v>6</v>
      </c>
      <c r="R1020" s="813" t="s">
        <v>172</v>
      </c>
      <c r="T1020" s="815" t="s">
        <v>172</v>
      </c>
      <c r="U1020" s="900" t="s">
        <v>1220</v>
      </c>
    </row>
    <row r="1021" spans="1:21" x14ac:dyDescent="0.25">
      <c r="A1021" s="813">
        <v>1408</v>
      </c>
      <c r="B1021" s="813" t="s">
        <v>344</v>
      </c>
      <c r="C1021" s="813" t="s">
        <v>894</v>
      </c>
      <c r="D1021" s="813" t="s">
        <v>14</v>
      </c>
      <c r="E1021" s="813" t="s">
        <v>14</v>
      </c>
      <c r="F1021" s="813" t="s">
        <v>896</v>
      </c>
      <c r="G1021" s="813" t="s">
        <v>895</v>
      </c>
      <c r="H1021" s="819" t="s">
        <v>39</v>
      </c>
      <c r="I1021" s="820" t="s">
        <v>20</v>
      </c>
      <c r="J1021" s="820" t="s">
        <v>428</v>
      </c>
      <c r="L1021" s="821">
        <v>5</v>
      </c>
      <c r="M1021" s="637">
        <v>5</v>
      </c>
      <c r="N1021" s="637">
        <v>5</v>
      </c>
      <c r="O1021" s="821">
        <v>4</v>
      </c>
      <c r="P1021" s="637">
        <v>4</v>
      </c>
      <c r="Q1021" s="637">
        <v>4</v>
      </c>
      <c r="R1021" s="813" t="s">
        <v>529</v>
      </c>
      <c r="T1021" s="815" t="s">
        <v>172</v>
      </c>
      <c r="U1021" s="900" t="s">
        <v>1220</v>
      </c>
    </row>
    <row r="1022" spans="1:21" x14ac:dyDescent="0.25">
      <c r="A1022" s="813">
        <v>1410</v>
      </c>
      <c r="B1022" s="813" t="s">
        <v>344</v>
      </c>
      <c r="C1022" s="813" t="s">
        <v>897</v>
      </c>
      <c r="D1022" s="813" t="s">
        <v>14</v>
      </c>
      <c r="E1022" s="813" t="s">
        <v>15</v>
      </c>
      <c r="F1022" s="813" t="s">
        <v>898</v>
      </c>
      <c r="G1022" s="813" t="s">
        <v>863</v>
      </c>
      <c r="H1022" s="819" t="s">
        <v>18</v>
      </c>
      <c r="I1022" s="820" t="s">
        <v>15</v>
      </c>
      <c r="J1022" s="820" t="s">
        <v>421</v>
      </c>
      <c r="L1022" s="821">
        <v>4</v>
      </c>
      <c r="M1022" s="637">
        <v>603</v>
      </c>
      <c r="N1022" s="637">
        <v>3138.75</v>
      </c>
      <c r="O1022" s="821">
        <v>4</v>
      </c>
      <c r="P1022" s="637">
        <v>603</v>
      </c>
      <c r="Q1022" s="637">
        <v>3138.75</v>
      </c>
      <c r="R1022" s="813" t="s">
        <v>172</v>
      </c>
      <c r="T1022" s="815" t="s">
        <v>172</v>
      </c>
      <c r="U1022" s="900" t="s">
        <v>1220</v>
      </c>
    </row>
    <row r="1023" spans="1:21" x14ac:dyDescent="0.25">
      <c r="A1023" s="813">
        <v>1411</v>
      </c>
      <c r="B1023" s="813" t="s">
        <v>344</v>
      </c>
      <c r="C1023" s="813" t="s">
        <v>899</v>
      </c>
      <c r="D1023" s="813" t="s">
        <v>14</v>
      </c>
      <c r="E1023" s="813" t="s">
        <v>14</v>
      </c>
      <c r="F1023" s="813" t="s">
        <v>885</v>
      </c>
      <c r="G1023" s="813" t="s">
        <v>868</v>
      </c>
      <c r="H1023" s="819" t="s">
        <v>35</v>
      </c>
      <c r="I1023" s="820" t="s">
        <v>20</v>
      </c>
      <c r="J1023" s="820" t="s">
        <v>428</v>
      </c>
      <c r="L1023" s="821">
        <v>2</v>
      </c>
      <c r="M1023" s="637">
        <v>53</v>
      </c>
      <c r="N1023" s="637">
        <v>136</v>
      </c>
      <c r="O1023" s="821">
        <v>1</v>
      </c>
      <c r="P1023" s="637">
        <v>38</v>
      </c>
      <c r="Q1023" s="637">
        <v>70</v>
      </c>
      <c r="R1023" s="813" t="s">
        <v>172</v>
      </c>
      <c r="T1023" s="815" t="s">
        <v>172</v>
      </c>
      <c r="U1023" s="900" t="s">
        <v>1220</v>
      </c>
    </row>
    <row r="1024" spans="1:21" x14ac:dyDescent="0.25">
      <c r="A1024" s="813">
        <v>1412</v>
      </c>
      <c r="B1024" s="813" t="s">
        <v>344</v>
      </c>
      <c r="C1024" s="813" t="s">
        <v>899</v>
      </c>
      <c r="D1024" s="813" t="s">
        <v>14</v>
      </c>
      <c r="E1024" s="813" t="s">
        <v>14</v>
      </c>
      <c r="F1024" s="813" t="s">
        <v>900</v>
      </c>
      <c r="H1024" s="819" t="s">
        <v>39</v>
      </c>
      <c r="I1024" s="820" t="s">
        <v>20</v>
      </c>
      <c r="J1024" s="820" t="s">
        <v>428</v>
      </c>
      <c r="L1024" s="821">
        <v>2</v>
      </c>
      <c r="M1024" s="637">
        <v>2</v>
      </c>
      <c r="N1024" s="637">
        <v>2</v>
      </c>
      <c r="O1024" s="821">
        <v>1</v>
      </c>
      <c r="P1024" s="637">
        <v>1</v>
      </c>
      <c r="Q1024" s="637">
        <v>1</v>
      </c>
      <c r="R1024" s="806" t="s">
        <v>507</v>
      </c>
      <c r="T1024" s="815" t="s">
        <v>172</v>
      </c>
      <c r="U1024" s="900" t="s">
        <v>1220</v>
      </c>
    </row>
    <row r="1025" spans="1:21" x14ac:dyDescent="0.25">
      <c r="A1025" s="813">
        <v>1413</v>
      </c>
      <c r="B1025" s="813" t="s">
        <v>344</v>
      </c>
      <c r="C1025" s="813" t="s">
        <v>492</v>
      </c>
      <c r="D1025" s="813" t="s">
        <v>16</v>
      </c>
      <c r="E1025" s="813" t="s">
        <v>82</v>
      </c>
      <c r="F1025" s="813" t="s">
        <v>898</v>
      </c>
      <c r="H1025" s="819" t="s">
        <v>374</v>
      </c>
      <c r="I1025" s="820" t="s">
        <v>20</v>
      </c>
      <c r="J1025" s="820" t="s">
        <v>248</v>
      </c>
      <c r="L1025" s="821">
        <v>1</v>
      </c>
      <c r="M1025" s="637">
        <v>11</v>
      </c>
      <c r="N1025" s="637">
        <v>40.25</v>
      </c>
      <c r="O1025" s="821">
        <v>1</v>
      </c>
      <c r="P1025" s="637">
        <v>11</v>
      </c>
      <c r="Q1025" s="637">
        <v>40.25</v>
      </c>
      <c r="R1025" s="813" t="s">
        <v>172</v>
      </c>
      <c r="T1025" s="815" t="s">
        <v>172</v>
      </c>
      <c r="U1025" s="899" t="s">
        <v>1219</v>
      </c>
    </row>
    <row r="1026" spans="1:21" x14ac:dyDescent="0.25">
      <c r="A1026" s="813">
        <v>1414</v>
      </c>
      <c r="B1026" s="813" t="s">
        <v>344</v>
      </c>
      <c r="C1026" s="813" t="s">
        <v>905</v>
      </c>
      <c r="D1026" s="813" t="s">
        <v>16</v>
      </c>
      <c r="E1026" s="813" t="s">
        <v>884</v>
      </c>
      <c r="F1026" s="813" t="s">
        <v>885</v>
      </c>
      <c r="H1026" s="819" t="s">
        <v>374</v>
      </c>
      <c r="I1026" s="820" t="s">
        <v>20</v>
      </c>
      <c r="J1026" s="820" t="s">
        <v>248</v>
      </c>
      <c r="L1026" s="821">
        <v>1</v>
      </c>
      <c r="M1026" s="637">
        <v>4</v>
      </c>
      <c r="N1026" s="637">
        <v>7.25</v>
      </c>
      <c r="O1026" s="821">
        <v>1</v>
      </c>
      <c r="P1026" s="637">
        <v>4</v>
      </c>
      <c r="Q1026" s="637">
        <v>7.25</v>
      </c>
      <c r="R1026" s="813" t="s">
        <v>172</v>
      </c>
      <c r="T1026" s="815" t="s">
        <v>172</v>
      </c>
      <c r="U1026" s="899" t="s">
        <v>1219</v>
      </c>
    </row>
    <row r="1027" spans="1:21" x14ac:dyDescent="0.25">
      <c r="A1027" s="813">
        <v>1415</v>
      </c>
      <c r="B1027" s="813" t="s">
        <v>344</v>
      </c>
      <c r="C1027" s="813" t="s">
        <v>905</v>
      </c>
      <c r="D1027" s="813" t="s">
        <v>16</v>
      </c>
      <c r="E1027" s="813" t="s">
        <v>884</v>
      </c>
      <c r="F1027" s="813" t="s">
        <v>869</v>
      </c>
      <c r="H1027" s="819" t="s">
        <v>374</v>
      </c>
      <c r="I1027" s="820" t="s">
        <v>20</v>
      </c>
      <c r="J1027" s="820" t="s">
        <v>248</v>
      </c>
      <c r="L1027" s="821">
        <v>1</v>
      </c>
      <c r="M1027" s="637">
        <v>1</v>
      </c>
      <c r="N1027" s="637">
        <v>0.5</v>
      </c>
      <c r="O1027" s="821">
        <v>1</v>
      </c>
      <c r="P1027" s="637">
        <v>1</v>
      </c>
      <c r="Q1027" s="637">
        <v>1</v>
      </c>
      <c r="R1027" s="813" t="s">
        <v>172</v>
      </c>
      <c r="T1027" s="815" t="s">
        <v>172</v>
      </c>
      <c r="U1027" s="899" t="s">
        <v>1219</v>
      </c>
    </row>
    <row r="1028" spans="1:21" x14ac:dyDescent="0.25">
      <c r="A1028" s="813">
        <v>1416</v>
      </c>
      <c r="B1028" s="813" t="s">
        <v>344</v>
      </c>
      <c r="C1028" s="813" t="s">
        <v>906</v>
      </c>
      <c r="D1028" s="813" t="s">
        <v>14</v>
      </c>
      <c r="E1028" s="813" t="s">
        <v>14</v>
      </c>
      <c r="F1028" s="813" t="s">
        <v>869</v>
      </c>
      <c r="H1028" s="819" t="s">
        <v>39</v>
      </c>
      <c r="I1028" s="820" t="s">
        <v>20</v>
      </c>
      <c r="J1028" s="820" t="s">
        <v>428</v>
      </c>
      <c r="L1028" s="821">
        <v>23</v>
      </c>
      <c r="M1028" s="637">
        <v>23</v>
      </c>
      <c r="N1028" s="637">
        <v>23</v>
      </c>
      <c r="O1028" s="821">
        <v>21</v>
      </c>
      <c r="P1028" s="637">
        <v>21</v>
      </c>
      <c r="Q1028" s="637">
        <v>21</v>
      </c>
      <c r="R1028" s="806" t="s">
        <v>507</v>
      </c>
      <c r="T1028" s="815" t="s">
        <v>172</v>
      </c>
      <c r="U1028" s="900" t="s">
        <v>1220</v>
      </c>
    </row>
    <row r="1029" spans="1:21" x14ac:dyDescent="0.25">
      <c r="A1029" s="813">
        <v>1417</v>
      </c>
      <c r="B1029" s="813" t="s">
        <v>344</v>
      </c>
      <c r="C1029" s="813" t="s">
        <v>906</v>
      </c>
      <c r="D1029" s="813" t="s">
        <v>14</v>
      </c>
      <c r="E1029" s="813" t="s">
        <v>14</v>
      </c>
      <c r="F1029" s="813" t="s">
        <v>875</v>
      </c>
      <c r="H1029" s="819" t="s">
        <v>39</v>
      </c>
      <c r="I1029" s="820" t="s">
        <v>20</v>
      </c>
      <c r="J1029" s="820" t="s">
        <v>428</v>
      </c>
      <c r="L1029" s="821">
        <v>11</v>
      </c>
      <c r="M1029" s="637">
        <v>16</v>
      </c>
      <c r="N1029" s="637">
        <v>16</v>
      </c>
      <c r="O1029" s="821">
        <v>11</v>
      </c>
      <c r="P1029" s="637">
        <v>16</v>
      </c>
      <c r="Q1029" s="637">
        <v>16</v>
      </c>
      <c r="R1029" s="806" t="s">
        <v>507</v>
      </c>
      <c r="T1029" s="815" t="s">
        <v>172</v>
      </c>
      <c r="U1029" s="900" t="s">
        <v>1220</v>
      </c>
    </row>
    <row r="1030" spans="1:21" x14ac:dyDescent="0.25">
      <c r="A1030" s="813">
        <v>1418</v>
      </c>
      <c r="B1030" s="813" t="s">
        <v>344</v>
      </c>
      <c r="C1030" s="813" t="s">
        <v>906</v>
      </c>
      <c r="D1030" s="813" t="s">
        <v>14</v>
      </c>
      <c r="E1030" s="813" t="s">
        <v>14</v>
      </c>
      <c r="F1030" s="813" t="s">
        <v>1132</v>
      </c>
      <c r="G1030" s="813" t="s">
        <v>868</v>
      </c>
      <c r="H1030" s="819" t="s">
        <v>35</v>
      </c>
      <c r="I1030" s="820" t="s">
        <v>20</v>
      </c>
      <c r="J1030" s="820" t="s">
        <v>428</v>
      </c>
      <c r="L1030" s="821">
        <v>34</v>
      </c>
      <c r="M1030" s="637">
        <v>2720</v>
      </c>
      <c r="N1030" s="637">
        <v>14287.75</v>
      </c>
      <c r="O1030" s="821">
        <v>29</v>
      </c>
      <c r="P1030" s="637">
        <v>2652</v>
      </c>
      <c r="Q1030" s="637">
        <v>14018.25</v>
      </c>
      <c r="R1030" s="813" t="s">
        <v>172</v>
      </c>
      <c r="T1030" s="815" t="s">
        <v>172</v>
      </c>
      <c r="U1030" s="900" t="s">
        <v>1220</v>
      </c>
    </row>
    <row r="1031" spans="1:21" x14ac:dyDescent="0.25">
      <c r="A1031" s="813">
        <v>1419</v>
      </c>
      <c r="B1031" s="813" t="s">
        <v>344</v>
      </c>
      <c r="C1031" s="813" t="s">
        <v>906</v>
      </c>
      <c r="D1031" s="813" t="s">
        <v>14</v>
      </c>
      <c r="E1031" s="813" t="s">
        <v>14</v>
      </c>
      <c r="F1031" s="813" t="s">
        <v>1133</v>
      </c>
      <c r="G1031" s="813" t="s">
        <v>933</v>
      </c>
      <c r="H1031" s="819" t="s">
        <v>37</v>
      </c>
      <c r="I1031" s="820" t="s">
        <v>20</v>
      </c>
      <c r="J1031" s="820" t="s">
        <v>428</v>
      </c>
      <c r="L1031" s="821">
        <v>1</v>
      </c>
      <c r="M1031" s="637">
        <v>36</v>
      </c>
      <c r="N1031" s="637">
        <v>468</v>
      </c>
      <c r="O1031" s="821">
        <v>1</v>
      </c>
      <c r="P1031" s="637">
        <v>36</v>
      </c>
      <c r="Q1031" s="637">
        <v>468</v>
      </c>
      <c r="R1031" s="813" t="s">
        <v>172</v>
      </c>
      <c r="T1031" s="815">
        <v>13</v>
      </c>
      <c r="U1031" s="900" t="s">
        <v>1220</v>
      </c>
    </row>
    <row r="1032" spans="1:21" x14ac:dyDescent="0.25">
      <c r="A1032" s="813">
        <v>1424</v>
      </c>
      <c r="B1032" s="813" t="s">
        <v>344</v>
      </c>
      <c r="C1032" s="813" t="s">
        <v>909</v>
      </c>
      <c r="D1032" s="813" t="s">
        <v>14</v>
      </c>
      <c r="E1032" s="813" t="s">
        <v>15</v>
      </c>
      <c r="F1032" s="813" t="s">
        <v>869</v>
      </c>
      <c r="H1032" s="819" t="s">
        <v>39</v>
      </c>
      <c r="I1032" s="820" t="s">
        <v>20</v>
      </c>
      <c r="J1032" s="820" t="s">
        <v>428</v>
      </c>
      <c r="L1032" s="821">
        <v>1</v>
      </c>
      <c r="M1032" s="637">
        <v>1</v>
      </c>
      <c r="N1032" s="637">
        <v>1</v>
      </c>
      <c r="O1032" s="821">
        <v>1</v>
      </c>
      <c r="P1032" s="637">
        <v>1</v>
      </c>
      <c r="Q1032" s="637">
        <v>1</v>
      </c>
      <c r="R1032" s="806" t="s">
        <v>507</v>
      </c>
      <c r="T1032" s="815" t="s">
        <v>172</v>
      </c>
      <c r="U1032" s="900" t="s">
        <v>1220</v>
      </c>
    </row>
    <row r="1033" spans="1:21" x14ac:dyDescent="0.25">
      <c r="A1033" s="813">
        <v>1425</v>
      </c>
      <c r="B1033" s="813" t="s">
        <v>344</v>
      </c>
      <c r="C1033" s="813" t="s">
        <v>909</v>
      </c>
      <c r="D1033" s="813" t="s">
        <v>14</v>
      </c>
      <c r="E1033" s="813" t="s">
        <v>15</v>
      </c>
      <c r="F1033" s="813" t="s">
        <v>1132</v>
      </c>
      <c r="G1033" s="813" t="s">
        <v>868</v>
      </c>
      <c r="H1033" s="819" t="s">
        <v>35</v>
      </c>
      <c r="I1033" s="820" t="s">
        <v>20</v>
      </c>
      <c r="J1033" s="820" t="s">
        <v>428</v>
      </c>
      <c r="L1033" s="821">
        <v>1</v>
      </c>
      <c r="M1033" s="637">
        <v>36</v>
      </c>
      <c r="N1033" s="637">
        <v>136.5</v>
      </c>
      <c r="O1033" s="821">
        <v>1</v>
      </c>
      <c r="P1033" s="637">
        <v>36</v>
      </c>
      <c r="Q1033" s="637">
        <v>136.5</v>
      </c>
      <c r="R1033" s="813" t="s">
        <v>172</v>
      </c>
      <c r="T1033" s="815" t="s">
        <v>172</v>
      </c>
      <c r="U1033" s="900" t="s">
        <v>1220</v>
      </c>
    </row>
    <row r="1034" spans="1:21" x14ac:dyDescent="0.25">
      <c r="A1034" s="813">
        <v>1426</v>
      </c>
      <c r="B1034" s="813" t="s">
        <v>344</v>
      </c>
      <c r="C1034" s="813" t="s">
        <v>909</v>
      </c>
      <c r="D1034" s="813" t="s">
        <v>14</v>
      </c>
      <c r="E1034" s="813" t="s">
        <v>15</v>
      </c>
      <c r="F1034" s="813" t="s">
        <v>910</v>
      </c>
      <c r="G1034" s="813" t="s">
        <v>863</v>
      </c>
      <c r="H1034" s="819" t="s">
        <v>18</v>
      </c>
      <c r="I1034" s="820" t="s">
        <v>15</v>
      </c>
      <c r="J1034" s="820" t="s">
        <v>421</v>
      </c>
      <c r="L1034" s="821">
        <v>2</v>
      </c>
      <c r="M1034" s="637">
        <v>219</v>
      </c>
      <c r="N1034" s="637">
        <v>778.25</v>
      </c>
      <c r="O1034" s="821">
        <v>2</v>
      </c>
      <c r="P1034" s="637">
        <v>219</v>
      </c>
      <c r="Q1034" s="637">
        <v>778.25</v>
      </c>
      <c r="R1034" s="813" t="s">
        <v>172</v>
      </c>
      <c r="T1034" s="815" t="s">
        <v>172</v>
      </c>
      <c r="U1034" s="900" t="s">
        <v>1220</v>
      </c>
    </row>
    <row r="1035" spans="1:21" x14ac:dyDescent="0.25">
      <c r="A1035" s="813">
        <v>1427</v>
      </c>
      <c r="B1035" s="813" t="s">
        <v>344</v>
      </c>
      <c r="C1035" s="813" t="s">
        <v>909</v>
      </c>
      <c r="D1035" s="813" t="s">
        <v>14</v>
      </c>
      <c r="E1035" s="813" t="s">
        <v>15</v>
      </c>
      <c r="F1035" s="813" t="s">
        <v>1104</v>
      </c>
      <c r="G1035" s="813" t="s">
        <v>863</v>
      </c>
      <c r="H1035" s="819" t="s">
        <v>18</v>
      </c>
      <c r="I1035" s="820" t="s">
        <v>15</v>
      </c>
      <c r="J1035" s="820" t="s">
        <v>421</v>
      </c>
      <c r="L1035" s="821">
        <v>1</v>
      </c>
      <c r="M1035" s="637">
        <v>82</v>
      </c>
      <c r="N1035" s="637">
        <v>656</v>
      </c>
      <c r="O1035" s="821">
        <v>1</v>
      </c>
      <c r="P1035" s="637">
        <v>82</v>
      </c>
      <c r="Q1035" s="637">
        <v>656</v>
      </c>
      <c r="R1035" s="813" t="s">
        <v>172</v>
      </c>
      <c r="T1035" s="815" t="s">
        <v>172</v>
      </c>
      <c r="U1035" s="900" t="s">
        <v>1220</v>
      </c>
    </row>
    <row r="1036" spans="1:21" x14ac:dyDescent="0.25">
      <c r="A1036" s="813">
        <v>1428</v>
      </c>
      <c r="B1036" s="813" t="s">
        <v>344</v>
      </c>
      <c r="C1036" s="813" t="s">
        <v>909</v>
      </c>
      <c r="D1036" s="813" t="s">
        <v>14</v>
      </c>
      <c r="E1036" s="813" t="s">
        <v>15</v>
      </c>
      <c r="F1036" s="813" t="s">
        <v>913</v>
      </c>
      <c r="G1036" s="813" t="s">
        <v>863</v>
      </c>
      <c r="H1036" s="819" t="s">
        <v>18</v>
      </c>
      <c r="I1036" s="820" t="s">
        <v>15</v>
      </c>
      <c r="J1036" s="820" t="s">
        <v>421</v>
      </c>
      <c r="L1036" s="821">
        <v>1</v>
      </c>
      <c r="M1036" s="637">
        <v>57</v>
      </c>
      <c r="N1036" s="637">
        <v>252.25</v>
      </c>
      <c r="O1036" s="821">
        <v>1</v>
      </c>
      <c r="P1036" s="637">
        <v>57</v>
      </c>
      <c r="Q1036" s="637">
        <v>252.25</v>
      </c>
      <c r="R1036" s="813" t="s">
        <v>172</v>
      </c>
      <c r="T1036" s="815" t="s">
        <v>172</v>
      </c>
      <c r="U1036" s="900" t="s">
        <v>1220</v>
      </c>
    </row>
    <row r="1037" spans="1:21" x14ac:dyDescent="0.25">
      <c r="A1037" s="813">
        <v>1429</v>
      </c>
      <c r="B1037" s="813" t="s">
        <v>344</v>
      </c>
      <c r="C1037" s="813" t="s">
        <v>909</v>
      </c>
      <c r="D1037" s="813" t="s">
        <v>14</v>
      </c>
      <c r="E1037" s="813" t="s">
        <v>15</v>
      </c>
      <c r="F1037" s="813" t="s">
        <v>985</v>
      </c>
      <c r="G1037" s="813" t="s">
        <v>863</v>
      </c>
      <c r="H1037" s="819" t="s">
        <v>18</v>
      </c>
      <c r="I1037" s="820" t="s">
        <v>15</v>
      </c>
      <c r="J1037" s="820" t="s">
        <v>421</v>
      </c>
      <c r="L1037" s="821">
        <v>82</v>
      </c>
      <c r="M1037" s="637">
        <v>17154</v>
      </c>
      <c r="N1037" s="637">
        <v>84821</v>
      </c>
      <c r="O1037" s="821">
        <v>76</v>
      </c>
      <c r="P1037" s="637">
        <v>16871</v>
      </c>
      <c r="Q1037" s="637">
        <v>82993.25</v>
      </c>
      <c r="R1037" s="813" t="s">
        <v>172</v>
      </c>
      <c r="T1037" s="815" t="s">
        <v>172</v>
      </c>
      <c r="U1037" s="900" t="s">
        <v>1220</v>
      </c>
    </row>
    <row r="1038" spans="1:21" x14ac:dyDescent="0.25">
      <c r="A1038" s="813">
        <v>1430</v>
      </c>
      <c r="B1038" s="813" t="s">
        <v>344</v>
      </c>
      <c r="C1038" s="813" t="s">
        <v>909</v>
      </c>
      <c r="D1038" s="813" t="s">
        <v>14</v>
      </c>
      <c r="E1038" s="813" t="s">
        <v>15</v>
      </c>
      <c r="F1038" s="813" t="s">
        <v>1134</v>
      </c>
      <c r="G1038" s="813" t="s">
        <v>957</v>
      </c>
      <c r="H1038" s="819" t="s">
        <v>44</v>
      </c>
      <c r="I1038" s="820" t="s">
        <v>15</v>
      </c>
      <c r="J1038" s="820" t="s">
        <v>421</v>
      </c>
      <c r="L1038" s="821">
        <v>2</v>
      </c>
      <c r="M1038" s="637">
        <v>134</v>
      </c>
      <c r="N1038" s="637">
        <v>1217.75</v>
      </c>
      <c r="O1038" s="821">
        <v>2</v>
      </c>
      <c r="P1038" s="637">
        <v>134</v>
      </c>
      <c r="Q1038" s="637">
        <v>1217.75</v>
      </c>
      <c r="R1038" s="813" t="s">
        <v>172</v>
      </c>
      <c r="T1038" s="815" t="s">
        <v>172</v>
      </c>
      <c r="U1038" s="900" t="s">
        <v>1220</v>
      </c>
    </row>
    <row r="1039" spans="1:21" x14ac:dyDescent="0.25">
      <c r="A1039" s="813">
        <v>1431</v>
      </c>
      <c r="B1039" s="813" t="s">
        <v>344</v>
      </c>
      <c r="C1039" s="813" t="s">
        <v>914</v>
      </c>
      <c r="D1039" s="813" t="s">
        <v>434</v>
      </c>
      <c r="E1039" s="813" t="s">
        <v>14</v>
      </c>
      <c r="F1039" s="813" t="s">
        <v>885</v>
      </c>
      <c r="G1039" s="813" t="s">
        <v>868</v>
      </c>
      <c r="H1039" s="819" t="s">
        <v>35</v>
      </c>
      <c r="I1039" s="820" t="s">
        <v>20</v>
      </c>
      <c r="J1039" s="820" t="s">
        <v>428</v>
      </c>
      <c r="L1039" s="821">
        <v>1</v>
      </c>
      <c r="M1039" s="637">
        <v>1</v>
      </c>
      <c r="N1039" s="637">
        <v>6</v>
      </c>
      <c r="O1039" s="821">
        <v>1</v>
      </c>
      <c r="P1039" s="637">
        <v>1</v>
      </c>
      <c r="Q1039" s="637">
        <v>6</v>
      </c>
      <c r="R1039" s="813" t="s">
        <v>172</v>
      </c>
      <c r="T1039" s="815" t="s">
        <v>172</v>
      </c>
      <c r="U1039" s="900" t="s">
        <v>1220</v>
      </c>
    </row>
    <row r="1040" spans="1:21" x14ac:dyDescent="0.25">
      <c r="A1040" s="813">
        <v>1434</v>
      </c>
      <c r="B1040" s="813" t="s">
        <v>345</v>
      </c>
      <c r="C1040" s="813" t="s">
        <v>876</v>
      </c>
      <c r="D1040" s="813" t="s">
        <v>434</v>
      </c>
      <c r="E1040" s="813" t="s">
        <v>15</v>
      </c>
      <c r="F1040" s="813" t="s">
        <v>863</v>
      </c>
      <c r="G1040" s="813" t="s">
        <v>863</v>
      </c>
      <c r="H1040" s="819" t="s">
        <v>18</v>
      </c>
      <c r="I1040" s="820" t="s">
        <v>15</v>
      </c>
      <c r="J1040" s="820" t="s">
        <v>421</v>
      </c>
      <c r="L1040" s="821">
        <v>4</v>
      </c>
      <c r="M1040" s="637">
        <v>571</v>
      </c>
      <c r="N1040" s="637">
        <v>2573.75</v>
      </c>
      <c r="O1040" s="821">
        <v>4</v>
      </c>
      <c r="P1040" s="637">
        <v>571</v>
      </c>
      <c r="Q1040" s="637">
        <v>2573.75</v>
      </c>
      <c r="R1040" s="813" t="s">
        <v>172</v>
      </c>
      <c r="T1040" s="815" t="s">
        <v>172</v>
      </c>
      <c r="U1040" s="900" t="s">
        <v>1220</v>
      </c>
    </row>
    <row r="1041" spans="1:21" x14ac:dyDescent="0.25">
      <c r="A1041" s="813">
        <v>1437</v>
      </c>
      <c r="B1041" s="813" t="s">
        <v>345</v>
      </c>
      <c r="C1041" s="813" t="s">
        <v>909</v>
      </c>
      <c r="D1041" s="813" t="s">
        <v>14</v>
      </c>
      <c r="E1041" s="813" t="s">
        <v>15</v>
      </c>
      <c r="F1041" s="813" t="s">
        <v>1135</v>
      </c>
      <c r="G1041" s="813" t="s">
        <v>863</v>
      </c>
      <c r="H1041" s="819" t="s">
        <v>18</v>
      </c>
      <c r="I1041" s="820" t="s">
        <v>15</v>
      </c>
      <c r="J1041" s="820" t="s">
        <v>421</v>
      </c>
      <c r="L1041" s="821">
        <v>7</v>
      </c>
      <c r="M1041" s="637">
        <v>1371</v>
      </c>
      <c r="N1041" s="637">
        <v>6695.25</v>
      </c>
      <c r="O1041" s="821">
        <v>7</v>
      </c>
      <c r="P1041" s="637">
        <v>1371</v>
      </c>
      <c r="Q1041" s="637">
        <v>6695.25</v>
      </c>
      <c r="R1041" s="813" t="s">
        <v>172</v>
      </c>
      <c r="T1041" s="815" t="s">
        <v>172</v>
      </c>
      <c r="U1041" s="900" t="s">
        <v>1220</v>
      </c>
    </row>
    <row r="1042" spans="1:21" x14ac:dyDescent="0.25">
      <c r="A1042" s="813">
        <v>1439</v>
      </c>
      <c r="B1042" s="813" t="s">
        <v>346</v>
      </c>
      <c r="C1042" s="813" t="s">
        <v>876</v>
      </c>
      <c r="D1042" s="813" t="s">
        <v>434</v>
      </c>
      <c r="E1042" s="813" t="s">
        <v>15</v>
      </c>
      <c r="F1042" s="813" t="s">
        <v>863</v>
      </c>
      <c r="G1042" s="813" t="s">
        <v>863</v>
      </c>
      <c r="H1042" s="819" t="s">
        <v>18</v>
      </c>
      <c r="I1042" s="820" t="s">
        <v>15</v>
      </c>
      <c r="J1042" s="820" t="s">
        <v>421</v>
      </c>
      <c r="L1042" s="821">
        <v>3</v>
      </c>
      <c r="M1042" s="637">
        <v>335</v>
      </c>
      <c r="N1042" s="637">
        <v>1640.5</v>
      </c>
      <c r="O1042" s="821">
        <v>3</v>
      </c>
      <c r="P1042" s="637">
        <v>335</v>
      </c>
      <c r="Q1042" s="637">
        <v>1640.5</v>
      </c>
      <c r="R1042" s="813" t="s">
        <v>172</v>
      </c>
      <c r="T1042" s="815" t="s">
        <v>172</v>
      </c>
      <c r="U1042" s="900" t="s">
        <v>1220</v>
      </c>
    </row>
    <row r="1043" spans="1:21" x14ac:dyDescent="0.25">
      <c r="A1043" s="813">
        <v>1441</v>
      </c>
      <c r="B1043" s="813" t="s">
        <v>346</v>
      </c>
      <c r="C1043" s="813" t="s">
        <v>897</v>
      </c>
      <c r="D1043" s="813" t="s">
        <v>14</v>
      </c>
      <c r="E1043" s="813" t="s">
        <v>15</v>
      </c>
      <c r="F1043" s="813" t="s">
        <v>898</v>
      </c>
      <c r="G1043" s="813" t="s">
        <v>863</v>
      </c>
      <c r="H1043" s="819" t="s">
        <v>18</v>
      </c>
      <c r="I1043" s="820" t="s">
        <v>15</v>
      </c>
      <c r="J1043" s="820" t="s">
        <v>421</v>
      </c>
      <c r="L1043" s="821">
        <v>3</v>
      </c>
      <c r="M1043" s="637">
        <v>147</v>
      </c>
      <c r="N1043" s="637">
        <v>786.25</v>
      </c>
      <c r="O1043" s="821">
        <v>3</v>
      </c>
      <c r="P1043" s="637">
        <v>147</v>
      </c>
      <c r="Q1043" s="637">
        <v>786.25</v>
      </c>
      <c r="R1043" s="813" t="s">
        <v>172</v>
      </c>
      <c r="T1043" s="815" t="s">
        <v>172</v>
      </c>
      <c r="U1043" s="900" t="s">
        <v>1220</v>
      </c>
    </row>
    <row r="1044" spans="1:21" x14ac:dyDescent="0.25">
      <c r="A1044" s="813">
        <v>1443</v>
      </c>
      <c r="B1044" s="813" t="s">
        <v>347</v>
      </c>
      <c r="C1044" s="813" t="s">
        <v>876</v>
      </c>
      <c r="D1044" s="813" t="s">
        <v>434</v>
      </c>
      <c r="E1044" s="813" t="s">
        <v>15</v>
      </c>
      <c r="F1044" s="813" t="s">
        <v>863</v>
      </c>
      <c r="G1044" s="813" t="s">
        <v>863</v>
      </c>
      <c r="H1044" s="819" t="s">
        <v>18</v>
      </c>
      <c r="I1044" s="820" t="s">
        <v>15</v>
      </c>
      <c r="J1044" s="820" t="s">
        <v>421</v>
      </c>
      <c r="L1044" s="821">
        <v>1</v>
      </c>
      <c r="M1044" s="637">
        <v>84</v>
      </c>
      <c r="N1044" s="637">
        <v>349.5</v>
      </c>
      <c r="O1044" s="821">
        <v>1</v>
      </c>
      <c r="P1044" s="637">
        <v>84</v>
      </c>
      <c r="Q1044" s="637">
        <v>349.5</v>
      </c>
      <c r="R1044" s="813" t="s">
        <v>172</v>
      </c>
      <c r="T1044" s="815" t="s">
        <v>172</v>
      </c>
      <c r="U1044" s="900" t="s">
        <v>1220</v>
      </c>
    </row>
    <row r="1045" spans="1:21" x14ac:dyDescent="0.25">
      <c r="A1045" s="813">
        <v>1445</v>
      </c>
      <c r="B1045" s="813" t="s">
        <v>347</v>
      </c>
      <c r="C1045" s="813" t="s">
        <v>897</v>
      </c>
      <c r="D1045" s="813" t="s">
        <v>14</v>
      </c>
      <c r="E1045" s="813" t="s">
        <v>15</v>
      </c>
      <c r="F1045" s="813" t="s">
        <v>898</v>
      </c>
      <c r="G1045" s="813" t="s">
        <v>863</v>
      </c>
      <c r="H1045" s="819" t="s">
        <v>18</v>
      </c>
      <c r="I1045" s="820" t="s">
        <v>15</v>
      </c>
      <c r="J1045" s="820" t="s">
        <v>421</v>
      </c>
      <c r="L1045" s="821">
        <v>2</v>
      </c>
      <c r="M1045" s="637">
        <v>273</v>
      </c>
      <c r="N1045" s="637">
        <v>1631.5</v>
      </c>
      <c r="O1045" s="821">
        <v>2</v>
      </c>
      <c r="P1045" s="637">
        <v>273</v>
      </c>
      <c r="Q1045" s="637">
        <v>1631.5</v>
      </c>
      <c r="R1045" s="813" t="s">
        <v>172</v>
      </c>
      <c r="T1045" s="815" t="s">
        <v>172</v>
      </c>
      <c r="U1045" s="900" t="s">
        <v>1220</v>
      </c>
    </row>
    <row r="1046" spans="1:21" x14ac:dyDescent="0.25">
      <c r="A1046" s="813">
        <v>1447</v>
      </c>
      <c r="B1046" s="813" t="s">
        <v>348</v>
      </c>
      <c r="C1046" s="813" t="s">
        <v>876</v>
      </c>
      <c r="D1046" s="813" t="s">
        <v>434</v>
      </c>
      <c r="E1046" s="813" t="s">
        <v>15</v>
      </c>
      <c r="F1046" s="813" t="s">
        <v>863</v>
      </c>
      <c r="G1046" s="813" t="s">
        <v>863</v>
      </c>
      <c r="H1046" s="819" t="s">
        <v>18</v>
      </c>
      <c r="I1046" s="820" t="s">
        <v>15</v>
      </c>
      <c r="J1046" s="820" t="s">
        <v>421</v>
      </c>
      <c r="L1046" s="821">
        <v>10</v>
      </c>
      <c r="M1046" s="637">
        <v>1280</v>
      </c>
      <c r="N1046" s="637">
        <v>5225.5</v>
      </c>
      <c r="O1046" s="821">
        <v>10</v>
      </c>
      <c r="P1046" s="637">
        <v>1280</v>
      </c>
      <c r="Q1046" s="637">
        <v>5225.5</v>
      </c>
      <c r="R1046" s="813" t="s">
        <v>172</v>
      </c>
      <c r="T1046" s="815" t="s">
        <v>172</v>
      </c>
      <c r="U1046" s="900" t="s">
        <v>1220</v>
      </c>
    </row>
    <row r="1047" spans="1:21" x14ac:dyDescent="0.25">
      <c r="A1047" s="813">
        <v>1449</v>
      </c>
      <c r="B1047" s="813" t="s">
        <v>348</v>
      </c>
      <c r="C1047" s="813" t="s">
        <v>897</v>
      </c>
      <c r="D1047" s="813" t="s">
        <v>14</v>
      </c>
      <c r="E1047" s="813" t="s">
        <v>15</v>
      </c>
      <c r="F1047" s="813" t="s">
        <v>898</v>
      </c>
      <c r="G1047" s="813" t="s">
        <v>863</v>
      </c>
      <c r="H1047" s="819" t="s">
        <v>18</v>
      </c>
      <c r="I1047" s="820" t="s">
        <v>15</v>
      </c>
      <c r="J1047" s="820" t="s">
        <v>421</v>
      </c>
      <c r="L1047" s="821">
        <v>8</v>
      </c>
      <c r="M1047" s="637">
        <v>1242</v>
      </c>
      <c r="N1047" s="637">
        <v>5560.25</v>
      </c>
      <c r="O1047" s="821">
        <v>8</v>
      </c>
      <c r="P1047" s="637">
        <v>1242</v>
      </c>
      <c r="Q1047" s="637">
        <v>5560.25</v>
      </c>
      <c r="R1047" s="813" t="s">
        <v>172</v>
      </c>
      <c r="T1047" s="815" t="s">
        <v>172</v>
      </c>
      <c r="U1047" s="900" t="s">
        <v>1220</v>
      </c>
    </row>
    <row r="1048" spans="1:21" x14ac:dyDescent="0.25">
      <c r="A1048" s="813">
        <v>1450</v>
      </c>
      <c r="B1048" s="813" t="s">
        <v>349</v>
      </c>
      <c r="C1048" s="813" t="s">
        <v>458</v>
      </c>
      <c r="D1048" s="813" t="s">
        <v>13</v>
      </c>
      <c r="E1048" s="813" t="s">
        <v>13</v>
      </c>
      <c r="F1048" s="813" t="s">
        <v>915</v>
      </c>
      <c r="G1048" s="813" t="s">
        <v>860</v>
      </c>
      <c r="H1048" s="819" t="s">
        <v>391</v>
      </c>
      <c r="I1048" s="820" t="s">
        <v>20</v>
      </c>
      <c r="J1048" s="820" t="s">
        <v>16</v>
      </c>
      <c r="K1048" s="813" t="s">
        <v>13</v>
      </c>
      <c r="L1048" s="821">
        <v>2</v>
      </c>
      <c r="M1048" s="637">
        <v>50</v>
      </c>
      <c r="N1048" s="637">
        <v>327.5</v>
      </c>
      <c r="O1048" s="821">
        <v>1</v>
      </c>
      <c r="P1048" s="637">
        <v>45</v>
      </c>
      <c r="Q1048" s="637">
        <v>312.5</v>
      </c>
      <c r="R1048" s="813" t="s">
        <v>172</v>
      </c>
      <c r="T1048" s="815" t="s">
        <v>172</v>
      </c>
      <c r="U1048" s="899" t="s">
        <v>1219</v>
      </c>
    </row>
    <row r="1049" spans="1:21" x14ac:dyDescent="0.25">
      <c r="A1049" s="813">
        <v>1452</v>
      </c>
      <c r="B1049" s="813" t="s">
        <v>349</v>
      </c>
      <c r="C1049" s="813" t="s">
        <v>1059</v>
      </c>
      <c r="D1049" s="813" t="s">
        <v>14</v>
      </c>
      <c r="E1049" s="813" t="s">
        <v>15</v>
      </c>
      <c r="F1049" s="813" t="s">
        <v>1060</v>
      </c>
      <c r="G1049" s="813" t="s">
        <v>863</v>
      </c>
      <c r="H1049" s="819" t="s">
        <v>18</v>
      </c>
      <c r="I1049" s="820" t="s">
        <v>15</v>
      </c>
      <c r="J1049" s="820" t="s">
        <v>421</v>
      </c>
      <c r="L1049" s="821">
        <v>1</v>
      </c>
      <c r="M1049" s="637">
        <v>87</v>
      </c>
      <c r="N1049" s="637">
        <v>261</v>
      </c>
      <c r="O1049" s="821">
        <v>1</v>
      </c>
      <c r="P1049" s="637">
        <v>87</v>
      </c>
      <c r="Q1049" s="637">
        <v>261</v>
      </c>
      <c r="R1049" s="813" t="s">
        <v>172</v>
      </c>
      <c r="T1049" s="815" t="s">
        <v>172</v>
      </c>
      <c r="U1049" s="900" t="s">
        <v>1220</v>
      </c>
    </row>
    <row r="1050" spans="1:21" x14ac:dyDescent="0.25">
      <c r="A1050" s="813">
        <v>1458</v>
      </c>
      <c r="B1050" s="813" t="s">
        <v>349</v>
      </c>
      <c r="C1050" s="813" t="s">
        <v>861</v>
      </c>
      <c r="D1050" s="813" t="s">
        <v>14</v>
      </c>
      <c r="E1050" s="813" t="s">
        <v>15</v>
      </c>
      <c r="F1050" s="813" t="s">
        <v>862</v>
      </c>
      <c r="G1050" s="813" t="s">
        <v>863</v>
      </c>
      <c r="H1050" s="819" t="s">
        <v>18</v>
      </c>
      <c r="I1050" s="820" t="s">
        <v>15</v>
      </c>
      <c r="J1050" s="820" t="s">
        <v>421</v>
      </c>
      <c r="L1050" s="821">
        <v>4</v>
      </c>
      <c r="M1050" s="637">
        <v>691</v>
      </c>
      <c r="N1050" s="637">
        <v>2719</v>
      </c>
      <c r="O1050" s="821">
        <v>4</v>
      </c>
      <c r="P1050" s="637">
        <v>691</v>
      </c>
      <c r="Q1050" s="637">
        <v>2719</v>
      </c>
      <c r="R1050" s="813" t="s">
        <v>172</v>
      </c>
      <c r="T1050" s="815" t="s">
        <v>172</v>
      </c>
      <c r="U1050" s="900" t="s">
        <v>1220</v>
      </c>
    </row>
    <row r="1051" spans="1:21" x14ac:dyDescent="0.25">
      <c r="A1051" s="813">
        <v>1459</v>
      </c>
      <c r="B1051" s="813" t="s">
        <v>349</v>
      </c>
      <c r="C1051" s="813" t="s">
        <v>861</v>
      </c>
      <c r="D1051" s="813" t="s">
        <v>14</v>
      </c>
      <c r="E1051" s="813" t="s">
        <v>15</v>
      </c>
      <c r="F1051" s="813" t="s">
        <v>992</v>
      </c>
      <c r="G1051" s="813" t="s">
        <v>863</v>
      </c>
      <c r="H1051" s="819" t="s">
        <v>18</v>
      </c>
      <c r="I1051" s="820" t="s">
        <v>15</v>
      </c>
      <c r="J1051" s="820" t="s">
        <v>421</v>
      </c>
      <c r="L1051" s="821">
        <v>53</v>
      </c>
      <c r="M1051" s="637">
        <v>10780</v>
      </c>
      <c r="N1051" s="637">
        <v>43678.25</v>
      </c>
      <c r="O1051" s="821">
        <v>53</v>
      </c>
      <c r="P1051" s="637">
        <v>10780</v>
      </c>
      <c r="Q1051" s="637">
        <v>43678.25</v>
      </c>
      <c r="R1051" s="813" t="s">
        <v>172</v>
      </c>
      <c r="T1051" s="815" t="s">
        <v>172</v>
      </c>
      <c r="U1051" s="900" t="s">
        <v>1220</v>
      </c>
    </row>
    <row r="1052" spans="1:21" x14ac:dyDescent="0.25">
      <c r="A1052" s="813">
        <v>1460</v>
      </c>
      <c r="B1052" s="813" t="s">
        <v>349</v>
      </c>
      <c r="C1052" s="813" t="s">
        <v>861</v>
      </c>
      <c r="D1052" s="813" t="s">
        <v>14</v>
      </c>
      <c r="E1052" s="813" t="s">
        <v>15</v>
      </c>
      <c r="F1052" s="813" t="s">
        <v>1136</v>
      </c>
      <c r="G1052" s="813" t="s">
        <v>934</v>
      </c>
      <c r="H1052" s="819" t="s">
        <v>43</v>
      </c>
      <c r="I1052" s="820" t="s">
        <v>15</v>
      </c>
      <c r="J1052" s="820" t="s">
        <v>421</v>
      </c>
      <c r="L1052" s="821">
        <v>1</v>
      </c>
      <c r="M1052" s="637">
        <v>358</v>
      </c>
      <c r="N1052" s="637">
        <v>4654</v>
      </c>
      <c r="O1052" s="821">
        <v>1</v>
      </c>
      <c r="P1052" s="637">
        <v>358</v>
      </c>
      <c r="Q1052" s="637">
        <v>4654</v>
      </c>
      <c r="R1052" s="813" t="s">
        <v>172</v>
      </c>
      <c r="T1052" s="815">
        <v>13</v>
      </c>
      <c r="U1052" s="900" t="s">
        <v>1220</v>
      </c>
    </row>
    <row r="1053" spans="1:21" x14ac:dyDescent="0.25">
      <c r="A1053" s="813">
        <v>1463</v>
      </c>
      <c r="B1053" s="813" t="s">
        <v>349</v>
      </c>
      <c r="C1053" s="813" t="s">
        <v>930</v>
      </c>
      <c r="D1053" s="813" t="s">
        <v>14</v>
      </c>
      <c r="E1053" s="813" t="s">
        <v>15</v>
      </c>
      <c r="F1053" s="813" t="s">
        <v>1062</v>
      </c>
      <c r="G1053" s="813" t="s">
        <v>1063</v>
      </c>
      <c r="H1053" s="819" t="s">
        <v>42</v>
      </c>
      <c r="I1053" s="820" t="s">
        <v>15</v>
      </c>
      <c r="J1053" s="820" t="s">
        <v>421</v>
      </c>
      <c r="L1053" s="821">
        <v>1</v>
      </c>
      <c r="M1053" s="637">
        <v>262</v>
      </c>
      <c r="N1053" s="637">
        <v>1990.5</v>
      </c>
      <c r="O1053" s="821">
        <v>1</v>
      </c>
      <c r="P1053" s="637">
        <v>262</v>
      </c>
      <c r="Q1053" s="637">
        <v>1990.5</v>
      </c>
      <c r="R1053" s="813" t="s">
        <v>172</v>
      </c>
      <c r="T1053" s="815" t="s">
        <v>172</v>
      </c>
      <c r="U1053" s="900" t="s">
        <v>1220</v>
      </c>
    </row>
    <row r="1054" spans="1:21" x14ac:dyDescent="0.25">
      <c r="A1054" s="813">
        <v>1466</v>
      </c>
      <c r="B1054" s="813" t="s">
        <v>349</v>
      </c>
      <c r="C1054" s="813" t="s">
        <v>864</v>
      </c>
      <c r="D1054" s="813" t="s">
        <v>16</v>
      </c>
      <c r="E1054" s="813" t="s">
        <v>15</v>
      </c>
      <c r="F1054" s="813" t="s">
        <v>865</v>
      </c>
      <c r="G1054" s="813" t="s">
        <v>863</v>
      </c>
      <c r="H1054" s="819" t="s">
        <v>18</v>
      </c>
      <c r="I1054" s="820" t="s">
        <v>15</v>
      </c>
      <c r="J1054" s="820" t="s">
        <v>421</v>
      </c>
      <c r="L1054" s="821">
        <v>3</v>
      </c>
      <c r="M1054" s="637">
        <v>771</v>
      </c>
      <c r="N1054" s="637">
        <v>4021.75</v>
      </c>
      <c r="O1054" s="821">
        <v>3</v>
      </c>
      <c r="P1054" s="637">
        <v>771</v>
      </c>
      <c r="Q1054" s="637">
        <v>4021.75</v>
      </c>
      <c r="R1054" s="813" t="s">
        <v>172</v>
      </c>
      <c r="T1054" s="815" t="s">
        <v>172</v>
      </c>
      <c r="U1054" s="900" t="s">
        <v>1220</v>
      </c>
    </row>
    <row r="1055" spans="1:21" x14ac:dyDescent="0.25">
      <c r="A1055" s="813">
        <v>1467</v>
      </c>
      <c r="B1055" s="813" t="s">
        <v>349</v>
      </c>
      <c r="C1055" s="813" t="s">
        <v>864</v>
      </c>
      <c r="D1055" s="813" t="s">
        <v>16</v>
      </c>
      <c r="E1055" s="813" t="s">
        <v>15</v>
      </c>
      <c r="F1055" s="813" t="s">
        <v>1062</v>
      </c>
      <c r="G1055" s="813" t="s">
        <v>863</v>
      </c>
      <c r="H1055" s="819" t="s">
        <v>18</v>
      </c>
      <c r="I1055" s="820" t="s">
        <v>15</v>
      </c>
      <c r="J1055" s="820" t="s">
        <v>421</v>
      </c>
      <c r="L1055" s="821">
        <v>10</v>
      </c>
      <c r="M1055" s="637">
        <v>2111</v>
      </c>
      <c r="N1055" s="637">
        <v>11207</v>
      </c>
      <c r="O1055" s="821">
        <v>10</v>
      </c>
      <c r="P1055" s="637">
        <v>2111</v>
      </c>
      <c r="Q1055" s="637">
        <v>11207</v>
      </c>
      <c r="R1055" s="813" t="s">
        <v>172</v>
      </c>
      <c r="T1055" s="815" t="s">
        <v>172</v>
      </c>
      <c r="U1055" s="900" t="s">
        <v>1220</v>
      </c>
    </row>
    <row r="1056" spans="1:21" x14ac:dyDescent="0.25">
      <c r="A1056" s="813">
        <v>1468</v>
      </c>
      <c r="B1056" s="813" t="s">
        <v>349</v>
      </c>
      <c r="C1056" s="813" t="s">
        <v>866</v>
      </c>
      <c r="D1056" s="813" t="s">
        <v>16</v>
      </c>
      <c r="E1056" s="813" t="s">
        <v>14</v>
      </c>
      <c r="F1056" s="813" t="s">
        <v>867</v>
      </c>
      <c r="G1056" s="813" t="s">
        <v>868</v>
      </c>
      <c r="H1056" s="819" t="s">
        <v>35</v>
      </c>
      <c r="I1056" s="820" t="s">
        <v>20</v>
      </c>
      <c r="J1056" s="820" t="s">
        <v>428</v>
      </c>
      <c r="L1056" s="821">
        <v>1</v>
      </c>
      <c r="M1056" s="637">
        <v>26</v>
      </c>
      <c r="N1056" s="637">
        <v>76.75</v>
      </c>
      <c r="O1056" s="821">
        <v>1</v>
      </c>
      <c r="P1056" s="637">
        <v>26</v>
      </c>
      <c r="Q1056" s="637">
        <v>76.75</v>
      </c>
      <c r="R1056" s="813" t="s">
        <v>172</v>
      </c>
      <c r="T1056" s="815" t="s">
        <v>172</v>
      </c>
      <c r="U1056" s="900" t="s">
        <v>1220</v>
      </c>
    </row>
    <row r="1057" spans="1:21" x14ac:dyDescent="0.25">
      <c r="A1057" s="813">
        <v>1469</v>
      </c>
      <c r="B1057" s="813" t="s">
        <v>349</v>
      </c>
      <c r="C1057" s="813" t="s">
        <v>866</v>
      </c>
      <c r="D1057" s="813" t="s">
        <v>16</v>
      </c>
      <c r="E1057" s="813" t="s">
        <v>14</v>
      </c>
      <c r="F1057" s="813" t="s">
        <v>869</v>
      </c>
      <c r="H1057" s="819" t="s">
        <v>39</v>
      </c>
      <c r="I1057" s="820" t="s">
        <v>20</v>
      </c>
      <c r="J1057" s="820" t="s">
        <v>428</v>
      </c>
      <c r="L1057" s="821">
        <v>1</v>
      </c>
      <c r="M1057" s="637">
        <v>1</v>
      </c>
      <c r="N1057" s="637">
        <v>1</v>
      </c>
      <c r="O1057" s="821">
        <v>0</v>
      </c>
      <c r="P1057" s="637">
        <v>0</v>
      </c>
      <c r="Q1057" s="637">
        <v>0</v>
      </c>
      <c r="R1057" s="806" t="s">
        <v>507</v>
      </c>
      <c r="T1057" s="815" t="s">
        <v>172</v>
      </c>
      <c r="U1057" s="900" t="s">
        <v>1220</v>
      </c>
    </row>
    <row r="1058" spans="1:21" x14ac:dyDescent="0.25">
      <c r="A1058" s="813">
        <v>1470</v>
      </c>
      <c r="B1058" s="813" t="s">
        <v>349</v>
      </c>
      <c r="C1058" s="813" t="s">
        <v>465</v>
      </c>
      <c r="D1058" s="813" t="s">
        <v>13</v>
      </c>
      <c r="E1058" s="813" t="s">
        <v>13</v>
      </c>
      <c r="F1058" s="813" t="s">
        <v>877</v>
      </c>
      <c r="H1058" s="819" t="s">
        <v>391</v>
      </c>
      <c r="I1058" s="820" t="s">
        <v>20</v>
      </c>
      <c r="J1058" s="820" t="s">
        <v>16</v>
      </c>
      <c r="K1058" s="813" t="s">
        <v>13</v>
      </c>
      <c r="L1058" s="821">
        <v>1</v>
      </c>
      <c r="M1058" s="637">
        <v>131</v>
      </c>
      <c r="N1058" s="637">
        <v>514.25</v>
      </c>
      <c r="O1058" s="821">
        <v>1</v>
      </c>
      <c r="P1058" s="637">
        <v>131</v>
      </c>
      <c r="Q1058" s="637">
        <v>514.25</v>
      </c>
      <c r="R1058" s="813" t="s">
        <v>172</v>
      </c>
      <c r="T1058" s="815" t="s">
        <v>172</v>
      </c>
      <c r="U1058" s="899" t="s">
        <v>1219</v>
      </c>
    </row>
    <row r="1059" spans="1:21" x14ac:dyDescent="0.25">
      <c r="A1059" s="813">
        <v>1473</v>
      </c>
      <c r="B1059" s="813" t="s">
        <v>349</v>
      </c>
      <c r="C1059" s="813" t="s">
        <v>876</v>
      </c>
      <c r="D1059" s="813" t="s">
        <v>434</v>
      </c>
      <c r="E1059" s="813" t="s">
        <v>15</v>
      </c>
      <c r="F1059" s="813" t="s">
        <v>863</v>
      </c>
      <c r="G1059" s="813" t="s">
        <v>863</v>
      </c>
      <c r="H1059" s="819" t="s">
        <v>18</v>
      </c>
      <c r="I1059" s="820" t="s">
        <v>15</v>
      </c>
      <c r="J1059" s="820" t="s">
        <v>421</v>
      </c>
      <c r="L1059" s="821">
        <v>40</v>
      </c>
      <c r="M1059" s="637">
        <v>5204</v>
      </c>
      <c r="N1059" s="637">
        <v>26658.5</v>
      </c>
      <c r="O1059" s="821">
        <v>40</v>
      </c>
      <c r="P1059" s="637">
        <v>5204</v>
      </c>
      <c r="Q1059" s="637">
        <v>26658.5</v>
      </c>
      <c r="R1059" s="813" t="s">
        <v>172</v>
      </c>
      <c r="T1059" s="815" t="s">
        <v>172</v>
      </c>
      <c r="U1059" s="900" t="s">
        <v>1220</v>
      </c>
    </row>
    <row r="1060" spans="1:21" x14ac:dyDescent="0.25">
      <c r="A1060" s="813">
        <v>1474</v>
      </c>
      <c r="B1060" s="813" t="s">
        <v>349</v>
      </c>
      <c r="C1060" s="813" t="s">
        <v>876</v>
      </c>
      <c r="D1060" s="813" t="s">
        <v>434</v>
      </c>
      <c r="E1060" s="813" t="s">
        <v>15</v>
      </c>
      <c r="F1060" s="813" t="s">
        <v>957</v>
      </c>
      <c r="G1060" s="813" t="s">
        <v>957</v>
      </c>
      <c r="H1060" s="819" t="s">
        <v>44</v>
      </c>
      <c r="I1060" s="820" t="s">
        <v>15</v>
      </c>
      <c r="J1060" s="820" t="s">
        <v>421</v>
      </c>
      <c r="L1060" s="821">
        <v>2</v>
      </c>
      <c r="M1060" s="637">
        <v>68</v>
      </c>
      <c r="N1060" s="637">
        <v>629</v>
      </c>
      <c r="O1060" s="821">
        <v>2</v>
      </c>
      <c r="P1060" s="637">
        <v>68</v>
      </c>
      <c r="Q1060" s="637">
        <v>629</v>
      </c>
      <c r="R1060" s="813" t="s">
        <v>172</v>
      </c>
      <c r="T1060" s="815" t="s">
        <v>172</v>
      </c>
      <c r="U1060" s="900" t="s">
        <v>1220</v>
      </c>
    </row>
    <row r="1061" spans="1:21" x14ac:dyDescent="0.25">
      <c r="A1061" s="813">
        <v>1476</v>
      </c>
      <c r="B1061" s="813" t="s">
        <v>349</v>
      </c>
      <c r="C1061" s="813" t="s">
        <v>935</v>
      </c>
      <c r="D1061" s="813" t="s">
        <v>495</v>
      </c>
      <c r="E1061" s="813" t="s">
        <v>15</v>
      </c>
      <c r="F1061" s="813" t="s">
        <v>936</v>
      </c>
      <c r="G1061" s="813" t="s">
        <v>863</v>
      </c>
      <c r="H1061" s="819" t="s">
        <v>18</v>
      </c>
      <c r="I1061" s="820" t="s">
        <v>15</v>
      </c>
      <c r="J1061" s="820" t="s">
        <v>421</v>
      </c>
      <c r="L1061" s="821">
        <v>1</v>
      </c>
      <c r="M1061" s="637">
        <v>332</v>
      </c>
      <c r="N1061" s="637">
        <v>966.75</v>
      </c>
      <c r="O1061" s="821">
        <v>1</v>
      </c>
      <c r="P1061" s="637">
        <v>332</v>
      </c>
      <c r="Q1061" s="637">
        <v>966.75</v>
      </c>
      <c r="R1061" s="813" t="s">
        <v>172</v>
      </c>
      <c r="T1061" s="815" t="s">
        <v>172</v>
      </c>
      <c r="U1061" s="900" t="s">
        <v>1220</v>
      </c>
    </row>
    <row r="1062" spans="1:21" x14ac:dyDescent="0.25">
      <c r="A1062" s="813">
        <v>1480</v>
      </c>
      <c r="B1062" s="813" t="s">
        <v>349</v>
      </c>
      <c r="C1062" s="813" t="s">
        <v>943</v>
      </c>
      <c r="D1062" s="813" t="s">
        <v>13</v>
      </c>
      <c r="E1062" s="813" t="s">
        <v>15</v>
      </c>
      <c r="F1062" s="813" t="s">
        <v>863</v>
      </c>
      <c r="G1062" s="813" t="s">
        <v>863</v>
      </c>
      <c r="H1062" s="819" t="s">
        <v>18</v>
      </c>
      <c r="I1062" s="820" t="s">
        <v>15</v>
      </c>
      <c r="J1062" s="820" t="s">
        <v>421</v>
      </c>
      <c r="L1062" s="821">
        <v>11</v>
      </c>
      <c r="M1062" s="637">
        <v>1101</v>
      </c>
      <c r="N1062" s="637">
        <v>5662.5</v>
      </c>
      <c r="O1062" s="821">
        <v>11</v>
      </c>
      <c r="P1062" s="637">
        <v>1101</v>
      </c>
      <c r="Q1062" s="637">
        <v>5662.5</v>
      </c>
      <c r="R1062" s="813" t="s">
        <v>172</v>
      </c>
      <c r="T1062" s="815" t="s">
        <v>172</v>
      </c>
      <c r="U1062" s="900" t="s">
        <v>1220</v>
      </c>
    </row>
    <row r="1063" spans="1:21" x14ac:dyDescent="0.25">
      <c r="A1063" s="813">
        <v>1483</v>
      </c>
      <c r="B1063" s="813" t="s">
        <v>349</v>
      </c>
      <c r="C1063" s="813" t="s">
        <v>954</v>
      </c>
      <c r="D1063" s="813" t="s">
        <v>16</v>
      </c>
      <c r="E1063" s="813" t="s">
        <v>15</v>
      </c>
      <c r="F1063" s="813" t="s">
        <v>863</v>
      </c>
      <c r="G1063" s="813" t="s">
        <v>863</v>
      </c>
      <c r="H1063" s="819" t="s">
        <v>18</v>
      </c>
      <c r="I1063" s="820" t="s">
        <v>15</v>
      </c>
      <c r="J1063" s="820" t="s">
        <v>421</v>
      </c>
      <c r="L1063" s="821">
        <v>3</v>
      </c>
      <c r="M1063" s="637">
        <v>657</v>
      </c>
      <c r="N1063" s="637">
        <v>3931.5</v>
      </c>
      <c r="O1063" s="821">
        <v>3</v>
      </c>
      <c r="P1063" s="637">
        <v>657</v>
      </c>
      <c r="Q1063" s="637">
        <v>3931.5</v>
      </c>
      <c r="R1063" s="813" t="s">
        <v>172</v>
      </c>
      <c r="T1063" s="815" t="s">
        <v>172</v>
      </c>
      <c r="U1063" s="900" t="s">
        <v>1220</v>
      </c>
    </row>
    <row r="1064" spans="1:21" x14ac:dyDescent="0.25">
      <c r="A1064" s="813">
        <v>1489</v>
      </c>
      <c r="B1064" s="813" t="s">
        <v>349</v>
      </c>
      <c r="C1064" s="813" t="s">
        <v>909</v>
      </c>
      <c r="D1064" s="813" t="s">
        <v>14</v>
      </c>
      <c r="E1064" s="813" t="s">
        <v>15</v>
      </c>
      <c r="F1064" s="813" t="s">
        <v>1056</v>
      </c>
      <c r="G1064" s="813" t="s">
        <v>863</v>
      </c>
      <c r="H1064" s="819" t="s">
        <v>18</v>
      </c>
      <c r="I1064" s="820" t="s">
        <v>15</v>
      </c>
      <c r="J1064" s="820" t="s">
        <v>421</v>
      </c>
      <c r="L1064" s="821">
        <v>69</v>
      </c>
      <c r="M1064" s="637">
        <v>13385</v>
      </c>
      <c r="N1064" s="637">
        <v>69494.75</v>
      </c>
      <c r="O1064" s="821">
        <v>65</v>
      </c>
      <c r="P1064" s="637">
        <v>13089</v>
      </c>
      <c r="Q1064" s="637">
        <v>67666.25</v>
      </c>
      <c r="R1064" s="813" t="s">
        <v>172</v>
      </c>
      <c r="T1064" s="815" t="s">
        <v>172</v>
      </c>
      <c r="U1064" s="900" t="s">
        <v>1220</v>
      </c>
    </row>
    <row r="1065" spans="1:21" x14ac:dyDescent="0.25">
      <c r="A1065" s="813">
        <v>1490</v>
      </c>
      <c r="B1065" s="813" t="s">
        <v>349</v>
      </c>
      <c r="C1065" s="813" t="s">
        <v>909</v>
      </c>
      <c r="D1065" s="813" t="s">
        <v>14</v>
      </c>
      <c r="E1065" s="813" t="s">
        <v>15</v>
      </c>
      <c r="F1065" s="813" t="s">
        <v>1137</v>
      </c>
      <c r="G1065" s="813" t="s">
        <v>957</v>
      </c>
      <c r="H1065" s="819" t="s">
        <v>44</v>
      </c>
      <c r="I1065" s="820" t="s">
        <v>15</v>
      </c>
      <c r="J1065" s="820" t="s">
        <v>421</v>
      </c>
      <c r="L1065" s="821">
        <v>6</v>
      </c>
      <c r="M1065" s="637">
        <v>1140</v>
      </c>
      <c r="N1065" s="637">
        <v>8534.5</v>
      </c>
      <c r="O1065" s="821">
        <v>6</v>
      </c>
      <c r="P1065" s="637">
        <v>1140</v>
      </c>
      <c r="Q1065" s="637">
        <v>8534.5</v>
      </c>
      <c r="R1065" s="813" t="s">
        <v>172</v>
      </c>
      <c r="T1065" s="815" t="s">
        <v>172</v>
      </c>
      <c r="U1065" s="900" t="s">
        <v>1220</v>
      </c>
    </row>
    <row r="1066" spans="1:21" x14ac:dyDescent="0.25">
      <c r="A1066" s="813">
        <v>1491</v>
      </c>
      <c r="B1066" s="813" t="s">
        <v>349</v>
      </c>
      <c r="C1066" s="813" t="s">
        <v>909</v>
      </c>
      <c r="D1066" s="813" t="s">
        <v>14</v>
      </c>
      <c r="E1066" s="813" t="s">
        <v>15</v>
      </c>
      <c r="F1066" s="813" t="s">
        <v>1138</v>
      </c>
      <c r="G1066" s="813" t="s">
        <v>934</v>
      </c>
      <c r="H1066" s="819" t="s">
        <v>43</v>
      </c>
      <c r="I1066" s="820" t="s">
        <v>15</v>
      </c>
      <c r="J1066" s="820" t="s">
        <v>421</v>
      </c>
      <c r="L1066" s="821">
        <v>1</v>
      </c>
      <c r="M1066" s="637">
        <v>75</v>
      </c>
      <c r="N1066" s="637">
        <v>975</v>
      </c>
      <c r="O1066" s="821">
        <v>1</v>
      </c>
      <c r="P1066" s="637">
        <v>75</v>
      </c>
      <c r="Q1066" s="637">
        <v>975</v>
      </c>
      <c r="R1066" s="813" t="s">
        <v>172</v>
      </c>
      <c r="T1066" s="815">
        <v>13</v>
      </c>
      <c r="U1066" s="900" t="s">
        <v>1220</v>
      </c>
    </row>
    <row r="1067" spans="1:21" x14ac:dyDescent="0.25">
      <c r="A1067" s="813">
        <v>1493</v>
      </c>
      <c r="B1067" s="813" t="s">
        <v>350</v>
      </c>
      <c r="C1067" s="813" t="s">
        <v>928</v>
      </c>
      <c r="D1067" s="813" t="s">
        <v>14</v>
      </c>
      <c r="E1067" s="813" t="s">
        <v>15</v>
      </c>
      <c r="F1067" s="813" t="s">
        <v>863</v>
      </c>
      <c r="G1067" s="813" t="s">
        <v>863</v>
      </c>
      <c r="H1067" s="819" t="s">
        <v>18</v>
      </c>
      <c r="I1067" s="820" t="s">
        <v>15</v>
      </c>
      <c r="J1067" s="820" t="s">
        <v>421</v>
      </c>
      <c r="L1067" s="821">
        <v>2</v>
      </c>
      <c r="M1067" s="637">
        <v>375</v>
      </c>
      <c r="N1067" s="637">
        <v>2131.25</v>
      </c>
      <c r="O1067" s="821">
        <v>2</v>
      </c>
      <c r="P1067" s="637">
        <v>375</v>
      </c>
      <c r="Q1067" s="637">
        <v>2131.25</v>
      </c>
      <c r="R1067" s="813" t="s">
        <v>172</v>
      </c>
      <c r="T1067" s="815" t="s">
        <v>172</v>
      </c>
      <c r="U1067" s="900" t="s">
        <v>1220</v>
      </c>
    </row>
    <row r="1068" spans="1:21" x14ac:dyDescent="0.25">
      <c r="A1068" s="813">
        <v>1495</v>
      </c>
      <c r="B1068" s="813" t="s">
        <v>350</v>
      </c>
      <c r="C1068" s="813" t="s">
        <v>876</v>
      </c>
      <c r="D1068" s="813" t="s">
        <v>434</v>
      </c>
      <c r="E1068" s="813" t="s">
        <v>15</v>
      </c>
      <c r="F1068" s="813" t="s">
        <v>863</v>
      </c>
      <c r="G1068" s="813" t="s">
        <v>863</v>
      </c>
      <c r="H1068" s="819" t="s">
        <v>18</v>
      </c>
      <c r="I1068" s="820" t="s">
        <v>15</v>
      </c>
      <c r="J1068" s="820" t="s">
        <v>421</v>
      </c>
      <c r="L1068" s="821">
        <v>5</v>
      </c>
      <c r="M1068" s="637">
        <v>389</v>
      </c>
      <c r="N1068" s="637">
        <v>1851</v>
      </c>
      <c r="O1068" s="821">
        <v>5</v>
      </c>
      <c r="P1068" s="637">
        <v>389</v>
      </c>
      <c r="Q1068" s="637">
        <v>1851</v>
      </c>
      <c r="R1068" s="813" t="s">
        <v>172</v>
      </c>
      <c r="T1068" s="815" t="s">
        <v>172</v>
      </c>
      <c r="U1068" s="900" t="s">
        <v>1220</v>
      </c>
    </row>
    <row r="1069" spans="1:21" x14ac:dyDescent="0.25">
      <c r="A1069" s="813">
        <v>1497</v>
      </c>
      <c r="B1069" s="813" t="s">
        <v>350</v>
      </c>
      <c r="C1069" s="813" t="s">
        <v>909</v>
      </c>
      <c r="D1069" s="813" t="s">
        <v>14</v>
      </c>
      <c r="E1069" s="813" t="s">
        <v>15</v>
      </c>
      <c r="F1069" s="813" t="s">
        <v>1139</v>
      </c>
      <c r="G1069" s="813" t="s">
        <v>863</v>
      </c>
      <c r="H1069" s="819" t="s">
        <v>18</v>
      </c>
      <c r="I1069" s="820" t="s">
        <v>15</v>
      </c>
      <c r="J1069" s="820" t="s">
        <v>421</v>
      </c>
      <c r="L1069" s="821">
        <v>6</v>
      </c>
      <c r="M1069" s="637">
        <v>1352</v>
      </c>
      <c r="N1069" s="637">
        <v>6097.75</v>
      </c>
      <c r="O1069" s="821">
        <v>6</v>
      </c>
      <c r="P1069" s="637">
        <v>1352</v>
      </c>
      <c r="Q1069" s="637">
        <v>6097.75</v>
      </c>
      <c r="R1069" s="813" t="s">
        <v>172</v>
      </c>
      <c r="T1069" s="815" t="s">
        <v>172</v>
      </c>
      <c r="U1069" s="900" t="s">
        <v>1220</v>
      </c>
    </row>
    <row r="1070" spans="1:21" x14ac:dyDescent="0.25">
      <c r="A1070" s="813">
        <v>1499</v>
      </c>
      <c r="B1070" s="813" t="s">
        <v>351</v>
      </c>
      <c r="C1070" s="813" t="s">
        <v>876</v>
      </c>
      <c r="D1070" s="813" t="s">
        <v>434</v>
      </c>
      <c r="E1070" s="813" t="s">
        <v>15</v>
      </c>
      <c r="F1070" s="813" t="s">
        <v>863</v>
      </c>
      <c r="G1070" s="813" t="s">
        <v>863</v>
      </c>
      <c r="H1070" s="819" t="s">
        <v>18</v>
      </c>
      <c r="I1070" s="820" t="s">
        <v>15</v>
      </c>
      <c r="J1070" s="820" t="s">
        <v>421</v>
      </c>
      <c r="L1070" s="821">
        <v>7</v>
      </c>
      <c r="M1070" s="637">
        <v>713</v>
      </c>
      <c r="N1070" s="637">
        <v>2323</v>
      </c>
      <c r="O1070" s="821">
        <v>7</v>
      </c>
      <c r="P1070" s="637">
        <v>713</v>
      </c>
      <c r="Q1070" s="637">
        <v>2323</v>
      </c>
      <c r="R1070" s="813" t="s">
        <v>172</v>
      </c>
      <c r="T1070" s="815" t="s">
        <v>172</v>
      </c>
      <c r="U1070" s="900" t="s">
        <v>1220</v>
      </c>
    </row>
    <row r="1071" spans="1:21" x14ac:dyDescent="0.25">
      <c r="A1071" s="813">
        <v>1501</v>
      </c>
      <c r="B1071" s="813" t="s">
        <v>351</v>
      </c>
      <c r="C1071" s="813" t="s">
        <v>897</v>
      </c>
      <c r="D1071" s="813" t="s">
        <v>14</v>
      </c>
      <c r="E1071" s="813" t="s">
        <v>15</v>
      </c>
      <c r="F1071" s="813" t="s">
        <v>898</v>
      </c>
      <c r="G1071" s="813" t="s">
        <v>863</v>
      </c>
      <c r="H1071" s="819" t="s">
        <v>18</v>
      </c>
      <c r="I1071" s="820" t="s">
        <v>15</v>
      </c>
      <c r="J1071" s="820" t="s">
        <v>421</v>
      </c>
      <c r="L1071" s="821">
        <v>6</v>
      </c>
      <c r="M1071" s="637">
        <v>769</v>
      </c>
      <c r="N1071" s="637">
        <v>3538.5</v>
      </c>
      <c r="O1071" s="821">
        <v>5</v>
      </c>
      <c r="P1071" s="637">
        <v>729</v>
      </c>
      <c r="Q1071" s="637">
        <v>3258.5</v>
      </c>
      <c r="R1071" s="813" t="s">
        <v>172</v>
      </c>
      <c r="T1071" s="815" t="s">
        <v>172</v>
      </c>
      <c r="U1071" s="900" t="s">
        <v>1220</v>
      </c>
    </row>
    <row r="1072" spans="1:21" x14ac:dyDescent="0.25">
      <c r="A1072" s="813">
        <v>1503</v>
      </c>
      <c r="B1072" s="813" t="s">
        <v>352</v>
      </c>
      <c r="C1072" s="813" t="s">
        <v>876</v>
      </c>
      <c r="D1072" s="813" t="s">
        <v>434</v>
      </c>
      <c r="E1072" s="813" t="s">
        <v>15</v>
      </c>
      <c r="F1072" s="813" t="s">
        <v>863</v>
      </c>
      <c r="G1072" s="813" t="s">
        <v>863</v>
      </c>
      <c r="H1072" s="819" t="s">
        <v>18</v>
      </c>
      <c r="I1072" s="820" t="s">
        <v>15</v>
      </c>
      <c r="J1072" s="820" t="s">
        <v>421</v>
      </c>
      <c r="L1072" s="821">
        <v>3</v>
      </c>
      <c r="M1072" s="637">
        <v>361</v>
      </c>
      <c r="N1072" s="637">
        <v>1335.5</v>
      </c>
      <c r="O1072" s="821">
        <v>3</v>
      </c>
      <c r="P1072" s="637">
        <v>361</v>
      </c>
      <c r="Q1072" s="637">
        <v>1335.5</v>
      </c>
      <c r="R1072" s="813" t="s">
        <v>172</v>
      </c>
      <c r="T1072" s="815" t="s">
        <v>172</v>
      </c>
      <c r="U1072" s="900" t="s">
        <v>1220</v>
      </c>
    </row>
    <row r="1073" spans="1:21" x14ac:dyDescent="0.25">
      <c r="A1073" s="813">
        <v>1505</v>
      </c>
      <c r="B1073" s="813" t="s">
        <v>352</v>
      </c>
      <c r="C1073" s="813" t="s">
        <v>897</v>
      </c>
      <c r="D1073" s="813" t="s">
        <v>14</v>
      </c>
      <c r="E1073" s="813" t="s">
        <v>15</v>
      </c>
      <c r="F1073" s="813" t="s">
        <v>898</v>
      </c>
      <c r="G1073" s="813" t="s">
        <v>863</v>
      </c>
      <c r="H1073" s="819" t="s">
        <v>18</v>
      </c>
      <c r="I1073" s="820" t="s">
        <v>15</v>
      </c>
      <c r="J1073" s="820" t="s">
        <v>421</v>
      </c>
      <c r="L1073" s="821">
        <v>7</v>
      </c>
      <c r="M1073" s="637">
        <v>583</v>
      </c>
      <c r="N1073" s="637">
        <v>2697</v>
      </c>
      <c r="O1073" s="821">
        <v>7</v>
      </c>
      <c r="P1073" s="637">
        <v>583</v>
      </c>
      <c r="Q1073" s="637">
        <v>2697</v>
      </c>
      <c r="R1073" s="813" t="s">
        <v>172</v>
      </c>
      <c r="T1073" s="815" t="s">
        <v>172</v>
      </c>
      <c r="U1073" s="900" t="s">
        <v>1220</v>
      </c>
    </row>
    <row r="1074" spans="1:21" x14ac:dyDescent="0.25">
      <c r="A1074" s="813">
        <v>1507</v>
      </c>
      <c r="B1074" s="813" t="s">
        <v>353</v>
      </c>
      <c r="C1074" s="813" t="s">
        <v>928</v>
      </c>
      <c r="D1074" s="813" t="s">
        <v>14</v>
      </c>
      <c r="E1074" s="813" t="s">
        <v>15</v>
      </c>
      <c r="F1074" s="813" t="s">
        <v>863</v>
      </c>
      <c r="G1074" s="813" t="s">
        <v>863</v>
      </c>
      <c r="H1074" s="819" t="s">
        <v>18</v>
      </c>
      <c r="I1074" s="820" t="s">
        <v>15</v>
      </c>
      <c r="J1074" s="820" t="s">
        <v>421</v>
      </c>
      <c r="L1074" s="821">
        <v>2</v>
      </c>
      <c r="M1074" s="637">
        <v>312</v>
      </c>
      <c r="N1074" s="637">
        <v>1611.5</v>
      </c>
      <c r="O1074" s="821">
        <v>2</v>
      </c>
      <c r="P1074" s="637">
        <v>312</v>
      </c>
      <c r="Q1074" s="637">
        <v>1611.5</v>
      </c>
      <c r="R1074" s="813" t="s">
        <v>172</v>
      </c>
      <c r="T1074" s="815" t="s">
        <v>172</v>
      </c>
      <c r="U1074" s="900" t="s">
        <v>1220</v>
      </c>
    </row>
    <row r="1075" spans="1:21" x14ac:dyDescent="0.25">
      <c r="A1075" s="813">
        <v>1512</v>
      </c>
      <c r="B1075" s="813" t="s">
        <v>353</v>
      </c>
      <c r="C1075" s="813" t="s">
        <v>876</v>
      </c>
      <c r="D1075" s="813" t="s">
        <v>434</v>
      </c>
      <c r="E1075" s="813" t="s">
        <v>15</v>
      </c>
      <c r="F1075" s="813" t="s">
        <v>863</v>
      </c>
      <c r="G1075" s="813" t="s">
        <v>863</v>
      </c>
      <c r="H1075" s="819" t="s">
        <v>18</v>
      </c>
      <c r="I1075" s="820" t="s">
        <v>15</v>
      </c>
      <c r="J1075" s="820" t="s">
        <v>421</v>
      </c>
      <c r="L1075" s="821">
        <v>11</v>
      </c>
      <c r="M1075" s="637">
        <v>1916</v>
      </c>
      <c r="N1075" s="637">
        <v>13764</v>
      </c>
      <c r="O1075" s="821">
        <v>11</v>
      </c>
      <c r="P1075" s="637">
        <v>1916</v>
      </c>
      <c r="Q1075" s="637">
        <v>13764</v>
      </c>
      <c r="R1075" s="813" t="s">
        <v>172</v>
      </c>
      <c r="T1075" s="815" t="s">
        <v>172</v>
      </c>
      <c r="U1075" s="900" t="s">
        <v>1220</v>
      </c>
    </row>
    <row r="1076" spans="1:21" x14ac:dyDescent="0.25">
      <c r="A1076" s="813">
        <v>1515</v>
      </c>
      <c r="B1076" s="813" t="s">
        <v>353</v>
      </c>
      <c r="C1076" s="813" t="s">
        <v>935</v>
      </c>
      <c r="D1076" s="813" t="s">
        <v>495</v>
      </c>
      <c r="E1076" s="813" t="s">
        <v>15</v>
      </c>
      <c r="F1076" s="813" t="s">
        <v>936</v>
      </c>
      <c r="G1076" s="813" t="s">
        <v>863</v>
      </c>
      <c r="H1076" s="819" t="s">
        <v>18</v>
      </c>
      <c r="I1076" s="820" t="s">
        <v>15</v>
      </c>
      <c r="J1076" s="820" t="s">
        <v>421</v>
      </c>
      <c r="L1076" s="821">
        <v>2</v>
      </c>
      <c r="M1076" s="637">
        <v>339</v>
      </c>
      <c r="N1076" s="637">
        <v>1061.25</v>
      </c>
      <c r="O1076" s="821">
        <v>2</v>
      </c>
      <c r="P1076" s="637">
        <v>339</v>
      </c>
      <c r="Q1076" s="637">
        <v>1061.25</v>
      </c>
      <c r="R1076" s="813" t="s">
        <v>172</v>
      </c>
      <c r="T1076" s="815" t="s">
        <v>172</v>
      </c>
      <c r="U1076" s="900" t="s">
        <v>1220</v>
      </c>
    </row>
    <row r="1077" spans="1:21" x14ac:dyDescent="0.25">
      <c r="A1077" s="813">
        <v>1516</v>
      </c>
      <c r="B1077" s="813" t="s">
        <v>353</v>
      </c>
      <c r="C1077" s="813" t="s">
        <v>935</v>
      </c>
      <c r="D1077" s="813" t="s">
        <v>495</v>
      </c>
      <c r="E1077" s="813" t="s">
        <v>15</v>
      </c>
      <c r="F1077" s="813" t="s">
        <v>989</v>
      </c>
      <c r="G1077" s="813" t="s">
        <v>863</v>
      </c>
      <c r="H1077" s="819" t="s">
        <v>18</v>
      </c>
      <c r="I1077" s="820" t="s">
        <v>15</v>
      </c>
      <c r="J1077" s="820" t="s">
        <v>421</v>
      </c>
      <c r="L1077" s="821">
        <v>2</v>
      </c>
      <c r="M1077" s="637">
        <v>407</v>
      </c>
      <c r="N1077" s="637">
        <v>1520.25</v>
      </c>
      <c r="O1077" s="821">
        <v>2</v>
      </c>
      <c r="P1077" s="637">
        <v>407</v>
      </c>
      <c r="Q1077" s="637">
        <v>1520.25</v>
      </c>
      <c r="R1077" s="813" t="s">
        <v>172</v>
      </c>
      <c r="T1077" s="815" t="s">
        <v>172</v>
      </c>
      <c r="U1077" s="900" t="s">
        <v>1220</v>
      </c>
    </row>
    <row r="1078" spans="1:21" x14ac:dyDescent="0.25">
      <c r="A1078" s="813">
        <v>1520</v>
      </c>
      <c r="B1078" s="813" t="s">
        <v>353</v>
      </c>
      <c r="C1078" s="813" t="s">
        <v>938</v>
      </c>
      <c r="D1078" s="813" t="s">
        <v>495</v>
      </c>
      <c r="E1078" s="813" t="s">
        <v>15</v>
      </c>
      <c r="F1078" s="813" t="s">
        <v>989</v>
      </c>
      <c r="G1078" s="813" t="s">
        <v>863</v>
      </c>
      <c r="H1078" s="819" t="s">
        <v>18</v>
      </c>
      <c r="I1078" s="820" t="s">
        <v>15</v>
      </c>
      <c r="J1078" s="820" t="s">
        <v>421</v>
      </c>
      <c r="L1078" s="821">
        <v>1</v>
      </c>
      <c r="M1078" s="637">
        <v>313</v>
      </c>
      <c r="N1078" s="637">
        <v>1564.5</v>
      </c>
      <c r="O1078" s="821">
        <v>1</v>
      </c>
      <c r="P1078" s="637">
        <v>313</v>
      </c>
      <c r="Q1078" s="637">
        <v>1564.5</v>
      </c>
      <c r="R1078" s="813" t="s">
        <v>172</v>
      </c>
      <c r="T1078" s="815" t="s">
        <v>172</v>
      </c>
      <c r="U1078" s="900" t="s">
        <v>1220</v>
      </c>
    </row>
    <row r="1079" spans="1:21" x14ac:dyDescent="0.25">
      <c r="A1079" s="813">
        <v>1524</v>
      </c>
      <c r="B1079" s="813" t="s">
        <v>353</v>
      </c>
      <c r="C1079" s="813" t="s">
        <v>909</v>
      </c>
      <c r="D1079" s="813" t="s">
        <v>14</v>
      </c>
      <c r="E1079" s="813" t="s">
        <v>15</v>
      </c>
      <c r="F1079" s="813" t="s">
        <v>1093</v>
      </c>
      <c r="G1079" s="813" t="s">
        <v>863</v>
      </c>
      <c r="H1079" s="819" t="s">
        <v>18</v>
      </c>
      <c r="I1079" s="820" t="s">
        <v>15</v>
      </c>
      <c r="J1079" s="820" t="s">
        <v>421</v>
      </c>
      <c r="L1079" s="821">
        <v>13</v>
      </c>
      <c r="M1079" s="637">
        <v>3089</v>
      </c>
      <c r="N1079" s="637">
        <v>14408</v>
      </c>
      <c r="O1079" s="821">
        <v>12</v>
      </c>
      <c r="P1079" s="637">
        <v>2948</v>
      </c>
      <c r="Q1079" s="637">
        <v>13602</v>
      </c>
      <c r="R1079" s="813" t="s">
        <v>172</v>
      </c>
      <c r="T1079" s="815" t="s">
        <v>172</v>
      </c>
      <c r="U1079" s="900" t="s">
        <v>1220</v>
      </c>
    </row>
    <row r="1080" spans="1:21" x14ac:dyDescent="0.25">
      <c r="A1080" s="813">
        <v>1525</v>
      </c>
      <c r="B1080" s="813" t="s">
        <v>353</v>
      </c>
      <c r="C1080" s="813" t="s">
        <v>909</v>
      </c>
      <c r="D1080" s="813" t="s">
        <v>14</v>
      </c>
      <c r="E1080" s="813" t="s">
        <v>15</v>
      </c>
      <c r="F1080" s="813" t="s">
        <v>1140</v>
      </c>
      <c r="G1080" s="813" t="s">
        <v>863</v>
      </c>
      <c r="H1080" s="819" t="s">
        <v>18</v>
      </c>
      <c r="I1080" s="820" t="s">
        <v>15</v>
      </c>
      <c r="J1080" s="820" t="s">
        <v>421</v>
      </c>
      <c r="L1080" s="821">
        <v>1</v>
      </c>
      <c r="M1080" s="637">
        <v>14</v>
      </c>
      <c r="N1080" s="637">
        <v>56</v>
      </c>
      <c r="O1080" s="821">
        <v>1</v>
      </c>
      <c r="P1080" s="637">
        <v>14</v>
      </c>
      <c r="Q1080" s="637">
        <v>56</v>
      </c>
      <c r="R1080" s="813" t="s">
        <v>172</v>
      </c>
      <c r="T1080" s="815" t="s">
        <v>172</v>
      </c>
      <c r="U1080" s="900" t="s">
        <v>1220</v>
      </c>
    </row>
    <row r="1081" spans="1:21" x14ac:dyDescent="0.25">
      <c r="A1081" s="813">
        <v>1527</v>
      </c>
      <c r="B1081" s="813" t="s">
        <v>354</v>
      </c>
      <c r="C1081" s="813" t="s">
        <v>876</v>
      </c>
      <c r="D1081" s="813" t="s">
        <v>434</v>
      </c>
      <c r="E1081" s="813" t="s">
        <v>15</v>
      </c>
      <c r="F1081" s="813" t="s">
        <v>863</v>
      </c>
      <c r="G1081" s="813" t="s">
        <v>863</v>
      </c>
      <c r="H1081" s="819" t="s">
        <v>18</v>
      </c>
      <c r="I1081" s="820" t="s">
        <v>15</v>
      </c>
      <c r="J1081" s="820" t="s">
        <v>421</v>
      </c>
      <c r="L1081" s="821">
        <v>6</v>
      </c>
      <c r="M1081" s="637">
        <v>636</v>
      </c>
      <c r="N1081" s="637">
        <v>3315</v>
      </c>
      <c r="O1081" s="821">
        <v>6</v>
      </c>
      <c r="P1081" s="637">
        <v>636</v>
      </c>
      <c r="Q1081" s="637">
        <v>3315</v>
      </c>
      <c r="R1081" s="813" t="s">
        <v>172</v>
      </c>
      <c r="T1081" s="815" t="s">
        <v>172</v>
      </c>
      <c r="U1081" s="900" t="s">
        <v>1220</v>
      </c>
    </row>
    <row r="1082" spans="1:21" x14ac:dyDescent="0.25">
      <c r="A1082" s="813">
        <v>1529</v>
      </c>
      <c r="B1082" s="813" t="s">
        <v>354</v>
      </c>
      <c r="C1082" s="813" t="s">
        <v>897</v>
      </c>
      <c r="D1082" s="813" t="s">
        <v>14</v>
      </c>
      <c r="E1082" s="813" t="s">
        <v>15</v>
      </c>
      <c r="F1082" s="813" t="s">
        <v>898</v>
      </c>
      <c r="G1082" s="813" t="s">
        <v>863</v>
      </c>
      <c r="H1082" s="819" t="s">
        <v>18</v>
      </c>
      <c r="I1082" s="820" t="s">
        <v>15</v>
      </c>
      <c r="J1082" s="820" t="s">
        <v>421</v>
      </c>
      <c r="L1082" s="821">
        <v>2</v>
      </c>
      <c r="M1082" s="637">
        <v>61</v>
      </c>
      <c r="N1082" s="637">
        <v>251.25</v>
      </c>
      <c r="O1082" s="821">
        <v>2</v>
      </c>
      <c r="P1082" s="637">
        <v>61</v>
      </c>
      <c r="Q1082" s="637">
        <v>251.25</v>
      </c>
      <c r="R1082" s="813" t="s">
        <v>172</v>
      </c>
      <c r="T1082" s="815" t="s">
        <v>172</v>
      </c>
      <c r="U1082" s="900" t="s">
        <v>1220</v>
      </c>
    </row>
    <row r="1083" spans="1:21" x14ac:dyDescent="0.25">
      <c r="A1083" s="813">
        <v>1531</v>
      </c>
      <c r="B1083" s="813" t="s">
        <v>354</v>
      </c>
      <c r="C1083" s="813" t="s">
        <v>909</v>
      </c>
      <c r="D1083" s="813" t="s">
        <v>14</v>
      </c>
      <c r="E1083" s="813" t="s">
        <v>15</v>
      </c>
      <c r="F1083" s="813" t="s">
        <v>1130</v>
      </c>
      <c r="G1083" s="813" t="s">
        <v>863</v>
      </c>
      <c r="H1083" s="819" t="s">
        <v>18</v>
      </c>
      <c r="I1083" s="820" t="s">
        <v>15</v>
      </c>
      <c r="J1083" s="820" t="s">
        <v>421</v>
      </c>
      <c r="L1083" s="821">
        <v>1</v>
      </c>
      <c r="M1083" s="637">
        <v>215</v>
      </c>
      <c r="N1083" s="637">
        <v>1408</v>
      </c>
      <c r="O1083" s="821">
        <v>1</v>
      </c>
      <c r="P1083" s="637">
        <v>215</v>
      </c>
      <c r="Q1083" s="637">
        <v>1408</v>
      </c>
      <c r="R1083" s="813" t="s">
        <v>172</v>
      </c>
      <c r="T1083" s="815" t="s">
        <v>172</v>
      </c>
      <c r="U1083" s="900" t="s">
        <v>1220</v>
      </c>
    </row>
    <row r="1084" spans="1:21" x14ac:dyDescent="0.25">
      <c r="A1084" s="813">
        <v>1532</v>
      </c>
      <c r="B1084" s="813" t="s">
        <v>354</v>
      </c>
      <c r="C1084" s="813" t="s">
        <v>909</v>
      </c>
      <c r="D1084" s="813" t="s">
        <v>14</v>
      </c>
      <c r="E1084" s="813" t="s">
        <v>15</v>
      </c>
      <c r="F1084" s="813" t="s">
        <v>1141</v>
      </c>
      <c r="G1084" s="813" t="s">
        <v>863</v>
      </c>
      <c r="H1084" s="819" t="s">
        <v>18</v>
      </c>
      <c r="I1084" s="820" t="s">
        <v>15</v>
      </c>
      <c r="J1084" s="820" t="s">
        <v>421</v>
      </c>
      <c r="L1084" s="821">
        <v>2</v>
      </c>
      <c r="M1084" s="637">
        <v>177</v>
      </c>
      <c r="N1084" s="637">
        <v>583</v>
      </c>
      <c r="O1084" s="821">
        <v>2</v>
      </c>
      <c r="P1084" s="637">
        <v>177</v>
      </c>
      <c r="Q1084" s="637">
        <v>583</v>
      </c>
      <c r="R1084" s="813" t="s">
        <v>172</v>
      </c>
      <c r="T1084" s="815" t="s">
        <v>172</v>
      </c>
      <c r="U1084" s="900" t="s">
        <v>1220</v>
      </c>
    </row>
    <row r="1085" spans="1:21" x14ac:dyDescent="0.25">
      <c r="A1085" s="813">
        <v>1534</v>
      </c>
      <c r="B1085" s="813" t="s">
        <v>355</v>
      </c>
      <c r="C1085" s="813" t="s">
        <v>876</v>
      </c>
      <c r="D1085" s="813" t="s">
        <v>434</v>
      </c>
      <c r="E1085" s="813" t="s">
        <v>15</v>
      </c>
      <c r="F1085" s="813" t="s">
        <v>863</v>
      </c>
      <c r="G1085" s="813" t="s">
        <v>863</v>
      </c>
      <c r="H1085" s="819" t="s">
        <v>18</v>
      </c>
      <c r="I1085" s="820" t="s">
        <v>15</v>
      </c>
      <c r="J1085" s="820" t="s">
        <v>421</v>
      </c>
      <c r="L1085" s="821">
        <v>5</v>
      </c>
      <c r="M1085" s="637">
        <v>553</v>
      </c>
      <c r="N1085" s="637">
        <v>2346.5</v>
      </c>
      <c r="O1085" s="821">
        <v>5</v>
      </c>
      <c r="P1085" s="637">
        <v>553</v>
      </c>
      <c r="Q1085" s="637">
        <v>2346.5</v>
      </c>
      <c r="R1085" s="813" t="s">
        <v>172</v>
      </c>
      <c r="T1085" s="815" t="s">
        <v>172</v>
      </c>
      <c r="U1085" s="900" t="s">
        <v>1220</v>
      </c>
    </row>
    <row r="1086" spans="1:21" x14ac:dyDescent="0.25">
      <c r="A1086" s="813">
        <v>1536</v>
      </c>
      <c r="B1086" s="813" t="s">
        <v>355</v>
      </c>
      <c r="C1086" s="813" t="s">
        <v>897</v>
      </c>
      <c r="D1086" s="813" t="s">
        <v>14</v>
      </c>
      <c r="E1086" s="813" t="s">
        <v>15</v>
      </c>
      <c r="F1086" s="813" t="s">
        <v>898</v>
      </c>
      <c r="G1086" s="813" t="s">
        <v>863</v>
      </c>
      <c r="H1086" s="819" t="s">
        <v>18</v>
      </c>
      <c r="I1086" s="820" t="s">
        <v>15</v>
      </c>
      <c r="J1086" s="820" t="s">
        <v>421</v>
      </c>
      <c r="L1086" s="821">
        <v>1</v>
      </c>
      <c r="M1086" s="637">
        <v>250</v>
      </c>
      <c r="N1086" s="637">
        <v>1551.5</v>
      </c>
      <c r="O1086" s="821">
        <v>1</v>
      </c>
      <c r="P1086" s="637">
        <v>250</v>
      </c>
      <c r="Q1086" s="637">
        <v>1551.5</v>
      </c>
      <c r="R1086" s="813" t="s">
        <v>172</v>
      </c>
      <c r="T1086" s="815" t="s">
        <v>172</v>
      </c>
      <c r="U1086" s="900" t="s">
        <v>1220</v>
      </c>
    </row>
    <row r="1087" spans="1:21" x14ac:dyDescent="0.25">
      <c r="A1087" s="813">
        <v>1539</v>
      </c>
      <c r="B1087" s="813" t="s">
        <v>355</v>
      </c>
      <c r="C1087" s="813" t="s">
        <v>909</v>
      </c>
      <c r="D1087" s="813" t="s">
        <v>14</v>
      </c>
      <c r="E1087" s="813" t="s">
        <v>15</v>
      </c>
      <c r="F1087" s="813" t="s">
        <v>1142</v>
      </c>
      <c r="G1087" s="813" t="s">
        <v>863</v>
      </c>
      <c r="H1087" s="819" t="s">
        <v>18</v>
      </c>
      <c r="I1087" s="820" t="s">
        <v>15</v>
      </c>
      <c r="J1087" s="820" t="s">
        <v>421</v>
      </c>
      <c r="L1087" s="821">
        <v>7</v>
      </c>
      <c r="M1087" s="637">
        <v>1139</v>
      </c>
      <c r="N1087" s="637">
        <v>4870.75</v>
      </c>
      <c r="O1087" s="821">
        <v>7</v>
      </c>
      <c r="P1087" s="637">
        <v>1139</v>
      </c>
      <c r="Q1087" s="637">
        <v>4870.75</v>
      </c>
      <c r="R1087" s="813" t="s">
        <v>172</v>
      </c>
      <c r="T1087" s="815" t="s">
        <v>172</v>
      </c>
      <c r="U1087" s="900" t="s">
        <v>1220</v>
      </c>
    </row>
    <row r="1088" spans="1:21" x14ac:dyDescent="0.25">
      <c r="A1088" s="813">
        <v>1541</v>
      </c>
      <c r="B1088" s="813" t="s">
        <v>361</v>
      </c>
      <c r="C1088" s="813" t="s">
        <v>876</v>
      </c>
      <c r="D1088" s="813" t="s">
        <v>434</v>
      </c>
      <c r="E1088" s="813" t="s">
        <v>15</v>
      </c>
      <c r="F1088" s="813" t="s">
        <v>863</v>
      </c>
      <c r="G1088" s="813" t="s">
        <v>863</v>
      </c>
      <c r="H1088" s="819" t="s">
        <v>18</v>
      </c>
      <c r="I1088" s="820" t="s">
        <v>15</v>
      </c>
      <c r="J1088" s="820" t="s">
        <v>421</v>
      </c>
      <c r="L1088" s="821">
        <v>4</v>
      </c>
      <c r="M1088" s="637">
        <v>439</v>
      </c>
      <c r="N1088" s="637">
        <v>1778.25</v>
      </c>
      <c r="O1088" s="821">
        <v>4</v>
      </c>
      <c r="P1088" s="637">
        <v>439</v>
      </c>
      <c r="Q1088" s="637">
        <v>1778.25</v>
      </c>
      <c r="R1088" s="813" t="s">
        <v>172</v>
      </c>
      <c r="T1088" s="815" t="s">
        <v>172</v>
      </c>
      <c r="U1088" s="900" t="s">
        <v>1220</v>
      </c>
    </row>
    <row r="1089" spans="1:21" x14ac:dyDescent="0.25">
      <c r="A1089" s="813">
        <v>1543</v>
      </c>
      <c r="B1089" s="813" t="s">
        <v>361</v>
      </c>
      <c r="C1089" s="813" t="s">
        <v>897</v>
      </c>
      <c r="D1089" s="813" t="s">
        <v>14</v>
      </c>
      <c r="E1089" s="813" t="s">
        <v>15</v>
      </c>
      <c r="F1089" s="813" t="s">
        <v>898</v>
      </c>
      <c r="G1089" s="813" t="s">
        <v>863</v>
      </c>
      <c r="H1089" s="819" t="s">
        <v>18</v>
      </c>
      <c r="I1089" s="820" t="s">
        <v>15</v>
      </c>
      <c r="J1089" s="820" t="s">
        <v>421</v>
      </c>
      <c r="L1089" s="821">
        <v>2</v>
      </c>
      <c r="M1089" s="637">
        <v>284</v>
      </c>
      <c r="N1089" s="637">
        <v>1623</v>
      </c>
      <c r="O1089" s="821">
        <v>2</v>
      </c>
      <c r="P1089" s="637">
        <v>284</v>
      </c>
      <c r="Q1089" s="637">
        <v>1623</v>
      </c>
      <c r="R1089" s="813" t="s">
        <v>172</v>
      </c>
      <c r="T1089" s="815" t="s">
        <v>172</v>
      </c>
      <c r="U1089" s="900" t="s">
        <v>1220</v>
      </c>
    </row>
    <row r="1090" spans="1:21" x14ac:dyDescent="0.25">
      <c r="A1090" s="813">
        <v>1544</v>
      </c>
      <c r="B1090" s="813" t="s">
        <v>362</v>
      </c>
      <c r="C1090" s="813" t="s">
        <v>458</v>
      </c>
      <c r="D1090" s="813" t="s">
        <v>13</v>
      </c>
      <c r="E1090" s="813" t="s">
        <v>13</v>
      </c>
      <c r="F1090" s="813" t="s">
        <v>859</v>
      </c>
      <c r="G1090" s="813" t="s">
        <v>860</v>
      </c>
      <c r="H1090" s="819" t="s">
        <v>391</v>
      </c>
      <c r="I1090" s="820" t="s">
        <v>20</v>
      </c>
      <c r="J1090" s="820" t="s">
        <v>16</v>
      </c>
      <c r="K1090" s="813" t="s">
        <v>13</v>
      </c>
      <c r="L1090" s="821">
        <v>8</v>
      </c>
      <c r="M1090" s="637">
        <v>97</v>
      </c>
      <c r="N1090" s="637">
        <v>378.5</v>
      </c>
      <c r="O1090" s="821">
        <v>7</v>
      </c>
      <c r="P1090" s="637">
        <v>80</v>
      </c>
      <c r="Q1090" s="637">
        <v>311.75</v>
      </c>
      <c r="R1090" s="813" t="s">
        <v>172</v>
      </c>
      <c r="T1090" s="815" t="s">
        <v>172</v>
      </c>
      <c r="U1090" s="899" t="s">
        <v>1219</v>
      </c>
    </row>
    <row r="1091" spans="1:21" x14ac:dyDescent="0.25">
      <c r="A1091" s="813">
        <v>1545</v>
      </c>
      <c r="B1091" s="813" t="s">
        <v>362</v>
      </c>
      <c r="C1091" s="813" t="s">
        <v>458</v>
      </c>
      <c r="D1091" s="813" t="s">
        <v>13</v>
      </c>
      <c r="E1091" s="813" t="s">
        <v>13</v>
      </c>
      <c r="F1091" s="813" t="s">
        <v>915</v>
      </c>
      <c r="G1091" s="813" t="s">
        <v>860</v>
      </c>
      <c r="H1091" s="819" t="s">
        <v>391</v>
      </c>
      <c r="I1091" s="820" t="s">
        <v>20</v>
      </c>
      <c r="J1091" s="820" t="s">
        <v>16</v>
      </c>
      <c r="K1091" s="813" t="s">
        <v>13</v>
      </c>
      <c r="L1091" s="821">
        <v>47</v>
      </c>
      <c r="M1091" s="637">
        <v>5870</v>
      </c>
      <c r="N1091" s="637">
        <v>33030.75</v>
      </c>
      <c r="O1091" s="821">
        <v>46</v>
      </c>
      <c r="P1091" s="637">
        <v>5857</v>
      </c>
      <c r="Q1091" s="637">
        <v>32956.75</v>
      </c>
      <c r="R1091" s="813" t="s">
        <v>172</v>
      </c>
      <c r="T1091" s="815" t="s">
        <v>172</v>
      </c>
      <c r="U1091" s="899" t="s">
        <v>1219</v>
      </c>
    </row>
    <row r="1092" spans="1:21" x14ac:dyDescent="0.25">
      <c r="A1092" s="813">
        <v>1546</v>
      </c>
      <c r="B1092" s="813" t="s">
        <v>362</v>
      </c>
      <c r="C1092" s="813" t="s">
        <v>1059</v>
      </c>
      <c r="D1092" s="813" t="s">
        <v>14</v>
      </c>
      <c r="E1092" s="813" t="s">
        <v>15</v>
      </c>
      <c r="F1092" s="813" t="s">
        <v>1060</v>
      </c>
      <c r="G1092" s="813" t="s">
        <v>863</v>
      </c>
      <c r="H1092" s="819" t="s">
        <v>18</v>
      </c>
      <c r="I1092" s="820" t="s">
        <v>15</v>
      </c>
      <c r="J1092" s="820" t="s">
        <v>421</v>
      </c>
      <c r="L1092" s="821">
        <v>1</v>
      </c>
      <c r="M1092" s="637">
        <v>192</v>
      </c>
      <c r="N1092" s="637">
        <v>725.25</v>
      </c>
      <c r="O1092" s="821">
        <v>1</v>
      </c>
      <c r="P1092" s="637">
        <v>192</v>
      </c>
      <c r="Q1092" s="637">
        <v>725.25</v>
      </c>
      <c r="R1092" s="813" t="s">
        <v>172</v>
      </c>
      <c r="T1092" s="815" t="s">
        <v>172</v>
      </c>
      <c r="U1092" s="900" t="s">
        <v>1220</v>
      </c>
    </row>
    <row r="1093" spans="1:21" x14ac:dyDescent="0.25">
      <c r="A1093" s="813">
        <v>1547</v>
      </c>
      <c r="B1093" s="813" t="s">
        <v>362</v>
      </c>
      <c r="C1093" s="813" t="s">
        <v>916</v>
      </c>
      <c r="D1093" s="813" t="s">
        <v>495</v>
      </c>
      <c r="E1093" s="813" t="s">
        <v>244</v>
      </c>
      <c r="F1093" s="813" t="s">
        <v>917</v>
      </c>
      <c r="G1093" s="813" t="s">
        <v>868</v>
      </c>
      <c r="H1093" s="819" t="s">
        <v>35</v>
      </c>
      <c r="I1093" s="820" t="s">
        <v>20</v>
      </c>
      <c r="J1093" s="820" t="s">
        <v>428</v>
      </c>
      <c r="L1093" s="821">
        <v>1</v>
      </c>
      <c r="M1093" s="637">
        <v>12</v>
      </c>
      <c r="N1093" s="637">
        <v>59.5</v>
      </c>
      <c r="O1093" s="821">
        <v>0</v>
      </c>
      <c r="P1093" s="637">
        <v>0</v>
      </c>
      <c r="R1093" s="813" t="s">
        <v>172</v>
      </c>
      <c r="T1093" s="815" t="s">
        <v>172</v>
      </c>
      <c r="U1093" s="900" t="s">
        <v>1220</v>
      </c>
    </row>
    <row r="1094" spans="1:21" x14ac:dyDescent="0.25">
      <c r="A1094" s="813">
        <v>1548</v>
      </c>
      <c r="B1094" s="813" t="s">
        <v>362</v>
      </c>
      <c r="C1094" s="813" t="s">
        <v>919</v>
      </c>
      <c r="D1094" s="813" t="s">
        <v>495</v>
      </c>
      <c r="E1094" s="813" t="s">
        <v>14</v>
      </c>
      <c r="F1094" s="813" t="s">
        <v>885</v>
      </c>
      <c r="G1094" s="813" t="s">
        <v>868</v>
      </c>
      <c r="H1094" s="819" t="s">
        <v>35</v>
      </c>
      <c r="I1094" s="820" t="s">
        <v>20</v>
      </c>
      <c r="J1094" s="820" t="s">
        <v>428</v>
      </c>
      <c r="L1094" s="821">
        <v>2</v>
      </c>
      <c r="M1094" s="637">
        <v>63</v>
      </c>
      <c r="N1094" s="637">
        <v>412</v>
      </c>
      <c r="O1094" s="821">
        <v>2</v>
      </c>
      <c r="P1094" s="637">
        <v>63</v>
      </c>
      <c r="Q1094" s="637">
        <v>412</v>
      </c>
      <c r="R1094" s="813" t="s">
        <v>172</v>
      </c>
      <c r="T1094" s="815" t="s">
        <v>172</v>
      </c>
      <c r="U1094" s="900" t="s">
        <v>1220</v>
      </c>
    </row>
    <row r="1095" spans="1:21" x14ac:dyDescent="0.25">
      <c r="A1095" s="813">
        <v>1549</v>
      </c>
      <c r="B1095" s="813" t="s">
        <v>362</v>
      </c>
      <c r="C1095" s="813" t="s">
        <v>919</v>
      </c>
      <c r="D1095" s="813" t="s">
        <v>495</v>
      </c>
      <c r="E1095" s="813" t="s">
        <v>14</v>
      </c>
      <c r="F1095" s="813" t="s">
        <v>869</v>
      </c>
      <c r="H1095" s="819" t="s">
        <v>39</v>
      </c>
      <c r="I1095" s="820" t="s">
        <v>20</v>
      </c>
      <c r="J1095" s="820" t="s">
        <v>428</v>
      </c>
      <c r="L1095" s="821">
        <v>2</v>
      </c>
      <c r="M1095" s="637">
        <v>2</v>
      </c>
      <c r="N1095" s="637">
        <v>2</v>
      </c>
      <c r="O1095" s="821">
        <v>2</v>
      </c>
      <c r="P1095" s="637">
        <v>2</v>
      </c>
      <c r="Q1095" s="637">
        <v>2</v>
      </c>
      <c r="R1095" s="806" t="s">
        <v>507</v>
      </c>
      <c r="T1095" s="815" t="s">
        <v>172</v>
      </c>
      <c r="U1095" s="900" t="s">
        <v>1220</v>
      </c>
    </row>
    <row r="1096" spans="1:21" x14ac:dyDescent="0.25">
      <c r="A1096" s="813">
        <v>1550</v>
      </c>
      <c r="B1096" s="813" t="s">
        <v>362</v>
      </c>
      <c r="C1096" s="813" t="s">
        <v>926</v>
      </c>
      <c r="D1096" s="813" t="s">
        <v>14</v>
      </c>
      <c r="E1096" s="813" t="s">
        <v>14</v>
      </c>
      <c r="F1096" s="813" t="s">
        <v>885</v>
      </c>
      <c r="G1096" s="813" t="s">
        <v>868</v>
      </c>
      <c r="H1096" s="819" t="s">
        <v>35</v>
      </c>
      <c r="I1096" s="820" t="s">
        <v>20</v>
      </c>
      <c r="J1096" s="820" t="s">
        <v>428</v>
      </c>
      <c r="L1096" s="821">
        <v>6</v>
      </c>
      <c r="M1096" s="637">
        <v>969</v>
      </c>
      <c r="N1096" s="637">
        <v>4002</v>
      </c>
      <c r="O1096" s="821">
        <v>6</v>
      </c>
      <c r="P1096" s="637">
        <v>969</v>
      </c>
      <c r="Q1096" s="637">
        <v>4002</v>
      </c>
      <c r="R1096" s="813" t="s">
        <v>172</v>
      </c>
      <c r="T1096" s="815" t="s">
        <v>172</v>
      </c>
      <c r="U1096" s="900" t="s">
        <v>1220</v>
      </c>
    </row>
    <row r="1097" spans="1:21" x14ac:dyDescent="0.25">
      <c r="A1097" s="813">
        <v>1551</v>
      </c>
      <c r="B1097" s="813" t="s">
        <v>362</v>
      </c>
      <c r="C1097" s="813" t="s">
        <v>926</v>
      </c>
      <c r="D1097" s="813" t="s">
        <v>14</v>
      </c>
      <c r="E1097" s="813" t="s">
        <v>14</v>
      </c>
      <c r="F1097" s="813" t="s">
        <v>1061</v>
      </c>
      <c r="G1097" s="813" t="s">
        <v>868</v>
      </c>
      <c r="H1097" s="819" t="s">
        <v>35</v>
      </c>
      <c r="I1097" s="820" t="s">
        <v>20</v>
      </c>
      <c r="J1097" s="820" t="s">
        <v>428</v>
      </c>
      <c r="L1097" s="821">
        <v>2</v>
      </c>
      <c r="M1097" s="637">
        <v>101</v>
      </c>
      <c r="N1097" s="637">
        <v>215.75</v>
      </c>
      <c r="O1097" s="821">
        <v>2</v>
      </c>
      <c r="P1097" s="637">
        <v>101</v>
      </c>
      <c r="Q1097" s="637">
        <v>215.75</v>
      </c>
      <c r="R1097" s="813" t="s">
        <v>172</v>
      </c>
      <c r="T1097" s="815" t="s">
        <v>172</v>
      </c>
      <c r="U1097" s="900" t="s">
        <v>1220</v>
      </c>
    </row>
    <row r="1098" spans="1:21" x14ac:dyDescent="0.25">
      <c r="A1098" s="813">
        <v>1552</v>
      </c>
      <c r="B1098" s="813" t="s">
        <v>362</v>
      </c>
      <c r="C1098" s="813" t="s">
        <v>926</v>
      </c>
      <c r="D1098" s="813" t="s">
        <v>14</v>
      </c>
      <c r="E1098" s="813" t="s">
        <v>14</v>
      </c>
      <c r="F1098" s="813" t="s">
        <v>869</v>
      </c>
      <c r="H1098" s="819" t="s">
        <v>39</v>
      </c>
      <c r="I1098" s="820" t="s">
        <v>20</v>
      </c>
      <c r="J1098" s="820" t="s">
        <v>428</v>
      </c>
      <c r="L1098" s="821">
        <v>7</v>
      </c>
      <c r="M1098" s="637">
        <v>7</v>
      </c>
      <c r="N1098" s="637">
        <v>7</v>
      </c>
      <c r="O1098" s="821">
        <v>7</v>
      </c>
      <c r="P1098" s="637">
        <v>7</v>
      </c>
      <c r="Q1098" s="637">
        <v>7</v>
      </c>
      <c r="R1098" s="806" t="s">
        <v>507</v>
      </c>
      <c r="T1098" s="815" t="s">
        <v>172</v>
      </c>
      <c r="U1098" s="900" t="s">
        <v>1220</v>
      </c>
    </row>
    <row r="1099" spans="1:21" x14ac:dyDescent="0.25">
      <c r="A1099" s="813">
        <v>1553</v>
      </c>
      <c r="B1099" s="813" t="s">
        <v>362</v>
      </c>
      <c r="C1099" s="813" t="s">
        <v>926</v>
      </c>
      <c r="D1099" s="813" t="s">
        <v>14</v>
      </c>
      <c r="E1099" s="813" t="s">
        <v>14</v>
      </c>
      <c r="F1099" s="813" t="s">
        <v>875</v>
      </c>
      <c r="H1099" s="819" t="s">
        <v>39</v>
      </c>
      <c r="I1099" s="820" t="s">
        <v>20</v>
      </c>
      <c r="J1099" s="820" t="s">
        <v>428</v>
      </c>
      <c r="L1099" s="821">
        <v>6</v>
      </c>
      <c r="M1099" s="637">
        <v>8</v>
      </c>
      <c r="N1099" s="637">
        <v>8</v>
      </c>
      <c r="O1099" s="821">
        <v>6</v>
      </c>
      <c r="P1099" s="637">
        <v>8</v>
      </c>
      <c r="Q1099" s="637">
        <v>8</v>
      </c>
      <c r="R1099" s="806" t="s">
        <v>507</v>
      </c>
      <c r="T1099" s="815" t="s">
        <v>172</v>
      </c>
      <c r="U1099" s="900" t="s">
        <v>1220</v>
      </c>
    </row>
    <row r="1100" spans="1:21" x14ac:dyDescent="0.25">
      <c r="A1100" s="813">
        <v>1555</v>
      </c>
      <c r="B1100" s="813" t="s">
        <v>362</v>
      </c>
      <c r="C1100" s="813" t="s">
        <v>861</v>
      </c>
      <c r="D1100" s="813" t="s">
        <v>14</v>
      </c>
      <c r="E1100" s="813" t="s">
        <v>15</v>
      </c>
      <c r="F1100" s="813" t="s">
        <v>862</v>
      </c>
      <c r="G1100" s="813" t="s">
        <v>863</v>
      </c>
      <c r="H1100" s="819" t="s">
        <v>18</v>
      </c>
      <c r="I1100" s="820" t="s">
        <v>15</v>
      </c>
      <c r="J1100" s="820" t="s">
        <v>421</v>
      </c>
      <c r="L1100" s="821">
        <v>2</v>
      </c>
      <c r="M1100" s="637">
        <v>335</v>
      </c>
      <c r="N1100" s="637">
        <v>1233.25</v>
      </c>
      <c r="O1100" s="821">
        <v>2</v>
      </c>
      <c r="P1100" s="637">
        <v>335</v>
      </c>
      <c r="Q1100" s="637">
        <v>1233.25</v>
      </c>
      <c r="R1100" s="813" t="s">
        <v>172</v>
      </c>
      <c r="T1100" s="815" t="s">
        <v>172</v>
      </c>
      <c r="U1100" s="900" t="s">
        <v>1220</v>
      </c>
    </row>
    <row r="1101" spans="1:21" x14ac:dyDescent="0.25">
      <c r="A1101" s="813">
        <v>1556</v>
      </c>
      <c r="B1101" s="813" t="s">
        <v>362</v>
      </c>
      <c r="C1101" s="813" t="s">
        <v>861</v>
      </c>
      <c r="D1101" s="813" t="s">
        <v>14</v>
      </c>
      <c r="E1101" s="813" t="s">
        <v>15</v>
      </c>
      <c r="F1101" s="813" t="s">
        <v>992</v>
      </c>
      <c r="G1101" s="813" t="s">
        <v>863</v>
      </c>
      <c r="H1101" s="819" t="s">
        <v>18</v>
      </c>
      <c r="I1101" s="820" t="s">
        <v>15</v>
      </c>
      <c r="J1101" s="820" t="s">
        <v>421</v>
      </c>
      <c r="L1101" s="821">
        <v>13</v>
      </c>
      <c r="M1101" s="637">
        <v>2338</v>
      </c>
      <c r="N1101" s="637">
        <v>9569</v>
      </c>
      <c r="O1101" s="821">
        <v>12</v>
      </c>
      <c r="P1101" s="637">
        <v>2303</v>
      </c>
      <c r="Q1101" s="637">
        <v>9394.25</v>
      </c>
      <c r="R1101" s="813" t="s">
        <v>172</v>
      </c>
      <c r="T1101" s="815" t="s">
        <v>172</v>
      </c>
      <c r="U1101" s="900" t="s">
        <v>1220</v>
      </c>
    </row>
    <row r="1102" spans="1:21" x14ac:dyDescent="0.25">
      <c r="A1102" s="813">
        <v>1557</v>
      </c>
      <c r="B1102" s="813" t="s">
        <v>362</v>
      </c>
      <c r="C1102" s="813" t="s">
        <v>927</v>
      </c>
      <c r="D1102" s="813" t="s">
        <v>14</v>
      </c>
      <c r="E1102" s="813" t="s">
        <v>14</v>
      </c>
      <c r="F1102" s="813" t="s">
        <v>869</v>
      </c>
      <c r="H1102" s="819" t="s">
        <v>39</v>
      </c>
      <c r="I1102" s="820" t="s">
        <v>20</v>
      </c>
      <c r="J1102" s="820" t="s">
        <v>428</v>
      </c>
      <c r="L1102" s="821">
        <v>12</v>
      </c>
      <c r="M1102" s="637">
        <v>13</v>
      </c>
      <c r="N1102" s="637">
        <v>13</v>
      </c>
      <c r="O1102" s="821">
        <v>11</v>
      </c>
      <c r="P1102" s="637">
        <v>12</v>
      </c>
      <c r="Q1102" s="637">
        <v>12</v>
      </c>
      <c r="R1102" s="806" t="s">
        <v>507</v>
      </c>
      <c r="T1102" s="815" t="s">
        <v>172</v>
      </c>
      <c r="U1102" s="900" t="s">
        <v>1220</v>
      </c>
    </row>
    <row r="1103" spans="1:21" x14ac:dyDescent="0.25">
      <c r="A1103" s="813">
        <v>1558</v>
      </c>
      <c r="B1103" s="813" t="s">
        <v>362</v>
      </c>
      <c r="C1103" s="813" t="s">
        <v>927</v>
      </c>
      <c r="D1103" s="813" t="s">
        <v>14</v>
      </c>
      <c r="E1103" s="813" t="s">
        <v>14</v>
      </c>
      <c r="F1103" s="813" t="s">
        <v>875</v>
      </c>
      <c r="H1103" s="819" t="s">
        <v>39</v>
      </c>
      <c r="I1103" s="820" t="s">
        <v>20</v>
      </c>
      <c r="J1103" s="820" t="s">
        <v>428</v>
      </c>
      <c r="L1103" s="821">
        <v>3</v>
      </c>
      <c r="M1103" s="637">
        <v>4</v>
      </c>
      <c r="N1103" s="637">
        <v>4</v>
      </c>
      <c r="O1103" s="821">
        <v>3</v>
      </c>
      <c r="P1103" s="637">
        <v>4</v>
      </c>
      <c r="Q1103" s="637">
        <v>4</v>
      </c>
      <c r="R1103" s="806" t="s">
        <v>507</v>
      </c>
      <c r="T1103" s="815" t="s">
        <v>172</v>
      </c>
      <c r="U1103" s="900" t="s">
        <v>1220</v>
      </c>
    </row>
    <row r="1104" spans="1:21" x14ac:dyDescent="0.25">
      <c r="A1104" s="813">
        <v>1559</v>
      </c>
      <c r="B1104" s="813" t="s">
        <v>362</v>
      </c>
      <c r="C1104" s="813" t="s">
        <v>927</v>
      </c>
      <c r="D1104" s="813" t="s">
        <v>14</v>
      </c>
      <c r="E1104" s="813" t="s">
        <v>14</v>
      </c>
      <c r="F1104" s="813" t="s">
        <v>868</v>
      </c>
      <c r="G1104" s="813" t="s">
        <v>868</v>
      </c>
      <c r="H1104" s="819" t="s">
        <v>35</v>
      </c>
      <c r="I1104" s="820" t="s">
        <v>20</v>
      </c>
      <c r="J1104" s="820" t="s">
        <v>428</v>
      </c>
      <c r="L1104" s="821">
        <v>13</v>
      </c>
      <c r="M1104" s="637">
        <v>1220</v>
      </c>
      <c r="N1104" s="637">
        <v>5728</v>
      </c>
      <c r="O1104" s="821">
        <v>12</v>
      </c>
      <c r="P1104" s="637">
        <v>1193</v>
      </c>
      <c r="Q1104" s="637">
        <v>5620</v>
      </c>
      <c r="R1104" s="813" t="s">
        <v>172</v>
      </c>
      <c r="T1104" s="815" t="s">
        <v>172</v>
      </c>
      <c r="U1104" s="900" t="s">
        <v>1220</v>
      </c>
    </row>
    <row r="1105" spans="1:21" x14ac:dyDescent="0.25">
      <c r="A1105" s="813">
        <v>1561</v>
      </c>
      <c r="B1105" s="813" t="s">
        <v>362</v>
      </c>
      <c r="C1105" s="813" t="s">
        <v>928</v>
      </c>
      <c r="D1105" s="813" t="s">
        <v>14</v>
      </c>
      <c r="E1105" s="813" t="s">
        <v>15</v>
      </c>
      <c r="F1105" s="813" t="s">
        <v>863</v>
      </c>
      <c r="G1105" s="813" t="s">
        <v>863</v>
      </c>
      <c r="H1105" s="819" t="s">
        <v>18</v>
      </c>
      <c r="I1105" s="820" t="s">
        <v>15</v>
      </c>
      <c r="J1105" s="820" t="s">
        <v>421</v>
      </c>
      <c r="L1105" s="821">
        <v>9</v>
      </c>
      <c r="M1105" s="637">
        <v>1269</v>
      </c>
      <c r="N1105" s="637">
        <v>6298.75</v>
      </c>
      <c r="O1105" s="821">
        <v>6</v>
      </c>
      <c r="P1105" s="637">
        <v>1101</v>
      </c>
      <c r="Q1105" s="637">
        <v>5125.5</v>
      </c>
      <c r="R1105" s="813" t="s">
        <v>172</v>
      </c>
      <c r="T1105" s="815" t="s">
        <v>172</v>
      </c>
      <c r="U1105" s="900" t="s">
        <v>1220</v>
      </c>
    </row>
    <row r="1106" spans="1:21" x14ac:dyDescent="0.25">
      <c r="A1106" s="813">
        <v>1564</v>
      </c>
      <c r="B1106" s="813" t="s">
        <v>362</v>
      </c>
      <c r="C1106" s="813" t="s">
        <v>930</v>
      </c>
      <c r="D1106" s="813" t="s">
        <v>14</v>
      </c>
      <c r="E1106" s="813" t="s">
        <v>15</v>
      </c>
      <c r="F1106" s="813" t="s">
        <v>898</v>
      </c>
      <c r="G1106" s="813" t="s">
        <v>863</v>
      </c>
      <c r="H1106" s="819" t="s">
        <v>18</v>
      </c>
      <c r="I1106" s="820" t="s">
        <v>15</v>
      </c>
      <c r="J1106" s="820" t="s">
        <v>421</v>
      </c>
      <c r="L1106" s="821">
        <v>1</v>
      </c>
      <c r="M1106" s="637">
        <v>3</v>
      </c>
      <c r="N1106" s="637">
        <v>21</v>
      </c>
      <c r="O1106" s="821">
        <v>1</v>
      </c>
      <c r="P1106" s="637">
        <v>3</v>
      </c>
      <c r="Q1106" s="637">
        <v>21</v>
      </c>
      <c r="R1106" s="813" t="s">
        <v>172</v>
      </c>
      <c r="T1106" s="815" t="s">
        <v>172</v>
      </c>
      <c r="U1106" s="900" t="s">
        <v>1220</v>
      </c>
    </row>
    <row r="1107" spans="1:21" x14ac:dyDescent="0.25">
      <c r="A1107" s="813">
        <v>1565</v>
      </c>
      <c r="B1107" s="813" t="s">
        <v>362</v>
      </c>
      <c r="C1107" s="813" t="s">
        <v>930</v>
      </c>
      <c r="D1107" s="813" t="s">
        <v>14</v>
      </c>
      <c r="E1107" s="813" t="s">
        <v>15</v>
      </c>
      <c r="F1107" s="813" t="s">
        <v>1062</v>
      </c>
      <c r="G1107" s="813" t="s">
        <v>1063</v>
      </c>
      <c r="H1107" s="819" t="s">
        <v>42</v>
      </c>
      <c r="I1107" s="820" t="s">
        <v>15</v>
      </c>
      <c r="J1107" s="820" t="s">
        <v>421</v>
      </c>
      <c r="L1107" s="821">
        <v>6</v>
      </c>
      <c r="M1107" s="637">
        <v>323</v>
      </c>
      <c r="N1107" s="637">
        <v>2828.25</v>
      </c>
      <c r="O1107" s="821">
        <v>5</v>
      </c>
      <c r="P1107" s="637">
        <v>315</v>
      </c>
      <c r="Q1107" s="637">
        <v>2776.25</v>
      </c>
      <c r="R1107" s="813" t="s">
        <v>172</v>
      </c>
      <c r="T1107" s="815" t="s">
        <v>172</v>
      </c>
      <c r="U1107" s="900" t="s">
        <v>1220</v>
      </c>
    </row>
    <row r="1108" spans="1:21" x14ac:dyDescent="0.25">
      <c r="A1108" s="813">
        <v>1566</v>
      </c>
      <c r="B1108" s="813" t="s">
        <v>362</v>
      </c>
      <c r="C1108" s="813" t="s">
        <v>931</v>
      </c>
      <c r="D1108" s="813" t="s">
        <v>14</v>
      </c>
      <c r="E1108" s="813" t="s">
        <v>14</v>
      </c>
      <c r="F1108" s="813" t="s">
        <v>1066</v>
      </c>
      <c r="G1108" s="813" t="s">
        <v>1067</v>
      </c>
      <c r="H1108" s="819" t="s">
        <v>36</v>
      </c>
      <c r="I1108" s="820" t="s">
        <v>20</v>
      </c>
      <c r="J1108" s="820" t="s">
        <v>428</v>
      </c>
      <c r="L1108" s="821">
        <v>7</v>
      </c>
      <c r="M1108" s="637">
        <v>275</v>
      </c>
      <c r="N1108" s="637">
        <v>1184.75</v>
      </c>
      <c r="O1108" s="821">
        <v>6</v>
      </c>
      <c r="P1108" s="637">
        <v>270</v>
      </c>
      <c r="Q1108" s="637">
        <v>1171</v>
      </c>
      <c r="R1108" s="813" t="s">
        <v>172</v>
      </c>
      <c r="T1108" s="815" t="s">
        <v>172</v>
      </c>
      <c r="U1108" s="900" t="s">
        <v>1220</v>
      </c>
    </row>
    <row r="1109" spans="1:21" x14ac:dyDescent="0.25">
      <c r="A1109" s="813">
        <v>1567</v>
      </c>
      <c r="B1109" s="813" t="s">
        <v>362</v>
      </c>
      <c r="C1109" s="813" t="s">
        <v>931</v>
      </c>
      <c r="D1109" s="813" t="s">
        <v>14</v>
      </c>
      <c r="E1109" s="813" t="s">
        <v>14</v>
      </c>
      <c r="F1109" s="813" t="s">
        <v>869</v>
      </c>
      <c r="H1109" s="819" t="s">
        <v>39</v>
      </c>
      <c r="I1109" s="820" t="s">
        <v>20</v>
      </c>
      <c r="J1109" s="820" t="s">
        <v>428</v>
      </c>
      <c r="L1109" s="821">
        <v>7</v>
      </c>
      <c r="M1109" s="637">
        <v>7</v>
      </c>
      <c r="N1109" s="637">
        <v>7</v>
      </c>
      <c r="O1109" s="821">
        <v>6</v>
      </c>
      <c r="P1109" s="637">
        <v>6</v>
      </c>
      <c r="Q1109" s="637">
        <v>6</v>
      </c>
      <c r="R1109" s="806" t="s">
        <v>507</v>
      </c>
      <c r="T1109" s="815" t="s">
        <v>172</v>
      </c>
      <c r="U1109" s="900" t="s">
        <v>1220</v>
      </c>
    </row>
    <row r="1110" spans="1:21" x14ac:dyDescent="0.25">
      <c r="A1110" s="813">
        <v>1568</v>
      </c>
      <c r="B1110" s="813" t="s">
        <v>362</v>
      </c>
      <c r="C1110" s="813" t="s">
        <v>931</v>
      </c>
      <c r="D1110" s="813" t="s">
        <v>14</v>
      </c>
      <c r="E1110" s="813" t="s">
        <v>14</v>
      </c>
      <c r="F1110" s="813" t="s">
        <v>875</v>
      </c>
      <c r="H1110" s="819" t="s">
        <v>39</v>
      </c>
      <c r="I1110" s="820" t="s">
        <v>20</v>
      </c>
      <c r="J1110" s="820" t="s">
        <v>428</v>
      </c>
      <c r="L1110" s="821">
        <v>1</v>
      </c>
      <c r="M1110" s="637">
        <v>1</v>
      </c>
      <c r="N1110" s="637">
        <v>1</v>
      </c>
      <c r="O1110" s="821">
        <v>1</v>
      </c>
      <c r="P1110" s="637">
        <v>1</v>
      </c>
      <c r="Q1110" s="637">
        <v>1</v>
      </c>
      <c r="R1110" s="806" t="s">
        <v>507</v>
      </c>
      <c r="T1110" s="815" t="s">
        <v>172</v>
      </c>
      <c r="U1110" s="900" t="s">
        <v>1220</v>
      </c>
    </row>
    <row r="1111" spans="1:21" x14ac:dyDescent="0.25">
      <c r="A1111" s="813">
        <v>1571</v>
      </c>
      <c r="B1111" s="813" t="s">
        <v>362</v>
      </c>
      <c r="C1111" s="813" t="s">
        <v>864</v>
      </c>
      <c r="D1111" s="813" t="s">
        <v>16</v>
      </c>
      <c r="E1111" s="813" t="s">
        <v>15</v>
      </c>
      <c r="F1111" s="813" t="s">
        <v>865</v>
      </c>
      <c r="G1111" s="813" t="s">
        <v>863</v>
      </c>
      <c r="H1111" s="819" t="s">
        <v>18</v>
      </c>
      <c r="I1111" s="820" t="s">
        <v>15</v>
      </c>
      <c r="J1111" s="820" t="s">
        <v>421</v>
      </c>
      <c r="L1111" s="821">
        <v>4</v>
      </c>
      <c r="M1111" s="637">
        <v>814</v>
      </c>
      <c r="N1111" s="637">
        <v>4595.75</v>
      </c>
      <c r="O1111" s="821">
        <v>4</v>
      </c>
      <c r="P1111" s="637">
        <v>814</v>
      </c>
      <c r="Q1111" s="637">
        <v>4595.75</v>
      </c>
      <c r="R1111" s="813" t="s">
        <v>172</v>
      </c>
      <c r="T1111" s="815" t="s">
        <v>172</v>
      </c>
      <c r="U1111" s="900" t="s">
        <v>1220</v>
      </c>
    </row>
    <row r="1112" spans="1:21" x14ac:dyDescent="0.25">
      <c r="A1112" s="813">
        <v>1572</v>
      </c>
      <c r="B1112" s="813" t="s">
        <v>362</v>
      </c>
      <c r="C1112" s="813" t="s">
        <v>864</v>
      </c>
      <c r="D1112" s="813" t="s">
        <v>16</v>
      </c>
      <c r="E1112" s="813" t="s">
        <v>15</v>
      </c>
      <c r="F1112" s="813" t="s">
        <v>1062</v>
      </c>
      <c r="G1112" s="813" t="s">
        <v>863</v>
      </c>
      <c r="H1112" s="819" t="s">
        <v>18</v>
      </c>
      <c r="I1112" s="820" t="s">
        <v>15</v>
      </c>
      <c r="J1112" s="820" t="s">
        <v>421</v>
      </c>
      <c r="L1112" s="821">
        <v>6</v>
      </c>
      <c r="M1112" s="637">
        <v>642</v>
      </c>
      <c r="N1112" s="637">
        <v>2686.5</v>
      </c>
      <c r="O1112" s="821">
        <v>6</v>
      </c>
      <c r="P1112" s="637">
        <v>642</v>
      </c>
      <c r="Q1112" s="637">
        <v>2686.5</v>
      </c>
      <c r="R1112" s="813" t="s">
        <v>172</v>
      </c>
      <c r="T1112" s="815" t="s">
        <v>172</v>
      </c>
      <c r="U1112" s="900" t="s">
        <v>1220</v>
      </c>
    </row>
    <row r="1113" spans="1:21" x14ac:dyDescent="0.25">
      <c r="A1113" s="813">
        <v>1573</v>
      </c>
      <c r="B1113" s="813" t="s">
        <v>362</v>
      </c>
      <c r="C1113" s="813" t="s">
        <v>866</v>
      </c>
      <c r="D1113" s="813" t="s">
        <v>16</v>
      </c>
      <c r="E1113" s="813" t="s">
        <v>14</v>
      </c>
      <c r="F1113" s="813" t="s">
        <v>1061</v>
      </c>
      <c r="G1113" s="813" t="s">
        <v>868</v>
      </c>
      <c r="H1113" s="819" t="s">
        <v>35</v>
      </c>
      <c r="I1113" s="820" t="s">
        <v>20</v>
      </c>
      <c r="J1113" s="820" t="s">
        <v>428</v>
      </c>
      <c r="L1113" s="821">
        <v>4</v>
      </c>
      <c r="M1113" s="637">
        <v>246</v>
      </c>
      <c r="N1113" s="637">
        <v>1445.75</v>
      </c>
      <c r="O1113" s="821">
        <v>3</v>
      </c>
      <c r="P1113" s="637">
        <v>163</v>
      </c>
      <c r="Q1113" s="637">
        <v>872.75</v>
      </c>
      <c r="R1113" s="813" t="s">
        <v>172</v>
      </c>
      <c r="T1113" s="815" t="s">
        <v>172</v>
      </c>
      <c r="U1113" s="900" t="s">
        <v>1220</v>
      </c>
    </row>
    <row r="1114" spans="1:21" x14ac:dyDescent="0.25">
      <c r="A1114" s="813">
        <v>1574</v>
      </c>
      <c r="B1114" s="813" t="s">
        <v>362</v>
      </c>
      <c r="C1114" s="813" t="s">
        <v>866</v>
      </c>
      <c r="D1114" s="813" t="s">
        <v>16</v>
      </c>
      <c r="E1114" s="813" t="s">
        <v>14</v>
      </c>
      <c r="F1114" s="813" t="s">
        <v>867</v>
      </c>
      <c r="G1114" s="813" t="s">
        <v>868</v>
      </c>
      <c r="H1114" s="819" t="s">
        <v>35</v>
      </c>
      <c r="I1114" s="820" t="s">
        <v>20</v>
      </c>
      <c r="J1114" s="820" t="s">
        <v>428</v>
      </c>
      <c r="L1114" s="821">
        <v>1</v>
      </c>
      <c r="M1114" s="637">
        <v>129</v>
      </c>
      <c r="N1114" s="637">
        <v>924</v>
      </c>
      <c r="O1114" s="821">
        <v>1</v>
      </c>
      <c r="P1114" s="637">
        <v>129</v>
      </c>
      <c r="Q1114" s="637">
        <v>924</v>
      </c>
      <c r="R1114" s="813" t="s">
        <v>172</v>
      </c>
      <c r="T1114" s="815" t="s">
        <v>172</v>
      </c>
      <c r="U1114" s="900" t="s">
        <v>1220</v>
      </c>
    </row>
    <row r="1115" spans="1:21" x14ac:dyDescent="0.25">
      <c r="A1115" s="813">
        <v>1575</v>
      </c>
      <c r="B1115" s="813" t="s">
        <v>362</v>
      </c>
      <c r="C1115" s="813" t="s">
        <v>866</v>
      </c>
      <c r="D1115" s="813" t="s">
        <v>16</v>
      </c>
      <c r="E1115" s="813" t="s">
        <v>14</v>
      </c>
      <c r="F1115" s="813" t="s">
        <v>932</v>
      </c>
      <c r="G1115" s="813" t="s">
        <v>933</v>
      </c>
      <c r="H1115" s="819" t="s">
        <v>37</v>
      </c>
      <c r="I1115" s="820" t="s">
        <v>20</v>
      </c>
      <c r="J1115" s="820" t="s">
        <v>428</v>
      </c>
      <c r="L1115" s="821">
        <v>1</v>
      </c>
      <c r="M1115" s="637">
        <v>346</v>
      </c>
      <c r="N1115" s="637">
        <v>4498</v>
      </c>
      <c r="O1115" s="821">
        <v>1</v>
      </c>
      <c r="P1115" s="637">
        <v>346</v>
      </c>
      <c r="Q1115" s="637">
        <v>4498</v>
      </c>
      <c r="R1115" s="813" t="s">
        <v>172</v>
      </c>
      <c r="T1115" s="815">
        <v>13</v>
      </c>
      <c r="U1115" s="900" t="s">
        <v>1220</v>
      </c>
    </row>
    <row r="1116" spans="1:21" x14ac:dyDescent="0.25">
      <c r="A1116" s="813">
        <v>1576</v>
      </c>
      <c r="B1116" s="813" t="s">
        <v>362</v>
      </c>
      <c r="C1116" s="813" t="s">
        <v>866</v>
      </c>
      <c r="D1116" s="813" t="s">
        <v>16</v>
      </c>
      <c r="E1116" s="813" t="s">
        <v>14</v>
      </c>
      <c r="F1116" s="813" t="s">
        <v>889</v>
      </c>
      <c r="H1116" s="819" t="s">
        <v>39</v>
      </c>
      <c r="I1116" s="820" t="s">
        <v>20</v>
      </c>
      <c r="J1116" s="820" t="s">
        <v>428</v>
      </c>
      <c r="L1116" s="821">
        <v>1</v>
      </c>
      <c r="M1116" s="637">
        <v>1</v>
      </c>
      <c r="N1116" s="637">
        <v>1</v>
      </c>
      <c r="O1116" s="821">
        <v>1</v>
      </c>
      <c r="P1116" s="637">
        <v>1</v>
      </c>
      <c r="Q1116" s="637">
        <v>1</v>
      </c>
      <c r="R1116" s="806" t="s">
        <v>507</v>
      </c>
      <c r="T1116" s="815" t="s">
        <v>172</v>
      </c>
      <c r="U1116" s="900" t="s">
        <v>1220</v>
      </c>
    </row>
    <row r="1117" spans="1:21" x14ac:dyDescent="0.25">
      <c r="A1117" s="813">
        <v>1577</v>
      </c>
      <c r="B1117" s="813" t="s">
        <v>362</v>
      </c>
      <c r="C1117" s="813" t="s">
        <v>866</v>
      </c>
      <c r="D1117" s="813" t="s">
        <v>16</v>
      </c>
      <c r="E1117" s="813" t="s">
        <v>14</v>
      </c>
      <c r="F1117" s="813" t="s">
        <v>869</v>
      </c>
      <c r="H1117" s="819" t="s">
        <v>39</v>
      </c>
      <c r="I1117" s="820" t="s">
        <v>20</v>
      </c>
      <c r="J1117" s="820" t="s">
        <v>428</v>
      </c>
      <c r="L1117" s="821">
        <v>5</v>
      </c>
      <c r="M1117" s="637">
        <v>5</v>
      </c>
      <c r="N1117" s="637">
        <v>5</v>
      </c>
      <c r="O1117" s="821">
        <v>3</v>
      </c>
      <c r="P1117" s="637">
        <v>3</v>
      </c>
      <c r="Q1117" s="637">
        <v>3</v>
      </c>
      <c r="R1117" s="806" t="s">
        <v>507</v>
      </c>
      <c r="T1117" s="815" t="s">
        <v>172</v>
      </c>
      <c r="U1117" s="900" t="s">
        <v>1220</v>
      </c>
    </row>
    <row r="1118" spans="1:21" x14ac:dyDescent="0.25">
      <c r="A1118" s="813">
        <v>1578</v>
      </c>
      <c r="B1118" s="813" t="s">
        <v>362</v>
      </c>
      <c r="C1118" s="813" t="s">
        <v>866</v>
      </c>
      <c r="D1118" s="813" t="s">
        <v>16</v>
      </c>
      <c r="E1118" s="813" t="s">
        <v>14</v>
      </c>
      <c r="F1118" s="813" t="s">
        <v>875</v>
      </c>
      <c r="H1118" s="819" t="s">
        <v>39</v>
      </c>
      <c r="I1118" s="820" t="s">
        <v>20</v>
      </c>
      <c r="J1118" s="820" t="s">
        <v>428</v>
      </c>
      <c r="L1118" s="821">
        <v>2</v>
      </c>
      <c r="M1118" s="637">
        <v>3</v>
      </c>
      <c r="N1118" s="637">
        <v>3</v>
      </c>
      <c r="O1118" s="821">
        <v>2</v>
      </c>
      <c r="P1118" s="637">
        <v>3</v>
      </c>
      <c r="Q1118" s="637">
        <v>3</v>
      </c>
      <c r="R1118" s="806" t="s">
        <v>507</v>
      </c>
      <c r="T1118" s="815" t="s">
        <v>172</v>
      </c>
      <c r="U1118" s="900" t="s">
        <v>1220</v>
      </c>
    </row>
    <row r="1119" spans="1:21" x14ac:dyDescent="0.25">
      <c r="A1119" s="813">
        <v>1579</v>
      </c>
      <c r="B1119" s="813" t="s">
        <v>362</v>
      </c>
      <c r="C1119" s="813" t="s">
        <v>874</v>
      </c>
      <c r="D1119" s="813" t="s">
        <v>434</v>
      </c>
      <c r="E1119" s="813" t="s">
        <v>14</v>
      </c>
      <c r="F1119" s="813" t="s">
        <v>889</v>
      </c>
      <c r="H1119" s="819" t="s">
        <v>39</v>
      </c>
      <c r="I1119" s="820" t="s">
        <v>20</v>
      </c>
      <c r="J1119" s="820" t="s">
        <v>428</v>
      </c>
      <c r="L1119" s="821">
        <v>2</v>
      </c>
      <c r="M1119" s="637">
        <v>2</v>
      </c>
      <c r="N1119" s="637">
        <v>2</v>
      </c>
      <c r="O1119" s="821">
        <v>2</v>
      </c>
      <c r="P1119" s="637">
        <v>2</v>
      </c>
      <c r="Q1119" s="637">
        <v>2</v>
      </c>
      <c r="R1119" s="806" t="s">
        <v>507</v>
      </c>
      <c r="T1119" s="815" t="s">
        <v>172</v>
      </c>
      <c r="U1119" s="900" t="s">
        <v>1220</v>
      </c>
    </row>
    <row r="1120" spans="1:21" x14ac:dyDescent="0.25">
      <c r="A1120" s="813">
        <v>1580</v>
      </c>
      <c r="B1120" s="813" t="s">
        <v>362</v>
      </c>
      <c r="C1120" s="813" t="s">
        <v>874</v>
      </c>
      <c r="D1120" s="813" t="s">
        <v>434</v>
      </c>
      <c r="E1120" s="813" t="s">
        <v>14</v>
      </c>
      <c r="F1120" s="813" t="s">
        <v>869</v>
      </c>
      <c r="H1120" s="819" t="s">
        <v>39</v>
      </c>
      <c r="I1120" s="820" t="s">
        <v>20</v>
      </c>
      <c r="J1120" s="820" t="s">
        <v>428</v>
      </c>
      <c r="L1120" s="821">
        <v>16</v>
      </c>
      <c r="M1120" s="637">
        <v>16</v>
      </c>
      <c r="N1120" s="637">
        <v>16</v>
      </c>
      <c r="O1120" s="821">
        <v>16</v>
      </c>
      <c r="P1120" s="637">
        <v>16</v>
      </c>
      <c r="Q1120" s="637">
        <v>16</v>
      </c>
      <c r="R1120" s="806" t="s">
        <v>507</v>
      </c>
      <c r="T1120" s="815" t="s">
        <v>172</v>
      </c>
      <c r="U1120" s="900" t="s">
        <v>1220</v>
      </c>
    </row>
    <row r="1121" spans="1:21" x14ac:dyDescent="0.25">
      <c r="A1121" s="813">
        <v>1581</v>
      </c>
      <c r="B1121" s="813" t="s">
        <v>362</v>
      </c>
      <c r="C1121" s="813" t="s">
        <v>874</v>
      </c>
      <c r="D1121" s="813" t="s">
        <v>434</v>
      </c>
      <c r="E1121" s="813" t="s">
        <v>14</v>
      </c>
      <c r="F1121" s="813" t="s">
        <v>890</v>
      </c>
      <c r="G1121" s="813" t="s">
        <v>891</v>
      </c>
      <c r="H1121" s="819" t="s">
        <v>39</v>
      </c>
      <c r="I1121" s="820" t="s">
        <v>20</v>
      </c>
      <c r="J1121" s="820" t="s">
        <v>428</v>
      </c>
      <c r="L1121" s="821">
        <v>11</v>
      </c>
      <c r="M1121" s="637">
        <v>11</v>
      </c>
      <c r="N1121" s="637">
        <v>11</v>
      </c>
      <c r="O1121" s="821">
        <v>11</v>
      </c>
      <c r="P1121" s="637">
        <v>11</v>
      </c>
      <c r="Q1121" s="637">
        <v>11</v>
      </c>
      <c r="R1121" s="813" t="s">
        <v>529</v>
      </c>
      <c r="T1121" s="815" t="s">
        <v>172</v>
      </c>
      <c r="U1121" s="900" t="s">
        <v>1220</v>
      </c>
    </row>
    <row r="1122" spans="1:21" x14ac:dyDescent="0.25">
      <c r="A1122" s="813">
        <v>1582</v>
      </c>
      <c r="B1122" s="813" t="s">
        <v>362</v>
      </c>
      <c r="C1122" s="813" t="s">
        <v>874</v>
      </c>
      <c r="D1122" s="813" t="s">
        <v>434</v>
      </c>
      <c r="E1122" s="813" t="s">
        <v>14</v>
      </c>
      <c r="F1122" s="813" t="s">
        <v>875</v>
      </c>
      <c r="H1122" s="819" t="s">
        <v>39</v>
      </c>
      <c r="I1122" s="820" t="s">
        <v>20</v>
      </c>
      <c r="J1122" s="820" t="s">
        <v>428</v>
      </c>
      <c r="L1122" s="821">
        <v>10</v>
      </c>
      <c r="M1122" s="637">
        <v>13</v>
      </c>
      <c r="N1122" s="637">
        <v>13</v>
      </c>
      <c r="O1122" s="821">
        <v>10</v>
      </c>
      <c r="P1122" s="637">
        <v>13</v>
      </c>
      <c r="Q1122" s="637">
        <v>13</v>
      </c>
      <c r="R1122" s="806" t="s">
        <v>507</v>
      </c>
      <c r="T1122" s="815" t="s">
        <v>172</v>
      </c>
      <c r="U1122" s="900" t="s">
        <v>1220</v>
      </c>
    </row>
    <row r="1123" spans="1:21" x14ac:dyDescent="0.25">
      <c r="A1123" s="813">
        <v>1583</v>
      </c>
      <c r="B1123" s="813" t="s">
        <v>362</v>
      </c>
      <c r="C1123" s="813" t="s">
        <v>874</v>
      </c>
      <c r="D1123" s="813" t="s">
        <v>434</v>
      </c>
      <c r="E1123" s="813" t="s">
        <v>14</v>
      </c>
      <c r="F1123" s="813" t="s">
        <v>892</v>
      </c>
      <c r="G1123" s="813" t="s">
        <v>893</v>
      </c>
      <c r="H1123" s="819" t="s">
        <v>34</v>
      </c>
      <c r="I1123" s="820" t="s">
        <v>20</v>
      </c>
      <c r="J1123" s="820" t="s">
        <v>428</v>
      </c>
      <c r="L1123" s="821">
        <v>1</v>
      </c>
      <c r="M1123" s="637">
        <v>4</v>
      </c>
      <c r="N1123" s="637">
        <v>13.25</v>
      </c>
      <c r="O1123" s="821">
        <v>1</v>
      </c>
      <c r="P1123" s="637">
        <v>4</v>
      </c>
      <c r="Q1123" s="637">
        <v>13.25</v>
      </c>
      <c r="R1123" s="813" t="s">
        <v>172</v>
      </c>
      <c r="T1123" s="815" t="s">
        <v>172</v>
      </c>
      <c r="U1123" s="900" t="s">
        <v>1220</v>
      </c>
    </row>
    <row r="1124" spans="1:21" x14ac:dyDescent="0.25">
      <c r="A1124" s="813">
        <v>1584</v>
      </c>
      <c r="B1124" s="813" t="s">
        <v>362</v>
      </c>
      <c r="C1124" s="813" t="s">
        <v>874</v>
      </c>
      <c r="D1124" s="813" t="s">
        <v>434</v>
      </c>
      <c r="E1124" s="813" t="s">
        <v>14</v>
      </c>
      <c r="F1124" s="813" t="s">
        <v>868</v>
      </c>
      <c r="G1124" s="813" t="s">
        <v>868</v>
      </c>
      <c r="H1124" s="819" t="s">
        <v>35</v>
      </c>
      <c r="I1124" s="820" t="s">
        <v>20</v>
      </c>
      <c r="J1124" s="820" t="s">
        <v>428</v>
      </c>
      <c r="L1124" s="821">
        <v>34</v>
      </c>
      <c r="M1124" s="637">
        <v>2646</v>
      </c>
      <c r="N1124" s="637">
        <v>12426.75</v>
      </c>
      <c r="O1124" s="821">
        <v>33</v>
      </c>
      <c r="P1124" s="637">
        <v>2583</v>
      </c>
      <c r="Q1124" s="637">
        <v>12043.5</v>
      </c>
      <c r="R1124" s="813" t="s">
        <v>172</v>
      </c>
      <c r="T1124" s="815" t="s">
        <v>172</v>
      </c>
      <c r="U1124" s="900" t="s">
        <v>1220</v>
      </c>
    </row>
    <row r="1125" spans="1:21" x14ac:dyDescent="0.25">
      <c r="A1125" s="813">
        <v>1585</v>
      </c>
      <c r="B1125" s="813" t="s">
        <v>362</v>
      </c>
      <c r="C1125" s="813" t="s">
        <v>874</v>
      </c>
      <c r="D1125" s="813" t="s">
        <v>434</v>
      </c>
      <c r="E1125" s="813" t="s">
        <v>14</v>
      </c>
      <c r="F1125" s="813" t="s">
        <v>933</v>
      </c>
      <c r="G1125" s="813" t="s">
        <v>933</v>
      </c>
      <c r="H1125" s="819" t="s">
        <v>37</v>
      </c>
      <c r="I1125" s="820" t="s">
        <v>20</v>
      </c>
      <c r="J1125" s="820" t="s">
        <v>428</v>
      </c>
      <c r="L1125" s="821">
        <v>1</v>
      </c>
      <c r="M1125" s="637">
        <v>236</v>
      </c>
      <c r="N1125" s="637">
        <v>3068</v>
      </c>
      <c r="O1125" s="821">
        <v>1</v>
      </c>
      <c r="P1125" s="637">
        <v>236</v>
      </c>
      <c r="Q1125" s="637">
        <v>3068</v>
      </c>
      <c r="R1125" s="813" t="s">
        <v>172</v>
      </c>
      <c r="T1125" s="815">
        <v>13</v>
      </c>
      <c r="U1125" s="900" t="s">
        <v>1220</v>
      </c>
    </row>
    <row r="1126" spans="1:21" x14ac:dyDescent="0.25">
      <c r="A1126" s="813">
        <v>1588</v>
      </c>
      <c r="B1126" s="813" t="s">
        <v>362</v>
      </c>
      <c r="C1126" s="813" t="s">
        <v>876</v>
      </c>
      <c r="D1126" s="813" t="s">
        <v>434</v>
      </c>
      <c r="E1126" s="813" t="s">
        <v>15</v>
      </c>
      <c r="F1126" s="813" t="s">
        <v>863</v>
      </c>
      <c r="G1126" s="813" t="s">
        <v>863</v>
      </c>
      <c r="H1126" s="819" t="s">
        <v>18</v>
      </c>
      <c r="I1126" s="820" t="s">
        <v>15</v>
      </c>
      <c r="J1126" s="820" t="s">
        <v>421</v>
      </c>
      <c r="L1126" s="821">
        <v>35</v>
      </c>
      <c r="M1126" s="637">
        <v>4609</v>
      </c>
      <c r="N1126" s="637">
        <v>24043</v>
      </c>
      <c r="O1126" s="821">
        <v>34</v>
      </c>
      <c r="P1126" s="637">
        <v>4539</v>
      </c>
      <c r="Q1126" s="637">
        <v>23214</v>
      </c>
      <c r="R1126" s="813" t="s">
        <v>172</v>
      </c>
      <c r="T1126" s="815" t="s">
        <v>172</v>
      </c>
      <c r="U1126" s="900" t="s">
        <v>1220</v>
      </c>
    </row>
    <row r="1127" spans="1:21" x14ac:dyDescent="0.25">
      <c r="A1127" s="813">
        <v>1589</v>
      </c>
      <c r="B1127" s="813" t="s">
        <v>362</v>
      </c>
      <c r="C1127" s="813" t="s">
        <v>894</v>
      </c>
      <c r="D1127" s="813" t="s">
        <v>14</v>
      </c>
      <c r="E1127" s="813" t="s">
        <v>14</v>
      </c>
      <c r="F1127" s="813" t="s">
        <v>869</v>
      </c>
      <c r="G1127" s="813" t="s">
        <v>895</v>
      </c>
      <c r="H1127" s="819" t="s">
        <v>39</v>
      </c>
      <c r="I1127" s="820" t="s">
        <v>20</v>
      </c>
      <c r="J1127" s="820" t="s">
        <v>428</v>
      </c>
      <c r="L1127" s="821">
        <v>2</v>
      </c>
      <c r="M1127" s="637">
        <v>2</v>
      </c>
      <c r="N1127" s="637">
        <v>2</v>
      </c>
      <c r="O1127" s="821">
        <v>2</v>
      </c>
      <c r="P1127" s="637">
        <v>2</v>
      </c>
      <c r="Q1127" s="637">
        <v>2</v>
      </c>
      <c r="R1127" s="806" t="s">
        <v>507</v>
      </c>
      <c r="T1127" s="815" t="s">
        <v>172</v>
      </c>
      <c r="U1127" s="900" t="s">
        <v>1220</v>
      </c>
    </row>
    <row r="1128" spans="1:21" x14ac:dyDescent="0.25">
      <c r="A1128" s="813">
        <v>1590</v>
      </c>
      <c r="B1128" s="813" t="s">
        <v>362</v>
      </c>
      <c r="C1128" s="813" t="s">
        <v>894</v>
      </c>
      <c r="D1128" s="813" t="s">
        <v>14</v>
      </c>
      <c r="E1128" s="813" t="s">
        <v>14</v>
      </c>
      <c r="F1128" s="813" t="s">
        <v>896</v>
      </c>
      <c r="G1128" s="813" t="s">
        <v>895</v>
      </c>
      <c r="H1128" s="819" t="s">
        <v>39</v>
      </c>
      <c r="I1128" s="820" t="s">
        <v>20</v>
      </c>
      <c r="J1128" s="820" t="s">
        <v>428</v>
      </c>
      <c r="L1128" s="821">
        <v>2</v>
      </c>
      <c r="M1128" s="637">
        <v>2</v>
      </c>
      <c r="N1128" s="637">
        <v>2</v>
      </c>
      <c r="O1128" s="821">
        <v>2</v>
      </c>
      <c r="P1128" s="637">
        <v>2</v>
      </c>
      <c r="Q1128" s="637">
        <v>2</v>
      </c>
      <c r="R1128" s="813" t="s">
        <v>529</v>
      </c>
      <c r="T1128" s="815" t="s">
        <v>172</v>
      </c>
      <c r="U1128" s="900" t="s">
        <v>1220</v>
      </c>
    </row>
    <row r="1129" spans="1:21" x14ac:dyDescent="0.25">
      <c r="A1129" s="813">
        <v>1592</v>
      </c>
      <c r="B1129" s="813" t="s">
        <v>362</v>
      </c>
      <c r="C1129" s="813" t="s">
        <v>938</v>
      </c>
      <c r="D1129" s="813" t="s">
        <v>495</v>
      </c>
      <c r="E1129" s="813" t="s">
        <v>15</v>
      </c>
      <c r="F1129" s="813" t="s">
        <v>939</v>
      </c>
      <c r="G1129" s="813" t="s">
        <v>863</v>
      </c>
      <c r="H1129" s="819" t="s">
        <v>18</v>
      </c>
      <c r="I1129" s="820" t="s">
        <v>15</v>
      </c>
      <c r="J1129" s="820" t="s">
        <v>421</v>
      </c>
      <c r="L1129" s="821">
        <v>5</v>
      </c>
      <c r="M1129" s="637">
        <v>674</v>
      </c>
      <c r="N1129" s="637">
        <v>2361.25</v>
      </c>
      <c r="O1129" s="821">
        <v>4</v>
      </c>
      <c r="P1129" s="637">
        <v>659</v>
      </c>
      <c r="Q1129" s="637">
        <v>2256.25</v>
      </c>
      <c r="R1129" s="813" t="s">
        <v>172</v>
      </c>
      <c r="T1129" s="815" t="s">
        <v>172</v>
      </c>
      <c r="U1129" s="900" t="s">
        <v>1220</v>
      </c>
    </row>
    <row r="1130" spans="1:21" x14ac:dyDescent="0.25">
      <c r="A1130" s="813">
        <v>1594</v>
      </c>
      <c r="B1130" s="813" t="s">
        <v>362</v>
      </c>
      <c r="C1130" s="813" t="s">
        <v>940</v>
      </c>
      <c r="D1130" s="813" t="s">
        <v>495</v>
      </c>
      <c r="E1130" s="813" t="s">
        <v>14</v>
      </c>
      <c r="F1130" s="813" t="s">
        <v>885</v>
      </c>
      <c r="G1130" s="813" t="s">
        <v>868</v>
      </c>
      <c r="H1130" s="819" t="s">
        <v>35</v>
      </c>
      <c r="I1130" s="820" t="s">
        <v>20</v>
      </c>
      <c r="J1130" s="820" t="s">
        <v>428</v>
      </c>
      <c r="L1130" s="821">
        <v>1</v>
      </c>
      <c r="M1130" s="637">
        <v>7</v>
      </c>
      <c r="N1130" s="637">
        <v>35</v>
      </c>
      <c r="O1130" s="821">
        <v>1</v>
      </c>
      <c r="P1130" s="637">
        <v>7</v>
      </c>
      <c r="Q1130" s="637">
        <v>35</v>
      </c>
      <c r="R1130" s="813" t="s">
        <v>172</v>
      </c>
      <c r="T1130" s="815" t="s">
        <v>172</v>
      </c>
      <c r="U1130" s="900" t="s">
        <v>1220</v>
      </c>
    </row>
    <row r="1131" spans="1:21" x14ac:dyDescent="0.25">
      <c r="A1131" s="813">
        <v>1595</v>
      </c>
      <c r="B1131" s="813" t="s">
        <v>362</v>
      </c>
      <c r="C1131" s="813" t="s">
        <v>940</v>
      </c>
      <c r="D1131" s="813" t="s">
        <v>495</v>
      </c>
      <c r="E1131" s="813" t="s">
        <v>14</v>
      </c>
      <c r="F1131" s="813" t="s">
        <v>869</v>
      </c>
      <c r="H1131" s="819" t="s">
        <v>39</v>
      </c>
      <c r="I1131" s="820" t="s">
        <v>20</v>
      </c>
      <c r="J1131" s="820" t="s">
        <v>428</v>
      </c>
      <c r="L1131" s="821">
        <v>1</v>
      </c>
      <c r="M1131" s="637">
        <v>1</v>
      </c>
      <c r="N1131" s="637">
        <v>1</v>
      </c>
      <c r="O1131" s="821">
        <v>1</v>
      </c>
      <c r="P1131" s="637">
        <v>1</v>
      </c>
      <c r="Q1131" s="637">
        <v>1</v>
      </c>
      <c r="R1131" s="806" t="s">
        <v>507</v>
      </c>
      <c r="T1131" s="815" t="s">
        <v>172</v>
      </c>
      <c r="U1131" s="900" t="s">
        <v>1220</v>
      </c>
    </row>
    <row r="1132" spans="1:21" x14ac:dyDescent="0.25">
      <c r="A1132" s="813">
        <v>1596</v>
      </c>
      <c r="B1132" s="813" t="s">
        <v>362</v>
      </c>
      <c r="C1132" s="813" t="s">
        <v>941</v>
      </c>
      <c r="D1132" s="813" t="s">
        <v>13</v>
      </c>
      <c r="E1132" s="813" t="s">
        <v>14</v>
      </c>
      <c r="F1132" s="813" t="s">
        <v>889</v>
      </c>
      <c r="H1132" s="819" t="s">
        <v>39</v>
      </c>
      <c r="I1132" s="820" t="s">
        <v>20</v>
      </c>
      <c r="J1132" s="820" t="s">
        <v>428</v>
      </c>
      <c r="L1132" s="821">
        <v>1</v>
      </c>
      <c r="M1132" s="637">
        <v>1</v>
      </c>
      <c r="N1132" s="637">
        <v>1</v>
      </c>
      <c r="O1132" s="821">
        <v>1</v>
      </c>
      <c r="P1132" s="637">
        <v>1</v>
      </c>
      <c r="Q1132" s="637">
        <v>1</v>
      </c>
      <c r="R1132" s="806" t="s">
        <v>507</v>
      </c>
      <c r="T1132" s="815" t="s">
        <v>172</v>
      </c>
      <c r="U1132" s="900" t="s">
        <v>1220</v>
      </c>
    </row>
    <row r="1133" spans="1:21" x14ac:dyDescent="0.25">
      <c r="A1133" s="813">
        <v>1597</v>
      </c>
      <c r="B1133" s="813" t="s">
        <v>362</v>
      </c>
      <c r="C1133" s="813" t="s">
        <v>941</v>
      </c>
      <c r="D1133" s="813" t="s">
        <v>13</v>
      </c>
      <c r="E1133" s="813" t="s">
        <v>14</v>
      </c>
      <c r="F1133" s="813" t="s">
        <v>869</v>
      </c>
      <c r="H1133" s="819" t="s">
        <v>39</v>
      </c>
      <c r="I1133" s="820" t="s">
        <v>20</v>
      </c>
      <c r="J1133" s="820" t="s">
        <v>428</v>
      </c>
      <c r="L1133" s="821">
        <v>9</v>
      </c>
      <c r="M1133" s="637">
        <v>9</v>
      </c>
      <c r="N1133" s="637">
        <v>9</v>
      </c>
      <c r="O1133" s="821">
        <v>9</v>
      </c>
      <c r="P1133" s="637">
        <v>9</v>
      </c>
      <c r="Q1133" s="637">
        <v>9</v>
      </c>
      <c r="R1133" s="806" t="s">
        <v>507</v>
      </c>
      <c r="T1133" s="815" t="s">
        <v>172</v>
      </c>
      <c r="U1133" s="900" t="s">
        <v>1220</v>
      </c>
    </row>
    <row r="1134" spans="1:21" x14ac:dyDescent="0.25">
      <c r="A1134" s="813">
        <v>1598</v>
      </c>
      <c r="B1134" s="813" t="s">
        <v>362</v>
      </c>
      <c r="C1134" s="813" t="s">
        <v>941</v>
      </c>
      <c r="D1134" s="813" t="s">
        <v>13</v>
      </c>
      <c r="E1134" s="813" t="s">
        <v>14</v>
      </c>
      <c r="F1134" s="813" t="s">
        <v>875</v>
      </c>
      <c r="H1134" s="819" t="s">
        <v>39</v>
      </c>
      <c r="I1134" s="820" t="s">
        <v>20</v>
      </c>
      <c r="J1134" s="820" t="s">
        <v>428</v>
      </c>
      <c r="L1134" s="821">
        <v>9</v>
      </c>
      <c r="M1134" s="637">
        <v>14</v>
      </c>
      <c r="N1134" s="637">
        <v>14</v>
      </c>
      <c r="O1134" s="821">
        <v>9</v>
      </c>
      <c r="P1134" s="637">
        <v>14</v>
      </c>
      <c r="Q1134" s="637">
        <v>14</v>
      </c>
      <c r="R1134" s="806" t="s">
        <v>507</v>
      </c>
      <c r="T1134" s="815" t="s">
        <v>172</v>
      </c>
      <c r="U1134" s="900" t="s">
        <v>1220</v>
      </c>
    </row>
    <row r="1135" spans="1:21" x14ac:dyDescent="0.25">
      <c r="A1135" s="813">
        <v>1599</v>
      </c>
      <c r="B1135" s="813" t="s">
        <v>362</v>
      </c>
      <c r="C1135" s="813" t="s">
        <v>941</v>
      </c>
      <c r="D1135" s="813" t="s">
        <v>13</v>
      </c>
      <c r="E1135" s="813" t="s">
        <v>14</v>
      </c>
      <c r="F1135" s="813" t="s">
        <v>868</v>
      </c>
      <c r="G1135" s="813" t="s">
        <v>868</v>
      </c>
      <c r="H1135" s="819" t="s">
        <v>35</v>
      </c>
      <c r="I1135" s="820" t="s">
        <v>20</v>
      </c>
      <c r="J1135" s="820" t="s">
        <v>428</v>
      </c>
      <c r="L1135" s="821">
        <v>18</v>
      </c>
      <c r="M1135" s="637">
        <v>1642</v>
      </c>
      <c r="N1135" s="637">
        <v>10152.25</v>
      </c>
      <c r="O1135" s="821">
        <v>18</v>
      </c>
      <c r="P1135" s="637">
        <v>1642</v>
      </c>
      <c r="Q1135" s="637">
        <v>10152.25</v>
      </c>
      <c r="R1135" s="813" t="s">
        <v>172</v>
      </c>
      <c r="T1135" s="815" t="s">
        <v>172</v>
      </c>
      <c r="U1135" s="900" t="s">
        <v>1220</v>
      </c>
    </row>
    <row r="1136" spans="1:21" x14ac:dyDescent="0.25">
      <c r="A1136" s="813">
        <v>1600</v>
      </c>
      <c r="B1136" s="813" t="s">
        <v>362</v>
      </c>
      <c r="C1136" s="813" t="s">
        <v>941</v>
      </c>
      <c r="D1136" s="813" t="s">
        <v>13</v>
      </c>
      <c r="E1136" s="813" t="s">
        <v>14</v>
      </c>
      <c r="F1136" s="813" t="s">
        <v>933</v>
      </c>
      <c r="G1136" s="813" t="s">
        <v>933</v>
      </c>
      <c r="H1136" s="819" t="s">
        <v>37</v>
      </c>
      <c r="I1136" s="820" t="s">
        <v>20</v>
      </c>
      <c r="J1136" s="820" t="s">
        <v>428</v>
      </c>
      <c r="L1136" s="821">
        <v>1</v>
      </c>
      <c r="M1136" s="637">
        <v>99</v>
      </c>
      <c r="N1136" s="637">
        <v>1287</v>
      </c>
      <c r="O1136" s="821">
        <v>1</v>
      </c>
      <c r="P1136" s="637">
        <v>99</v>
      </c>
      <c r="Q1136" s="637">
        <v>1287</v>
      </c>
      <c r="R1136" s="813" t="s">
        <v>172</v>
      </c>
      <c r="T1136" s="815">
        <v>13</v>
      </c>
      <c r="U1136" s="900" t="s">
        <v>1220</v>
      </c>
    </row>
    <row r="1137" spans="1:21" x14ac:dyDescent="0.25">
      <c r="A1137" s="813">
        <v>1602</v>
      </c>
      <c r="B1137" s="813" t="s">
        <v>362</v>
      </c>
      <c r="C1137" s="813" t="s">
        <v>943</v>
      </c>
      <c r="D1137" s="813" t="s">
        <v>13</v>
      </c>
      <c r="E1137" s="813" t="s">
        <v>15</v>
      </c>
      <c r="F1137" s="813" t="s">
        <v>863</v>
      </c>
      <c r="G1137" s="813" t="s">
        <v>863</v>
      </c>
      <c r="H1137" s="819" t="s">
        <v>18</v>
      </c>
      <c r="I1137" s="820" t="s">
        <v>15</v>
      </c>
      <c r="J1137" s="820" t="s">
        <v>421</v>
      </c>
      <c r="L1137" s="821">
        <v>9</v>
      </c>
      <c r="M1137" s="637">
        <v>1028</v>
      </c>
      <c r="N1137" s="637">
        <v>5369.5</v>
      </c>
      <c r="O1137" s="821">
        <v>7</v>
      </c>
      <c r="P1137" s="637">
        <v>982</v>
      </c>
      <c r="Q1137" s="637">
        <v>5155.5</v>
      </c>
      <c r="R1137" s="813" t="s">
        <v>172</v>
      </c>
      <c r="T1137" s="815" t="s">
        <v>172</v>
      </c>
      <c r="U1137" s="900" t="s">
        <v>1220</v>
      </c>
    </row>
    <row r="1138" spans="1:21" x14ac:dyDescent="0.25">
      <c r="A1138" s="813">
        <v>1603</v>
      </c>
      <c r="B1138" s="813" t="s">
        <v>362</v>
      </c>
      <c r="C1138" s="813" t="s">
        <v>878</v>
      </c>
      <c r="D1138" s="813" t="s">
        <v>434</v>
      </c>
      <c r="E1138" s="813" t="s">
        <v>244</v>
      </c>
      <c r="F1138" s="813" t="s">
        <v>1020</v>
      </c>
      <c r="G1138" s="813" t="s">
        <v>880</v>
      </c>
      <c r="H1138" s="819" t="s">
        <v>390</v>
      </c>
      <c r="I1138" s="820" t="s">
        <v>20</v>
      </c>
      <c r="J1138" s="820" t="s">
        <v>16</v>
      </c>
      <c r="L1138" s="821">
        <v>32</v>
      </c>
      <c r="M1138" s="637">
        <v>7654</v>
      </c>
      <c r="N1138" s="637">
        <v>85574.5</v>
      </c>
      <c r="O1138" s="821">
        <v>30</v>
      </c>
      <c r="P1138" s="637">
        <v>7607</v>
      </c>
      <c r="Q1138" s="637">
        <v>85153.75</v>
      </c>
      <c r="R1138" s="813" t="s">
        <v>172</v>
      </c>
      <c r="T1138" s="815" t="s">
        <v>172</v>
      </c>
      <c r="U1138" s="899" t="s">
        <v>1219</v>
      </c>
    </row>
    <row r="1139" spans="1:21" x14ac:dyDescent="0.25">
      <c r="A1139" s="813">
        <v>1604</v>
      </c>
      <c r="B1139" s="813" t="s">
        <v>362</v>
      </c>
      <c r="C1139" s="813" t="s">
        <v>878</v>
      </c>
      <c r="D1139" s="813" t="s">
        <v>434</v>
      </c>
      <c r="E1139" s="813" t="s">
        <v>244</v>
      </c>
      <c r="F1139" s="813" t="s">
        <v>879</v>
      </c>
      <c r="G1139" s="813" t="s">
        <v>880</v>
      </c>
      <c r="H1139" s="819" t="s">
        <v>390</v>
      </c>
      <c r="I1139" s="820" t="s">
        <v>20</v>
      </c>
      <c r="J1139" s="820" t="s">
        <v>16</v>
      </c>
      <c r="L1139" s="821">
        <v>18</v>
      </c>
      <c r="M1139" s="637">
        <v>2290</v>
      </c>
      <c r="N1139" s="637">
        <v>26288.5</v>
      </c>
      <c r="O1139" s="821">
        <v>18</v>
      </c>
      <c r="P1139" s="637">
        <v>2290</v>
      </c>
      <c r="Q1139" s="637">
        <v>26288.5</v>
      </c>
      <c r="R1139" s="813" t="s">
        <v>172</v>
      </c>
      <c r="T1139" s="815" t="s">
        <v>172</v>
      </c>
      <c r="U1139" s="899" t="s">
        <v>1219</v>
      </c>
    </row>
    <row r="1140" spans="1:21" x14ac:dyDescent="0.25">
      <c r="A1140" s="813">
        <v>1605</v>
      </c>
      <c r="B1140" s="813" t="s">
        <v>362</v>
      </c>
      <c r="C1140" s="813" t="s">
        <v>878</v>
      </c>
      <c r="D1140" s="813" t="s">
        <v>434</v>
      </c>
      <c r="E1140" s="813" t="s">
        <v>244</v>
      </c>
      <c r="F1140" s="813" t="s">
        <v>881</v>
      </c>
      <c r="G1140" s="813" t="s">
        <v>882</v>
      </c>
      <c r="H1140" s="819" t="s">
        <v>390</v>
      </c>
      <c r="I1140" s="820" t="s">
        <v>20</v>
      </c>
      <c r="J1140" s="820" t="s">
        <v>16</v>
      </c>
      <c r="L1140" s="821">
        <v>24</v>
      </c>
      <c r="M1140" s="637">
        <v>24</v>
      </c>
      <c r="N1140" s="637">
        <v>23.5</v>
      </c>
      <c r="O1140" s="821">
        <v>22</v>
      </c>
      <c r="P1140" s="637">
        <v>22</v>
      </c>
      <c r="Q1140" s="637">
        <v>22</v>
      </c>
      <c r="T1140" s="815" t="s">
        <v>172</v>
      </c>
      <c r="U1140" s="899" t="s">
        <v>1219</v>
      </c>
    </row>
    <row r="1141" spans="1:21" x14ac:dyDescent="0.25">
      <c r="A1141" s="813">
        <v>1606</v>
      </c>
      <c r="B1141" s="813" t="s">
        <v>362</v>
      </c>
      <c r="C1141" s="813" t="s">
        <v>878</v>
      </c>
      <c r="D1141" s="813" t="s">
        <v>434</v>
      </c>
      <c r="E1141" s="813" t="s">
        <v>244</v>
      </c>
      <c r="F1141" s="813" t="s">
        <v>889</v>
      </c>
      <c r="H1141" s="819" t="s">
        <v>390</v>
      </c>
      <c r="I1141" s="820" t="s">
        <v>20</v>
      </c>
      <c r="J1141" s="820" t="s">
        <v>16</v>
      </c>
      <c r="L1141" s="821">
        <v>2</v>
      </c>
      <c r="M1141" s="637">
        <v>2</v>
      </c>
      <c r="N1141" s="637">
        <v>1</v>
      </c>
      <c r="O1141" s="821">
        <v>2</v>
      </c>
      <c r="P1141" s="637">
        <v>2</v>
      </c>
      <c r="Q1141" s="637">
        <v>2</v>
      </c>
      <c r="T1141" s="815" t="s">
        <v>172</v>
      </c>
      <c r="U1141" s="899" t="s">
        <v>1219</v>
      </c>
    </row>
    <row r="1142" spans="1:21" x14ac:dyDescent="0.25">
      <c r="A1142" s="813">
        <v>1607</v>
      </c>
      <c r="B1142" s="813" t="s">
        <v>362</v>
      </c>
      <c r="C1142" s="813" t="s">
        <v>878</v>
      </c>
      <c r="D1142" s="813" t="s">
        <v>434</v>
      </c>
      <c r="E1142" s="813" t="s">
        <v>244</v>
      </c>
      <c r="F1142" s="813" t="s">
        <v>869</v>
      </c>
      <c r="H1142" s="819" t="s">
        <v>390</v>
      </c>
      <c r="I1142" s="820" t="s">
        <v>20</v>
      </c>
      <c r="J1142" s="820" t="s">
        <v>16</v>
      </c>
      <c r="L1142" s="821">
        <v>3</v>
      </c>
      <c r="M1142" s="637">
        <v>3</v>
      </c>
      <c r="N1142" s="637">
        <v>3</v>
      </c>
      <c r="O1142" s="821">
        <v>3</v>
      </c>
      <c r="P1142" s="637">
        <v>3</v>
      </c>
      <c r="Q1142" s="637">
        <v>3</v>
      </c>
      <c r="T1142" s="815" t="s">
        <v>172</v>
      </c>
      <c r="U1142" s="899" t="s">
        <v>1219</v>
      </c>
    </row>
    <row r="1143" spans="1:21" x14ac:dyDescent="0.25">
      <c r="A1143" s="813">
        <v>1608</v>
      </c>
      <c r="B1143" s="813" t="s">
        <v>362</v>
      </c>
      <c r="C1143" s="813" t="s">
        <v>878</v>
      </c>
      <c r="D1143" s="813" t="s">
        <v>434</v>
      </c>
      <c r="E1143" s="813" t="s">
        <v>244</v>
      </c>
      <c r="F1143" s="813" t="s">
        <v>883</v>
      </c>
      <c r="G1143" s="813" t="s">
        <v>882</v>
      </c>
      <c r="H1143" s="819" t="s">
        <v>390</v>
      </c>
      <c r="I1143" s="820" t="s">
        <v>20</v>
      </c>
      <c r="J1143" s="820" t="s">
        <v>16</v>
      </c>
      <c r="L1143" s="821">
        <v>21</v>
      </c>
      <c r="M1143" s="637">
        <v>28</v>
      </c>
      <c r="N1143" s="637">
        <v>27.5</v>
      </c>
      <c r="O1143" s="821">
        <v>21</v>
      </c>
      <c r="P1143" s="637">
        <v>28</v>
      </c>
      <c r="Q1143" s="637">
        <v>28</v>
      </c>
      <c r="T1143" s="815" t="s">
        <v>172</v>
      </c>
      <c r="U1143" s="899" t="s">
        <v>1219</v>
      </c>
    </row>
    <row r="1144" spans="1:21" x14ac:dyDescent="0.25">
      <c r="A1144" s="813">
        <v>1609</v>
      </c>
      <c r="B1144" s="813" t="s">
        <v>362</v>
      </c>
      <c r="C1144" s="813" t="s">
        <v>492</v>
      </c>
      <c r="D1144" s="813" t="s">
        <v>16</v>
      </c>
      <c r="E1144" s="813" t="s">
        <v>82</v>
      </c>
      <c r="F1144" s="813" t="s">
        <v>885</v>
      </c>
      <c r="H1144" s="819" t="s">
        <v>374</v>
      </c>
      <c r="I1144" s="820" t="s">
        <v>20</v>
      </c>
      <c r="J1144" s="820" t="s">
        <v>248</v>
      </c>
      <c r="L1144" s="821">
        <v>5</v>
      </c>
      <c r="M1144" s="637">
        <v>17</v>
      </c>
      <c r="N1144" s="637">
        <v>55.75</v>
      </c>
      <c r="O1144" s="821">
        <v>4</v>
      </c>
      <c r="P1144" s="637">
        <v>16</v>
      </c>
      <c r="Q1144" s="637">
        <v>50.75</v>
      </c>
      <c r="R1144" s="813" t="s">
        <v>172</v>
      </c>
      <c r="T1144" s="815" t="s">
        <v>172</v>
      </c>
      <c r="U1144" s="899" t="s">
        <v>1219</v>
      </c>
    </row>
    <row r="1145" spans="1:21" x14ac:dyDescent="0.25">
      <c r="A1145" s="813">
        <v>1610</v>
      </c>
      <c r="B1145" s="813" t="s">
        <v>362</v>
      </c>
      <c r="C1145" s="813" t="s">
        <v>1143</v>
      </c>
      <c r="D1145" s="813" t="s">
        <v>495</v>
      </c>
      <c r="E1145" s="813" t="s">
        <v>82</v>
      </c>
      <c r="F1145" s="813" t="s">
        <v>1144</v>
      </c>
      <c r="H1145" s="819" t="s">
        <v>391</v>
      </c>
      <c r="I1145" s="820" t="s">
        <v>20</v>
      </c>
      <c r="J1145" s="820" t="s">
        <v>16</v>
      </c>
      <c r="K1145" s="813" t="s">
        <v>13</v>
      </c>
      <c r="L1145" s="821">
        <v>1</v>
      </c>
      <c r="M1145" s="637">
        <v>10</v>
      </c>
      <c r="N1145" s="637">
        <v>29.5</v>
      </c>
      <c r="O1145" s="821">
        <v>1</v>
      </c>
      <c r="P1145" s="637">
        <v>10</v>
      </c>
      <c r="Q1145" s="637">
        <v>29.5</v>
      </c>
      <c r="R1145" s="813" t="s">
        <v>172</v>
      </c>
      <c r="T1145" s="815" t="s">
        <v>172</v>
      </c>
      <c r="U1145" s="899" t="s">
        <v>1219</v>
      </c>
    </row>
    <row r="1146" spans="1:21" x14ac:dyDescent="0.25">
      <c r="A1146" s="813">
        <v>1611</v>
      </c>
      <c r="B1146" s="813" t="s">
        <v>362</v>
      </c>
      <c r="C1146" s="813" t="s">
        <v>1143</v>
      </c>
      <c r="D1146" s="813" t="s">
        <v>495</v>
      </c>
      <c r="E1146" s="813" t="s">
        <v>82</v>
      </c>
      <c r="F1146" s="813" t="s">
        <v>885</v>
      </c>
      <c r="H1146" s="819" t="s">
        <v>391</v>
      </c>
      <c r="I1146" s="820" t="s">
        <v>20</v>
      </c>
      <c r="J1146" s="820" t="s">
        <v>16</v>
      </c>
      <c r="K1146" s="813" t="s">
        <v>13</v>
      </c>
      <c r="L1146" s="821">
        <v>1</v>
      </c>
      <c r="M1146" s="637">
        <v>2</v>
      </c>
      <c r="N1146" s="637">
        <v>5.5</v>
      </c>
      <c r="O1146" s="821">
        <v>1</v>
      </c>
      <c r="P1146" s="637">
        <v>2</v>
      </c>
      <c r="Q1146" s="637">
        <v>5.5</v>
      </c>
      <c r="R1146" s="813" t="s">
        <v>172</v>
      </c>
      <c r="T1146" s="815" t="s">
        <v>172</v>
      </c>
      <c r="U1146" s="899" t="s">
        <v>1219</v>
      </c>
    </row>
    <row r="1147" spans="1:21" x14ac:dyDescent="0.25">
      <c r="A1147" s="813">
        <v>1612</v>
      </c>
      <c r="B1147" s="813" t="s">
        <v>362</v>
      </c>
      <c r="C1147" s="813" t="s">
        <v>1143</v>
      </c>
      <c r="D1147" s="813" t="s">
        <v>495</v>
      </c>
      <c r="E1147" s="813" t="s">
        <v>82</v>
      </c>
      <c r="F1147" s="813" t="s">
        <v>888</v>
      </c>
      <c r="G1147" s="813" t="s">
        <v>891</v>
      </c>
      <c r="H1147" s="819" t="s">
        <v>391</v>
      </c>
      <c r="I1147" s="820" t="s">
        <v>20</v>
      </c>
      <c r="J1147" s="820" t="s">
        <v>16</v>
      </c>
      <c r="K1147" s="813" t="s">
        <v>13</v>
      </c>
      <c r="L1147" s="821">
        <v>1</v>
      </c>
      <c r="M1147" s="637">
        <v>1</v>
      </c>
      <c r="N1147" s="637">
        <v>0.5</v>
      </c>
      <c r="O1147" s="821">
        <v>1</v>
      </c>
      <c r="P1147" s="637">
        <v>1</v>
      </c>
      <c r="Q1147" s="637">
        <v>0.5</v>
      </c>
      <c r="R1147" s="813" t="s">
        <v>172</v>
      </c>
      <c r="T1147" s="815" t="s">
        <v>172</v>
      </c>
      <c r="U1147" s="899" t="s">
        <v>1219</v>
      </c>
    </row>
    <row r="1148" spans="1:21" x14ac:dyDescent="0.25">
      <c r="A1148" s="813">
        <v>1613</v>
      </c>
      <c r="B1148" s="813" t="s">
        <v>362</v>
      </c>
      <c r="C1148" s="813" t="s">
        <v>464</v>
      </c>
      <c r="D1148" s="813" t="s">
        <v>13</v>
      </c>
      <c r="E1148" s="813" t="s">
        <v>13</v>
      </c>
      <c r="F1148" s="813" t="s">
        <v>1025</v>
      </c>
      <c r="H1148" s="819" t="s">
        <v>391</v>
      </c>
      <c r="I1148" s="820" t="s">
        <v>20</v>
      </c>
      <c r="J1148" s="820" t="s">
        <v>16</v>
      </c>
      <c r="K1148" s="813" t="s">
        <v>13</v>
      </c>
      <c r="L1148" s="821">
        <v>9</v>
      </c>
      <c r="M1148" s="637">
        <v>335</v>
      </c>
      <c r="N1148" s="637">
        <v>2070.75</v>
      </c>
      <c r="O1148" s="821">
        <v>7</v>
      </c>
      <c r="P1148" s="637">
        <v>299</v>
      </c>
      <c r="Q1148" s="637">
        <v>1914</v>
      </c>
      <c r="R1148" s="813" t="s">
        <v>172</v>
      </c>
      <c r="T1148" s="815" t="s">
        <v>172</v>
      </c>
      <c r="U1148" s="899" t="s">
        <v>1219</v>
      </c>
    </row>
    <row r="1149" spans="1:21" x14ac:dyDescent="0.25">
      <c r="A1149" s="813">
        <v>1614</v>
      </c>
      <c r="B1149" s="813" t="s">
        <v>362</v>
      </c>
      <c r="C1149" s="813" t="s">
        <v>464</v>
      </c>
      <c r="D1149" s="813" t="s">
        <v>13</v>
      </c>
      <c r="E1149" s="813" t="s">
        <v>13</v>
      </c>
      <c r="F1149" s="813" t="s">
        <v>948</v>
      </c>
      <c r="G1149" s="813" t="s">
        <v>949</v>
      </c>
      <c r="H1149" s="819" t="s">
        <v>391</v>
      </c>
      <c r="I1149" s="820" t="s">
        <v>20</v>
      </c>
      <c r="J1149" s="820" t="s">
        <v>16</v>
      </c>
      <c r="K1149" s="813" t="s">
        <v>13</v>
      </c>
      <c r="L1149" s="821">
        <v>1</v>
      </c>
      <c r="M1149" s="637">
        <v>276</v>
      </c>
      <c r="N1149" s="637">
        <v>1359.25</v>
      </c>
      <c r="O1149" s="821">
        <v>1</v>
      </c>
      <c r="P1149" s="637">
        <v>276</v>
      </c>
      <c r="Q1149" s="637">
        <v>1359.25</v>
      </c>
      <c r="R1149" s="813" t="s">
        <v>172</v>
      </c>
      <c r="T1149" s="815" t="s">
        <v>172</v>
      </c>
      <c r="U1149" s="899" t="s">
        <v>1219</v>
      </c>
    </row>
    <row r="1150" spans="1:21" x14ac:dyDescent="0.25">
      <c r="A1150" s="813">
        <v>1615</v>
      </c>
      <c r="B1150" s="813" t="s">
        <v>362</v>
      </c>
      <c r="C1150" s="813" t="s">
        <v>248</v>
      </c>
      <c r="D1150" s="813" t="s">
        <v>16</v>
      </c>
      <c r="E1150" s="813" t="s">
        <v>884</v>
      </c>
      <c r="F1150" s="813" t="s">
        <v>885</v>
      </c>
      <c r="H1150" s="819" t="s">
        <v>374</v>
      </c>
      <c r="I1150" s="820" t="s">
        <v>20</v>
      </c>
      <c r="J1150" s="820" t="s">
        <v>248</v>
      </c>
      <c r="L1150" s="821">
        <v>2</v>
      </c>
      <c r="M1150" s="637">
        <v>16</v>
      </c>
      <c r="N1150" s="637">
        <v>66</v>
      </c>
      <c r="O1150" s="821">
        <v>2</v>
      </c>
      <c r="P1150" s="637">
        <v>16</v>
      </c>
      <c r="Q1150" s="637">
        <v>66</v>
      </c>
      <c r="R1150" s="813" t="s">
        <v>172</v>
      </c>
      <c r="T1150" s="815" t="s">
        <v>172</v>
      </c>
      <c r="U1150" s="899" t="s">
        <v>1219</v>
      </c>
    </row>
    <row r="1151" spans="1:21" x14ac:dyDescent="0.25">
      <c r="A1151" s="813">
        <v>1616</v>
      </c>
      <c r="B1151" s="813" t="s">
        <v>362</v>
      </c>
      <c r="C1151" s="813" t="s">
        <v>491</v>
      </c>
      <c r="D1151" s="813" t="s">
        <v>13</v>
      </c>
      <c r="E1151" s="813" t="s">
        <v>13</v>
      </c>
      <c r="F1151" s="813" t="s">
        <v>877</v>
      </c>
      <c r="G1151" s="813" t="s">
        <v>860</v>
      </c>
      <c r="H1151" s="819" t="s">
        <v>391</v>
      </c>
      <c r="I1151" s="820" t="s">
        <v>20</v>
      </c>
      <c r="J1151" s="820" t="s">
        <v>16</v>
      </c>
      <c r="K1151" s="813" t="s">
        <v>13</v>
      </c>
      <c r="L1151" s="821">
        <v>9</v>
      </c>
      <c r="M1151" s="637">
        <v>62</v>
      </c>
      <c r="N1151" s="637">
        <v>236.75</v>
      </c>
      <c r="O1151" s="821">
        <v>7</v>
      </c>
      <c r="P1151" s="637">
        <v>52</v>
      </c>
      <c r="Q1151" s="637">
        <v>197.75</v>
      </c>
      <c r="R1151" s="813" t="s">
        <v>172</v>
      </c>
      <c r="T1151" s="815" t="s">
        <v>172</v>
      </c>
      <c r="U1151" s="899" t="s">
        <v>1219</v>
      </c>
    </row>
    <row r="1152" spans="1:21" x14ac:dyDescent="0.25">
      <c r="A1152" s="813">
        <v>1617</v>
      </c>
      <c r="B1152" s="813" t="s">
        <v>362</v>
      </c>
      <c r="C1152" s="813" t="s">
        <v>950</v>
      </c>
      <c r="D1152" s="813" t="s">
        <v>16</v>
      </c>
      <c r="F1152" s="813" t="s">
        <v>951</v>
      </c>
      <c r="G1152" s="813" t="s">
        <v>952</v>
      </c>
      <c r="H1152" s="819" t="s">
        <v>391</v>
      </c>
      <c r="I1152" s="820" t="s">
        <v>20</v>
      </c>
      <c r="J1152" s="820" t="s">
        <v>16</v>
      </c>
      <c r="K1152" s="813" t="s">
        <v>13</v>
      </c>
      <c r="L1152" s="821">
        <v>1</v>
      </c>
      <c r="M1152" s="637">
        <v>1</v>
      </c>
      <c r="N1152" s="637">
        <v>4</v>
      </c>
      <c r="O1152" s="821">
        <v>1</v>
      </c>
      <c r="P1152" s="637">
        <v>1</v>
      </c>
      <c r="Q1152" s="637">
        <v>4</v>
      </c>
      <c r="R1152" s="813" t="s">
        <v>172</v>
      </c>
      <c r="T1152" s="815" t="s">
        <v>172</v>
      </c>
      <c r="U1152" s="899" t="s">
        <v>1219</v>
      </c>
    </row>
    <row r="1153" spans="1:21" x14ac:dyDescent="0.25">
      <c r="A1153" s="813">
        <v>1618</v>
      </c>
      <c r="B1153" s="813" t="s">
        <v>362</v>
      </c>
      <c r="C1153" s="813" t="s">
        <v>953</v>
      </c>
      <c r="D1153" s="813" t="s">
        <v>16</v>
      </c>
      <c r="E1153" s="813" t="s">
        <v>14</v>
      </c>
      <c r="F1153" s="813" t="s">
        <v>868</v>
      </c>
      <c r="G1153" s="813" t="s">
        <v>868</v>
      </c>
      <c r="H1153" s="819" t="s">
        <v>35</v>
      </c>
      <c r="I1153" s="820" t="s">
        <v>20</v>
      </c>
      <c r="J1153" s="820" t="s">
        <v>428</v>
      </c>
      <c r="L1153" s="821">
        <v>1</v>
      </c>
      <c r="M1153" s="637">
        <v>114</v>
      </c>
      <c r="N1153" s="637">
        <v>1312.5</v>
      </c>
      <c r="O1153" s="821">
        <v>1</v>
      </c>
      <c r="P1153" s="637">
        <v>114</v>
      </c>
      <c r="Q1153" s="637">
        <v>1312.5</v>
      </c>
      <c r="R1153" s="813" t="s">
        <v>172</v>
      </c>
      <c r="T1153" s="815" t="s">
        <v>172</v>
      </c>
      <c r="U1153" s="900" t="s">
        <v>1220</v>
      </c>
    </row>
    <row r="1154" spans="1:21" x14ac:dyDescent="0.25">
      <c r="A1154" s="813">
        <v>1621</v>
      </c>
      <c r="B1154" s="813" t="s">
        <v>362</v>
      </c>
      <c r="C1154" s="813" t="s">
        <v>954</v>
      </c>
      <c r="D1154" s="813" t="s">
        <v>16</v>
      </c>
      <c r="E1154" s="813" t="s">
        <v>15</v>
      </c>
      <c r="F1154" s="813" t="s">
        <v>863</v>
      </c>
      <c r="G1154" s="813" t="s">
        <v>863</v>
      </c>
      <c r="H1154" s="819" t="s">
        <v>18</v>
      </c>
      <c r="I1154" s="820" t="s">
        <v>15</v>
      </c>
      <c r="J1154" s="820" t="s">
        <v>421</v>
      </c>
      <c r="L1154" s="821">
        <v>3</v>
      </c>
      <c r="M1154" s="637">
        <v>478</v>
      </c>
      <c r="N1154" s="637">
        <v>3086.5</v>
      </c>
      <c r="O1154" s="821">
        <v>3</v>
      </c>
      <c r="P1154" s="637">
        <v>478</v>
      </c>
      <c r="Q1154" s="637">
        <v>3086.5</v>
      </c>
      <c r="R1154" s="813" t="s">
        <v>172</v>
      </c>
      <c r="T1154" s="815" t="s">
        <v>172</v>
      </c>
      <c r="U1154" s="900" t="s">
        <v>1220</v>
      </c>
    </row>
    <row r="1155" spans="1:21" x14ac:dyDescent="0.25">
      <c r="A1155" s="813">
        <v>1623</v>
      </c>
      <c r="B1155" s="813" t="s">
        <v>362</v>
      </c>
      <c r="C1155" s="813" t="s">
        <v>955</v>
      </c>
      <c r="D1155" s="813" t="s">
        <v>495</v>
      </c>
      <c r="E1155" s="813" t="s">
        <v>15</v>
      </c>
      <c r="F1155" s="813" t="s">
        <v>898</v>
      </c>
      <c r="G1155" s="813" t="s">
        <v>863</v>
      </c>
      <c r="H1155" s="819" t="s">
        <v>18</v>
      </c>
      <c r="I1155" s="820" t="s">
        <v>15</v>
      </c>
      <c r="J1155" s="820" t="s">
        <v>421</v>
      </c>
      <c r="L1155" s="821">
        <v>7</v>
      </c>
      <c r="M1155" s="637">
        <v>351</v>
      </c>
      <c r="N1155" s="637">
        <v>1683.5</v>
      </c>
      <c r="O1155" s="821">
        <v>7</v>
      </c>
      <c r="P1155" s="637">
        <v>351</v>
      </c>
      <c r="Q1155" s="637">
        <v>1683.5</v>
      </c>
      <c r="R1155" s="813" t="s">
        <v>172</v>
      </c>
      <c r="T1155" s="815" t="s">
        <v>172</v>
      </c>
      <c r="U1155" s="900" t="s">
        <v>1220</v>
      </c>
    </row>
    <row r="1156" spans="1:21" x14ac:dyDescent="0.25">
      <c r="A1156" s="813">
        <v>1624</v>
      </c>
      <c r="B1156" s="813" t="s">
        <v>362</v>
      </c>
      <c r="C1156" s="813" t="s">
        <v>955</v>
      </c>
      <c r="D1156" s="813" t="s">
        <v>495</v>
      </c>
      <c r="E1156" s="813" t="s">
        <v>15</v>
      </c>
      <c r="F1156" s="813" t="s">
        <v>956</v>
      </c>
      <c r="G1156" s="813" t="s">
        <v>957</v>
      </c>
      <c r="H1156" s="819" t="s">
        <v>44</v>
      </c>
      <c r="I1156" s="820" t="s">
        <v>15</v>
      </c>
      <c r="J1156" s="820" t="s">
        <v>421</v>
      </c>
      <c r="L1156" s="821">
        <v>2</v>
      </c>
      <c r="M1156" s="637">
        <v>28</v>
      </c>
      <c r="N1156" s="637">
        <v>224</v>
      </c>
      <c r="O1156" s="821">
        <v>2</v>
      </c>
      <c r="P1156" s="637">
        <v>28</v>
      </c>
      <c r="Q1156" s="637">
        <v>224</v>
      </c>
      <c r="R1156" s="813" t="s">
        <v>172</v>
      </c>
      <c r="T1156" s="815" t="s">
        <v>172</v>
      </c>
      <c r="U1156" s="900" t="s">
        <v>1220</v>
      </c>
    </row>
    <row r="1157" spans="1:21" x14ac:dyDescent="0.25">
      <c r="A1157" s="813">
        <v>1625</v>
      </c>
      <c r="B1157" s="813" t="s">
        <v>362</v>
      </c>
      <c r="C1157" s="813" t="s">
        <v>958</v>
      </c>
      <c r="D1157" s="813" t="s">
        <v>14</v>
      </c>
      <c r="E1157" s="813" t="s">
        <v>14</v>
      </c>
      <c r="F1157" s="813" t="s">
        <v>885</v>
      </c>
      <c r="G1157" s="813" t="s">
        <v>868</v>
      </c>
      <c r="H1157" s="819" t="s">
        <v>35</v>
      </c>
      <c r="I1157" s="820" t="s">
        <v>20</v>
      </c>
      <c r="J1157" s="820" t="s">
        <v>428</v>
      </c>
      <c r="L1157" s="821">
        <v>13</v>
      </c>
      <c r="M1157" s="637">
        <v>520</v>
      </c>
      <c r="N1157" s="637">
        <v>2340.25</v>
      </c>
      <c r="O1157" s="821">
        <v>13</v>
      </c>
      <c r="P1157" s="637">
        <v>520</v>
      </c>
      <c r="Q1157" s="637">
        <v>2340.25</v>
      </c>
      <c r="R1157" s="813" t="s">
        <v>172</v>
      </c>
      <c r="T1157" s="815" t="s">
        <v>172</v>
      </c>
      <c r="U1157" s="900" t="s">
        <v>1220</v>
      </c>
    </row>
    <row r="1158" spans="1:21" x14ac:dyDescent="0.25">
      <c r="A1158" s="813">
        <v>1626</v>
      </c>
      <c r="B1158" s="813" t="s">
        <v>362</v>
      </c>
      <c r="C1158" s="813" t="s">
        <v>958</v>
      </c>
      <c r="D1158" s="813" t="s">
        <v>14</v>
      </c>
      <c r="E1158" s="813" t="s">
        <v>14</v>
      </c>
      <c r="F1158" s="813" t="s">
        <v>885</v>
      </c>
      <c r="G1158" s="813" t="s">
        <v>965</v>
      </c>
      <c r="H1158" s="819" t="s">
        <v>35</v>
      </c>
      <c r="I1158" s="820" t="s">
        <v>20</v>
      </c>
      <c r="J1158" s="820" t="s">
        <v>428</v>
      </c>
      <c r="L1158" s="821">
        <v>3</v>
      </c>
      <c r="M1158" s="637">
        <v>46</v>
      </c>
      <c r="N1158" s="637">
        <v>231</v>
      </c>
      <c r="O1158" s="821">
        <v>3</v>
      </c>
      <c r="P1158" s="637">
        <v>46</v>
      </c>
      <c r="Q1158" s="637">
        <v>231</v>
      </c>
      <c r="R1158" s="813" t="s">
        <v>172</v>
      </c>
      <c r="T1158" s="815" t="s">
        <v>172</v>
      </c>
      <c r="U1158" s="900" t="s">
        <v>1220</v>
      </c>
    </row>
    <row r="1159" spans="1:21" x14ac:dyDescent="0.25">
      <c r="A1159" s="813">
        <v>1627</v>
      </c>
      <c r="B1159" s="813" t="s">
        <v>362</v>
      </c>
      <c r="C1159" s="813" t="s">
        <v>958</v>
      </c>
      <c r="D1159" s="813" t="s">
        <v>14</v>
      </c>
      <c r="E1159" s="813" t="s">
        <v>14</v>
      </c>
      <c r="F1159" s="813" t="s">
        <v>970</v>
      </c>
      <c r="G1159" s="813" t="s">
        <v>965</v>
      </c>
      <c r="H1159" s="819" t="s">
        <v>35</v>
      </c>
      <c r="I1159" s="820" t="s">
        <v>20</v>
      </c>
      <c r="J1159" s="820" t="s">
        <v>428</v>
      </c>
      <c r="L1159" s="821">
        <v>5</v>
      </c>
      <c r="M1159" s="637">
        <v>70</v>
      </c>
      <c r="N1159" s="637">
        <v>318.75</v>
      </c>
      <c r="O1159" s="821">
        <v>5</v>
      </c>
      <c r="P1159" s="637">
        <v>70</v>
      </c>
      <c r="Q1159" s="637">
        <v>318.75</v>
      </c>
      <c r="R1159" s="813" t="s">
        <v>172</v>
      </c>
      <c r="T1159" s="815" t="s">
        <v>172</v>
      </c>
      <c r="U1159" s="900" t="s">
        <v>1220</v>
      </c>
    </row>
    <row r="1160" spans="1:21" x14ac:dyDescent="0.25">
      <c r="A1160" s="813">
        <v>1628</v>
      </c>
      <c r="B1160" s="813" t="s">
        <v>362</v>
      </c>
      <c r="C1160" s="813" t="s">
        <v>958</v>
      </c>
      <c r="D1160" s="813" t="s">
        <v>14</v>
      </c>
      <c r="E1160" s="813" t="s">
        <v>14</v>
      </c>
      <c r="F1160" s="813" t="s">
        <v>889</v>
      </c>
      <c r="H1160" s="819" t="s">
        <v>39</v>
      </c>
      <c r="I1160" s="820" t="s">
        <v>20</v>
      </c>
      <c r="J1160" s="820" t="s">
        <v>428</v>
      </c>
      <c r="L1160" s="821">
        <v>1</v>
      </c>
      <c r="M1160" s="637">
        <v>1</v>
      </c>
      <c r="N1160" s="637">
        <v>1</v>
      </c>
      <c r="O1160" s="821">
        <v>1</v>
      </c>
      <c r="P1160" s="637">
        <v>1</v>
      </c>
      <c r="Q1160" s="637">
        <v>1</v>
      </c>
      <c r="R1160" s="806" t="s">
        <v>507</v>
      </c>
      <c r="T1160" s="815" t="s">
        <v>172</v>
      </c>
      <c r="U1160" s="900" t="s">
        <v>1220</v>
      </c>
    </row>
    <row r="1161" spans="1:21" x14ac:dyDescent="0.25">
      <c r="A1161" s="813">
        <v>1629</v>
      </c>
      <c r="B1161" s="813" t="s">
        <v>362</v>
      </c>
      <c r="C1161" s="813" t="s">
        <v>958</v>
      </c>
      <c r="D1161" s="813" t="s">
        <v>14</v>
      </c>
      <c r="E1161" s="813" t="s">
        <v>14</v>
      </c>
      <c r="F1161" s="813" t="s">
        <v>971</v>
      </c>
      <c r="G1161" s="813" t="s">
        <v>903</v>
      </c>
      <c r="H1161" s="819" t="s">
        <v>38</v>
      </c>
      <c r="I1161" s="820" t="s">
        <v>20</v>
      </c>
      <c r="J1161" s="820" t="s">
        <v>428</v>
      </c>
      <c r="L1161" s="821">
        <v>10</v>
      </c>
      <c r="M1161" s="637">
        <v>10</v>
      </c>
      <c r="N1161" s="637">
        <v>10</v>
      </c>
      <c r="O1161" s="821">
        <v>10</v>
      </c>
      <c r="P1161" s="637">
        <v>10</v>
      </c>
      <c r="Q1161" s="637">
        <v>10</v>
      </c>
      <c r="R1161" s="813" t="s">
        <v>529</v>
      </c>
      <c r="T1161" s="815" t="s">
        <v>172</v>
      </c>
      <c r="U1161" s="900" t="s">
        <v>1220</v>
      </c>
    </row>
    <row r="1162" spans="1:21" x14ac:dyDescent="0.25">
      <c r="A1162" s="813">
        <v>1630</v>
      </c>
      <c r="B1162" s="813" t="s">
        <v>362</v>
      </c>
      <c r="C1162" s="813" t="s">
        <v>906</v>
      </c>
      <c r="D1162" s="813" t="s">
        <v>14</v>
      </c>
      <c r="E1162" s="813" t="s">
        <v>14</v>
      </c>
      <c r="F1162" s="813" t="s">
        <v>889</v>
      </c>
      <c r="H1162" s="819" t="s">
        <v>39</v>
      </c>
      <c r="I1162" s="820" t="s">
        <v>20</v>
      </c>
      <c r="J1162" s="820" t="s">
        <v>428</v>
      </c>
      <c r="L1162" s="821">
        <v>5</v>
      </c>
      <c r="M1162" s="637">
        <v>6</v>
      </c>
      <c r="N1162" s="637">
        <v>6</v>
      </c>
      <c r="O1162" s="821">
        <v>5</v>
      </c>
      <c r="P1162" s="637">
        <v>6</v>
      </c>
      <c r="Q1162" s="637">
        <v>6</v>
      </c>
      <c r="R1162" s="806" t="s">
        <v>507</v>
      </c>
      <c r="T1162" s="815" t="s">
        <v>172</v>
      </c>
      <c r="U1162" s="900" t="s">
        <v>1220</v>
      </c>
    </row>
    <row r="1163" spans="1:21" x14ac:dyDescent="0.25">
      <c r="A1163" s="813">
        <v>1631</v>
      </c>
      <c r="B1163" s="813" t="s">
        <v>362</v>
      </c>
      <c r="C1163" s="813" t="s">
        <v>906</v>
      </c>
      <c r="D1163" s="813" t="s">
        <v>14</v>
      </c>
      <c r="E1163" s="813" t="s">
        <v>14</v>
      </c>
      <c r="F1163" s="813" t="s">
        <v>869</v>
      </c>
      <c r="H1163" s="819" t="s">
        <v>39</v>
      </c>
      <c r="I1163" s="820" t="s">
        <v>20</v>
      </c>
      <c r="J1163" s="820" t="s">
        <v>428</v>
      </c>
      <c r="L1163" s="821">
        <v>30</v>
      </c>
      <c r="M1163" s="637">
        <v>30</v>
      </c>
      <c r="N1163" s="637">
        <v>30</v>
      </c>
      <c r="O1163" s="821">
        <v>24</v>
      </c>
      <c r="P1163" s="637">
        <v>24</v>
      </c>
      <c r="Q1163" s="637">
        <v>24</v>
      </c>
      <c r="R1163" s="806" t="s">
        <v>507</v>
      </c>
      <c r="T1163" s="815" t="s">
        <v>172</v>
      </c>
      <c r="U1163" s="900" t="s">
        <v>1220</v>
      </c>
    </row>
    <row r="1164" spans="1:21" x14ac:dyDescent="0.25">
      <c r="A1164" s="813">
        <v>1632</v>
      </c>
      <c r="B1164" s="813" t="s">
        <v>362</v>
      </c>
      <c r="C1164" s="813" t="s">
        <v>906</v>
      </c>
      <c r="D1164" s="813" t="s">
        <v>14</v>
      </c>
      <c r="E1164" s="813" t="s">
        <v>14</v>
      </c>
      <c r="F1164" s="813" t="s">
        <v>875</v>
      </c>
      <c r="H1164" s="819" t="s">
        <v>39</v>
      </c>
      <c r="I1164" s="820" t="s">
        <v>20</v>
      </c>
      <c r="J1164" s="820" t="s">
        <v>428</v>
      </c>
      <c r="L1164" s="821">
        <v>12</v>
      </c>
      <c r="M1164" s="637">
        <v>16</v>
      </c>
      <c r="N1164" s="637">
        <v>16</v>
      </c>
      <c r="O1164" s="821">
        <v>12</v>
      </c>
      <c r="P1164" s="637">
        <v>16</v>
      </c>
      <c r="Q1164" s="637">
        <v>16</v>
      </c>
      <c r="R1164" s="806" t="s">
        <v>507</v>
      </c>
      <c r="T1164" s="815" t="s">
        <v>172</v>
      </c>
      <c r="U1164" s="900" t="s">
        <v>1220</v>
      </c>
    </row>
    <row r="1165" spans="1:21" x14ac:dyDescent="0.25">
      <c r="A1165" s="813">
        <v>1633</v>
      </c>
      <c r="B1165" s="813" t="s">
        <v>362</v>
      </c>
      <c r="C1165" s="813" t="s">
        <v>906</v>
      </c>
      <c r="D1165" s="813" t="s">
        <v>14</v>
      </c>
      <c r="E1165" s="813" t="s">
        <v>14</v>
      </c>
      <c r="F1165" s="813" t="s">
        <v>972</v>
      </c>
      <c r="G1165" s="813" t="s">
        <v>868</v>
      </c>
      <c r="H1165" s="819" t="s">
        <v>35</v>
      </c>
      <c r="I1165" s="820" t="s">
        <v>20</v>
      </c>
      <c r="J1165" s="820" t="s">
        <v>428</v>
      </c>
      <c r="L1165" s="821">
        <v>1</v>
      </c>
      <c r="M1165" s="637">
        <v>53</v>
      </c>
      <c r="N1165" s="637">
        <v>220</v>
      </c>
      <c r="O1165" s="821">
        <v>1</v>
      </c>
      <c r="P1165" s="637">
        <v>53</v>
      </c>
      <c r="Q1165" s="637">
        <v>220</v>
      </c>
      <c r="R1165" s="813" t="s">
        <v>172</v>
      </c>
      <c r="T1165" s="815" t="s">
        <v>172</v>
      </c>
      <c r="U1165" s="900" t="s">
        <v>1220</v>
      </c>
    </row>
    <row r="1166" spans="1:21" x14ac:dyDescent="0.25">
      <c r="A1166" s="813">
        <v>1634</v>
      </c>
      <c r="B1166" s="813" t="s">
        <v>362</v>
      </c>
      <c r="C1166" s="813" t="s">
        <v>906</v>
      </c>
      <c r="D1166" s="813" t="s">
        <v>14</v>
      </c>
      <c r="E1166" s="813" t="s">
        <v>14</v>
      </c>
      <c r="F1166" s="813" t="s">
        <v>1145</v>
      </c>
      <c r="G1166" s="813" t="s">
        <v>868</v>
      </c>
      <c r="H1166" s="819" t="s">
        <v>35</v>
      </c>
      <c r="I1166" s="820" t="s">
        <v>20</v>
      </c>
      <c r="J1166" s="820" t="s">
        <v>428</v>
      </c>
      <c r="L1166" s="821">
        <v>35</v>
      </c>
      <c r="M1166" s="637">
        <v>2045</v>
      </c>
      <c r="N1166" s="637">
        <v>14270.5</v>
      </c>
      <c r="O1166" s="821">
        <v>30</v>
      </c>
      <c r="P1166" s="637">
        <v>1986</v>
      </c>
      <c r="Q1166" s="637">
        <v>13964.5</v>
      </c>
      <c r="R1166" s="813" t="s">
        <v>172</v>
      </c>
      <c r="T1166" s="815" t="s">
        <v>172</v>
      </c>
      <c r="U1166" s="900" t="s">
        <v>1220</v>
      </c>
    </row>
    <row r="1167" spans="1:21" x14ac:dyDescent="0.25">
      <c r="A1167" s="813">
        <v>1635</v>
      </c>
      <c r="B1167" s="813" t="s">
        <v>362</v>
      </c>
      <c r="C1167" s="813" t="s">
        <v>906</v>
      </c>
      <c r="D1167" s="813" t="s">
        <v>14</v>
      </c>
      <c r="E1167" s="813" t="s">
        <v>14</v>
      </c>
      <c r="F1167" s="813" t="s">
        <v>1146</v>
      </c>
      <c r="G1167" s="813" t="s">
        <v>967</v>
      </c>
      <c r="H1167" s="819" t="s">
        <v>41</v>
      </c>
      <c r="I1167" s="820" t="s">
        <v>20</v>
      </c>
      <c r="J1167" s="820" t="s">
        <v>428</v>
      </c>
      <c r="L1167" s="821">
        <v>4</v>
      </c>
      <c r="M1167" s="637">
        <v>116</v>
      </c>
      <c r="N1167" s="637">
        <v>441</v>
      </c>
      <c r="O1167" s="821">
        <v>4</v>
      </c>
      <c r="P1167" s="637">
        <v>116</v>
      </c>
      <c r="Q1167" s="637">
        <v>441</v>
      </c>
      <c r="R1167" s="813" t="s">
        <v>172</v>
      </c>
      <c r="T1167" s="815" t="s">
        <v>172</v>
      </c>
      <c r="U1167" s="900" t="s">
        <v>1220</v>
      </c>
    </row>
    <row r="1168" spans="1:21" x14ac:dyDescent="0.25">
      <c r="A1168" s="813">
        <v>1636</v>
      </c>
      <c r="B1168" s="813" t="s">
        <v>362</v>
      </c>
      <c r="C1168" s="813" t="s">
        <v>906</v>
      </c>
      <c r="D1168" s="813" t="s">
        <v>14</v>
      </c>
      <c r="E1168" s="813" t="s">
        <v>14</v>
      </c>
      <c r="F1168" s="813" t="s">
        <v>1147</v>
      </c>
      <c r="G1168" s="813" t="s">
        <v>933</v>
      </c>
      <c r="H1168" s="819" t="s">
        <v>37</v>
      </c>
      <c r="I1168" s="820" t="s">
        <v>20</v>
      </c>
      <c r="J1168" s="820" t="s">
        <v>428</v>
      </c>
      <c r="L1168" s="821">
        <v>2</v>
      </c>
      <c r="M1168" s="637">
        <v>407</v>
      </c>
      <c r="N1168" s="637">
        <v>5291</v>
      </c>
      <c r="O1168" s="821">
        <v>2</v>
      </c>
      <c r="P1168" s="637">
        <v>407</v>
      </c>
      <c r="Q1168" s="637">
        <v>5291</v>
      </c>
      <c r="R1168" s="813" t="s">
        <v>172</v>
      </c>
      <c r="T1168" s="815">
        <v>13</v>
      </c>
      <c r="U1168" s="900" t="s">
        <v>1220</v>
      </c>
    </row>
    <row r="1169" spans="1:21" x14ac:dyDescent="0.25">
      <c r="A1169" s="813">
        <v>1641</v>
      </c>
      <c r="B1169" s="813" t="s">
        <v>362</v>
      </c>
      <c r="C1169" s="813" t="s">
        <v>909</v>
      </c>
      <c r="D1169" s="813" t="s">
        <v>14</v>
      </c>
      <c r="E1169" s="813" t="s">
        <v>15</v>
      </c>
      <c r="F1169" s="813" t="s">
        <v>1122</v>
      </c>
      <c r="G1169" s="813" t="s">
        <v>863</v>
      </c>
      <c r="H1169" s="819" t="s">
        <v>18</v>
      </c>
      <c r="I1169" s="820" t="s">
        <v>15</v>
      </c>
      <c r="J1169" s="820" t="s">
        <v>421</v>
      </c>
      <c r="L1169" s="821">
        <v>33</v>
      </c>
      <c r="M1169" s="637">
        <v>6227</v>
      </c>
      <c r="N1169" s="637">
        <v>31780</v>
      </c>
      <c r="O1169" s="821">
        <v>31</v>
      </c>
      <c r="P1169" s="637">
        <v>6137</v>
      </c>
      <c r="Q1169" s="637">
        <v>31368.5</v>
      </c>
      <c r="R1169" s="813" t="s">
        <v>172</v>
      </c>
      <c r="T1169" s="815" t="s">
        <v>172</v>
      </c>
      <c r="U1169" s="900" t="s">
        <v>1220</v>
      </c>
    </row>
    <row r="1170" spans="1:21" x14ac:dyDescent="0.25">
      <c r="A1170" s="813">
        <v>1642</v>
      </c>
      <c r="B1170" s="813" t="s">
        <v>362</v>
      </c>
      <c r="C1170" s="813" t="s">
        <v>909</v>
      </c>
      <c r="D1170" s="813" t="s">
        <v>14</v>
      </c>
      <c r="E1170" s="813" t="s">
        <v>15</v>
      </c>
      <c r="F1170" s="813" t="s">
        <v>1148</v>
      </c>
      <c r="G1170" s="813" t="s">
        <v>863</v>
      </c>
      <c r="H1170" s="819" t="s">
        <v>18</v>
      </c>
      <c r="I1170" s="820" t="s">
        <v>15</v>
      </c>
      <c r="J1170" s="820" t="s">
        <v>421</v>
      </c>
      <c r="L1170" s="821">
        <v>1</v>
      </c>
      <c r="M1170" s="637">
        <v>40</v>
      </c>
      <c r="N1170" s="637">
        <v>159.5</v>
      </c>
      <c r="O1170" s="821">
        <v>1</v>
      </c>
      <c r="P1170" s="637">
        <v>40</v>
      </c>
      <c r="Q1170" s="637">
        <v>159.5</v>
      </c>
      <c r="R1170" s="813" t="s">
        <v>172</v>
      </c>
      <c r="T1170" s="815" t="s">
        <v>172</v>
      </c>
      <c r="U1170" s="900" t="s">
        <v>1220</v>
      </c>
    </row>
    <row r="1171" spans="1:21" x14ac:dyDescent="0.25">
      <c r="A1171" s="813">
        <v>1644</v>
      </c>
      <c r="B1171" s="813" t="s">
        <v>363</v>
      </c>
      <c r="C1171" s="813" t="s">
        <v>876</v>
      </c>
      <c r="D1171" s="813" t="s">
        <v>434</v>
      </c>
      <c r="E1171" s="813" t="s">
        <v>15</v>
      </c>
      <c r="F1171" s="813" t="s">
        <v>863</v>
      </c>
      <c r="G1171" s="813" t="s">
        <v>863</v>
      </c>
      <c r="H1171" s="819" t="s">
        <v>18</v>
      </c>
      <c r="I1171" s="820" t="s">
        <v>15</v>
      </c>
      <c r="J1171" s="820" t="s">
        <v>421</v>
      </c>
      <c r="L1171" s="821">
        <v>3</v>
      </c>
      <c r="M1171" s="637">
        <v>477</v>
      </c>
      <c r="N1171" s="637">
        <v>2342.25</v>
      </c>
      <c r="O1171" s="821">
        <v>3</v>
      </c>
      <c r="P1171" s="637">
        <v>477</v>
      </c>
      <c r="Q1171" s="637">
        <v>2342.25</v>
      </c>
      <c r="R1171" s="813" t="s">
        <v>172</v>
      </c>
      <c r="T1171" s="815" t="s">
        <v>172</v>
      </c>
      <c r="U1171" s="900" t="s">
        <v>1220</v>
      </c>
    </row>
    <row r="1172" spans="1:21" x14ac:dyDescent="0.25">
      <c r="A1172" s="813">
        <v>1646</v>
      </c>
      <c r="B1172" s="813" t="s">
        <v>364</v>
      </c>
      <c r="C1172" s="813" t="s">
        <v>876</v>
      </c>
      <c r="D1172" s="813" t="s">
        <v>434</v>
      </c>
      <c r="E1172" s="813" t="s">
        <v>15</v>
      </c>
      <c r="F1172" s="813" t="s">
        <v>863</v>
      </c>
      <c r="G1172" s="813" t="s">
        <v>863</v>
      </c>
      <c r="H1172" s="819" t="s">
        <v>18</v>
      </c>
      <c r="I1172" s="820" t="s">
        <v>15</v>
      </c>
      <c r="J1172" s="820" t="s">
        <v>421</v>
      </c>
      <c r="L1172" s="821">
        <v>2</v>
      </c>
      <c r="M1172" s="637">
        <v>369</v>
      </c>
      <c r="N1172" s="637">
        <v>1960.5</v>
      </c>
      <c r="O1172" s="821">
        <v>2</v>
      </c>
      <c r="P1172" s="637">
        <v>369</v>
      </c>
      <c r="Q1172" s="637">
        <v>1960.5</v>
      </c>
      <c r="R1172" s="813" t="s">
        <v>172</v>
      </c>
      <c r="T1172" s="815" t="s">
        <v>172</v>
      </c>
      <c r="U1172" s="900" t="s">
        <v>1220</v>
      </c>
    </row>
    <row r="1173" spans="1:21" x14ac:dyDescent="0.25">
      <c r="A1173" s="813">
        <v>1648</v>
      </c>
      <c r="B1173" s="813" t="s">
        <v>364</v>
      </c>
      <c r="C1173" s="813" t="s">
        <v>897</v>
      </c>
      <c r="D1173" s="813" t="s">
        <v>14</v>
      </c>
      <c r="E1173" s="813" t="s">
        <v>15</v>
      </c>
      <c r="F1173" s="813" t="s">
        <v>898</v>
      </c>
      <c r="G1173" s="813" t="s">
        <v>863</v>
      </c>
      <c r="H1173" s="819" t="s">
        <v>18</v>
      </c>
      <c r="I1173" s="820" t="s">
        <v>15</v>
      </c>
      <c r="J1173" s="820" t="s">
        <v>421</v>
      </c>
      <c r="L1173" s="821">
        <v>1</v>
      </c>
      <c r="M1173" s="637">
        <v>252</v>
      </c>
      <c r="N1173" s="637">
        <v>1247.75</v>
      </c>
      <c r="O1173" s="821">
        <v>1</v>
      </c>
      <c r="P1173" s="637">
        <v>252</v>
      </c>
      <c r="Q1173" s="637">
        <v>1247.75</v>
      </c>
      <c r="R1173" s="813" t="s">
        <v>172</v>
      </c>
      <c r="T1173" s="815" t="s">
        <v>172</v>
      </c>
      <c r="U1173" s="900" t="s">
        <v>1220</v>
      </c>
    </row>
    <row r="1174" spans="1:21" x14ac:dyDescent="0.25">
      <c r="A1174" s="807"/>
      <c r="B1174" s="807"/>
      <c r="C1174" s="807"/>
      <c r="D1174" s="807"/>
      <c r="E1174" s="807"/>
      <c r="F1174" s="807"/>
      <c r="G1174" s="807"/>
      <c r="H1174" s="809"/>
      <c r="I1174" s="810"/>
      <c r="J1174" s="810"/>
      <c r="K1174" s="807"/>
      <c r="L1174" s="811"/>
      <c r="M1174" s="812"/>
      <c r="N1174" s="812"/>
      <c r="O1174" s="811"/>
      <c r="P1174" s="812"/>
      <c r="Q1174" s="812"/>
    </row>
    <row r="1175" spans="1:21" x14ac:dyDescent="0.25">
      <c r="A1175" s="807"/>
      <c r="B1175" s="807"/>
      <c r="C1175" s="807"/>
      <c r="D1175" s="807"/>
      <c r="E1175" s="807"/>
      <c r="F1175" s="807"/>
      <c r="G1175" s="807"/>
      <c r="H1175" s="809"/>
      <c r="I1175" s="810"/>
      <c r="J1175" s="810"/>
      <c r="K1175" s="807"/>
      <c r="L1175" s="811"/>
      <c r="M1175" s="812"/>
      <c r="N1175" s="812"/>
      <c r="O1175" s="811"/>
      <c r="P1175" s="812"/>
      <c r="Q1175" s="812"/>
    </row>
    <row r="1176" spans="1:21" x14ac:dyDescent="0.25">
      <c r="A1176" s="807"/>
      <c r="B1176" s="807"/>
      <c r="C1176" s="807"/>
      <c r="D1176" s="807"/>
      <c r="E1176" s="807"/>
      <c r="F1176" s="807"/>
      <c r="G1176" s="807"/>
      <c r="H1176" s="809"/>
      <c r="I1176" s="810"/>
      <c r="J1176" s="810"/>
      <c r="K1176" s="807"/>
      <c r="L1176" s="811"/>
      <c r="M1176" s="812"/>
      <c r="N1176" s="812"/>
      <c r="O1176" s="811"/>
      <c r="P1176" s="812"/>
      <c r="Q1176" s="812"/>
    </row>
    <row r="1177" spans="1:21" x14ac:dyDescent="0.25">
      <c r="A1177" s="807"/>
      <c r="B1177" s="807"/>
      <c r="C1177" s="807"/>
      <c r="D1177" s="807"/>
      <c r="E1177" s="807"/>
      <c r="F1177" s="807"/>
      <c r="G1177" s="807"/>
      <c r="H1177" s="809"/>
      <c r="I1177" s="810"/>
      <c r="J1177" s="810"/>
      <c r="K1177" s="807"/>
      <c r="L1177" s="811"/>
      <c r="M1177" s="812"/>
      <c r="N1177" s="812"/>
      <c r="O1177" s="811"/>
      <c r="P1177" s="812"/>
      <c r="Q1177" s="812"/>
    </row>
    <row r="1178" spans="1:21" x14ac:dyDescent="0.25">
      <c r="A1178" s="807"/>
      <c r="B1178" s="807"/>
      <c r="C1178" s="807"/>
      <c r="D1178" s="807"/>
      <c r="E1178" s="807"/>
      <c r="F1178" s="807"/>
      <c r="G1178" s="807"/>
      <c r="H1178" s="809"/>
      <c r="I1178" s="810"/>
      <c r="J1178" s="810"/>
      <c r="K1178" s="807"/>
      <c r="L1178" s="811"/>
      <c r="M1178" s="812"/>
      <c r="N1178" s="812"/>
      <c r="O1178" s="811"/>
      <c r="P1178" s="812"/>
      <c r="Q1178" s="812"/>
    </row>
    <row r="1179" spans="1:21" x14ac:dyDescent="0.25">
      <c r="A1179" s="807"/>
      <c r="B1179" s="807"/>
      <c r="C1179" s="807"/>
      <c r="D1179" s="807"/>
      <c r="E1179" s="807"/>
      <c r="F1179" s="807"/>
      <c r="G1179" s="807"/>
      <c r="H1179" s="809"/>
      <c r="I1179" s="810"/>
      <c r="J1179" s="810"/>
      <c r="K1179" s="807"/>
      <c r="L1179" s="811"/>
      <c r="M1179" s="812"/>
      <c r="N1179" s="812"/>
      <c r="O1179" s="811"/>
      <c r="P1179" s="812"/>
      <c r="Q1179" s="812"/>
    </row>
    <row r="1180" spans="1:21" x14ac:dyDescent="0.25">
      <c r="A1180" s="807"/>
      <c r="B1180" s="807"/>
      <c r="C1180" s="807"/>
      <c r="D1180" s="807"/>
      <c r="E1180" s="807"/>
      <c r="F1180" s="807"/>
      <c r="G1180" s="807"/>
      <c r="H1180" s="809"/>
      <c r="I1180" s="810"/>
      <c r="J1180" s="810"/>
      <c r="K1180" s="807"/>
      <c r="L1180" s="811"/>
      <c r="M1180" s="812"/>
      <c r="N1180" s="812"/>
      <c r="O1180" s="811"/>
      <c r="P1180" s="812"/>
      <c r="Q1180" s="812"/>
    </row>
    <row r="1181" spans="1:21" x14ac:dyDescent="0.25">
      <c r="A1181" s="807"/>
      <c r="B1181" s="807"/>
      <c r="C1181" s="807"/>
      <c r="D1181" s="807"/>
      <c r="E1181" s="807"/>
      <c r="F1181" s="807"/>
      <c r="G1181" s="807"/>
      <c r="H1181" s="809"/>
      <c r="I1181" s="810"/>
      <c r="J1181" s="810"/>
      <c r="K1181" s="807"/>
      <c r="L1181" s="811"/>
      <c r="M1181" s="812"/>
      <c r="N1181" s="812"/>
      <c r="O1181" s="811"/>
      <c r="P1181" s="812"/>
      <c r="Q1181" s="812"/>
    </row>
    <row r="1182" spans="1:21" x14ac:dyDescent="0.25">
      <c r="A1182" s="807"/>
      <c r="B1182" s="807"/>
      <c r="C1182" s="807"/>
      <c r="D1182" s="807"/>
      <c r="E1182" s="807"/>
      <c r="F1182" s="807"/>
      <c r="G1182" s="807"/>
      <c r="H1182" s="809"/>
      <c r="I1182" s="810"/>
      <c r="J1182" s="810"/>
      <c r="K1182" s="807"/>
      <c r="L1182" s="811"/>
      <c r="M1182" s="812"/>
      <c r="N1182" s="812"/>
      <c r="O1182" s="811"/>
      <c r="P1182" s="812"/>
      <c r="Q1182" s="812"/>
    </row>
    <row r="1183" spans="1:21" x14ac:dyDescent="0.25">
      <c r="A1183" s="807"/>
      <c r="B1183" s="807"/>
      <c r="C1183" s="807"/>
      <c r="D1183" s="807"/>
      <c r="E1183" s="807"/>
      <c r="F1183" s="807"/>
      <c r="G1183" s="807"/>
      <c r="H1183" s="809"/>
      <c r="I1183" s="810"/>
      <c r="J1183" s="810"/>
      <c r="K1183" s="807"/>
      <c r="L1183" s="811"/>
      <c r="M1183" s="812"/>
      <c r="N1183" s="812"/>
      <c r="O1183" s="811"/>
      <c r="P1183" s="812"/>
      <c r="Q1183" s="812"/>
    </row>
    <row r="1184" spans="1:21" x14ac:dyDescent="0.25">
      <c r="A1184" s="807"/>
      <c r="B1184" s="807"/>
      <c r="C1184" s="807"/>
      <c r="D1184" s="807"/>
      <c r="E1184" s="807"/>
      <c r="F1184" s="807"/>
      <c r="G1184" s="807"/>
      <c r="H1184" s="809"/>
      <c r="I1184" s="810"/>
      <c r="J1184" s="810"/>
      <c r="K1184" s="807"/>
      <c r="L1184" s="811"/>
      <c r="M1184" s="812"/>
      <c r="N1184" s="812"/>
      <c r="O1184" s="811"/>
      <c r="P1184" s="812"/>
      <c r="Q1184" s="812"/>
    </row>
    <row r="1185" spans="1:17" x14ac:dyDescent="0.25">
      <c r="A1185" s="807"/>
      <c r="B1185" s="807"/>
      <c r="C1185" s="807"/>
      <c r="D1185" s="807"/>
      <c r="E1185" s="807"/>
      <c r="F1185" s="807"/>
      <c r="G1185" s="807"/>
      <c r="H1185" s="809"/>
      <c r="I1185" s="810"/>
      <c r="J1185" s="810"/>
      <c r="K1185" s="807"/>
      <c r="L1185" s="811"/>
      <c r="M1185" s="812"/>
      <c r="N1185" s="812"/>
      <c r="O1185" s="811"/>
      <c r="P1185" s="812"/>
      <c r="Q1185" s="812"/>
    </row>
    <row r="1186" spans="1:17" x14ac:dyDescent="0.25">
      <c r="A1186" s="807"/>
      <c r="B1186" s="807"/>
      <c r="C1186" s="807"/>
      <c r="D1186" s="807"/>
      <c r="E1186" s="807"/>
      <c r="F1186" s="807"/>
      <c r="G1186" s="807"/>
      <c r="H1186" s="809"/>
      <c r="I1186" s="810"/>
      <c r="J1186" s="810"/>
      <c r="K1186" s="807"/>
      <c r="L1186" s="811"/>
      <c r="M1186" s="812"/>
      <c r="N1186" s="812"/>
      <c r="O1186" s="811"/>
      <c r="P1186" s="812"/>
      <c r="Q1186" s="812"/>
    </row>
    <row r="1187" spans="1:17" x14ac:dyDescent="0.25">
      <c r="A1187" s="807"/>
      <c r="B1187" s="807"/>
      <c r="C1187" s="807"/>
      <c r="D1187" s="807"/>
      <c r="E1187" s="807"/>
      <c r="F1187" s="807"/>
      <c r="G1187" s="807"/>
      <c r="H1187" s="809"/>
      <c r="I1187" s="810"/>
      <c r="J1187" s="810"/>
      <c r="K1187" s="807"/>
      <c r="L1187" s="811"/>
      <c r="M1187" s="812"/>
      <c r="N1187" s="812"/>
      <c r="O1187" s="811"/>
      <c r="P1187" s="812"/>
      <c r="Q1187" s="812"/>
    </row>
    <row r="1188" spans="1:17" x14ac:dyDescent="0.25">
      <c r="A1188" s="807"/>
      <c r="B1188" s="807"/>
      <c r="C1188" s="807"/>
      <c r="D1188" s="807"/>
      <c r="E1188" s="807"/>
      <c r="F1188" s="807"/>
      <c r="G1188" s="807"/>
      <c r="H1188" s="809"/>
      <c r="I1188" s="810"/>
      <c r="J1188" s="810"/>
      <c r="K1188" s="807"/>
      <c r="L1188" s="811"/>
      <c r="M1188" s="812"/>
      <c r="N1188" s="812"/>
      <c r="O1188" s="811"/>
      <c r="P1188" s="812"/>
      <c r="Q1188" s="812"/>
    </row>
    <row r="1189" spans="1:17" x14ac:dyDescent="0.25">
      <c r="A1189" s="807"/>
      <c r="B1189" s="807"/>
      <c r="C1189" s="807"/>
      <c r="D1189" s="807"/>
      <c r="E1189" s="807"/>
      <c r="F1189" s="807"/>
      <c r="G1189" s="807"/>
      <c r="H1189" s="809"/>
      <c r="I1189" s="810"/>
      <c r="J1189" s="810"/>
      <c r="K1189" s="807"/>
      <c r="L1189" s="811"/>
      <c r="M1189" s="812"/>
      <c r="N1189" s="812"/>
      <c r="O1189" s="811"/>
      <c r="P1189" s="812"/>
      <c r="Q1189" s="812"/>
    </row>
    <row r="1190" spans="1:17" x14ac:dyDescent="0.25">
      <c r="A1190" s="807"/>
      <c r="B1190" s="807"/>
      <c r="C1190" s="807"/>
      <c r="D1190" s="807"/>
      <c r="E1190" s="807"/>
      <c r="F1190" s="807"/>
      <c r="G1190" s="807"/>
      <c r="H1190" s="809"/>
      <c r="I1190" s="810"/>
      <c r="J1190" s="810"/>
      <c r="K1190" s="807"/>
      <c r="L1190" s="811"/>
      <c r="M1190" s="812"/>
      <c r="N1190" s="812"/>
      <c r="O1190" s="811"/>
      <c r="P1190" s="812"/>
      <c r="Q1190" s="812"/>
    </row>
    <row r="1191" spans="1:17" x14ac:dyDescent="0.25">
      <c r="A1191" s="807"/>
      <c r="B1191" s="807"/>
      <c r="C1191" s="807"/>
      <c r="D1191" s="807"/>
      <c r="E1191" s="807"/>
      <c r="F1191" s="807"/>
      <c r="G1191" s="807"/>
      <c r="H1191" s="809"/>
      <c r="I1191" s="810"/>
      <c r="J1191" s="810"/>
      <c r="K1191" s="807"/>
      <c r="L1191" s="811"/>
      <c r="M1191" s="812"/>
      <c r="N1191" s="812"/>
      <c r="O1191" s="811"/>
      <c r="P1191" s="812"/>
      <c r="Q1191" s="812"/>
    </row>
    <row r="1192" spans="1:17" x14ac:dyDescent="0.25">
      <c r="A1192" s="807"/>
      <c r="B1192" s="807"/>
      <c r="C1192" s="807"/>
      <c r="D1192" s="807"/>
      <c r="E1192" s="807"/>
      <c r="F1192" s="807"/>
      <c r="G1192" s="807"/>
      <c r="H1192" s="809"/>
      <c r="I1192" s="810"/>
      <c r="J1192" s="810"/>
      <c r="K1192" s="807"/>
      <c r="L1192" s="811"/>
      <c r="M1192" s="812"/>
      <c r="N1192" s="812"/>
      <c r="O1192" s="811"/>
      <c r="P1192" s="812"/>
      <c r="Q1192" s="812"/>
    </row>
    <row r="1193" spans="1:17" x14ac:dyDescent="0.25">
      <c r="A1193" s="807"/>
      <c r="B1193" s="807"/>
      <c r="C1193" s="807"/>
      <c r="D1193" s="807"/>
      <c r="E1193" s="807"/>
      <c r="F1193" s="807"/>
      <c r="G1193" s="807"/>
      <c r="H1193" s="809"/>
      <c r="I1193" s="810"/>
      <c r="J1193" s="810"/>
      <c r="K1193" s="807"/>
      <c r="L1193" s="811"/>
      <c r="M1193" s="812"/>
      <c r="N1193" s="812"/>
      <c r="O1193" s="811"/>
      <c r="P1193" s="812"/>
      <c r="Q1193" s="812"/>
    </row>
    <row r="1194" spans="1:17" x14ac:dyDescent="0.25">
      <c r="A1194" s="807"/>
      <c r="B1194" s="807"/>
      <c r="C1194" s="807"/>
      <c r="D1194" s="807"/>
      <c r="E1194" s="807"/>
      <c r="F1194" s="807"/>
      <c r="G1194" s="807"/>
      <c r="H1194" s="809"/>
      <c r="I1194" s="810"/>
      <c r="J1194" s="810"/>
      <c r="K1194" s="807"/>
      <c r="L1194" s="811"/>
      <c r="M1194" s="812"/>
      <c r="N1194" s="812"/>
      <c r="O1194" s="811"/>
      <c r="P1194" s="812"/>
      <c r="Q1194" s="812"/>
    </row>
    <row r="1195" spans="1:17" x14ac:dyDescent="0.25">
      <c r="A1195" s="807"/>
      <c r="B1195" s="807"/>
      <c r="C1195" s="807"/>
      <c r="D1195" s="807"/>
      <c r="E1195" s="807"/>
      <c r="F1195" s="807"/>
      <c r="G1195" s="807"/>
      <c r="H1195" s="809"/>
      <c r="I1195" s="810"/>
      <c r="J1195" s="810"/>
      <c r="K1195" s="807"/>
      <c r="L1195" s="811"/>
      <c r="M1195" s="812"/>
      <c r="N1195" s="812"/>
      <c r="O1195" s="811"/>
      <c r="P1195" s="812"/>
      <c r="Q1195" s="812"/>
    </row>
    <row r="1196" spans="1:17" x14ac:dyDescent="0.25">
      <c r="A1196" s="807"/>
      <c r="B1196" s="807"/>
      <c r="C1196" s="807"/>
      <c r="D1196" s="807"/>
      <c r="E1196" s="807"/>
      <c r="F1196" s="807"/>
      <c r="G1196" s="807"/>
      <c r="H1196" s="809"/>
      <c r="I1196" s="810"/>
      <c r="J1196" s="810"/>
      <c r="K1196" s="807"/>
      <c r="L1196" s="811"/>
      <c r="M1196" s="812"/>
      <c r="N1196" s="812"/>
      <c r="O1196" s="811"/>
      <c r="P1196" s="812"/>
      <c r="Q1196" s="812"/>
    </row>
    <row r="1197" spans="1:17" x14ac:dyDescent="0.25">
      <c r="A1197" s="807"/>
      <c r="B1197" s="807"/>
      <c r="C1197" s="807"/>
      <c r="D1197" s="807"/>
      <c r="E1197" s="807"/>
      <c r="F1197" s="807"/>
      <c r="G1197" s="807"/>
      <c r="H1197" s="809"/>
      <c r="I1197" s="810"/>
      <c r="J1197" s="810"/>
      <c r="K1197" s="807"/>
      <c r="L1197" s="811"/>
      <c r="M1197" s="812"/>
      <c r="N1197" s="812"/>
      <c r="O1197" s="811"/>
      <c r="P1197" s="812"/>
      <c r="Q1197" s="812"/>
    </row>
    <row r="1198" spans="1:17" x14ac:dyDescent="0.25">
      <c r="A1198" s="807"/>
      <c r="B1198" s="807"/>
      <c r="C1198" s="807"/>
      <c r="D1198" s="807"/>
      <c r="E1198" s="807"/>
      <c r="F1198" s="807"/>
      <c r="G1198" s="807"/>
      <c r="H1198" s="809"/>
      <c r="I1198" s="810"/>
      <c r="J1198" s="810"/>
      <c r="K1198" s="807"/>
      <c r="L1198" s="811"/>
      <c r="M1198" s="812"/>
      <c r="N1198" s="812"/>
      <c r="O1198" s="811"/>
      <c r="P1198" s="812"/>
      <c r="Q1198" s="812"/>
    </row>
    <row r="1199" spans="1:17" x14ac:dyDescent="0.25">
      <c r="A1199" s="807"/>
      <c r="B1199" s="807"/>
      <c r="C1199" s="807"/>
      <c r="D1199" s="807"/>
      <c r="E1199" s="807"/>
      <c r="F1199" s="807"/>
      <c r="G1199" s="807"/>
      <c r="H1199" s="809"/>
      <c r="I1199" s="810"/>
      <c r="J1199" s="810"/>
      <c r="K1199" s="807"/>
      <c r="L1199" s="811"/>
      <c r="M1199" s="812"/>
      <c r="N1199" s="812"/>
      <c r="O1199" s="811"/>
      <c r="P1199" s="812"/>
      <c r="Q1199" s="812"/>
    </row>
    <row r="1200" spans="1:17" x14ac:dyDescent="0.25">
      <c r="A1200" s="807"/>
      <c r="B1200" s="807"/>
      <c r="C1200" s="807"/>
      <c r="D1200" s="807"/>
      <c r="E1200" s="807"/>
      <c r="F1200" s="807"/>
      <c r="G1200" s="807"/>
      <c r="H1200" s="809"/>
      <c r="I1200" s="810"/>
      <c r="J1200" s="810"/>
      <c r="K1200" s="807"/>
      <c r="L1200" s="811"/>
      <c r="M1200" s="812"/>
      <c r="N1200" s="812"/>
      <c r="O1200" s="811"/>
      <c r="P1200" s="812"/>
      <c r="Q1200" s="812"/>
    </row>
    <row r="1201" spans="1:17" x14ac:dyDescent="0.25">
      <c r="A1201" s="807"/>
      <c r="B1201" s="807"/>
      <c r="C1201" s="807"/>
      <c r="D1201" s="807"/>
      <c r="E1201" s="807"/>
      <c r="F1201" s="807"/>
      <c r="G1201" s="807"/>
      <c r="H1201" s="809"/>
      <c r="I1201" s="810"/>
      <c r="J1201" s="810"/>
      <c r="K1201" s="807"/>
      <c r="L1201" s="811"/>
      <c r="M1201" s="812"/>
      <c r="N1201" s="812"/>
      <c r="O1201" s="811"/>
      <c r="P1201" s="812"/>
      <c r="Q1201" s="812"/>
    </row>
    <row r="1202" spans="1:17" x14ac:dyDescent="0.25">
      <c r="A1202" s="807"/>
      <c r="B1202" s="807"/>
      <c r="C1202" s="807"/>
      <c r="D1202" s="807"/>
      <c r="E1202" s="807"/>
      <c r="F1202" s="807"/>
      <c r="G1202" s="807"/>
      <c r="H1202" s="809"/>
      <c r="I1202" s="810"/>
      <c r="J1202" s="810"/>
      <c r="K1202" s="807"/>
      <c r="L1202" s="811"/>
      <c r="M1202" s="812"/>
      <c r="N1202" s="812"/>
      <c r="O1202" s="811"/>
      <c r="P1202" s="812"/>
      <c r="Q1202" s="812"/>
    </row>
    <row r="1203" spans="1:17" x14ac:dyDescent="0.25">
      <c r="A1203" s="807"/>
      <c r="B1203" s="807"/>
      <c r="C1203" s="807"/>
      <c r="D1203" s="807"/>
      <c r="E1203" s="807"/>
      <c r="F1203" s="807"/>
      <c r="G1203" s="807"/>
      <c r="H1203" s="809"/>
      <c r="I1203" s="810"/>
      <c r="J1203" s="810"/>
      <c r="K1203" s="807"/>
      <c r="L1203" s="811"/>
      <c r="M1203" s="812"/>
      <c r="N1203" s="812"/>
      <c r="O1203" s="811"/>
      <c r="P1203" s="812"/>
      <c r="Q1203" s="812"/>
    </row>
    <row r="1204" spans="1:17" x14ac:dyDescent="0.25">
      <c r="A1204" s="807"/>
      <c r="B1204" s="807"/>
      <c r="C1204" s="807"/>
      <c r="D1204" s="807"/>
      <c r="E1204" s="807"/>
      <c r="F1204" s="807"/>
      <c r="G1204" s="807"/>
      <c r="H1204" s="809"/>
      <c r="I1204" s="810"/>
      <c r="J1204" s="810"/>
      <c r="K1204" s="807"/>
      <c r="L1204" s="811"/>
      <c r="M1204" s="812"/>
      <c r="N1204" s="812"/>
      <c r="O1204" s="811"/>
      <c r="P1204" s="812"/>
      <c r="Q1204" s="812"/>
    </row>
    <row r="1205" spans="1:17" x14ac:dyDescent="0.25">
      <c r="A1205" s="807"/>
      <c r="B1205" s="807"/>
      <c r="C1205" s="807"/>
      <c r="D1205" s="807"/>
      <c r="E1205" s="807"/>
      <c r="F1205" s="807"/>
      <c r="G1205" s="807"/>
      <c r="H1205" s="809"/>
      <c r="I1205" s="810"/>
      <c r="J1205" s="810"/>
      <c r="K1205" s="807"/>
      <c r="L1205" s="811"/>
      <c r="M1205" s="812"/>
      <c r="N1205" s="812"/>
      <c r="O1205" s="811"/>
      <c r="P1205" s="812"/>
      <c r="Q1205" s="812"/>
    </row>
    <row r="1206" spans="1:17" x14ac:dyDescent="0.25">
      <c r="A1206" s="807"/>
      <c r="B1206" s="807"/>
      <c r="C1206" s="807"/>
      <c r="D1206" s="807"/>
      <c r="E1206" s="807"/>
      <c r="F1206" s="807"/>
      <c r="G1206" s="807"/>
      <c r="H1206" s="809"/>
      <c r="I1206" s="810"/>
      <c r="J1206" s="810"/>
      <c r="K1206" s="807"/>
      <c r="L1206" s="811"/>
      <c r="M1206" s="812"/>
      <c r="N1206" s="812"/>
      <c r="O1206" s="811"/>
      <c r="P1206" s="812"/>
      <c r="Q1206" s="812"/>
    </row>
    <row r="1207" spans="1:17" x14ac:dyDescent="0.25">
      <c r="A1207" s="807"/>
      <c r="B1207" s="807"/>
      <c r="C1207" s="807"/>
      <c r="D1207" s="807"/>
      <c r="E1207" s="807"/>
      <c r="F1207" s="807"/>
      <c r="G1207" s="807"/>
      <c r="H1207" s="809"/>
      <c r="I1207" s="810"/>
      <c r="J1207" s="810"/>
      <c r="K1207" s="807"/>
      <c r="L1207" s="811"/>
      <c r="M1207" s="812"/>
      <c r="N1207" s="812"/>
      <c r="O1207" s="811"/>
      <c r="P1207" s="812"/>
      <c r="Q1207" s="812"/>
    </row>
    <row r="1208" spans="1:17" x14ac:dyDescent="0.25">
      <c r="A1208" s="807"/>
      <c r="B1208" s="807"/>
      <c r="C1208" s="807"/>
      <c r="D1208" s="807"/>
      <c r="E1208" s="807"/>
      <c r="F1208" s="807"/>
      <c r="G1208" s="807"/>
      <c r="H1208" s="809"/>
      <c r="I1208" s="810"/>
      <c r="J1208" s="810"/>
      <c r="K1208" s="807"/>
      <c r="L1208" s="811"/>
      <c r="M1208" s="812"/>
      <c r="N1208" s="812"/>
      <c r="O1208" s="811"/>
      <c r="P1208" s="812"/>
      <c r="Q1208" s="812"/>
    </row>
    <row r="1209" spans="1:17" x14ac:dyDescent="0.25">
      <c r="A1209" s="807"/>
      <c r="B1209" s="807"/>
      <c r="C1209" s="807"/>
      <c r="D1209" s="807"/>
      <c r="E1209" s="807"/>
      <c r="F1209" s="807"/>
      <c r="G1209" s="807"/>
      <c r="H1209" s="809"/>
      <c r="I1209" s="810"/>
      <c r="J1209" s="810"/>
      <c r="K1209" s="807"/>
      <c r="L1209" s="811"/>
      <c r="M1209" s="812"/>
      <c r="N1209" s="812"/>
      <c r="O1209" s="811"/>
      <c r="P1209" s="812"/>
      <c r="Q1209" s="812"/>
    </row>
    <row r="1210" spans="1:17" x14ac:dyDescent="0.25">
      <c r="A1210" s="807"/>
      <c r="B1210" s="807"/>
      <c r="C1210" s="807"/>
      <c r="D1210" s="807"/>
      <c r="E1210" s="807"/>
      <c r="F1210" s="807"/>
      <c r="G1210" s="807"/>
      <c r="H1210" s="809"/>
      <c r="I1210" s="810"/>
      <c r="J1210" s="810"/>
      <c r="K1210" s="807"/>
      <c r="L1210" s="811"/>
      <c r="M1210" s="812"/>
      <c r="N1210" s="812"/>
      <c r="O1210" s="811"/>
      <c r="P1210" s="812"/>
      <c r="Q1210" s="812"/>
    </row>
    <row r="1211" spans="1:17" x14ac:dyDescent="0.25">
      <c r="A1211" s="807"/>
      <c r="B1211" s="807"/>
      <c r="C1211" s="807"/>
      <c r="D1211" s="807"/>
      <c r="E1211" s="807"/>
      <c r="F1211" s="807"/>
      <c r="G1211" s="807"/>
      <c r="H1211" s="809"/>
      <c r="I1211" s="810"/>
      <c r="J1211" s="810"/>
      <c r="K1211" s="807"/>
      <c r="L1211" s="811"/>
      <c r="M1211" s="812"/>
      <c r="N1211" s="812"/>
      <c r="O1211" s="811"/>
      <c r="P1211" s="812"/>
      <c r="Q1211" s="812"/>
    </row>
    <row r="1212" spans="1:17" x14ac:dyDescent="0.25">
      <c r="A1212" s="807"/>
      <c r="B1212" s="807"/>
      <c r="C1212" s="807"/>
      <c r="D1212" s="807"/>
      <c r="E1212" s="807"/>
      <c r="F1212" s="807"/>
      <c r="G1212" s="807"/>
      <c r="H1212" s="809"/>
      <c r="I1212" s="810"/>
      <c r="J1212" s="810"/>
      <c r="K1212" s="807"/>
      <c r="L1212" s="811"/>
      <c r="M1212" s="812"/>
      <c r="N1212" s="812"/>
      <c r="O1212" s="811"/>
      <c r="P1212" s="812"/>
      <c r="Q1212" s="812"/>
    </row>
    <row r="1213" spans="1:17" x14ac:dyDescent="0.25">
      <c r="A1213" s="807"/>
      <c r="B1213" s="807"/>
      <c r="C1213" s="807"/>
      <c r="D1213" s="807"/>
      <c r="E1213" s="807"/>
      <c r="F1213" s="807"/>
      <c r="G1213" s="807"/>
      <c r="H1213" s="809"/>
      <c r="I1213" s="810"/>
      <c r="J1213" s="810"/>
      <c r="K1213" s="807"/>
      <c r="L1213" s="811"/>
      <c r="M1213" s="812"/>
      <c r="N1213" s="812"/>
      <c r="O1213" s="811"/>
      <c r="P1213" s="812"/>
      <c r="Q1213" s="812"/>
    </row>
    <row r="1214" spans="1:17" x14ac:dyDescent="0.25">
      <c r="A1214" s="807"/>
      <c r="B1214" s="807"/>
      <c r="C1214" s="807"/>
      <c r="D1214" s="807"/>
      <c r="E1214" s="807"/>
      <c r="F1214" s="807"/>
      <c r="G1214" s="807"/>
      <c r="H1214" s="809"/>
      <c r="I1214" s="810"/>
      <c r="J1214" s="810"/>
      <c r="K1214" s="807"/>
      <c r="L1214" s="811"/>
      <c r="M1214" s="812"/>
      <c r="N1214" s="812"/>
      <c r="O1214" s="811"/>
      <c r="P1214" s="812"/>
      <c r="Q1214" s="812"/>
    </row>
    <row r="1215" spans="1:17" x14ac:dyDescent="0.25">
      <c r="A1215" s="807"/>
      <c r="B1215" s="807"/>
      <c r="C1215" s="807"/>
      <c r="D1215" s="807"/>
      <c r="E1215" s="807"/>
      <c r="F1215" s="807"/>
      <c r="G1215" s="807"/>
      <c r="H1215" s="809"/>
      <c r="I1215" s="810"/>
      <c r="J1215" s="810"/>
      <c r="K1215" s="807"/>
      <c r="L1215" s="811"/>
      <c r="M1215" s="812"/>
      <c r="N1215" s="812"/>
      <c r="O1215" s="811"/>
      <c r="P1215" s="812"/>
      <c r="Q1215" s="812"/>
    </row>
    <row r="1216" spans="1:17" x14ac:dyDescent="0.25">
      <c r="A1216" s="807"/>
      <c r="B1216" s="807"/>
      <c r="C1216" s="807"/>
      <c r="D1216" s="807"/>
      <c r="E1216" s="807"/>
      <c r="F1216" s="807"/>
      <c r="G1216" s="807"/>
      <c r="H1216" s="809"/>
      <c r="I1216" s="810"/>
      <c r="J1216" s="810"/>
      <c r="K1216" s="807"/>
      <c r="L1216" s="811"/>
      <c r="M1216" s="812"/>
      <c r="N1216" s="812"/>
      <c r="O1216" s="811"/>
      <c r="P1216" s="812"/>
      <c r="Q1216" s="812"/>
    </row>
    <row r="1217" spans="1:17" x14ac:dyDescent="0.25">
      <c r="A1217" s="807"/>
      <c r="B1217" s="807"/>
      <c r="C1217" s="807"/>
      <c r="D1217" s="807"/>
      <c r="E1217" s="807"/>
      <c r="F1217" s="807"/>
      <c r="G1217" s="807"/>
      <c r="H1217" s="809"/>
      <c r="I1217" s="810"/>
      <c r="J1217" s="810"/>
      <c r="K1217" s="807"/>
      <c r="L1217" s="811"/>
      <c r="M1217" s="812"/>
      <c r="N1217" s="812"/>
      <c r="O1217" s="811"/>
      <c r="P1217" s="812"/>
      <c r="Q1217" s="812"/>
    </row>
    <row r="1218" spans="1:17" x14ac:dyDescent="0.25">
      <c r="A1218" s="807"/>
      <c r="B1218" s="807"/>
      <c r="C1218" s="807"/>
      <c r="D1218" s="807"/>
      <c r="E1218" s="807"/>
      <c r="F1218" s="807"/>
      <c r="G1218" s="807"/>
      <c r="H1218" s="809"/>
      <c r="I1218" s="810"/>
      <c r="J1218" s="810"/>
      <c r="K1218" s="807"/>
      <c r="L1218" s="811"/>
      <c r="M1218" s="812"/>
      <c r="N1218" s="812"/>
      <c r="O1218" s="811"/>
      <c r="P1218" s="812"/>
      <c r="Q1218" s="812"/>
    </row>
    <row r="1219" spans="1:17" x14ac:dyDescent="0.25">
      <c r="A1219" s="807"/>
      <c r="B1219" s="807"/>
      <c r="C1219" s="807"/>
      <c r="D1219" s="807"/>
      <c r="E1219" s="807"/>
      <c r="F1219" s="807"/>
      <c r="G1219" s="807"/>
      <c r="H1219" s="809"/>
      <c r="I1219" s="810"/>
      <c r="J1219" s="810"/>
      <c r="K1219" s="817"/>
      <c r="L1219" s="811"/>
      <c r="M1219" s="812"/>
      <c r="N1219" s="812"/>
      <c r="O1219" s="811"/>
      <c r="P1219" s="812"/>
      <c r="Q1219" s="812"/>
    </row>
    <row r="1220" spans="1:17" x14ac:dyDescent="0.25">
      <c r="A1220" s="807"/>
      <c r="B1220" s="807"/>
      <c r="C1220" s="807"/>
      <c r="D1220" s="807"/>
      <c r="E1220" s="807"/>
      <c r="F1220" s="807"/>
      <c r="G1220" s="807"/>
      <c r="H1220" s="809"/>
      <c r="I1220" s="810"/>
      <c r="J1220" s="810"/>
      <c r="K1220" s="817"/>
      <c r="L1220" s="811"/>
      <c r="M1220" s="812"/>
      <c r="N1220" s="812"/>
      <c r="O1220" s="811"/>
      <c r="P1220" s="812"/>
      <c r="Q1220" s="812"/>
    </row>
    <row r="1221" spans="1:17" x14ac:dyDescent="0.25">
      <c r="A1221" s="807"/>
      <c r="B1221" s="807"/>
      <c r="C1221" s="807"/>
      <c r="D1221" s="807"/>
      <c r="E1221" s="807"/>
      <c r="F1221" s="807"/>
      <c r="G1221" s="807"/>
      <c r="H1221" s="809"/>
      <c r="I1221" s="810"/>
      <c r="J1221" s="810"/>
      <c r="K1221" s="817"/>
      <c r="L1221" s="811"/>
      <c r="M1221" s="812"/>
      <c r="N1221" s="812"/>
      <c r="O1221" s="811"/>
      <c r="P1221" s="812"/>
      <c r="Q1221" s="812"/>
    </row>
    <row r="1222" spans="1:17" x14ac:dyDescent="0.25">
      <c r="A1222" s="807"/>
      <c r="B1222" s="807"/>
      <c r="C1222" s="807"/>
      <c r="D1222" s="807"/>
      <c r="E1222" s="807"/>
      <c r="F1222" s="807"/>
      <c r="G1222" s="807"/>
      <c r="H1222" s="809"/>
      <c r="I1222" s="810"/>
      <c r="J1222" s="810"/>
      <c r="K1222" s="817"/>
      <c r="L1222" s="811"/>
      <c r="M1222" s="812"/>
      <c r="N1222" s="812"/>
      <c r="O1222" s="811"/>
      <c r="P1222" s="812"/>
      <c r="Q1222" s="812"/>
    </row>
    <row r="1223" spans="1:17" x14ac:dyDescent="0.25">
      <c r="A1223" s="807"/>
      <c r="B1223" s="807"/>
      <c r="C1223" s="807"/>
      <c r="D1223" s="807"/>
      <c r="E1223" s="807"/>
      <c r="F1223" s="807"/>
      <c r="G1223" s="807"/>
      <c r="H1223" s="809"/>
      <c r="I1223" s="810"/>
      <c r="J1223" s="810"/>
      <c r="K1223" s="807"/>
      <c r="L1223" s="811"/>
      <c r="M1223" s="812"/>
      <c r="N1223" s="812"/>
      <c r="O1223" s="811"/>
      <c r="P1223" s="812"/>
      <c r="Q1223" s="812"/>
    </row>
    <row r="1224" spans="1:17" x14ac:dyDescent="0.25">
      <c r="A1224" s="807"/>
      <c r="B1224" s="807"/>
      <c r="C1224" s="807"/>
      <c r="D1224" s="807"/>
      <c r="E1224" s="807"/>
      <c r="F1224" s="807"/>
      <c r="G1224" s="807"/>
      <c r="H1224" s="809"/>
      <c r="I1224" s="810"/>
      <c r="J1224" s="810"/>
      <c r="K1224" s="807"/>
      <c r="L1224" s="811"/>
      <c r="M1224" s="812"/>
      <c r="N1224" s="812"/>
      <c r="O1224" s="811"/>
      <c r="P1224" s="812"/>
      <c r="Q1224" s="812"/>
    </row>
    <row r="1225" spans="1:17" x14ac:dyDescent="0.25">
      <c r="A1225" s="807"/>
      <c r="B1225" s="807"/>
      <c r="C1225" s="807"/>
      <c r="D1225" s="807"/>
      <c r="E1225" s="807"/>
      <c r="F1225" s="807"/>
      <c r="G1225" s="807"/>
      <c r="H1225" s="809"/>
      <c r="I1225" s="810"/>
      <c r="J1225" s="810"/>
      <c r="K1225" s="817"/>
      <c r="L1225" s="811"/>
      <c r="M1225" s="812"/>
      <c r="N1225" s="812"/>
      <c r="O1225" s="811"/>
      <c r="P1225" s="812"/>
      <c r="Q1225" s="812"/>
    </row>
    <row r="1226" spans="1:17" x14ac:dyDescent="0.25">
      <c r="A1226" s="807"/>
      <c r="B1226" s="807"/>
      <c r="C1226" s="807"/>
      <c r="D1226" s="807"/>
      <c r="E1226" s="807"/>
      <c r="F1226" s="807"/>
      <c r="G1226" s="807"/>
      <c r="H1226" s="809"/>
      <c r="I1226" s="810"/>
      <c r="J1226" s="810"/>
      <c r="K1226" s="817"/>
      <c r="L1226" s="811"/>
      <c r="M1226" s="812"/>
      <c r="N1226" s="812"/>
      <c r="O1226" s="811"/>
      <c r="P1226" s="812"/>
      <c r="Q1226" s="812"/>
    </row>
    <row r="1227" spans="1:17" x14ac:dyDescent="0.25">
      <c r="A1227" s="807"/>
      <c r="B1227" s="807"/>
      <c r="C1227" s="807"/>
      <c r="D1227" s="807"/>
      <c r="E1227" s="807"/>
      <c r="F1227" s="807"/>
      <c r="G1227" s="807"/>
      <c r="H1227" s="809"/>
      <c r="I1227" s="810"/>
      <c r="J1227" s="810"/>
      <c r="K1227" s="807"/>
      <c r="L1227" s="811"/>
      <c r="M1227" s="812"/>
      <c r="N1227" s="812"/>
      <c r="O1227" s="811"/>
      <c r="P1227" s="812"/>
      <c r="Q1227" s="812"/>
    </row>
    <row r="1228" spans="1:17" x14ac:dyDescent="0.25">
      <c r="A1228" s="807"/>
      <c r="B1228" s="807"/>
      <c r="C1228" s="807"/>
      <c r="D1228" s="807"/>
      <c r="E1228" s="807"/>
      <c r="F1228" s="807"/>
      <c r="G1228" s="807"/>
      <c r="H1228" s="809"/>
      <c r="I1228" s="810"/>
      <c r="J1228" s="810"/>
      <c r="K1228" s="817"/>
      <c r="L1228" s="811"/>
      <c r="M1228" s="812"/>
      <c r="N1228" s="812"/>
      <c r="O1228" s="811"/>
      <c r="P1228" s="812"/>
      <c r="Q1228" s="812"/>
    </row>
    <row r="1229" spans="1:17" x14ac:dyDescent="0.25">
      <c r="A1229" s="807"/>
      <c r="B1229" s="807"/>
      <c r="C1229" s="807"/>
      <c r="D1229" s="807"/>
      <c r="E1229" s="807"/>
      <c r="F1229" s="807"/>
      <c r="G1229" s="807"/>
      <c r="H1229" s="809"/>
      <c r="I1229" s="810"/>
      <c r="J1229" s="810"/>
      <c r="K1229" s="817"/>
      <c r="L1229" s="811"/>
      <c r="M1229" s="812"/>
      <c r="N1229" s="812"/>
      <c r="O1229" s="811"/>
      <c r="P1229" s="812"/>
      <c r="Q1229" s="812"/>
    </row>
    <row r="1230" spans="1:17" x14ac:dyDescent="0.25">
      <c r="A1230" s="807"/>
      <c r="B1230" s="807"/>
      <c r="C1230" s="807"/>
      <c r="D1230" s="807"/>
      <c r="E1230" s="807"/>
      <c r="F1230" s="807"/>
      <c r="G1230" s="807"/>
      <c r="H1230" s="809"/>
      <c r="I1230" s="810"/>
      <c r="J1230" s="810"/>
      <c r="K1230" s="817"/>
      <c r="L1230" s="811"/>
      <c r="M1230" s="812"/>
      <c r="N1230" s="812"/>
      <c r="O1230" s="811"/>
      <c r="P1230" s="812"/>
      <c r="Q1230" s="812"/>
    </row>
    <row r="1231" spans="1:17" x14ac:dyDescent="0.25">
      <c r="A1231" s="807"/>
      <c r="B1231" s="807"/>
      <c r="C1231" s="807"/>
      <c r="D1231" s="807"/>
      <c r="E1231" s="807"/>
      <c r="F1231" s="807"/>
      <c r="G1231" s="807"/>
      <c r="H1231" s="809"/>
      <c r="I1231" s="810"/>
      <c r="J1231" s="810"/>
      <c r="K1231" s="817"/>
      <c r="L1231" s="811"/>
      <c r="M1231" s="812"/>
      <c r="N1231" s="812"/>
      <c r="O1231" s="811"/>
      <c r="P1231" s="812"/>
      <c r="Q1231" s="812"/>
    </row>
    <row r="1232" spans="1:17" x14ac:dyDescent="0.25">
      <c r="A1232" s="807"/>
      <c r="B1232" s="807"/>
      <c r="C1232" s="807"/>
      <c r="D1232" s="807"/>
      <c r="E1232" s="807"/>
      <c r="F1232" s="807"/>
      <c r="G1232" s="807"/>
      <c r="H1232" s="809"/>
      <c r="I1232" s="810"/>
      <c r="J1232" s="810"/>
      <c r="K1232" s="817"/>
      <c r="L1232" s="811"/>
      <c r="M1232" s="812"/>
      <c r="N1232" s="812"/>
      <c r="O1232" s="811"/>
      <c r="P1232" s="812"/>
      <c r="Q1232" s="812"/>
    </row>
    <row r="1233" spans="1:17" x14ac:dyDescent="0.25">
      <c r="A1233" s="807"/>
      <c r="B1233" s="807"/>
      <c r="C1233" s="807"/>
      <c r="D1233" s="807"/>
      <c r="E1233" s="807"/>
      <c r="F1233" s="807"/>
      <c r="G1233" s="807"/>
      <c r="H1233" s="809"/>
      <c r="I1233" s="810"/>
      <c r="J1233" s="810"/>
      <c r="K1233" s="817"/>
      <c r="L1233" s="811"/>
      <c r="M1233" s="812"/>
      <c r="N1233" s="812"/>
      <c r="O1233" s="811"/>
      <c r="P1233" s="812"/>
      <c r="Q1233" s="812"/>
    </row>
    <row r="1234" spans="1:17" x14ac:dyDescent="0.25">
      <c r="A1234" s="807"/>
      <c r="B1234" s="807"/>
      <c r="C1234" s="807"/>
      <c r="D1234" s="807"/>
      <c r="E1234" s="807"/>
      <c r="F1234" s="807"/>
      <c r="G1234" s="807"/>
      <c r="H1234" s="809"/>
      <c r="I1234" s="810"/>
      <c r="J1234" s="810"/>
      <c r="K1234" s="817"/>
      <c r="L1234" s="811"/>
      <c r="M1234" s="812"/>
      <c r="N1234" s="812"/>
      <c r="O1234" s="811"/>
      <c r="P1234" s="812"/>
      <c r="Q1234" s="812"/>
    </row>
    <row r="1235" spans="1:17" x14ac:dyDescent="0.25">
      <c r="A1235" s="807"/>
      <c r="B1235" s="807"/>
      <c r="C1235" s="807"/>
      <c r="D1235" s="807"/>
      <c r="E1235" s="807"/>
      <c r="F1235" s="807"/>
      <c r="G1235" s="807"/>
      <c r="H1235" s="809"/>
      <c r="I1235" s="810"/>
      <c r="J1235" s="810"/>
      <c r="K1235" s="817"/>
      <c r="L1235" s="811"/>
      <c r="M1235" s="812"/>
      <c r="N1235" s="812"/>
      <c r="O1235" s="811"/>
      <c r="P1235" s="812"/>
      <c r="Q1235" s="812"/>
    </row>
    <row r="1236" spans="1:17" x14ac:dyDescent="0.25">
      <c r="A1236" s="807"/>
      <c r="B1236" s="807"/>
      <c r="C1236" s="807"/>
      <c r="D1236" s="807"/>
      <c r="E1236" s="807"/>
      <c r="F1236" s="807"/>
      <c r="G1236" s="807"/>
      <c r="H1236" s="809"/>
      <c r="I1236" s="810"/>
      <c r="J1236" s="810"/>
      <c r="K1236" s="817"/>
      <c r="L1236" s="811"/>
      <c r="M1236" s="812"/>
      <c r="N1236" s="812"/>
      <c r="O1236" s="811"/>
      <c r="P1236" s="812"/>
      <c r="Q1236" s="812"/>
    </row>
    <row r="1237" spans="1:17" x14ac:dyDescent="0.25">
      <c r="A1237" s="807"/>
      <c r="B1237" s="807"/>
      <c r="C1237" s="807"/>
      <c r="D1237" s="807"/>
      <c r="E1237" s="807"/>
      <c r="F1237" s="807"/>
      <c r="G1237" s="807"/>
      <c r="H1237" s="809"/>
      <c r="I1237" s="810"/>
      <c r="J1237" s="810"/>
      <c r="K1237" s="817"/>
      <c r="L1237" s="811"/>
      <c r="M1237" s="812"/>
      <c r="N1237" s="812"/>
      <c r="O1237" s="811"/>
      <c r="P1237" s="812"/>
      <c r="Q1237" s="812"/>
    </row>
    <row r="1238" spans="1:17" x14ac:dyDescent="0.25">
      <c r="A1238" s="807"/>
      <c r="B1238" s="807"/>
      <c r="C1238" s="807"/>
      <c r="D1238" s="807"/>
      <c r="E1238" s="807"/>
      <c r="F1238" s="807"/>
      <c r="G1238" s="807"/>
      <c r="H1238" s="809"/>
      <c r="I1238" s="810"/>
      <c r="J1238" s="810"/>
      <c r="K1238" s="817"/>
      <c r="L1238" s="811"/>
      <c r="M1238" s="812"/>
      <c r="N1238" s="812"/>
      <c r="O1238" s="811"/>
      <c r="P1238" s="812"/>
      <c r="Q1238" s="812"/>
    </row>
    <row r="1239" spans="1:17" x14ac:dyDescent="0.25">
      <c r="A1239" s="807"/>
      <c r="B1239" s="807"/>
      <c r="C1239" s="807"/>
      <c r="D1239" s="807"/>
      <c r="E1239" s="807"/>
      <c r="F1239" s="807"/>
      <c r="G1239" s="807"/>
      <c r="H1239" s="809"/>
      <c r="I1239" s="810"/>
      <c r="J1239" s="810"/>
      <c r="K1239" s="817"/>
      <c r="L1239" s="811"/>
      <c r="M1239" s="812"/>
      <c r="N1239" s="812"/>
      <c r="O1239" s="811"/>
      <c r="P1239" s="812"/>
      <c r="Q1239" s="812"/>
    </row>
    <row r="1240" spans="1:17" x14ac:dyDescent="0.25">
      <c r="A1240" s="807"/>
      <c r="B1240" s="807"/>
      <c r="C1240" s="807"/>
      <c r="D1240" s="807"/>
      <c r="E1240" s="807"/>
      <c r="F1240" s="807"/>
      <c r="G1240" s="807"/>
      <c r="H1240" s="809"/>
      <c r="I1240" s="810"/>
      <c r="J1240" s="810"/>
      <c r="K1240" s="817"/>
      <c r="L1240" s="811"/>
      <c r="M1240" s="812"/>
      <c r="N1240" s="812"/>
      <c r="O1240" s="811"/>
      <c r="P1240" s="812"/>
      <c r="Q1240" s="812"/>
    </row>
    <row r="1241" spans="1:17" x14ac:dyDescent="0.25">
      <c r="A1241" s="807"/>
      <c r="B1241" s="807"/>
      <c r="C1241" s="807"/>
      <c r="D1241" s="807"/>
      <c r="E1241" s="807"/>
      <c r="F1241" s="807"/>
      <c r="G1241" s="807"/>
      <c r="H1241" s="809"/>
      <c r="I1241" s="810"/>
      <c r="J1241" s="810"/>
      <c r="K1241" s="817"/>
      <c r="L1241" s="811"/>
      <c r="M1241" s="812"/>
      <c r="N1241" s="812"/>
      <c r="O1241" s="811"/>
      <c r="P1241" s="812"/>
      <c r="Q1241" s="812"/>
    </row>
    <row r="1242" spans="1:17" x14ac:dyDescent="0.25">
      <c r="A1242" s="807"/>
      <c r="B1242" s="807"/>
      <c r="C1242" s="807"/>
      <c r="D1242" s="807"/>
      <c r="E1242" s="807"/>
      <c r="F1242" s="807"/>
      <c r="G1242" s="807"/>
      <c r="H1242" s="809"/>
      <c r="I1242" s="810"/>
      <c r="J1242" s="810"/>
      <c r="K1242" s="817"/>
      <c r="L1242" s="811"/>
      <c r="M1242" s="812"/>
      <c r="N1242" s="812"/>
      <c r="O1242" s="811"/>
      <c r="P1242" s="812"/>
      <c r="Q1242" s="812"/>
    </row>
    <row r="1243" spans="1:17" x14ac:dyDescent="0.25">
      <c r="A1243" s="807"/>
      <c r="B1243" s="807"/>
      <c r="C1243" s="807"/>
      <c r="D1243" s="807"/>
      <c r="E1243" s="807"/>
      <c r="F1243" s="807"/>
      <c r="G1243" s="807"/>
      <c r="H1243" s="809"/>
      <c r="I1243" s="810"/>
      <c r="J1243" s="810"/>
      <c r="K1243" s="817"/>
      <c r="L1243" s="811"/>
      <c r="M1243" s="812"/>
      <c r="N1243" s="812"/>
      <c r="O1243" s="811"/>
      <c r="P1243" s="812"/>
      <c r="Q1243" s="812"/>
    </row>
    <row r="1244" spans="1:17" x14ac:dyDescent="0.25">
      <c r="A1244" s="807"/>
      <c r="B1244" s="807"/>
      <c r="C1244" s="807"/>
      <c r="D1244" s="807"/>
      <c r="E1244" s="807"/>
      <c r="F1244" s="807"/>
      <c r="G1244" s="807"/>
      <c r="H1244" s="809"/>
      <c r="I1244" s="810"/>
      <c r="J1244" s="810"/>
      <c r="K1244" s="817"/>
      <c r="L1244" s="811"/>
      <c r="M1244" s="812"/>
      <c r="N1244" s="812"/>
      <c r="O1244" s="811"/>
      <c r="P1244" s="812"/>
      <c r="Q1244" s="812"/>
    </row>
    <row r="1245" spans="1:17" x14ac:dyDescent="0.25">
      <c r="A1245" s="807"/>
      <c r="B1245" s="807"/>
      <c r="C1245" s="807"/>
      <c r="D1245" s="807"/>
      <c r="E1245" s="807"/>
      <c r="F1245" s="807"/>
      <c r="G1245" s="807"/>
      <c r="H1245" s="809"/>
      <c r="I1245" s="810"/>
      <c r="J1245" s="810"/>
      <c r="K1245" s="817"/>
      <c r="L1245" s="811"/>
      <c r="M1245" s="812"/>
      <c r="N1245" s="812"/>
      <c r="O1245" s="811"/>
      <c r="P1245" s="812"/>
      <c r="Q1245" s="812"/>
    </row>
    <row r="1246" spans="1:17" x14ac:dyDescent="0.25">
      <c r="A1246" s="807"/>
      <c r="B1246" s="807"/>
      <c r="C1246" s="807"/>
      <c r="D1246" s="807"/>
      <c r="E1246" s="807"/>
      <c r="F1246" s="807"/>
      <c r="G1246" s="807"/>
      <c r="H1246" s="809"/>
      <c r="I1246" s="810"/>
      <c r="J1246" s="810"/>
      <c r="K1246" s="807"/>
      <c r="L1246" s="811"/>
      <c r="M1246" s="812"/>
      <c r="N1246" s="812"/>
      <c r="O1246" s="811"/>
      <c r="P1246" s="812"/>
      <c r="Q1246" s="812"/>
    </row>
    <row r="1247" spans="1:17" x14ac:dyDescent="0.25">
      <c r="A1247" s="807"/>
      <c r="B1247" s="807"/>
      <c r="C1247" s="807"/>
      <c r="D1247" s="807"/>
      <c r="E1247" s="807"/>
      <c r="F1247" s="807"/>
      <c r="G1247" s="807"/>
      <c r="H1247" s="809"/>
      <c r="I1247" s="810"/>
      <c r="J1247" s="810"/>
      <c r="K1247" s="817"/>
      <c r="L1247" s="811"/>
      <c r="M1247" s="812"/>
      <c r="N1247" s="812"/>
      <c r="O1247" s="811"/>
      <c r="P1247" s="812"/>
      <c r="Q1247" s="812"/>
    </row>
    <row r="1248" spans="1:17" x14ac:dyDescent="0.25">
      <c r="A1248" s="807"/>
      <c r="B1248" s="807"/>
      <c r="C1248" s="807"/>
      <c r="D1248" s="807"/>
      <c r="E1248" s="807"/>
      <c r="F1248" s="807"/>
      <c r="G1248" s="807"/>
      <c r="H1248" s="809"/>
      <c r="I1248" s="810"/>
      <c r="J1248" s="810"/>
      <c r="K1248" s="817"/>
      <c r="L1248" s="811"/>
      <c r="M1248" s="812"/>
      <c r="N1248" s="812"/>
      <c r="O1248" s="811"/>
      <c r="P1248" s="812"/>
      <c r="Q1248" s="812"/>
    </row>
    <row r="1249" spans="1:17" x14ac:dyDescent="0.25">
      <c r="A1249" s="807"/>
      <c r="B1249" s="807"/>
      <c r="C1249" s="807"/>
      <c r="D1249" s="807"/>
      <c r="E1249" s="807"/>
      <c r="F1249" s="807"/>
      <c r="G1249" s="807"/>
      <c r="H1249" s="809"/>
      <c r="I1249" s="810"/>
      <c r="J1249" s="810"/>
      <c r="K1249" s="817"/>
      <c r="L1249" s="811"/>
      <c r="M1249" s="812"/>
      <c r="N1249" s="812"/>
      <c r="O1249" s="811"/>
      <c r="P1249" s="812"/>
      <c r="Q1249" s="812"/>
    </row>
    <row r="1250" spans="1:17" x14ac:dyDescent="0.25">
      <c r="A1250" s="807"/>
      <c r="B1250" s="807"/>
      <c r="C1250" s="807"/>
      <c r="D1250" s="807"/>
      <c r="E1250" s="807"/>
      <c r="F1250" s="807"/>
      <c r="G1250" s="807"/>
      <c r="H1250" s="809"/>
      <c r="I1250" s="810"/>
      <c r="J1250" s="810"/>
      <c r="K1250" s="817"/>
      <c r="L1250" s="811"/>
      <c r="M1250" s="812"/>
      <c r="N1250" s="812"/>
      <c r="O1250" s="811"/>
      <c r="P1250" s="812"/>
      <c r="Q1250" s="812"/>
    </row>
    <row r="1251" spans="1:17" x14ac:dyDescent="0.25">
      <c r="A1251" s="807"/>
      <c r="B1251" s="807"/>
      <c r="C1251" s="807"/>
      <c r="D1251" s="807"/>
      <c r="E1251" s="807"/>
      <c r="F1251" s="807"/>
      <c r="G1251" s="807"/>
      <c r="H1251" s="809"/>
      <c r="I1251" s="810"/>
      <c r="J1251" s="810"/>
      <c r="K1251" s="817"/>
      <c r="L1251" s="811"/>
      <c r="M1251" s="812"/>
      <c r="N1251" s="812"/>
      <c r="O1251" s="811"/>
      <c r="P1251" s="812"/>
      <c r="Q1251" s="812"/>
    </row>
    <row r="1252" spans="1:17" x14ac:dyDescent="0.25">
      <c r="A1252" s="807"/>
      <c r="B1252" s="807"/>
      <c r="C1252" s="807"/>
      <c r="D1252" s="807"/>
      <c r="E1252" s="807"/>
      <c r="F1252" s="807"/>
      <c r="G1252" s="807"/>
      <c r="H1252" s="809"/>
      <c r="I1252" s="810"/>
      <c r="J1252" s="810"/>
      <c r="K1252" s="817"/>
      <c r="L1252" s="811"/>
      <c r="M1252" s="812"/>
      <c r="N1252" s="812"/>
      <c r="O1252" s="811"/>
      <c r="P1252" s="812"/>
      <c r="Q1252" s="812"/>
    </row>
    <row r="1253" spans="1:17" x14ac:dyDescent="0.25">
      <c r="A1253" s="807"/>
      <c r="B1253" s="807"/>
      <c r="C1253" s="807"/>
      <c r="D1253" s="807"/>
      <c r="E1253" s="807"/>
      <c r="F1253" s="807"/>
      <c r="G1253" s="807"/>
      <c r="H1253" s="809"/>
      <c r="I1253" s="810"/>
      <c r="J1253" s="810"/>
      <c r="K1253" s="817"/>
      <c r="L1253" s="811"/>
      <c r="M1253" s="812"/>
      <c r="N1253" s="812"/>
      <c r="O1253" s="811"/>
      <c r="P1253" s="812"/>
      <c r="Q1253" s="812"/>
    </row>
    <row r="1254" spans="1:17" x14ac:dyDescent="0.25">
      <c r="A1254" s="807"/>
      <c r="B1254" s="807"/>
      <c r="C1254" s="807"/>
      <c r="D1254" s="807"/>
      <c r="E1254" s="807"/>
      <c r="F1254" s="807"/>
      <c r="G1254" s="807"/>
      <c r="H1254" s="809"/>
      <c r="I1254" s="810"/>
      <c r="J1254" s="810"/>
      <c r="K1254" s="817"/>
      <c r="L1254" s="811"/>
      <c r="M1254" s="812"/>
      <c r="N1254" s="812"/>
      <c r="O1254" s="811"/>
      <c r="P1254" s="812"/>
      <c r="Q1254" s="812"/>
    </row>
    <row r="1255" spans="1:17" x14ac:dyDescent="0.25">
      <c r="A1255" s="807"/>
      <c r="B1255" s="807"/>
      <c r="C1255" s="807"/>
      <c r="D1255" s="807"/>
      <c r="E1255" s="807"/>
      <c r="F1255" s="807"/>
      <c r="G1255" s="807"/>
      <c r="H1255" s="809"/>
      <c r="I1255" s="810"/>
      <c r="J1255" s="810"/>
      <c r="K1255" s="807"/>
      <c r="L1255" s="811"/>
      <c r="M1255" s="812"/>
      <c r="N1255" s="812"/>
      <c r="O1255" s="811"/>
      <c r="P1255" s="812"/>
      <c r="Q1255" s="812"/>
    </row>
    <row r="1256" spans="1:17" x14ac:dyDescent="0.25">
      <c r="A1256" s="807"/>
      <c r="B1256" s="807"/>
      <c r="C1256" s="807"/>
      <c r="D1256" s="807"/>
      <c r="E1256" s="807"/>
      <c r="F1256" s="807"/>
      <c r="G1256" s="807"/>
      <c r="H1256" s="809"/>
      <c r="I1256" s="810"/>
      <c r="J1256" s="810"/>
      <c r="K1256" s="817"/>
      <c r="L1256" s="811"/>
      <c r="M1256" s="812"/>
      <c r="N1256" s="812"/>
      <c r="O1256" s="811"/>
      <c r="P1256" s="812"/>
      <c r="Q1256" s="812"/>
    </row>
    <row r="1257" spans="1:17" x14ac:dyDescent="0.25">
      <c r="A1257" s="807"/>
      <c r="B1257" s="807"/>
      <c r="C1257" s="807"/>
      <c r="D1257" s="807"/>
      <c r="E1257" s="807"/>
      <c r="F1257" s="807"/>
      <c r="G1257" s="807"/>
      <c r="H1257" s="809"/>
      <c r="I1257" s="810"/>
      <c r="J1257" s="810"/>
      <c r="K1257" s="817"/>
      <c r="L1257" s="811"/>
      <c r="M1257" s="812"/>
      <c r="N1257" s="812"/>
      <c r="O1257" s="811"/>
      <c r="P1257" s="812"/>
      <c r="Q1257" s="812"/>
    </row>
    <row r="1258" spans="1:17" x14ac:dyDescent="0.25">
      <c r="A1258" s="807"/>
      <c r="B1258" s="807"/>
      <c r="C1258" s="807"/>
      <c r="D1258" s="807"/>
      <c r="E1258" s="807"/>
      <c r="F1258" s="807"/>
      <c r="G1258" s="807"/>
      <c r="H1258" s="809"/>
      <c r="I1258" s="810"/>
      <c r="J1258" s="810"/>
      <c r="K1258" s="817"/>
      <c r="L1258" s="811"/>
      <c r="M1258" s="812"/>
      <c r="N1258" s="812"/>
      <c r="O1258" s="811"/>
      <c r="P1258" s="812"/>
      <c r="Q1258" s="812"/>
    </row>
    <row r="1259" spans="1:17" x14ac:dyDescent="0.25">
      <c r="A1259" s="807"/>
      <c r="B1259" s="807"/>
      <c r="C1259" s="807"/>
      <c r="D1259" s="807"/>
      <c r="E1259" s="807"/>
      <c r="F1259" s="807"/>
      <c r="G1259" s="807"/>
      <c r="H1259" s="809"/>
      <c r="I1259" s="810"/>
      <c r="J1259" s="810"/>
      <c r="K1259" s="817"/>
      <c r="L1259" s="811"/>
      <c r="M1259" s="812"/>
      <c r="N1259" s="812"/>
      <c r="O1259" s="811"/>
      <c r="P1259" s="812"/>
      <c r="Q1259" s="812"/>
    </row>
    <row r="1260" spans="1:17" x14ac:dyDescent="0.25">
      <c r="A1260" s="807"/>
      <c r="B1260" s="807"/>
      <c r="C1260" s="807"/>
      <c r="D1260" s="807"/>
      <c r="E1260" s="807"/>
      <c r="F1260" s="807"/>
      <c r="G1260" s="807"/>
      <c r="H1260" s="809"/>
      <c r="I1260" s="810"/>
      <c r="J1260" s="810"/>
      <c r="K1260" s="817"/>
      <c r="L1260" s="811"/>
      <c r="M1260" s="812"/>
      <c r="N1260" s="812"/>
      <c r="O1260" s="811"/>
      <c r="P1260" s="812"/>
      <c r="Q1260" s="812"/>
    </row>
    <row r="1261" spans="1:17" x14ac:dyDescent="0.25">
      <c r="A1261" s="807"/>
      <c r="B1261" s="807"/>
      <c r="C1261" s="807"/>
      <c r="D1261" s="807"/>
      <c r="E1261" s="807"/>
      <c r="F1261" s="807"/>
      <c r="G1261" s="807"/>
      <c r="H1261" s="809"/>
      <c r="I1261" s="810"/>
      <c r="J1261" s="810"/>
      <c r="K1261" s="817"/>
      <c r="L1261" s="811"/>
      <c r="M1261" s="812"/>
      <c r="N1261" s="812"/>
      <c r="O1261" s="811"/>
      <c r="P1261" s="812"/>
      <c r="Q1261" s="812"/>
    </row>
    <row r="1262" spans="1:17" x14ac:dyDescent="0.25">
      <c r="A1262" s="807"/>
      <c r="B1262" s="807"/>
      <c r="C1262" s="807"/>
      <c r="D1262" s="807"/>
      <c r="E1262" s="807"/>
      <c r="F1262" s="807"/>
      <c r="G1262" s="807"/>
      <c r="H1262" s="809"/>
      <c r="I1262" s="810"/>
      <c r="J1262" s="810"/>
      <c r="K1262" s="807"/>
      <c r="L1262" s="811"/>
      <c r="M1262" s="812"/>
      <c r="N1262" s="812"/>
      <c r="O1262" s="811"/>
      <c r="P1262" s="812"/>
      <c r="Q1262" s="812"/>
    </row>
    <row r="1263" spans="1:17" x14ac:dyDescent="0.25">
      <c r="A1263" s="807"/>
      <c r="B1263" s="807"/>
      <c r="C1263" s="807"/>
      <c r="D1263" s="807"/>
      <c r="E1263" s="807"/>
      <c r="F1263" s="807"/>
      <c r="G1263" s="807"/>
      <c r="H1263" s="809"/>
      <c r="I1263" s="810"/>
      <c r="J1263" s="810"/>
      <c r="K1263" s="817"/>
      <c r="L1263" s="811"/>
      <c r="M1263" s="812"/>
      <c r="N1263" s="812"/>
      <c r="O1263" s="811"/>
      <c r="P1263" s="812"/>
      <c r="Q1263" s="812"/>
    </row>
    <row r="1264" spans="1:17" x14ac:dyDescent="0.25">
      <c r="A1264" s="807"/>
      <c r="B1264" s="807"/>
      <c r="C1264" s="807"/>
      <c r="D1264" s="807"/>
      <c r="E1264" s="807"/>
      <c r="F1264" s="807"/>
      <c r="G1264" s="807"/>
      <c r="H1264" s="809"/>
      <c r="I1264" s="810"/>
      <c r="J1264" s="810"/>
      <c r="K1264" s="817"/>
      <c r="L1264" s="811"/>
      <c r="M1264" s="812"/>
      <c r="N1264" s="812"/>
      <c r="O1264" s="811"/>
      <c r="P1264" s="812"/>
      <c r="Q1264" s="812"/>
    </row>
    <row r="1265" spans="1:18" x14ac:dyDescent="0.25">
      <c r="A1265" s="807"/>
      <c r="B1265" s="807"/>
      <c r="C1265" s="807"/>
      <c r="D1265" s="807"/>
      <c r="E1265" s="807"/>
      <c r="F1265" s="807"/>
      <c r="G1265" s="807"/>
      <c r="H1265" s="809"/>
      <c r="I1265" s="810"/>
      <c r="J1265" s="810"/>
      <c r="K1265" s="817"/>
      <c r="L1265" s="811"/>
      <c r="M1265" s="812"/>
      <c r="N1265" s="812"/>
      <c r="O1265" s="811"/>
      <c r="P1265" s="812"/>
      <c r="Q1265" s="812"/>
    </row>
    <row r="1266" spans="1:18" x14ac:dyDescent="0.25">
      <c r="A1266" s="807"/>
      <c r="B1266" s="807"/>
      <c r="C1266" s="807"/>
      <c r="D1266" s="807"/>
      <c r="E1266" s="807"/>
      <c r="F1266" s="807"/>
      <c r="G1266" s="807"/>
      <c r="H1266" s="809"/>
      <c r="I1266" s="810"/>
      <c r="J1266" s="810"/>
      <c r="K1266" s="817"/>
      <c r="L1266" s="811"/>
      <c r="M1266" s="812"/>
      <c r="N1266" s="812"/>
      <c r="O1266" s="811"/>
      <c r="P1266" s="812"/>
      <c r="Q1266" s="812"/>
    </row>
    <row r="1267" spans="1:18" x14ac:dyDescent="0.25">
      <c r="A1267" s="807"/>
      <c r="B1267" s="807"/>
      <c r="C1267" s="807"/>
      <c r="D1267" s="807"/>
      <c r="E1267" s="807"/>
      <c r="F1267" s="807"/>
      <c r="G1267" s="807"/>
      <c r="H1267" s="809"/>
      <c r="I1267" s="810"/>
      <c r="J1267" s="810"/>
      <c r="K1267" s="817"/>
      <c r="L1267" s="811"/>
      <c r="M1267" s="812"/>
      <c r="N1267" s="812"/>
      <c r="O1267" s="811"/>
      <c r="P1267" s="812"/>
      <c r="Q1267" s="812"/>
    </row>
    <row r="1268" spans="1:18" x14ac:dyDescent="0.25">
      <c r="A1268" s="807"/>
      <c r="B1268" s="807"/>
      <c r="C1268" s="807"/>
      <c r="D1268" s="807"/>
      <c r="E1268" s="807"/>
      <c r="F1268" s="807"/>
      <c r="G1268" s="807"/>
      <c r="H1268" s="809"/>
      <c r="I1268" s="810"/>
      <c r="J1268" s="810"/>
      <c r="K1268" s="817"/>
      <c r="L1268" s="811"/>
      <c r="M1268" s="812"/>
      <c r="N1268" s="812"/>
      <c r="O1268" s="811"/>
      <c r="P1268" s="812"/>
      <c r="Q1268" s="812"/>
    </row>
    <row r="1269" spans="1:18" x14ac:dyDescent="0.25">
      <c r="A1269" s="807"/>
      <c r="B1269" s="807"/>
      <c r="C1269" s="807"/>
      <c r="D1269" s="807"/>
      <c r="E1269" s="807"/>
      <c r="F1269" s="807"/>
      <c r="G1269" s="807"/>
      <c r="H1269" s="809"/>
      <c r="I1269" s="810"/>
      <c r="J1269" s="810"/>
      <c r="K1269" s="817"/>
      <c r="L1269" s="811"/>
      <c r="M1269" s="812"/>
      <c r="N1269" s="812"/>
      <c r="O1269" s="811"/>
      <c r="P1269" s="812"/>
      <c r="Q1269" s="812"/>
    </row>
    <row r="1270" spans="1:18" x14ac:dyDescent="0.25">
      <c r="A1270" s="818"/>
      <c r="B1270" s="807"/>
      <c r="C1270" s="818"/>
      <c r="D1270" s="818"/>
      <c r="E1270" s="818"/>
      <c r="F1270" s="818"/>
      <c r="G1270" s="818"/>
      <c r="H1270" s="809"/>
      <c r="I1270" s="810"/>
      <c r="J1270" s="810"/>
      <c r="K1270" s="817"/>
      <c r="L1270" s="811"/>
      <c r="M1270" s="812"/>
      <c r="N1270" s="812"/>
      <c r="O1270" s="811"/>
      <c r="P1270" s="812"/>
      <c r="Q1270" s="812"/>
      <c r="R1270" s="806"/>
    </row>
    <row r="1271" spans="1:18" x14ac:dyDescent="0.25">
      <c r="A1271" s="818"/>
      <c r="B1271" s="807"/>
      <c r="C1271" s="818"/>
      <c r="D1271" s="818"/>
      <c r="E1271" s="818"/>
      <c r="F1271" s="818"/>
      <c r="G1271" s="818"/>
      <c r="H1271" s="809"/>
      <c r="I1271" s="810"/>
      <c r="J1271" s="810"/>
      <c r="K1271" s="807"/>
      <c r="L1271" s="811"/>
      <c r="M1271" s="812"/>
      <c r="N1271" s="812"/>
      <c r="O1271" s="811"/>
      <c r="P1271" s="812"/>
      <c r="Q1271" s="812"/>
    </row>
    <row r="1272" spans="1:18" x14ac:dyDescent="0.25">
      <c r="A1272" s="818"/>
      <c r="B1272" s="807"/>
      <c r="C1272" s="818"/>
      <c r="D1272" s="818"/>
      <c r="E1272" s="818"/>
      <c r="F1272" s="818"/>
      <c r="G1272" s="818"/>
      <c r="H1272" s="809"/>
      <c r="I1272" s="810"/>
      <c r="J1272" s="810"/>
      <c r="K1272" s="817"/>
      <c r="L1272" s="811"/>
      <c r="M1272" s="812"/>
      <c r="N1272" s="812"/>
      <c r="O1272" s="811"/>
      <c r="P1272" s="812"/>
      <c r="Q1272" s="812"/>
    </row>
    <row r="1273" spans="1:18" x14ac:dyDescent="0.25">
      <c r="A1273" s="818"/>
      <c r="B1273" s="807"/>
      <c r="C1273" s="818"/>
      <c r="D1273" s="818"/>
      <c r="E1273" s="818"/>
      <c r="F1273" s="818"/>
      <c r="G1273" s="818"/>
      <c r="H1273" s="809"/>
      <c r="I1273" s="810"/>
      <c r="J1273" s="810"/>
      <c r="K1273" s="817"/>
      <c r="L1273" s="811"/>
      <c r="M1273" s="812"/>
      <c r="N1273" s="812"/>
      <c r="O1273" s="811"/>
      <c r="P1273" s="812"/>
      <c r="Q1273" s="812"/>
    </row>
    <row r="1274" spans="1:18" x14ac:dyDescent="0.25">
      <c r="A1274" s="818"/>
      <c r="B1274" s="807"/>
      <c r="C1274" s="818"/>
      <c r="D1274" s="818"/>
      <c r="E1274" s="818"/>
      <c r="F1274" s="818"/>
      <c r="G1274" s="818"/>
      <c r="H1274" s="809"/>
      <c r="I1274" s="810"/>
      <c r="J1274" s="810"/>
      <c r="K1274" s="817"/>
      <c r="L1274" s="811"/>
      <c r="M1274" s="812"/>
      <c r="N1274" s="812"/>
      <c r="O1274" s="811"/>
      <c r="P1274" s="812"/>
      <c r="Q1274" s="812"/>
    </row>
    <row r="1275" spans="1:18" x14ac:dyDescent="0.25">
      <c r="A1275" s="818"/>
      <c r="B1275" s="807"/>
      <c r="C1275" s="818"/>
      <c r="D1275" s="818"/>
      <c r="E1275" s="818"/>
      <c r="F1275" s="818"/>
      <c r="G1275" s="818"/>
      <c r="H1275" s="809"/>
      <c r="I1275" s="810"/>
      <c r="J1275" s="810"/>
      <c r="K1275" s="817"/>
      <c r="L1275" s="811"/>
      <c r="M1275" s="812"/>
      <c r="N1275" s="812"/>
      <c r="O1275" s="811"/>
      <c r="P1275" s="812"/>
      <c r="Q1275" s="812"/>
    </row>
    <row r="1276" spans="1:18" x14ac:dyDescent="0.25">
      <c r="A1276" s="818"/>
      <c r="B1276" s="807"/>
      <c r="C1276" s="818"/>
      <c r="D1276" s="818"/>
      <c r="E1276" s="818"/>
      <c r="F1276" s="818"/>
      <c r="G1276" s="818"/>
      <c r="H1276" s="809"/>
      <c r="I1276" s="810"/>
      <c r="J1276" s="810"/>
      <c r="K1276" s="817"/>
      <c r="L1276" s="811"/>
      <c r="M1276" s="812"/>
      <c r="N1276" s="812"/>
      <c r="O1276" s="811"/>
      <c r="P1276" s="812"/>
      <c r="Q1276" s="812"/>
    </row>
    <row r="1277" spans="1:18" x14ac:dyDescent="0.25">
      <c r="A1277" s="818"/>
      <c r="B1277" s="807"/>
      <c r="C1277" s="818"/>
      <c r="D1277" s="818"/>
      <c r="E1277" s="818"/>
      <c r="F1277" s="818"/>
      <c r="G1277" s="818"/>
      <c r="H1277" s="809"/>
      <c r="I1277" s="810"/>
      <c r="J1277" s="810"/>
      <c r="K1277" s="817"/>
      <c r="L1277" s="811"/>
      <c r="M1277" s="812"/>
      <c r="N1277" s="812"/>
      <c r="O1277" s="811"/>
      <c r="P1277" s="812"/>
      <c r="Q1277" s="812"/>
    </row>
    <row r="1278" spans="1:18" x14ac:dyDescent="0.25">
      <c r="A1278" s="818"/>
      <c r="B1278" s="807"/>
      <c r="C1278" s="818"/>
      <c r="D1278" s="818"/>
      <c r="E1278" s="818"/>
      <c r="F1278" s="818"/>
      <c r="G1278" s="818"/>
      <c r="H1278" s="809"/>
      <c r="I1278" s="810"/>
      <c r="J1278" s="810"/>
      <c r="K1278" s="817"/>
      <c r="L1278" s="811"/>
      <c r="M1278" s="812"/>
      <c r="N1278" s="812"/>
      <c r="O1278" s="811"/>
      <c r="P1278" s="812"/>
      <c r="Q1278" s="812"/>
    </row>
    <row r="1279" spans="1:18" x14ac:dyDescent="0.25">
      <c r="A1279" s="818"/>
      <c r="B1279" s="807"/>
      <c r="C1279" s="818"/>
      <c r="D1279" s="818"/>
      <c r="E1279" s="818"/>
      <c r="F1279" s="818"/>
      <c r="G1279" s="818"/>
      <c r="H1279" s="809"/>
      <c r="I1279" s="810"/>
      <c r="J1279" s="810"/>
      <c r="K1279" s="817"/>
      <c r="L1279" s="811"/>
      <c r="M1279" s="812"/>
      <c r="N1279" s="812"/>
      <c r="O1279" s="811"/>
      <c r="P1279" s="812"/>
      <c r="Q1279" s="812"/>
    </row>
    <row r="1280" spans="1:18" x14ac:dyDescent="0.25">
      <c r="A1280" s="818"/>
      <c r="B1280" s="818"/>
      <c r="C1280" s="818"/>
      <c r="D1280" s="818"/>
      <c r="E1280" s="818"/>
      <c r="F1280" s="818"/>
      <c r="G1280" s="818"/>
      <c r="H1280" s="809"/>
      <c r="I1280" s="810"/>
      <c r="J1280" s="810"/>
      <c r="K1280" s="817"/>
      <c r="L1280" s="811"/>
      <c r="M1280" s="812"/>
      <c r="N1280" s="812"/>
      <c r="O1280" s="811"/>
      <c r="P1280" s="812"/>
      <c r="Q1280" s="812"/>
    </row>
    <row r="1281" spans="1:17" x14ac:dyDescent="0.25">
      <c r="A1281" s="818"/>
      <c r="B1281" s="818"/>
      <c r="C1281" s="818"/>
      <c r="D1281" s="818"/>
      <c r="E1281" s="818"/>
      <c r="F1281" s="818"/>
      <c r="G1281" s="818"/>
      <c r="H1281" s="809"/>
      <c r="I1281" s="810"/>
      <c r="J1281" s="810"/>
      <c r="K1281" s="817"/>
      <c r="L1281" s="811"/>
      <c r="M1281" s="812"/>
      <c r="N1281" s="812"/>
      <c r="O1281" s="811"/>
      <c r="P1281" s="812"/>
      <c r="Q1281" s="812"/>
    </row>
    <row r="1282" spans="1:17" x14ac:dyDescent="0.25">
      <c r="A1282" s="818"/>
      <c r="B1282" s="818"/>
      <c r="C1282" s="818"/>
      <c r="D1282" s="818"/>
      <c r="E1282" s="818"/>
      <c r="F1282" s="818"/>
      <c r="G1282" s="818"/>
      <c r="H1282" s="809"/>
      <c r="I1282" s="810"/>
      <c r="J1282" s="810"/>
      <c r="K1282" s="817"/>
      <c r="L1282" s="811"/>
      <c r="M1282" s="812"/>
      <c r="N1282" s="812"/>
      <c r="O1282" s="811"/>
      <c r="P1282" s="812"/>
      <c r="Q1282" s="812"/>
    </row>
    <row r="1283" spans="1:17" x14ac:dyDescent="0.25">
      <c r="A1283" s="818"/>
      <c r="B1283" s="818"/>
      <c r="C1283" s="818"/>
      <c r="D1283" s="818"/>
      <c r="E1283" s="818"/>
      <c r="F1283" s="818"/>
      <c r="G1283" s="818"/>
      <c r="H1283" s="809"/>
      <c r="I1283" s="810"/>
      <c r="J1283" s="810"/>
      <c r="K1283" s="817"/>
      <c r="L1283" s="811"/>
      <c r="M1283" s="812"/>
      <c r="N1283" s="812"/>
      <c r="O1283" s="811"/>
      <c r="P1283" s="812"/>
      <c r="Q1283" s="812"/>
    </row>
    <row r="1284" spans="1:17" x14ac:dyDescent="0.25">
      <c r="A1284" s="818"/>
      <c r="B1284" s="818"/>
      <c r="C1284" s="818"/>
      <c r="D1284" s="818"/>
      <c r="E1284" s="818"/>
      <c r="F1284" s="818"/>
      <c r="G1284" s="818"/>
      <c r="H1284" s="809"/>
      <c r="I1284" s="810"/>
      <c r="J1284" s="810"/>
      <c r="K1284" s="817"/>
      <c r="L1284" s="811"/>
      <c r="M1284" s="812"/>
      <c r="N1284" s="812"/>
      <c r="O1284" s="811"/>
      <c r="P1284" s="812"/>
      <c r="Q1284" s="812"/>
    </row>
    <row r="1285" spans="1:17" x14ac:dyDescent="0.25">
      <c r="A1285" s="818"/>
      <c r="B1285" s="818"/>
      <c r="C1285" s="818"/>
      <c r="D1285" s="818"/>
      <c r="E1285" s="818"/>
      <c r="F1285" s="818"/>
      <c r="G1285" s="818"/>
      <c r="H1285" s="809"/>
      <c r="I1285" s="810"/>
      <c r="J1285" s="810"/>
      <c r="K1285" s="817"/>
      <c r="L1285" s="811"/>
      <c r="M1285" s="812"/>
      <c r="N1285" s="812"/>
      <c r="O1285" s="811"/>
      <c r="P1285" s="812"/>
      <c r="Q1285" s="812"/>
    </row>
    <row r="1286" spans="1:17" x14ac:dyDescent="0.25">
      <c r="A1286" s="818"/>
      <c r="B1286" s="818"/>
      <c r="C1286" s="818"/>
      <c r="D1286" s="818"/>
      <c r="E1286" s="818"/>
      <c r="F1286" s="818"/>
      <c r="G1286" s="818"/>
      <c r="H1286" s="809"/>
      <c r="I1286" s="810"/>
      <c r="J1286" s="810"/>
      <c r="K1286" s="817"/>
      <c r="L1286" s="811"/>
      <c r="M1286" s="812"/>
      <c r="N1286" s="812"/>
      <c r="O1286" s="811"/>
      <c r="P1286" s="812"/>
      <c r="Q1286" s="812"/>
    </row>
    <row r="1287" spans="1:17" x14ac:dyDescent="0.25">
      <c r="A1287" s="818"/>
      <c r="B1287" s="818"/>
      <c r="C1287" s="818"/>
      <c r="D1287" s="818"/>
      <c r="E1287" s="818"/>
      <c r="F1287" s="818"/>
      <c r="G1287" s="818"/>
      <c r="H1287" s="809"/>
      <c r="I1287" s="810"/>
      <c r="J1287" s="810"/>
      <c r="K1287" s="817"/>
      <c r="L1287" s="811"/>
      <c r="M1287" s="812"/>
      <c r="N1287" s="812"/>
      <c r="O1287" s="811"/>
      <c r="P1287" s="812"/>
      <c r="Q1287" s="812"/>
    </row>
    <row r="1288" spans="1:17" x14ac:dyDescent="0.25">
      <c r="A1288" s="818"/>
      <c r="B1288" s="818"/>
      <c r="C1288" s="818"/>
      <c r="D1288" s="818"/>
      <c r="E1288" s="818"/>
      <c r="F1288" s="818"/>
      <c r="G1288" s="818"/>
      <c r="H1288" s="809"/>
      <c r="I1288" s="810"/>
      <c r="J1288" s="810"/>
      <c r="K1288" s="817"/>
      <c r="L1288" s="811"/>
      <c r="M1288" s="812"/>
      <c r="N1288" s="812"/>
      <c r="O1288" s="811"/>
      <c r="P1288" s="812"/>
      <c r="Q1288" s="812"/>
    </row>
    <row r="1289" spans="1:17" x14ac:dyDescent="0.25">
      <c r="A1289" s="818"/>
      <c r="B1289" s="818"/>
      <c r="C1289" s="818"/>
      <c r="D1289" s="818"/>
      <c r="E1289" s="818"/>
      <c r="F1289" s="818"/>
      <c r="G1289" s="818"/>
      <c r="H1289" s="809"/>
      <c r="I1289" s="810"/>
      <c r="J1289" s="810"/>
      <c r="K1289" s="817"/>
      <c r="L1289" s="811"/>
      <c r="M1289" s="812"/>
      <c r="N1289" s="812"/>
      <c r="O1289" s="811"/>
      <c r="P1289" s="812"/>
      <c r="Q1289" s="812"/>
    </row>
    <row r="1290" spans="1:17" x14ac:dyDescent="0.25">
      <c r="A1290" s="818"/>
      <c r="B1290" s="818"/>
      <c r="C1290" s="818"/>
      <c r="D1290" s="818"/>
      <c r="E1290" s="818"/>
      <c r="F1290" s="818"/>
      <c r="G1290" s="818"/>
      <c r="H1290" s="809"/>
      <c r="I1290" s="810"/>
      <c r="J1290" s="810"/>
      <c r="K1290" s="817"/>
      <c r="L1290" s="811"/>
      <c r="M1290" s="812"/>
      <c r="N1290" s="812"/>
      <c r="O1290" s="811"/>
      <c r="P1290" s="812"/>
      <c r="Q1290" s="812"/>
    </row>
    <row r="1291" spans="1:17" x14ac:dyDescent="0.25">
      <c r="A1291" s="818"/>
      <c r="B1291" s="818"/>
      <c r="C1291" s="818"/>
      <c r="D1291" s="818"/>
      <c r="E1291" s="818"/>
      <c r="F1291" s="818"/>
      <c r="G1291" s="818"/>
      <c r="H1291" s="809"/>
      <c r="I1291" s="810"/>
      <c r="J1291" s="810"/>
      <c r="K1291" s="817"/>
      <c r="L1291" s="811"/>
      <c r="M1291" s="812"/>
      <c r="N1291" s="812"/>
      <c r="O1291" s="811"/>
      <c r="P1291" s="812"/>
      <c r="Q1291" s="812"/>
    </row>
    <row r="1292" spans="1:17" x14ac:dyDescent="0.25">
      <c r="A1292" s="818"/>
      <c r="B1292" s="818"/>
      <c r="C1292" s="818"/>
      <c r="D1292" s="818"/>
      <c r="E1292" s="818"/>
      <c r="F1292" s="818"/>
      <c r="G1292" s="818"/>
      <c r="H1292" s="809"/>
      <c r="I1292" s="810"/>
      <c r="J1292" s="810"/>
      <c r="K1292" s="817"/>
      <c r="L1292" s="811"/>
      <c r="M1292" s="812"/>
      <c r="N1292" s="812"/>
      <c r="O1292" s="811"/>
      <c r="P1292" s="812"/>
      <c r="Q1292" s="812"/>
    </row>
    <row r="1293" spans="1:17" x14ac:dyDescent="0.25">
      <c r="A1293" s="818"/>
      <c r="B1293" s="818"/>
      <c r="C1293" s="818"/>
      <c r="D1293" s="818"/>
      <c r="E1293" s="818"/>
      <c r="F1293" s="818"/>
      <c r="G1293" s="818"/>
      <c r="H1293" s="809"/>
      <c r="I1293" s="810"/>
      <c r="J1293" s="810"/>
      <c r="K1293" s="817"/>
      <c r="L1293" s="811"/>
      <c r="M1293" s="812"/>
      <c r="N1293" s="812"/>
      <c r="O1293" s="811"/>
      <c r="P1293" s="812"/>
      <c r="Q1293" s="812"/>
    </row>
    <row r="1294" spans="1:17" x14ac:dyDescent="0.25">
      <c r="A1294" s="818"/>
      <c r="B1294" s="818"/>
      <c r="C1294" s="818"/>
      <c r="D1294" s="818"/>
      <c r="E1294" s="818"/>
      <c r="F1294" s="818"/>
      <c r="G1294" s="818"/>
      <c r="H1294" s="809"/>
      <c r="I1294" s="810"/>
      <c r="J1294" s="810"/>
      <c r="K1294" s="817"/>
      <c r="L1294" s="811"/>
      <c r="M1294" s="812"/>
      <c r="N1294" s="812"/>
      <c r="O1294" s="811"/>
      <c r="P1294" s="812"/>
      <c r="Q1294" s="812"/>
    </row>
    <row r="1295" spans="1:17" x14ac:dyDescent="0.25">
      <c r="A1295" s="818"/>
      <c r="B1295" s="818"/>
      <c r="C1295" s="818"/>
      <c r="D1295" s="818"/>
      <c r="E1295" s="818"/>
      <c r="F1295" s="818"/>
      <c r="G1295" s="818"/>
      <c r="H1295" s="809"/>
      <c r="I1295" s="810"/>
      <c r="J1295" s="810"/>
      <c r="K1295" s="807"/>
      <c r="L1295" s="811"/>
      <c r="M1295" s="812"/>
      <c r="N1295" s="812"/>
      <c r="O1295" s="811"/>
      <c r="P1295" s="812"/>
      <c r="Q1295" s="812"/>
    </row>
    <row r="1296" spans="1:17" x14ac:dyDescent="0.25">
      <c r="A1296" s="818"/>
      <c r="B1296" s="818"/>
      <c r="C1296" s="818"/>
      <c r="D1296" s="818"/>
      <c r="E1296" s="818"/>
      <c r="F1296" s="818"/>
      <c r="G1296" s="818"/>
      <c r="H1296" s="809"/>
      <c r="I1296" s="810"/>
      <c r="J1296" s="810"/>
      <c r="K1296" s="817"/>
      <c r="L1296" s="811"/>
      <c r="M1296" s="812"/>
      <c r="N1296" s="812"/>
      <c r="O1296" s="811"/>
      <c r="P1296" s="812"/>
      <c r="Q1296" s="812"/>
    </row>
    <row r="1297" spans="1:17" x14ac:dyDescent="0.25">
      <c r="A1297" s="818"/>
      <c r="B1297" s="818"/>
      <c r="C1297" s="818"/>
      <c r="D1297" s="818"/>
      <c r="E1297" s="818"/>
      <c r="F1297" s="818"/>
      <c r="G1297" s="818"/>
      <c r="H1297" s="809"/>
      <c r="I1297" s="810"/>
      <c r="J1297" s="810"/>
      <c r="K1297" s="817"/>
      <c r="L1297" s="811"/>
      <c r="M1297" s="812"/>
      <c r="N1297" s="812"/>
      <c r="O1297" s="811"/>
      <c r="P1297" s="812"/>
      <c r="Q1297" s="812"/>
    </row>
    <row r="1298" spans="1:17" x14ac:dyDescent="0.25">
      <c r="A1298" s="818"/>
      <c r="B1298" s="818"/>
      <c r="C1298" s="818"/>
      <c r="D1298" s="818"/>
      <c r="E1298" s="818"/>
      <c r="F1298" s="818"/>
      <c r="G1298" s="818"/>
      <c r="H1298" s="809"/>
      <c r="I1298" s="810"/>
      <c r="J1298" s="810"/>
      <c r="K1298" s="817"/>
      <c r="L1298" s="811"/>
      <c r="M1298" s="812"/>
      <c r="N1298" s="812"/>
      <c r="O1298" s="811"/>
      <c r="P1298" s="812"/>
      <c r="Q1298" s="812"/>
    </row>
    <row r="1299" spans="1:17" x14ac:dyDescent="0.25">
      <c r="A1299" s="818"/>
      <c r="B1299" s="818"/>
      <c r="C1299" s="818"/>
      <c r="D1299" s="818"/>
      <c r="E1299" s="818"/>
      <c r="F1299" s="818"/>
      <c r="G1299" s="818"/>
      <c r="H1299" s="809"/>
      <c r="I1299" s="810"/>
      <c r="J1299" s="810"/>
      <c r="K1299" s="807"/>
      <c r="L1299" s="811"/>
      <c r="M1299" s="812"/>
      <c r="N1299" s="812"/>
      <c r="O1299" s="811"/>
      <c r="P1299" s="812"/>
      <c r="Q1299" s="812"/>
    </row>
    <row r="1300" spans="1:17" x14ac:dyDescent="0.25">
      <c r="A1300" s="818"/>
      <c r="B1300" s="818"/>
      <c r="C1300" s="818"/>
      <c r="D1300" s="818"/>
      <c r="E1300" s="818"/>
      <c r="F1300" s="818"/>
      <c r="G1300" s="818"/>
      <c r="H1300" s="809"/>
      <c r="I1300" s="810"/>
      <c r="J1300" s="810"/>
      <c r="K1300" s="817"/>
      <c r="L1300" s="811"/>
      <c r="M1300" s="812"/>
      <c r="N1300" s="812"/>
      <c r="O1300" s="811"/>
      <c r="P1300" s="812"/>
      <c r="Q1300" s="812"/>
    </row>
    <row r="1301" spans="1:17" x14ac:dyDescent="0.25">
      <c r="A1301" s="818"/>
      <c r="B1301" s="818"/>
      <c r="C1301" s="818"/>
      <c r="D1301" s="818"/>
      <c r="E1301" s="818"/>
      <c r="F1301" s="818"/>
      <c r="G1301" s="818"/>
      <c r="H1301" s="809"/>
      <c r="I1301" s="810"/>
      <c r="J1301" s="810"/>
      <c r="K1301" s="817"/>
      <c r="L1301" s="811"/>
      <c r="M1301" s="812"/>
      <c r="N1301" s="812"/>
      <c r="O1301" s="811"/>
      <c r="P1301" s="812"/>
      <c r="Q1301" s="812"/>
    </row>
    <row r="1302" spans="1:17" x14ac:dyDescent="0.25">
      <c r="A1302" s="818"/>
      <c r="B1302" s="818"/>
      <c r="C1302" s="818"/>
      <c r="D1302" s="818"/>
      <c r="E1302" s="818"/>
      <c r="F1302" s="818"/>
      <c r="G1302" s="818"/>
      <c r="H1302" s="809"/>
      <c r="I1302" s="810"/>
      <c r="J1302" s="810"/>
      <c r="K1302" s="817"/>
      <c r="L1302" s="811"/>
      <c r="M1302" s="812"/>
      <c r="N1302" s="812"/>
      <c r="O1302" s="811"/>
      <c r="P1302" s="812"/>
      <c r="Q1302" s="812"/>
    </row>
    <row r="1303" spans="1:17" x14ac:dyDescent="0.25">
      <c r="A1303" s="818"/>
      <c r="B1303" s="818"/>
      <c r="C1303" s="818"/>
      <c r="D1303" s="818"/>
      <c r="E1303" s="818"/>
      <c r="F1303" s="818"/>
      <c r="G1303" s="818"/>
      <c r="H1303" s="809"/>
      <c r="I1303" s="810"/>
      <c r="J1303" s="810"/>
      <c r="K1303" s="817"/>
      <c r="L1303" s="811"/>
      <c r="M1303" s="812"/>
      <c r="N1303" s="812"/>
      <c r="O1303" s="811"/>
      <c r="P1303" s="812"/>
      <c r="Q1303" s="812"/>
    </row>
    <row r="1304" spans="1:17" x14ac:dyDescent="0.25">
      <c r="A1304" s="818"/>
      <c r="B1304" s="818"/>
      <c r="C1304" s="818"/>
      <c r="D1304" s="818"/>
      <c r="E1304" s="818"/>
      <c r="F1304" s="818"/>
      <c r="G1304" s="818"/>
      <c r="H1304" s="809"/>
      <c r="I1304" s="810"/>
      <c r="J1304" s="810"/>
      <c r="K1304" s="817"/>
      <c r="L1304" s="811"/>
      <c r="M1304" s="812"/>
      <c r="N1304" s="812"/>
      <c r="O1304" s="811"/>
      <c r="P1304" s="812"/>
      <c r="Q1304" s="812"/>
    </row>
    <row r="1305" spans="1:17" x14ac:dyDescent="0.25">
      <c r="A1305" s="818"/>
      <c r="B1305" s="818"/>
      <c r="C1305" s="818"/>
      <c r="D1305" s="818"/>
      <c r="E1305" s="818"/>
      <c r="F1305" s="818"/>
      <c r="G1305" s="818"/>
      <c r="H1305" s="809"/>
      <c r="I1305" s="810"/>
      <c r="J1305" s="810"/>
      <c r="K1305" s="817"/>
      <c r="L1305" s="811"/>
      <c r="M1305" s="812"/>
      <c r="N1305" s="812"/>
      <c r="O1305" s="811"/>
      <c r="P1305" s="812"/>
      <c r="Q1305" s="812"/>
    </row>
    <row r="1306" spans="1:17" x14ac:dyDescent="0.25">
      <c r="A1306" s="818"/>
      <c r="B1306" s="818"/>
      <c r="C1306" s="818"/>
      <c r="D1306" s="818"/>
      <c r="E1306" s="818"/>
      <c r="F1306" s="818"/>
      <c r="G1306" s="818"/>
      <c r="H1306" s="809"/>
      <c r="I1306" s="810"/>
      <c r="J1306" s="810"/>
      <c r="K1306" s="817"/>
      <c r="L1306" s="811"/>
      <c r="M1306" s="812"/>
      <c r="N1306" s="812"/>
      <c r="O1306" s="811"/>
      <c r="P1306" s="812"/>
      <c r="Q1306" s="812"/>
    </row>
    <row r="1307" spans="1:17" x14ac:dyDescent="0.25">
      <c r="A1307" s="818"/>
      <c r="B1307" s="818"/>
      <c r="C1307" s="818"/>
      <c r="D1307" s="818"/>
      <c r="E1307" s="818"/>
      <c r="F1307" s="818"/>
      <c r="G1307" s="818"/>
      <c r="H1307" s="809"/>
      <c r="I1307" s="810"/>
      <c r="J1307" s="810"/>
      <c r="K1307" s="817"/>
      <c r="L1307" s="811"/>
      <c r="M1307" s="812"/>
      <c r="N1307" s="812"/>
      <c r="O1307" s="811"/>
      <c r="P1307" s="812"/>
      <c r="Q1307" s="812"/>
    </row>
    <row r="1308" spans="1:17" x14ac:dyDescent="0.25">
      <c r="A1308" s="818"/>
      <c r="B1308" s="818"/>
      <c r="C1308" s="818"/>
      <c r="D1308" s="818"/>
      <c r="E1308" s="818"/>
      <c r="F1308" s="818"/>
      <c r="G1308" s="818"/>
      <c r="H1308" s="809"/>
      <c r="I1308" s="810"/>
      <c r="J1308" s="810"/>
      <c r="K1308" s="817"/>
      <c r="L1308" s="811"/>
      <c r="M1308" s="812"/>
      <c r="N1308" s="812"/>
      <c r="O1308" s="811"/>
      <c r="P1308" s="812"/>
      <c r="Q1308" s="812"/>
    </row>
    <row r="1309" spans="1:17" x14ac:dyDescent="0.25">
      <c r="A1309" s="818"/>
      <c r="B1309" s="818"/>
      <c r="C1309" s="818"/>
      <c r="D1309" s="818"/>
      <c r="E1309" s="818"/>
      <c r="F1309" s="818"/>
      <c r="G1309" s="818"/>
      <c r="H1309" s="809"/>
      <c r="I1309" s="810"/>
      <c r="J1309" s="810"/>
      <c r="K1309" s="817"/>
      <c r="L1309" s="811"/>
      <c r="M1309" s="812"/>
      <c r="N1309" s="812"/>
      <c r="O1309" s="811"/>
      <c r="P1309" s="812"/>
      <c r="Q1309" s="812"/>
    </row>
    <row r="1310" spans="1:17" x14ac:dyDescent="0.25">
      <c r="A1310" s="818"/>
      <c r="B1310" s="818"/>
      <c r="C1310" s="818"/>
      <c r="D1310" s="818"/>
      <c r="E1310" s="818"/>
      <c r="F1310" s="818"/>
      <c r="G1310" s="818"/>
      <c r="H1310" s="809"/>
      <c r="I1310" s="810"/>
      <c r="J1310" s="810"/>
      <c r="K1310" s="817"/>
      <c r="L1310" s="811"/>
      <c r="M1310" s="812"/>
      <c r="N1310" s="812"/>
      <c r="O1310" s="811"/>
      <c r="P1310" s="812"/>
      <c r="Q1310" s="812"/>
    </row>
  </sheetData>
  <autoFilter ref="A1:AE1647" xr:uid="{00000000-0001-0000-0000-000000000000}"/>
  <sortState xmlns:xlrd2="http://schemas.microsoft.com/office/spreadsheetml/2017/richdata2" ref="A2:T1647">
    <sortCondition ref="A2:A1647"/>
  </sortState>
  <conditionalFormatting sqref="T2:T1048576">
    <cfRule type="expression" dxfId="785" priority="1">
      <formula>AND(ISNUMBER(TJ2), $T2&gt;13)</formula>
    </cfRule>
  </conditionalFormatting>
  <pageMargins left="0.1" right="0.1" top="0.1" bottom="0.1" header="0.1" footer="0.1"/>
  <pageSetup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E451EEF-E5BF-43EA-B451-533DE6954085}">
          <x14:formula1>
            <xm:f>'hide this'!$L:$L</xm:f>
          </x14:formula1>
          <xm:sqref>S3:S11 S13:S14 S16:S1048576</xm:sqref>
        </x14:dataValidation>
        <x14:dataValidation type="list" allowBlank="1" showInputMessage="1" showErrorMessage="1" xr:uid="{820591E9-AB24-458D-A3FF-CAB588E87ABA}">
          <x14:formula1>
            <xm:f>'hide this'!$H$1:$H$19</xm:f>
          </x14:formula1>
          <xm:sqref>H2:H1048576</xm:sqref>
        </x14:dataValidation>
        <x14:dataValidation type="list" allowBlank="1" showInputMessage="1" showErrorMessage="1" xr:uid="{00ED668A-0CA6-4F2B-A39E-0ABBD4A1ED3B}">
          <x14:formula1>
            <xm:f>'hide this'!$N$2:$N$18</xm:f>
          </x14:formula1>
          <xm:sqref>J2:J1048576</xm:sqref>
        </x14:dataValidation>
        <x14:dataValidation type="list" allowBlank="1" showInputMessage="1" showErrorMessage="1" xr:uid="{20BECAD6-3051-4E77-924B-7CB0F994ACFA}">
          <x14:formula1>
            <xm:f>'hide this'!$Q$1:$Q$3</xm:f>
          </x14:formula1>
          <xm:sqref>I2:I1048576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</sheetPr>
  <dimension ref="A1:AO310"/>
  <sheetViews>
    <sheetView topLeftCell="X1" workbookViewId="0">
      <selection activeCell="AI4" sqref="AI4"/>
    </sheetView>
  </sheetViews>
  <sheetFormatPr defaultColWidth="9.28515625" defaultRowHeight="15" x14ac:dyDescent="0.25"/>
  <cols>
    <col min="1" max="1" width="35.42578125" style="199" bestFit="1" customWidth="1"/>
    <col min="2" max="2" width="16.28515625" style="199" bestFit="1" customWidth="1"/>
    <col min="3" max="3" width="8.140625" style="199" bestFit="1" customWidth="1"/>
    <col min="4" max="5" width="11.28515625" style="199" bestFit="1" customWidth="1"/>
    <col min="6" max="6" width="37.42578125" style="199" bestFit="1" customWidth="1"/>
    <col min="7" max="7" width="16.28515625" style="199" bestFit="1" customWidth="1"/>
    <col min="8" max="8" width="11.28515625" style="199" bestFit="1" customWidth="1"/>
    <col min="9" max="10" width="11.28515625" style="199" customWidth="1"/>
    <col min="11" max="11" width="16" style="199" bestFit="1" customWidth="1"/>
    <col min="12" max="12" width="24.7109375" style="199" bestFit="1" customWidth="1"/>
    <col min="13" max="13" width="11.28515625" style="199" bestFit="1" customWidth="1"/>
    <col min="14" max="14" width="10.7109375" style="199" bestFit="1" customWidth="1"/>
    <col min="15" max="15" width="28.28515625" style="199" bestFit="1" customWidth="1"/>
    <col min="16" max="16" width="16.28515625" style="199" bestFit="1" customWidth="1"/>
    <col min="17" max="17" width="11.28515625" style="199" bestFit="1" customWidth="1"/>
    <col min="18" max="18" width="15" style="199" bestFit="1" customWidth="1"/>
    <col min="19" max="19" width="35" style="199" bestFit="1" customWidth="1"/>
    <col min="20" max="20" width="16.28515625" style="199" bestFit="1" customWidth="1"/>
    <col min="21" max="21" width="8.140625" style="199" bestFit="1" customWidth="1"/>
    <col min="22" max="22" width="11.28515625" style="199" bestFit="1" customWidth="1"/>
    <col min="23" max="23" width="11.28515625" style="199" customWidth="1"/>
    <col min="24" max="24" width="35" style="199" bestFit="1" customWidth="1"/>
    <col min="25" max="25" width="16.28515625" style="199" bestFit="1" customWidth="1"/>
    <col min="26" max="26" width="8.140625" style="199" bestFit="1" customWidth="1"/>
    <col min="27" max="28" width="11.28515625" style="199" bestFit="1" customWidth="1"/>
    <col min="29" max="29" width="35.42578125" style="697" bestFit="1" customWidth="1"/>
    <col min="30" max="30" width="16.28515625" style="199" bestFit="1" customWidth="1"/>
    <col min="31" max="31" width="11.28515625" style="199" bestFit="1" customWidth="1"/>
    <col min="32" max="32" width="7.7109375" style="199" bestFit="1" customWidth="1"/>
    <col min="33" max="33" width="11.28515625" style="199" bestFit="1" customWidth="1"/>
    <col min="34" max="34" width="9" style="199" bestFit="1" customWidth="1"/>
    <col min="35" max="35" width="25.85546875" style="199" bestFit="1" customWidth="1"/>
    <col min="36" max="36" width="16.28515625" style="199" bestFit="1" customWidth="1"/>
    <col min="37" max="37" width="11.28515625" style="199" bestFit="1" customWidth="1"/>
    <col min="38" max="38" width="17.42578125" style="199" bestFit="1" customWidth="1"/>
    <col min="39" max="39" width="18.42578125" style="199" bestFit="1" customWidth="1"/>
    <col min="40" max="40" width="22.42578125" style="199" bestFit="1" customWidth="1"/>
    <col min="41" max="41" width="23.42578125" style="199" bestFit="1" customWidth="1"/>
    <col min="42" max="16384" width="9.28515625" style="199"/>
  </cols>
  <sheetData>
    <row r="1" spans="1:41" ht="15.75" thickBot="1" x14ac:dyDescent="0.3">
      <c r="A1" s="912" t="s">
        <v>420</v>
      </c>
      <c r="B1" s="912"/>
      <c r="C1" s="912"/>
      <c r="D1" s="912"/>
      <c r="E1" s="912"/>
      <c r="F1" s="624"/>
      <c r="G1" s="624"/>
      <c r="H1" s="624"/>
      <c r="I1" s="624"/>
      <c r="K1" s="912" t="s">
        <v>375</v>
      </c>
      <c r="L1" s="912"/>
      <c r="M1" s="912"/>
      <c r="N1" s="912"/>
      <c r="O1" s="912"/>
      <c r="P1" s="912"/>
      <c r="Q1" s="912"/>
      <c r="R1" s="912"/>
      <c r="S1" s="918" t="s">
        <v>546</v>
      </c>
      <c r="T1" s="919"/>
      <c r="U1" s="919"/>
      <c r="V1" s="919"/>
      <c r="W1" s="919"/>
      <c r="X1" s="919"/>
      <c r="Y1" s="919"/>
      <c r="Z1" s="919"/>
      <c r="AA1" s="920"/>
      <c r="AC1" s="698"/>
      <c r="AD1"/>
    </row>
    <row r="2" spans="1:41" x14ac:dyDescent="0.25">
      <c r="A2" s="914" t="s">
        <v>393</v>
      </c>
      <c r="B2" s="914"/>
      <c r="C2" s="914"/>
      <c r="D2" s="914"/>
      <c r="F2" s="915" t="s">
        <v>544</v>
      </c>
      <c r="G2" s="915"/>
      <c r="H2" s="915"/>
      <c r="K2"/>
      <c r="L2"/>
      <c r="M2"/>
      <c r="O2" s="917" t="s">
        <v>510</v>
      </c>
      <c r="P2" s="917"/>
      <c r="Q2" s="917"/>
      <c r="S2" s="913" t="s">
        <v>394</v>
      </c>
      <c r="T2" s="913"/>
      <c r="U2" s="913"/>
      <c r="V2" s="913"/>
      <c r="X2" s="914" t="s">
        <v>32</v>
      </c>
      <c r="Y2" s="914"/>
      <c r="Z2" s="914"/>
      <c r="AA2" s="914"/>
      <c r="AC2" s="916" t="s">
        <v>148</v>
      </c>
      <c r="AD2" s="915"/>
      <c r="AE2" s="915"/>
      <c r="AF2" s="915"/>
      <c r="AI2" s="916" t="s">
        <v>1221</v>
      </c>
      <c r="AJ2" s="915"/>
      <c r="AK2" s="915"/>
      <c r="AL2" s="915"/>
    </row>
    <row r="3" spans="1:41" x14ac:dyDescent="0.25">
      <c r="A3" s="1" t="s">
        <v>23</v>
      </c>
      <c r="B3" s="1" t="s">
        <v>24</v>
      </c>
      <c r="C3"/>
      <c r="D3"/>
      <c r="E3"/>
      <c r="F3"/>
      <c r="G3"/>
      <c r="H3"/>
      <c r="I3"/>
      <c r="J3"/>
      <c r="K3" s="1" t="s">
        <v>283</v>
      </c>
      <c r="L3" t="s">
        <v>506</v>
      </c>
      <c r="M3"/>
      <c r="O3" s="1" t="s">
        <v>23</v>
      </c>
      <c r="P3" s="1" t="s">
        <v>24</v>
      </c>
      <c r="Q3"/>
      <c r="R3"/>
      <c r="S3" s="1" t="s">
        <v>23</v>
      </c>
      <c r="T3" s="1" t="s">
        <v>24</v>
      </c>
      <c r="U3"/>
      <c r="V3"/>
      <c r="W3"/>
      <c r="X3" s="1" t="s">
        <v>23</v>
      </c>
      <c r="Y3" s="1" t="s">
        <v>24</v>
      </c>
      <c r="Z3"/>
      <c r="AA3"/>
      <c r="AB3"/>
      <c r="AC3" s="1" t="s">
        <v>23</v>
      </c>
      <c r="AD3" s="1" t="s">
        <v>24</v>
      </c>
      <c r="AE3"/>
      <c r="AF3"/>
      <c r="AG3"/>
      <c r="AH3" s="553"/>
      <c r="AI3" s="1" t="s">
        <v>23</v>
      </c>
      <c r="AJ3" s="1" t="s">
        <v>24</v>
      </c>
      <c r="AK3"/>
      <c r="AL3"/>
    </row>
    <row r="4" spans="1:41" x14ac:dyDescent="0.25">
      <c r="A4" s="1" t="s">
        <v>21</v>
      </c>
      <c r="B4" t="s">
        <v>15</v>
      </c>
      <c r="C4" t="s">
        <v>20</v>
      </c>
      <c r="D4" t="s">
        <v>22</v>
      </c>
      <c r="E4"/>
      <c r="I4"/>
      <c r="J4"/>
      <c r="K4"/>
      <c r="L4"/>
      <c r="M4"/>
      <c r="O4" s="1" t="s">
        <v>21</v>
      </c>
      <c r="P4" t="s">
        <v>20</v>
      </c>
      <c r="Q4" t="s">
        <v>22</v>
      </c>
      <c r="R4"/>
      <c r="S4" s="1" t="s">
        <v>21</v>
      </c>
      <c r="T4" t="s">
        <v>15</v>
      </c>
      <c r="U4" t="s">
        <v>20</v>
      </c>
      <c r="V4" t="s">
        <v>22</v>
      </c>
      <c r="W4"/>
      <c r="X4" s="1" t="s">
        <v>21</v>
      </c>
      <c r="Y4" t="s">
        <v>15</v>
      </c>
      <c r="Z4" t="s">
        <v>20</v>
      </c>
      <c r="AA4" t="s">
        <v>22</v>
      </c>
      <c r="AB4"/>
      <c r="AC4" s="1" t="s">
        <v>21</v>
      </c>
      <c r="AD4" t="s">
        <v>20</v>
      </c>
      <c r="AE4" t="s">
        <v>22</v>
      </c>
      <c r="AF4"/>
      <c r="AG4"/>
      <c r="AH4" s="553"/>
      <c r="AI4" s="1" t="s">
        <v>21</v>
      </c>
      <c r="AJ4" t="s">
        <v>20</v>
      </c>
      <c r="AK4" t="s">
        <v>22</v>
      </c>
      <c r="AL4"/>
      <c r="AM4"/>
      <c r="AN4"/>
      <c r="AO4"/>
    </row>
    <row r="5" spans="1:41" x14ac:dyDescent="0.25">
      <c r="A5" s="2" t="s">
        <v>303</v>
      </c>
      <c r="B5" s="3"/>
      <c r="C5" s="3"/>
      <c r="D5" s="3"/>
      <c r="E5"/>
      <c r="I5"/>
      <c r="J5" s="3"/>
      <c r="K5" s="1" t="s">
        <v>21</v>
      </c>
      <c r="L5" t="s">
        <v>28</v>
      </c>
      <c r="M5"/>
      <c r="O5" s="2" t="s">
        <v>303</v>
      </c>
      <c r="P5" s="3"/>
      <c r="Q5" s="3"/>
      <c r="S5" s="2" t="s">
        <v>303</v>
      </c>
      <c r="T5" s="3"/>
      <c r="U5" s="3"/>
      <c r="V5" s="3"/>
      <c r="W5"/>
      <c r="X5" s="2" t="s">
        <v>303</v>
      </c>
      <c r="Y5" s="3"/>
      <c r="Z5" s="3"/>
      <c r="AA5" s="3"/>
      <c r="AB5"/>
      <c r="AC5" s="2" t="s">
        <v>303</v>
      </c>
      <c r="AD5" s="3"/>
      <c r="AE5" s="3"/>
      <c r="AF5"/>
      <c r="AG5"/>
      <c r="AH5" s="553"/>
      <c r="AI5" s="2" t="s">
        <v>303</v>
      </c>
      <c r="AJ5" s="3"/>
      <c r="AK5" s="3"/>
      <c r="AL5"/>
      <c r="AM5"/>
      <c r="AN5"/>
      <c r="AO5"/>
    </row>
    <row r="6" spans="1:41" x14ac:dyDescent="0.25">
      <c r="A6" s="200" t="s">
        <v>18</v>
      </c>
      <c r="B6" s="3">
        <v>2.8863005701790602E-2</v>
      </c>
      <c r="C6" s="3">
        <v>0</v>
      </c>
      <c r="D6" s="3">
        <v>1.1875209795989931E-2</v>
      </c>
      <c r="E6"/>
      <c r="I6"/>
      <c r="J6" s="3"/>
      <c r="K6" s="2" t="s">
        <v>529</v>
      </c>
      <c r="L6" s="3">
        <v>0.18204844071552953</v>
      </c>
      <c r="M6"/>
      <c r="O6" s="200" t="s">
        <v>34</v>
      </c>
      <c r="P6" s="3">
        <v>2.1748551405472246E-4</v>
      </c>
      <c r="Q6" s="3">
        <v>2.1748551405472246E-4</v>
      </c>
      <c r="R6"/>
      <c r="S6" s="200" t="s">
        <v>18</v>
      </c>
      <c r="T6" s="3">
        <v>2.8863005701790602E-2</v>
      </c>
      <c r="U6" s="3">
        <v>0</v>
      </c>
      <c r="V6" s="3">
        <v>1.6780671577281515E-2</v>
      </c>
      <c r="W6"/>
      <c r="X6" s="200" t="s">
        <v>18</v>
      </c>
      <c r="Y6" s="3">
        <v>2.8863005701790602E-2</v>
      </c>
      <c r="Z6" s="3">
        <v>0</v>
      </c>
      <c r="AA6" s="3">
        <v>1.347947063883001E-2</v>
      </c>
      <c r="AB6"/>
      <c r="AC6" s="200" t="s">
        <v>374</v>
      </c>
      <c r="AD6" s="3">
        <v>4.3545054171122148E-5</v>
      </c>
      <c r="AE6" s="3">
        <v>4.3545054171122148E-5</v>
      </c>
      <c r="AF6"/>
      <c r="AG6"/>
      <c r="AH6" s="553"/>
      <c r="AI6" s="200" t="s">
        <v>1219</v>
      </c>
      <c r="AJ6" s="3">
        <v>6.9477936750739477E-5</v>
      </c>
      <c r="AK6" s="3">
        <v>6.9477936750739477E-5</v>
      </c>
      <c r="AL6"/>
      <c r="AM6"/>
      <c r="AN6"/>
      <c r="AO6"/>
    </row>
    <row r="7" spans="1:41" x14ac:dyDescent="0.25">
      <c r="A7" s="200" t="s">
        <v>374</v>
      </c>
      <c r="B7" s="3">
        <v>0</v>
      </c>
      <c r="C7" s="3">
        <v>5.6417028204291806E-5</v>
      </c>
      <c r="D7" s="3">
        <v>3.3205168257540555E-5</v>
      </c>
      <c r="E7"/>
      <c r="F7" s="1" t="s">
        <v>23</v>
      </c>
      <c r="G7" s="1" t="s">
        <v>24</v>
      </c>
      <c r="H7"/>
      <c r="I7"/>
      <c r="J7" s="3"/>
      <c r="K7" s="2" t="s">
        <v>507</v>
      </c>
      <c r="L7" s="3">
        <v>0.8179515592844705</v>
      </c>
      <c r="M7"/>
      <c r="O7" s="200" t="s">
        <v>35</v>
      </c>
      <c r="P7" s="3">
        <v>2.029433456036691E-2</v>
      </c>
      <c r="Q7" s="3">
        <v>2.029433456036691E-2</v>
      </c>
      <c r="R7"/>
      <c r="S7" s="200" t="s">
        <v>34</v>
      </c>
      <c r="T7" s="3">
        <v>0</v>
      </c>
      <c r="U7" s="3">
        <v>2.1748551405472246E-4</v>
      </c>
      <c r="V7" s="3">
        <v>9.1041545541002155E-5</v>
      </c>
      <c r="W7"/>
      <c r="X7" s="200" t="s">
        <v>34</v>
      </c>
      <c r="Y7" s="3">
        <v>0</v>
      </c>
      <c r="Z7" s="3">
        <v>1.3721087397020762E-4</v>
      </c>
      <c r="AA7" s="3">
        <v>7.3131270961471849E-5</v>
      </c>
      <c r="AB7"/>
      <c r="AC7" s="200" t="s">
        <v>39</v>
      </c>
      <c r="AD7" s="3">
        <v>2.7874381810176917E-5</v>
      </c>
      <c r="AE7" s="3">
        <v>2.7874381810176917E-5</v>
      </c>
      <c r="AF7"/>
      <c r="AG7"/>
      <c r="AH7" s="553"/>
      <c r="AI7" s="200" t="s">
        <v>1220</v>
      </c>
      <c r="AJ7" s="3">
        <v>7.9966886343837643E-3</v>
      </c>
      <c r="AK7" s="3">
        <v>7.9966886343837643E-3</v>
      </c>
      <c r="AL7"/>
      <c r="AM7"/>
      <c r="AN7"/>
      <c r="AO7"/>
    </row>
    <row r="8" spans="1:41" x14ac:dyDescent="0.25">
      <c r="A8" s="200" t="s">
        <v>390</v>
      </c>
      <c r="B8" s="3">
        <v>0</v>
      </c>
      <c r="C8" s="3">
        <v>3.3598676032492253E-5</v>
      </c>
      <c r="D8" s="3">
        <v>1.9775052433630838E-5</v>
      </c>
      <c r="E8"/>
      <c r="F8" s="1" t="s">
        <v>21</v>
      </c>
      <c r="G8" t="s">
        <v>20</v>
      </c>
      <c r="H8" t="s">
        <v>22</v>
      </c>
      <c r="I8"/>
      <c r="J8" s="3"/>
      <c r="K8" s="2" t="s">
        <v>22</v>
      </c>
      <c r="L8" s="3">
        <v>1</v>
      </c>
      <c r="M8"/>
      <c r="O8" s="2" t="s">
        <v>1151</v>
      </c>
      <c r="P8" s="3">
        <v>2.0511820074421632E-2</v>
      </c>
      <c r="Q8" s="3">
        <v>2.0511820074421632E-2</v>
      </c>
      <c r="R8"/>
      <c r="S8" s="200" t="s">
        <v>35</v>
      </c>
      <c r="T8" s="3">
        <v>0</v>
      </c>
      <c r="U8" s="3">
        <v>2.029433456036691E-2</v>
      </c>
      <c r="V8" s="3">
        <v>8.4954052785193249E-3</v>
      </c>
      <c r="W8"/>
      <c r="X8" s="200" t="s">
        <v>35</v>
      </c>
      <c r="Y8" s="3">
        <v>0</v>
      </c>
      <c r="Z8" s="3">
        <v>1.2803626916370563E-2</v>
      </c>
      <c r="AA8" s="3">
        <v>6.8241348678676683E-3</v>
      </c>
      <c r="AB8"/>
      <c r="AC8" s="200" t="s">
        <v>38</v>
      </c>
      <c r="AD8" s="3">
        <v>2.7735703293708374E-7</v>
      </c>
      <c r="AE8" s="3">
        <v>2.7735703293708374E-7</v>
      </c>
      <c r="AF8"/>
      <c r="AG8"/>
      <c r="AH8" s="553"/>
      <c r="AI8" s="2" t="s">
        <v>1151</v>
      </c>
      <c r="AJ8" s="3">
        <v>8.0661665711345039E-3</v>
      </c>
      <c r="AK8" s="3">
        <v>8.0661665711345039E-3</v>
      </c>
      <c r="AL8"/>
      <c r="AM8"/>
      <c r="AN8"/>
      <c r="AO8"/>
    </row>
    <row r="9" spans="1:41" x14ac:dyDescent="0.25">
      <c r="A9" s="200" t="s">
        <v>34</v>
      </c>
      <c r="B9" s="3">
        <v>0</v>
      </c>
      <c r="C9" s="3">
        <v>1.0946520520211715E-4</v>
      </c>
      <c r="D9" s="3">
        <v>6.4427543824543257E-5</v>
      </c>
      <c r="E9"/>
      <c r="F9" s="2" t="s">
        <v>303</v>
      </c>
      <c r="G9" s="3"/>
      <c r="H9" s="3"/>
      <c r="I9"/>
      <c r="J9" s="3"/>
      <c r="K9"/>
      <c r="L9"/>
      <c r="O9" s="2" t="s">
        <v>305</v>
      </c>
      <c r="P9" s="3"/>
      <c r="Q9" s="3"/>
      <c r="R9"/>
      <c r="S9" s="2" t="s">
        <v>1151</v>
      </c>
      <c r="T9" s="3">
        <v>2.8863005701790602E-2</v>
      </c>
      <c r="U9" s="3">
        <v>2.0511820074421632E-2</v>
      </c>
      <c r="V9" s="3">
        <v>2.5367118401341843E-2</v>
      </c>
      <c r="W9"/>
      <c r="X9" s="2" t="s">
        <v>1151</v>
      </c>
      <c r="Y9" s="3">
        <v>2.8863005701790602E-2</v>
      </c>
      <c r="Z9" s="3">
        <v>1.294083779034077E-2</v>
      </c>
      <c r="AA9" s="3">
        <v>2.0376736777659148E-2</v>
      </c>
      <c r="AB9"/>
      <c r="AC9" s="200" t="s">
        <v>390</v>
      </c>
      <c r="AD9" s="3">
        <v>2.5932882579617329E-5</v>
      </c>
      <c r="AE9" s="3">
        <v>2.5932882579617329E-5</v>
      </c>
      <c r="AF9"/>
      <c r="AG9"/>
      <c r="AH9" s="553"/>
      <c r="AI9" s="2" t="s">
        <v>305</v>
      </c>
      <c r="AJ9" s="3"/>
      <c r="AK9" s="3"/>
      <c r="AL9"/>
      <c r="AM9"/>
      <c r="AN9"/>
      <c r="AO9"/>
    </row>
    <row r="10" spans="1:41" x14ac:dyDescent="0.25">
      <c r="A10" s="200" t="s">
        <v>35</v>
      </c>
      <c r="B10" s="3">
        <v>0</v>
      </c>
      <c r="C10" s="3">
        <v>1.0214581448086766E-2</v>
      </c>
      <c r="D10" s="3">
        <v>6.0119596238901347E-3</v>
      </c>
      <c r="E10"/>
      <c r="F10" s="200" t="s">
        <v>390</v>
      </c>
      <c r="G10" s="3">
        <v>6.9383487824450129E-5</v>
      </c>
      <c r="H10" s="3">
        <v>6.9383487824450129E-5</v>
      </c>
      <c r="I10"/>
      <c r="J10" s="3"/>
      <c r="O10" s="200" t="s">
        <v>37</v>
      </c>
      <c r="P10" s="3">
        <v>7.5271227728483841E-3</v>
      </c>
      <c r="Q10" s="3">
        <v>7.5271227728483841E-3</v>
      </c>
      <c r="R10"/>
      <c r="S10" s="2" t="s">
        <v>304</v>
      </c>
      <c r="T10" s="3"/>
      <c r="U10" s="3"/>
      <c r="V10" s="3"/>
      <c r="W10"/>
      <c r="X10" s="2" t="s">
        <v>304</v>
      </c>
      <c r="Y10" s="3"/>
      <c r="Z10" s="3"/>
      <c r="AA10" s="3"/>
      <c r="AB10"/>
      <c r="AC10" s="200" t="s">
        <v>34</v>
      </c>
      <c r="AD10" s="3">
        <v>8.4489886158459136E-5</v>
      </c>
      <c r="AE10" s="3">
        <v>8.4489886158459136E-5</v>
      </c>
      <c r="AF10"/>
      <c r="AG10"/>
      <c r="AH10" s="553"/>
      <c r="AI10" s="200" t="s">
        <v>1219</v>
      </c>
      <c r="AJ10" s="3">
        <v>8.1718396006835323E-2</v>
      </c>
      <c r="AK10" s="3">
        <v>8.1718396006835323E-2</v>
      </c>
      <c r="AL10"/>
      <c r="AM10"/>
      <c r="AN10"/>
      <c r="AO10"/>
    </row>
    <row r="11" spans="1:41" x14ac:dyDescent="0.25">
      <c r="A11" s="2" t="s">
        <v>1151</v>
      </c>
      <c r="B11" s="3">
        <v>2.8863005701790602E-2</v>
      </c>
      <c r="C11" s="3">
        <v>1.0414062357525667E-2</v>
      </c>
      <c r="D11" s="3">
        <v>1.8004577184395781E-2</v>
      </c>
      <c r="E11"/>
      <c r="F11" s="545" t="s">
        <v>390</v>
      </c>
      <c r="G11" s="3">
        <v>6.9383487824450129E-5</v>
      </c>
      <c r="H11" s="3">
        <v>6.9383487824450129E-5</v>
      </c>
      <c r="I11"/>
      <c r="J11" s="3"/>
      <c r="O11" s="200" t="s">
        <v>34</v>
      </c>
      <c r="P11" s="3">
        <v>1.398439887253796E-4</v>
      </c>
      <c r="Q11" s="3">
        <v>1.398439887253796E-4</v>
      </c>
      <c r="R11"/>
      <c r="S11" s="200" t="s">
        <v>18</v>
      </c>
      <c r="T11" s="3">
        <v>6.0503815062404201E-4</v>
      </c>
      <c r="U11" s="3">
        <v>0</v>
      </c>
      <c r="V11" s="3">
        <v>3.5176331260323193E-4</v>
      </c>
      <c r="W11"/>
      <c r="X11" s="200" t="s">
        <v>18</v>
      </c>
      <c r="Y11" s="3">
        <v>6.0503815062404201E-4</v>
      </c>
      <c r="Z11" s="3">
        <v>0</v>
      </c>
      <c r="AA11" s="3">
        <v>2.8256218603743083E-4</v>
      </c>
      <c r="AB11"/>
      <c r="AC11" s="200" t="s">
        <v>35</v>
      </c>
      <c r="AD11" s="3">
        <v>7.8840470093821911E-3</v>
      </c>
      <c r="AE11" s="3">
        <v>7.8840470093821911E-3</v>
      </c>
      <c r="AF11"/>
      <c r="AG11"/>
      <c r="AH11" s="553"/>
      <c r="AI11" s="200" t="s">
        <v>1220</v>
      </c>
      <c r="AJ11" s="3">
        <v>4.8303668785223693E-2</v>
      </c>
      <c r="AK11" s="3">
        <v>4.8303668785223693E-2</v>
      </c>
      <c r="AL11"/>
      <c r="AM11"/>
      <c r="AN11"/>
      <c r="AO11"/>
    </row>
    <row r="12" spans="1:41" x14ac:dyDescent="0.25">
      <c r="A12" s="2" t="s">
        <v>304</v>
      </c>
      <c r="B12" s="3"/>
      <c r="C12" s="3"/>
      <c r="D12" s="3"/>
      <c r="E12"/>
      <c r="F12" s="2" t="s">
        <v>1151</v>
      </c>
      <c r="G12" s="3">
        <v>6.9383487824450129E-5</v>
      </c>
      <c r="H12" s="3">
        <v>6.9383487824450129E-5</v>
      </c>
      <c r="I12"/>
      <c r="J12" s="3"/>
      <c r="O12" s="200" t="s">
        <v>35</v>
      </c>
      <c r="P12" s="3">
        <v>0.11148207498136603</v>
      </c>
      <c r="Q12" s="3">
        <v>0.11148207498136603</v>
      </c>
      <c r="R12"/>
      <c r="S12" s="2" t="s">
        <v>1159</v>
      </c>
      <c r="T12" s="3">
        <v>6.0503815062404201E-4</v>
      </c>
      <c r="U12" s="3">
        <v>0</v>
      </c>
      <c r="V12" s="3">
        <v>3.5176331260323193E-4</v>
      </c>
      <c r="W12"/>
      <c r="X12" s="2" t="s">
        <v>1159</v>
      </c>
      <c r="Y12" s="3">
        <v>6.0503815062404201E-4</v>
      </c>
      <c r="Z12" s="3">
        <v>0</v>
      </c>
      <c r="AA12" s="3">
        <v>2.8256218603743083E-4</v>
      </c>
      <c r="AB12"/>
      <c r="AC12" s="2" t="s">
        <v>1151</v>
      </c>
      <c r="AD12" s="3">
        <v>8.0661665711345039E-3</v>
      </c>
      <c r="AE12" s="3">
        <v>8.0661665711345039E-3</v>
      </c>
      <c r="AF12"/>
      <c r="AG12"/>
      <c r="AH12" s="553"/>
      <c r="AI12" s="2" t="s">
        <v>481</v>
      </c>
      <c r="AJ12" s="3">
        <v>0.13002206479205902</v>
      </c>
      <c r="AK12" s="3">
        <v>0.13002206479205902</v>
      </c>
      <c r="AL12"/>
      <c r="AM12"/>
      <c r="AN12"/>
      <c r="AO12"/>
    </row>
    <row r="13" spans="1:41" x14ac:dyDescent="0.25">
      <c r="A13" s="200" t="s">
        <v>18</v>
      </c>
      <c r="B13" s="3">
        <v>6.0503815062404201E-4</v>
      </c>
      <c r="C13" s="3">
        <v>0</v>
      </c>
      <c r="D13" s="3">
        <v>2.4893301298805883E-4</v>
      </c>
      <c r="E13"/>
      <c r="F13" s="2" t="s">
        <v>305</v>
      </c>
      <c r="G13" s="3"/>
      <c r="H13" s="3"/>
      <c r="I13"/>
      <c r="J13" s="3"/>
      <c r="O13" s="200" t="s">
        <v>41</v>
      </c>
      <c r="P13" s="3">
        <v>4.9114065574425913E-3</v>
      </c>
      <c r="Q13" s="3">
        <v>4.9114065574425913E-3</v>
      </c>
      <c r="R13"/>
      <c r="S13" s="2" t="s">
        <v>305</v>
      </c>
      <c r="T13" s="3"/>
      <c r="U13" s="3"/>
      <c r="V13" s="3"/>
      <c r="W13"/>
      <c r="X13" s="2" t="s">
        <v>305</v>
      </c>
      <c r="Y13" s="3"/>
      <c r="Z13" s="3"/>
      <c r="AA13" s="3"/>
      <c r="AB13"/>
      <c r="AC13" s="2" t="s">
        <v>305</v>
      </c>
      <c r="AD13" s="3"/>
      <c r="AE13" s="3"/>
      <c r="AF13"/>
      <c r="AG13"/>
      <c r="AH13" s="553"/>
      <c r="AI13" s="2" t="s">
        <v>312</v>
      </c>
      <c r="AJ13" s="3"/>
      <c r="AK13" s="3"/>
      <c r="AL13"/>
      <c r="AM13"/>
      <c r="AN13"/>
      <c r="AO13"/>
    </row>
    <row r="14" spans="1:41" x14ac:dyDescent="0.25">
      <c r="A14" s="2" t="s">
        <v>1159</v>
      </c>
      <c r="B14" s="3">
        <v>6.0503815062404201E-4</v>
      </c>
      <c r="C14" s="3">
        <v>0</v>
      </c>
      <c r="D14" s="3">
        <v>2.4893301298805883E-4</v>
      </c>
      <c r="E14"/>
      <c r="F14" s="200" t="s">
        <v>390</v>
      </c>
      <c r="G14" s="3">
        <v>0.1006721015210289</v>
      </c>
      <c r="H14" s="3">
        <v>0.1006721015210289</v>
      </c>
      <c r="I14"/>
      <c r="J14" s="3"/>
      <c r="O14" s="2" t="s">
        <v>481</v>
      </c>
      <c r="P14" s="3">
        <v>0.12406044830038239</v>
      </c>
      <c r="Q14" s="3">
        <v>0.12406044830038239</v>
      </c>
      <c r="R14"/>
      <c r="S14" s="200" t="s">
        <v>18</v>
      </c>
      <c r="T14" s="3">
        <v>9.7436073729064862E-2</v>
      </c>
      <c r="U14" s="3">
        <v>0</v>
      </c>
      <c r="V14" s="3">
        <v>5.6648388248968479E-2</v>
      </c>
      <c r="W14"/>
      <c r="X14" s="200" t="s">
        <v>18</v>
      </c>
      <c r="Y14" s="3">
        <v>9.7436073729064862E-2</v>
      </c>
      <c r="Z14" s="3">
        <v>0</v>
      </c>
      <c r="AA14" s="3">
        <v>4.5504155338621795E-2</v>
      </c>
      <c r="AB14"/>
      <c r="AC14" s="200" t="s">
        <v>374</v>
      </c>
      <c r="AD14" s="3">
        <v>1.8021273215087017E-4</v>
      </c>
      <c r="AE14" s="3">
        <v>1.8021273215087017E-4</v>
      </c>
      <c r="AF14"/>
      <c r="AG14"/>
      <c r="AH14" s="553"/>
      <c r="AI14" s="200" t="s">
        <v>1220</v>
      </c>
      <c r="AJ14" s="3">
        <v>8.5321957257270391E-5</v>
      </c>
      <c r="AK14" s="3">
        <v>8.5321957257270391E-5</v>
      </c>
      <c r="AL14"/>
    </row>
    <row r="15" spans="1:41" x14ac:dyDescent="0.25">
      <c r="A15" s="2" t="s">
        <v>305</v>
      </c>
      <c r="B15" s="3"/>
      <c r="C15" s="3"/>
      <c r="D15" s="3"/>
      <c r="E15"/>
      <c r="F15" s="545" t="s">
        <v>390</v>
      </c>
      <c r="G15" s="3">
        <v>0.1006721015210289</v>
      </c>
      <c r="H15" s="3">
        <v>0.1006721015210289</v>
      </c>
      <c r="I15"/>
      <c r="J15" s="3"/>
      <c r="K15" s="912" t="s">
        <v>545</v>
      </c>
      <c r="L15" s="917"/>
      <c r="M15" s="917"/>
      <c r="O15" s="2" t="s">
        <v>312</v>
      </c>
      <c r="P15" s="3"/>
      <c r="Q15" s="3"/>
      <c r="R15"/>
      <c r="S15" s="200" t="s">
        <v>43</v>
      </c>
      <c r="T15" s="3">
        <v>2.442513825565111E-3</v>
      </c>
      <c r="U15" s="3">
        <v>0</v>
      </c>
      <c r="V15" s="3">
        <v>1.4200538486272359E-3</v>
      </c>
      <c r="W15"/>
      <c r="X15" s="200" t="s">
        <v>43</v>
      </c>
      <c r="Y15" s="3">
        <v>2.442513825565111E-3</v>
      </c>
      <c r="Z15" s="3">
        <v>0</v>
      </c>
      <c r="AA15" s="3">
        <v>1.1406917816115995E-3</v>
      </c>
      <c r="AB15"/>
      <c r="AC15" s="200" t="s">
        <v>37</v>
      </c>
      <c r="AD15" s="3">
        <v>2.9241751982556738E-3</v>
      </c>
      <c r="AE15" s="3">
        <v>2.9241751982556738E-3</v>
      </c>
      <c r="AF15"/>
      <c r="AG15"/>
      <c r="AH15" s="553"/>
      <c r="AI15" s="2" t="s">
        <v>1152</v>
      </c>
      <c r="AJ15" s="3">
        <v>8.5321957257270391E-5</v>
      </c>
      <c r="AK15" s="3">
        <v>8.5321957257270391E-5</v>
      </c>
      <c r="AL15"/>
    </row>
    <row r="16" spans="1:41" x14ac:dyDescent="0.25">
      <c r="A16" s="200" t="s">
        <v>18</v>
      </c>
      <c r="B16" s="3">
        <v>9.7436073729064862E-2</v>
      </c>
      <c r="C16" s="3">
        <v>0</v>
      </c>
      <c r="D16" s="3">
        <v>4.0088472738596517E-2</v>
      </c>
      <c r="E16"/>
      <c r="F16" s="2" t="s">
        <v>481</v>
      </c>
      <c r="G16" s="3">
        <v>0.1006721015210289</v>
      </c>
      <c r="H16" s="3">
        <v>0.1006721015210289</v>
      </c>
      <c r="I16"/>
      <c r="J16" s="3"/>
      <c r="O16" s="200" t="s">
        <v>35</v>
      </c>
      <c r="P16" s="3">
        <v>2.1891340417572186E-4</v>
      </c>
      <c r="Q16" s="3">
        <v>2.1891340417572186E-4</v>
      </c>
      <c r="R16"/>
      <c r="S16" s="200" t="s">
        <v>44</v>
      </c>
      <c r="T16" s="3">
        <v>1.1019328000267308E-3</v>
      </c>
      <c r="U16" s="3">
        <v>0</v>
      </c>
      <c r="V16" s="3">
        <v>6.4065304246312918E-4</v>
      </c>
      <c r="W16"/>
      <c r="X16" s="200" t="s">
        <v>44</v>
      </c>
      <c r="Y16" s="3">
        <v>1.1019328000267308E-3</v>
      </c>
      <c r="Z16" s="3">
        <v>0</v>
      </c>
      <c r="AA16" s="3">
        <v>5.146196822807882E-4</v>
      </c>
      <c r="AB16"/>
      <c r="AC16" s="200" t="s">
        <v>39</v>
      </c>
      <c r="AD16" s="3">
        <v>8.3761823946999292E-5</v>
      </c>
      <c r="AE16" s="3">
        <v>8.3761823946999292E-5</v>
      </c>
      <c r="AF16"/>
      <c r="AG16"/>
      <c r="AH16" s="553"/>
      <c r="AI16" s="2" t="s">
        <v>365</v>
      </c>
      <c r="AJ16" s="3"/>
      <c r="AK16" s="3"/>
      <c r="AL16"/>
    </row>
    <row r="17" spans="1:38" x14ac:dyDescent="0.25">
      <c r="A17" s="200" t="s">
        <v>43</v>
      </c>
      <c r="B17" s="3">
        <v>2.442513825565111E-3</v>
      </c>
      <c r="C17" s="3">
        <v>0</v>
      </c>
      <c r="D17" s="3">
        <v>1.0049322100363308E-3</v>
      </c>
      <c r="E17"/>
      <c r="F17" s="2" t="s">
        <v>365</v>
      </c>
      <c r="G17" s="3"/>
      <c r="H17" s="3"/>
      <c r="I17"/>
      <c r="J17" s="3"/>
      <c r="K17" s="1" t="s">
        <v>507</v>
      </c>
      <c r="L17" t="s">
        <v>529</v>
      </c>
      <c r="O17" s="2" t="s">
        <v>1152</v>
      </c>
      <c r="P17" s="3">
        <v>2.1891340417572186E-4</v>
      </c>
      <c r="Q17" s="3">
        <v>2.1891340417572186E-4</v>
      </c>
      <c r="R17"/>
      <c r="S17" s="200" t="s">
        <v>37</v>
      </c>
      <c r="T17" s="3">
        <v>0</v>
      </c>
      <c r="U17" s="3">
        <v>7.5271227728483841E-3</v>
      </c>
      <c r="V17" s="3">
        <v>3.1509265970908022E-3</v>
      </c>
      <c r="W17"/>
      <c r="X17" s="200" t="s">
        <v>37</v>
      </c>
      <c r="Y17" s="3">
        <v>0</v>
      </c>
      <c r="Z17" s="3">
        <v>4.7488362552905996E-3</v>
      </c>
      <c r="AA17" s="3">
        <v>2.5310561830013878E-3</v>
      </c>
      <c r="AB17"/>
      <c r="AC17" s="200" t="s">
        <v>38</v>
      </c>
      <c r="AD17" s="3">
        <v>2.4268740381994827E-5</v>
      </c>
      <c r="AE17" s="3">
        <v>2.4268740381994827E-5</v>
      </c>
      <c r="AF17"/>
      <c r="AG17"/>
      <c r="AH17" s="553"/>
      <c r="AI17" s="200" t="s">
        <v>1219</v>
      </c>
      <c r="AJ17" s="3">
        <v>0.2107457544698946</v>
      </c>
      <c r="AK17" s="3">
        <v>0.2107457544698946</v>
      </c>
      <c r="AL17"/>
    </row>
    <row r="18" spans="1:38" x14ac:dyDescent="0.25">
      <c r="A18" s="200" t="s">
        <v>44</v>
      </c>
      <c r="B18" s="3">
        <v>1.1019328000267308E-3</v>
      </c>
      <c r="C18" s="3">
        <v>0</v>
      </c>
      <c r="D18" s="3">
        <v>4.5337215800044824E-4</v>
      </c>
      <c r="E18"/>
      <c r="F18" s="200" t="s">
        <v>390</v>
      </c>
      <c r="G18" s="3">
        <v>0.27731466979349972</v>
      </c>
      <c r="H18" s="3">
        <v>0.27731466979349972</v>
      </c>
      <c r="I18"/>
      <c r="J18" s="3"/>
      <c r="O18" s="2" t="s">
        <v>365</v>
      </c>
      <c r="P18" s="3"/>
      <c r="Q18" s="3"/>
      <c r="R18"/>
      <c r="S18" s="200" t="s">
        <v>34</v>
      </c>
      <c r="T18" s="3">
        <v>0</v>
      </c>
      <c r="U18" s="3">
        <v>1.398439887253796E-4</v>
      </c>
      <c r="V18" s="3">
        <v>5.8540050005231996E-5</v>
      </c>
      <c r="W18"/>
      <c r="X18" s="200" t="s">
        <v>34</v>
      </c>
      <c r="Y18" s="3">
        <v>0</v>
      </c>
      <c r="Z18" s="3">
        <v>8.8227098691553283E-5</v>
      </c>
      <c r="AA18" s="3">
        <v>4.7023677306781448E-5</v>
      </c>
      <c r="AB18"/>
      <c r="AC18" s="200" t="s">
        <v>390</v>
      </c>
      <c r="AD18" s="3">
        <v>3.7627364516376528E-2</v>
      </c>
      <c r="AE18" s="3">
        <v>3.7627364516376528E-2</v>
      </c>
      <c r="AF18"/>
      <c r="AG18"/>
      <c r="AH18" s="553"/>
      <c r="AI18" s="200" t="s">
        <v>1220</v>
      </c>
      <c r="AJ18" s="3">
        <v>0.11968971791368295</v>
      </c>
      <c r="AK18" s="3">
        <v>0.11968971791368295</v>
      </c>
      <c r="AL18"/>
    </row>
    <row r="19" spans="1:38" x14ac:dyDescent="0.25">
      <c r="A19" s="200" t="s">
        <v>374</v>
      </c>
      <c r="B19" s="3">
        <v>0</v>
      </c>
      <c r="C19" s="3">
        <v>2.3348384761616943E-4</v>
      </c>
      <c r="D19" s="3">
        <v>1.3742075207221003E-4</v>
      </c>
      <c r="E19"/>
      <c r="F19" s="545" t="s">
        <v>390</v>
      </c>
      <c r="G19" s="3">
        <v>0.27731466979349972</v>
      </c>
      <c r="H19" s="3">
        <v>0.27731466979349972</v>
      </c>
      <c r="I19"/>
      <c r="J19" s="3"/>
      <c r="K19" s="1" t="s">
        <v>23</v>
      </c>
      <c r="L19" s="1" t="s">
        <v>24</v>
      </c>
      <c r="M19"/>
      <c r="N19"/>
      <c r="O19" s="200" t="s">
        <v>37</v>
      </c>
      <c r="P19" s="3">
        <v>5.0824320966852958E-2</v>
      </c>
      <c r="Q19" s="3">
        <v>5.0824320966852958E-2</v>
      </c>
      <c r="R19"/>
      <c r="S19" s="200" t="s">
        <v>35</v>
      </c>
      <c r="T19" s="3">
        <v>0</v>
      </c>
      <c r="U19" s="3">
        <v>0.11148207498136603</v>
      </c>
      <c r="V19" s="3">
        <v>4.6667477834260229E-2</v>
      </c>
      <c r="W19"/>
      <c r="X19" s="200" t="s">
        <v>35</v>
      </c>
      <c r="Y19" s="3">
        <v>0</v>
      </c>
      <c r="Z19" s="3">
        <v>7.0333663401400695E-2</v>
      </c>
      <c r="AA19" s="3">
        <v>3.7486753397093078E-2</v>
      </c>
      <c r="AB19"/>
      <c r="AC19" s="200" t="s">
        <v>34</v>
      </c>
      <c r="AD19" s="3">
        <v>5.4327308826551277E-5</v>
      </c>
      <c r="AE19" s="3">
        <v>5.4327308826551277E-5</v>
      </c>
      <c r="AF19"/>
      <c r="AG19"/>
      <c r="AH19" s="553"/>
      <c r="AI19" s="2" t="s">
        <v>482</v>
      </c>
      <c r="AJ19" s="3">
        <v>0.33043547238357757</v>
      </c>
      <c r="AK19" s="3">
        <v>0.33043547238357757</v>
      </c>
      <c r="AL19"/>
    </row>
    <row r="20" spans="1:38" x14ac:dyDescent="0.25">
      <c r="A20" s="200" t="s">
        <v>37</v>
      </c>
      <c r="B20" s="3">
        <v>0</v>
      </c>
      <c r="C20" s="3">
        <v>3.7885651487761054E-3</v>
      </c>
      <c r="D20" s="3">
        <v>2.2298222225429938E-3</v>
      </c>
      <c r="E20"/>
      <c r="F20" s="2" t="s">
        <v>482</v>
      </c>
      <c r="G20" s="3">
        <v>0.27731466979349972</v>
      </c>
      <c r="H20" s="3">
        <v>0.27731466979349972</v>
      </c>
      <c r="I20"/>
      <c r="J20" s="3"/>
      <c r="K20" s="1" t="s">
        <v>21</v>
      </c>
      <c r="L20" t="s">
        <v>20</v>
      </c>
      <c r="M20" t="s">
        <v>22</v>
      </c>
      <c r="N20"/>
      <c r="O20" s="200" t="s">
        <v>34</v>
      </c>
      <c r="P20" s="3">
        <v>1.1771169184988876E-4</v>
      </c>
      <c r="Q20" s="3">
        <v>1.1771169184988876E-4</v>
      </c>
      <c r="R20"/>
      <c r="S20" s="200" t="s">
        <v>41</v>
      </c>
      <c r="T20" s="3">
        <v>0</v>
      </c>
      <c r="U20" s="3">
        <v>4.9114065574425913E-3</v>
      </c>
      <c r="V20" s="3">
        <v>2.0559624199029593E-3</v>
      </c>
      <c r="W20"/>
      <c r="X20" s="200" t="s">
        <v>41</v>
      </c>
      <c r="Y20" s="3">
        <v>0</v>
      </c>
      <c r="Z20" s="3">
        <v>3.0985897571097275E-3</v>
      </c>
      <c r="AA20" s="3">
        <v>1.6515003553933697E-3</v>
      </c>
      <c r="AB20"/>
      <c r="AC20" s="200" t="s">
        <v>35</v>
      </c>
      <c r="AD20" s="3">
        <v>4.330912734498004E-2</v>
      </c>
      <c r="AE20" s="3">
        <v>4.330912734498004E-2</v>
      </c>
      <c r="AF20"/>
      <c r="AG20"/>
      <c r="AH20" s="201"/>
      <c r="AI20" s="2" t="s">
        <v>328</v>
      </c>
      <c r="AJ20" s="3"/>
      <c r="AK20" s="3"/>
      <c r="AL20"/>
    </row>
    <row r="21" spans="1:38" x14ac:dyDescent="0.25">
      <c r="A21" s="200" t="s">
        <v>390</v>
      </c>
      <c r="B21" s="3">
        <v>0</v>
      </c>
      <c r="C21" s="3">
        <v>4.8750061874567159E-2</v>
      </c>
      <c r="D21" s="3">
        <v>2.869264934070689E-2</v>
      </c>
      <c r="E21"/>
      <c r="F21" s="2" t="s">
        <v>329</v>
      </c>
      <c r="G21" s="3"/>
      <c r="H21" s="3"/>
      <c r="I21"/>
      <c r="J21" s="3"/>
      <c r="K21" s="2" t="s">
        <v>303</v>
      </c>
      <c r="L21" s="3"/>
      <c r="M21" s="3"/>
      <c r="N21"/>
      <c r="O21" s="200" t="s">
        <v>35</v>
      </c>
      <c r="P21" s="3">
        <v>0.25494049981865796</v>
      </c>
      <c r="Q21" s="3">
        <v>0.25494049981865796</v>
      </c>
      <c r="R21"/>
      <c r="S21" s="2" t="s">
        <v>481</v>
      </c>
      <c r="T21" s="3">
        <v>0.10098052035465671</v>
      </c>
      <c r="U21" s="3">
        <v>0.12406044830038239</v>
      </c>
      <c r="V21" s="3">
        <v>0.11064200204131806</v>
      </c>
      <c r="W21"/>
      <c r="X21" s="200" t="s">
        <v>391</v>
      </c>
      <c r="Y21" s="3">
        <v>0</v>
      </c>
      <c r="Z21" s="3">
        <v>7.1310805263424884E-2</v>
      </c>
      <c r="AA21" s="3">
        <v>3.8007554877411642E-2</v>
      </c>
      <c r="AB21"/>
      <c r="AC21" s="200" t="s">
        <v>41</v>
      </c>
      <c r="AD21" s="3">
        <v>1.9080083688324332E-3</v>
      </c>
      <c r="AE21" s="3">
        <v>1.9080083688324332E-3</v>
      </c>
      <c r="AF21"/>
      <c r="AG21"/>
      <c r="AH21" s="201"/>
      <c r="AI21" s="200" t="s">
        <v>1220</v>
      </c>
      <c r="AJ21" s="3">
        <v>1.3302736692244878E-4</v>
      </c>
      <c r="AK21" s="3">
        <v>1.3302736692244878E-4</v>
      </c>
      <c r="AL21"/>
    </row>
    <row r="22" spans="1:38" x14ac:dyDescent="0.25">
      <c r="A22" s="200" t="s">
        <v>34</v>
      </c>
      <c r="B22" s="3">
        <v>0</v>
      </c>
      <c r="C22" s="3">
        <v>7.0386531207106107E-5</v>
      </c>
      <c r="D22" s="3">
        <v>4.142714861430418E-5</v>
      </c>
      <c r="E22"/>
      <c r="F22" s="200" t="s">
        <v>390</v>
      </c>
      <c r="G22" s="3">
        <v>0.16519215933194462</v>
      </c>
      <c r="H22" s="3">
        <v>0.16519215933194462</v>
      </c>
      <c r="I22"/>
      <c r="J22" s="3"/>
      <c r="K22" s="200" t="s">
        <v>39</v>
      </c>
      <c r="L22" s="3">
        <v>1.9130434782608695E-2</v>
      </c>
      <c r="M22" s="3">
        <v>1.9130434782608695E-2</v>
      </c>
      <c r="N22"/>
      <c r="O22" s="200" t="s">
        <v>41</v>
      </c>
      <c r="P22" s="3">
        <v>1.4719762284852657E-3</v>
      </c>
      <c r="Q22" s="3">
        <v>1.4719762284852657E-3</v>
      </c>
      <c r="R22"/>
      <c r="S22" s="2" t="s">
        <v>306</v>
      </c>
      <c r="T22" s="3"/>
      <c r="U22" s="3"/>
      <c r="V22" s="3"/>
      <c r="W22"/>
      <c r="X22" s="2" t="s">
        <v>481</v>
      </c>
      <c r="Y22" s="3">
        <v>0.10098052035465671</v>
      </c>
      <c r="Z22" s="3">
        <v>0.14958012177591748</v>
      </c>
      <c r="AA22" s="3">
        <v>0.12688335529272043</v>
      </c>
      <c r="AB22"/>
      <c r="AC22" s="200" t="s">
        <v>391</v>
      </c>
      <c r="AD22" s="3">
        <v>4.3910818758307928E-2</v>
      </c>
      <c r="AE22" s="3">
        <v>4.3910818758307928E-2</v>
      </c>
      <c r="AF22"/>
      <c r="AG22"/>
      <c r="AH22" s="201"/>
      <c r="AI22" s="2" t="s">
        <v>1153</v>
      </c>
      <c r="AJ22" s="3">
        <v>1.3302736692244878E-4</v>
      </c>
      <c r="AK22" s="3">
        <v>1.3302736692244878E-4</v>
      </c>
      <c r="AL22"/>
    </row>
    <row r="23" spans="1:38" x14ac:dyDescent="0.25">
      <c r="A23" s="200" t="s">
        <v>35</v>
      </c>
      <c r="B23" s="3">
        <v>0</v>
      </c>
      <c r="C23" s="3">
        <v>5.6111361104825085E-2</v>
      </c>
      <c r="D23" s="3">
        <v>3.3025262867419088E-2</v>
      </c>
      <c r="E23"/>
      <c r="F23" s="545" t="s">
        <v>390</v>
      </c>
      <c r="G23" s="3">
        <v>0.16519215933194462</v>
      </c>
      <c r="H23" s="3">
        <v>0.16519215933194462</v>
      </c>
      <c r="I23"/>
      <c r="J23" s="3"/>
      <c r="K23" s="200" t="s">
        <v>38</v>
      </c>
      <c r="L23" s="3">
        <v>1.7391304347826088E-3</v>
      </c>
      <c r="M23" s="3">
        <v>1.7391304347826088E-3</v>
      </c>
      <c r="N23"/>
      <c r="O23" s="2" t="s">
        <v>482</v>
      </c>
      <c r="P23" s="3">
        <v>0.30735450870584607</v>
      </c>
      <c r="Q23" s="3">
        <v>0.30735450870584607</v>
      </c>
      <c r="R23"/>
      <c r="S23" s="200" t="s">
        <v>18</v>
      </c>
      <c r="T23" s="3">
        <v>1.3044882123262387E-2</v>
      </c>
      <c r="U23" s="3">
        <v>0</v>
      </c>
      <c r="V23" s="3">
        <v>7.5841679462106976E-3</v>
      </c>
      <c r="W23"/>
      <c r="X23" s="2" t="s">
        <v>306</v>
      </c>
      <c r="Y23" s="3"/>
      <c r="Z23" s="3"/>
      <c r="AA23" s="3"/>
      <c r="AB23"/>
      <c r="AC23" s="2" t="s">
        <v>481</v>
      </c>
      <c r="AD23" s="3">
        <v>0.13002206479205902</v>
      </c>
      <c r="AE23" s="3">
        <v>0.13002206479205902</v>
      </c>
      <c r="AF23"/>
      <c r="AG23"/>
      <c r="AH23" s="201"/>
      <c r="AI23" s="2" t="s">
        <v>329</v>
      </c>
      <c r="AJ23" s="3"/>
      <c r="AK23" s="3"/>
      <c r="AL23"/>
    </row>
    <row r="24" spans="1:38" x14ac:dyDescent="0.25">
      <c r="A24" s="200" t="s">
        <v>41</v>
      </c>
      <c r="B24" s="3">
        <v>0</v>
      </c>
      <c r="C24" s="3">
        <v>2.4720180972890092E-3</v>
      </c>
      <c r="D24" s="3">
        <v>1.4549468390808017E-3</v>
      </c>
      <c r="E24"/>
      <c r="F24" s="2" t="s">
        <v>496</v>
      </c>
      <c r="G24" s="3">
        <v>0.16519215933194462</v>
      </c>
      <c r="H24" s="3">
        <v>0.16519215933194462</v>
      </c>
      <c r="I24"/>
      <c r="J24" s="3"/>
      <c r="K24" s="2" t="s">
        <v>1151</v>
      </c>
      <c r="L24" s="3">
        <v>2.0869565217391306E-2</v>
      </c>
      <c r="M24" s="3">
        <v>2.0869565217391306E-2</v>
      </c>
      <c r="N24"/>
      <c r="O24" s="2" t="s">
        <v>328</v>
      </c>
      <c r="P24" s="3"/>
      <c r="Q24" s="3"/>
      <c r="R24"/>
      <c r="S24" s="2" t="s">
        <v>1160</v>
      </c>
      <c r="T24" s="3">
        <v>1.3044882123262387E-2</v>
      </c>
      <c r="U24" s="3">
        <v>0</v>
      </c>
      <c r="V24" s="3">
        <v>7.5841679462106976E-3</v>
      </c>
      <c r="W24"/>
      <c r="X24" s="200" t="s">
        <v>18</v>
      </c>
      <c r="Y24" s="3">
        <v>1.3044882123262387E-2</v>
      </c>
      <c r="Z24" s="3">
        <v>0</v>
      </c>
      <c r="AA24" s="3">
        <v>6.0921619662294979E-3</v>
      </c>
      <c r="AB24"/>
      <c r="AC24" s="2" t="s">
        <v>312</v>
      </c>
      <c r="AD24" s="3"/>
      <c r="AE24" s="3"/>
      <c r="AF24"/>
      <c r="AG24"/>
      <c r="AH24" s="201"/>
      <c r="AI24" s="200" t="s">
        <v>1219</v>
      </c>
      <c r="AJ24" s="3">
        <v>7.3472259390953767E-2</v>
      </c>
      <c r="AK24" s="3">
        <v>7.3472259390953767E-2</v>
      </c>
      <c r="AL24"/>
    </row>
    <row r="25" spans="1:38" x14ac:dyDescent="0.25">
      <c r="A25" s="2" t="s">
        <v>481</v>
      </c>
      <c r="B25" s="3">
        <v>0.10098052035465671</v>
      </c>
      <c r="C25" s="3">
        <v>0.11142587660428063</v>
      </c>
      <c r="D25" s="3">
        <v>0.10712830627706958</v>
      </c>
      <c r="E25"/>
      <c r="F25" s="2" t="s">
        <v>366</v>
      </c>
      <c r="G25" s="3"/>
      <c r="H25" s="3"/>
      <c r="I25"/>
      <c r="J25" s="3"/>
      <c r="K25" s="2" t="s">
        <v>305</v>
      </c>
      <c r="L25" s="3"/>
      <c r="M25" s="3"/>
      <c r="N25"/>
      <c r="O25" s="200" t="s">
        <v>35</v>
      </c>
      <c r="P25" s="3">
        <v>3.3992709193042178E-4</v>
      </c>
      <c r="Q25" s="3">
        <v>3.3992709193042178E-4</v>
      </c>
      <c r="R25"/>
      <c r="S25" s="2" t="s">
        <v>307</v>
      </c>
      <c r="T25" s="3"/>
      <c r="U25" s="3"/>
      <c r="V25" s="3"/>
      <c r="W25"/>
      <c r="X25" s="2" t="s">
        <v>1160</v>
      </c>
      <c r="Y25" s="3">
        <v>1.3044882123262387E-2</v>
      </c>
      <c r="Z25" s="3">
        <v>0</v>
      </c>
      <c r="AA25" s="3">
        <v>6.0921619662294979E-3</v>
      </c>
      <c r="AB25"/>
      <c r="AC25" s="200" t="s">
        <v>39</v>
      </c>
      <c r="AD25" s="3">
        <v>2.7735703293708374E-7</v>
      </c>
      <c r="AE25" s="3">
        <v>2.7735703293708374E-7</v>
      </c>
      <c r="AF25"/>
      <c r="AG25"/>
      <c r="AH25" s="201"/>
      <c r="AI25" s="200" t="s">
        <v>1220</v>
      </c>
      <c r="AJ25" s="3">
        <v>3.5280473312550277E-2</v>
      </c>
      <c r="AK25" s="3">
        <v>3.5280473312550277E-2</v>
      </c>
      <c r="AL25"/>
    </row>
    <row r="26" spans="1:38" x14ac:dyDescent="0.25">
      <c r="A26" s="2" t="s">
        <v>306</v>
      </c>
      <c r="B26" s="3"/>
      <c r="C26" s="3"/>
      <c r="D26" s="3"/>
      <c r="E26"/>
      <c r="F26" s="200" t="s">
        <v>390</v>
      </c>
      <c r="G26" s="3">
        <v>9.4403377603028679E-2</v>
      </c>
      <c r="H26" s="3">
        <v>9.4403377603028679E-2</v>
      </c>
      <c r="I26"/>
      <c r="J26" s="3"/>
      <c r="K26" s="200" t="s">
        <v>39</v>
      </c>
      <c r="L26" s="3">
        <v>1.8260869565217393E-2</v>
      </c>
      <c r="M26" s="3">
        <v>1.8260869565217393E-2</v>
      </c>
      <c r="N26"/>
      <c r="O26" s="2" t="s">
        <v>1153</v>
      </c>
      <c r="P26" s="3">
        <v>3.3992709193042178E-4</v>
      </c>
      <c r="Q26" s="3">
        <v>3.3992709193042178E-4</v>
      </c>
      <c r="R26"/>
      <c r="S26" s="200" t="s">
        <v>18</v>
      </c>
      <c r="T26" s="3">
        <v>2.4245220368889499E-3</v>
      </c>
      <c r="U26" s="3">
        <v>0</v>
      </c>
      <c r="V26" s="3">
        <v>1.4095935971904362E-3</v>
      </c>
      <c r="W26"/>
      <c r="X26" s="2" t="s">
        <v>307</v>
      </c>
      <c r="Y26" s="3"/>
      <c r="Z26" s="3"/>
      <c r="AA26" s="3"/>
      <c r="AB26"/>
      <c r="AC26" s="200" t="s">
        <v>35</v>
      </c>
      <c r="AD26" s="3">
        <v>8.5044600224333297E-5</v>
      </c>
      <c r="AE26" s="3">
        <v>8.5044600224333297E-5</v>
      </c>
      <c r="AF26"/>
      <c r="AG26"/>
      <c r="AH26" s="201"/>
      <c r="AI26" s="2" t="s">
        <v>496</v>
      </c>
      <c r="AJ26" s="3">
        <v>0.10875273270350405</v>
      </c>
      <c r="AK26" s="3">
        <v>0.10875273270350405</v>
      </c>
      <c r="AL26"/>
    </row>
    <row r="27" spans="1:38" x14ac:dyDescent="0.25">
      <c r="A27" s="200" t="s">
        <v>18</v>
      </c>
      <c r="B27" s="3">
        <v>1.3044882123262387E-2</v>
      </c>
      <c r="C27" s="3">
        <v>0</v>
      </c>
      <c r="D27" s="3">
        <v>5.3671025664554783E-3</v>
      </c>
      <c r="E27"/>
      <c r="F27" s="545" t="s">
        <v>390</v>
      </c>
      <c r="G27" s="3">
        <v>9.4403377603028679E-2</v>
      </c>
      <c r="H27" s="3">
        <v>9.4403377603028679E-2</v>
      </c>
      <c r="I27"/>
      <c r="J27" s="3"/>
      <c r="K27" s="200" t="s">
        <v>38</v>
      </c>
      <c r="L27" s="3">
        <v>0.15043478260869564</v>
      </c>
      <c r="M27" s="3">
        <v>0.15043478260869564</v>
      </c>
      <c r="N27"/>
      <c r="O27" s="2" t="s">
        <v>329</v>
      </c>
      <c r="P27" s="3"/>
      <c r="Q27" s="3"/>
      <c r="R27"/>
      <c r="S27" s="2" t="s">
        <v>1161</v>
      </c>
      <c r="T27" s="3">
        <v>2.4245220368889499E-3</v>
      </c>
      <c r="U27" s="3">
        <v>0</v>
      </c>
      <c r="V27" s="3">
        <v>1.4095935971904362E-3</v>
      </c>
      <c r="W27"/>
      <c r="X27" s="200" t="s">
        <v>18</v>
      </c>
      <c r="Y27" s="3">
        <v>2.4245220368889499E-3</v>
      </c>
      <c r="Z27" s="3">
        <v>0</v>
      </c>
      <c r="AA27" s="3">
        <v>1.1322893376767566E-3</v>
      </c>
      <c r="AB27"/>
      <c r="AC27" s="2" t="s">
        <v>1152</v>
      </c>
      <c r="AD27" s="3">
        <v>8.5321957257270391E-5</v>
      </c>
      <c r="AE27" s="3">
        <v>8.5321957257270391E-5</v>
      </c>
      <c r="AF27"/>
      <c r="AG27"/>
      <c r="AH27" s="201"/>
      <c r="AI27" s="2" t="s">
        <v>366</v>
      </c>
      <c r="AJ27" s="3"/>
      <c r="AK27" s="3"/>
      <c r="AL27"/>
    </row>
    <row r="28" spans="1:38" x14ac:dyDescent="0.25">
      <c r="A28" s="2" t="s">
        <v>1160</v>
      </c>
      <c r="B28" s="3">
        <v>1.3044882123262387E-2</v>
      </c>
      <c r="C28" s="3">
        <v>0</v>
      </c>
      <c r="D28" s="3">
        <v>5.3671025664554783E-3</v>
      </c>
      <c r="E28"/>
      <c r="F28" s="2" t="s">
        <v>483</v>
      </c>
      <c r="G28" s="3">
        <v>9.4403377603028679E-2</v>
      </c>
      <c r="H28" s="3">
        <v>9.4403377603028679E-2</v>
      </c>
      <c r="I28"/>
      <c r="J28" s="3"/>
      <c r="K28" s="2" t="s">
        <v>481</v>
      </c>
      <c r="L28" s="3">
        <v>0.16869565217391305</v>
      </c>
      <c r="M28" s="3">
        <v>0.16869565217391305</v>
      </c>
      <c r="N28"/>
      <c r="O28" s="200" t="s">
        <v>37</v>
      </c>
      <c r="P28" s="3">
        <v>3.7960458866769286E-3</v>
      </c>
      <c r="Q28" s="3">
        <v>3.7960458866769286E-3</v>
      </c>
      <c r="R28"/>
      <c r="S28" s="2" t="s">
        <v>308</v>
      </c>
      <c r="T28" s="3"/>
      <c r="U28" s="3"/>
      <c r="V28" s="3"/>
      <c r="W28"/>
      <c r="X28" s="2" t="s">
        <v>1161</v>
      </c>
      <c r="Y28" s="3">
        <v>2.4245220368889499E-3</v>
      </c>
      <c r="Z28" s="3">
        <v>0</v>
      </c>
      <c r="AA28" s="3">
        <v>1.1322893376767566E-3</v>
      </c>
      <c r="AB28"/>
      <c r="AC28" s="2" t="s">
        <v>365</v>
      </c>
      <c r="AD28" s="3"/>
      <c r="AE28" s="3"/>
      <c r="AF28"/>
      <c r="AG28"/>
      <c r="AH28" s="201"/>
      <c r="AI28" s="200" t="s">
        <v>1219</v>
      </c>
      <c r="AJ28" s="3">
        <v>5.5473590774051125E-2</v>
      </c>
      <c r="AK28" s="3">
        <v>5.5473590774051125E-2</v>
      </c>
      <c r="AL28"/>
    </row>
    <row r="29" spans="1:38" x14ac:dyDescent="0.25">
      <c r="A29" s="2" t="s">
        <v>307</v>
      </c>
      <c r="B29" s="3"/>
      <c r="C29" s="3"/>
      <c r="D29" s="3"/>
      <c r="E29"/>
      <c r="F29" s="2" t="s">
        <v>339</v>
      </c>
      <c r="G29" s="3"/>
      <c r="H29" s="3"/>
      <c r="I29"/>
      <c r="J29" s="3"/>
      <c r="K29" s="2" t="s">
        <v>365</v>
      </c>
      <c r="L29" s="3"/>
      <c r="M29" s="3"/>
      <c r="N29"/>
      <c r="O29" s="200" t="s">
        <v>34</v>
      </c>
      <c r="P29" s="3">
        <v>8.5673407259964533E-6</v>
      </c>
      <c r="Q29" s="3">
        <v>8.5673407259964533E-6</v>
      </c>
      <c r="R29"/>
      <c r="S29" s="200" t="s">
        <v>18</v>
      </c>
      <c r="T29" s="3">
        <v>2.2764753186393966E-3</v>
      </c>
      <c r="U29" s="3">
        <v>0</v>
      </c>
      <c r="V29" s="3">
        <v>1.3235206710819139E-3</v>
      </c>
      <c r="W29"/>
      <c r="X29" s="2" t="s">
        <v>308</v>
      </c>
      <c r="Y29" s="3"/>
      <c r="Z29" s="3"/>
      <c r="AA29" s="3"/>
      <c r="AB29"/>
      <c r="AC29" s="200" t="s">
        <v>374</v>
      </c>
      <c r="AD29" s="3">
        <v>2.7636894850724537E-3</v>
      </c>
      <c r="AE29" s="3">
        <v>2.7636894850724537E-3</v>
      </c>
      <c r="AF29"/>
      <c r="AG29"/>
      <c r="AH29" s="201"/>
      <c r="AI29" s="200" t="s">
        <v>1220</v>
      </c>
      <c r="AJ29" s="3">
        <v>5.4433987275344702E-2</v>
      </c>
      <c r="AK29" s="3">
        <v>5.4433987275344702E-2</v>
      </c>
      <c r="AL29"/>
    </row>
    <row r="30" spans="1:38" x14ac:dyDescent="0.25">
      <c r="A30" s="200" t="s">
        <v>18</v>
      </c>
      <c r="B30" s="3">
        <v>2.4245220368889499E-3</v>
      </c>
      <c r="C30" s="3">
        <v>0</v>
      </c>
      <c r="D30" s="3">
        <v>9.9752978399165614E-4</v>
      </c>
      <c r="E30"/>
      <c r="F30" s="200" t="s">
        <v>390</v>
      </c>
      <c r="G30" s="3">
        <v>0.20511011243000546</v>
      </c>
      <c r="H30" s="3">
        <v>0.20511011243000546</v>
      </c>
      <c r="I30"/>
      <c r="J30" s="3"/>
      <c r="K30" s="200" t="s">
        <v>39</v>
      </c>
      <c r="L30" s="3">
        <v>3.3913043478260872E-2</v>
      </c>
      <c r="M30" s="3">
        <v>3.3913043478260872E-2</v>
      </c>
      <c r="N30"/>
      <c r="O30" s="200" t="s">
        <v>35</v>
      </c>
      <c r="P30" s="3">
        <v>8.2196048599668156E-2</v>
      </c>
      <c r="Q30" s="3">
        <v>8.2196048599668156E-2</v>
      </c>
      <c r="R30"/>
      <c r="S30" s="2" t="s">
        <v>1162</v>
      </c>
      <c r="T30" s="3">
        <v>2.2764753186393966E-3</v>
      </c>
      <c r="U30" s="3">
        <v>0</v>
      </c>
      <c r="V30" s="3">
        <v>1.3235206710819139E-3</v>
      </c>
      <c r="W30"/>
      <c r="X30" s="200" t="s">
        <v>18</v>
      </c>
      <c r="Y30" s="3">
        <v>2.2764753186393966E-3</v>
      </c>
      <c r="Z30" s="3">
        <v>0</v>
      </c>
      <c r="AA30" s="3">
        <v>1.0631492275843353E-3</v>
      </c>
      <c r="AB30"/>
      <c r="AC30" s="200" t="s">
        <v>37</v>
      </c>
      <c r="AD30" s="3">
        <v>1.9744492460725117E-2</v>
      </c>
      <c r="AE30" s="3">
        <v>1.9744492460725117E-2</v>
      </c>
      <c r="AF30"/>
      <c r="AG30"/>
      <c r="AH30" s="201"/>
      <c r="AI30" s="2" t="s">
        <v>483</v>
      </c>
      <c r="AJ30" s="3">
        <v>0.10990757804939583</v>
      </c>
      <c r="AK30" s="3">
        <v>0.10990757804939583</v>
      </c>
      <c r="AL30"/>
    </row>
    <row r="31" spans="1:38" x14ac:dyDescent="0.25">
      <c r="A31" s="2" t="s">
        <v>1161</v>
      </c>
      <c r="B31" s="3">
        <v>2.4245220368889499E-3</v>
      </c>
      <c r="C31" s="3">
        <v>0</v>
      </c>
      <c r="D31" s="3">
        <v>9.9752978399165614E-4</v>
      </c>
      <c r="E31"/>
      <c r="F31" s="545" t="s">
        <v>390</v>
      </c>
      <c r="G31" s="3">
        <v>0.20511011243000546</v>
      </c>
      <c r="H31" s="3">
        <v>0.20511011243000546</v>
      </c>
      <c r="I31"/>
      <c r="J31" s="3"/>
      <c r="K31" s="200" t="s">
        <v>38</v>
      </c>
      <c r="L31" s="3">
        <v>0.14956521739130435</v>
      </c>
      <c r="M31" s="3">
        <v>0.14956521739130435</v>
      </c>
      <c r="N31"/>
      <c r="O31" s="200" t="s">
        <v>36</v>
      </c>
      <c r="P31" s="3">
        <v>2.1418351814991133E-4</v>
      </c>
      <c r="Q31" s="3">
        <v>2.1418351814991133E-4</v>
      </c>
      <c r="R31"/>
      <c r="S31" s="2" t="s">
        <v>309</v>
      </c>
      <c r="T31" s="3"/>
      <c r="U31" s="3"/>
      <c r="V31" s="3"/>
      <c r="W31"/>
      <c r="X31" s="2" t="s">
        <v>1162</v>
      </c>
      <c r="Y31" s="3">
        <v>2.2764753186393966E-3</v>
      </c>
      <c r="Z31" s="3">
        <v>0</v>
      </c>
      <c r="AA31" s="3">
        <v>1.0631492275843353E-3</v>
      </c>
      <c r="AB31"/>
      <c r="AC31" s="200" t="s">
        <v>39</v>
      </c>
      <c r="AD31" s="3">
        <v>1.7945000031029318E-4</v>
      </c>
      <c r="AE31" s="3">
        <v>1.7945000031029318E-4</v>
      </c>
      <c r="AF31"/>
      <c r="AG31"/>
      <c r="AH31" s="201"/>
      <c r="AI31" s="2" t="s">
        <v>334</v>
      </c>
      <c r="AJ31" s="3"/>
      <c r="AK31" s="3"/>
      <c r="AL31"/>
    </row>
    <row r="32" spans="1:38" x14ac:dyDescent="0.25">
      <c r="A32" s="2" t="s">
        <v>308</v>
      </c>
      <c r="B32" s="3"/>
      <c r="C32" s="3"/>
      <c r="D32" s="3"/>
      <c r="E32"/>
      <c r="F32" s="2" t="s">
        <v>484</v>
      </c>
      <c r="G32" s="3">
        <v>0.20511011243000546</v>
      </c>
      <c r="H32" s="3">
        <v>0.20511011243000546</v>
      </c>
      <c r="I32"/>
      <c r="J32" s="3"/>
      <c r="K32" s="2" t="s">
        <v>482</v>
      </c>
      <c r="L32" s="3">
        <v>0.18347826086956523</v>
      </c>
      <c r="M32" s="3">
        <v>0.18347826086956523</v>
      </c>
      <c r="N32"/>
      <c r="O32" s="200" t="s">
        <v>41</v>
      </c>
      <c r="P32" s="3">
        <v>4.4410952488384116E-3</v>
      </c>
      <c r="Q32" s="3">
        <v>4.4410952488384116E-3</v>
      </c>
      <c r="R32"/>
      <c r="S32" s="200" t="s">
        <v>18</v>
      </c>
      <c r="T32" s="3">
        <v>4.4752646640306556E-3</v>
      </c>
      <c r="U32" s="3">
        <v>0</v>
      </c>
      <c r="V32" s="3">
        <v>2.601875470781361E-3</v>
      </c>
      <c r="W32"/>
      <c r="X32" s="2" t="s">
        <v>309</v>
      </c>
      <c r="Y32" s="3"/>
      <c r="Z32" s="3"/>
      <c r="AA32" s="3"/>
      <c r="AB32"/>
      <c r="AC32" s="200" t="s">
        <v>38</v>
      </c>
      <c r="AD32" s="3">
        <v>1.0761452877958849E-4</v>
      </c>
      <c r="AE32" s="3">
        <v>1.0761452877958849E-4</v>
      </c>
      <c r="AF32"/>
      <c r="AG32"/>
      <c r="AH32" s="201"/>
      <c r="AI32" s="200" t="s">
        <v>1220</v>
      </c>
      <c r="AJ32" s="3">
        <v>1.4561244229196897E-6</v>
      </c>
      <c r="AK32" s="3">
        <v>1.4561244229196897E-6</v>
      </c>
      <c r="AL32"/>
    </row>
    <row r="33" spans="1:38" x14ac:dyDescent="0.25">
      <c r="A33" s="200" t="s">
        <v>18</v>
      </c>
      <c r="B33" s="3">
        <v>2.2764753186393966E-3</v>
      </c>
      <c r="C33" s="3">
        <v>0</v>
      </c>
      <c r="D33" s="3">
        <v>9.3661839253833339E-4</v>
      </c>
      <c r="E33"/>
      <c r="F33" s="2" t="s">
        <v>340</v>
      </c>
      <c r="G33" s="3"/>
      <c r="H33" s="3"/>
      <c r="I33"/>
      <c r="J33" s="3"/>
      <c r="K33" s="2" t="s">
        <v>328</v>
      </c>
      <c r="L33" s="3"/>
      <c r="M33" s="3"/>
      <c r="N33"/>
      <c r="O33" s="2" t="s">
        <v>496</v>
      </c>
      <c r="P33" s="3">
        <v>9.0655940594059403E-2</v>
      </c>
      <c r="Q33" s="3">
        <v>9.0655940594059403E-2</v>
      </c>
      <c r="S33" s="200" t="s">
        <v>44</v>
      </c>
      <c r="T33" s="3">
        <v>3.6761079648684624E-4</v>
      </c>
      <c r="U33" s="3">
        <v>0</v>
      </c>
      <c r="V33" s="3">
        <v>2.1372535167832305E-4</v>
      </c>
      <c r="W33"/>
      <c r="X33" s="200" t="s">
        <v>18</v>
      </c>
      <c r="Y33" s="3">
        <v>4.4752646640306556E-3</v>
      </c>
      <c r="Z33" s="3">
        <v>0</v>
      </c>
      <c r="AA33" s="3">
        <v>2.0900179026071522E-3</v>
      </c>
      <c r="AB33"/>
      <c r="AC33" s="200" t="s">
        <v>390</v>
      </c>
      <c r="AD33" s="3">
        <v>0.10364957131523642</v>
      </c>
      <c r="AE33" s="3">
        <v>0.10364957131523642</v>
      </c>
      <c r="AF33"/>
      <c r="AG33"/>
      <c r="AH33" s="201"/>
      <c r="AI33" s="2" t="s">
        <v>1154</v>
      </c>
      <c r="AJ33" s="3">
        <v>1.4561244229196897E-6</v>
      </c>
      <c r="AK33" s="3">
        <v>1.4561244229196897E-6</v>
      </c>
      <c r="AL33"/>
    </row>
    <row r="34" spans="1:38" x14ac:dyDescent="0.25">
      <c r="A34" s="2" t="s">
        <v>1162</v>
      </c>
      <c r="B34" s="3">
        <v>2.2764753186393966E-3</v>
      </c>
      <c r="C34" s="3">
        <v>0</v>
      </c>
      <c r="D34" s="3">
        <v>9.3661839253833339E-4</v>
      </c>
      <c r="E34"/>
      <c r="F34" s="200" t="s">
        <v>390</v>
      </c>
      <c r="G34" s="3">
        <v>5.788141230274984E-5</v>
      </c>
      <c r="H34" s="3">
        <v>5.788141230274984E-5</v>
      </c>
      <c r="I34"/>
      <c r="J34" s="3"/>
      <c r="K34" s="200" t="s">
        <v>39</v>
      </c>
      <c r="L34" s="3">
        <v>1.7391304347826088E-3</v>
      </c>
      <c r="M34" s="3">
        <v>1.7391304347826088E-3</v>
      </c>
      <c r="N34"/>
      <c r="O34" s="2" t="s">
        <v>366</v>
      </c>
      <c r="P34" s="3"/>
      <c r="Q34" s="3"/>
      <c r="S34" s="2" t="s">
        <v>1163</v>
      </c>
      <c r="T34" s="3">
        <v>4.8428754605175017E-3</v>
      </c>
      <c r="U34" s="3">
        <v>0</v>
      </c>
      <c r="V34" s="3">
        <v>2.8156008224596843E-3</v>
      </c>
      <c r="W34"/>
      <c r="X34" s="200" t="s">
        <v>44</v>
      </c>
      <c r="Y34" s="3">
        <v>3.6761079648684624E-4</v>
      </c>
      <c r="Z34" s="3">
        <v>0</v>
      </c>
      <c r="AA34" s="3">
        <v>1.7167993482584344E-4</v>
      </c>
      <c r="AB34"/>
      <c r="AC34" s="200" t="s">
        <v>34</v>
      </c>
      <c r="AD34" s="3">
        <v>4.572924080550168E-5</v>
      </c>
      <c r="AE34" s="3">
        <v>4.572924080550168E-5</v>
      </c>
      <c r="AF34"/>
      <c r="AG34"/>
      <c r="AH34" s="201"/>
      <c r="AI34" s="2" t="s">
        <v>339</v>
      </c>
      <c r="AJ34" s="3"/>
      <c r="AK34" s="3"/>
      <c r="AL34"/>
    </row>
    <row r="35" spans="1:38" x14ac:dyDescent="0.25">
      <c r="A35" s="2" t="s">
        <v>309</v>
      </c>
      <c r="B35" s="3"/>
      <c r="C35" s="3"/>
      <c r="D35" s="3"/>
      <c r="E35"/>
      <c r="F35" s="545" t="s">
        <v>390</v>
      </c>
      <c r="G35" s="3">
        <v>5.788141230274984E-5</v>
      </c>
      <c r="H35" s="3">
        <v>5.788141230274984E-5</v>
      </c>
      <c r="I35"/>
      <c r="J35" s="3"/>
      <c r="K35" s="2" t="s">
        <v>1153</v>
      </c>
      <c r="L35" s="3">
        <v>1.7391304347826088E-3</v>
      </c>
      <c r="M35" s="3">
        <v>1.7391304347826088E-3</v>
      </c>
      <c r="N35"/>
      <c r="O35" s="200" t="s">
        <v>37</v>
      </c>
      <c r="P35" s="3">
        <v>9.1606290712717073E-3</v>
      </c>
      <c r="Q35" s="3">
        <v>9.1606290712717073E-3</v>
      </c>
      <c r="S35" s="2" t="s">
        <v>310</v>
      </c>
      <c r="T35" s="3"/>
      <c r="U35" s="3"/>
      <c r="V35" s="3"/>
      <c r="W35"/>
      <c r="X35" s="2" t="s">
        <v>1163</v>
      </c>
      <c r="Y35" s="3">
        <v>4.8428754605175017E-3</v>
      </c>
      <c r="Z35" s="3">
        <v>0</v>
      </c>
      <c r="AA35" s="3">
        <v>2.2616978374329958E-3</v>
      </c>
      <c r="AB35"/>
      <c r="AC35" s="200" t="s">
        <v>35</v>
      </c>
      <c r="AD35" s="3">
        <v>9.9040590820404423E-2</v>
      </c>
      <c r="AE35" s="3">
        <v>9.9040590820404423E-2</v>
      </c>
      <c r="AF35"/>
      <c r="AG35"/>
      <c r="AH35" s="201"/>
      <c r="AI35" s="200" t="s">
        <v>1219</v>
      </c>
      <c r="AJ35" s="3">
        <v>0.11829461203800942</v>
      </c>
      <c r="AK35" s="3">
        <v>0.11829461203800942</v>
      </c>
      <c r="AL35"/>
    </row>
    <row r="36" spans="1:38" x14ac:dyDescent="0.25">
      <c r="A36" s="200" t="s">
        <v>18</v>
      </c>
      <c r="B36" s="3">
        <v>4.4752646640306556E-3</v>
      </c>
      <c r="C36" s="3">
        <v>0</v>
      </c>
      <c r="D36" s="3">
        <v>1.8412741669051966E-3</v>
      </c>
      <c r="E36"/>
      <c r="F36" s="2" t="s">
        <v>1155</v>
      </c>
      <c r="G36" s="3">
        <v>5.788141230274984E-5</v>
      </c>
      <c r="H36" s="3">
        <v>5.788141230274984E-5</v>
      </c>
      <c r="I36"/>
      <c r="J36" s="3"/>
      <c r="K36" s="2" t="s">
        <v>329</v>
      </c>
      <c r="L36" s="3"/>
      <c r="M36" s="3"/>
      <c r="N36"/>
      <c r="O36" s="200" t="s">
        <v>34</v>
      </c>
      <c r="P36" s="3">
        <v>2.5345049647739508E-5</v>
      </c>
      <c r="Q36" s="3">
        <v>2.5345049647739508E-5</v>
      </c>
      <c r="S36" s="200" t="s">
        <v>18</v>
      </c>
      <c r="T36" s="3">
        <v>4.5517940222924687E-3</v>
      </c>
      <c r="U36" s="3">
        <v>0</v>
      </c>
      <c r="V36" s="3">
        <v>2.646368897428605E-3</v>
      </c>
      <c r="W36"/>
      <c r="X36" s="2" t="s">
        <v>310</v>
      </c>
      <c r="Y36" s="3"/>
      <c r="Z36" s="3"/>
      <c r="AA36" s="3"/>
      <c r="AB36"/>
      <c r="AC36" s="200" t="s">
        <v>41</v>
      </c>
      <c r="AD36" s="3">
        <v>5.7184086265803236E-4</v>
      </c>
      <c r="AE36" s="3">
        <v>5.7184086265803236E-4</v>
      </c>
      <c r="AF36"/>
      <c r="AG36"/>
      <c r="AH36" s="201"/>
      <c r="AI36" s="200" t="s">
        <v>1220</v>
      </c>
      <c r="AJ36" s="3">
        <v>6.5287175991947499E-2</v>
      </c>
      <c r="AK36" s="3">
        <v>6.5287175991947499E-2</v>
      </c>
      <c r="AL36"/>
    </row>
    <row r="37" spans="1:38" x14ac:dyDescent="0.25">
      <c r="A37" s="200" t="s">
        <v>44</v>
      </c>
      <c r="B37" s="3">
        <v>3.6761079648684624E-4</v>
      </c>
      <c r="C37" s="3">
        <v>0</v>
      </c>
      <c r="D37" s="3">
        <v>1.5124742643422731E-4</v>
      </c>
      <c r="E37"/>
      <c r="F37" s="2" t="s">
        <v>367</v>
      </c>
      <c r="G37" s="3"/>
      <c r="H37" s="3"/>
      <c r="I37"/>
      <c r="J37" s="3"/>
      <c r="K37" s="200" t="s">
        <v>39</v>
      </c>
      <c r="L37" s="3">
        <v>2.1739130434782608E-2</v>
      </c>
      <c r="M37" s="3">
        <v>2.1739130434782608E-2</v>
      </c>
      <c r="N37"/>
      <c r="O37" s="200" t="s">
        <v>35</v>
      </c>
      <c r="P37" s="3">
        <v>0.12903816250531888</v>
      </c>
      <c r="Q37" s="3">
        <v>0.12903816250531888</v>
      </c>
      <c r="S37" s="2" t="s">
        <v>1164</v>
      </c>
      <c r="T37" s="3">
        <v>4.5517940222924687E-3</v>
      </c>
      <c r="U37" s="3">
        <v>0</v>
      </c>
      <c r="V37" s="3">
        <v>2.646368897428605E-3</v>
      </c>
      <c r="W37"/>
      <c r="X37" s="200" t="s">
        <v>18</v>
      </c>
      <c r="Y37" s="3">
        <v>4.5517940222924687E-3</v>
      </c>
      <c r="Z37" s="3">
        <v>0</v>
      </c>
      <c r="AA37" s="3">
        <v>2.1257582980585732E-3</v>
      </c>
      <c r="AB37"/>
      <c r="AC37" s="200" t="s">
        <v>391</v>
      </c>
      <c r="AD37" s="3">
        <v>0.10433249366958575</v>
      </c>
      <c r="AE37" s="3">
        <v>0.10433249366958575</v>
      </c>
      <c r="AF37"/>
      <c r="AG37"/>
      <c r="AH37" s="201"/>
      <c r="AI37" s="2" t="s">
        <v>484</v>
      </c>
      <c r="AJ37" s="3">
        <v>0.18358178802995692</v>
      </c>
      <c r="AK37" s="3">
        <v>0.18358178802995692</v>
      </c>
      <c r="AL37"/>
    </row>
    <row r="38" spans="1:38" x14ac:dyDescent="0.25">
      <c r="A38" s="2" t="s">
        <v>1163</v>
      </c>
      <c r="B38" s="3">
        <v>4.8428754605175017E-3</v>
      </c>
      <c r="C38" s="3">
        <v>0</v>
      </c>
      <c r="D38" s="3">
        <v>1.9925215933394237E-3</v>
      </c>
      <c r="E38"/>
      <c r="F38" s="200" t="s">
        <v>390</v>
      </c>
      <c r="G38" s="3">
        <v>0.1157419539039482</v>
      </c>
      <c r="H38" s="3">
        <v>0.1157419539039482</v>
      </c>
      <c r="I38"/>
      <c r="J38" s="3"/>
      <c r="K38" s="2" t="s">
        <v>496</v>
      </c>
      <c r="L38" s="3">
        <v>2.1739130434782608E-2</v>
      </c>
      <c r="M38" s="3">
        <v>2.1739130434782608E-2</v>
      </c>
      <c r="N38"/>
      <c r="O38" s="200" t="s">
        <v>41</v>
      </c>
      <c r="P38" s="3">
        <v>1.5124926106686238E-3</v>
      </c>
      <c r="Q38" s="3">
        <v>1.5124926106686238E-3</v>
      </c>
      <c r="S38" s="2" t="s">
        <v>360</v>
      </c>
      <c r="T38" s="3"/>
      <c r="U38" s="3"/>
      <c r="V38" s="3"/>
      <c r="W38"/>
      <c r="X38" s="2" t="s">
        <v>1164</v>
      </c>
      <c r="Y38" s="3">
        <v>4.5517940222924687E-3</v>
      </c>
      <c r="Z38" s="3">
        <v>0</v>
      </c>
      <c r="AA38" s="3">
        <v>2.1257582980585732E-3</v>
      </c>
      <c r="AB38"/>
      <c r="AC38" s="2" t="s">
        <v>482</v>
      </c>
      <c r="AD38" s="3">
        <v>0.33043547238357757</v>
      </c>
      <c r="AE38" s="3">
        <v>0.33043547238357757</v>
      </c>
      <c r="AF38"/>
      <c r="AG38"/>
      <c r="AH38" s="201"/>
      <c r="AI38" s="2" t="s">
        <v>340</v>
      </c>
      <c r="AJ38" s="3"/>
      <c r="AK38" s="3"/>
      <c r="AL38"/>
    </row>
    <row r="39" spans="1:38" x14ac:dyDescent="0.25">
      <c r="A39" s="2" t="s">
        <v>310</v>
      </c>
      <c r="B39" s="3"/>
      <c r="C39" s="3"/>
      <c r="D39" s="3"/>
      <c r="E39"/>
      <c r="F39" s="545" t="s">
        <v>390</v>
      </c>
      <c r="G39" s="3">
        <v>0.1157419539039482</v>
      </c>
      <c r="H39" s="3">
        <v>0.1157419539039482</v>
      </c>
      <c r="I39"/>
      <c r="J39" s="3"/>
      <c r="K39" s="2" t="s">
        <v>366</v>
      </c>
      <c r="L39" s="3"/>
      <c r="M39" s="3"/>
      <c r="N39"/>
      <c r="O39" s="2" t="s">
        <v>483</v>
      </c>
      <c r="P39" s="3">
        <v>0.13973662923690697</v>
      </c>
      <c r="Q39" s="3">
        <v>0.13973662923690697</v>
      </c>
      <c r="S39" s="200" t="s">
        <v>18</v>
      </c>
      <c r="T39" s="3">
        <v>2.3404746812160262E-3</v>
      </c>
      <c r="U39" s="3">
        <v>0</v>
      </c>
      <c r="V39" s="3">
        <v>1.3607292797642439E-3</v>
      </c>
      <c r="W39"/>
      <c r="X39" s="2" t="s">
        <v>360</v>
      </c>
      <c r="Y39" s="3"/>
      <c r="Z39" s="3"/>
      <c r="AA39" s="3"/>
      <c r="AB39"/>
      <c r="AC39" s="2" t="s">
        <v>328</v>
      </c>
      <c r="AD39" s="3"/>
      <c r="AE39" s="3"/>
      <c r="AF39"/>
      <c r="AG39"/>
      <c r="AH39" s="201"/>
      <c r="AI39" s="200" t="s">
        <v>1219</v>
      </c>
      <c r="AJ39" s="3">
        <v>3.328284395245005E-5</v>
      </c>
      <c r="AK39" s="3">
        <v>3.328284395245005E-5</v>
      </c>
      <c r="AL39"/>
    </row>
    <row r="40" spans="1:38" x14ac:dyDescent="0.25">
      <c r="A40" s="200" t="s">
        <v>18</v>
      </c>
      <c r="B40" s="3">
        <v>4.5517940222924687E-3</v>
      </c>
      <c r="C40" s="3">
        <v>0</v>
      </c>
      <c r="D40" s="3">
        <v>1.8727609148309378E-3</v>
      </c>
      <c r="E40"/>
      <c r="F40" s="2" t="s">
        <v>485</v>
      </c>
      <c r="G40" s="3">
        <v>0.1157419539039482</v>
      </c>
      <c r="H40" s="3">
        <v>0.1157419539039482</v>
      </c>
      <c r="I40"/>
      <c r="J40" s="3"/>
      <c r="K40" s="200" t="s">
        <v>39</v>
      </c>
      <c r="L40" s="3">
        <v>0.31043478260869567</v>
      </c>
      <c r="M40" s="3">
        <v>0.31043478260869567</v>
      </c>
      <c r="N40"/>
      <c r="O40" s="2" t="s">
        <v>334</v>
      </c>
      <c r="P40" s="3"/>
      <c r="Q40" s="3"/>
      <c r="S40" s="2" t="s">
        <v>1165</v>
      </c>
      <c r="T40" s="3">
        <v>2.3404746812160262E-3</v>
      </c>
      <c r="U40" s="3">
        <v>0</v>
      </c>
      <c r="V40" s="3">
        <v>1.3607292797642439E-3</v>
      </c>
      <c r="W40"/>
      <c r="X40" s="200" t="s">
        <v>18</v>
      </c>
      <c r="Y40" s="3">
        <v>2.3404746812160262E-3</v>
      </c>
      <c r="Z40" s="3">
        <v>0</v>
      </c>
      <c r="AA40" s="3">
        <v>1.093037921009705E-3</v>
      </c>
      <c r="AB40"/>
      <c r="AC40" s="200" t="s">
        <v>39</v>
      </c>
      <c r="AD40" s="3">
        <v>9.7074961527979315E-7</v>
      </c>
      <c r="AE40" s="3">
        <v>9.7074961527979315E-7</v>
      </c>
      <c r="AF40"/>
      <c r="AG40"/>
      <c r="AH40" s="201"/>
      <c r="AI40" s="200" t="s">
        <v>1220</v>
      </c>
      <c r="AJ40" s="3">
        <v>1.1730815708073958E-3</v>
      </c>
      <c r="AK40" s="3">
        <v>1.1730815708073958E-3</v>
      </c>
      <c r="AL40"/>
    </row>
    <row r="41" spans="1:38" x14ac:dyDescent="0.25">
      <c r="A41" s="2" t="s">
        <v>1164</v>
      </c>
      <c r="B41" s="3">
        <v>4.5517940222924687E-3</v>
      </c>
      <c r="C41" s="3">
        <v>0</v>
      </c>
      <c r="D41" s="3">
        <v>1.8727609148309378E-3</v>
      </c>
      <c r="E41"/>
      <c r="F41" s="2" t="s">
        <v>344</v>
      </c>
      <c r="G41" s="3"/>
      <c r="H41" s="3"/>
      <c r="I41"/>
      <c r="J41" s="3"/>
      <c r="K41" s="200" t="s">
        <v>38</v>
      </c>
      <c r="L41" s="3">
        <v>8.2608695652173908E-2</v>
      </c>
      <c r="M41" s="3">
        <v>8.2608695652173908E-2</v>
      </c>
      <c r="N41"/>
      <c r="O41" s="200" t="s">
        <v>35</v>
      </c>
      <c r="P41" s="3">
        <v>3.7482115676234481E-6</v>
      </c>
      <c r="Q41" s="3">
        <v>3.7482115676234481E-6</v>
      </c>
      <c r="S41" s="2" t="s">
        <v>311</v>
      </c>
      <c r="T41" s="3"/>
      <c r="U41" s="3"/>
      <c r="V41" s="3"/>
      <c r="W41"/>
      <c r="X41" s="2" t="s">
        <v>1165</v>
      </c>
      <c r="Y41" s="3">
        <v>2.3404746812160262E-3</v>
      </c>
      <c r="Z41" s="3">
        <v>0</v>
      </c>
      <c r="AA41" s="3">
        <v>1.093037921009705E-3</v>
      </c>
      <c r="AB41"/>
      <c r="AC41" s="200" t="s">
        <v>35</v>
      </c>
      <c r="AD41" s="3">
        <v>1.32056617307169E-4</v>
      </c>
      <c r="AE41" s="3">
        <v>1.32056617307169E-4</v>
      </c>
      <c r="AF41"/>
      <c r="AG41"/>
      <c r="AH41" s="201"/>
      <c r="AI41" s="2" t="s">
        <v>1155</v>
      </c>
      <c r="AJ41" s="3">
        <v>1.2063644147598457E-3</v>
      </c>
      <c r="AK41" s="3">
        <v>1.2063644147598457E-3</v>
      </c>
      <c r="AL41"/>
    </row>
    <row r="42" spans="1:38" x14ac:dyDescent="0.25">
      <c r="A42" s="2" t="s">
        <v>360</v>
      </c>
      <c r="B42" s="3"/>
      <c r="C42" s="3"/>
      <c r="D42" s="3"/>
      <c r="E42"/>
      <c r="F42" s="200" t="s">
        <v>390</v>
      </c>
      <c r="G42" s="3">
        <v>6.9012453130201732E-5</v>
      </c>
      <c r="H42" s="3">
        <v>6.9012453130201732E-5</v>
      </c>
      <c r="I42"/>
      <c r="J42" s="3"/>
      <c r="K42" s="2" t="s">
        <v>483</v>
      </c>
      <c r="L42" s="3">
        <v>0.39304347826086955</v>
      </c>
      <c r="M42" s="3">
        <v>0.39304347826086955</v>
      </c>
      <c r="N42"/>
      <c r="O42" s="2" t="s">
        <v>1154</v>
      </c>
      <c r="P42" s="3">
        <v>3.7482115676234481E-6</v>
      </c>
      <c r="Q42" s="3">
        <v>3.7482115676234481E-6</v>
      </c>
      <c r="S42" s="200" t="s">
        <v>18</v>
      </c>
      <c r="T42" s="3">
        <v>1.9496030722264293E-3</v>
      </c>
      <c r="U42" s="3">
        <v>0</v>
      </c>
      <c r="V42" s="3">
        <v>1.1334803172997727E-3</v>
      </c>
      <c r="W42"/>
      <c r="X42" s="2" t="s">
        <v>311</v>
      </c>
      <c r="Y42" s="3"/>
      <c r="Z42" s="3"/>
      <c r="AA42" s="3"/>
      <c r="AB42"/>
      <c r="AC42" s="2" t="s">
        <v>1153</v>
      </c>
      <c r="AD42" s="3">
        <v>1.3302736692244878E-4</v>
      </c>
      <c r="AE42" s="3">
        <v>1.3302736692244878E-4</v>
      </c>
      <c r="AF42"/>
      <c r="AG42"/>
      <c r="AH42" s="201"/>
      <c r="AI42" s="2" t="s">
        <v>367</v>
      </c>
      <c r="AJ42" s="3"/>
      <c r="AK42" s="3"/>
      <c r="AL42"/>
    </row>
    <row r="43" spans="1:38" x14ac:dyDescent="0.25">
      <c r="A43" s="200" t="s">
        <v>18</v>
      </c>
      <c r="B43" s="3">
        <v>2.3404746812160262E-3</v>
      </c>
      <c r="C43" s="3">
        <v>0</v>
      </c>
      <c r="D43" s="3">
        <v>9.6294987946867611E-4</v>
      </c>
      <c r="E43"/>
      <c r="F43" s="545" t="s">
        <v>390</v>
      </c>
      <c r="G43" s="3">
        <v>6.9012453130201732E-5</v>
      </c>
      <c r="H43" s="3">
        <v>6.9012453130201732E-5</v>
      </c>
      <c r="I43"/>
      <c r="J43" s="3"/>
      <c r="K43" s="2" t="s">
        <v>334</v>
      </c>
      <c r="L43" s="3"/>
      <c r="M43" s="3"/>
      <c r="N43"/>
      <c r="O43" s="2" t="s">
        <v>339</v>
      </c>
      <c r="P43" s="3"/>
      <c r="Q43" s="3"/>
      <c r="S43" s="2" t="s">
        <v>1166</v>
      </c>
      <c r="T43" s="3">
        <v>1.9496030722264293E-3</v>
      </c>
      <c r="U43" s="3">
        <v>0</v>
      </c>
      <c r="V43" s="3">
        <v>1.1334803172997727E-3</v>
      </c>
      <c r="W43"/>
      <c r="X43" s="200" t="s">
        <v>18</v>
      </c>
      <c r="Y43" s="3">
        <v>1.9496030722264293E-3</v>
      </c>
      <c r="Z43" s="3">
        <v>0</v>
      </c>
      <c r="AA43" s="3">
        <v>9.1049482652524319E-4</v>
      </c>
      <c r="AB43"/>
      <c r="AC43" s="2" t="s">
        <v>329</v>
      </c>
      <c r="AD43" s="3"/>
      <c r="AE43" s="3"/>
      <c r="AF43"/>
      <c r="AG43"/>
      <c r="AH43" s="201"/>
      <c r="AI43" s="200" t="s">
        <v>1219</v>
      </c>
      <c r="AJ43" s="3">
        <v>5.0105380071182988E-2</v>
      </c>
      <c r="AK43" s="3">
        <v>5.0105380071182988E-2</v>
      </c>
      <c r="AL43"/>
    </row>
    <row r="44" spans="1:38" x14ac:dyDescent="0.25">
      <c r="A44" s="2" t="s">
        <v>1165</v>
      </c>
      <c r="B44" s="3">
        <v>2.3404746812160262E-3</v>
      </c>
      <c r="C44" s="3">
        <v>0</v>
      </c>
      <c r="D44" s="3">
        <v>9.6294987946867611E-4</v>
      </c>
      <c r="E44"/>
      <c r="F44" s="2" t="s">
        <v>1157</v>
      </c>
      <c r="G44" s="3">
        <v>6.9012453130201732E-5</v>
      </c>
      <c r="H44" s="3">
        <v>6.9012453130201732E-5</v>
      </c>
      <c r="I44"/>
      <c r="J44" s="3"/>
      <c r="K44" s="200" t="s">
        <v>39</v>
      </c>
      <c r="L44" s="3">
        <v>0</v>
      </c>
      <c r="M44" s="3">
        <v>0</v>
      </c>
      <c r="N44"/>
      <c r="O44" s="200" t="s">
        <v>37</v>
      </c>
      <c r="P44" s="3">
        <v>9.7035842897817328E-3</v>
      </c>
      <c r="Q44" s="3">
        <v>9.7035842897817328E-3</v>
      </c>
      <c r="S44" s="2" t="s">
        <v>312</v>
      </c>
      <c r="T44" s="3"/>
      <c r="U44" s="3"/>
      <c r="V44" s="3"/>
      <c r="W44"/>
      <c r="X44" s="2" t="s">
        <v>1166</v>
      </c>
      <c r="Y44" s="3">
        <v>1.9496030722264293E-3</v>
      </c>
      <c r="Z44" s="3">
        <v>0</v>
      </c>
      <c r="AA44" s="3">
        <v>9.1049482652524319E-4</v>
      </c>
      <c r="AB44"/>
      <c r="AC44" s="200" t="s">
        <v>374</v>
      </c>
      <c r="AD44" s="3">
        <v>1.6014595081787215E-3</v>
      </c>
      <c r="AE44" s="3">
        <v>1.6014595081787215E-3</v>
      </c>
      <c r="AF44"/>
      <c r="AG44"/>
      <c r="AH44" s="201"/>
      <c r="AI44" s="200" t="s">
        <v>1220</v>
      </c>
      <c r="AJ44" s="3">
        <v>4.381852820559811E-2</v>
      </c>
      <c r="AK44" s="3">
        <v>4.381852820559811E-2</v>
      </c>
      <c r="AL44"/>
    </row>
    <row r="45" spans="1:38" x14ac:dyDescent="0.25">
      <c r="A45" s="2" t="s">
        <v>311</v>
      </c>
      <c r="B45" s="3"/>
      <c r="C45" s="3"/>
      <c r="D45" s="3"/>
      <c r="E45"/>
      <c r="F45" s="2" t="s">
        <v>362</v>
      </c>
      <c r="G45" s="3"/>
      <c r="H45" s="3"/>
      <c r="I45"/>
      <c r="J45" s="3"/>
      <c r="K45" s="2" t="s">
        <v>1154</v>
      </c>
      <c r="L45" s="3">
        <v>0</v>
      </c>
      <c r="M45" s="3">
        <v>0</v>
      </c>
      <c r="N45"/>
      <c r="O45" s="200" t="s">
        <v>34</v>
      </c>
      <c r="P45" s="3">
        <v>2.9780433336093921E-4</v>
      </c>
      <c r="Q45" s="3">
        <v>2.9780433336093921E-4</v>
      </c>
      <c r="S45" s="200" t="s">
        <v>18</v>
      </c>
      <c r="T45" s="3">
        <v>5.0344880099186158E-4</v>
      </c>
      <c r="U45" s="3">
        <v>0</v>
      </c>
      <c r="V45" s="3">
        <v>2.9270025002615995E-4</v>
      </c>
      <c r="W45"/>
      <c r="X45" s="2" t="s">
        <v>312</v>
      </c>
      <c r="Y45" s="3"/>
      <c r="Z45" s="3"/>
      <c r="AA45" s="3"/>
      <c r="AB45"/>
      <c r="AC45" s="200" t="s">
        <v>37</v>
      </c>
      <c r="AD45" s="3">
        <v>1.4747073441264743E-3</v>
      </c>
      <c r="AE45" s="3">
        <v>1.4747073441264743E-3</v>
      </c>
      <c r="AF45"/>
      <c r="AG45"/>
      <c r="AH45" s="201"/>
      <c r="AI45" s="2" t="s">
        <v>485</v>
      </c>
      <c r="AJ45" s="3">
        <v>9.3923908276781098E-2</v>
      </c>
      <c r="AK45" s="3">
        <v>9.3923908276781098E-2</v>
      </c>
      <c r="AL45"/>
    </row>
    <row r="46" spans="1:38" x14ac:dyDescent="0.25">
      <c r="A46" s="200" t="s">
        <v>18</v>
      </c>
      <c r="B46" s="3">
        <v>1.9496030722264293E-3</v>
      </c>
      <c r="C46" s="3">
        <v>0</v>
      </c>
      <c r="D46" s="3">
        <v>8.0213217364811943E-4</v>
      </c>
      <c r="E46"/>
      <c r="F46" s="200" t="s">
        <v>390</v>
      </c>
      <c r="G46" s="3">
        <v>4.1369348063287015E-2</v>
      </c>
      <c r="H46" s="3">
        <v>4.1369348063287015E-2</v>
      </c>
      <c r="I46"/>
      <c r="J46" s="3"/>
      <c r="K46" s="2" t="s">
        <v>339</v>
      </c>
      <c r="L46" s="3"/>
      <c r="M46" s="3"/>
      <c r="N46"/>
      <c r="O46" s="200" t="s">
        <v>35</v>
      </c>
      <c r="P46" s="3">
        <v>0.15199345954930077</v>
      </c>
      <c r="Q46" s="3">
        <v>0.15199345954930077</v>
      </c>
      <c r="S46" s="200" t="s">
        <v>35</v>
      </c>
      <c r="T46" s="3">
        <v>0</v>
      </c>
      <c r="U46" s="3">
        <v>2.1891340417572186E-4</v>
      </c>
      <c r="V46" s="3">
        <v>9.1639274194533555E-5</v>
      </c>
      <c r="W46"/>
      <c r="X46" s="200" t="s">
        <v>18</v>
      </c>
      <c r="Y46" s="3">
        <v>5.0344880099186158E-4</v>
      </c>
      <c r="Z46" s="3">
        <v>0</v>
      </c>
      <c r="AA46" s="3">
        <v>2.3511838653390727E-4</v>
      </c>
      <c r="AB46"/>
      <c r="AC46" s="200" t="s">
        <v>39</v>
      </c>
      <c r="AD46" s="3">
        <v>6.1989296861438215E-5</v>
      </c>
      <c r="AE46" s="3">
        <v>6.1989296861438215E-5</v>
      </c>
      <c r="AF46"/>
      <c r="AG46"/>
      <c r="AH46" s="201"/>
      <c r="AI46" s="2" t="s">
        <v>343</v>
      </c>
      <c r="AJ46" s="3"/>
      <c r="AK46" s="3"/>
      <c r="AL46"/>
    </row>
    <row r="47" spans="1:38" x14ac:dyDescent="0.25">
      <c r="A47" s="2" t="s">
        <v>1166</v>
      </c>
      <c r="B47" s="3">
        <v>1.9496030722264293E-3</v>
      </c>
      <c r="C47" s="3">
        <v>0</v>
      </c>
      <c r="D47" s="3">
        <v>8.0213217364811943E-4</v>
      </c>
      <c r="E47"/>
      <c r="F47" s="545" t="s">
        <v>390</v>
      </c>
      <c r="G47" s="3">
        <v>4.1369348063287015E-2</v>
      </c>
      <c r="H47" s="3">
        <v>4.1369348063287015E-2</v>
      </c>
      <c r="I47"/>
      <c r="J47" s="3"/>
      <c r="K47" s="200" t="s">
        <v>39</v>
      </c>
      <c r="L47" s="3">
        <v>2.6086956521739129E-2</v>
      </c>
      <c r="M47" s="3">
        <v>2.6086956521739129E-2</v>
      </c>
      <c r="N47"/>
      <c r="O47" s="200" t="s">
        <v>41</v>
      </c>
      <c r="P47" s="3">
        <v>5.740386015815311E-3</v>
      </c>
      <c r="Q47" s="3">
        <v>5.740386015815311E-3</v>
      </c>
      <c r="S47" s="2" t="s">
        <v>1152</v>
      </c>
      <c r="T47" s="3">
        <v>5.0344880099186158E-4</v>
      </c>
      <c r="U47" s="3">
        <v>2.1891340417572186E-4</v>
      </c>
      <c r="V47" s="3">
        <v>3.8433952422069353E-4</v>
      </c>
      <c r="W47"/>
      <c r="X47" s="200" t="s">
        <v>35</v>
      </c>
      <c r="Y47" s="3">
        <v>0</v>
      </c>
      <c r="Z47" s="3">
        <v>1.3811172500981505E-4</v>
      </c>
      <c r="AA47" s="3">
        <v>7.3611410614891451E-5</v>
      </c>
      <c r="AB47"/>
      <c r="AC47" s="200" t="s">
        <v>390</v>
      </c>
      <c r="AD47" s="3">
        <v>6.1742483771753329E-2</v>
      </c>
      <c r="AE47" s="3">
        <v>6.1742483771753329E-2</v>
      </c>
      <c r="AF47"/>
      <c r="AG47"/>
      <c r="AH47" s="201"/>
      <c r="AI47" s="200" t="s">
        <v>1220</v>
      </c>
      <c r="AJ47" s="3">
        <v>1.8187687434849267E-4</v>
      </c>
      <c r="AK47" s="3">
        <v>1.8187687434849267E-4</v>
      </c>
      <c r="AL47"/>
    </row>
    <row r="48" spans="1:38" x14ac:dyDescent="0.25">
      <c r="A48" s="2" t="s">
        <v>312</v>
      </c>
      <c r="B48" s="3"/>
      <c r="C48" s="3"/>
      <c r="D48" s="3"/>
      <c r="E48"/>
      <c r="F48" s="2" t="s">
        <v>1158</v>
      </c>
      <c r="G48" s="3">
        <v>4.1369348063287015E-2</v>
      </c>
      <c r="H48" s="3">
        <v>4.1369348063287015E-2</v>
      </c>
      <c r="I48"/>
      <c r="J48" s="3"/>
      <c r="K48" s="200" t="s">
        <v>38</v>
      </c>
      <c r="L48" s="3">
        <v>0.10347826086956521</v>
      </c>
      <c r="M48" s="3">
        <v>0.10347826086956521</v>
      </c>
      <c r="N48"/>
      <c r="O48" s="2" t="s">
        <v>484</v>
      </c>
      <c r="P48" s="3">
        <v>0.16773523418825875</v>
      </c>
      <c r="Q48" s="3">
        <v>0.16773523418825875</v>
      </c>
      <c r="S48" s="2" t="s">
        <v>313</v>
      </c>
      <c r="T48" s="3"/>
      <c r="U48" s="3"/>
      <c r="V48" s="3"/>
      <c r="W48"/>
      <c r="X48" s="2" t="s">
        <v>1152</v>
      </c>
      <c r="Y48" s="3">
        <v>5.0344880099186158E-4</v>
      </c>
      <c r="Z48" s="3">
        <v>1.3811172500981505E-4</v>
      </c>
      <c r="AA48" s="3">
        <v>3.0872979714879868E-4</v>
      </c>
      <c r="AB48"/>
      <c r="AC48" s="200" t="s">
        <v>34</v>
      </c>
      <c r="AD48" s="3">
        <v>3.3282843952450049E-6</v>
      </c>
      <c r="AE48" s="3">
        <v>3.3282843952450049E-6</v>
      </c>
      <c r="AF48"/>
      <c r="AG48"/>
      <c r="AH48" s="201"/>
      <c r="AI48" s="2" t="s">
        <v>1156</v>
      </c>
      <c r="AJ48" s="3">
        <v>1.8187687434849267E-4</v>
      </c>
      <c r="AK48" s="3">
        <v>1.8187687434849267E-4</v>
      </c>
      <c r="AL48"/>
    </row>
    <row r="49" spans="1:38" x14ac:dyDescent="0.25">
      <c r="A49" s="200" t="s">
        <v>18</v>
      </c>
      <c r="B49" s="3">
        <v>5.0344880099186158E-4</v>
      </c>
      <c r="C49" s="3">
        <v>0</v>
      </c>
      <c r="D49" s="3">
        <v>2.071357430715209E-4</v>
      </c>
      <c r="E49"/>
      <c r="F49" s="2" t="s">
        <v>22</v>
      </c>
      <c r="G49" s="3">
        <v>1</v>
      </c>
      <c r="H49" s="3">
        <v>1</v>
      </c>
      <c r="I49"/>
      <c r="J49" s="3"/>
      <c r="K49" s="2" t="s">
        <v>484</v>
      </c>
      <c r="L49" s="3">
        <v>0.12956521739130436</v>
      </c>
      <c r="M49" s="3">
        <v>0.12956521739130436</v>
      </c>
      <c r="N49"/>
      <c r="O49" s="2" t="s">
        <v>340</v>
      </c>
      <c r="P49" s="3"/>
      <c r="Q49" s="3"/>
      <c r="S49" s="200" t="s">
        <v>18</v>
      </c>
      <c r="T49" s="3">
        <v>1.1321975588355585E-3</v>
      </c>
      <c r="U49" s="3">
        <v>0</v>
      </c>
      <c r="V49" s="3">
        <v>6.5824867970145989E-4</v>
      </c>
      <c r="W49"/>
      <c r="X49" s="2" t="s">
        <v>313</v>
      </c>
      <c r="Y49" s="3"/>
      <c r="Z49" s="3"/>
      <c r="AA49" s="3"/>
      <c r="AB49"/>
      <c r="AC49" s="200" t="s">
        <v>35</v>
      </c>
      <c r="AD49" s="3">
        <v>3.1931941853900865E-2</v>
      </c>
      <c r="AE49" s="3">
        <v>3.1931941853900865E-2</v>
      </c>
      <c r="AF49"/>
      <c r="AG49"/>
      <c r="AH49" s="201"/>
      <c r="AI49" s="2" t="s">
        <v>344</v>
      </c>
      <c r="AJ49" s="3"/>
      <c r="AK49" s="3"/>
      <c r="AL49"/>
    </row>
    <row r="50" spans="1:38" x14ac:dyDescent="0.25">
      <c r="A50" s="200" t="s">
        <v>35</v>
      </c>
      <c r="B50" s="3">
        <v>0</v>
      </c>
      <c r="C50" s="3">
        <v>1.1018389345949667E-4</v>
      </c>
      <c r="D50" s="3">
        <v>6.4850539598524667E-5</v>
      </c>
      <c r="E50"/>
      <c r="F50"/>
      <c r="G50"/>
      <c r="H50"/>
      <c r="I50"/>
      <c r="J50" s="3"/>
      <c r="K50" s="2" t="s">
        <v>340</v>
      </c>
      <c r="L50" s="3"/>
      <c r="M50" s="3"/>
      <c r="N50"/>
      <c r="O50" s="200" t="s">
        <v>35</v>
      </c>
      <c r="P50" s="3">
        <v>3.0064226497642553E-3</v>
      </c>
      <c r="Q50" s="3">
        <v>3.0064226497642553E-3</v>
      </c>
      <c r="S50" s="2" t="s">
        <v>1167</v>
      </c>
      <c r="T50" s="3">
        <v>1.1321975588355585E-3</v>
      </c>
      <c r="U50" s="3">
        <v>0</v>
      </c>
      <c r="V50" s="3">
        <v>6.5824867970145989E-4</v>
      </c>
      <c r="W50"/>
      <c r="X50" s="200" t="s">
        <v>18</v>
      </c>
      <c r="Y50" s="3">
        <v>1.1321975588355585E-3</v>
      </c>
      <c r="Z50" s="3">
        <v>0</v>
      </c>
      <c r="AA50" s="3">
        <v>5.2875379332832748E-4</v>
      </c>
      <c r="AB50"/>
      <c r="AC50" s="200" t="s">
        <v>36</v>
      </c>
      <c r="AD50" s="3">
        <v>8.3207109881125118E-5</v>
      </c>
      <c r="AE50" s="3">
        <v>8.3207109881125118E-5</v>
      </c>
      <c r="AF50"/>
      <c r="AG50"/>
      <c r="AH50" s="201"/>
      <c r="AI50" s="200" t="s">
        <v>1219</v>
      </c>
      <c r="AJ50" s="3">
        <v>3.2520112111873069E-5</v>
      </c>
      <c r="AK50" s="3">
        <v>3.2520112111873069E-5</v>
      </c>
      <c r="AL50"/>
    </row>
    <row r="51" spans="1:38" x14ac:dyDescent="0.25">
      <c r="A51" s="2" t="s">
        <v>1152</v>
      </c>
      <c r="B51" s="3">
        <v>5.0344880099186158E-4</v>
      </c>
      <c r="C51" s="3">
        <v>1.1018389345949667E-4</v>
      </c>
      <c r="D51" s="3">
        <v>2.7198628267004557E-4</v>
      </c>
      <c r="E51"/>
      <c r="F51"/>
      <c r="G51"/>
      <c r="H51"/>
      <c r="I51"/>
      <c r="J51" s="3"/>
      <c r="K51" s="200" t="s">
        <v>39</v>
      </c>
      <c r="L51" s="3">
        <v>1.7391304347826088E-3</v>
      </c>
      <c r="M51" s="3">
        <v>1.7391304347826088E-3</v>
      </c>
      <c r="O51" s="2" t="s">
        <v>1155</v>
      </c>
      <c r="P51" s="3">
        <v>3.0064226497642553E-3</v>
      </c>
      <c r="Q51" s="3">
        <v>3.0064226497642553E-3</v>
      </c>
      <c r="S51" s="2" t="s">
        <v>314</v>
      </c>
      <c r="T51" s="3"/>
      <c r="U51" s="3"/>
      <c r="V51" s="3"/>
      <c r="W51"/>
      <c r="X51" s="2" t="s">
        <v>1167</v>
      </c>
      <c r="Y51" s="3">
        <v>1.1321975588355585E-3</v>
      </c>
      <c r="Z51" s="3">
        <v>0</v>
      </c>
      <c r="AA51" s="3">
        <v>5.2875379332832748E-4</v>
      </c>
      <c r="AB51"/>
      <c r="AC51" s="200" t="s">
        <v>41</v>
      </c>
      <c r="AD51" s="3">
        <v>1.7252994233851295E-3</v>
      </c>
      <c r="AE51" s="3">
        <v>1.7252994233851295E-3</v>
      </c>
      <c r="AF51"/>
      <c r="AG51"/>
      <c r="AH51" s="201"/>
      <c r="AI51" s="200" t="s">
        <v>1220</v>
      </c>
      <c r="AJ51" s="3">
        <v>3.4509802126905472E-3</v>
      </c>
      <c r="AK51" s="3">
        <v>3.4509802126905472E-3</v>
      </c>
      <c r="AL51"/>
    </row>
    <row r="52" spans="1:38" x14ac:dyDescent="0.25">
      <c r="A52" s="2" t="s">
        <v>313</v>
      </c>
      <c r="B52" s="3"/>
      <c r="C52" s="3"/>
      <c r="D52" s="3"/>
      <c r="E52"/>
      <c r="F52"/>
      <c r="G52"/>
      <c r="H52"/>
      <c r="I52"/>
      <c r="J52" s="3"/>
      <c r="K52" s="2" t="s">
        <v>1155</v>
      </c>
      <c r="L52" s="3">
        <v>1.7391304347826088E-3</v>
      </c>
      <c r="M52" s="3">
        <v>1.7391304347826088E-3</v>
      </c>
      <c r="O52" s="2" t="s">
        <v>367</v>
      </c>
      <c r="P52" s="3"/>
      <c r="Q52" s="3"/>
      <c r="S52" s="200" t="s">
        <v>18</v>
      </c>
      <c r="T52" s="3">
        <v>1.0651138896287298E-3</v>
      </c>
      <c r="U52" s="3">
        <v>0</v>
      </c>
      <c r="V52" s="3">
        <v>6.1924688505853574E-4</v>
      </c>
      <c r="W52"/>
      <c r="X52" s="2" t="s">
        <v>314</v>
      </c>
      <c r="Y52" s="3"/>
      <c r="Z52" s="3"/>
      <c r="AA52" s="3"/>
      <c r="AB52"/>
      <c r="AC52" s="200" t="s">
        <v>391</v>
      </c>
      <c r="AD52" s="3">
        <v>1.0128316111021721E-2</v>
      </c>
      <c r="AE52" s="3">
        <v>1.0128316111021721E-2</v>
      </c>
      <c r="AF52"/>
      <c r="AG52"/>
      <c r="AH52" s="201"/>
      <c r="AI52" s="2" t="s">
        <v>1157</v>
      </c>
      <c r="AJ52" s="3">
        <v>3.4835003248024203E-3</v>
      </c>
      <c r="AK52" s="3">
        <v>3.4835003248024203E-3</v>
      </c>
      <c r="AL52"/>
    </row>
    <row r="53" spans="1:38" x14ac:dyDescent="0.25">
      <c r="A53" s="200" t="s">
        <v>18</v>
      </c>
      <c r="B53" s="3">
        <v>1.1321975588355585E-3</v>
      </c>
      <c r="C53" s="3">
        <v>0</v>
      </c>
      <c r="D53" s="3">
        <v>4.6582409609702594E-4</v>
      </c>
      <c r="E53"/>
      <c r="F53"/>
      <c r="G53"/>
      <c r="H53"/>
      <c r="I53"/>
      <c r="J53" s="3"/>
      <c r="K53" s="2" t="s">
        <v>367</v>
      </c>
      <c r="L53" s="3"/>
      <c r="M53" s="3"/>
      <c r="O53" s="200" t="s">
        <v>37</v>
      </c>
      <c r="P53" s="3">
        <v>8.4366887799250077E-3</v>
      </c>
      <c r="Q53" s="3">
        <v>8.4366887799250077E-3</v>
      </c>
      <c r="S53" s="2" t="s">
        <v>1168</v>
      </c>
      <c r="T53" s="3">
        <v>1.0651138896287298E-3</v>
      </c>
      <c r="U53" s="3">
        <v>0</v>
      </c>
      <c r="V53" s="3">
        <v>6.1924688505853574E-4</v>
      </c>
      <c r="W53"/>
      <c r="X53" s="200" t="s">
        <v>18</v>
      </c>
      <c r="Y53" s="3">
        <v>1.0651138896287298E-3</v>
      </c>
      <c r="Z53" s="3">
        <v>0</v>
      </c>
      <c r="AA53" s="3">
        <v>4.9742468094269904E-4</v>
      </c>
      <c r="AB53"/>
      <c r="AC53" s="2" t="s">
        <v>496</v>
      </c>
      <c r="AD53" s="3">
        <v>0.10875273270350405</v>
      </c>
      <c r="AE53" s="3">
        <v>0.10875273270350405</v>
      </c>
      <c r="AF53"/>
      <c r="AG53"/>
      <c r="AH53" s="201"/>
      <c r="AI53" s="2" t="s">
        <v>349</v>
      </c>
      <c r="AJ53" s="3"/>
      <c r="AK53" s="3"/>
      <c r="AL53"/>
    </row>
    <row r="54" spans="1:38" x14ac:dyDescent="0.25">
      <c r="A54" s="2" t="s">
        <v>1167</v>
      </c>
      <c r="B54" s="3">
        <v>1.1321975588355585E-3</v>
      </c>
      <c r="C54" s="3">
        <v>0</v>
      </c>
      <c r="D54" s="3">
        <v>4.6582409609702594E-4</v>
      </c>
      <c r="E54"/>
      <c r="F54"/>
      <c r="G54"/>
      <c r="H54"/>
      <c r="I54"/>
      <c r="J54" s="3"/>
      <c r="K54" s="200" t="s">
        <v>39</v>
      </c>
      <c r="L54" s="3">
        <v>2.2608695652173914E-2</v>
      </c>
      <c r="M54" s="3">
        <v>2.2608695652173914E-2</v>
      </c>
      <c r="O54" s="200" t="s">
        <v>34</v>
      </c>
      <c r="P54" s="3">
        <v>2.1409427501734886E-4</v>
      </c>
      <c r="Q54" s="3">
        <v>2.1409427501734886E-4</v>
      </c>
      <c r="S54" s="2" t="s">
        <v>315</v>
      </c>
      <c r="T54" s="3"/>
      <c r="U54" s="3"/>
      <c r="V54" s="3"/>
      <c r="W54"/>
      <c r="X54" s="2" t="s">
        <v>1168</v>
      </c>
      <c r="Y54" s="3">
        <v>1.0651138896287298E-3</v>
      </c>
      <c r="Z54" s="3">
        <v>0</v>
      </c>
      <c r="AA54" s="3">
        <v>4.9742468094269904E-4</v>
      </c>
      <c r="AB54"/>
      <c r="AC54" s="2" t="s">
        <v>366</v>
      </c>
      <c r="AD54" s="3"/>
      <c r="AE54" s="3"/>
      <c r="AF54"/>
      <c r="AG54"/>
      <c r="AH54" s="201"/>
      <c r="AI54" s="200" t="s">
        <v>1219</v>
      </c>
      <c r="AJ54" s="3">
        <v>1.1465246349036699E-4</v>
      </c>
      <c r="AK54" s="3">
        <v>1.1465246349036699E-4</v>
      </c>
      <c r="AL54"/>
    </row>
    <row r="55" spans="1:38" x14ac:dyDescent="0.25">
      <c r="A55" s="2" t="s">
        <v>314</v>
      </c>
      <c r="B55" s="3"/>
      <c r="C55" s="3"/>
      <c r="D55" s="3"/>
      <c r="E55"/>
      <c r="F55"/>
      <c r="G55"/>
      <c r="H55"/>
      <c r="I55"/>
      <c r="J55" s="3"/>
      <c r="K55" s="200" t="s">
        <v>38</v>
      </c>
      <c r="L55" s="3">
        <v>2.782608695652174E-2</v>
      </c>
      <c r="M55" s="3">
        <v>2.782608695652174E-2</v>
      </c>
      <c r="O55" s="200" t="s">
        <v>35</v>
      </c>
      <c r="P55" s="3">
        <v>0.10051471869136726</v>
      </c>
      <c r="Q55" s="3">
        <v>0.10051471869136726</v>
      </c>
      <c r="S55" s="200" t="s">
        <v>18</v>
      </c>
      <c r="T55" s="3">
        <v>8.4414902213022138E-3</v>
      </c>
      <c r="U55" s="3">
        <v>0</v>
      </c>
      <c r="V55" s="3">
        <v>4.9078005419829849E-3</v>
      </c>
      <c r="W55"/>
      <c r="X55" s="2" t="s">
        <v>315</v>
      </c>
      <c r="Y55" s="3"/>
      <c r="Z55" s="3"/>
      <c r="AA55" s="3"/>
      <c r="AB55"/>
      <c r="AC55" s="200" t="s">
        <v>374</v>
      </c>
      <c r="AD55" s="3">
        <v>1.9768622522590646E-3</v>
      </c>
      <c r="AE55" s="3">
        <v>1.9768622522590646E-3</v>
      </c>
      <c r="AF55"/>
      <c r="AG55"/>
      <c r="AH55" s="201"/>
      <c r="AI55" s="200" t="s">
        <v>1220</v>
      </c>
      <c r="AJ55" s="3">
        <v>1.0643576138960588E-5</v>
      </c>
      <c r="AK55" s="3">
        <v>1.0643576138960588E-5</v>
      </c>
      <c r="AL55"/>
    </row>
    <row r="56" spans="1:38" x14ac:dyDescent="0.25">
      <c r="A56" s="200" t="s">
        <v>18</v>
      </c>
      <c r="B56" s="3">
        <v>1.0651138896287298E-3</v>
      </c>
      <c r="C56" s="3">
        <v>0</v>
      </c>
      <c r="D56" s="3">
        <v>4.3822362184473901E-4</v>
      </c>
      <c r="E56"/>
      <c r="F56"/>
      <c r="G56"/>
      <c r="H56"/>
      <c r="I56"/>
      <c r="J56" s="3"/>
      <c r="K56" s="2" t="s">
        <v>485</v>
      </c>
      <c r="L56" s="3">
        <v>5.0434782608695654E-2</v>
      </c>
      <c r="M56" s="3">
        <v>5.0434782608695654E-2</v>
      </c>
      <c r="O56" s="200" t="s">
        <v>41</v>
      </c>
      <c r="P56" s="3">
        <v>3.4332725528105159E-3</v>
      </c>
      <c r="Q56" s="3">
        <v>3.4332725528105159E-3</v>
      </c>
      <c r="S56" s="2" t="s">
        <v>1169</v>
      </c>
      <c r="T56" s="3">
        <v>8.4414902213022138E-3</v>
      </c>
      <c r="U56" s="3">
        <v>0</v>
      </c>
      <c r="V56" s="3">
        <v>4.9078005419829849E-3</v>
      </c>
      <c r="W56"/>
      <c r="X56" s="200" t="s">
        <v>18</v>
      </c>
      <c r="Y56" s="3">
        <v>8.4414902213022138E-3</v>
      </c>
      <c r="Z56" s="3">
        <v>0</v>
      </c>
      <c r="AA56" s="3">
        <v>3.9423066593149286E-3</v>
      </c>
      <c r="AB56"/>
      <c r="AC56" s="200" t="s">
        <v>37</v>
      </c>
      <c r="AD56" s="3">
        <v>3.5587680896157214E-3</v>
      </c>
      <c r="AE56" s="3">
        <v>3.5587680896157214E-3</v>
      </c>
      <c r="AF56"/>
      <c r="AG56"/>
      <c r="AH56" s="201"/>
      <c r="AI56" s="2" t="s">
        <v>486</v>
      </c>
      <c r="AJ56" s="3">
        <v>1.2529603962932757E-4</v>
      </c>
      <c r="AK56" s="3">
        <v>1.2529603962932757E-4</v>
      </c>
      <c r="AL56"/>
    </row>
    <row r="57" spans="1:38" x14ac:dyDescent="0.25">
      <c r="A57" s="2" t="s">
        <v>1168</v>
      </c>
      <c r="B57" s="3">
        <v>1.0651138896287298E-3</v>
      </c>
      <c r="C57" s="3">
        <v>0</v>
      </c>
      <c r="D57" s="3">
        <v>4.3822362184473901E-4</v>
      </c>
      <c r="E57"/>
      <c r="F57"/>
      <c r="G57"/>
      <c r="H57"/>
      <c r="I57"/>
      <c r="J57" s="3"/>
      <c r="K57" s="2" t="s">
        <v>344</v>
      </c>
      <c r="L57" s="3"/>
      <c r="M57" s="3"/>
      <c r="O57" s="2" t="s">
        <v>485</v>
      </c>
      <c r="P57" s="3">
        <v>0.11259877429912013</v>
      </c>
      <c r="Q57" s="3">
        <v>0.11259877429912013</v>
      </c>
      <c r="S57" s="2" t="s">
        <v>316</v>
      </c>
      <c r="T57" s="3"/>
      <c r="U57" s="3"/>
      <c r="V57" s="3"/>
      <c r="W57"/>
      <c r="X57" s="2" t="s">
        <v>1169</v>
      </c>
      <c r="Y57" s="3">
        <v>8.4414902213022138E-3</v>
      </c>
      <c r="Z57" s="3">
        <v>0</v>
      </c>
      <c r="AA57" s="3">
        <v>3.9423066593149286E-3</v>
      </c>
      <c r="AB57"/>
      <c r="AC57" s="200" t="s">
        <v>39</v>
      </c>
      <c r="AD57" s="3">
        <v>1.3521155355682832E-4</v>
      </c>
      <c r="AE57" s="3">
        <v>1.3521155355682832E-4</v>
      </c>
      <c r="AF57"/>
      <c r="AG57"/>
      <c r="AH57" s="201"/>
      <c r="AI57" s="2" t="s">
        <v>362</v>
      </c>
      <c r="AJ57" s="3"/>
      <c r="AK57" s="3"/>
      <c r="AL57"/>
    </row>
    <row r="58" spans="1:38" x14ac:dyDescent="0.25">
      <c r="A58" s="2" t="s">
        <v>315</v>
      </c>
      <c r="B58" s="3"/>
      <c r="C58" s="3"/>
      <c r="D58" s="3"/>
      <c r="E58"/>
      <c r="F58"/>
      <c r="G58"/>
      <c r="H58"/>
      <c r="I58"/>
      <c r="J58" s="3"/>
      <c r="K58" s="200" t="s">
        <v>39</v>
      </c>
      <c r="L58" s="3">
        <v>8.6956521739130436E-3</v>
      </c>
      <c r="M58" s="3">
        <v>8.6956521739130436E-3</v>
      </c>
      <c r="N58"/>
      <c r="O58" s="2" t="s">
        <v>343</v>
      </c>
      <c r="P58" s="3"/>
      <c r="Q58" s="3"/>
      <c r="S58" s="200" t="s">
        <v>18</v>
      </c>
      <c r="T58" s="3">
        <v>2.5121677502971056E-2</v>
      </c>
      <c r="U58" s="3">
        <v>0</v>
      </c>
      <c r="V58" s="3">
        <v>1.4605499649039885E-2</v>
      </c>
      <c r="W58"/>
      <c r="X58" s="2" t="s">
        <v>316</v>
      </c>
      <c r="Y58" s="3"/>
      <c r="Z58" s="3"/>
      <c r="AA58" s="3"/>
      <c r="AB58"/>
      <c r="AC58" s="200" t="s">
        <v>38</v>
      </c>
      <c r="AD58" s="3">
        <v>1.3174459064511478E-5</v>
      </c>
      <c r="AE58" s="3">
        <v>1.3174459064511478E-5</v>
      </c>
      <c r="AF58"/>
      <c r="AG58"/>
      <c r="AH58" s="201"/>
      <c r="AI58" s="200" t="s">
        <v>1219</v>
      </c>
      <c r="AJ58" s="3">
        <v>2.0578921094316333E-2</v>
      </c>
      <c r="AK58" s="3">
        <v>2.0578921094316333E-2</v>
      </c>
      <c r="AL58"/>
    </row>
    <row r="59" spans="1:38" x14ac:dyDescent="0.25">
      <c r="A59" s="200" t="s">
        <v>18</v>
      </c>
      <c r="B59" s="3">
        <v>8.4414902213022138E-3</v>
      </c>
      <c r="C59" s="3">
        <v>0</v>
      </c>
      <c r="D59" s="3">
        <v>3.4731125512178483E-3</v>
      </c>
      <c r="E59"/>
      <c r="F59"/>
      <c r="G59"/>
      <c r="H59"/>
      <c r="I59"/>
      <c r="J59" s="3"/>
      <c r="K59" s="2" t="s">
        <v>1157</v>
      </c>
      <c r="L59" s="3">
        <v>8.6956521739130436E-3</v>
      </c>
      <c r="M59" s="3">
        <v>8.6956521739130436E-3</v>
      </c>
      <c r="N59"/>
      <c r="O59" s="200" t="s">
        <v>35</v>
      </c>
      <c r="P59" s="3">
        <v>4.6567066571093219E-4</v>
      </c>
      <c r="Q59" s="3">
        <v>4.6567066571093219E-4</v>
      </c>
      <c r="S59" s="200" t="s">
        <v>44</v>
      </c>
      <c r="T59" s="3">
        <v>1.1838596948913923E-3</v>
      </c>
      <c r="U59" s="3">
        <v>0</v>
      </c>
      <c r="V59" s="3">
        <v>6.882845445414131E-4</v>
      </c>
      <c r="W59"/>
      <c r="X59" s="200" t="s">
        <v>18</v>
      </c>
      <c r="Y59" s="3">
        <v>2.5121677502971056E-2</v>
      </c>
      <c r="Z59" s="3">
        <v>0</v>
      </c>
      <c r="AA59" s="3">
        <v>1.173221243130777E-2</v>
      </c>
      <c r="AB59"/>
      <c r="AC59" s="200" t="s">
        <v>390</v>
      </c>
      <c r="AD59" s="3">
        <v>3.52843563110114E-2</v>
      </c>
      <c r="AE59" s="3">
        <v>3.52843563110114E-2</v>
      </c>
      <c r="AF59"/>
      <c r="AG59"/>
      <c r="AH59" s="201"/>
      <c r="AI59" s="200" t="s">
        <v>1220</v>
      </c>
      <c r="AJ59" s="3">
        <v>9.514524997131955E-3</v>
      </c>
      <c r="AK59" s="3">
        <v>9.514524997131955E-3</v>
      </c>
      <c r="AL59"/>
    </row>
    <row r="60" spans="1:38" x14ac:dyDescent="0.25">
      <c r="A60" s="2" t="s">
        <v>1169</v>
      </c>
      <c r="B60" s="3">
        <v>8.4414902213022138E-3</v>
      </c>
      <c r="C60" s="3">
        <v>0</v>
      </c>
      <c r="D60" s="3">
        <v>3.4731125512178483E-3</v>
      </c>
      <c r="E60"/>
      <c r="F60"/>
      <c r="G60"/>
      <c r="H60"/>
      <c r="I60"/>
      <c r="J60" s="3"/>
      <c r="K60" s="2" t="s">
        <v>362</v>
      </c>
      <c r="L60" s="3"/>
      <c r="M60" s="3"/>
      <c r="N60"/>
      <c r="O60" s="2" t="s">
        <v>1156</v>
      </c>
      <c r="P60" s="3">
        <v>4.6567066571093219E-4</v>
      </c>
      <c r="Q60" s="3">
        <v>4.6567066571093219E-4</v>
      </c>
      <c r="S60" s="2" t="s">
        <v>1170</v>
      </c>
      <c r="T60" s="3">
        <v>2.6305537197862446E-2</v>
      </c>
      <c r="U60" s="3">
        <v>0</v>
      </c>
      <c r="V60" s="3">
        <v>1.5293784193581298E-2</v>
      </c>
      <c r="W60"/>
      <c r="X60" s="200" t="s">
        <v>44</v>
      </c>
      <c r="Y60" s="3">
        <v>1.1838596948913923E-3</v>
      </c>
      <c r="Z60" s="3">
        <v>0</v>
      </c>
      <c r="AA60" s="3">
        <v>5.5288081091266206E-4</v>
      </c>
      <c r="AB60"/>
      <c r="AC60" s="200" t="s">
        <v>34</v>
      </c>
      <c r="AD60" s="3">
        <v>9.8461746692664725E-6</v>
      </c>
      <c r="AE60" s="3">
        <v>9.8461746692664725E-6</v>
      </c>
      <c r="AF60"/>
      <c r="AG60"/>
      <c r="AH60" s="201"/>
      <c r="AI60" s="2" t="s">
        <v>1158</v>
      </c>
      <c r="AJ60" s="3">
        <v>3.0093446091448289E-2</v>
      </c>
      <c r="AK60" s="3">
        <v>3.0093446091448289E-2</v>
      </c>
      <c r="AL60"/>
    </row>
    <row r="61" spans="1:38" x14ac:dyDescent="0.25">
      <c r="A61" s="2" t="s">
        <v>316</v>
      </c>
      <c r="B61" s="3"/>
      <c r="C61" s="3"/>
      <c r="D61" s="3"/>
      <c r="E61"/>
      <c r="F61"/>
      <c r="G61"/>
      <c r="H61"/>
      <c r="I61"/>
      <c r="J61" s="3"/>
      <c r="K61" s="200" t="s">
        <v>39</v>
      </c>
      <c r="L61" s="3">
        <v>1.1304347826086957E-2</v>
      </c>
      <c r="M61" s="3">
        <v>1.1304347826086957E-2</v>
      </c>
      <c r="N61"/>
      <c r="O61" s="2" t="s">
        <v>344</v>
      </c>
      <c r="P61" s="3"/>
      <c r="Q61" s="3"/>
      <c r="S61" s="2" t="s">
        <v>317</v>
      </c>
      <c r="T61" s="3"/>
      <c r="U61" s="3"/>
      <c r="V61" s="3"/>
      <c r="W61"/>
      <c r="X61" s="2" t="s">
        <v>1170</v>
      </c>
      <c r="Y61" s="3">
        <v>2.6305537197862446E-2</v>
      </c>
      <c r="Z61" s="3">
        <v>0</v>
      </c>
      <c r="AA61" s="3">
        <v>1.2285093242220432E-2</v>
      </c>
      <c r="AB61"/>
      <c r="AC61" s="200" t="s">
        <v>35</v>
      </c>
      <c r="AD61" s="3">
        <v>5.0129406124161162E-2</v>
      </c>
      <c r="AE61" s="3">
        <v>5.0129406124161162E-2</v>
      </c>
      <c r="AF61"/>
      <c r="AG61"/>
      <c r="AH61" s="201"/>
      <c r="AI61" s="2" t="s">
        <v>22</v>
      </c>
      <c r="AJ61" s="3">
        <v>1</v>
      </c>
      <c r="AK61" s="3">
        <v>1</v>
      </c>
      <c r="AL61"/>
    </row>
    <row r="62" spans="1:38" x14ac:dyDescent="0.25">
      <c r="A62" s="200" t="s">
        <v>18</v>
      </c>
      <c r="B62" s="3">
        <v>2.5121677502971056E-2</v>
      </c>
      <c r="C62" s="3">
        <v>0</v>
      </c>
      <c r="D62" s="3">
        <v>1.0335901737235713E-2</v>
      </c>
      <c r="E62"/>
      <c r="I62"/>
      <c r="J62" s="3"/>
      <c r="K62" s="200" t="s">
        <v>38</v>
      </c>
      <c r="L62" s="3">
        <v>8.6956521739130436E-3</v>
      </c>
      <c r="M62" s="3">
        <v>8.6956521739130436E-3</v>
      </c>
      <c r="N62"/>
      <c r="O62" s="200" t="s">
        <v>37</v>
      </c>
      <c r="P62" s="3">
        <v>1.6706314415693084E-4</v>
      </c>
      <c r="Q62" s="3">
        <v>1.6706314415693084E-4</v>
      </c>
      <c r="S62" s="200" t="s">
        <v>18</v>
      </c>
      <c r="T62" s="3">
        <v>2.022791098305527E-4</v>
      </c>
      <c r="U62" s="3">
        <v>0</v>
      </c>
      <c r="V62" s="3">
        <v>1.1760311258230397E-4</v>
      </c>
      <c r="W62"/>
      <c r="X62" s="2" t="s">
        <v>317</v>
      </c>
      <c r="Y62" s="3"/>
      <c r="Z62" s="3"/>
      <c r="AA62" s="3"/>
      <c r="AB62"/>
      <c r="AC62" s="200" t="s">
        <v>41</v>
      </c>
      <c r="AD62" s="3">
        <v>5.8758087427721191E-4</v>
      </c>
      <c r="AE62" s="3">
        <v>5.8758087427721191E-4</v>
      </c>
      <c r="AF62"/>
      <c r="AG62"/>
      <c r="AH62" s="201"/>
      <c r="AI62"/>
      <c r="AJ62"/>
      <c r="AK62"/>
      <c r="AL62"/>
    </row>
    <row r="63" spans="1:38" x14ac:dyDescent="0.25">
      <c r="A63" s="200" t="s">
        <v>44</v>
      </c>
      <c r="B63" s="3">
        <v>1.1838596948913923E-3</v>
      </c>
      <c r="C63" s="3">
        <v>0</v>
      </c>
      <c r="D63" s="3">
        <v>4.8707963373959169E-4</v>
      </c>
      <c r="E63"/>
      <c r="I63"/>
      <c r="J63" s="3"/>
      <c r="K63" s="2" t="s">
        <v>1158</v>
      </c>
      <c r="L63" s="3">
        <v>0.02</v>
      </c>
      <c r="M63" s="3">
        <v>0.02</v>
      </c>
      <c r="N63"/>
      <c r="O63" s="200" t="s">
        <v>35</v>
      </c>
      <c r="P63" s="3">
        <v>8.68862214314884E-3</v>
      </c>
      <c r="Q63" s="3">
        <v>8.68862214314884E-3</v>
      </c>
      <c r="S63" s="2" t="s">
        <v>1171</v>
      </c>
      <c r="T63" s="3">
        <v>2.022791098305527E-4</v>
      </c>
      <c r="U63" s="3">
        <v>0</v>
      </c>
      <c r="V63" s="3">
        <v>1.1760311258230397E-4</v>
      </c>
      <c r="W63"/>
      <c r="X63" s="200" t="s">
        <v>18</v>
      </c>
      <c r="Y63" s="3">
        <v>2.022791098305527E-4</v>
      </c>
      <c r="Z63" s="3">
        <v>0</v>
      </c>
      <c r="AA63" s="3">
        <v>9.446747681030504E-5</v>
      </c>
      <c r="AB63"/>
      <c r="AC63" s="200" t="s">
        <v>391</v>
      </c>
      <c r="AD63" s="3">
        <v>1.8212372210780668E-2</v>
      </c>
      <c r="AE63" s="3">
        <v>1.8212372210780668E-2</v>
      </c>
      <c r="AF63"/>
      <c r="AG63"/>
      <c r="AH63" s="201"/>
      <c r="AI63"/>
      <c r="AJ63"/>
      <c r="AK63"/>
      <c r="AL63"/>
    </row>
    <row r="64" spans="1:38" x14ac:dyDescent="0.25">
      <c r="A64" s="2" t="s">
        <v>1170</v>
      </c>
      <c r="B64" s="3">
        <v>2.6305537197862446E-2</v>
      </c>
      <c r="C64" s="3">
        <v>0</v>
      </c>
      <c r="D64" s="3">
        <v>1.0822981370975305E-2</v>
      </c>
      <c r="E64"/>
      <c r="I64"/>
      <c r="J64" s="3"/>
      <c r="K64" s="2" t="s">
        <v>22</v>
      </c>
      <c r="L64" s="3">
        <v>1</v>
      </c>
      <c r="M64" s="3">
        <v>1</v>
      </c>
      <c r="N64"/>
      <c r="O64" s="2" t="s">
        <v>1157</v>
      </c>
      <c r="P64" s="3">
        <v>8.8556852873057715E-3</v>
      </c>
      <c r="Q64" s="3">
        <v>8.8556852873057715E-3</v>
      </c>
      <c r="S64" s="2" t="s">
        <v>318</v>
      </c>
      <c r="T64" s="3"/>
      <c r="U64" s="3"/>
      <c r="V64" s="3"/>
      <c r="W64"/>
      <c r="X64" s="2" t="s">
        <v>1171</v>
      </c>
      <c r="Y64" s="3">
        <v>2.022791098305527E-4</v>
      </c>
      <c r="Z64" s="3">
        <v>0</v>
      </c>
      <c r="AA64" s="3">
        <v>9.446747681030504E-5</v>
      </c>
      <c r="AB64"/>
      <c r="AC64" s="2" t="s">
        <v>483</v>
      </c>
      <c r="AD64" s="3">
        <v>0.10990757804939583</v>
      </c>
      <c r="AE64" s="3">
        <v>0.10990757804939583</v>
      </c>
      <c r="AF64"/>
      <c r="AG64"/>
      <c r="AH64" s="201"/>
      <c r="AI64"/>
      <c r="AJ64"/>
      <c r="AK64"/>
      <c r="AL64"/>
    </row>
    <row r="65" spans="1:38" x14ac:dyDescent="0.25">
      <c r="A65" s="2" t="s">
        <v>317</v>
      </c>
      <c r="B65" s="3"/>
      <c r="C65" s="3"/>
      <c r="D65" s="3"/>
      <c r="E65"/>
      <c r="I65"/>
      <c r="J65" s="3"/>
      <c r="N65"/>
      <c r="O65" s="2" t="s">
        <v>349</v>
      </c>
      <c r="P65" s="3"/>
      <c r="Q65" s="3"/>
      <c r="S65" s="200" t="s">
        <v>18</v>
      </c>
      <c r="T65" s="3">
        <v>9.3602280587727475E-4</v>
      </c>
      <c r="U65" s="3">
        <v>0</v>
      </c>
      <c r="V65" s="3">
        <v>5.4419458099949874E-4</v>
      </c>
      <c r="W65"/>
      <c r="X65" s="2" t="s">
        <v>318</v>
      </c>
      <c r="Y65" s="3"/>
      <c r="Z65" s="3"/>
      <c r="AA65" s="3"/>
      <c r="AB65"/>
      <c r="AC65" s="2" t="s">
        <v>334</v>
      </c>
      <c r="AD65" s="3"/>
      <c r="AE65" s="3"/>
      <c r="AF65"/>
      <c r="AG65"/>
      <c r="AI65"/>
      <c r="AJ65"/>
      <c r="AK65"/>
      <c r="AL65"/>
    </row>
    <row r="66" spans="1:38" x14ac:dyDescent="0.25">
      <c r="A66" s="200" t="s">
        <v>18</v>
      </c>
      <c r="B66" s="3">
        <v>2.022791098305527E-4</v>
      </c>
      <c r="C66" s="3">
        <v>0</v>
      </c>
      <c r="D66" s="3">
        <v>8.3224418530842092E-5</v>
      </c>
      <c r="E66"/>
      <c r="I66"/>
      <c r="J66" s="3"/>
      <c r="N66"/>
      <c r="O66" s="200" t="s">
        <v>35</v>
      </c>
      <c r="P66" s="3">
        <v>2.7397641696676158E-5</v>
      </c>
      <c r="Q66" s="3">
        <v>2.7397641696676158E-5</v>
      </c>
      <c r="S66" s="2" t="s">
        <v>1172</v>
      </c>
      <c r="T66" s="3">
        <v>9.3602280587727475E-4</v>
      </c>
      <c r="U66" s="3">
        <v>0</v>
      </c>
      <c r="V66" s="3">
        <v>5.4419458099949874E-4</v>
      </c>
      <c r="W66"/>
      <c r="X66" s="200" t="s">
        <v>18</v>
      </c>
      <c r="Y66" s="3">
        <v>9.3602280587727475E-4</v>
      </c>
      <c r="Z66" s="3">
        <v>0</v>
      </c>
      <c r="AA66" s="3">
        <v>4.3713714571020127E-4</v>
      </c>
      <c r="AB66"/>
      <c r="AC66" s="200" t="s">
        <v>39</v>
      </c>
      <c r="AD66" s="3">
        <v>0</v>
      </c>
      <c r="AE66" s="3">
        <v>0</v>
      </c>
      <c r="AF66"/>
      <c r="AG66"/>
      <c r="AI66"/>
      <c r="AJ66"/>
      <c r="AK66"/>
      <c r="AL66"/>
    </row>
    <row r="67" spans="1:38" x14ac:dyDescent="0.25">
      <c r="A67" s="2" t="s">
        <v>1171</v>
      </c>
      <c r="B67" s="3">
        <v>2.022791098305527E-4</v>
      </c>
      <c r="C67" s="3">
        <v>0</v>
      </c>
      <c r="D67" s="3">
        <v>8.3224418530842092E-5</v>
      </c>
      <c r="E67"/>
      <c r="I67"/>
      <c r="J67" s="3"/>
      <c r="N67"/>
      <c r="O67" s="2" t="s">
        <v>486</v>
      </c>
      <c r="P67" s="3">
        <v>2.7397641696676158E-5</v>
      </c>
      <c r="Q67" s="3">
        <v>2.7397641696676158E-5</v>
      </c>
      <c r="S67" s="2" t="s">
        <v>319</v>
      </c>
      <c r="T67" s="3"/>
      <c r="U67" s="3"/>
      <c r="V67" s="3"/>
      <c r="W67"/>
      <c r="X67" s="2" t="s">
        <v>1172</v>
      </c>
      <c r="Y67" s="3">
        <v>9.3602280587727475E-4</v>
      </c>
      <c r="Z67" s="3">
        <v>0</v>
      </c>
      <c r="AA67" s="3">
        <v>4.3713714571020127E-4</v>
      </c>
      <c r="AB67"/>
      <c r="AC67" s="200" t="s">
        <v>35</v>
      </c>
      <c r="AD67" s="3">
        <v>1.4561244229196897E-6</v>
      </c>
      <c r="AE67" s="3">
        <v>1.4561244229196897E-6</v>
      </c>
      <c r="AF67"/>
      <c r="AG67"/>
      <c r="AI67"/>
      <c r="AJ67"/>
      <c r="AK67"/>
      <c r="AL67"/>
    </row>
    <row r="68" spans="1:38" x14ac:dyDescent="0.25">
      <c r="A68" s="2" t="s">
        <v>318</v>
      </c>
      <c r="B68" s="3"/>
      <c r="C68" s="3"/>
      <c r="D68" s="3"/>
      <c r="E68"/>
      <c r="I68"/>
      <c r="J68" s="3"/>
      <c r="N68"/>
      <c r="O68" s="2" t="s">
        <v>362</v>
      </c>
      <c r="P68" s="3"/>
      <c r="Q68" s="3"/>
      <c r="S68" s="200" t="s">
        <v>18</v>
      </c>
      <c r="T68" s="3">
        <v>4.1658701551888161E-3</v>
      </c>
      <c r="U68" s="3">
        <v>0</v>
      </c>
      <c r="V68" s="3">
        <v>2.421996504109254E-3</v>
      </c>
      <c r="W68"/>
      <c r="X68" s="2" t="s">
        <v>319</v>
      </c>
      <c r="Y68" s="3"/>
      <c r="Z68" s="3"/>
      <c r="AA68" s="3"/>
      <c r="AB68"/>
      <c r="AC68" s="2" t="s">
        <v>1154</v>
      </c>
      <c r="AD68" s="3">
        <v>1.4561244229196897E-6</v>
      </c>
      <c r="AE68" s="3">
        <v>1.4561244229196897E-6</v>
      </c>
      <c r="AF68"/>
      <c r="AG68"/>
      <c r="AI68"/>
      <c r="AJ68"/>
      <c r="AK68"/>
      <c r="AL68"/>
    </row>
    <row r="69" spans="1:38" x14ac:dyDescent="0.25">
      <c r="A69" s="200" t="s">
        <v>18</v>
      </c>
      <c r="B69" s="3">
        <v>9.3602280587727475E-4</v>
      </c>
      <c r="C69" s="3">
        <v>0</v>
      </c>
      <c r="D69" s="3">
        <v>3.8511121497419843E-4</v>
      </c>
      <c r="E69"/>
      <c r="I69"/>
      <c r="J69" s="3"/>
      <c r="N69"/>
      <c r="O69" s="200" t="s">
        <v>37</v>
      </c>
      <c r="P69" s="3">
        <v>5.0490194678539093E-3</v>
      </c>
      <c r="Q69" s="3">
        <v>5.0490194678539093E-3</v>
      </c>
      <c r="S69" s="2" t="s">
        <v>1173</v>
      </c>
      <c r="T69" s="3">
        <v>4.1658701551888161E-3</v>
      </c>
      <c r="U69" s="3">
        <v>0</v>
      </c>
      <c r="V69" s="3">
        <v>2.421996504109254E-3</v>
      </c>
      <c r="W69"/>
      <c r="X69" s="200" t="s">
        <v>18</v>
      </c>
      <c r="Y69" s="3">
        <v>4.1658701551888161E-3</v>
      </c>
      <c r="Z69" s="3">
        <v>0</v>
      </c>
      <c r="AA69" s="3">
        <v>1.9455258756561934E-3</v>
      </c>
      <c r="AB69"/>
      <c r="AC69" s="2" t="s">
        <v>339</v>
      </c>
      <c r="AD69" s="3"/>
      <c r="AE69" s="3"/>
      <c r="AF69"/>
      <c r="AG69"/>
      <c r="AI69"/>
      <c r="AJ69"/>
      <c r="AK69"/>
      <c r="AL69"/>
    </row>
    <row r="70" spans="1:38" x14ac:dyDescent="0.25">
      <c r="A70" s="2" t="s">
        <v>1172</v>
      </c>
      <c r="B70" s="3">
        <v>9.3602280587727475E-4</v>
      </c>
      <c r="C70" s="3">
        <v>0</v>
      </c>
      <c r="D70" s="3">
        <v>3.8511121497419843E-4</v>
      </c>
      <c r="E70"/>
      <c r="I70"/>
      <c r="J70" s="3"/>
      <c r="N70"/>
      <c r="O70" s="200" t="s">
        <v>34</v>
      </c>
      <c r="P70" s="3">
        <v>4.7298860258105418E-6</v>
      </c>
      <c r="Q70" s="3">
        <v>4.7298860258105418E-6</v>
      </c>
      <c r="S70" s="2" t="s">
        <v>320</v>
      </c>
      <c r="T70" s="3"/>
      <c r="U70" s="3"/>
      <c r="V70" s="3"/>
      <c r="W70"/>
      <c r="X70" s="2" t="s">
        <v>1173</v>
      </c>
      <c r="Y70" s="3">
        <v>4.1658701551888161E-3</v>
      </c>
      <c r="Z70" s="3">
        <v>0</v>
      </c>
      <c r="AA70" s="3">
        <v>1.9455258756561934E-3</v>
      </c>
      <c r="AB70"/>
      <c r="AC70" s="200" t="s">
        <v>374</v>
      </c>
      <c r="AD70" s="3">
        <v>1.8665781620374564E-3</v>
      </c>
      <c r="AE70" s="3">
        <v>1.8665781620374564E-3</v>
      </c>
      <c r="AF70"/>
      <c r="AG70"/>
      <c r="AI70"/>
      <c r="AJ70"/>
      <c r="AK70"/>
      <c r="AL70"/>
    </row>
    <row r="71" spans="1:38" x14ac:dyDescent="0.25">
      <c r="A71" s="2" t="s">
        <v>319</v>
      </c>
      <c r="B71" s="3"/>
      <c r="C71" s="3"/>
      <c r="D71" s="3"/>
      <c r="E71"/>
      <c r="I71"/>
      <c r="J71" s="3"/>
      <c r="N71"/>
      <c r="O71" s="200" t="s">
        <v>35</v>
      </c>
      <c r="P71" s="3">
        <v>1.8799690576210778E-2</v>
      </c>
      <c r="Q71" s="3">
        <v>1.8799690576210778E-2</v>
      </c>
      <c r="S71" s="200" t="s">
        <v>18</v>
      </c>
      <c r="T71" s="3">
        <v>1.7283040715096493E-3</v>
      </c>
      <c r="U71" s="3">
        <v>0</v>
      </c>
      <c r="V71" s="3">
        <v>1.0048192246271377E-3</v>
      </c>
      <c r="W71"/>
      <c r="X71" s="2" t="s">
        <v>320</v>
      </c>
      <c r="Y71" s="3"/>
      <c r="Z71" s="3"/>
      <c r="AA71" s="3"/>
      <c r="AB71"/>
      <c r="AC71" s="200" t="s">
        <v>37</v>
      </c>
      <c r="AD71" s="3">
        <v>3.7696981131643739E-3</v>
      </c>
      <c r="AE71" s="3">
        <v>3.7696981131643739E-3</v>
      </c>
      <c r="AF71"/>
      <c r="AG71"/>
      <c r="AI71"/>
      <c r="AJ71"/>
      <c r="AK71"/>
      <c r="AL71"/>
    </row>
    <row r="72" spans="1:38" x14ac:dyDescent="0.25">
      <c r="A72" s="200" t="s">
        <v>18</v>
      </c>
      <c r="B72" s="3">
        <v>4.1658701551888161E-3</v>
      </c>
      <c r="C72" s="3">
        <v>0</v>
      </c>
      <c r="D72" s="3">
        <v>1.7139788761726667E-3</v>
      </c>
      <c r="E72"/>
      <c r="I72"/>
      <c r="J72" s="3"/>
      <c r="N72"/>
      <c r="O72" s="200" t="s">
        <v>36</v>
      </c>
      <c r="P72" s="3">
        <v>4.1801483292257697E-4</v>
      </c>
      <c r="Q72" s="3">
        <v>4.1801483292257697E-4</v>
      </c>
      <c r="S72" s="2" t="s">
        <v>1174</v>
      </c>
      <c r="T72" s="3">
        <v>1.7283040715096493E-3</v>
      </c>
      <c r="U72" s="3">
        <v>0</v>
      </c>
      <c r="V72" s="3">
        <v>1.0048192246271377E-3</v>
      </c>
      <c r="W72"/>
      <c r="X72" s="200" t="s">
        <v>18</v>
      </c>
      <c r="Y72" s="3">
        <v>1.7283040715096493E-3</v>
      </c>
      <c r="Z72" s="3">
        <v>0</v>
      </c>
      <c r="AA72" s="3">
        <v>8.0714476612667565E-4</v>
      </c>
      <c r="AB72"/>
      <c r="AC72" s="200" t="s">
        <v>39</v>
      </c>
      <c r="AD72" s="3">
        <v>1.0803056432899412E-4</v>
      </c>
      <c r="AE72" s="3">
        <v>1.0803056432899412E-4</v>
      </c>
      <c r="AF72"/>
      <c r="AG72"/>
      <c r="AI72"/>
      <c r="AJ72"/>
      <c r="AK72"/>
      <c r="AL72"/>
    </row>
    <row r="73" spans="1:38" x14ac:dyDescent="0.25">
      <c r="A73" s="2" t="s">
        <v>1173</v>
      </c>
      <c r="B73" s="3">
        <v>4.1658701551888161E-3</v>
      </c>
      <c r="C73" s="3">
        <v>0</v>
      </c>
      <c r="D73" s="3">
        <v>1.7139788761726667E-3</v>
      </c>
      <c r="E73"/>
      <c r="I73"/>
      <c r="J73" s="3"/>
      <c r="N73"/>
      <c r="O73" s="200" t="s">
        <v>41</v>
      </c>
      <c r="P73" s="3">
        <v>1.5742488584018482E-4</v>
      </c>
      <c r="Q73" s="3">
        <v>1.5742488584018482E-4</v>
      </c>
      <c r="S73" s="2" t="s">
        <v>321</v>
      </c>
      <c r="T73" s="3"/>
      <c r="U73" s="3"/>
      <c r="V73" s="3"/>
      <c r="W73"/>
      <c r="X73" s="2" t="s">
        <v>1174</v>
      </c>
      <c r="Y73" s="3">
        <v>1.7283040715096493E-3</v>
      </c>
      <c r="Z73" s="3">
        <v>0</v>
      </c>
      <c r="AA73" s="3">
        <v>8.0714476612667565E-4</v>
      </c>
      <c r="AB73"/>
      <c r="AC73" s="200" t="s">
        <v>38</v>
      </c>
      <c r="AD73" s="3">
        <v>1.6502743459756482E-5</v>
      </c>
      <c r="AE73" s="3">
        <v>1.6502743459756482E-5</v>
      </c>
      <c r="AF73"/>
      <c r="AG73"/>
      <c r="AI73"/>
      <c r="AJ73"/>
      <c r="AK73"/>
      <c r="AL73"/>
    </row>
    <row r="74" spans="1:38" x14ac:dyDescent="0.25">
      <c r="A74" s="2" t="s">
        <v>320</v>
      </c>
      <c r="B74" s="3"/>
      <c r="C74" s="3"/>
      <c r="D74" s="3"/>
      <c r="E74"/>
      <c r="I74"/>
      <c r="J74" s="3"/>
      <c r="N74"/>
      <c r="O74" s="2" t="s">
        <v>1158</v>
      </c>
      <c r="P74" s="3">
        <v>2.442887964885326E-2</v>
      </c>
      <c r="Q74" s="3">
        <v>2.442887964885326E-2</v>
      </c>
      <c r="S74" s="200" t="s">
        <v>18</v>
      </c>
      <c r="T74" s="3">
        <v>1.8330419841601578E-3</v>
      </c>
      <c r="U74" s="3">
        <v>0</v>
      </c>
      <c r="V74" s="3">
        <v>1.0657128312056498E-3</v>
      </c>
      <c r="W74"/>
      <c r="X74" s="2" t="s">
        <v>321</v>
      </c>
      <c r="Y74" s="3"/>
      <c r="Z74" s="3"/>
      <c r="AA74" s="3"/>
      <c r="AB74"/>
      <c r="AC74" s="200" t="s">
        <v>390</v>
      </c>
      <c r="AD74" s="3">
        <v>7.6662281305279634E-2</v>
      </c>
      <c r="AE74" s="3">
        <v>7.6662281305279634E-2</v>
      </c>
      <c r="AF74"/>
      <c r="AG74"/>
      <c r="AI74"/>
      <c r="AJ74"/>
      <c r="AK74"/>
      <c r="AL74"/>
    </row>
    <row r="75" spans="1:38" x14ac:dyDescent="0.25">
      <c r="A75" s="200" t="s">
        <v>18</v>
      </c>
      <c r="B75" s="3">
        <v>1.7283040715096493E-3</v>
      </c>
      <c r="C75" s="3">
        <v>0</v>
      </c>
      <c r="D75" s="3">
        <v>7.1108233329862127E-4</v>
      </c>
      <c r="E75"/>
      <c r="I75"/>
      <c r="J75" s="3"/>
      <c r="N75"/>
      <c r="O75" s="2" t="s">
        <v>22</v>
      </c>
      <c r="P75" s="3">
        <v>1</v>
      </c>
      <c r="Q75" s="3">
        <v>1</v>
      </c>
      <c r="S75" s="2" t="s">
        <v>1175</v>
      </c>
      <c r="T75" s="3">
        <v>1.8330419841601578E-3</v>
      </c>
      <c r="U75" s="3">
        <v>0</v>
      </c>
      <c r="V75" s="3">
        <v>1.0657128312056498E-3</v>
      </c>
      <c r="W75"/>
      <c r="X75" s="200" t="s">
        <v>18</v>
      </c>
      <c r="Y75" s="3">
        <v>1.8330419841601578E-3</v>
      </c>
      <c r="Z75" s="3">
        <v>0</v>
      </c>
      <c r="AA75" s="3">
        <v>8.5605899331879672E-4</v>
      </c>
      <c r="AB75"/>
      <c r="AC75" s="200" t="s">
        <v>34</v>
      </c>
      <c r="AD75" s="3">
        <v>1.1569255236388105E-4</v>
      </c>
      <c r="AE75" s="3">
        <v>1.1569255236388105E-4</v>
      </c>
      <c r="AF75"/>
      <c r="AG75"/>
      <c r="AI75"/>
      <c r="AJ75"/>
      <c r="AK75"/>
      <c r="AL75"/>
    </row>
    <row r="76" spans="1:38" x14ac:dyDescent="0.25">
      <c r="A76" s="2" t="s">
        <v>1174</v>
      </c>
      <c r="B76" s="3">
        <v>1.7283040715096493E-3</v>
      </c>
      <c r="C76" s="3">
        <v>0</v>
      </c>
      <c r="D76" s="3">
        <v>7.1108233329862127E-4</v>
      </c>
      <c r="E76"/>
      <c r="I76"/>
      <c r="J76" s="3"/>
      <c r="N76"/>
      <c r="O76"/>
      <c r="P76"/>
      <c r="Q76"/>
      <c r="S76" s="2" t="s">
        <v>322</v>
      </c>
      <c r="T76" s="3"/>
      <c r="U76" s="3"/>
      <c r="V76" s="3"/>
      <c r="W76"/>
      <c r="X76" s="2" t="s">
        <v>1175</v>
      </c>
      <c r="Y76" s="3">
        <v>1.8330419841601578E-3</v>
      </c>
      <c r="Z76" s="3">
        <v>0</v>
      </c>
      <c r="AA76" s="3">
        <v>8.5605899331879672E-4</v>
      </c>
      <c r="AB76"/>
      <c r="AC76" s="200" t="s">
        <v>35</v>
      </c>
      <c r="AD76" s="3">
        <v>5.904719746492898E-2</v>
      </c>
      <c r="AE76" s="3">
        <v>5.904719746492898E-2</v>
      </c>
      <c r="AF76"/>
      <c r="AG76"/>
      <c r="AI76"/>
      <c r="AJ76"/>
      <c r="AK76"/>
      <c r="AL76"/>
    </row>
    <row r="77" spans="1:38" x14ac:dyDescent="0.25">
      <c r="A77" s="2" t="s">
        <v>321</v>
      </c>
      <c r="B77" s="3"/>
      <c r="C77" s="3"/>
      <c r="D77" s="3"/>
      <c r="E77"/>
      <c r="I77"/>
      <c r="J77" s="3"/>
      <c r="N77"/>
      <c r="O77"/>
      <c r="P77"/>
      <c r="Q77"/>
      <c r="S77" s="200" t="s">
        <v>18</v>
      </c>
      <c r="T77" s="3">
        <v>1.0782221928070756E-4</v>
      </c>
      <c r="U77" s="3">
        <v>0</v>
      </c>
      <c r="V77" s="3">
        <v>6.2686792539106122E-5</v>
      </c>
      <c r="W77"/>
      <c r="X77" s="2" t="s">
        <v>322</v>
      </c>
      <c r="Y77" s="3"/>
      <c r="Z77" s="3"/>
      <c r="AA77" s="3"/>
      <c r="AB77"/>
      <c r="AC77" s="200" t="s">
        <v>41</v>
      </c>
      <c r="AD77" s="3">
        <v>2.2300545537015048E-3</v>
      </c>
      <c r="AE77" s="3">
        <v>2.2300545537015048E-3</v>
      </c>
      <c r="AF77"/>
      <c r="AG77"/>
      <c r="AI77"/>
      <c r="AJ77"/>
      <c r="AK77"/>
      <c r="AL77"/>
    </row>
    <row r="78" spans="1:38" x14ac:dyDescent="0.25">
      <c r="A78" s="200" t="s">
        <v>18</v>
      </c>
      <c r="B78" s="3">
        <v>1.8330419841601578E-3</v>
      </c>
      <c r="C78" s="3">
        <v>0</v>
      </c>
      <c r="D78" s="3">
        <v>7.5417502777297722E-4</v>
      </c>
      <c r="E78"/>
      <c r="I78"/>
      <c r="J78" s="3"/>
      <c r="N78"/>
      <c r="O78"/>
      <c r="P78"/>
      <c r="Q78"/>
      <c r="S78" s="2" t="s">
        <v>1176</v>
      </c>
      <c r="T78" s="3">
        <v>1.0782221928070756E-4</v>
      </c>
      <c r="U78" s="3">
        <v>0</v>
      </c>
      <c r="V78" s="3">
        <v>6.2686792539106122E-5</v>
      </c>
      <c r="W78"/>
      <c r="X78" s="200" t="s">
        <v>18</v>
      </c>
      <c r="Y78" s="3">
        <v>1.0782221928070756E-4</v>
      </c>
      <c r="Z78" s="3">
        <v>0</v>
      </c>
      <c r="AA78" s="3">
        <v>5.0354646152379879E-5</v>
      </c>
      <c r="AB78"/>
      <c r="AC78" s="200" t="s">
        <v>391</v>
      </c>
      <c r="AD78" s="3">
        <v>3.9765752570692328E-2</v>
      </c>
      <c r="AE78" s="3">
        <v>3.9765752570692328E-2</v>
      </c>
      <c r="AF78"/>
      <c r="AG78"/>
      <c r="AI78"/>
      <c r="AJ78"/>
      <c r="AK78"/>
      <c r="AL78"/>
    </row>
    <row r="79" spans="1:38" x14ac:dyDescent="0.25">
      <c r="A79" s="2" t="s">
        <v>1175</v>
      </c>
      <c r="B79" s="3">
        <v>1.8330419841601578E-3</v>
      </c>
      <c r="C79" s="3">
        <v>0</v>
      </c>
      <c r="D79" s="3">
        <v>7.5417502777297722E-4</v>
      </c>
      <c r="E79"/>
      <c r="I79"/>
      <c r="J79" s="3"/>
      <c r="N79"/>
      <c r="O79"/>
      <c r="P79"/>
      <c r="Q79"/>
      <c r="S79" s="2" t="s">
        <v>323</v>
      </c>
      <c r="T79" s="3"/>
      <c r="U79" s="3"/>
      <c r="V79" s="3"/>
      <c r="W79"/>
      <c r="X79" s="2" t="s">
        <v>1176</v>
      </c>
      <c r="Y79" s="3">
        <v>1.0782221928070756E-4</v>
      </c>
      <c r="Z79" s="3">
        <v>0</v>
      </c>
      <c r="AA79" s="3">
        <v>5.0354646152379879E-5</v>
      </c>
      <c r="AB79"/>
      <c r="AC79" s="2" t="s">
        <v>484</v>
      </c>
      <c r="AD79" s="3">
        <v>0.18358178802995692</v>
      </c>
      <c r="AE79" s="3">
        <v>0.18358178802995692</v>
      </c>
      <c r="AF79"/>
      <c r="AG79"/>
      <c r="AI79"/>
      <c r="AJ79"/>
      <c r="AK79"/>
      <c r="AL79"/>
    </row>
    <row r="80" spans="1:38" x14ac:dyDescent="0.25">
      <c r="A80" s="2" t="s">
        <v>322</v>
      </c>
      <c r="B80" s="3"/>
      <c r="C80" s="3"/>
      <c r="D80" s="3"/>
      <c r="E80"/>
      <c r="I80"/>
      <c r="J80" s="3"/>
      <c r="N80"/>
      <c r="O80"/>
      <c r="P80"/>
      <c r="Q80"/>
      <c r="S80" s="200" t="s">
        <v>18</v>
      </c>
      <c r="T80" s="3">
        <v>1.6613489150790787E-3</v>
      </c>
      <c r="U80" s="3">
        <v>0</v>
      </c>
      <c r="V80" s="3">
        <v>9.6589214606590502E-4</v>
      </c>
      <c r="W80"/>
      <c r="X80" s="2" t="s">
        <v>323</v>
      </c>
      <c r="Y80" s="3"/>
      <c r="Z80" s="3"/>
      <c r="AA80" s="3"/>
      <c r="AB80"/>
      <c r="AC80" s="2" t="s">
        <v>340</v>
      </c>
      <c r="AD80" s="3"/>
      <c r="AE80" s="3"/>
      <c r="AF80"/>
      <c r="AG80"/>
      <c r="AI80"/>
      <c r="AJ80"/>
      <c r="AK80"/>
      <c r="AL80"/>
    </row>
    <row r="81" spans="1:38" x14ac:dyDescent="0.25">
      <c r="A81" s="200" t="s">
        <v>18</v>
      </c>
      <c r="B81" s="3">
        <v>1.0782221928070756E-4</v>
      </c>
      <c r="C81" s="3">
        <v>0</v>
      </c>
      <c r="D81" s="3">
        <v>4.4361681796300201E-5</v>
      </c>
      <c r="E81"/>
      <c r="I81"/>
      <c r="J81" s="3"/>
      <c r="N81"/>
      <c r="O81"/>
      <c r="P81"/>
      <c r="Q81"/>
      <c r="S81" s="2" t="s">
        <v>1177</v>
      </c>
      <c r="T81" s="3">
        <v>1.6613489150790787E-3</v>
      </c>
      <c r="U81" s="3">
        <v>0</v>
      </c>
      <c r="V81" s="3">
        <v>9.6589214606590502E-4</v>
      </c>
      <c r="W81"/>
      <c r="X81" s="200" t="s">
        <v>18</v>
      </c>
      <c r="Y81" s="3">
        <v>1.6613489150790787E-3</v>
      </c>
      <c r="Z81" s="3">
        <v>0</v>
      </c>
      <c r="AA81" s="3">
        <v>7.7587567119772455E-4</v>
      </c>
      <c r="AB81"/>
      <c r="AC81" s="200" t="s">
        <v>374</v>
      </c>
      <c r="AD81" s="3">
        <v>1.1648995383357518E-5</v>
      </c>
      <c r="AE81" s="3">
        <v>1.1648995383357518E-5</v>
      </c>
      <c r="AF81"/>
      <c r="AG81"/>
      <c r="AI81"/>
      <c r="AJ81"/>
      <c r="AK81"/>
      <c r="AL81"/>
    </row>
    <row r="82" spans="1:38" x14ac:dyDescent="0.25">
      <c r="A82" s="2" t="s">
        <v>1176</v>
      </c>
      <c r="B82" s="3">
        <v>1.0782221928070756E-4</v>
      </c>
      <c r="C82" s="3">
        <v>0</v>
      </c>
      <c r="D82" s="3">
        <v>4.4361681796300201E-5</v>
      </c>
      <c r="E82"/>
      <c r="I82"/>
      <c r="J82" s="3"/>
      <c r="N82"/>
      <c r="O82"/>
      <c r="P82"/>
      <c r="Q82"/>
      <c r="S82" s="2" t="s">
        <v>324</v>
      </c>
      <c r="T82" s="3"/>
      <c r="U82" s="3"/>
      <c r="V82" s="3"/>
      <c r="W82"/>
      <c r="X82" s="2" t="s">
        <v>1177</v>
      </c>
      <c r="Y82" s="3">
        <v>1.6613489150790787E-3</v>
      </c>
      <c r="Z82" s="3">
        <v>0</v>
      </c>
      <c r="AA82" s="3">
        <v>7.7587567119772455E-4</v>
      </c>
      <c r="AB82"/>
      <c r="AC82" s="200" t="s">
        <v>39</v>
      </c>
      <c r="AD82" s="3">
        <v>5.131105109336049E-6</v>
      </c>
      <c r="AE82" s="3">
        <v>5.131105109336049E-6</v>
      </c>
      <c r="AF82"/>
      <c r="AG82"/>
      <c r="AI82"/>
      <c r="AJ82"/>
      <c r="AK82"/>
      <c r="AL82"/>
    </row>
    <row r="83" spans="1:38" x14ac:dyDescent="0.25">
      <c r="A83" s="2" t="s">
        <v>323</v>
      </c>
      <c r="B83" s="3"/>
      <c r="C83" s="3"/>
      <c r="D83" s="3"/>
      <c r="E83"/>
      <c r="I83"/>
      <c r="J83" s="3"/>
      <c r="N83"/>
      <c r="O83"/>
      <c r="P83"/>
      <c r="Q83"/>
      <c r="S83" s="200" t="s">
        <v>18</v>
      </c>
      <c r="T83" s="3">
        <v>6.3978157968547144E-3</v>
      </c>
      <c r="U83" s="3">
        <v>0</v>
      </c>
      <c r="V83" s="3">
        <v>3.7196280528850887E-3</v>
      </c>
      <c r="W83"/>
      <c r="X83" s="2" t="s">
        <v>324</v>
      </c>
      <c r="Y83" s="3"/>
      <c r="Z83" s="3"/>
      <c r="AA83" s="3"/>
      <c r="AB83"/>
      <c r="AC83" s="200" t="s">
        <v>390</v>
      </c>
      <c r="AD83" s="3">
        <v>2.163384856909253E-5</v>
      </c>
      <c r="AE83" s="3">
        <v>2.163384856909253E-5</v>
      </c>
      <c r="AF83"/>
      <c r="AG83"/>
      <c r="AI83"/>
      <c r="AJ83"/>
      <c r="AK83"/>
      <c r="AL83"/>
    </row>
    <row r="84" spans="1:38" x14ac:dyDescent="0.25">
      <c r="A84" s="200" t="s">
        <v>18</v>
      </c>
      <c r="B84" s="3">
        <v>1.6613489150790787E-3</v>
      </c>
      <c r="C84" s="3">
        <v>0</v>
      </c>
      <c r="D84" s="3">
        <v>6.8353473351808207E-4</v>
      </c>
      <c r="E84"/>
      <c r="I84"/>
      <c r="J84" s="3"/>
      <c r="N84"/>
      <c r="O84"/>
      <c r="P84"/>
      <c r="Q84"/>
      <c r="S84" s="200" t="s">
        <v>43</v>
      </c>
      <c r="T84" s="3">
        <v>1.6038394477034927E-4</v>
      </c>
      <c r="U84" s="3">
        <v>0</v>
      </c>
      <c r="V84" s="3">
        <v>9.3245669950899206E-5</v>
      </c>
      <c r="W84"/>
      <c r="X84" s="200" t="s">
        <v>18</v>
      </c>
      <c r="Y84" s="3">
        <v>6.3978157968547144E-3</v>
      </c>
      <c r="Z84" s="3">
        <v>0</v>
      </c>
      <c r="AA84" s="3">
        <v>2.9878790545017925E-3</v>
      </c>
      <c r="AB84"/>
      <c r="AC84" s="200" t="s">
        <v>35</v>
      </c>
      <c r="AD84" s="3">
        <v>1.1679504656980596E-3</v>
      </c>
      <c r="AE84" s="3">
        <v>1.1679504656980596E-3</v>
      </c>
      <c r="AF84"/>
      <c r="AG84"/>
      <c r="AI84"/>
      <c r="AJ84"/>
      <c r="AK84"/>
      <c r="AL84"/>
    </row>
    <row r="85" spans="1:38" x14ac:dyDescent="0.25">
      <c r="A85" s="2" t="s">
        <v>1177</v>
      </c>
      <c r="B85" s="3">
        <v>1.6613489150790787E-3</v>
      </c>
      <c r="C85" s="3">
        <v>0</v>
      </c>
      <c r="D85" s="3">
        <v>6.8353473351808207E-4</v>
      </c>
      <c r="E85"/>
      <c r="I85"/>
      <c r="J85" s="3"/>
      <c r="N85"/>
      <c r="O85"/>
      <c r="P85"/>
      <c r="Q85"/>
      <c r="S85" s="2" t="s">
        <v>1178</v>
      </c>
      <c r="T85" s="3">
        <v>6.5581997416250632E-3</v>
      </c>
      <c r="U85" s="3">
        <v>0</v>
      </c>
      <c r="V85" s="3">
        <v>3.8128737228359877E-3</v>
      </c>
      <c r="W85"/>
      <c r="X85" s="200" t="s">
        <v>43</v>
      </c>
      <c r="Y85" s="3">
        <v>1.6038394477034927E-4</v>
      </c>
      <c r="Z85" s="3">
        <v>0</v>
      </c>
      <c r="AA85" s="3">
        <v>7.49017859334566E-5</v>
      </c>
      <c r="AB85"/>
      <c r="AC85" s="2" t="s">
        <v>1155</v>
      </c>
      <c r="AD85" s="3">
        <v>1.2063644147598457E-3</v>
      </c>
      <c r="AE85" s="3">
        <v>1.2063644147598457E-3</v>
      </c>
      <c r="AF85"/>
      <c r="AG85"/>
      <c r="AI85"/>
      <c r="AJ85"/>
      <c r="AK85"/>
      <c r="AL85"/>
    </row>
    <row r="86" spans="1:38" x14ac:dyDescent="0.25">
      <c r="A86" s="2" t="s">
        <v>324</v>
      </c>
      <c r="B86" s="3"/>
      <c r="C86" s="3"/>
      <c r="D86" s="3"/>
      <c r="E86"/>
      <c r="I86"/>
      <c r="J86" s="3"/>
      <c r="N86"/>
      <c r="O86"/>
      <c r="P86"/>
      <c r="Q86"/>
      <c r="S86" s="2" t="s">
        <v>365</v>
      </c>
      <c r="T86" s="3"/>
      <c r="U86" s="3"/>
      <c r="V86" s="3"/>
      <c r="W86"/>
      <c r="X86" s="2" t="s">
        <v>1178</v>
      </c>
      <c r="Y86" s="3">
        <v>6.5581997416250632E-3</v>
      </c>
      <c r="Z86" s="3">
        <v>0</v>
      </c>
      <c r="AA86" s="3">
        <v>3.0627808404352489E-3</v>
      </c>
      <c r="AB86"/>
      <c r="AC86" s="2" t="s">
        <v>367</v>
      </c>
      <c r="AD86" s="3"/>
      <c r="AE86" s="3"/>
      <c r="AF86"/>
      <c r="AG86"/>
      <c r="AI86"/>
      <c r="AJ86"/>
      <c r="AK86"/>
      <c r="AL86"/>
    </row>
    <row r="87" spans="1:38" x14ac:dyDescent="0.25">
      <c r="A87" s="200" t="s">
        <v>18</v>
      </c>
      <c r="B87" s="3">
        <v>6.3978157968547144E-3</v>
      </c>
      <c r="C87" s="3">
        <v>0</v>
      </c>
      <c r="D87" s="3">
        <v>2.6322762642504304E-3</v>
      </c>
      <c r="E87"/>
      <c r="I87"/>
      <c r="J87" s="3"/>
      <c r="N87"/>
      <c r="O87"/>
      <c r="P87"/>
      <c r="Q87"/>
      <c r="S87" s="200" t="s">
        <v>18</v>
      </c>
      <c r="T87" s="3">
        <v>0.19122142076657228</v>
      </c>
      <c r="U87" s="3">
        <v>0</v>
      </c>
      <c r="V87" s="3">
        <v>0.11117427940728779</v>
      </c>
      <c r="W87"/>
      <c r="X87" s="2" t="s">
        <v>365</v>
      </c>
      <c r="Y87" s="3"/>
      <c r="Z87" s="3"/>
      <c r="AA87" s="3"/>
      <c r="AB87"/>
      <c r="AC87" s="200" t="s">
        <v>374</v>
      </c>
      <c r="AD87" s="3">
        <v>1.1287737847956965E-3</v>
      </c>
      <c r="AE87" s="3">
        <v>1.1287737847956965E-3</v>
      </c>
      <c r="AF87"/>
      <c r="AG87"/>
      <c r="AI87"/>
      <c r="AJ87"/>
      <c r="AK87"/>
      <c r="AL87"/>
    </row>
    <row r="88" spans="1:38" x14ac:dyDescent="0.25">
      <c r="A88" s="200" t="s">
        <v>43</v>
      </c>
      <c r="B88" s="3">
        <v>1.6038394477034927E-4</v>
      </c>
      <c r="C88" s="3">
        <v>0</v>
      </c>
      <c r="D88" s="3">
        <v>6.59873407410997E-5</v>
      </c>
      <c r="E88"/>
      <c r="I88"/>
      <c r="J88" s="3"/>
      <c r="N88"/>
      <c r="O88"/>
      <c r="P88"/>
      <c r="Q88"/>
      <c r="S88" s="200" t="s">
        <v>43</v>
      </c>
      <c r="T88" s="3">
        <v>4.0530359376340346E-3</v>
      </c>
      <c r="U88" s="3">
        <v>0</v>
      </c>
      <c r="V88" s="3">
        <v>2.356395784384182E-3</v>
      </c>
      <c r="W88"/>
      <c r="X88" s="200" t="s">
        <v>18</v>
      </c>
      <c r="Y88" s="3">
        <v>0.19122142076657228</v>
      </c>
      <c r="Z88" s="3">
        <v>0</v>
      </c>
      <c r="AA88" s="3">
        <v>8.930336477667894E-2</v>
      </c>
      <c r="AB88"/>
      <c r="AC88" s="200" t="s">
        <v>37</v>
      </c>
      <c r="AD88" s="3">
        <v>3.2775280582175185E-3</v>
      </c>
      <c r="AE88" s="3">
        <v>3.2775280582175185E-3</v>
      </c>
      <c r="AF88"/>
      <c r="AG88"/>
      <c r="AI88"/>
      <c r="AJ88"/>
      <c r="AK88"/>
      <c r="AL88"/>
    </row>
    <row r="89" spans="1:38" x14ac:dyDescent="0.25">
      <c r="A89" s="2" t="s">
        <v>1178</v>
      </c>
      <c r="B89" s="3">
        <v>6.5581997416250632E-3</v>
      </c>
      <c r="C89" s="3">
        <v>0</v>
      </c>
      <c r="D89" s="3">
        <v>2.6982636049915298E-3</v>
      </c>
      <c r="E89"/>
      <c r="I89"/>
      <c r="J89" s="3"/>
      <c r="N89"/>
      <c r="O89"/>
      <c r="P89"/>
      <c r="Q89"/>
      <c r="S89" s="200" t="s">
        <v>44</v>
      </c>
      <c r="T89" s="3">
        <v>3.2155824311468706E-3</v>
      </c>
      <c r="U89" s="3">
        <v>0</v>
      </c>
      <c r="V89" s="3">
        <v>1.8695084380420067E-3</v>
      </c>
      <c r="W89"/>
      <c r="X89" s="200" t="s">
        <v>43</v>
      </c>
      <c r="Y89" s="3">
        <v>4.0530359376340346E-3</v>
      </c>
      <c r="Z89" s="3">
        <v>0</v>
      </c>
      <c r="AA89" s="3">
        <v>1.8928305486933929E-3</v>
      </c>
      <c r="AB89"/>
      <c r="AC89" s="200" t="s">
        <v>39</v>
      </c>
      <c r="AD89" s="3">
        <v>7.1142078948361985E-5</v>
      </c>
      <c r="AE89" s="3">
        <v>7.1142078948361985E-5</v>
      </c>
      <c r="AF89"/>
      <c r="AG89"/>
      <c r="AI89"/>
      <c r="AJ89"/>
      <c r="AK89"/>
      <c r="AL89"/>
    </row>
    <row r="90" spans="1:38" x14ac:dyDescent="0.25">
      <c r="A90" s="2" t="s">
        <v>365</v>
      </c>
      <c r="B90" s="3"/>
      <c r="C90" s="3"/>
      <c r="D90" s="3"/>
      <c r="E90"/>
      <c r="I90"/>
      <c r="J90" s="3"/>
      <c r="N90"/>
      <c r="O90"/>
      <c r="P90"/>
      <c r="Q90"/>
      <c r="S90" s="200" t="s">
        <v>37</v>
      </c>
      <c r="T90" s="3">
        <v>0</v>
      </c>
      <c r="U90" s="3">
        <v>5.0824320966852958E-2</v>
      </c>
      <c r="V90" s="3">
        <v>2.1275553693796835E-2</v>
      </c>
      <c r="W90"/>
      <c r="X90" s="200" t="s">
        <v>44</v>
      </c>
      <c r="Y90" s="3">
        <v>3.2155824311468706E-3</v>
      </c>
      <c r="Z90" s="3">
        <v>0</v>
      </c>
      <c r="AA90" s="3">
        <v>1.5017267922547953E-3</v>
      </c>
      <c r="AB90"/>
      <c r="AC90" s="200" t="s">
        <v>38</v>
      </c>
      <c r="AD90" s="3">
        <v>4.4377125269933399E-6</v>
      </c>
      <c r="AE90" s="3">
        <v>4.4377125269933399E-6</v>
      </c>
      <c r="AF90"/>
      <c r="AG90"/>
      <c r="AI90"/>
      <c r="AJ90"/>
      <c r="AK90"/>
      <c r="AL90"/>
    </row>
    <row r="91" spans="1:38" x14ac:dyDescent="0.25">
      <c r="A91" s="200" t="s">
        <v>18</v>
      </c>
      <c r="B91" s="3">
        <v>0.19122142076657228</v>
      </c>
      <c r="C91" s="3">
        <v>0</v>
      </c>
      <c r="D91" s="3">
        <v>7.8674913921020925E-2</v>
      </c>
      <c r="E91"/>
      <c r="I91"/>
      <c r="J91" s="3"/>
      <c r="N91"/>
      <c r="O91"/>
      <c r="P91"/>
      <c r="Q91"/>
      <c r="S91" s="200" t="s">
        <v>34</v>
      </c>
      <c r="T91" s="3">
        <v>0</v>
      </c>
      <c r="U91" s="3">
        <v>1.1771169184988876E-4</v>
      </c>
      <c r="V91" s="3">
        <v>4.9275255875495215E-5</v>
      </c>
      <c r="W91"/>
      <c r="X91" s="200" t="s">
        <v>37</v>
      </c>
      <c r="Y91" s="3">
        <v>0</v>
      </c>
      <c r="Z91" s="3">
        <v>3.2064891903787085E-2</v>
      </c>
      <c r="AA91" s="3">
        <v>1.7090090823817017E-2</v>
      </c>
      <c r="AB91"/>
      <c r="AC91" s="200" t="s">
        <v>390</v>
      </c>
      <c r="AD91" s="3">
        <v>4.325989647163371E-2</v>
      </c>
      <c r="AE91" s="3">
        <v>4.325989647163371E-2</v>
      </c>
      <c r="AF91"/>
      <c r="AG91"/>
      <c r="AI91"/>
      <c r="AJ91"/>
      <c r="AK91"/>
      <c r="AL91"/>
    </row>
    <row r="92" spans="1:38" x14ac:dyDescent="0.25">
      <c r="A92" s="200" t="s">
        <v>43</v>
      </c>
      <c r="B92" s="3">
        <v>4.0530359376340346E-3</v>
      </c>
      <c r="C92" s="3">
        <v>0</v>
      </c>
      <c r="D92" s="3">
        <v>1.667555089978207E-3</v>
      </c>
      <c r="E92"/>
      <c r="I92"/>
      <c r="J92" s="3"/>
      <c r="N92"/>
      <c r="O92"/>
      <c r="P92"/>
      <c r="Q92"/>
      <c r="S92" s="200" t="s">
        <v>35</v>
      </c>
      <c r="T92" s="3">
        <v>0</v>
      </c>
      <c r="U92" s="3">
        <v>0.25494049981865796</v>
      </c>
      <c r="V92" s="3">
        <v>0.10672056585178444</v>
      </c>
      <c r="W92"/>
      <c r="X92" s="200" t="s">
        <v>34</v>
      </c>
      <c r="Y92" s="3">
        <v>0</v>
      </c>
      <c r="Z92" s="3">
        <v>7.426390757763802E-5</v>
      </c>
      <c r="AA92" s="3">
        <v>3.9581512678777747E-5</v>
      </c>
      <c r="AB92"/>
      <c r="AC92" s="200" t="s">
        <v>34</v>
      </c>
      <c r="AD92" s="3">
        <v>8.3172440252007982E-5</v>
      </c>
      <c r="AE92" s="3">
        <v>8.3172440252007982E-5</v>
      </c>
      <c r="AF92"/>
      <c r="AG92"/>
      <c r="AI92"/>
      <c r="AJ92"/>
      <c r="AK92"/>
      <c r="AL92"/>
    </row>
    <row r="93" spans="1:38" x14ac:dyDescent="0.25">
      <c r="A93" s="200" t="s">
        <v>44</v>
      </c>
      <c r="B93" s="3">
        <v>3.2155824311468706E-3</v>
      </c>
      <c r="C93" s="3">
        <v>0</v>
      </c>
      <c r="D93" s="3">
        <v>1.3229985948344761E-3</v>
      </c>
      <c r="E93"/>
      <c r="F93"/>
      <c r="G93"/>
      <c r="H93"/>
      <c r="I93"/>
      <c r="J93" s="3"/>
      <c r="N93"/>
      <c r="O93"/>
      <c r="P93"/>
      <c r="Q93"/>
      <c r="S93" s="200" t="s">
        <v>41</v>
      </c>
      <c r="T93" s="3">
        <v>0</v>
      </c>
      <c r="U93" s="3">
        <v>1.4719762284852657E-3</v>
      </c>
      <c r="V93" s="3">
        <v>6.161835257091873E-4</v>
      </c>
      <c r="W93"/>
      <c r="X93" s="200" t="s">
        <v>35</v>
      </c>
      <c r="Y93" s="3">
        <v>0</v>
      </c>
      <c r="Z93" s="3">
        <v>0.16084109759015028</v>
      </c>
      <c r="AA93" s="3">
        <v>8.5725814210321216E-2</v>
      </c>
      <c r="AB93"/>
      <c r="AC93" s="200" t="s">
        <v>35</v>
      </c>
      <c r="AD93" s="3">
        <v>3.9048472613887913E-2</v>
      </c>
      <c r="AE93" s="3">
        <v>3.9048472613887913E-2</v>
      </c>
      <c r="AF93"/>
      <c r="AG93"/>
      <c r="AI93"/>
      <c r="AJ93"/>
      <c r="AK93"/>
      <c r="AL93"/>
    </row>
    <row r="94" spans="1:38" x14ac:dyDescent="0.25">
      <c r="A94" s="200" t="s">
        <v>374</v>
      </c>
      <c r="B94" s="3">
        <v>0</v>
      </c>
      <c r="C94" s="3">
        <v>3.5806396523129949E-3</v>
      </c>
      <c r="D94" s="3">
        <v>2.1074442576829978E-3</v>
      </c>
      <c r="E94"/>
      <c r="F94"/>
      <c r="G94"/>
      <c r="H94"/>
      <c r="I94"/>
      <c r="J94" s="3"/>
      <c r="N94"/>
      <c r="O94"/>
      <c r="P94"/>
      <c r="Q94"/>
      <c r="S94" s="2" t="s">
        <v>482</v>
      </c>
      <c r="T94" s="3">
        <v>0.19849003913535318</v>
      </c>
      <c r="U94" s="3">
        <v>0.30735450870584607</v>
      </c>
      <c r="V94" s="3">
        <v>0.24406176195687992</v>
      </c>
      <c r="W94"/>
      <c r="X94" s="200" t="s">
        <v>41</v>
      </c>
      <c r="Y94" s="3">
        <v>0</v>
      </c>
      <c r="Z94" s="3">
        <v>9.2866481545531574E-4</v>
      </c>
      <c r="AA94" s="3">
        <v>4.9496396521892362E-4</v>
      </c>
      <c r="AB94"/>
      <c r="AC94" s="200" t="s">
        <v>41</v>
      </c>
      <c r="AD94" s="3">
        <v>1.3337753017653186E-3</v>
      </c>
      <c r="AE94" s="3">
        <v>1.3337753017653186E-3</v>
      </c>
      <c r="AF94"/>
      <c r="AG94"/>
      <c r="AI94"/>
      <c r="AJ94"/>
      <c r="AK94"/>
      <c r="AL94"/>
    </row>
    <row r="95" spans="1:38" x14ac:dyDescent="0.25">
      <c r="A95" s="200" t="s">
        <v>37</v>
      </c>
      <c r="B95" s="3">
        <v>0</v>
      </c>
      <c r="C95" s="3">
        <v>2.5580989833166402E-2</v>
      </c>
      <c r="D95" s="3">
        <v>1.5056111579094249E-2</v>
      </c>
      <c r="E95"/>
      <c r="F95"/>
      <c r="G95"/>
      <c r="H95"/>
      <c r="I95"/>
      <c r="J95" s="3"/>
      <c r="N95"/>
      <c r="O95"/>
      <c r="P95"/>
      <c r="Q95"/>
      <c r="S95" s="2" t="s">
        <v>325</v>
      </c>
      <c r="T95" s="3"/>
      <c r="U95" s="3"/>
      <c r="V95" s="3"/>
      <c r="W95"/>
      <c r="X95" s="200" t="s">
        <v>391</v>
      </c>
      <c r="Y95" s="3">
        <v>0</v>
      </c>
      <c r="Z95" s="3">
        <v>0.16943510390162528</v>
      </c>
      <c r="AA95" s="3">
        <v>9.0306286486487461E-2</v>
      </c>
      <c r="AB95"/>
      <c r="AC95" s="200" t="s">
        <v>391</v>
      </c>
      <c r="AD95" s="3">
        <v>5.7167098147535844E-3</v>
      </c>
      <c r="AE95" s="3">
        <v>5.7167098147535844E-3</v>
      </c>
      <c r="AF95"/>
      <c r="AG95"/>
      <c r="AI95"/>
      <c r="AJ95"/>
      <c r="AK95"/>
      <c r="AL95"/>
    </row>
    <row r="96" spans="1:38" x14ac:dyDescent="0.25">
      <c r="A96" s="200" t="s">
        <v>390</v>
      </c>
      <c r="B96" s="3">
        <v>0</v>
      </c>
      <c r="C96" s="3">
        <v>0.1342885179399412</v>
      </c>
      <c r="D96" s="3">
        <v>7.9037712108917607E-2</v>
      </c>
      <c r="E96"/>
      <c r="F96"/>
      <c r="G96"/>
      <c r="H96"/>
      <c r="I96"/>
      <c r="J96" s="3"/>
      <c r="K96"/>
      <c r="L96"/>
      <c r="M96"/>
      <c r="N96"/>
      <c r="O96"/>
      <c r="P96"/>
      <c r="Q96"/>
      <c r="S96" s="200" t="s">
        <v>18</v>
      </c>
      <c r="T96" s="3">
        <v>1.5695907928306577E-3</v>
      </c>
      <c r="U96" s="3">
        <v>0</v>
      </c>
      <c r="V96" s="3">
        <v>9.1254486373822715E-4</v>
      </c>
      <c r="W96"/>
      <c r="X96" s="2" t="s">
        <v>482</v>
      </c>
      <c r="Y96" s="3">
        <v>0.19849003913535318</v>
      </c>
      <c r="Z96" s="3">
        <v>0.36334402211859557</v>
      </c>
      <c r="AA96" s="3">
        <v>0.28635465911615055</v>
      </c>
      <c r="AB96"/>
      <c r="AC96" s="2" t="s">
        <v>485</v>
      </c>
      <c r="AD96" s="3">
        <v>9.3923908276781098E-2</v>
      </c>
      <c r="AE96" s="3">
        <v>9.3923908276781098E-2</v>
      </c>
      <c r="AF96"/>
      <c r="AG96"/>
      <c r="AI96"/>
      <c r="AJ96"/>
      <c r="AK96"/>
      <c r="AL96"/>
    </row>
    <row r="97" spans="1:38" x14ac:dyDescent="0.25">
      <c r="A97" s="200" t="s">
        <v>34</v>
      </c>
      <c r="B97" s="3">
        <v>0</v>
      </c>
      <c r="C97" s="3">
        <v>5.9246863217723642E-5</v>
      </c>
      <c r="D97" s="3">
        <v>3.4870714117592347E-5</v>
      </c>
      <c r="E97"/>
      <c r="F97"/>
      <c r="G97"/>
      <c r="H97"/>
      <c r="I97"/>
      <c r="J97" s="3"/>
      <c r="K97"/>
      <c r="L97"/>
      <c r="M97"/>
      <c r="N97"/>
      <c r="O97"/>
      <c r="P97"/>
      <c r="Q97"/>
      <c r="S97" s="2" t="s">
        <v>1179</v>
      </c>
      <c r="T97" s="3">
        <v>1.5695907928306577E-3</v>
      </c>
      <c r="U97" s="3">
        <v>0</v>
      </c>
      <c r="V97" s="3">
        <v>9.1254486373822715E-4</v>
      </c>
      <c r="W97"/>
      <c r="X97" s="2" t="s">
        <v>325</v>
      </c>
      <c r="Y97" s="3"/>
      <c r="Z97" s="3"/>
      <c r="AA97" s="3"/>
      <c r="AB97"/>
      <c r="AC97" s="2" t="s">
        <v>343</v>
      </c>
      <c r="AD97" s="3"/>
      <c r="AE97" s="3"/>
      <c r="AF97"/>
      <c r="AG97"/>
      <c r="AI97"/>
      <c r="AJ97"/>
      <c r="AK97"/>
      <c r="AL97"/>
    </row>
    <row r="98" spans="1:38" x14ac:dyDescent="0.25">
      <c r="A98" s="200" t="s">
        <v>35</v>
      </c>
      <c r="B98" s="3">
        <v>0</v>
      </c>
      <c r="C98" s="3">
        <v>0.12831711688143915</v>
      </c>
      <c r="D98" s="3">
        <v>7.5523145971849573E-2</v>
      </c>
      <c r="E98"/>
      <c r="F98"/>
      <c r="G98"/>
      <c r="H98"/>
      <c r="I98"/>
      <c r="J98" s="3"/>
      <c r="K98"/>
      <c r="L98"/>
      <c r="M98"/>
      <c r="N98"/>
      <c r="O98"/>
      <c r="P98"/>
      <c r="Q98"/>
      <c r="S98" s="2" t="s">
        <v>326</v>
      </c>
      <c r="T98" s="3"/>
      <c r="U98" s="3"/>
      <c r="V98" s="3"/>
      <c r="W98"/>
      <c r="X98" s="200" t="s">
        <v>18</v>
      </c>
      <c r="Y98" s="3">
        <v>1.5695907928306577E-3</v>
      </c>
      <c r="Z98" s="3">
        <v>0</v>
      </c>
      <c r="AA98" s="3">
        <v>7.3302320713002588E-4</v>
      </c>
      <c r="AB98"/>
      <c r="AC98" s="200" t="s">
        <v>39</v>
      </c>
      <c r="AD98" s="3">
        <v>9.7074961527979315E-7</v>
      </c>
      <c r="AE98" s="3">
        <v>9.7074961527979315E-7</v>
      </c>
      <c r="AF98"/>
      <c r="AG98"/>
      <c r="AI98"/>
      <c r="AJ98"/>
      <c r="AK98"/>
      <c r="AL98"/>
    </row>
    <row r="99" spans="1:38" x14ac:dyDescent="0.25">
      <c r="A99" s="200" t="s">
        <v>41</v>
      </c>
      <c r="B99" s="3">
        <v>0</v>
      </c>
      <c r="C99" s="3">
        <v>7.4087775732610594E-4</v>
      </c>
      <c r="D99" s="3">
        <v>4.3605576850308433E-4</v>
      </c>
      <c r="E99"/>
      <c r="F99"/>
      <c r="G99"/>
      <c r="H99"/>
      <c r="I99"/>
      <c r="J99" s="3"/>
      <c r="K99"/>
      <c r="L99"/>
      <c r="M99"/>
      <c r="N99"/>
      <c r="O99"/>
      <c r="P99"/>
      <c r="Q99"/>
      <c r="S99" s="200" t="s">
        <v>18</v>
      </c>
      <c r="T99" s="3">
        <v>1.1180611534471463E-3</v>
      </c>
      <c r="U99" s="3">
        <v>0</v>
      </c>
      <c r="V99" s="3">
        <v>6.5002991071540315E-4</v>
      </c>
      <c r="W99"/>
      <c r="X99" s="2" t="s">
        <v>1179</v>
      </c>
      <c r="Y99" s="3">
        <v>1.5695907928306577E-3</v>
      </c>
      <c r="Z99" s="3">
        <v>0</v>
      </c>
      <c r="AA99" s="3">
        <v>7.3302320713002588E-4</v>
      </c>
      <c r="AB99"/>
      <c r="AC99" s="200" t="s">
        <v>35</v>
      </c>
      <c r="AD99" s="3">
        <v>1.8090612473321287E-4</v>
      </c>
      <c r="AE99" s="3">
        <v>1.8090612473321287E-4</v>
      </c>
      <c r="AF99"/>
      <c r="AG99"/>
      <c r="AI99"/>
      <c r="AJ99"/>
      <c r="AK99"/>
      <c r="AL99"/>
    </row>
    <row r="100" spans="1:38" x14ac:dyDescent="0.25">
      <c r="A100" s="2" t="s">
        <v>482</v>
      </c>
      <c r="B100" s="3">
        <v>0.19849003913535318</v>
      </c>
      <c r="C100" s="3">
        <v>0.29256738892740358</v>
      </c>
      <c r="D100" s="3">
        <v>0.25386080800599869</v>
      </c>
      <c r="E100"/>
      <c r="F100"/>
      <c r="G100"/>
      <c r="H100"/>
      <c r="I100"/>
      <c r="J100" s="3"/>
      <c r="K100"/>
      <c r="L100"/>
      <c r="M100"/>
      <c r="N100"/>
      <c r="O100"/>
      <c r="P100"/>
      <c r="Q100"/>
      <c r="S100" s="2" t="s">
        <v>1180</v>
      </c>
      <c r="T100" s="3">
        <v>1.1180611534471463E-3</v>
      </c>
      <c r="U100" s="3">
        <v>0</v>
      </c>
      <c r="V100" s="3">
        <v>6.5002991071540315E-4</v>
      </c>
      <c r="W100"/>
      <c r="X100" s="2" t="s">
        <v>326</v>
      </c>
      <c r="Y100" s="3"/>
      <c r="Z100" s="3"/>
      <c r="AA100" s="3"/>
      <c r="AB100"/>
      <c r="AC100" s="2" t="s">
        <v>1156</v>
      </c>
      <c r="AD100" s="3">
        <v>1.8187687434849267E-4</v>
      </c>
      <c r="AE100" s="3">
        <v>1.8187687434849267E-4</v>
      </c>
      <c r="AF100"/>
      <c r="AG100"/>
      <c r="AI100"/>
      <c r="AJ100"/>
      <c r="AK100"/>
      <c r="AL100"/>
    </row>
    <row r="101" spans="1:38" x14ac:dyDescent="0.25">
      <c r="A101" s="2" t="s">
        <v>325</v>
      </c>
      <c r="B101" s="3"/>
      <c r="C101" s="3"/>
      <c r="D101" s="3"/>
      <c r="E101"/>
      <c r="F101"/>
      <c r="G101"/>
      <c r="H101"/>
      <c r="I101"/>
      <c r="J101" s="3"/>
      <c r="K101"/>
      <c r="L101"/>
      <c r="M101"/>
      <c r="N101"/>
      <c r="O101"/>
      <c r="P101"/>
      <c r="Q101"/>
      <c r="S101" s="2" t="s">
        <v>327</v>
      </c>
      <c r="T101" s="3"/>
      <c r="U101" s="3"/>
      <c r="V101" s="3"/>
      <c r="W101"/>
      <c r="X101" s="200" t="s">
        <v>18</v>
      </c>
      <c r="Y101" s="3">
        <v>1.1180611534471463E-3</v>
      </c>
      <c r="Z101" s="3">
        <v>0</v>
      </c>
      <c r="AA101" s="3">
        <v>5.2215187309380808E-4</v>
      </c>
      <c r="AB101"/>
      <c r="AC101" s="2" t="s">
        <v>344</v>
      </c>
      <c r="AD101" s="3"/>
      <c r="AE101" s="3"/>
      <c r="AF101"/>
      <c r="AG101"/>
      <c r="AI101"/>
      <c r="AJ101"/>
      <c r="AK101"/>
      <c r="AL101"/>
    </row>
    <row r="102" spans="1:38" x14ac:dyDescent="0.25">
      <c r="A102" s="200" t="s">
        <v>18</v>
      </c>
      <c r="B102" s="3">
        <v>1.5695907928306577E-3</v>
      </c>
      <c r="C102" s="3">
        <v>0</v>
      </c>
      <c r="D102" s="3">
        <v>6.4578236069024136E-4</v>
      </c>
      <c r="E102"/>
      <c r="F102"/>
      <c r="G102"/>
      <c r="H102"/>
      <c r="I102"/>
      <c r="J102" s="3"/>
      <c r="K102"/>
      <c r="L102"/>
      <c r="M102"/>
      <c r="N102"/>
      <c r="O102"/>
      <c r="P102"/>
      <c r="Q102"/>
      <c r="S102" s="200" t="s">
        <v>18</v>
      </c>
      <c r="T102" s="3">
        <v>1.9127199054402991E-3</v>
      </c>
      <c r="U102" s="3">
        <v>0</v>
      </c>
      <c r="V102" s="3">
        <v>1.1120368018543336E-3</v>
      </c>
      <c r="W102"/>
      <c r="X102" s="2" t="s">
        <v>1180</v>
      </c>
      <c r="Y102" s="3">
        <v>1.1180611534471463E-3</v>
      </c>
      <c r="Z102" s="3">
        <v>0</v>
      </c>
      <c r="AA102" s="3">
        <v>5.2215187309380808E-4</v>
      </c>
      <c r="AB102"/>
      <c r="AC102" s="200" t="s">
        <v>374</v>
      </c>
      <c r="AD102" s="3">
        <v>6.7259080487242807E-6</v>
      </c>
      <c r="AE102" s="3">
        <v>6.7259080487242807E-6</v>
      </c>
      <c r="AF102"/>
      <c r="AG102"/>
      <c r="AI102"/>
      <c r="AJ102"/>
      <c r="AK102"/>
      <c r="AL102"/>
    </row>
    <row r="103" spans="1:38" x14ac:dyDescent="0.25">
      <c r="A103" s="2" t="s">
        <v>1179</v>
      </c>
      <c r="B103" s="3">
        <v>1.5695907928306577E-3</v>
      </c>
      <c r="C103" s="3">
        <v>0</v>
      </c>
      <c r="D103" s="3">
        <v>6.4578236069024136E-4</v>
      </c>
      <c r="E103"/>
      <c r="F103"/>
      <c r="G103"/>
      <c r="H103"/>
      <c r="I103"/>
      <c r="J103" s="3"/>
      <c r="K103"/>
      <c r="L103"/>
      <c r="M103"/>
      <c r="N103"/>
      <c r="O103"/>
      <c r="P103"/>
      <c r="Q103"/>
      <c r="S103" s="2" t="s">
        <v>1181</v>
      </c>
      <c r="T103" s="3">
        <v>1.9127199054402991E-3</v>
      </c>
      <c r="U103" s="3">
        <v>0</v>
      </c>
      <c r="V103" s="3">
        <v>1.1120368018543336E-3</v>
      </c>
      <c r="W103"/>
      <c r="X103" s="2" t="s">
        <v>327</v>
      </c>
      <c r="Y103" s="3"/>
      <c r="Z103" s="3"/>
      <c r="AA103" s="3"/>
      <c r="AB103"/>
      <c r="AC103" s="200" t="s">
        <v>37</v>
      </c>
      <c r="AD103" s="3">
        <v>6.4901545707277591E-5</v>
      </c>
      <c r="AE103" s="3">
        <v>6.4901545707277591E-5</v>
      </c>
      <c r="AF103"/>
      <c r="AG103"/>
      <c r="AI103"/>
      <c r="AJ103"/>
      <c r="AK103"/>
      <c r="AL103"/>
    </row>
    <row r="104" spans="1:38" x14ac:dyDescent="0.25">
      <c r="A104" s="2" t="s">
        <v>326</v>
      </c>
      <c r="B104" s="3"/>
      <c r="C104" s="3"/>
      <c r="D104" s="3"/>
      <c r="E104"/>
      <c r="F104"/>
      <c r="G104"/>
      <c r="H104"/>
      <c r="I104"/>
      <c r="J104" s="3"/>
      <c r="K104"/>
      <c r="L104"/>
      <c r="M104"/>
      <c r="N104"/>
      <c r="O104"/>
      <c r="P104"/>
      <c r="Q104"/>
      <c r="S104" s="2" t="s">
        <v>285</v>
      </c>
      <c r="T104" s="3"/>
      <c r="U104" s="3"/>
      <c r="V104" s="3"/>
      <c r="W104"/>
      <c r="X104" s="200" t="s">
        <v>18</v>
      </c>
      <c r="Y104" s="3">
        <v>1.9127199054402991E-3</v>
      </c>
      <c r="Z104" s="3">
        <v>0</v>
      </c>
      <c r="AA104" s="3">
        <v>8.9326981645881519E-4</v>
      </c>
      <c r="AB104"/>
      <c r="AC104" s="200" t="s">
        <v>39</v>
      </c>
      <c r="AD104" s="3">
        <v>1.0678245768077723E-5</v>
      </c>
      <c r="AE104" s="3">
        <v>1.0678245768077723E-5</v>
      </c>
      <c r="AF104"/>
      <c r="AG104"/>
      <c r="AI104"/>
      <c r="AJ104"/>
      <c r="AK104"/>
      <c r="AL104"/>
    </row>
    <row r="105" spans="1:38" x14ac:dyDescent="0.25">
      <c r="A105" s="200" t="s">
        <v>18</v>
      </c>
      <c r="B105" s="3">
        <v>1.1180611534471463E-3</v>
      </c>
      <c r="C105" s="3">
        <v>0</v>
      </c>
      <c r="D105" s="3">
        <v>4.6000790420478154E-4</v>
      </c>
      <c r="E105"/>
      <c r="F105"/>
      <c r="G105"/>
      <c r="H105"/>
      <c r="I105"/>
      <c r="J105" s="3"/>
      <c r="K105"/>
      <c r="L105"/>
      <c r="M105"/>
      <c r="N105"/>
      <c r="O105"/>
      <c r="P105"/>
      <c r="Q105"/>
      <c r="S105" s="200" t="s">
        <v>18</v>
      </c>
      <c r="T105" s="3">
        <v>3.1956436739103963E-2</v>
      </c>
      <c r="U105" s="3">
        <v>0</v>
      </c>
      <c r="V105" s="3">
        <v>1.8579162379675822E-2</v>
      </c>
      <c r="W105"/>
      <c r="X105" s="2" t="s">
        <v>1181</v>
      </c>
      <c r="Y105" s="3">
        <v>1.9127199054402991E-3</v>
      </c>
      <c r="Z105" s="3">
        <v>0</v>
      </c>
      <c r="AA105" s="3">
        <v>8.9326981645881519E-4</v>
      </c>
      <c r="AB105"/>
      <c r="AC105" s="200" t="s">
        <v>390</v>
      </c>
      <c r="AD105" s="3">
        <v>2.5794204063148788E-5</v>
      </c>
      <c r="AE105" s="3">
        <v>2.5794204063148788E-5</v>
      </c>
      <c r="AF105"/>
      <c r="AG105"/>
      <c r="AI105"/>
      <c r="AJ105"/>
      <c r="AK105"/>
      <c r="AL105"/>
    </row>
    <row r="106" spans="1:38" x14ac:dyDescent="0.25">
      <c r="A106" s="2" t="s">
        <v>1180</v>
      </c>
      <c r="B106" s="3">
        <v>1.1180611534471463E-3</v>
      </c>
      <c r="C106" s="3">
        <v>0</v>
      </c>
      <c r="D106" s="3">
        <v>4.6000790420478154E-4</v>
      </c>
      <c r="E106"/>
      <c r="F106"/>
      <c r="G106"/>
      <c r="H106"/>
      <c r="I106"/>
      <c r="J106" s="3"/>
      <c r="K106"/>
      <c r="L106"/>
      <c r="M106"/>
      <c r="N106"/>
      <c r="O106"/>
      <c r="P106"/>
      <c r="Q106"/>
      <c r="S106" s="2" t="s">
        <v>1182</v>
      </c>
      <c r="T106" s="3">
        <v>3.1956436739103963E-2</v>
      </c>
      <c r="U106" s="3">
        <v>0</v>
      </c>
      <c r="V106" s="3">
        <v>1.8579162379675822E-2</v>
      </c>
      <c r="W106"/>
      <c r="X106" s="2" t="s">
        <v>285</v>
      </c>
      <c r="Y106" s="3"/>
      <c r="Z106" s="3"/>
      <c r="AA106" s="3"/>
      <c r="AB106"/>
      <c r="AC106" s="200" t="s">
        <v>35</v>
      </c>
      <c r="AD106" s="3">
        <v>3.3754004212151918E-3</v>
      </c>
      <c r="AE106" s="3">
        <v>3.3754004212151918E-3</v>
      </c>
      <c r="AF106"/>
      <c r="AG106"/>
      <c r="AI106"/>
      <c r="AJ106"/>
      <c r="AK106"/>
      <c r="AL106"/>
    </row>
    <row r="107" spans="1:38" x14ac:dyDescent="0.25">
      <c r="A107" s="2" t="s">
        <v>327</v>
      </c>
      <c r="B107" s="3"/>
      <c r="C107" s="3"/>
      <c r="D107" s="3"/>
      <c r="E107"/>
      <c r="F107"/>
      <c r="G107"/>
      <c r="H107"/>
      <c r="I107"/>
      <c r="J107" s="3"/>
      <c r="K107"/>
      <c r="L107"/>
      <c r="M107"/>
      <c r="N107"/>
      <c r="O107"/>
      <c r="P107"/>
      <c r="Q107"/>
      <c r="S107" s="2" t="s">
        <v>328</v>
      </c>
      <c r="T107" s="3"/>
      <c r="U107" s="3"/>
      <c r="V107" s="3"/>
      <c r="W107"/>
      <c r="X107" s="200" t="s">
        <v>18</v>
      </c>
      <c r="Y107" s="3">
        <v>3.1956436739103963E-2</v>
      </c>
      <c r="Z107" s="3">
        <v>0</v>
      </c>
      <c r="AA107" s="3">
        <v>1.492415083851289E-2</v>
      </c>
      <c r="AB107"/>
      <c r="AC107" s="2" t="s">
        <v>1157</v>
      </c>
      <c r="AD107" s="3">
        <v>3.4835003248024203E-3</v>
      </c>
      <c r="AE107" s="3">
        <v>3.4835003248024203E-3</v>
      </c>
      <c r="AF107"/>
      <c r="AG107"/>
      <c r="AI107"/>
      <c r="AJ107"/>
      <c r="AK107"/>
      <c r="AL107"/>
    </row>
    <row r="108" spans="1:38" x14ac:dyDescent="0.25">
      <c r="A108" s="200" t="s">
        <v>18</v>
      </c>
      <c r="B108" s="3">
        <v>1.9127199054402991E-3</v>
      </c>
      <c r="C108" s="3">
        <v>0</v>
      </c>
      <c r="D108" s="3">
        <v>7.8695720025653631E-4</v>
      </c>
      <c r="E108"/>
      <c r="F108"/>
      <c r="G108"/>
      <c r="H108"/>
      <c r="I108"/>
      <c r="J108" s="3"/>
      <c r="K108"/>
      <c r="L108"/>
      <c r="M108"/>
      <c r="N108"/>
      <c r="O108"/>
      <c r="P108"/>
      <c r="Q108"/>
      <c r="S108" s="200" t="s">
        <v>18</v>
      </c>
      <c r="T108" s="3">
        <v>5.4683471425666123E-3</v>
      </c>
      <c r="U108" s="3">
        <v>0</v>
      </c>
      <c r="V108" s="3">
        <v>3.1792439920518526E-3</v>
      </c>
      <c r="W108"/>
      <c r="X108" s="2" t="s">
        <v>1182</v>
      </c>
      <c r="Y108" s="3">
        <v>3.1956436739103963E-2</v>
      </c>
      <c r="Z108" s="3">
        <v>0</v>
      </c>
      <c r="AA108" s="3">
        <v>1.492415083851289E-2</v>
      </c>
      <c r="AB108"/>
      <c r="AC108" s="2" t="s">
        <v>349</v>
      </c>
      <c r="AD108" s="3"/>
      <c r="AE108" s="3"/>
      <c r="AF108"/>
      <c r="AG108"/>
      <c r="AI108"/>
      <c r="AJ108"/>
      <c r="AK108"/>
      <c r="AL108"/>
    </row>
    <row r="109" spans="1:38" x14ac:dyDescent="0.25">
      <c r="A109" s="2" t="s">
        <v>1181</v>
      </c>
      <c r="B109" s="3">
        <v>1.9127199054402991E-3</v>
      </c>
      <c r="C109" s="3">
        <v>0</v>
      </c>
      <c r="D109" s="3">
        <v>7.8695720025653631E-4</v>
      </c>
      <c r="E109"/>
      <c r="F109"/>
      <c r="G109"/>
      <c r="H109"/>
      <c r="I109"/>
      <c r="J109" s="3"/>
      <c r="K109"/>
      <c r="L109"/>
      <c r="M109"/>
      <c r="N109"/>
      <c r="O109"/>
      <c r="P109"/>
      <c r="Q109"/>
      <c r="S109" s="200" t="s">
        <v>35</v>
      </c>
      <c r="T109" s="3">
        <v>0</v>
      </c>
      <c r="U109" s="3">
        <v>3.3992709193042178E-4</v>
      </c>
      <c r="V109" s="3">
        <v>1.4229677758132014E-4</v>
      </c>
      <c r="W109"/>
      <c r="X109" s="2" t="s">
        <v>328</v>
      </c>
      <c r="Y109" s="3"/>
      <c r="Z109" s="3"/>
      <c r="AA109" s="3"/>
      <c r="AB109"/>
      <c r="AC109" s="200" t="s">
        <v>39</v>
      </c>
      <c r="AD109" s="3">
        <v>0</v>
      </c>
      <c r="AE109" s="3">
        <v>0</v>
      </c>
      <c r="AF109"/>
      <c r="AG109"/>
      <c r="AI109"/>
      <c r="AJ109"/>
      <c r="AK109"/>
      <c r="AL109"/>
    </row>
    <row r="110" spans="1:38" x14ac:dyDescent="0.25">
      <c r="A110" s="2" t="s">
        <v>285</v>
      </c>
      <c r="B110" s="3"/>
      <c r="C110" s="3"/>
      <c r="D110" s="3"/>
      <c r="E110"/>
      <c r="F110"/>
      <c r="G110"/>
      <c r="H110"/>
      <c r="I110"/>
      <c r="J110" s="3"/>
      <c r="K110"/>
      <c r="L110"/>
      <c r="M110"/>
      <c r="N110"/>
      <c r="O110"/>
      <c r="P110"/>
      <c r="Q110"/>
      <c r="S110" s="2" t="s">
        <v>1153</v>
      </c>
      <c r="T110" s="3">
        <v>5.4683471425666123E-3</v>
      </c>
      <c r="U110" s="3">
        <v>3.3992709193042178E-4</v>
      </c>
      <c r="V110" s="3">
        <v>3.3215407696331727E-3</v>
      </c>
      <c r="W110"/>
      <c r="X110" s="200" t="s">
        <v>18</v>
      </c>
      <c r="Y110" s="3">
        <v>5.4683471425666123E-3</v>
      </c>
      <c r="Z110" s="3">
        <v>0</v>
      </c>
      <c r="AA110" s="3">
        <v>2.5538027990821411E-3</v>
      </c>
      <c r="AB110"/>
      <c r="AC110" s="200" t="s">
        <v>35</v>
      </c>
      <c r="AD110" s="3">
        <v>1.0643576138960588E-5</v>
      </c>
      <c r="AE110" s="3">
        <v>1.0643576138960588E-5</v>
      </c>
      <c r="AF110"/>
      <c r="AG110"/>
      <c r="AI110"/>
      <c r="AJ110"/>
      <c r="AK110"/>
      <c r="AL110"/>
    </row>
    <row r="111" spans="1:38" x14ac:dyDescent="0.25">
      <c r="A111" s="200" t="s">
        <v>18</v>
      </c>
      <c r="B111" s="3">
        <v>3.1956436739103963E-2</v>
      </c>
      <c r="C111" s="3">
        <v>0</v>
      </c>
      <c r="D111" s="3">
        <v>1.3147951205428242E-2</v>
      </c>
      <c r="E111"/>
      <c r="F111"/>
      <c r="G111"/>
      <c r="H111"/>
      <c r="I111"/>
      <c r="J111" s="3"/>
      <c r="K111"/>
      <c r="L111"/>
      <c r="M111"/>
      <c r="N111"/>
      <c r="O111"/>
      <c r="P111"/>
      <c r="Q111"/>
      <c r="S111" s="2" t="s">
        <v>329</v>
      </c>
      <c r="T111" s="3"/>
      <c r="U111" s="3"/>
      <c r="V111" s="3"/>
      <c r="W111"/>
      <c r="X111" s="200" t="s">
        <v>35</v>
      </c>
      <c r="Y111" s="3">
        <v>0</v>
      </c>
      <c r="Z111" s="3">
        <v>2.1445885061654527E-4</v>
      </c>
      <c r="AA111" s="3">
        <v>1.1430324624220201E-4</v>
      </c>
      <c r="AB111"/>
      <c r="AC111" s="200" t="s">
        <v>391</v>
      </c>
      <c r="AD111" s="3">
        <v>1.1465246349036699E-4</v>
      </c>
      <c r="AE111" s="3">
        <v>1.1465246349036699E-4</v>
      </c>
      <c r="AF111"/>
      <c r="AG111"/>
      <c r="AI111"/>
      <c r="AJ111"/>
      <c r="AK111"/>
      <c r="AL111"/>
    </row>
    <row r="112" spans="1:38" x14ac:dyDescent="0.25">
      <c r="A112" s="2" t="s">
        <v>1182</v>
      </c>
      <c r="B112" s="3">
        <v>3.1956436739103963E-2</v>
      </c>
      <c r="C112" s="3">
        <v>0</v>
      </c>
      <c r="D112" s="3">
        <v>1.3147951205428242E-2</v>
      </c>
      <c r="E112"/>
      <c r="F112"/>
      <c r="G112"/>
      <c r="H112"/>
      <c r="I112"/>
      <c r="J112" s="3"/>
      <c r="K112"/>
      <c r="L112"/>
      <c r="M112"/>
      <c r="N112"/>
      <c r="O112"/>
      <c r="P112"/>
      <c r="Q112"/>
      <c r="S112" s="200" t="s">
        <v>18</v>
      </c>
      <c r="T112" s="3">
        <v>4.9382769199728456E-2</v>
      </c>
      <c r="U112" s="3">
        <v>0</v>
      </c>
      <c r="V112" s="3">
        <v>2.8710663057033139E-2</v>
      </c>
      <c r="W112"/>
      <c r="X112" s="2" t="s">
        <v>1153</v>
      </c>
      <c r="Y112" s="3">
        <v>5.4683471425666123E-3</v>
      </c>
      <c r="Z112" s="3">
        <v>2.1445885061654527E-4</v>
      </c>
      <c r="AA112" s="3">
        <v>2.6681060453243432E-3</v>
      </c>
      <c r="AB112"/>
      <c r="AC112" s="2" t="s">
        <v>486</v>
      </c>
      <c r="AD112" s="3">
        <v>1.2529603962932757E-4</v>
      </c>
      <c r="AE112" s="3">
        <v>1.2529603962932757E-4</v>
      </c>
      <c r="AF112"/>
      <c r="AG112"/>
      <c r="AI112"/>
      <c r="AJ112"/>
      <c r="AK112"/>
      <c r="AL112"/>
    </row>
    <row r="113" spans="1:38" x14ac:dyDescent="0.25">
      <c r="A113" s="2" t="s">
        <v>328</v>
      </c>
      <c r="B113" s="3"/>
      <c r="C113" s="3"/>
      <c r="D113" s="3"/>
      <c r="E113"/>
      <c r="F113"/>
      <c r="G113"/>
      <c r="H113"/>
      <c r="I113"/>
      <c r="J113" s="3"/>
      <c r="K113"/>
      <c r="L113"/>
      <c r="M113"/>
      <c r="N113"/>
      <c r="O113"/>
      <c r="P113"/>
      <c r="Q113"/>
      <c r="S113" s="200" t="s">
        <v>42</v>
      </c>
      <c r="T113" s="3">
        <v>1.0743668095193269E-4</v>
      </c>
      <c r="U113" s="3">
        <v>0</v>
      </c>
      <c r="V113" s="3">
        <v>6.2462644294031835E-5</v>
      </c>
      <c r="W113"/>
      <c r="X113" s="2" t="s">
        <v>329</v>
      </c>
      <c r="Y113" s="3"/>
      <c r="Z113" s="3"/>
      <c r="AA113" s="3"/>
      <c r="AB113"/>
      <c r="AC113" s="2" t="s">
        <v>362</v>
      </c>
      <c r="AD113" s="3"/>
      <c r="AE113" s="3"/>
      <c r="AF113"/>
      <c r="AG113"/>
      <c r="AI113"/>
      <c r="AJ113"/>
      <c r="AK113"/>
      <c r="AL113"/>
    </row>
    <row r="114" spans="1:38" x14ac:dyDescent="0.25">
      <c r="A114" s="200" t="s">
        <v>18</v>
      </c>
      <c r="B114" s="3">
        <v>5.4683471425666123E-3</v>
      </c>
      <c r="C114" s="3">
        <v>0</v>
      </c>
      <c r="D114" s="3">
        <v>2.2498616473353634E-3</v>
      </c>
      <c r="E114"/>
      <c r="F114"/>
      <c r="G114"/>
      <c r="H114"/>
      <c r="I114"/>
      <c r="J114" s="3"/>
      <c r="K114"/>
      <c r="L114"/>
      <c r="M114"/>
      <c r="N114"/>
      <c r="O114"/>
      <c r="P114"/>
      <c r="Q114"/>
      <c r="S114" s="200" t="s">
        <v>43</v>
      </c>
      <c r="T114" s="3">
        <v>1.1928555892294728E-3</v>
      </c>
      <c r="U114" s="3">
        <v>0</v>
      </c>
      <c r="V114" s="3">
        <v>6.9351467025981282E-4</v>
      </c>
      <c r="W114"/>
      <c r="X114" s="200" t="s">
        <v>18</v>
      </c>
      <c r="Y114" s="3">
        <v>4.9382769199728456E-2</v>
      </c>
      <c r="Z114" s="3">
        <v>0</v>
      </c>
      <c r="AA114" s="3">
        <v>2.3062517963975002E-2</v>
      </c>
      <c r="AB114"/>
      <c r="AC114" s="200" t="s">
        <v>374</v>
      </c>
      <c r="AD114" s="3">
        <v>1.6190716797702265E-5</v>
      </c>
      <c r="AE114" s="3">
        <v>1.6190716797702265E-5</v>
      </c>
      <c r="AF114"/>
      <c r="AG114"/>
      <c r="AI114"/>
      <c r="AJ114"/>
      <c r="AK114"/>
      <c r="AL114"/>
    </row>
    <row r="115" spans="1:38" x14ac:dyDescent="0.25">
      <c r="A115" s="200" t="s">
        <v>35</v>
      </c>
      <c r="B115" s="3">
        <v>0</v>
      </c>
      <c r="C115" s="3">
        <v>1.7109272327241044E-4</v>
      </c>
      <c r="D115" s="3">
        <v>1.0069943144344902E-4</v>
      </c>
      <c r="E115"/>
      <c r="F115"/>
      <c r="G115"/>
      <c r="H115"/>
      <c r="I115"/>
      <c r="J115" s="3"/>
      <c r="K115"/>
      <c r="L115"/>
      <c r="M115"/>
      <c r="N115"/>
      <c r="O115"/>
      <c r="P115"/>
      <c r="Q115"/>
      <c r="S115" s="200" t="s">
        <v>44</v>
      </c>
      <c r="T115" s="3">
        <v>2.0523490368449341E-4</v>
      </c>
      <c r="U115" s="3">
        <v>0</v>
      </c>
      <c r="V115" s="3">
        <v>1.1932158246120675E-4</v>
      </c>
      <c r="W115"/>
      <c r="X115" s="200" t="s">
        <v>42</v>
      </c>
      <c r="Y115" s="3">
        <v>1.0743668095193269E-4</v>
      </c>
      <c r="Z115" s="3">
        <v>0</v>
      </c>
      <c r="AA115" s="3">
        <v>5.0174593782347535E-5</v>
      </c>
      <c r="AB115"/>
      <c r="AC115" s="200" t="s">
        <v>37</v>
      </c>
      <c r="AD115" s="3">
        <v>1.9614689369310562E-3</v>
      </c>
      <c r="AE115" s="3">
        <v>1.9614689369310562E-3</v>
      </c>
      <c r="AF115"/>
      <c r="AG115"/>
      <c r="AI115"/>
      <c r="AJ115"/>
      <c r="AK115"/>
      <c r="AL115"/>
    </row>
    <row r="116" spans="1:38" x14ac:dyDescent="0.25">
      <c r="A116" s="2" t="s">
        <v>1153</v>
      </c>
      <c r="B116" s="3">
        <v>5.4683471425666123E-3</v>
      </c>
      <c r="C116" s="3">
        <v>1.7109272327241044E-4</v>
      </c>
      <c r="D116" s="3">
        <v>2.3505610787788122E-3</v>
      </c>
      <c r="E116"/>
      <c r="F116"/>
      <c r="G116"/>
      <c r="H116"/>
      <c r="I116"/>
      <c r="J116" s="3"/>
      <c r="K116"/>
      <c r="L116"/>
      <c r="M116"/>
      <c r="N116"/>
      <c r="O116"/>
      <c r="P116"/>
      <c r="Q116"/>
      <c r="S116" s="200" t="s">
        <v>45</v>
      </c>
      <c r="T116" s="3">
        <v>8.0493977409381624E-4</v>
      </c>
      <c r="U116" s="3">
        <v>0</v>
      </c>
      <c r="V116" s="3">
        <v>4.6798417767424452E-4</v>
      </c>
      <c r="W116"/>
      <c r="X116" s="200" t="s">
        <v>43</v>
      </c>
      <c r="Y116" s="3">
        <v>1.1928555892294728E-3</v>
      </c>
      <c r="Z116" s="3">
        <v>0</v>
      </c>
      <c r="AA116" s="3">
        <v>5.5708203288008351E-4</v>
      </c>
      <c r="AB116"/>
      <c r="AC116" s="200" t="s">
        <v>39</v>
      </c>
      <c r="AD116" s="3">
        <v>2.2881955217309409E-5</v>
      </c>
      <c r="AE116" s="3">
        <v>2.2881955217309409E-5</v>
      </c>
      <c r="AF116"/>
      <c r="AG116"/>
      <c r="AI116"/>
      <c r="AJ116"/>
      <c r="AK116"/>
      <c r="AL116"/>
    </row>
    <row r="117" spans="1:38" x14ac:dyDescent="0.25">
      <c r="A117" s="2" t="s">
        <v>329</v>
      </c>
      <c r="B117" s="3"/>
      <c r="C117" s="3"/>
      <c r="D117" s="3"/>
      <c r="E117"/>
      <c r="F117"/>
      <c r="G117"/>
      <c r="H117"/>
      <c r="I117"/>
      <c r="J117" s="3"/>
      <c r="K117"/>
      <c r="L117"/>
      <c r="M117"/>
      <c r="N117"/>
      <c r="O117"/>
      <c r="P117"/>
      <c r="Q117"/>
      <c r="S117" s="200" t="s">
        <v>37</v>
      </c>
      <c r="T117" s="3">
        <v>0</v>
      </c>
      <c r="U117" s="3">
        <v>3.7960458866769286E-3</v>
      </c>
      <c r="V117" s="3">
        <v>1.5890616254132406E-3</v>
      </c>
      <c r="W117"/>
      <c r="X117" s="200" t="s">
        <v>44</v>
      </c>
      <c r="Y117" s="3">
        <v>2.0523490368449341E-4</v>
      </c>
      <c r="Z117" s="3">
        <v>0</v>
      </c>
      <c r="AA117" s="3">
        <v>9.5847878313886376E-5</v>
      </c>
      <c r="AB117"/>
      <c r="AC117" s="200" t="s">
        <v>38</v>
      </c>
      <c r="AD117" s="3">
        <v>1.3867851646854186E-6</v>
      </c>
      <c r="AE117" s="3">
        <v>1.3867851646854186E-6</v>
      </c>
      <c r="AF117"/>
      <c r="AG117"/>
      <c r="AI117"/>
      <c r="AJ117"/>
      <c r="AK117"/>
      <c r="AL117"/>
    </row>
    <row r="118" spans="1:38" x14ac:dyDescent="0.25">
      <c r="A118" s="200" t="s">
        <v>18</v>
      </c>
      <c r="B118" s="3">
        <v>4.9382769199728456E-2</v>
      </c>
      <c r="C118" s="3">
        <v>0</v>
      </c>
      <c r="D118" s="3">
        <v>2.0317729574413114E-2</v>
      </c>
      <c r="E118"/>
      <c r="F118"/>
      <c r="G118"/>
      <c r="H118"/>
      <c r="I118"/>
      <c r="J118"/>
      <c r="K118"/>
      <c r="L118"/>
      <c r="M118"/>
      <c r="N118"/>
      <c r="O118"/>
      <c r="P118"/>
      <c r="Q118"/>
      <c r="S118" s="200" t="s">
        <v>34</v>
      </c>
      <c r="T118" s="3">
        <v>0</v>
      </c>
      <c r="U118" s="3">
        <v>8.5673407259964533E-6</v>
      </c>
      <c r="V118" s="3">
        <v>3.5863719211884311E-6</v>
      </c>
      <c r="X118" s="200" t="s">
        <v>45</v>
      </c>
      <c r="Y118" s="3">
        <v>8.0493977409381624E-4</v>
      </c>
      <c r="Z118" s="3">
        <v>0</v>
      </c>
      <c r="AA118" s="3">
        <v>3.7591933989920308E-4</v>
      </c>
      <c r="AB118"/>
      <c r="AC118" s="200" t="s">
        <v>390</v>
      </c>
      <c r="AD118" s="3">
        <v>1.5462273220322131E-2</v>
      </c>
      <c r="AE118" s="3">
        <v>1.5462273220322131E-2</v>
      </c>
      <c r="AF118"/>
      <c r="AG118"/>
      <c r="AI118"/>
      <c r="AJ118"/>
      <c r="AK118"/>
      <c r="AL118"/>
    </row>
    <row r="119" spans="1:38" x14ac:dyDescent="0.25">
      <c r="A119" s="200" t="s">
        <v>42</v>
      </c>
      <c r="B119" s="3">
        <v>1.0743668095193269E-4</v>
      </c>
      <c r="C119" s="3">
        <v>0</v>
      </c>
      <c r="D119" s="3">
        <v>4.4203058381057174E-5</v>
      </c>
      <c r="E119"/>
      <c r="F119"/>
      <c r="G119"/>
      <c r="H119"/>
      <c r="I119"/>
      <c r="J119"/>
      <c r="K119"/>
      <c r="L119"/>
      <c r="M119"/>
      <c r="N119"/>
      <c r="O119"/>
      <c r="P119"/>
      <c r="Q119"/>
      <c r="S119" s="200" t="s">
        <v>35</v>
      </c>
      <c r="T119" s="3">
        <v>0</v>
      </c>
      <c r="U119" s="3">
        <v>8.2196048599668156E-2</v>
      </c>
      <c r="V119" s="3">
        <v>3.4408063150331111E-2</v>
      </c>
      <c r="X119" s="200" t="s">
        <v>37</v>
      </c>
      <c r="Y119" s="3">
        <v>0</v>
      </c>
      <c r="Z119" s="3">
        <v>2.3949124887963692E-3</v>
      </c>
      <c r="AA119" s="3">
        <v>1.2764512686159895E-3</v>
      </c>
      <c r="AB119"/>
      <c r="AC119" s="200" t="s">
        <v>34</v>
      </c>
      <c r="AD119" s="3">
        <v>1.8374903432081797E-6</v>
      </c>
      <c r="AE119" s="3">
        <v>1.8374903432081797E-6</v>
      </c>
      <c r="AF119"/>
      <c r="AG119"/>
      <c r="AI119"/>
      <c r="AJ119"/>
      <c r="AK119"/>
      <c r="AL119"/>
    </row>
    <row r="120" spans="1:38" x14ac:dyDescent="0.25">
      <c r="A120" s="200" t="s">
        <v>43</v>
      </c>
      <c r="B120" s="3">
        <v>1.1928555892294728E-3</v>
      </c>
      <c r="C120" s="3">
        <v>0</v>
      </c>
      <c r="D120" s="3">
        <v>4.9078084676192903E-4</v>
      </c>
      <c r="E120"/>
      <c r="F120"/>
      <c r="G120"/>
      <c r="H120"/>
      <c r="I120"/>
      <c r="J120"/>
      <c r="K120"/>
      <c r="L120"/>
      <c r="M120"/>
      <c r="N120"/>
      <c r="O120"/>
      <c r="P120"/>
      <c r="Q120"/>
      <c r="S120" s="200" t="s">
        <v>36</v>
      </c>
      <c r="T120" s="3">
        <v>0</v>
      </c>
      <c r="U120" s="3">
        <v>2.1418351814991133E-4</v>
      </c>
      <c r="V120" s="3">
        <v>8.9659298029710777E-5</v>
      </c>
      <c r="X120" s="200" t="s">
        <v>34</v>
      </c>
      <c r="Y120" s="3">
        <v>0</v>
      </c>
      <c r="Z120" s="3">
        <v>5.4051062376446173E-6</v>
      </c>
      <c r="AA120" s="3">
        <v>2.8808379205175616E-6</v>
      </c>
      <c r="AB120"/>
      <c r="AC120" s="200" t="s">
        <v>35</v>
      </c>
      <c r="AD120" s="3">
        <v>7.3034000609284062E-3</v>
      </c>
      <c r="AE120" s="3">
        <v>7.3034000609284062E-3</v>
      </c>
      <c r="AF120"/>
      <c r="AG120"/>
      <c r="AI120"/>
      <c r="AJ120"/>
      <c r="AK120"/>
      <c r="AL120"/>
    </row>
    <row r="121" spans="1:38" x14ac:dyDescent="0.25">
      <c r="A121" s="200" t="s">
        <v>44</v>
      </c>
      <c r="B121" s="3">
        <v>2.0523490368449341E-4</v>
      </c>
      <c r="C121" s="3">
        <v>0</v>
      </c>
      <c r="D121" s="3">
        <v>8.4440531381038643E-5</v>
      </c>
      <c r="E121"/>
      <c r="F121"/>
      <c r="G121"/>
      <c r="H121"/>
      <c r="I121"/>
      <c r="J121"/>
      <c r="K121"/>
      <c r="L121"/>
      <c r="M121"/>
      <c r="N121"/>
      <c r="O121"/>
      <c r="P121"/>
      <c r="Q121"/>
      <c r="S121" s="200" t="s">
        <v>41</v>
      </c>
      <c r="T121" s="3">
        <v>0</v>
      </c>
      <c r="U121" s="3">
        <v>4.4410952488384116E-3</v>
      </c>
      <c r="V121" s="3">
        <v>1.859085544646053E-3</v>
      </c>
      <c r="X121" s="200" t="s">
        <v>35</v>
      </c>
      <c r="Y121" s="3">
        <v>0</v>
      </c>
      <c r="Z121" s="3">
        <v>5.1857208579052183E-2</v>
      </c>
      <c r="AA121" s="3">
        <v>2.7639089105457215E-2</v>
      </c>
      <c r="AB121"/>
      <c r="AC121" s="200" t="s">
        <v>36</v>
      </c>
      <c r="AD121" s="3">
        <v>1.6239254278466254E-4</v>
      </c>
      <c r="AE121" s="3">
        <v>1.6239254278466254E-4</v>
      </c>
      <c r="AF121"/>
      <c r="AG121"/>
      <c r="AI121"/>
      <c r="AJ121"/>
      <c r="AK121"/>
      <c r="AL121"/>
    </row>
    <row r="122" spans="1:38" x14ac:dyDescent="0.25">
      <c r="A122" s="200" t="s">
        <v>45</v>
      </c>
      <c r="B122" s="3">
        <v>8.0493977409381624E-4</v>
      </c>
      <c r="C122" s="3">
        <v>0</v>
      </c>
      <c r="D122" s="3">
        <v>3.3117925379156889E-4</v>
      </c>
      <c r="E122"/>
      <c r="F122"/>
      <c r="G122"/>
      <c r="H122"/>
      <c r="I122"/>
      <c r="J122"/>
      <c r="K122"/>
      <c r="L122"/>
      <c r="M122"/>
      <c r="N122"/>
      <c r="O122"/>
      <c r="P122"/>
      <c r="Q122"/>
      <c r="S122" s="2" t="s">
        <v>496</v>
      </c>
      <c r="T122" s="3">
        <v>5.1693236147688171E-2</v>
      </c>
      <c r="U122" s="3">
        <v>9.0655940594059403E-2</v>
      </c>
      <c r="V122" s="3">
        <v>6.8003402122063739E-2</v>
      </c>
      <c r="X122" s="200" t="s">
        <v>36</v>
      </c>
      <c r="Y122" s="3">
        <v>0</v>
      </c>
      <c r="Z122" s="3">
        <v>1.3512765594111541E-4</v>
      </c>
      <c r="AA122" s="3">
        <v>7.2020948012939043E-5</v>
      </c>
      <c r="AB122"/>
      <c r="AC122" s="200" t="s">
        <v>41</v>
      </c>
      <c r="AD122" s="3">
        <v>6.1157225762626961E-5</v>
      </c>
      <c r="AE122" s="3">
        <v>6.1157225762626961E-5</v>
      </c>
      <c r="AF122"/>
      <c r="AG122"/>
      <c r="AI122"/>
      <c r="AJ122"/>
      <c r="AK122"/>
      <c r="AL122"/>
    </row>
    <row r="123" spans="1:38" x14ac:dyDescent="0.25">
      <c r="A123" s="200" t="s">
        <v>374</v>
      </c>
      <c r="B123" s="3">
        <v>0</v>
      </c>
      <c r="C123" s="3">
        <v>2.0748529990546553E-3</v>
      </c>
      <c r="D123" s="3">
        <v>1.2211887994843258E-3</v>
      </c>
      <c r="E123"/>
      <c r="F123"/>
      <c r="G123"/>
      <c r="H123"/>
      <c r="I123"/>
      <c r="J123"/>
      <c r="K123"/>
      <c r="L123"/>
      <c r="M123"/>
      <c r="N123"/>
      <c r="O123"/>
      <c r="P123"/>
      <c r="Q123"/>
      <c r="S123" s="2" t="s">
        <v>366</v>
      </c>
      <c r="T123" s="3"/>
      <c r="U123" s="3"/>
      <c r="V123" s="3"/>
      <c r="X123" s="200" t="s">
        <v>41</v>
      </c>
      <c r="Y123" s="3">
        <v>0</v>
      </c>
      <c r="Z123" s="3">
        <v>2.8018719459390281E-3</v>
      </c>
      <c r="AA123" s="3">
        <v>1.493354357048291E-3</v>
      </c>
      <c r="AB123"/>
      <c r="AC123" s="200" t="s">
        <v>391</v>
      </c>
      <c r="AD123" s="3">
        <v>5.1004571571965016E-3</v>
      </c>
      <c r="AE123" s="3">
        <v>5.1004571571965016E-3</v>
      </c>
      <c r="AF123"/>
      <c r="AG123"/>
      <c r="AI123"/>
      <c r="AJ123"/>
      <c r="AK123"/>
      <c r="AL123"/>
    </row>
    <row r="124" spans="1:38" x14ac:dyDescent="0.25">
      <c r="A124" s="200" t="s">
        <v>37</v>
      </c>
      <c r="B124" s="3">
        <v>0</v>
      </c>
      <c r="C124" s="3">
        <v>1.9106327322434367E-3</v>
      </c>
      <c r="D124" s="3">
        <v>1.1245342651295741E-3</v>
      </c>
      <c r="E124"/>
      <c r="F124"/>
      <c r="G124"/>
      <c r="H124"/>
      <c r="I124"/>
      <c r="J124"/>
      <c r="K124"/>
      <c r="L124"/>
      <c r="M124"/>
      <c r="N124"/>
      <c r="S124" s="200" t="s">
        <v>18</v>
      </c>
      <c r="T124" s="3">
        <v>6.7332791223605484E-2</v>
      </c>
      <c r="U124" s="3">
        <v>0</v>
      </c>
      <c r="V124" s="3">
        <v>3.9146631767283016E-2</v>
      </c>
      <c r="X124" s="200" t="s">
        <v>391</v>
      </c>
      <c r="Y124" s="3">
        <v>0</v>
      </c>
      <c r="Z124" s="3">
        <v>1.6448301313052322E-2</v>
      </c>
      <c r="AA124" s="3">
        <v>8.7666898794183275E-3</v>
      </c>
      <c r="AB124"/>
      <c r="AC124" s="2" t="s">
        <v>1158</v>
      </c>
      <c r="AD124" s="3">
        <v>3.0093446091448289E-2</v>
      </c>
      <c r="AE124" s="3">
        <v>3.0093446091448289E-2</v>
      </c>
      <c r="AF124"/>
      <c r="AG124"/>
      <c r="AI124"/>
      <c r="AJ124"/>
      <c r="AK124"/>
      <c r="AL124"/>
    </row>
    <row r="125" spans="1:38" x14ac:dyDescent="0.25">
      <c r="A125" s="200" t="s">
        <v>390</v>
      </c>
      <c r="B125" s="3">
        <v>0</v>
      </c>
      <c r="C125" s="3">
        <v>7.9993641405642829E-2</v>
      </c>
      <c r="D125" s="3">
        <v>4.7081571060236527E-2</v>
      </c>
      <c r="E125"/>
      <c r="F125"/>
      <c r="G125"/>
      <c r="H125"/>
      <c r="I125"/>
      <c r="J125"/>
      <c r="K125"/>
      <c r="L125"/>
      <c r="M125"/>
      <c r="N125"/>
      <c r="S125" s="200" t="s">
        <v>43</v>
      </c>
      <c r="T125" s="3">
        <v>6.582424399949751E-4</v>
      </c>
      <c r="U125" s="3">
        <v>0</v>
      </c>
      <c r="V125" s="3">
        <v>3.8269577042348218E-4</v>
      </c>
      <c r="X125" s="2" t="s">
        <v>496</v>
      </c>
      <c r="Y125" s="3">
        <v>5.1693236147688171E-2</v>
      </c>
      <c r="Z125" s="3">
        <v>7.3642827089018661E-2</v>
      </c>
      <c r="AA125" s="3">
        <v>6.3392028205323803E-2</v>
      </c>
      <c r="AB125"/>
      <c r="AC125" s="2" t="s">
        <v>22</v>
      </c>
      <c r="AD125" s="3">
        <v>1</v>
      </c>
      <c r="AE125" s="3">
        <v>1</v>
      </c>
      <c r="AF125"/>
      <c r="AG125"/>
      <c r="AI125"/>
      <c r="AJ125"/>
      <c r="AK125"/>
      <c r="AL125"/>
    </row>
    <row r="126" spans="1:38" x14ac:dyDescent="0.25">
      <c r="A126" s="200" t="s">
        <v>34</v>
      </c>
      <c r="B126" s="3">
        <v>0</v>
      </c>
      <c r="C126" s="3">
        <v>4.3121295442770808E-6</v>
      </c>
      <c r="D126" s="3">
        <v>2.53797464388845E-6</v>
      </c>
      <c r="E126"/>
      <c r="F126"/>
      <c r="G126"/>
      <c r="H126"/>
      <c r="I126"/>
      <c r="J126"/>
      <c r="K126"/>
      <c r="L126"/>
      <c r="M126"/>
      <c r="N126"/>
      <c r="S126" s="200" t="s">
        <v>44</v>
      </c>
      <c r="T126" s="3">
        <v>7.0463555222421883E-4</v>
      </c>
      <c r="U126" s="3">
        <v>0</v>
      </c>
      <c r="V126" s="3">
        <v>4.0966827591408679E-4</v>
      </c>
      <c r="X126" s="2" t="s">
        <v>366</v>
      </c>
      <c r="Y126" s="3"/>
      <c r="Z126" s="3"/>
      <c r="AA126" s="3"/>
      <c r="AB126"/>
      <c r="AC126"/>
      <c r="AD126"/>
      <c r="AE126"/>
      <c r="AF126"/>
      <c r="AG126"/>
      <c r="AI126"/>
      <c r="AJ126"/>
      <c r="AK126"/>
    </row>
    <row r="127" spans="1:38" x14ac:dyDescent="0.25">
      <c r="A127" s="200" t="s">
        <v>35</v>
      </c>
      <c r="B127" s="3">
        <v>0</v>
      </c>
      <c r="C127" s="3">
        <v>4.1371064945971266E-2</v>
      </c>
      <c r="D127" s="3">
        <v>2.4349619543060402E-2</v>
      </c>
      <c r="E127"/>
      <c r="F127"/>
      <c r="G127"/>
      <c r="H127"/>
      <c r="I127"/>
      <c r="J127"/>
      <c r="S127" s="200" t="s">
        <v>37</v>
      </c>
      <c r="T127" s="3">
        <v>0</v>
      </c>
      <c r="U127" s="3">
        <v>9.1606290712717073E-3</v>
      </c>
      <c r="V127" s="3">
        <v>3.8347281767307298E-3</v>
      </c>
      <c r="X127" s="200" t="s">
        <v>18</v>
      </c>
      <c r="Y127" s="3">
        <v>6.7332791223605484E-2</v>
      </c>
      <c r="Z127" s="3">
        <v>0</v>
      </c>
      <c r="AA127" s="3">
        <v>3.1445456225397718E-2</v>
      </c>
      <c r="AB127"/>
      <c r="AC127"/>
      <c r="AD127"/>
      <c r="AE127"/>
      <c r="AF127"/>
      <c r="AG127"/>
      <c r="AI127"/>
      <c r="AJ127"/>
      <c r="AK127"/>
    </row>
    <row r="128" spans="1:38" x14ac:dyDescent="0.25">
      <c r="A128" s="200" t="s">
        <v>36</v>
      </c>
      <c r="B128" s="3">
        <v>0</v>
      </c>
      <c r="C128" s="3">
        <v>1.0780323860692702E-4</v>
      </c>
      <c r="D128" s="3">
        <v>6.3449366097211244E-5</v>
      </c>
      <c r="E128"/>
      <c r="F128"/>
      <c r="G128"/>
      <c r="H128"/>
      <c r="I128"/>
      <c r="J128"/>
      <c r="S128" s="200" t="s">
        <v>34</v>
      </c>
      <c r="T128" s="3">
        <v>0</v>
      </c>
      <c r="U128" s="3">
        <v>2.5345049647739508E-5</v>
      </c>
      <c r="V128" s="3">
        <v>1.0609683600182442E-5</v>
      </c>
      <c r="X128" s="200" t="s">
        <v>43</v>
      </c>
      <c r="Y128" s="3">
        <v>6.582424399949751E-4</v>
      </c>
      <c r="Z128" s="3">
        <v>0</v>
      </c>
      <c r="AA128" s="3">
        <v>3.0740941310189484E-4</v>
      </c>
      <c r="AB128"/>
      <c r="AC128"/>
      <c r="AD128"/>
      <c r="AE128"/>
      <c r="AF128"/>
      <c r="AG128"/>
      <c r="AI128"/>
      <c r="AJ128"/>
      <c r="AK128"/>
    </row>
    <row r="129" spans="1:37" x14ac:dyDescent="0.25">
      <c r="A129" s="200" t="s">
        <v>41</v>
      </c>
      <c r="B129" s="3">
        <v>0</v>
      </c>
      <c r="C129" s="3">
        <v>2.235300152514632E-3</v>
      </c>
      <c r="D129" s="3">
        <v>1.3156226060256752E-3</v>
      </c>
      <c r="E129"/>
      <c r="F129"/>
      <c r="G129"/>
      <c r="H129"/>
      <c r="I129"/>
      <c r="S129" s="200" t="s">
        <v>35</v>
      </c>
      <c r="T129" s="3">
        <v>0</v>
      </c>
      <c r="U129" s="3">
        <v>0.12903816250531888</v>
      </c>
      <c r="V129" s="3">
        <v>5.4016626345510549E-2</v>
      </c>
      <c r="X129" s="200" t="s">
        <v>44</v>
      </c>
      <c r="Y129" s="3">
        <v>7.0463555222421883E-4</v>
      </c>
      <c r="Z129" s="3">
        <v>0</v>
      </c>
      <c r="AA129" s="3">
        <v>3.29075714962454E-4</v>
      </c>
      <c r="AB129"/>
      <c r="AC129"/>
      <c r="AD129"/>
      <c r="AE129"/>
      <c r="AF129"/>
      <c r="AG129"/>
      <c r="AI129"/>
      <c r="AJ129"/>
      <c r="AK129"/>
    </row>
    <row r="130" spans="1:37" x14ac:dyDescent="0.25">
      <c r="A130" s="2" t="s">
        <v>496</v>
      </c>
      <c r="B130" s="3">
        <v>5.1693236147688171E-2</v>
      </c>
      <c r="C130" s="3">
        <v>0.12769760760357801</v>
      </c>
      <c r="D130" s="3">
        <v>9.6426856879406317E-2</v>
      </c>
      <c r="E130"/>
      <c r="F130"/>
      <c r="G130"/>
      <c r="H130"/>
      <c r="I130"/>
      <c r="S130" s="200" t="s">
        <v>41</v>
      </c>
      <c r="T130" s="3">
        <v>0</v>
      </c>
      <c r="U130" s="3">
        <v>1.5124926106686238E-3</v>
      </c>
      <c r="V130" s="3">
        <v>6.3314407625314094E-4</v>
      </c>
      <c r="X130" s="200" t="s">
        <v>37</v>
      </c>
      <c r="Y130" s="3">
        <v>0</v>
      </c>
      <c r="Z130" s="3">
        <v>5.7794098446015069E-3</v>
      </c>
      <c r="AA130" s="3">
        <v>3.0803359465134028E-3</v>
      </c>
      <c r="AB130"/>
      <c r="AC130"/>
      <c r="AD130"/>
      <c r="AE130"/>
      <c r="AF130"/>
      <c r="AG130"/>
      <c r="AI130"/>
      <c r="AJ130"/>
      <c r="AK130"/>
    </row>
    <row r="131" spans="1:37" x14ac:dyDescent="0.25">
      <c r="A131" s="2" t="s">
        <v>366</v>
      </c>
      <c r="B131" s="3"/>
      <c r="C131" s="3"/>
      <c r="D131" s="3"/>
      <c r="E131"/>
      <c r="F131"/>
      <c r="G131"/>
      <c r="H131"/>
      <c r="I131"/>
      <c r="S131" s="2" t="s">
        <v>483</v>
      </c>
      <c r="T131" s="3">
        <v>6.8695669215824678E-2</v>
      </c>
      <c r="U131" s="3">
        <v>0.13973662923690697</v>
      </c>
      <c r="V131" s="3">
        <v>9.843410409571518E-2</v>
      </c>
      <c r="X131" s="200" t="s">
        <v>34</v>
      </c>
      <c r="Y131" s="3">
        <v>0</v>
      </c>
      <c r="Z131" s="3">
        <v>1.599010595303199E-5</v>
      </c>
      <c r="AA131" s="3">
        <v>8.5224788481977869E-6</v>
      </c>
      <c r="AB131"/>
      <c r="AC131"/>
      <c r="AD131"/>
      <c r="AE131"/>
      <c r="AF131"/>
      <c r="AG131"/>
      <c r="AI131"/>
      <c r="AJ131"/>
      <c r="AK131"/>
    </row>
    <row r="132" spans="1:37" x14ac:dyDescent="0.25">
      <c r="A132" s="200" t="s">
        <v>18</v>
      </c>
      <c r="B132" s="3">
        <v>6.7332791223605484E-2</v>
      </c>
      <c r="C132" s="3">
        <v>0</v>
      </c>
      <c r="D132" s="3">
        <v>2.7702971415769762E-2</v>
      </c>
      <c r="E132"/>
      <c r="F132"/>
      <c r="G132"/>
      <c r="H132"/>
      <c r="I132"/>
      <c r="S132" s="2" t="s">
        <v>330</v>
      </c>
      <c r="T132" s="3"/>
      <c r="U132" s="3"/>
      <c r="V132" s="3"/>
      <c r="X132" s="200" t="s">
        <v>35</v>
      </c>
      <c r="Y132" s="3">
        <v>0</v>
      </c>
      <c r="Z132" s="3">
        <v>8.1409739539754084E-2</v>
      </c>
      <c r="AA132" s="3">
        <v>4.339013045334366E-2</v>
      </c>
      <c r="AC132"/>
      <c r="AD132"/>
      <c r="AE132"/>
      <c r="AF132"/>
      <c r="AG132"/>
      <c r="AI132"/>
      <c r="AJ132"/>
      <c r="AK132"/>
    </row>
    <row r="133" spans="1:37" x14ac:dyDescent="0.25">
      <c r="A133" s="200" t="s">
        <v>43</v>
      </c>
      <c r="B133" s="3">
        <v>6.582424399949751E-4</v>
      </c>
      <c r="C133" s="3">
        <v>0</v>
      </c>
      <c r="D133" s="3">
        <v>2.7082304429159671E-4</v>
      </c>
      <c r="E133"/>
      <c r="F133"/>
      <c r="G133"/>
      <c r="H133"/>
      <c r="I133"/>
      <c r="S133" s="200" t="s">
        <v>18</v>
      </c>
      <c r="T133" s="3">
        <v>5.8328093760351305E-3</v>
      </c>
      <c r="U133" s="3">
        <v>0</v>
      </c>
      <c r="V133" s="3">
        <v>3.3911387997287356E-3</v>
      </c>
      <c r="X133" s="200" t="s">
        <v>41</v>
      </c>
      <c r="Y133" s="3">
        <v>0</v>
      </c>
      <c r="Z133" s="3">
        <v>9.5422646370417669E-4</v>
      </c>
      <c r="AA133" s="3">
        <v>5.0858792788470452E-4</v>
      </c>
      <c r="AC133"/>
      <c r="AD133"/>
      <c r="AE133"/>
      <c r="AF133"/>
      <c r="AG133"/>
      <c r="AI133"/>
      <c r="AJ133"/>
      <c r="AK133"/>
    </row>
    <row r="134" spans="1:37" x14ac:dyDescent="0.25">
      <c r="A134" s="200" t="s">
        <v>44</v>
      </c>
      <c r="B134" s="3">
        <v>7.0463555222421883E-4</v>
      </c>
      <c r="C134" s="3">
        <v>0</v>
      </c>
      <c r="D134" s="3">
        <v>2.8991072859250772E-4</v>
      </c>
      <c r="E134"/>
      <c r="F134"/>
      <c r="G134"/>
      <c r="H134"/>
      <c r="I134"/>
      <c r="S134" s="2" t="s">
        <v>1183</v>
      </c>
      <c r="T134" s="3">
        <v>5.8328093760351305E-3</v>
      </c>
      <c r="U134" s="3">
        <v>0</v>
      </c>
      <c r="V134" s="3">
        <v>3.3911387997287356E-3</v>
      </c>
      <c r="X134" s="200" t="s">
        <v>391</v>
      </c>
      <c r="Y134" s="3">
        <v>0</v>
      </c>
      <c r="Z134" s="3">
        <v>2.9576741332391344E-2</v>
      </c>
      <c r="AA134" s="3">
        <v>1.5763945101072097E-2</v>
      </c>
      <c r="AC134"/>
      <c r="AD134"/>
      <c r="AE134"/>
      <c r="AF134"/>
      <c r="AG134"/>
      <c r="AI134"/>
      <c r="AJ134"/>
      <c r="AK134"/>
    </row>
    <row r="135" spans="1:37" x14ac:dyDescent="0.25">
      <c r="A135" s="200" t="s">
        <v>374</v>
      </c>
      <c r="B135" s="3">
        <v>0</v>
      </c>
      <c r="C135" s="3">
        <v>2.5612252772362412E-3</v>
      </c>
      <c r="D135" s="3">
        <v>1.507451189526244E-3</v>
      </c>
      <c r="E135"/>
      <c r="F135"/>
      <c r="G135"/>
      <c r="H135"/>
      <c r="I135"/>
      <c r="S135" s="2" t="s">
        <v>331</v>
      </c>
      <c r="T135" s="3"/>
      <c r="U135" s="3"/>
      <c r="V135" s="3"/>
      <c r="X135" s="2" t="s">
        <v>483</v>
      </c>
      <c r="Y135" s="3">
        <v>6.8695669215824678E-2</v>
      </c>
      <c r="Z135" s="3">
        <v>0.11773610728640414</v>
      </c>
      <c r="AA135" s="3">
        <v>9.4833463261124129E-2</v>
      </c>
      <c r="AC135"/>
      <c r="AD135"/>
      <c r="AE135"/>
      <c r="AF135"/>
      <c r="AG135"/>
      <c r="AI135"/>
      <c r="AJ135"/>
      <c r="AK135"/>
    </row>
    <row r="136" spans="1:37" x14ac:dyDescent="0.25">
      <c r="A136" s="200" t="s">
        <v>37</v>
      </c>
      <c r="B136" s="3">
        <v>0</v>
      </c>
      <c r="C136" s="3">
        <v>4.610744515218269E-3</v>
      </c>
      <c r="D136" s="3">
        <v>2.7137293879777253E-3</v>
      </c>
      <c r="S136" s="200" t="s">
        <v>18</v>
      </c>
      <c r="T136" s="3">
        <v>7.1008449393757042E-3</v>
      </c>
      <c r="U136" s="3">
        <v>0</v>
      </c>
      <c r="V136" s="3">
        <v>4.1283623777780328E-3</v>
      </c>
      <c r="X136" s="2" t="s">
        <v>330</v>
      </c>
      <c r="Y136" s="3"/>
      <c r="Z136" s="3"/>
      <c r="AA136" s="3"/>
      <c r="AC136"/>
      <c r="AD136"/>
      <c r="AE136"/>
      <c r="AF136"/>
      <c r="AG136"/>
      <c r="AI136"/>
      <c r="AJ136"/>
      <c r="AK136"/>
    </row>
    <row r="137" spans="1:37" x14ac:dyDescent="0.25">
      <c r="A137" s="200" t="s">
        <v>390</v>
      </c>
      <c r="B137" s="3">
        <v>0</v>
      </c>
      <c r="C137" s="3">
        <v>4.5714457429444355E-2</v>
      </c>
      <c r="D137" s="3">
        <v>2.6905994503117044E-2</v>
      </c>
      <c r="S137" s="2" t="s">
        <v>1184</v>
      </c>
      <c r="T137" s="3">
        <v>7.1008449393757042E-3</v>
      </c>
      <c r="U137" s="3">
        <v>0</v>
      </c>
      <c r="V137" s="3">
        <v>4.1283623777780328E-3</v>
      </c>
      <c r="X137" s="200" t="s">
        <v>18</v>
      </c>
      <c r="Y137" s="3">
        <v>5.8328093760351305E-3</v>
      </c>
      <c r="Z137" s="3">
        <v>0</v>
      </c>
      <c r="AA137" s="3">
        <v>2.7240123062193871E-3</v>
      </c>
      <c r="AC137"/>
      <c r="AD137"/>
      <c r="AE137"/>
      <c r="AF137"/>
      <c r="AG137"/>
      <c r="AI137"/>
      <c r="AJ137"/>
      <c r="AK137"/>
    </row>
    <row r="138" spans="1:37" x14ac:dyDescent="0.25">
      <c r="A138" s="200" t="s">
        <v>34</v>
      </c>
      <c r="B138" s="3">
        <v>0</v>
      </c>
      <c r="C138" s="3">
        <v>1.2756716568486364E-5</v>
      </c>
      <c r="D138" s="3">
        <v>7.5081749881699977E-6</v>
      </c>
      <c r="S138" s="2" t="s">
        <v>332</v>
      </c>
      <c r="T138" s="3"/>
      <c r="U138" s="3"/>
      <c r="V138" s="3"/>
      <c r="X138" s="2" t="s">
        <v>1183</v>
      </c>
      <c r="Y138" s="3">
        <v>5.8328093760351305E-3</v>
      </c>
      <c r="Z138" s="3">
        <v>0</v>
      </c>
      <c r="AA138" s="3">
        <v>2.7240123062193871E-3</v>
      </c>
      <c r="AC138"/>
      <c r="AD138"/>
      <c r="AE138"/>
      <c r="AF138"/>
      <c r="AG138"/>
      <c r="AI138"/>
      <c r="AJ138"/>
      <c r="AK138"/>
    </row>
    <row r="139" spans="1:37" x14ac:dyDescent="0.25">
      <c r="A139" s="200" t="s">
        <v>35</v>
      </c>
      <c r="B139" s="3">
        <v>0</v>
      </c>
      <c r="C139" s="3">
        <v>6.4947723065338372E-2</v>
      </c>
      <c r="D139" s="3">
        <v>3.8226048782992246E-2</v>
      </c>
      <c r="S139" s="200" t="s">
        <v>18</v>
      </c>
      <c r="T139" s="3">
        <v>1.7003653939510963E-2</v>
      </c>
      <c r="U139" s="3">
        <v>0</v>
      </c>
      <c r="V139" s="3">
        <v>9.8857594846742183E-3</v>
      </c>
      <c r="X139" s="2" t="s">
        <v>331</v>
      </c>
      <c r="Y139" s="3"/>
      <c r="Z139" s="3"/>
      <c r="AA139" s="3"/>
      <c r="AC139"/>
      <c r="AD139"/>
      <c r="AE139"/>
      <c r="AF139"/>
      <c r="AG139"/>
      <c r="AI139"/>
      <c r="AJ139"/>
      <c r="AK139"/>
    </row>
    <row r="140" spans="1:37" x14ac:dyDescent="0.25">
      <c r="A140" s="200" t="s">
        <v>41</v>
      </c>
      <c r="B140" s="3">
        <v>0</v>
      </c>
      <c r="C140" s="3">
        <v>7.612705366292497E-4</v>
      </c>
      <c r="D140" s="3">
        <v>4.4805827358980677E-4</v>
      </c>
      <c r="S140" s="200" t="s">
        <v>44</v>
      </c>
      <c r="T140" s="3">
        <v>5.1433383314093903E-3</v>
      </c>
      <c r="U140" s="3">
        <v>0</v>
      </c>
      <c r="V140" s="3">
        <v>2.9902870214542372E-3</v>
      </c>
      <c r="X140" s="200" t="s">
        <v>18</v>
      </c>
      <c r="Y140" s="3">
        <v>7.1008449393757042E-3</v>
      </c>
      <c r="Z140" s="3">
        <v>0</v>
      </c>
      <c r="AA140" s="3">
        <v>3.3162045512557781E-3</v>
      </c>
      <c r="AC140"/>
      <c r="AD140"/>
      <c r="AE140"/>
      <c r="AF140"/>
      <c r="AG140"/>
      <c r="AI140"/>
      <c r="AJ140"/>
      <c r="AK140"/>
    </row>
    <row r="141" spans="1:37" x14ac:dyDescent="0.25">
      <c r="A141" s="2" t="s">
        <v>483</v>
      </c>
      <c r="B141" s="3">
        <v>6.8695669215824678E-2</v>
      </c>
      <c r="C141" s="3">
        <v>0.11860817754043497</v>
      </c>
      <c r="D141" s="3">
        <v>9.8072495500845111E-2</v>
      </c>
      <c r="S141" s="2" t="s">
        <v>1185</v>
      </c>
      <c r="T141" s="3">
        <v>2.2146992270920353E-2</v>
      </c>
      <c r="U141" s="3">
        <v>0</v>
      </c>
      <c r="V141" s="3">
        <v>1.2876046506128455E-2</v>
      </c>
      <c r="X141" s="2" t="s">
        <v>1184</v>
      </c>
      <c r="Y141" s="3">
        <v>7.1008449393757042E-3</v>
      </c>
      <c r="Z141" s="3">
        <v>0</v>
      </c>
      <c r="AA141" s="3">
        <v>3.3162045512557781E-3</v>
      </c>
      <c r="AC141"/>
      <c r="AD141"/>
      <c r="AE141"/>
      <c r="AF141"/>
      <c r="AG141"/>
      <c r="AI141"/>
      <c r="AJ141"/>
      <c r="AK141"/>
    </row>
    <row r="142" spans="1:37" x14ac:dyDescent="0.25">
      <c r="A142" s="2" t="s">
        <v>330</v>
      </c>
      <c r="B142" s="3"/>
      <c r="C142" s="3"/>
      <c r="D142" s="3"/>
      <c r="S142" s="2" t="s">
        <v>333</v>
      </c>
      <c r="T142" s="3"/>
      <c r="U142" s="3"/>
      <c r="V142" s="3"/>
      <c r="X142" s="2" t="s">
        <v>332</v>
      </c>
      <c r="Y142" s="3"/>
      <c r="Z142" s="3"/>
      <c r="AA142" s="3"/>
      <c r="AC142"/>
      <c r="AD142"/>
      <c r="AE142"/>
      <c r="AF142"/>
      <c r="AG142"/>
      <c r="AI142"/>
      <c r="AJ142"/>
      <c r="AK142"/>
    </row>
    <row r="143" spans="1:37" x14ac:dyDescent="0.25">
      <c r="A143" s="200" t="s">
        <v>18</v>
      </c>
      <c r="B143" s="3">
        <v>5.8328093760351305E-3</v>
      </c>
      <c r="C143" s="3">
        <v>0</v>
      </c>
      <c r="D143" s="3">
        <v>2.3998136492117727E-3</v>
      </c>
      <c r="S143" s="200" t="s">
        <v>18</v>
      </c>
      <c r="T143" s="3">
        <v>3.0558410502578128E-3</v>
      </c>
      <c r="U143" s="3">
        <v>0</v>
      </c>
      <c r="V143" s="3">
        <v>1.7766363484995648E-3</v>
      </c>
      <c r="X143" s="200" t="s">
        <v>18</v>
      </c>
      <c r="Y143" s="3">
        <v>1.7003653939510963E-2</v>
      </c>
      <c r="Z143" s="3">
        <v>0</v>
      </c>
      <c r="AA143" s="3">
        <v>7.9409697104499809E-3</v>
      </c>
      <c r="AC143"/>
      <c r="AD143"/>
      <c r="AE143"/>
      <c r="AF143"/>
      <c r="AG143"/>
      <c r="AI143"/>
      <c r="AJ143"/>
      <c r="AK143"/>
    </row>
    <row r="144" spans="1:37" x14ac:dyDescent="0.25">
      <c r="A144" s="2" t="s">
        <v>1183</v>
      </c>
      <c r="B144" s="3">
        <v>5.8328093760351305E-3</v>
      </c>
      <c r="C144" s="3">
        <v>0</v>
      </c>
      <c r="D144" s="3">
        <v>2.3998136492117727E-3</v>
      </c>
      <c r="S144" s="2" t="s">
        <v>1186</v>
      </c>
      <c r="T144" s="3">
        <v>3.0558410502578128E-3</v>
      </c>
      <c r="U144" s="3">
        <v>0</v>
      </c>
      <c r="V144" s="3">
        <v>1.7766363484995648E-3</v>
      </c>
      <c r="X144" s="200" t="s">
        <v>44</v>
      </c>
      <c r="Y144" s="3">
        <v>5.1433383314093903E-3</v>
      </c>
      <c r="Z144" s="3">
        <v>0</v>
      </c>
      <c r="AA144" s="3">
        <v>2.4020186511448721E-3</v>
      </c>
      <c r="AC144"/>
      <c r="AD144"/>
      <c r="AE144"/>
      <c r="AF144"/>
      <c r="AG144"/>
      <c r="AI144"/>
      <c r="AJ144"/>
      <c r="AK144"/>
    </row>
    <row r="145" spans="1:37" x14ac:dyDescent="0.25">
      <c r="A145" s="2" t="s">
        <v>331</v>
      </c>
      <c r="B145" s="3"/>
      <c r="C145" s="3"/>
      <c r="D145" s="3"/>
      <c r="S145" s="2" t="s">
        <v>334</v>
      </c>
      <c r="T145" s="3"/>
      <c r="U145" s="3"/>
      <c r="V145" s="3"/>
      <c r="X145" s="2" t="s">
        <v>1185</v>
      </c>
      <c r="Y145" s="3">
        <v>2.2146992270920353E-2</v>
      </c>
      <c r="Z145" s="3">
        <v>0</v>
      </c>
      <c r="AA145" s="3">
        <v>1.0342988361594854E-2</v>
      </c>
      <c r="AC145"/>
      <c r="AD145"/>
      <c r="AE145"/>
      <c r="AF145"/>
      <c r="AG145"/>
      <c r="AI145"/>
      <c r="AJ145"/>
      <c r="AK145"/>
    </row>
    <row r="146" spans="1:37" x14ac:dyDescent="0.25">
      <c r="A146" s="200" t="s">
        <v>18</v>
      </c>
      <c r="B146" s="3">
        <v>7.1008449393757042E-3</v>
      </c>
      <c r="C146" s="3">
        <v>0</v>
      </c>
      <c r="D146" s="3">
        <v>2.9215260619460922E-3</v>
      </c>
      <c r="S146" s="200" t="s">
        <v>18</v>
      </c>
      <c r="T146" s="3">
        <v>1.2060988308228897E-2</v>
      </c>
      <c r="U146" s="3">
        <v>0</v>
      </c>
      <c r="V146" s="3">
        <v>7.012141624781143E-3</v>
      </c>
      <c r="X146" s="2" t="s">
        <v>333</v>
      </c>
      <c r="Y146" s="3"/>
      <c r="Z146" s="3"/>
      <c r="AA146" s="3"/>
      <c r="AC146"/>
      <c r="AD146"/>
      <c r="AE146"/>
      <c r="AF146"/>
      <c r="AG146"/>
      <c r="AI146"/>
      <c r="AJ146"/>
      <c r="AK146"/>
    </row>
    <row r="147" spans="1:37" x14ac:dyDescent="0.25">
      <c r="A147" s="2" t="s">
        <v>1184</v>
      </c>
      <c r="B147" s="3">
        <v>7.1008449393757042E-3</v>
      </c>
      <c r="C147" s="3">
        <v>0</v>
      </c>
      <c r="D147" s="3">
        <v>2.9215260619460922E-3</v>
      </c>
      <c r="S147" s="200" t="s">
        <v>44</v>
      </c>
      <c r="T147" s="3">
        <v>2.3299366335628464E-4</v>
      </c>
      <c r="U147" s="3">
        <v>0</v>
      </c>
      <c r="V147" s="3">
        <v>1.354602561065547E-4</v>
      </c>
      <c r="X147" s="200" t="s">
        <v>18</v>
      </c>
      <c r="Y147" s="3">
        <v>3.0558410502578128E-3</v>
      </c>
      <c r="Z147" s="3">
        <v>0</v>
      </c>
      <c r="AA147" s="3">
        <v>1.427125093604726E-3</v>
      </c>
      <c r="AC147"/>
      <c r="AD147"/>
      <c r="AE147"/>
      <c r="AF147"/>
      <c r="AG147"/>
      <c r="AI147"/>
      <c r="AJ147"/>
      <c r="AK147"/>
    </row>
    <row r="148" spans="1:37" x14ac:dyDescent="0.25">
      <c r="A148" s="2" t="s">
        <v>332</v>
      </c>
      <c r="B148" s="3"/>
      <c r="C148" s="3"/>
      <c r="D148" s="3"/>
      <c r="S148" s="200" t="s">
        <v>35</v>
      </c>
      <c r="T148" s="3">
        <v>0</v>
      </c>
      <c r="U148" s="3">
        <v>3.7482115676234481E-6</v>
      </c>
      <c r="V148" s="3">
        <v>1.5690377155199385E-6</v>
      </c>
      <c r="X148" s="2" t="s">
        <v>1186</v>
      </c>
      <c r="Y148" s="3">
        <v>3.0558410502578128E-3</v>
      </c>
      <c r="Z148" s="3">
        <v>0</v>
      </c>
      <c r="AA148" s="3">
        <v>1.427125093604726E-3</v>
      </c>
      <c r="AC148"/>
      <c r="AD148"/>
      <c r="AE148"/>
      <c r="AF148"/>
      <c r="AG148"/>
      <c r="AI148"/>
      <c r="AJ148"/>
      <c r="AK148"/>
    </row>
    <row r="149" spans="1:37" x14ac:dyDescent="0.25">
      <c r="A149" s="200" t="s">
        <v>18</v>
      </c>
      <c r="B149" s="3">
        <v>1.7003653939510963E-2</v>
      </c>
      <c r="C149" s="3">
        <v>0</v>
      </c>
      <c r="D149" s="3">
        <v>6.9958742314067644E-3</v>
      </c>
      <c r="S149" s="2" t="s">
        <v>1154</v>
      </c>
      <c r="T149" s="3">
        <v>1.2293981971585183E-2</v>
      </c>
      <c r="U149" s="3">
        <v>3.7482115676234481E-6</v>
      </c>
      <c r="V149" s="3">
        <v>7.1491709186032176E-3</v>
      </c>
      <c r="X149" s="2" t="s">
        <v>334</v>
      </c>
      <c r="Y149" s="3"/>
      <c r="Z149" s="3"/>
      <c r="AA149" s="3"/>
      <c r="AC149"/>
      <c r="AD149"/>
      <c r="AE149"/>
      <c r="AF149"/>
      <c r="AG149"/>
      <c r="AI149"/>
      <c r="AJ149"/>
      <c r="AK149"/>
    </row>
    <row r="150" spans="1:37" x14ac:dyDescent="0.25">
      <c r="A150" s="200" t="s">
        <v>44</v>
      </c>
      <c r="B150" s="3">
        <v>5.1433383314093903E-3</v>
      </c>
      <c r="C150" s="3">
        <v>0</v>
      </c>
      <c r="D150" s="3">
        <v>2.1161421082854905E-3</v>
      </c>
      <c r="S150" s="2" t="s">
        <v>335</v>
      </c>
      <c r="T150" s="3"/>
      <c r="U150" s="3"/>
      <c r="V150" s="3"/>
      <c r="X150" s="200" t="s">
        <v>18</v>
      </c>
      <c r="Y150" s="3">
        <v>1.2060988308228897E-2</v>
      </c>
      <c r="Z150" s="3">
        <v>0</v>
      </c>
      <c r="AA150" s="3">
        <v>5.6326683179069468E-3</v>
      </c>
      <c r="AC150"/>
      <c r="AD150"/>
      <c r="AE150"/>
      <c r="AF150"/>
      <c r="AG150"/>
      <c r="AI150"/>
      <c r="AJ150"/>
      <c r="AK150"/>
    </row>
    <row r="151" spans="1:37" x14ac:dyDescent="0.25">
      <c r="A151" s="2" t="s">
        <v>1185</v>
      </c>
      <c r="B151" s="3">
        <v>2.2146992270920353E-2</v>
      </c>
      <c r="C151" s="3">
        <v>0</v>
      </c>
      <c r="D151" s="3">
        <v>9.1120163396922558E-3</v>
      </c>
      <c r="S151" s="200" t="s">
        <v>18</v>
      </c>
      <c r="T151" s="3">
        <v>1.1805826190968058E-3</v>
      </c>
      <c r="U151" s="3">
        <v>0</v>
      </c>
      <c r="V151" s="3">
        <v>6.8637928445828167E-4</v>
      </c>
      <c r="X151" s="200" t="s">
        <v>44</v>
      </c>
      <c r="Y151" s="3">
        <v>2.3299366335628464E-4</v>
      </c>
      <c r="Z151" s="3">
        <v>0</v>
      </c>
      <c r="AA151" s="3">
        <v>1.0881164895621541E-4</v>
      </c>
      <c r="AC151"/>
      <c r="AD151"/>
      <c r="AE151"/>
      <c r="AF151"/>
      <c r="AG151"/>
      <c r="AI151"/>
      <c r="AJ151"/>
      <c r="AK151"/>
    </row>
    <row r="152" spans="1:37" x14ac:dyDescent="0.25">
      <c r="A152" s="2" t="s">
        <v>333</v>
      </c>
      <c r="B152" s="3"/>
      <c r="C152" s="3"/>
      <c r="D152" s="3"/>
      <c r="S152" s="2" t="s">
        <v>1187</v>
      </c>
      <c r="T152" s="3">
        <v>1.1805826190968058E-3</v>
      </c>
      <c r="U152" s="3">
        <v>0</v>
      </c>
      <c r="V152" s="3">
        <v>6.8637928445828167E-4</v>
      </c>
      <c r="X152" s="200" t="s">
        <v>35</v>
      </c>
      <c r="Y152" s="3">
        <v>0</v>
      </c>
      <c r="Z152" s="3">
        <v>2.3647339789695201E-6</v>
      </c>
      <c r="AA152" s="3">
        <v>1.2603665902264333E-6</v>
      </c>
      <c r="AC152"/>
      <c r="AD152"/>
      <c r="AE152"/>
      <c r="AF152"/>
      <c r="AG152"/>
    </row>
    <row r="153" spans="1:37" x14ac:dyDescent="0.25">
      <c r="A153" s="200" t="s">
        <v>18</v>
      </c>
      <c r="B153" s="3">
        <v>3.0558410502578128E-3</v>
      </c>
      <c r="C153" s="3">
        <v>0</v>
      </c>
      <c r="D153" s="3">
        <v>1.2572756264521148E-3</v>
      </c>
      <c r="S153" s="2" t="s">
        <v>336</v>
      </c>
      <c r="T153" s="3"/>
      <c r="U153" s="3"/>
      <c r="V153" s="3"/>
      <c r="X153" s="2" t="s">
        <v>1154</v>
      </c>
      <c r="Y153" s="3">
        <v>1.2293981971585183E-2</v>
      </c>
      <c r="Z153" s="3">
        <v>2.3647339789695201E-6</v>
      </c>
      <c r="AA153" s="3">
        <v>5.7427403334533887E-3</v>
      </c>
      <c r="AC153"/>
      <c r="AD153"/>
      <c r="AE153"/>
      <c r="AF153"/>
      <c r="AG153"/>
    </row>
    <row r="154" spans="1:37" x14ac:dyDescent="0.25">
      <c r="A154" s="2" t="s">
        <v>1186</v>
      </c>
      <c r="B154" s="3">
        <v>3.0558410502578128E-3</v>
      </c>
      <c r="C154" s="3">
        <v>0</v>
      </c>
      <c r="D154" s="3">
        <v>1.2572756264521148E-3</v>
      </c>
      <c r="S154" s="200" t="s">
        <v>18</v>
      </c>
      <c r="T154" s="3">
        <v>3.9130855242887541E-3</v>
      </c>
      <c r="U154" s="3">
        <v>0</v>
      </c>
      <c r="V154" s="3">
        <v>2.2750299714222196E-3</v>
      </c>
      <c r="X154" s="2" t="s">
        <v>335</v>
      </c>
      <c r="Y154" s="3"/>
      <c r="Z154" s="3"/>
      <c r="AA154" s="3"/>
      <c r="AC154"/>
      <c r="AD154"/>
      <c r="AE154"/>
      <c r="AF154"/>
      <c r="AG154"/>
    </row>
    <row r="155" spans="1:37" x14ac:dyDescent="0.25">
      <c r="A155" s="2" t="s">
        <v>334</v>
      </c>
      <c r="B155" s="3"/>
      <c r="C155" s="3"/>
      <c r="D155" s="3"/>
      <c r="S155" s="2" t="s">
        <v>1188</v>
      </c>
      <c r="T155" s="3">
        <v>3.9130855242887541E-3</v>
      </c>
      <c r="U155" s="3">
        <v>0</v>
      </c>
      <c r="V155" s="3">
        <v>2.2750299714222196E-3</v>
      </c>
      <c r="X155" s="200" t="s">
        <v>18</v>
      </c>
      <c r="Y155" s="3">
        <v>1.1805826190968058E-3</v>
      </c>
      <c r="Z155" s="3">
        <v>0</v>
      </c>
      <c r="AA155" s="3">
        <v>5.5135036576738712E-4</v>
      </c>
      <c r="AC155"/>
      <c r="AD155"/>
      <c r="AE155"/>
      <c r="AF155"/>
      <c r="AG155"/>
    </row>
    <row r="156" spans="1:37" x14ac:dyDescent="0.25">
      <c r="A156" s="200" t="s">
        <v>18</v>
      </c>
      <c r="B156" s="3">
        <v>1.2060988308228897E-2</v>
      </c>
      <c r="C156" s="3">
        <v>0</v>
      </c>
      <c r="D156" s="3">
        <v>4.9622956107552704E-3</v>
      </c>
      <c r="S156" s="2" t="s">
        <v>337</v>
      </c>
      <c r="T156" s="3"/>
      <c r="U156" s="3"/>
      <c r="V156" s="3"/>
      <c r="X156" s="2" t="s">
        <v>1187</v>
      </c>
      <c r="Y156" s="3">
        <v>1.1805826190968058E-3</v>
      </c>
      <c r="Z156" s="3">
        <v>0</v>
      </c>
      <c r="AA156" s="3">
        <v>5.5135036576738712E-4</v>
      </c>
      <c r="AC156"/>
      <c r="AD156"/>
      <c r="AE156"/>
      <c r="AF156"/>
      <c r="AG156"/>
    </row>
    <row r="157" spans="1:37" x14ac:dyDescent="0.25">
      <c r="A157" s="200" t="s">
        <v>44</v>
      </c>
      <c r="B157" s="3">
        <v>2.3299366335628464E-4</v>
      </c>
      <c r="C157" s="3">
        <v>0</v>
      </c>
      <c r="D157" s="3">
        <v>9.5861417278536657E-5</v>
      </c>
      <c r="S157" s="200" t="s">
        <v>18</v>
      </c>
      <c r="T157" s="3">
        <v>1.6648187600380527E-3</v>
      </c>
      <c r="U157" s="3">
        <v>0</v>
      </c>
      <c r="V157" s="3">
        <v>9.6790948027157357E-4</v>
      </c>
      <c r="X157" s="2" t="s">
        <v>336</v>
      </c>
      <c r="Y157" s="3"/>
      <c r="Z157" s="3"/>
      <c r="AA157" s="3"/>
      <c r="AC157"/>
      <c r="AD157"/>
      <c r="AE157"/>
      <c r="AF157"/>
      <c r="AG157"/>
    </row>
    <row r="158" spans="1:37" x14ac:dyDescent="0.25">
      <c r="A158" s="200" t="s">
        <v>35</v>
      </c>
      <c r="B158" s="3">
        <v>0</v>
      </c>
      <c r="C158" s="3">
        <v>1.886556675621223E-6</v>
      </c>
      <c r="D158" s="3">
        <v>1.1103639067011969E-6</v>
      </c>
      <c r="S158" s="2" t="s">
        <v>1189</v>
      </c>
      <c r="T158" s="3">
        <v>1.6648187600380527E-3</v>
      </c>
      <c r="U158" s="3">
        <v>0</v>
      </c>
      <c r="V158" s="3">
        <v>9.6790948027157357E-4</v>
      </c>
      <c r="X158" s="200" t="s">
        <v>18</v>
      </c>
      <c r="Y158" s="3">
        <v>3.9130855242887541E-3</v>
      </c>
      <c r="Z158" s="3">
        <v>0</v>
      </c>
      <c r="AA158" s="3">
        <v>1.8274715383716509E-3</v>
      </c>
      <c r="AC158"/>
      <c r="AD158"/>
      <c r="AE158"/>
      <c r="AF158"/>
      <c r="AG158"/>
    </row>
    <row r="159" spans="1:37" x14ac:dyDescent="0.25">
      <c r="A159" s="2" t="s">
        <v>1154</v>
      </c>
      <c r="B159" s="3">
        <v>1.2293981971585183E-2</v>
      </c>
      <c r="C159" s="3">
        <v>1.886556675621223E-6</v>
      </c>
      <c r="D159" s="3">
        <v>5.0592673919405079E-3</v>
      </c>
      <c r="S159" s="2" t="s">
        <v>338</v>
      </c>
      <c r="T159" s="3"/>
      <c r="U159" s="3"/>
      <c r="V159" s="3"/>
      <c r="X159" s="2" t="s">
        <v>1188</v>
      </c>
      <c r="Y159" s="3">
        <v>3.9130855242887541E-3</v>
      </c>
      <c r="Z159" s="3">
        <v>0</v>
      </c>
      <c r="AA159" s="3">
        <v>1.8274715383716509E-3</v>
      </c>
      <c r="AC159"/>
      <c r="AD159"/>
      <c r="AE159"/>
      <c r="AF159"/>
      <c r="AG159"/>
    </row>
    <row r="160" spans="1:37" x14ac:dyDescent="0.25">
      <c r="A160" s="2" t="s">
        <v>335</v>
      </c>
      <c r="B160" s="3"/>
      <c r="C160" s="3"/>
      <c r="D160" s="3"/>
      <c r="S160" s="200" t="s">
        <v>18</v>
      </c>
      <c r="T160" s="3">
        <v>6.9943078478575799E-4</v>
      </c>
      <c r="U160" s="3">
        <v>0</v>
      </c>
      <c r="V160" s="3">
        <v>4.0664227460558407E-4</v>
      </c>
      <c r="X160" s="2" t="s">
        <v>337</v>
      </c>
      <c r="Y160" s="3"/>
      <c r="Z160" s="3"/>
      <c r="AA160" s="3"/>
      <c r="AC160"/>
      <c r="AD160"/>
      <c r="AE160"/>
      <c r="AF160"/>
      <c r="AG160"/>
    </row>
    <row r="161" spans="1:33" x14ac:dyDescent="0.25">
      <c r="A161" s="200" t="s">
        <v>18</v>
      </c>
      <c r="B161" s="3">
        <v>1.1805826190968058E-3</v>
      </c>
      <c r="C161" s="3">
        <v>0</v>
      </c>
      <c r="D161" s="3">
        <v>4.8573133471002596E-4</v>
      </c>
      <c r="S161" s="2" t="s">
        <v>1190</v>
      </c>
      <c r="T161" s="3">
        <v>6.9943078478575799E-4</v>
      </c>
      <c r="U161" s="3">
        <v>0</v>
      </c>
      <c r="V161" s="3">
        <v>4.0664227460558407E-4</v>
      </c>
      <c r="X161" s="200" t="s">
        <v>18</v>
      </c>
      <c r="Y161" s="3">
        <v>1.6648187600380527E-3</v>
      </c>
      <c r="Z161" s="3">
        <v>0</v>
      </c>
      <c r="AA161" s="3">
        <v>7.7749614252801567E-4</v>
      </c>
      <c r="AC161"/>
      <c r="AD161"/>
      <c r="AE161"/>
      <c r="AF161"/>
      <c r="AG161"/>
    </row>
    <row r="162" spans="1:33" x14ac:dyDescent="0.25">
      <c r="A162" s="2" t="s">
        <v>1187</v>
      </c>
      <c r="B162" s="3">
        <v>1.1805826190968058E-3</v>
      </c>
      <c r="C162" s="3">
        <v>0</v>
      </c>
      <c r="D162" s="3">
        <v>4.8573133471002596E-4</v>
      </c>
      <c r="S162" s="2" t="s">
        <v>339</v>
      </c>
      <c r="T162" s="3"/>
      <c r="U162" s="3"/>
      <c r="V162" s="3"/>
      <c r="X162" s="2" t="s">
        <v>1189</v>
      </c>
      <c r="Y162" s="3">
        <v>1.6648187600380527E-3</v>
      </c>
      <c r="Z162" s="3">
        <v>0</v>
      </c>
      <c r="AA162" s="3">
        <v>7.7749614252801567E-4</v>
      </c>
      <c r="AC162"/>
      <c r="AD162"/>
      <c r="AE162"/>
      <c r="AF162"/>
      <c r="AG162"/>
    </row>
    <row r="163" spans="1:33" x14ac:dyDescent="0.25">
      <c r="A163" s="2" t="s">
        <v>336</v>
      </c>
      <c r="B163" s="3"/>
      <c r="C163" s="3"/>
      <c r="D163" s="3"/>
      <c r="S163" s="200" t="s">
        <v>18</v>
      </c>
      <c r="T163" s="3">
        <v>0.13398414345110138</v>
      </c>
      <c r="U163" s="3">
        <v>0</v>
      </c>
      <c r="V163" s="3">
        <v>7.7897081511397251E-2</v>
      </c>
      <c r="X163" s="2" t="s">
        <v>338</v>
      </c>
      <c r="Y163" s="3"/>
      <c r="Z163" s="3"/>
      <c r="AA163" s="3"/>
      <c r="AC163"/>
      <c r="AD163"/>
      <c r="AE163"/>
      <c r="AF163"/>
      <c r="AG163"/>
    </row>
    <row r="164" spans="1:33" x14ac:dyDescent="0.25">
      <c r="A164" s="200" t="s">
        <v>18</v>
      </c>
      <c r="B164" s="3">
        <v>3.9130855242887541E-3</v>
      </c>
      <c r="C164" s="3">
        <v>0</v>
      </c>
      <c r="D164" s="3">
        <v>1.6099747902449878E-3</v>
      </c>
      <c r="S164" s="200" t="s">
        <v>44</v>
      </c>
      <c r="T164" s="3">
        <v>5.6738390718036227E-4</v>
      </c>
      <c r="U164" s="3">
        <v>0</v>
      </c>
      <c r="V164" s="3">
        <v>3.2987150066764425E-4</v>
      </c>
      <c r="X164" s="200" t="s">
        <v>18</v>
      </c>
      <c r="Y164" s="3">
        <v>6.9943078478575799E-4</v>
      </c>
      <c r="Z164" s="3">
        <v>0</v>
      </c>
      <c r="AA164" s="3">
        <v>3.2664500796701726E-4</v>
      </c>
      <c r="AC164"/>
      <c r="AD164"/>
      <c r="AE164"/>
      <c r="AF164"/>
      <c r="AG164"/>
    </row>
    <row r="165" spans="1:33" x14ac:dyDescent="0.25">
      <c r="A165" s="2" t="s">
        <v>1188</v>
      </c>
      <c r="B165" s="3">
        <v>3.9130855242887541E-3</v>
      </c>
      <c r="C165" s="3">
        <v>0</v>
      </c>
      <c r="D165" s="3">
        <v>1.6099747902449878E-3</v>
      </c>
      <c r="S165" s="200" t="s">
        <v>37</v>
      </c>
      <c r="T165" s="3">
        <v>0</v>
      </c>
      <c r="U165" s="3">
        <v>9.7035842897817328E-3</v>
      </c>
      <c r="V165" s="3">
        <v>4.0620144972360467E-3</v>
      </c>
      <c r="X165" s="2" t="s">
        <v>1190</v>
      </c>
      <c r="Y165" s="3">
        <v>6.9943078478575799E-4</v>
      </c>
      <c r="Z165" s="3">
        <v>0</v>
      </c>
      <c r="AA165" s="3">
        <v>3.2664500796701726E-4</v>
      </c>
      <c r="AC165"/>
      <c r="AD165"/>
      <c r="AE165"/>
      <c r="AF165"/>
      <c r="AG165"/>
    </row>
    <row r="166" spans="1:33" x14ac:dyDescent="0.25">
      <c r="A166" s="2" t="s">
        <v>337</v>
      </c>
      <c r="B166" s="3"/>
      <c r="C166" s="3"/>
      <c r="D166" s="3"/>
      <c r="S166" s="200" t="s">
        <v>34</v>
      </c>
      <c r="T166" s="3">
        <v>0</v>
      </c>
      <c r="U166" s="3">
        <v>2.9780433336093921E-4</v>
      </c>
      <c r="V166" s="3">
        <v>1.246637823021437E-4</v>
      </c>
      <c r="X166" s="2" t="s">
        <v>339</v>
      </c>
      <c r="Y166" s="3"/>
      <c r="Z166" s="3"/>
      <c r="AA166" s="3"/>
      <c r="AC166"/>
      <c r="AD166"/>
      <c r="AE166"/>
      <c r="AF166"/>
      <c r="AG166"/>
    </row>
    <row r="167" spans="1:33" x14ac:dyDescent="0.25">
      <c r="A167" s="200" t="s">
        <v>18</v>
      </c>
      <c r="B167" s="3">
        <v>1.6648187600380527E-3</v>
      </c>
      <c r="C167" s="3">
        <v>0</v>
      </c>
      <c r="D167" s="3">
        <v>6.8496234425526926E-4</v>
      </c>
      <c r="S167" s="200" t="s">
        <v>35</v>
      </c>
      <c r="T167" s="3">
        <v>0</v>
      </c>
      <c r="U167" s="3">
        <v>0.15199345954930077</v>
      </c>
      <c r="V167" s="3">
        <v>6.3625936327926486E-2</v>
      </c>
      <c r="X167" s="200" t="s">
        <v>18</v>
      </c>
      <c r="Y167" s="3">
        <v>0.13398414345110138</v>
      </c>
      <c r="Z167" s="3">
        <v>0</v>
      </c>
      <c r="AA167" s="3">
        <v>6.2572669886763257E-2</v>
      </c>
      <c r="AC167"/>
      <c r="AD167"/>
      <c r="AE167"/>
      <c r="AF167"/>
      <c r="AG167"/>
    </row>
    <row r="168" spans="1:33" x14ac:dyDescent="0.25">
      <c r="A168" s="2" t="s">
        <v>1189</v>
      </c>
      <c r="B168" s="3">
        <v>1.6648187600380527E-3</v>
      </c>
      <c r="C168" s="3">
        <v>0</v>
      </c>
      <c r="D168" s="3">
        <v>6.8496234425526926E-4</v>
      </c>
      <c r="S168" s="200" t="s">
        <v>41</v>
      </c>
      <c r="T168" s="3">
        <v>0</v>
      </c>
      <c r="U168" s="3">
        <v>5.740386015815311E-3</v>
      </c>
      <c r="V168" s="3">
        <v>2.4029812613187858E-3</v>
      </c>
      <c r="X168" s="200" t="s">
        <v>44</v>
      </c>
      <c r="Y168" s="3">
        <v>5.6738390718036227E-4</v>
      </c>
      <c r="Z168" s="3">
        <v>0</v>
      </c>
      <c r="AA168" s="3">
        <v>2.6497707123093826E-4</v>
      </c>
      <c r="AC168"/>
      <c r="AD168"/>
      <c r="AE168"/>
      <c r="AF168"/>
      <c r="AG168"/>
    </row>
    <row r="169" spans="1:33" x14ac:dyDescent="0.25">
      <c r="A169" s="2" t="s">
        <v>338</v>
      </c>
      <c r="B169" s="3"/>
      <c r="C169" s="3"/>
      <c r="D169" s="3"/>
      <c r="S169" s="2" t="s">
        <v>484</v>
      </c>
      <c r="T169" s="3">
        <v>0.13455152735828174</v>
      </c>
      <c r="U169" s="3">
        <v>0.16773523418825875</v>
      </c>
      <c r="V169" s="3">
        <v>0.14844254888084835</v>
      </c>
      <c r="X169" s="200" t="s">
        <v>37</v>
      </c>
      <c r="Y169" s="3">
        <v>0</v>
      </c>
      <c r="Z169" s="3">
        <v>6.1219584524122338E-3</v>
      </c>
      <c r="AA169" s="3">
        <v>3.2629090497262032E-3</v>
      </c>
      <c r="AC169"/>
      <c r="AD169"/>
      <c r="AE169"/>
      <c r="AF169"/>
      <c r="AG169"/>
    </row>
    <row r="170" spans="1:33" x14ac:dyDescent="0.25">
      <c r="A170" s="200" t="s">
        <v>18</v>
      </c>
      <c r="B170" s="3">
        <v>6.9943078478575799E-4</v>
      </c>
      <c r="C170" s="3">
        <v>0</v>
      </c>
      <c r="D170" s="3">
        <v>2.8776931248672687E-4</v>
      </c>
      <c r="S170" s="2" t="s">
        <v>340</v>
      </c>
      <c r="T170" s="3"/>
      <c r="U170" s="3"/>
      <c r="V170" s="3"/>
      <c r="X170" s="200" t="s">
        <v>34</v>
      </c>
      <c r="Y170" s="3">
        <v>0</v>
      </c>
      <c r="Z170" s="3">
        <v>1.8788374494812591E-4</v>
      </c>
      <c r="AA170" s="3">
        <v>1.00139126466324E-4</v>
      </c>
      <c r="AC170"/>
      <c r="AD170"/>
      <c r="AE170"/>
      <c r="AF170"/>
      <c r="AG170"/>
    </row>
    <row r="171" spans="1:33" x14ac:dyDescent="0.25">
      <c r="A171" s="2" t="s">
        <v>1190</v>
      </c>
      <c r="B171" s="3">
        <v>6.9943078478575799E-4</v>
      </c>
      <c r="C171" s="3">
        <v>0</v>
      </c>
      <c r="D171" s="3">
        <v>2.8776931248672687E-4</v>
      </c>
      <c r="S171" s="200" t="s">
        <v>18</v>
      </c>
      <c r="T171" s="3">
        <v>1.185903048033899E-2</v>
      </c>
      <c r="U171" s="3">
        <v>0</v>
      </c>
      <c r="V171" s="3">
        <v>6.894725302403067E-3</v>
      </c>
      <c r="X171" s="200" t="s">
        <v>35</v>
      </c>
      <c r="Y171" s="3">
        <v>0</v>
      </c>
      <c r="Z171" s="3">
        <v>9.5892158671623068E-2</v>
      </c>
      <c r="AA171" s="3">
        <v>5.1109035574087081E-2</v>
      </c>
      <c r="AC171"/>
      <c r="AD171"/>
      <c r="AE171"/>
      <c r="AF171"/>
      <c r="AG171"/>
    </row>
    <row r="172" spans="1:33" x14ac:dyDescent="0.25">
      <c r="A172" s="2" t="s">
        <v>339</v>
      </c>
      <c r="B172" s="3"/>
      <c r="C172" s="3"/>
      <c r="D172" s="3"/>
      <c r="S172" s="200" t="s">
        <v>43</v>
      </c>
      <c r="T172" s="3">
        <v>2.0047993096293659E-5</v>
      </c>
      <c r="U172" s="3">
        <v>0</v>
      </c>
      <c r="V172" s="3">
        <v>1.1655708743862401E-5</v>
      </c>
      <c r="X172" s="200" t="s">
        <v>41</v>
      </c>
      <c r="Y172" s="3">
        <v>0</v>
      </c>
      <c r="Z172" s="3">
        <v>3.6215900887918199E-3</v>
      </c>
      <c r="AA172" s="3">
        <v>1.9302514329317825E-3</v>
      </c>
      <c r="AC172"/>
      <c r="AD172"/>
      <c r="AE172"/>
      <c r="AF172"/>
      <c r="AG172"/>
    </row>
    <row r="173" spans="1:33" x14ac:dyDescent="0.25">
      <c r="A173" s="200" t="s">
        <v>18</v>
      </c>
      <c r="B173" s="3">
        <v>0.13398414345110138</v>
      </c>
      <c r="C173" s="3">
        <v>0</v>
      </c>
      <c r="D173" s="3">
        <v>5.5125575945097476E-2</v>
      </c>
      <c r="S173" s="200" t="s">
        <v>35</v>
      </c>
      <c r="T173" s="3">
        <v>0</v>
      </c>
      <c r="U173" s="3">
        <v>3.0064226497642553E-3</v>
      </c>
      <c r="V173" s="3">
        <v>1.2585176800103735E-3</v>
      </c>
      <c r="X173" s="200" t="s">
        <v>391</v>
      </c>
      <c r="Y173" s="3">
        <v>0</v>
      </c>
      <c r="Z173" s="3">
        <v>6.4579252173148305E-2</v>
      </c>
      <c r="AA173" s="3">
        <v>3.4419741325962067E-2</v>
      </c>
      <c r="AC173"/>
      <c r="AD173"/>
      <c r="AE173"/>
      <c r="AF173"/>
      <c r="AG173"/>
    </row>
    <row r="174" spans="1:33" x14ac:dyDescent="0.25">
      <c r="A174" s="200" t="s">
        <v>44</v>
      </c>
      <c r="B174" s="3">
        <v>5.6738390718036227E-4</v>
      </c>
      <c r="C174" s="3">
        <v>0</v>
      </c>
      <c r="D174" s="3">
        <v>2.3344079276598972E-4</v>
      </c>
      <c r="S174" s="2" t="s">
        <v>1155</v>
      </c>
      <c r="T174" s="3">
        <v>1.1879078473435285E-2</v>
      </c>
      <c r="U174" s="3">
        <v>3.0064226497642553E-3</v>
      </c>
      <c r="V174" s="3">
        <v>8.1648986911573036E-3</v>
      </c>
      <c r="X174" s="2" t="s">
        <v>484</v>
      </c>
      <c r="Y174" s="3">
        <v>0.13455152735828174</v>
      </c>
      <c r="Z174" s="3">
        <v>0.17040284313092355</v>
      </c>
      <c r="AA174" s="3">
        <v>0.15365972346716766</v>
      </c>
      <c r="AC174"/>
      <c r="AD174"/>
      <c r="AE174"/>
      <c r="AF174"/>
      <c r="AG174"/>
    </row>
    <row r="175" spans="1:33" x14ac:dyDescent="0.25">
      <c r="A175" s="200" t="s">
        <v>374</v>
      </c>
      <c r="B175" s="3">
        <v>0</v>
      </c>
      <c r="C175" s="3">
        <v>2.4183410680659765E-3</v>
      </c>
      <c r="D175" s="3">
        <v>1.4233543422115652E-3</v>
      </c>
      <c r="S175" s="2" t="s">
        <v>367</v>
      </c>
      <c r="T175" s="3"/>
      <c r="U175" s="3"/>
      <c r="V175" s="3"/>
      <c r="X175" s="2" t="s">
        <v>340</v>
      </c>
      <c r="Y175" s="3"/>
      <c r="Z175" s="3"/>
      <c r="AA175" s="3"/>
      <c r="AC175"/>
      <c r="AD175"/>
      <c r="AE175"/>
      <c r="AF175"/>
      <c r="AG175"/>
    </row>
    <row r="176" spans="1:33" x14ac:dyDescent="0.25">
      <c r="A176" s="200" t="s">
        <v>37</v>
      </c>
      <c r="B176" s="3">
        <v>0</v>
      </c>
      <c r="C176" s="3">
        <v>4.8840257250868284E-3</v>
      </c>
      <c r="D176" s="3">
        <v>2.8745735310341555E-3</v>
      </c>
      <c r="S176" s="200" t="s">
        <v>18</v>
      </c>
      <c r="T176" s="3">
        <v>6.3840070990457604E-2</v>
      </c>
      <c r="U176" s="3">
        <v>0</v>
      </c>
      <c r="V176" s="3">
        <v>3.7115998099073448E-2</v>
      </c>
      <c r="X176" s="200" t="s">
        <v>18</v>
      </c>
      <c r="Y176" s="3">
        <v>1.185903048033899E-2</v>
      </c>
      <c r="Z176" s="3">
        <v>0</v>
      </c>
      <c r="AA176" s="3">
        <v>5.5383508847383347E-3</v>
      </c>
      <c r="AC176"/>
      <c r="AD176"/>
      <c r="AE176"/>
      <c r="AF176"/>
      <c r="AG176"/>
    </row>
    <row r="177" spans="1:33" x14ac:dyDescent="0.25">
      <c r="A177" s="200" t="s">
        <v>390</v>
      </c>
      <c r="B177" s="3">
        <v>0</v>
      </c>
      <c r="C177" s="3">
        <v>9.9323750284218748E-2</v>
      </c>
      <c r="D177" s="3">
        <v>5.8458624020655728E-2</v>
      </c>
      <c r="S177" s="200" t="s">
        <v>43</v>
      </c>
      <c r="T177" s="3">
        <v>2.6530177530761944E-3</v>
      </c>
      <c r="U177" s="3">
        <v>0</v>
      </c>
      <c r="V177" s="3">
        <v>1.5424387904377911E-3</v>
      </c>
      <c r="X177" s="200" t="s">
        <v>43</v>
      </c>
      <c r="Y177" s="3">
        <v>2.0047993096293659E-5</v>
      </c>
      <c r="Z177" s="3">
        <v>0</v>
      </c>
      <c r="AA177" s="3">
        <v>9.3627232416820751E-6</v>
      </c>
      <c r="AC177"/>
      <c r="AD177"/>
      <c r="AE177"/>
      <c r="AF177"/>
      <c r="AG177"/>
    </row>
    <row r="178" spans="1:33" x14ac:dyDescent="0.25">
      <c r="A178" s="200" t="s">
        <v>34</v>
      </c>
      <c r="B178" s="3">
        <v>0</v>
      </c>
      <c r="C178" s="3">
        <v>1.4989141967971479E-4</v>
      </c>
      <c r="D178" s="3">
        <v>8.8221056110997475E-5</v>
      </c>
      <c r="S178" s="200" t="s">
        <v>44</v>
      </c>
      <c r="T178" s="3">
        <v>5.1148084950800488E-4</v>
      </c>
      <c r="U178" s="3">
        <v>0</v>
      </c>
      <c r="V178" s="3">
        <v>2.9737000513187407E-4</v>
      </c>
      <c r="X178" s="200" t="s">
        <v>35</v>
      </c>
      <c r="Y178" s="3">
        <v>0</v>
      </c>
      <c r="Z178" s="3">
        <v>1.8967418638934567E-3</v>
      </c>
      <c r="AA178" s="3">
        <v>1.0109340402749544E-3</v>
      </c>
      <c r="AC178"/>
      <c r="AD178"/>
      <c r="AE178"/>
      <c r="AF178"/>
      <c r="AG178"/>
    </row>
    <row r="179" spans="1:33" x14ac:dyDescent="0.25">
      <c r="A179" s="200" t="s">
        <v>35</v>
      </c>
      <c r="B179" s="3">
        <v>0</v>
      </c>
      <c r="C179" s="3">
        <v>7.6501624999067958E-2</v>
      </c>
      <c r="D179" s="3">
        <v>4.5026287468932613E-2</v>
      </c>
      <c r="S179" s="200" t="s">
        <v>46</v>
      </c>
      <c r="T179" s="3">
        <v>3.34133218271561E-6</v>
      </c>
      <c r="U179" s="3">
        <v>0</v>
      </c>
      <c r="V179" s="3">
        <v>1.9426181239770669E-6</v>
      </c>
      <c r="X179" s="2" t="s">
        <v>1155</v>
      </c>
      <c r="Y179" s="3">
        <v>1.1879078473435285E-2</v>
      </c>
      <c r="Z179" s="3">
        <v>1.8967418638934567E-3</v>
      </c>
      <c r="AA179" s="3">
        <v>6.5586476482549713E-3</v>
      </c>
      <c r="AC179"/>
      <c r="AD179"/>
      <c r="AE179"/>
      <c r="AF179"/>
      <c r="AG179"/>
    </row>
    <row r="180" spans="1:33" x14ac:dyDescent="0.25">
      <c r="A180" s="200" t="s">
        <v>41</v>
      </c>
      <c r="B180" s="3">
        <v>0</v>
      </c>
      <c r="C180" s="3">
        <v>2.889261548713903E-3</v>
      </c>
      <c r="D180" s="3">
        <v>1.7005223231128829E-3</v>
      </c>
      <c r="S180" s="200" t="s">
        <v>37</v>
      </c>
      <c r="T180" s="3">
        <v>0</v>
      </c>
      <c r="U180" s="3">
        <v>8.4366887799250077E-3</v>
      </c>
      <c r="V180" s="3">
        <v>3.5316797493903074E-3</v>
      </c>
      <c r="X180" s="2" t="s">
        <v>367</v>
      </c>
      <c r="Y180" s="3"/>
      <c r="Z180" s="3"/>
      <c r="AA180" s="3"/>
      <c r="AC180"/>
      <c r="AD180"/>
      <c r="AE180"/>
      <c r="AF180"/>
      <c r="AG180"/>
    </row>
    <row r="181" spans="1:33" x14ac:dyDescent="0.25">
      <c r="A181" s="2" t="s">
        <v>484</v>
      </c>
      <c r="B181" s="3">
        <v>0.13455152735828174</v>
      </c>
      <c r="C181" s="3">
        <v>0.18616689504483311</v>
      </c>
      <c r="D181" s="3">
        <v>0.16493059947992142</v>
      </c>
      <c r="S181" s="200" t="s">
        <v>34</v>
      </c>
      <c r="T181" s="3">
        <v>0</v>
      </c>
      <c r="U181" s="3">
        <v>2.1409427501734886E-4</v>
      </c>
      <c r="V181" s="3">
        <v>8.9621939988865067E-5</v>
      </c>
      <c r="X181" s="200" t="s">
        <v>18</v>
      </c>
      <c r="Y181" s="3">
        <v>6.3840070990457604E-2</v>
      </c>
      <c r="Z181" s="3">
        <v>0</v>
      </c>
      <c r="AA181" s="3">
        <v>2.9814301787818003E-2</v>
      </c>
      <c r="AC181"/>
      <c r="AD181"/>
      <c r="AE181"/>
      <c r="AF181"/>
      <c r="AG181"/>
    </row>
    <row r="182" spans="1:33" x14ac:dyDescent="0.25">
      <c r="A182" s="2" t="s">
        <v>340</v>
      </c>
      <c r="B182" s="3"/>
      <c r="C182" s="3"/>
      <c r="D182" s="3"/>
      <c r="S182" s="200" t="s">
        <v>35</v>
      </c>
      <c r="T182" s="3">
        <v>0</v>
      </c>
      <c r="U182" s="3">
        <v>0.10051471869136726</v>
      </c>
      <c r="V182" s="3">
        <v>4.2076436120608046E-2</v>
      </c>
      <c r="X182" s="200" t="s">
        <v>43</v>
      </c>
      <c r="Y182" s="3">
        <v>2.6530177530761944E-3</v>
      </c>
      <c r="Z182" s="3">
        <v>0</v>
      </c>
      <c r="AA182" s="3">
        <v>1.2390003756492613E-3</v>
      </c>
      <c r="AC182"/>
      <c r="AD182"/>
      <c r="AE182"/>
      <c r="AF182"/>
      <c r="AG182"/>
    </row>
    <row r="183" spans="1:33" x14ac:dyDescent="0.25">
      <c r="A183" s="200" t="s">
        <v>18</v>
      </c>
      <c r="B183" s="3">
        <v>1.185903048033899E-2</v>
      </c>
      <c r="C183" s="3">
        <v>0</v>
      </c>
      <c r="D183" s="3">
        <v>4.8792033784037974E-3</v>
      </c>
      <c r="S183" s="200" t="s">
        <v>41</v>
      </c>
      <c r="T183" s="3">
        <v>0</v>
      </c>
      <c r="U183" s="3">
        <v>3.4332725528105159E-3</v>
      </c>
      <c r="V183" s="3">
        <v>1.4372011893754181E-3</v>
      </c>
      <c r="X183" s="200" t="s">
        <v>44</v>
      </c>
      <c r="Y183" s="3">
        <v>5.1148084950800488E-4</v>
      </c>
      <c r="Z183" s="3">
        <v>0</v>
      </c>
      <c r="AA183" s="3">
        <v>2.3886947757624781E-4</v>
      </c>
      <c r="AC183"/>
      <c r="AD183"/>
      <c r="AE183"/>
      <c r="AF183"/>
      <c r="AG183"/>
    </row>
    <row r="184" spans="1:33" x14ac:dyDescent="0.25">
      <c r="A184" s="200" t="s">
        <v>43</v>
      </c>
      <c r="B184" s="3">
        <v>2.0047993096293659E-5</v>
      </c>
      <c r="C184" s="3">
        <v>0</v>
      </c>
      <c r="D184" s="3">
        <v>8.2484175926374625E-6</v>
      </c>
      <c r="S184" s="2" t="s">
        <v>485</v>
      </c>
      <c r="T184" s="3">
        <v>6.7007910925224526E-2</v>
      </c>
      <c r="U184" s="3">
        <v>0.11259877429912013</v>
      </c>
      <c r="V184" s="3">
        <v>8.6092688512129728E-2</v>
      </c>
      <c r="X184" s="200" t="s">
        <v>46</v>
      </c>
      <c r="Y184" s="3">
        <v>3.34133218271561E-6</v>
      </c>
      <c r="Z184" s="3">
        <v>0</v>
      </c>
      <c r="AA184" s="3">
        <v>1.5604538736136792E-6</v>
      </c>
      <c r="AC184"/>
      <c r="AD184"/>
      <c r="AE184"/>
      <c r="AF184"/>
      <c r="AG184"/>
    </row>
    <row r="185" spans="1:33" x14ac:dyDescent="0.25">
      <c r="A185" s="200" t="s">
        <v>374</v>
      </c>
      <c r="B185" s="3">
        <v>0</v>
      </c>
      <c r="C185" s="3">
        <v>1.5092453404969784E-5</v>
      </c>
      <c r="D185" s="3">
        <v>8.8829112536095751E-6</v>
      </c>
      <c r="S185" s="2" t="s">
        <v>341</v>
      </c>
      <c r="T185" s="3"/>
      <c r="U185" s="3"/>
      <c r="V185" s="3"/>
      <c r="X185" s="200" t="s">
        <v>37</v>
      </c>
      <c r="Y185" s="3">
        <v>0</v>
      </c>
      <c r="Z185" s="3">
        <v>5.3226783675205365E-3</v>
      </c>
      <c r="AA185" s="3">
        <v>2.8369051422296688E-3</v>
      </c>
      <c r="AC185"/>
      <c r="AD185"/>
      <c r="AE185"/>
      <c r="AF185"/>
      <c r="AG185"/>
    </row>
    <row r="186" spans="1:33" x14ac:dyDescent="0.25">
      <c r="A186" s="200" t="s">
        <v>390</v>
      </c>
      <c r="B186" s="3">
        <v>0</v>
      </c>
      <c r="C186" s="3">
        <v>2.8028842037801027E-5</v>
      </c>
      <c r="D186" s="3">
        <v>1.6496835185274925E-5</v>
      </c>
      <c r="S186" s="200" t="s">
        <v>18</v>
      </c>
      <c r="T186" s="3">
        <v>8.6451829716716073E-3</v>
      </c>
      <c r="U186" s="3">
        <v>0</v>
      </c>
      <c r="V186" s="3">
        <v>5.0262255314638942E-3</v>
      </c>
      <c r="X186" s="200" t="s">
        <v>34</v>
      </c>
      <c r="Y186" s="3">
        <v>0</v>
      </c>
      <c r="Z186" s="3">
        <v>1.3507135275113997E-4</v>
      </c>
      <c r="AA186" s="3">
        <v>7.1990939284600315E-5</v>
      </c>
      <c r="AC186"/>
      <c r="AD186"/>
      <c r="AE186"/>
      <c r="AF186"/>
      <c r="AG186"/>
    </row>
    <row r="187" spans="1:33" x14ac:dyDescent="0.25">
      <c r="A187" s="200" t="s">
        <v>35</v>
      </c>
      <c r="B187" s="3">
        <v>0</v>
      </c>
      <c r="C187" s="3">
        <v>1.5131981259125656E-3</v>
      </c>
      <c r="D187" s="3">
        <v>8.9061760211785526E-4</v>
      </c>
      <c r="S187" s="2" t="s">
        <v>1191</v>
      </c>
      <c r="T187" s="3">
        <v>8.6451829716716073E-3</v>
      </c>
      <c r="U187" s="3">
        <v>0</v>
      </c>
      <c r="V187" s="3">
        <v>5.0262255314638942E-3</v>
      </c>
      <c r="X187" s="200" t="s">
        <v>35</v>
      </c>
      <c r="Y187" s="3">
        <v>0</v>
      </c>
      <c r="Z187" s="3">
        <v>6.3414395475745913E-2</v>
      </c>
      <c r="AA187" s="3">
        <v>3.3798890745362194E-2</v>
      </c>
      <c r="AC187"/>
      <c r="AD187"/>
      <c r="AE187"/>
      <c r="AF187"/>
      <c r="AG187"/>
    </row>
    <row r="188" spans="1:33" x14ac:dyDescent="0.25">
      <c r="A188" s="2" t="s">
        <v>1155</v>
      </c>
      <c r="B188" s="3">
        <v>1.1879078473435285E-2</v>
      </c>
      <c r="C188" s="3">
        <v>1.5563194213553365E-3</v>
      </c>
      <c r="D188" s="3">
        <v>5.8034491445531746E-3</v>
      </c>
      <c r="S188" s="2" t="s">
        <v>342</v>
      </c>
      <c r="T188" s="3"/>
      <c r="U188" s="3"/>
      <c r="V188" s="3"/>
      <c r="X188" s="200" t="s">
        <v>41</v>
      </c>
      <c r="Y188" s="3">
        <v>0</v>
      </c>
      <c r="Z188" s="3">
        <v>2.1660400215461049E-3</v>
      </c>
      <c r="AA188" s="3">
        <v>1.1544657879190741E-3</v>
      </c>
      <c r="AC188"/>
      <c r="AD188"/>
      <c r="AE188"/>
      <c r="AF188"/>
      <c r="AG188"/>
    </row>
    <row r="189" spans="1:33" x14ac:dyDescent="0.25">
      <c r="A189" s="2" t="s">
        <v>367</v>
      </c>
      <c r="B189" s="3"/>
      <c r="C189" s="3"/>
      <c r="D189" s="3"/>
      <c r="S189" s="200" t="s">
        <v>18</v>
      </c>
      <c r="T189" s="3">
        <v>2.5221917468452523E-3</v>
      </c>
      <c r="U189" s="3">
        <v>0</v>
      </c>
      <c r="V189" s="3">
        <v>1.4663778192759197E-3</v>
      </c>
      <c r="X189" s="200" t="s">
        <v>391</v>
      </c>
      <c r="Y189" s="3">
        <v>0</v>
      </c>
      <c r="Z189" s="3">
        <v>9.2838892982443598E-3</v>
      </c>
      <c r="AA189" s="3">
        <v>4.9481692245006382E-3</v>
      </c>
      <c r="AC189"/>
      <c r="AD189"/>
      <c r="AE189"/>
      <c r="AF189"/>
      <c r="AG189"/>
    </row>
    <row r="190" spans="1:33" x14ac:dyDescent="0.25">
      <c r="A190" s="200" t="s">
        <v>18</v>
      </c>
      <c r="B190" s="3">
        <v>6.3840070990457604E-2</v>
      </c>
      <c r="C190" s="3">
        <v>0</v>
      </c>
      <c r="D190" s="3">
        <v>2.6265949022611423E-2</v>
      </c>
      <c r="S190" s="2" t="s">
        <v>1192</v>
      </c>
      <c r="T190" s="3">
        <v>2.5221917468452523E-3</v>
      </c>
      <c r="U190" s="3">
        <v>0</v>
      </c>
      <c r="V190" s="3">
        <v>1.4663778192759197E-3</v>
      </c>
      <c r="X190" s="2" t="s">
        <v>485</v>
      </c>
      <c r="Y190" s="3">
        <v>6.7007910925224526E-2</v>
      </c>
      <c r="Z190" s="3">
        <v>8.0322074515808056E-2</v>
      </c>
      <c r="AA190" s="3">
        <v>7.410415393421331E-2</v>
      </c>
      <c r="AC190"/>
      <c r="AD190"/>
      <c r="AE190"/>
      <c r="AF190"/>
      <c r="AG190"/>
    </row>
    <row r="191" spans="1:33" x14ac:dyDescent="0.25">
      <c r="A191" s="200" t="s">
        <v>43</v>
      </c>
      <c r="B191" s="3">
        <v>2.6530177530761944E-3</v>
      </c>
      <c r="C191" s="3">
        <v>0</v>
      </c>
      <c r="D191" s="3">
        <v>1.0915405947590242E-3</v>
      </c>
      <c r="S191" s="2" t="s">
        <v>343</v>
      </c>
      <c r="T191" s="3"/>
      <c r="U191" s="3"/>
      <c r="V191" s="3"/>
      <c r="X191" s="2" t="s">
        <v>341</v>
      </c>
      <c r="Y191" s="3"/>
      <c r="Z191" s="3"/>
      <c r="AA191" s="3"/>
      <c r="AC191"/>
      <c r="AD191"/>
      <c r="AE191"/>
      <c r="AF191"/>
      <c r="AG191"/>
    </row>
    <row r="192" spans="1:33" x14ac:dyDescent="0.25">
      <c r="A192" s="200" t="s">
        <v>44</v>
      </c>
      <c r="B192" s="3">
        <v>5.1148084950800488E-4</v>
      </c>
      <c r="C192" s="3">
        <v>0</v>
      </c>
      <c r="D192" s="3">
        <v>2.1044039755575063E-4</v>
      </c>
      <c r="S192" s="200" t="s">
        <v>18</v>
      </c>
      <c r="T192" s="3">
        <v>6.3457038660819764E-3</v>
      </c>
      <c r="U192" s="3">
        <v>0</v>
      </c>
      <c r="V192" s="3">
        <v>3.6893306817592157E-3</v>
      </c>
      <c r="X192" s="200" t="s">
        <v>18</v>
      </c>
      <c r="Y192" s="3">
        <v>8.6451829716716073E-3</v>
      </c>
      <c r="Z192" s="3">
        <v>0</v>
      </c>
      <c r="AA192" s="3">
        <v>4.0374343281486856E-3</v>
      </c>
      <c r="AC192"/>
      <c r="AD192"/>
      <c r="AE192"/>
      <c r="AF192"/>
      <c r="AG192"/>
    </row>
    <row r="193" spans="1:33" x14ac:dyDescent="0.25">
      <c r="A193" s="200" t="s">
        <v>46</v>
      </c>
      <c r="B193" s="3">
        <v>3.34133218271561E-6</v>
      </c>
      <c r="C193" s="3">
        <v>0</v>
      </c>
      <c r="D193" s="3">
        <v>1.3747362654395772E-6</v>
      </c>
      <c r="S193" s="200" t="s">
        <v>35</v>
      </c>
      <c r="T193" s="3">
        <v>0</v>
      </c>
      <c r="U193" s="3">
        <v>4.6567066571093219E-4</v>
      </c>
      <c r="V193" s="3">
        <v>1.9493425713292952E-4</v>
      </c>
      <c r="X193" s="2" t="s">
        <v>1191</v>
      </c>
      <c r="Y193" s="3">
        <v>8.6451829716716073E-3</v>
      </c>
      <c r="Z193" s="3">
        <v>0</v>
      </c>
      <c r="AA193" s="3">
        <v>4.0374343281486856E-3</v>
      </c>
      <c r="AC193"/>
      <c r="AD193"/>
      <c r="AE193"/>
      <c r="AF193"/>
      <c r="AG193"/>
    </row>
    <row r="194" spans="1:33" x14ac:dyDescent="0.25">
      <c r="A194" s="200" t="s">
        <v>374</v>
      </c>
      <c r="B194" s="3">
        <v>0</v>
      </c>
      <c r="C194" s="3">
        <v>1.4624407677351376E-3</v>
      </c>
      <c r="D194" s="3">
        <v>8.6074352558041824E-4</v>
      </c>
      <c r="S194" s="2" t="s">
        <v>1156</v>
      </c>
      <c r="T194" s="3">
        <v>6.3457038660819764E-3</v>
      </c>
      <c r="U194" s="3">
        <v>4.6567066571093219E-4</v>
      </c>
      <c r="V194" s="3">
        <v>3.8842649388921451E-3</v>
      </c>
      <c r="X194" s="2" t="s">
        <v>342</v>
      </c>
      <c r="Y194" s="3"/>
      <c r="Z194" s="3"/>
      <c r="AA194" s="3"/>
      <c r="AC194"/>
      <c r="AD194"/>
      <c r="AE194"/>
      <c r="AF194"/>
      <c r="AG194"/>
    </row>
    <row r="195" spans="1:33" x14ac:dyDescent="0.25">
      <c r="A195" s="200" t="s">
        <v>37</v>
      </c>
      <c r="B195" s="3">
        <v>0</v>
      </c>
      <c r="C195" s="3">
        <v>4.2463695687268554E-3</v>
      </c>
      <c r="D195" s="3">
        <v>2.4992705305691512E-3</v>
      </c>
      <c r="S195" s="2" t="s">
        <v>344</v>
      </c>
      <c r="T195" s="3"/>
      <c r="U195" s="3"/>
      <c r="V195" s="3"/>
      <c r="X195" s="200" t="s">
        <v>18</v>
      </c>
      <c r="Y195" s="3">
        <v>2.5221917468452523E-3</v>
      </c>
      <c r="Z195" s="3">
        <v>0</v>
      </c>
      <c r="AA195" s="3">
        <v>1.1779026047516181E-3</v>
      </c>
      <c r="AC195"/>
      <c r="AD195"/>
      <c r="AE195"/>
      <c r="AF195"/>
      <c r="AG195"/>
    </row>
    <row r="196" spans="1:33" x14ac:dyDescent="0.25">
      <c r="A196" s="200" t="s">
        <v>390</v>
      </c>
      <c r="B196" s="3">
        <v>0</v>
      </c>
      <c r="C196" s="3">
        <v>5.6047577521982653E-2</v>
      </c>
      <c r="D196" s="3">
        <v>3.2987721992478236E-2</v>
      </c>
      <c r="S196" s="200" t="s">
        <v>18</v>
      </c>
      <c r="T196" s="3">
        <v>3.6299590269141098E-2</v>
      </c>
      <c r="U196" s="3">
        <v>0</v>
      </c>
      <c r="V196" s="3">
        <v>2.1104229718478397E-2</v>
      </c>
      <c r="X196" s="2" t="s">
        <v>1192</v>
      </c>
      <c r="Y196" s="3">
        <v>2.5221917468452523E-3</v>
      </c>
      <c r="Z196" s="3">
        <v>0</v>
      </c>
      <c r="AA196" s="3">
        <v>1.1779026047516181E-3</v>
      </c>
      <c r="AC196"/>
      <c r="AD196"/>
      <c r="AE196"/>
      <c r="AF196"/>
      <c r="AG196"/>
    </row>
    <row r="197" spans="1:33" x14ac:dyDescent="0.25">
      <c r="A197" s="200" t="s">
        <v>34</v>
      </c>
      <c r="B197" s="3">
        <v>0</v>
      </c>
      <c r="C197" s="3">
        <v>1.077583205908408E-4</v>
      </c>
      <c r="D197" s="3">
        <v>6.3422928861337418E-5</v>
      </c>
      <c r="S197" s="200" t="s">
        <v>44</v>
      </c>
      <c r="T197" s="3">
        <v>3.1299286657707182E-4</v>
      </c>
      <c r="U197" s="3">
        <v>0</v>
      </c>
      <c r="V197" s="3">
        <v>1.8197101695946715E-4</v>
      </c>
      <c r="X197" s="2" t="s">
        <v>343</v>
      </c>
      <c r="Y197" s="3"/>
      <c r="Z197" s="3"/>
      <c r="AA197" s="3"/>
      <c r="AC197"/>
      <c r="AD197"/>
      <c r="AE197"/>
      <c r="AF197"/>
      <c r="AG197"/>
    </row>
    <row r="198" spans="1:33" x14ac:dyDescent="0.25">
      <c r="A198" s="200" t="s">
        <v>35</v>
      </c>
      <c r="B198" s="3">
        <v>0</v>
      </c>
      <c r="C198" s="3">
        <v>5.0591251353941297E-2</v>
      </c>
      <c r="D198" s="3">
        <v>2.9776311639175511E-2</v>
      </c>
      <c r="S198" s="200" t="s">
        <v>37</v>
      </c>
      <c r="T198" s="3">
        <v>0</v>
      </c>
      <c r="U198" s="3">
        <v>1.6706314415693084E-4</v>
      </c>
      <c r="V198" s="3">
        <v>6.9934252463174401E-5</v>
      </c>
      <c r="X198" s="200" t="s">
        <v>18</v>
      </c>
      <c r="Y198" s="3">
        <v>6.3457038660819764E-3</v>
      </c>
      <c r="Z198" s="3">
        <v>0</v>
      </c>
      <c r="AA198" s="3">
        <v>2.9635419758190867E-3</v>
      </c>
      <c r="AC198"/>
      <c r="AD198"/>
      <c r="AE198"/>
      <c r="AF198"/>
      <c r="AG198"/>
    </row>
    <row r="199" spans="1:33" x14ac:dyDescent="0.25">
      <c r="A199" s="200" t="s">
        <v>41</v>
      </c>
      <c r="B199" s="3">
        <v>0</v>
      </c>
      <c r="C199" s="3">
        <v>1.728040996852954E-3</v>
      </c>
      <c r="D199" s="3">
        <v>1.0170669013024225E-3</v>
      </c>
      <c r="S199" s="200" t="s">
        <v>35</v>
      </c>
      <c r="T199" s="3">
        <v>0</v>
      </c>
      <c r="U199" s="3">
        <v>8.68862214314884E-3</v>
      </c>
      <c r="V199" s="3">
        <v>3.6371414986977545E-3</v>
      </c>
      <c r="X199" s="200" t="s">
        <v>35</v>
      </c>
      <c r="Y199" s="3">
        <v>0</v>
      </c>
      <c r="Z199" s="3">
        <v>2.9379004529197513E-4</v>
      </c>
      <c r="AA199" s="3">
        <v>1.5658554447146498E-4</v>
      </c>
      <c r="AC199"/>
      <c r="AD199"/>
      <c r="AE199"/>
      <c r="AF199"/>
      <c r="AG199"/>
    </row>
    <row r="200" spans="1:33" x14ac:dyDescent="0.25">
      <c r="A200" s="2" t="s">
        <v>485</v>
      </c>
      <c r="B200" s="3">
        <v>6.7007910925224526E-2</v>
      </c>
      <c r="C200" s="3">
        <v>0.11418343852982973</v>
      </c>
      <c r="D200" s="3">
        <v>9.477384226915872E-2</v>
      </c>
      <c r="S200" s="2" t="s">
        <v>1157</v>
      </c>
      <c r="T200" s="3">
        <v>3.6612583135718163E-2</v>
      </c>
      <c r="U200" s="3">
        <v>8.8556852873057715E-3</v>
      </c>
      <c r="V200" s="3">
        <v>2.4993276486598794E-2</v>
      </c>
      <c r="X200" s="2" t="s">
        <v>1156</v>
      </c>
      <c r="Y200" s="3">
        <v>6.3457038660819764E-3</v>
      </c>
      <c r="Z200" s="3">
        <v>2.9379004529197513E-4</v>
      </c>
      <c r="AA200" s="3">
        <v>3.1201275202905518E-3</v>
      </c>
      <c r="AC200"/>
      <c r="AD200"/>
      <c r="AE200"/>
      <c r="AF200"/>
      <c r="AG200"/>
    </row>
    <row r="201" spans="1:33" x14ac:dyDescent="0.25">
      <c r="A201" s="2" t="s">
        <v>341</v>
      </c>
      <c r="B201" s="3"/>
      <c r="C201" s="3"/>
      <c r="D201" s="3"/>
      <c r="S201" s="2" t="s">
        <v>345</v>
      </c>
      <c r="T201" s="3"/>
      <c r="U201" s="3"/>
      <c r="V201" s="3"/>
      <c r="X201" s="2" t="s">
        <v>344</v>
      </c>
      <c r="Y201" s="3"/>
      <c r="Z201" s="3"/>
      <c r="AA201" s="3"/>
      <c r="AC201"/>
      <c r="AD201"/>
      <c r="AE201"/>
      <c r="AF201"/>
      <c r="AG201"/>
    </row>
    <row r="202" spans="1:33" x14ac:dyDescent="0.25">
      <c r="A202" s="200" t="s">
        <v>18</v>
      </c>
      <c r="B202" s="3">
        <v>8.6451829716716073E-3</v>
      </c>
      <c r="C202" s="3">
        <v>0</v>
      </c>
      <c r="D202" s="3">
        <v>3.556918588937915E-3</v>
      </c>
      <c r="S202" s="200" t="s">
        <v>18</v>
      </c>
      <c r="T202" s="3">
        <v>2.3823698462762297E-3</v>
      </c>
      <c r="U202" s="3">
        <v>0</v>
      </c>
      <c r="V202" s="3">
        <v>1.3850867223956487E-3</v>
      </c>
      <c r="X202" s="200" t="s">
        <v>18</v>
      </c>
      <c r="Y202" s="3">
        <v>3.6299590269141098E-2</v>
      </c>
      <c r="Z202" s="3">
        <v>0</v>
      </c>
      <c r="AA202" s="3">
        <v>1.6952470795655625E-2</v>
      </c>
      <c r="AC202"/>
      <c r="AD202"/>
      <c r="AE202"/>
      <c r="AF202"/>
      <c r="AG202"/>
    </row>
    <row r="203" spans="1:33" x14ac:dyDescent="0.25">
      <c r="A203" s="2" t="s">
        <v>1191</v>
      </c>
      <c r="B203" s="3">
        <v>8.6451829716716073E-3</v>
      </c>
      <c r="C203" s="3">
        <v>0</v>
      </c>
      <c r="D203" s="3">
        <v>3.556918588937915E-3</v>
      </c>
      <c r="S203" s="2" t="s">
        <v>1193</v>
      </c>
      <c r="T203" s="3">
        <v>2.3823698462762297E-3</v>
      </c>
      <c r="U203" s="3">
        <v>0</v>
      </c>
      <c r="V203" s="3">
        <v>1.3850867223956487E-3</v>
      </c>
      <c r="X203" s="200" t="s">
        <v>44</v>
      </c>
      <c r="Y203" s="3">
        <v>3.1299286657707182E-4</v>
      </c>
      <c r="Z203" s="3">
        <v>0</v>
      </c>
      <c r="AA203" s="3">
        <v>1.4617251573792754E-4</v>
      </c>
      <c r="AC203"/>
      <c r="AD203"/>
      <c r="AE203"/>
      <c r="AF203"/>
      <c r="AG203"/>
    </row>
    <row r="204" spans="1:33" x14ac:dyDescent="0.25">
      <c r="A204" s="2" t="s">
        <v>342</v>
      </c>
      <c r="B204" s="3"/>
      <c r="C204" s="3"/>
      <c r="D204" s="3"/>
      <c r="S204" s="2" t="s">
        <v>346</v>
      </c>
      <c r="T204" s="3"/>
      <c r="U204" s="3"/>
      <c r="V204" s="3"/>
      <c r="X204" s="200" t="s">
        <v>37</v>
      </c>
      <c r="Y204" s="3">
        <v>0</v>
      </c>
      <c r="Z204" s="3">
        <v>1.0539957163407003E-4</v>
      </c>
      <c r="AA204" s="3">
        <v>5.6176339450092457E-5</v>
      </c>
      <c r="AC204"/>
      <c r="AD204"/>
      <c r="AE204"/>
      <c r="AF204"/>
      <c r="AG204"/>
    </row>
    <row r="205" spans="1:33" x14ac:dyDescent="0.25">
      <c r="A205" s="200" t="s">
        <v>18</v>
      </c>
      <c r="B205" s="3">
        <v>2.5221917468452523E-3</v>
      </c>
      <c r="C205" s="3">
        <v>0</v>
      </c>
      <c r="D205" s="3">
        <v>1.03771438251989E-3</v>
      </c>
      <c r="S205" s="200" t="s">
        <v>18</v>
      </c>
      <c r="T205" s="3">
        <v>6.2373675956962351E-4</v>
      </c>
      <c r="U205" s="3">
        <v>0</v>
      </c>
      <c r="V205" s="3">
        <v>3.6263450248933435E-4</v>
      </c>
      <c r="X205" s="200" t="s">
        <v>35</v>
      </c>
      <c r="Y205" s="3">
        <v>0</v>
      </c>
      <c r="Z205" s="3">
        <v>5.4816222728212736E-3</v>
      </c>
      <c r="AA205" s="3">
        <v>2.9216197823298887E-3</v>
      </c>
      <c r="AC205"/>
      <c r="AD205"/>
      <c r="AE205"/>
      <c r="AF205"/>
      <c r="AG205"/>
    </row>
    <row r="206" spans="1:33" x14ac:dyDescent="0.25">
      <c r="A206" s="2" t="s">
        <v>1192</v>
      </c>
      <c r="B206" s="3">
        <v>2.5221917468452523E-3</v>
      </c>
      <c r="C206" s="3">
        <v>0</v>
      </c>
      <c r="D206" s="3">
        <v>1.03771438251989E-3</v>
      </c>
      <c r="S206" s="2" t="s">
        <v>1194</v>
      </c>
      <c r="T206" s="3">
        <v>6.2373675956962351E-4</v>
      </c>
      <c r="U206" s="3">
        <v>0</v>
      </c>
      <c r="V206" s="3">
        <v>3.6263450248933435E-4</v>
      </c>
      <c r="X206" s="2" t="s">
        <v>1157</v>
      </c>
      <c r="Y206" s="3">
        <v>3.6612583135718163E-2</v>
      </c>
      <c r="Z206" s="3">
        <v>5.5870218444553435E-3</v>
      </c>
      <c r="AA206" s="3">
        <v>2.0076439433173533E-2</v>
      </c>
      <c r="AC206"/>
      <c r="AD206"/>
      <c r="AE206"/>
      <c r="AF206"/>
      <c r="AG206"/>
    </row>
    <row r="207" spans="1:33" x14ac:dyDescent="0.25">
      <c r="A207" s="2" t="s">
        <v>343</v>
      </c>
      <c r="B207" s="3"/>
      <c r="C207" s="3"/>
      <c r="D207" s="3"/>
      <c r="S207" s="2" t="s">
        <v>347</v>
      </c>
      <c r="T207" s="3"/>
      <c r="U207" s="3"/>
      <c r="V207" s="3"/>
      <c r="X207" s="2" t="s">
        <v>345</v>
      </c>
      <c r="Y207" s="3"/>
      <c r="Z207" s="3"/>
      <c r="AA207" s="3"/>
      <c r="AC207"/>
      <c r="AD207"/>
      <c r="AE207"/>
      <c r="AF207"/>
      <c r="AG207"/>
    </row>
    <row r="208" spans="1:33" x14ac:dyDescent="0.25">
      <c r="A208" s="200" t="s">
        <v>18</v>
      </c>
      <c r="B208" s="3">
        <v>6.3457038660819764E-3</v>
      </c>
      <c r="C208" s="3">
        <v>0</v>
      </c>
      <c r="D208" s="3">
        <v>2.6108356659567474E-3</v>
      </c>
      <c r="S208" s="200" t="s">
        <v>18</v>
      </c>
      <c r="T208" s="3">
        <v>5.0916761953535567E-4</v>
      </c>
      <c r="U208" s="3">
        <v>0</v>
      </c>
      <c r="V208" s="3">
        <v>2.960251156614284E-4</v>
      </c>
      <c r="X208" s="200" t="s">
        <v>18</v>
      </c>
      <c r="Y208" s="3">
        <v>2.3823698462762297E-3</v>
      </c>
      <c r="Z208" s="3">
        <v>0</v>
      </c>
      <c r="AA208" s="3">
        <v>1.1126036118865533E-3</v>
      </c>
      <c r="AC208"/>
      <c r="AD208"/>
      <c r="AE208"/>
      <c r="AF208"/>
      <c r="AG208"/>
    </row>
    <row r="209" spans="1:33" x14ac:dyDescent="0.25">
      <c r="A209" s="200" t="s">
        <v>35</v>
      </c>
      <c r="B209" s="3">
        <v>0</v>
      </c>
      <c r="C209" s="3">
        <v>2.3438220793789384E-4</v>
      </c>
      <c r="D209" s="3">
        <v>1.3794949678968678E-4</v>
      </c>
      <c r="S209" s="2" t="s">
        <v>1195</v>
      </c>
      <c r="T209" s="3">
        <v>5.0916761953535567E-4</v>
      </c>
      <c r="U209" s="3">
        <v>0</v>
      </c>
      <c r="V209" s="3">
        <v>2.960251156614284E-4</v>
      </c>
      <c r="X209" s="2" t="s">
        <v>1193</v>
      </c>
      <c r="Y209" s="3">
        <v>2.3823698462762297E-3</v>
      </c>
      <c r="Z209" s="3">
        <v>0</v>
      </c>
      <c r="AA209" s="3">
        <v>1.1126036118865533E-3</v>
      </c>
      <c r="AC209"/>
      <c r="AD209"/>
      <c r="AE209"/>
      <c r="AF209"/>
      <c r="AG209"/>
    </row>
    <row r="210" spans="1:33" x14ac:dyDescent="0.25">
      <c r="A210" s="2" t="s">
        <v>1156</v>
      </c>
      <c r="B210" s="3">
        <v>6.3457038660819764E-3</v>
      </c>
      <c r="C210" s="3">
        <v>2.3438220793789384E-4</v>
      </c>
      <c r="D210" s="3">
        <v>2.7487851627464345E-3</v>
      </c>
      <c r="S210" s="2" t="s">
        <v>348</v>
      </c>
      <c r="T210" s="3"/>
      <c r="U210" s="3"/>
      <c r="V210" s="3"/>
      <c r="X210" s="2" t="s">
        <v>346</v>
      </c>
      <c r="Y210" s="3"/>
      <c r="Z210" s="3"/>
      <c r="AA210" s="3"/>
      <c r="AC210"/>
      <c r="AD210"/>
      <c r="AE210"/>
      <c r="AF210"/>
      <c r="AG210"/>
    </row>
    <row r="211" spans="1:33" x14ac:dyDescent="0.25">
      <c r="A211" s="2" t="s">
        <v>344</v>
      </c>
      <c r="B211" s="3"/>
      <c r="C211" s="3"/>
      <c r="D211" s="3"/>
      <c r="S211" s="200" t="s">
        <v>18</v>
      </c>
      <c r="T211" s="3">
        <v>2.7722133530557608E-3</v>
      </c>
      <c r="U211" s="3">
        <v>0</v>
      </c>
      <c r="V211" s="3">
        <v>1.6117379562065883E-3</v>
      </c>
      <c r="X211" s="200" t="s">
        <v>18</v>
      </c>
      <c r="Y211" s="3">
        <v>6.2373675956962351E-4</v>
      </c>
      <c r="Z211" s="3">
        <v>0</v>
      </c>
      <c r="AA211" s="3">
        <v>2.9129472598399969E-4</v>
      </c>
      <c r="AC211"/>
      <c r="AD211"/>
      <c r="AE211"/>
      <c r="AF211"/>
      <c r="AG211"/>
    </row>
    <row r="212" spans="1:33" x14ac:dyDescent="0.25">
      <c r="A212" s="200" t="s">
        <v>18</v>
      </c>
      <c r="B212" s="3">
        <v>3.6299590269141098E-2</v>
      </c>
      <c r="C212" s="3">
        <v>0</v>
      </c>
      <c r="D212" s="3">
        <v>1.4934870415376828E-2</v>
      </c>
      <c r="S212" s="2" t="s">
        <v>1196</v>
      </c>
      <c r="T212" s="3">
        <v>2.7722133530557608E-3</v>
      </c>
      <c r="U212" s="3">
        <v>0</v>
      </c>
      <c r="V212" s="3">
        <v>1.6117379562065883E-3</v>
      </c>
      <c r="X212" s="2" t="s">
        <v>1194</v>
      </c>
      <c r="Y212" s="3">
        <v>6.2373675956962351E-4</v>
      </c>
      <c r="Z212" s="3">
        <v>0</v>
      </c>
      <c r="AA212" s="3">
        <v>2.9129472598399969E-4</v>
      </c>
      <c r="AC212"/>
      <c r="AD212"/>
      <c r="AE212"/>
      <c r="AF212"/>
      <c r="AG212"/>
    </row>
    <row r="213" spans="1:33" x14ac:dyDescent="0.25">
      <c r="A213" s="200" t="s">
        <v>44</v>
      </c>
      <c r="B213" s="3">
        <v>3.1299286657707182E-4</v>
      </c>
      <c r="C213" s="3">
        <v>0</v>
      </c>
      <c r="D213" s="3">
        <v>1.28775775941465E-4</v>
      </c>
      <c r="S213" s="2" t="s">
        <v>349</v>
      </c>
      <c r="T213" s="3"/>
      <c r="U213" s="3"/>
      <c r="V213" s="3"/>
      <c r="X213" s="2" t="s">
        <v>347</v>
      </c>
      <c r="Y213" s="3"/>
      <c r="Z213" s="3"/>
      <c r="AA213" s="3"/>
      <c r="AC213"/>
      <c r="AD213"/>
      <c r="AE213"/>
      <c r="AF213"/>
      <c r="AG213"/>
    </row>
    <row r="214" spans="1:33" x14ac:dyDescent="0.25">
      <c r="A214" s="200" t="s">
        <v>374</v>
      </c>
      <c r="B214" s="3">
        <v>0</v>
      </c>
      <c r="C214" s="3">
        <v>8.7140951207266012E-6</v>
      </c>
      <c r="D214" s="3">
        <v>5.1288237595245762E-6</v>
      </c>
      <c r="S214" s="200" t="s">
        <v>18</v>
      </c>
      <c r="T214" s="3">
        <v>4.2864793957072232E-2</v>
      </c>
      <c r="U214" s="3">
        <v>0</v>
      </c>
      <c r="V214" s="3">
        <v>2.4921175467766569E-2</v>
      </c>
      <c r="X214" s="200" t="s">
        <v>18</v>
      </c>
      <c r="Y214" s="3">
        <v>5.0916761953535567E-4</v>
      </c>
      <c r="Z214" s="3">
        <v>0</v>
      </c>
      <c r="AA214" s="3">
        <v>2.3778916335605375E-4</v>
      </c>
      <c r="AC214"/>
      <c r="AD214"/>
      <c r="AE214"/>
      <c r="AF214"/>
      <c r="AG214"/>
    </row>
    <row r="215" spans="1:33" x14ac:dyDescent="0.25">
      <c r="A215" s="200" t="s">
        <v>37</v>
      </c>
      <c r="B215" s="3">
        <v>0</v>
      </c>
      <c r="C215" s="3">
        <v>8.4086526113403081E-5</v>
      </c>
      <c r="D215" s="3">
        <v>4.9490505555824772E-5</v>
      </c>
      <c r="S215" s="200" t="s">
        <v>42</v>
      </c>
      <c r="T215" s="3">
        <v>5.1160936228426324E-4</v>
      </c>
      <c r="U215" s="3">
        <v>0</v>
      </c>
      <c r="V215" s="3">
        <v>2.9744472121356549E-4</v>
      </c>
      <c r="X215" s="2" t="s">
        <v>1195</v>
      </c>
      <c r="Y215" s="3">
        <v>5.0916761953535567E-4</v>
      </c>
      <c r="Z215" s="3">
        <v>0</v>
      </c>
      <c r="AA215" s="3">
        <v>2.3778916335605375E-4</v>
      </c>
      <c r="AC215"/>
      <c r="AD215"/>
      <c r="AE215"/>
      <c r="AF215"/>
      <c r="AG215"/>
    </row>
    <row r="216" spans="1:33" x14ac:dyDescent="0.25">
      <c r="A216" s="200" t="s">
        <v>390</v>
      </c>
      <c r="B216" s="3">
        <v>0</v>
      </c>
      <c r="C216" s="3">
        <v>3.3419003968147378E-5</v>
      </c>
      <c r="D216" s="3">
        <v>1.9669303490135486E-5</v>
      </c>
      <c r="S216" s="200" t="s">
        <v>43</v>
      </c>
      <c r="T216" s="3">
        <v>1.446796835115859E-3</v>
      </c>
      <c r="U216" s="3">
        <v>0</v>
      </c>
      <c r="V216" s="3">
        <v>8.4115364768206995E-4</v>
      </c>
      <c r="X216" s="2" t="s">
        <v>348</v>
      </c>
      <c r="Y216" s="3"/>
      <c r="Z216" s="3"/>
      <c r="AA216" s="3"/>
      <c r="AC216"/>
      <c r="AD216"/>
      <c r="AE216"/>
      <c r="AF216"/>
      <c r="AG216"/>
    </row>
    <row r="217" spans="1:33" x14ac:dyDescent="0.25">
      <c r="A217" s="200" t="s">
        <v>35</v>
      </c>
      <c r="B217" s="3">
        <v>0</v>
      </c>
      <c r="C217" s="3">
        <v>4.3731731281382536E-3</v>
      </c>
      <c r="D217" s="3">
        <v>2.5739028474409957E-3</v>
      </c>
      <c r="S217" s="200" t="s">
        <v>44</v>
      </c>
      <c r="T217" s="3">
        <v>2.3552536504857302E-3</v>
      </c>
      <c r="U217" s="3">
        <v>0</v>
      </c>
      <c r="V217" s="3">
        <v>1.3693216291587578E-3</v>
      </c>
      <c r="X217" s="200" t="s">
        <v>18</v>
      </c>
      <c r="Y217" s="3">
        <v>2.7722133530557608E-3</v>
      </c>
      <c r="Z217" s="3">
        <v>0</v>
      </c>
      <c r="AA217" s="3">
        <v>1.2946665667175955E-3</v>
      </c>
      <c r="AC217"/>
      <c r="AD217"/>
      <c r="AE217"/>
      <c r="AF217"/>
      <c r="AG217"/>
    </row>
    <row r="218" spans="1:33" x14ac:dyDescent="0.25">
      <c r="A218" s="2" t="s">
        <v>1157</v>
      </c>
      <c r="B218" s="3">
        <v>3.6612583135718163E-2</v>
      </c>
      <c r="C218" s="3">
        <v>4.4993927533405302E-3</v>
      </c>
      <c r="D218" s="3">
        <v>1.7711837671564774E-2</v>
      </c>
      <c r="S218" s="200" t="s">
        <v>35</v>
      </c>
      <c r="T218" s="3">
        <v>0</v>
      </c>
      <c r="U218" s="3">
        <v>2.7397641696676158E-5</v>
      </c>
      <c r="V218" s="3">
        <v>1.1468918539633837E-5</v>
      </c>
      <c r="X218" s="2" t="s">
        <v>1196</v>
      </c>
      <c r="Y218" s="3">
        <v>2.7722133530557608E-3</v>
      </c>
      <c r="Z218" s="3">
        <v>0</v>
      </c>
      <c r="AA218" s="3">
        <v>1.2946665667175955E-3</v>
      </c>
      <c r="AC218"/>
      <c r="AD218"/>
      <c r="AE218"/>
      <c r="AF218"/>
      <c r="AG218"/>
    </row>
    <row r="219" spans="1:33" x14ac:dyDescent="0.25">
      <c r="A219" s="2" t="s">
        <v>345</v>
      </c>
      <c r="B219" s="3"/>
      <c r="C219" s="3"/>
      <c r="D219" s="3"/>
      <c r="S219" s="2" t="s">
        <v>486</v>
      </c>
      <c r="T219" s="3">
        <v>4.7178453804958088E-2</v>
      </c>
      <c r="U219" s="3">
        <v>2.7397641696676158E-5</v>
      </c>
      <c r="V219" s="3">
        <v>2.7440564384360593E-2</v>
      </c>
      <c r="X219" s="2" t="s">
        <v>349</v>
      </c>
      <c r="Y219" s="3"/>
      <c r="Z219" s="3"/>
      <c r="AA219" s="3"/>
      <c r="AC219"/>
      <c r="AD219"/>
      <c r="AE219"/>
      <c r="AF219"/>
      <c r="AG219"/>
    </row>
    <row r="220" spans="1:33" x14ac:dyDescent="0.25">
      <c r="A220" s="200" t="s">
        <v>18</v>
      </c>
      <c r="B220" s="3">
        <v>2.3823698462762297E-3</v>
      </c>
      <c r="C220" s="3">
        <v>0</v>
      </c>
      <c r="D220" s="3">
        <v>9.8018695725841844E-4</v>
      </c>
      <c r="S220" s="2" t="s">
        <v>350</v>
      </c>
      <c r="T220" s="3"/>
      <c r="U220" s="3"/>
      <c r="V220" s="3"/>
      <c r="X220" s="200" t="s">
        <v>18</v>
      </c>
      <c r="Y220" s="3">
        <v>4.2864793957072232E-2</v>
      </c>
      <c r="Z220" s="3">
        <v>0</v>
      </c>
      <c r="AA220" s="3">
        <v>2.0018522587479794E-2</v>
      </c>
      <c r="AC220"/>
      <c r="AD220"/>
      <c r="AE220"/>
      <c r="AF220"/>
      <c r="AG220"/>
    </row>
    <row r="221" spans="1:33" x14ac:dyDescent="0.25">
      <c r="A221" s="2" t="s">
        <v>1193</v>
      </c>
      <c r="B221" s="3">
        <v>2.3823698462762297E-3</v>
      </c>
      <c r="C221" s="3">
        <v>0</v>
      </c>
      <c r="D221" s="3">
        <v>9.8018695725841844E-4</v>
      </c>
      <c r="S221" s="200" t="s">
        <v>18</v>
      </c>
      <c r="T221" s="3">
        <v>2.5908175693671806E-3</v>
      </c>
      <c r="U221" s="3">
        <v>0</v>
      </c>
      <c r="V221" s="3">
        <v>1.506276206899141E-3</v>
      </c>
      <c r="X221" s="200" t="s">
        <v>42</v>
      </c>
      <c r="Y221" s="3">
        <v>5.1160936228426324E-4</v>
      </c>
      <c r="Z221" s="3">
        <v>0</v>
      </c>
      <c r="AA221" s="3">
        <v>2.3892949503292527E-4</v>
      </c>
      <c r="AC221"/>
      <c r="AD221"/>
      <c r="AE221"/>
      <c r="AF221"/>
      <c r="AG221"/>
    </row>
    <row r="222" spans="1:33" x14ac:dyDescent="0.25">
      <c r="A222" s="2" t="s">
        <v>346</v>
      </c>
      <c r="B222" s="3"/>
      <c r="C222" s="3"/>
      <c r="D222" s="3"/>
      <c r="S222" s="2" t="s">
        <v>1197</v>
      </c>
      <c r="T222" s="3">
        <v>2.5908175693671806E-3</v>
      </c>
      <c r="U222" s="3">
        <v>0</v>
      </c>
      <c r="V222" s="3">
        <v>1.506276206899141E-3</v>
      </c>
      <c r="X222" s="200" t="s">
        <v>43</v>
      </c>
      <c r="Y222" s="3">
        <v>1.446796835115859E-3</v>
      </c>
      <c r="Z222" s="3">
        <v>0</v>
      </c>
      <c r="AA222" s="3">
        <v>6.7567652727472318E-4</v>
      </c>
      <c r="AC222"/>
      <c r="AD222"/>
      <c r="AE222"/>
      <c r="AF222"/>
      <c r="AG222"/>
    </row>
    <row r="223" spans="1:33" x14ac:dyDescent="0.25">
      <c r="A223" s="200" t="s">
        <v>18</v>
      </c>
      <c r="B223" s="3">
        <v>6.2373675956962351E-4</v>
      </c>
      <c r="C223" s="3">
        <v>0</v>
      </c>
      <c r="D223" s="3">
        <v>2.5662624862734569E-4</v>
      </c>
      <c r="S223" s="2" t="s">
        <v>351</v>
      </c>
      <c r="T223" s="3"/>
      <c r="U223" s="3"/>
      <c r="V223" s="3"/>
      <c r="X223" s="200" t="s">
        <v>44</v>
      </c>
      <c r="Y223" s="3">
        <v>2.3552536504857302E-3</v>
      </c>
      <c r="Z223" s="3">
        <v>0</v>
      </c>
      <c r="AA223" s="3">
        <v>1.0999399285276114E-3</v>
      </c>
      <c r="AC223"/>
      <c r="AD223"/>
      <c r="AE223"/>
      <c r="AF223"/>
      <c r="AG223"/>
    </row>
    <row r="224" spans="1:33" x14ac:dyDescent="0.25">
      <c r="A224" s="2" t="s">
        <v>1194</v>
      </c>
      <c r="B224" s="3">
        <v>6.2373675956962351E-4</v>
      </c>
      <c r="C224" s="3">
        <v>0</v>
      </c>
      <c r="D224" s="3">
        <v>2.5662624862734569E-4</v>
      </c>
      <c r="S224" s="200" t="s">
        <v>18</v>
      </c>
      <c r="T224" s="3">
        <v>1.4345881213713213E-3</v>
      </c>
      <c r="U224" s="3">
        <v>0</v>
      </c>
      <c r="V224" s="3">
        <v>8.3405561992138451E-4</v>
      </c>
      <c r="X224" s="200" t="s">
        <v>35</v>
      </c>
      <c r="Y224" s="3">
        <v>0</v>
      </c>
      <c r="Z224" s="3">
        <v>1.728507932246768E-5</v>
      </c>
      <c r="AA224" s="3">
        <v>9.2126795999884528E-6</v>
      </c>
      <c r="AC224"/>
      <c r="AD224"/>
      <c r="AE224"/>
      <c r="AF224"/>
      <c r="AG224"/>
    </row>
    <row r="225" spans="1:33" x14ac:dyDescent="0.25">
      <c r="A225" s="2" t="s">
        <v>347</v>
      </c>
      <c r="B225" s="3"/>
      <c r="C225" s="3"/>
      <c r="D225" s="3"/>
      <c r="S225" s="2" t="s">
        <v>1198</v>
      </c>
      <c r="T225" s="3">
        <v>1.4345881213713213E-3</v>
      </c>
      <c r="U225" s="3">
        <v>0</v>
      </c>
      <c r="V225" s="3">
        <v>8.3405561992138451E-4</v>
      </c>
      <c r="X225" s="200" t="s">
        <v>391</v>
      </c>
      <c r="Y225" s="3">
        <v>0</v>
      </c>
      <c r="Z225" s="3">
        <v>1.8619464924886196E-4</v>
      </c>
      <c r="AA225" s="3">
        <v>9.9238864616162263E-5</v>
      </c>
      <c r="AC225"/>
      <c r="AD225"/>
      <c r="AE225"/>
      <c r="AF225"/>
      <c r="AG225"/>
    </row>
    <row r="226" spans="1:33" x14ac:dyDescent="0.25">
      <c r="A226" s="200" t="s">
        <v>18</v>
      </c>
      <c r="B226" s="3">
        <v>5.0916761953535567E-4</v>
      </c>
      <c r="C226" s="3">
        <v>0</v>
      </c>
      <c r="D226" s="3">
        <v>2.0948865706429249E-4</v>
      </c>
      <c r="S226" s="2" t="s">
        <v>352</v>
      </c>
      <c r="T226" s="3"/>
      <c r="U226" s="3"/>
      <c r="V226" s="3"/>
      <c r="X226" s="2" t="s">
        <v>486</v>
      </c>
      <c r="Y226" s="3">
        <v>4.7178453804958088E-2</v>
      </c>
      <c r="Z226" s="3">
        <v>2.0347972857132963E-4</v>
      </c>
      <c r="AA226" s="3">
        <v>2.2141520082531205E-2</v>
      </c>
      <c r="AC226"/>
      <c r="AD226"/>
      <c r="AE226"/>
      <c r="AF226"/>
      <c r="AG226"/>
    </row>
    <row r="227" spans="1:33" x14ac:dyDescent="0.25">
      <c r="A227" s="2" t="s">
        <v>1195</v>
      </c>
      <c r="B227" s="3">
        <v>5.0916761953535567E-4</v>
      </c>
      <c r="C227" s="3">
        <v>0</v>
      </c>
      <c r="D227" s="3">
        <v>2.0948865706429249E-4</v>
      </c>
      <c r="S227" s="200" t="s">
        <v>18</v>
      </c>
      <c r="T227" s="3">
        <v>1.0364555405231305E-3</v>
      </c>
      <c r="U227" s="3">
        <v>0</v>
      </c>
      <c r="V227" s="3">
        <v>6.0258519884134778E-4</v>
      </c>
      <c r="X227" s="2" t="s">
        <v>350</v>
      </c>
      <c r="Y227" s="3"/>
      <c r="Z227" s="3"/>
      <c r="AA227" s="3"/>
      <c r="AC227"/>
      <c r="AD227"/>
      <c r="AE227"/>
      <c r="AF227"/>
      <c r="AG227"/>
    </row>
    <row r="228" spans="1:33" x14ac:dyDescent="0.25">
      <c r="A228" s="2" t="s">
        <v>348</v>
      </c>
      <c r="B228" s="3"/>
      <c r="C228" s="3"/>
      <c r="D228" s="3"/>
      <c r="S228" s="2" t="s">
        <v>1199</v>
      </c>
      <c r="T228" s="3">
        <v>1.0364555405231305E-3</v>
      </c>
      <c r="U228" s="3">
        <v>0</v>
      </c>
      <c r="V228" s="3">
        <v>6.0258519884134778E-4</v>
      </c>
      <c r="X228" s="200" t="s">
        <v>18</v>
      </c>
      <c r="Y228" s="3">
        <v>2.5908175693671806E-3</v>
      </c>
      <c r="Z228" s="3">
        <v>0</v>
      </c>
      <c r="AA228" s="3">
        <v>1.2099519266173758E-3</v>
      </c>
      <c r="AC228"/>
      <c r="AD228"/>
      <c r="AE228"/>
      <c r="AF228"/>
      <c r="AG228"/>
    </row>
    <row r="229" spans="1:33" x14ac:dyDescent="0.25">
      <c r="A229" s="200" t="s">
        <v>18</v>
      </c>
      <c r="B229" s="3">
        <v>2.7722133530557608E-3</v>
      </c>
      <c r="C229" s="3">
        <v>0</v>
      </c>
      <c r="D229" s="3">
        <v>1.1405816673049937E-3</v>
      </c>
      <c r="S229" s="2" t="s">
        <v>353</v>
      </c>
      <c r="T229" s="3"/>
      <c r="U229" s="3"/>
      <c r="V229" s="3"/>
      <c r="X229" s="2" t="s">
        <v>1197</v>
      </c>
      <c r="Y229" s="3">
        <v>2.5908175693671806E-3</v>
      </c>
      <c r="Z229" s="3">
        <v>0</v>
      </c>
      <c r="AA229" s="3">
        <v>1.2099519266173758E-3</v>
      </c>
      <c r="AC229"/>
      <c r="AD229"/>
      <c r="AE229"/>
      <c r="AF229"/>
      <c r="AG229"/>
    </row>
    <row r="230" spans="1:33" x14ac:dyDescent="0.25">
      <c r="A230" s="2" t="s">
        <v>1196</v>
      </c>
      <c r="B230" s="3">
        <v>2.7722133530557608E-3</v>
      </c>
      <c r="C230" s="3">
        <v>0</v>
      </c>
      <c r="D230" s="3">
        <v>1.1405816673049937E-3</v>
      </c>
      <c r="S230" s="200" t="s">
        <v>18</v>
      </c>
      <c r="T230" s="3">
        <v>8.5279793197240439E-3</v>
      </c>
      <c r="U230" s="3">
        <v>0</v>
      </c>
      <c r="V230" s="3">
        <v>4.9580844649613149E-3</v>
      </c>
      <c r="X230" s="2" t="s">
        <v>351</v>
      </c>
      <c r="Y230" s="3"/>
      <c r="Z230" s="3"/>
      <c r="AA230" s="3"/>
      <c r="AC230"/>
      <c r="AD230"/>
      <c r="AE230"/>
      <c r="AF230"/>
      <c r="AG230"/>
    </row>
    <row r="231" spans="1:33" x14ac:dyDescent="0.25">
      <c r="A231" s="2" t="s">
        <v>349</v>
      </c>
      <c r="B231" s="3"/>
      <c r="C231" s="3"/>
      <c r="D231" s="3"/>
      <c r="S231" s="2" t="s">
        <v>1200</v>
      </c>
      <c r="T231" s="3">
        <v>8.5279793197240439E-3</v>
      </c>
      <c r="U231" s="3">
        <v>0</v>
      </c>
      <c r="V231" s="3">
        <v>4.9580844649613149E-3</v>
      </c>
      <c r="X231" s="200" t="s">
        <v>18</v>
      </c>
      <c r="Y231" s="3">
        <v>1.4345881213713213E-3</v>
      </c>
      <c r="Z231" s="3">
        <v>0</v>
      </c>
      <c r="AA231" s="3">
        <v>6.6997486889036541E-4</v>
      </c>
      <c r="AC231"/>
      <c r="AD231"/>
      <c r="AE231"/>
      <c r="AF231"/>
      <c r="AG231"/>
    </row>
    <row r="232" spans="1:33" x14ac:dyDescent="0.25">
      <c r="A232" s="200" t="s">
        <v>18</v>
      </c>
      <c r="B232" s="3">
        <v>4.2864793957072232E-2</v>
      </c>
      <c r="C232" s="3">
        <v>0</v>
      </c>
      <c r="D232" s="3">
        <v>1.7636015679078604E-2</v>
      </c>
      <c r="S232" s="2" t="s">
        <v>354</v>
      </c>
      <c r="T232" s="3"/>
      <c r="U232" s="3"/>
      <c r="V232" s="3"/>
      <c r="X232" s="2" t="s">
        <v>1198</v>
      </c>
      <c r="Y232" s="3">
        <v>1.4345881213713213E-3</v>
      </c>
      <c r="Z232" s="3">
        <v>0</v>
      </c>
      <c r="AA232" s="3">
        <v>6.6997486889036541E-4</v>
      </c>
      <c r="AC232"/>
      <c r="AD232"/>
      <c r="AE232"/>
      <c r="AF232"/>
      <c r="AG232"/>
    </row>
    <row r="233" spans="1:33" x14ac:dyDescent="0.25">
      <c r="A233" s="200" t="s">
        <v>42</v>
      </c>
      <c r="B233" s="3">
        <v>5.1160936228426324E-4</v>
      </c>
      <c r="C233" s="3">
        <v>0</v>
      </c>
      <c r="D233" s="3">
        <v>2.1049327202749831E-4</v>
      </c>
      <c r="S233" s="200" t="s">
        <v>18</v>
      </c>
      <c r="T233" s="3">
        <v>1.4283552517227942E-3</v>
      </c>
      <c r="U233" s="3">
        <v>0</v>
      </c>
      <c r="V233" s="3">
        <v>8.3043188995935032E-4</v>
      </c>
      <c r="X233" s="2" t="s">
        <v>352</v>
      </c>
      <c r="Y233" s="3"/>
      <c r="Z233" s="3"/>
      <c r="AA233" s="3"/>
      <c r="AC233"/>
      <c r="AD233"/>
      <c r="AE233"/>
      <c r="AF233"/>
      <c r="AG233"/>
    </row>
    <row r="234" spans="1:33" x14ac:dyDescent="0.25">
      <c r="A234" s="200" t="s">
        <v>43</v>
      </c>
      <c r="B234" s="3">
        <v>1.446796835115859E-3</v>
      </c>
      <c r="C234" s="3">
        <v>0</v>
      </c>
      <c r="D234" s="3">
        <v>5.9526080293533683E-4</v>
      </c>
      <c r="S234" s="2" t="s">
        <v>1201</v>
      </c>
      <c r="T234" s="3">
        <v>1.4283552517227942E-3</v>
      </c>
      <c r="U234" s="3">
        <v>0</v>
      </c>
      <c r="V234" s="3">
        <v>8.3043188995935032E-4</v>
      </c>
      <c r="X234" s="200" t="s">
        <v>18</v>
      </c>
      <c r="Y234" s="3">
        <v>1.0364555405231305E-3</v>
      </c>
      <c r="Z234" s="3">
        <v>0</v>
      </c>
      <c r="AA234" s="3">
        <v>4.840407881036278E-4</v>
      </c>
      <c r="AC234"/>
      <c r="AD234"/>
      <c r="AE234"/>
      <c r="AF234"/>
      <c r="AG234"/>
    </row>
    <row r="235" spans="1:33" x14ac:dyDescent="0.25">
      <c r="A235" s="200" t="s">
        <v>44</v>
      </c>
      <c r="B235" s="3">
        <v>2.3552536504857302E-3</v>
      </c>
      <c r="C235" s="3">
        <v>0</v>
      </c>
      <c r="D235" s="3">
        <v>9.6903044371965885E-4</v>
      </c>
      <c r="S235" s="2" t="s">
        <v>355</v>
      </c>
      <c r="T235" s="3"/>
      <c r="U235" s="3"/>
      <c r="V235" s="3"/>
      <c r="X235" s="2" t="s">
        <v>1199</v>
      </c>
      <c r="Y235" s="3">
        <v>1.0364555405231305E-3</v>
      </c>
      <c r="Z235" s="3">
        <v>0</v>
      </c>
      <c r="AA235" s="3">
        <v>4.840407881036278E-4</v>
      </c>
      <c r="AC235"/>
      <c r="AD235"/>
      <c r="AE235"/>
      <c r="AF235"/>
      <c r="AG235"/>
    </row>
    <row r="236" spans="1:33" x14ac:dyDescent="0.25">
      <c r="A236" s="200" t="s">
        <v>35</v>
      </c>
      <c r="B236" s="3">
        <v>0</v>
      </c>
      <c r="C236" s="3">
        <v>1.3789830938469415E-5</v>
      </c>
      <c r="D236" s="3">
        <v>8.1162314132682729E-6</v>
      </c>
      <c r="S236" s="200" t="s">
        <v>18</v>
      </c>
      <c r="T236" s="3">
        <v>2.2537928136298082E-3</v>
      </c>
      <c r="U236" s="3">
        <v>0</v>
      </c>
      <c r="V236" s="3">
        <v>1.3103332826633772E-3</v>
      </c>
      <c r="X236" s="2" t="s">
        <v>353</v>
      </c>
      <c r="Y236" s="3"/>
      <c r="Z236" s="3"/>
      <c r="AA236" s="3"/>
      <c r="AC236"/>
      <c r="AD236"/>
      <c r="AE236"/>
      <c r="AF236"/>
      <c r="AG236"/>
    </row>
    <row r="237" spans="1:33" x14ac:dyDescent="0.25">
      <c r="A237" s="2" t="s">
        <v>486</v>
      </c>
      <c r="B237" s="3">
        <v>4.7178453804958088E-2</v>
      </c>
      <c r="C237" s="3">
        <v>1.3789830938469415E-5</v>
      </c>
      <c r="D237" s="3">
        <v>1.9418916429174368E-2</v>
      </c>
      <c r="S237" s="2" t="s">
        <v>1202</v>
      </c>
      <c r="T237" s="3">
        <v>2.2537928136298082E-3</v>
      </c>
      <c r="U237" s="3">
        <v>0</v>
      </c>
      <c r="V237" s="3">
        <v>1.3103332826633772E-3</v>
      </c>
      <c r="X237" s="200" t="s">
        <v>18</v>
      </c>
      <c r="Y237" s="3">
        <v>8.5279793197240439E-3</v>
      </c>
      <c r="Z237" s="3">
        <v>0</v>
      </c>
      <c r="AA237" s="3">
        <v>3.9826984076588518E-3</v>
      </c>
      <c r="AC237"/>
      <c r="AD237"/>
      <c r="AE237"/>
      <c r="AF237"/>
      <c r="AG237"/>
    </row>
    <row r="238" spans="1:33" x14ac:dyDescent="0.25">
      <c r="A238" s="2" t="s">
        <v>350</v>
      </c>
      <c r="B238" s="3"/>
      <c r="C238" s="3"/>
      <c r="D238" s="3"/>
      <c r="S238" s="2" t="s">
        <v>361</v>
      </c>
      <c r="T238" s="3"/>
      <c r="U238" s="3"/>
      <c r="V238" s="3"/>
      <c r="X238" s="2" t="s">
        <v>1200</v>
      </c>
      <c r="Y238" s="3">
        <v>8.5279793197240439E-3</v>
      </c>
      <c r="Z238" s="3">
        <v>0</v>
      </c>
      <c r="AA238" s="3">
        <v>3.9826984076588518E-3</v>
      </c>
      <c r="AC238"/>
      <c r="AD238"/>
      <c r="AE238"/>
      <c r="AF238"/>
      <c r="AG238"/>
    </row>
    <row r="239" spans="1:33" x14ac:dyDescent="0.25">
      <c r="A239" s="200" t="s">
        <v>18</v>
      </c>
      <c r="B239" s="3">
        <v>2.5908175693671806E-3</v>
      </c>
      <c r="C239" s="3">
        <v>0</v>
      </c>
      <c r="D239" s="3">
        <v>1.0659493504331489E-3</v>
      </c>
      <c r="S239" s="200" t="s">
        <v>18</v>
      </c>
      <c r="T239" s="3">
        <v>8.7420816049703603E-4</v>
      </c>
      <c r="U239" s="3">
        <v>0</v>
      </c>
      <c r="V239" s="3">
        <v>5.0825614570592292E-4</v>
      </c>
      <c r="X239" s="2" t="s">
        <v>354</v>
      </c>
      <c r="Y239" s="3"/>
      <c r="Z239" s="3"/>
      <c r="AA239" s="3"/>
      <c r="AC239"/>
      <c r="AD239"/>
      <c r="AE239"/>
      <c r="AF239"/>
      <c r="AG239"/>
    </row>
    <row r="240" spans="1:33" x14ac:dyDescent="0.25">
      <c r="A240" s="2" t="s">
        <v>1197</v>
      </c>
      <c r="B240" s="3">
        <v>2.5908175693671806E-3</v>
      </c>
      <c r="C240" s="3">
        <v>0</v>
      </c>
      <c r="D240" s="3">
        <v>1.0659493504331489E-3</v>
      </c>
      <c r="S240" s="2" t="s">
        <v>1203</v>
      </c>
      <c r="T240" s="3">
        <v>8.7420816049703603E-4</v>
      </c>
      <c r="U240" s="3">
        <v>0</v>
      </c>
      <c r="V240" s="3">
        <v>5.0825614570592292E-4</v>
      </c>
      <c r="X240" s="200" t="s">
        <v>18</v>
      </c>
      <c r="Y240" s="3">
        <v>1.4283552517227942E-3</v>
      </c>
      <c r="Z240" s="3">
        <v>0</v>
      </c>
      <c r="AA240" s="3">
        <v>6.6706402224150918E-4</v>
      </c>
      <c r="AC240"/>
      <c r="AD240"/>
      <c r="AE240"/>
      <c r="AF240"/>
      <c r="AG240"/>
    </row>
    <row r="241" spans="1:33" x14ac:dyDescent="0.25">
      <c r="A241" s="2" t="s">
        <v>351</v>
      </c>
      <c r="B241" s="3"/>
      <c r="C241" s="3"/>
      <c r="D241" s="3"/>
      <c r="S241" s="2" t="s">
        <v>362</v>
      </c>
      <c r="T241" s="3"/>
      <c r="U241" s="3"/>
      <c r="V241" s="3"/>
      <c r="X241" s="2" t="s">
        <v>1201</v>
      </c>
      <c r="Y241" s="3">
        <v>1.4283552517227942E-3</v>
      </c>
      <c r="Z241" s="3">
        <v>0</v>
      </c>
      <c r="AA241" s="3">
        <v>6.6706402224150918E-4</v>
      </c>
      <c r="AC241"/>
      <c r="AD241"/>
      <c r="AE241"/>
      <c r="AF241"/>
      <c r="AG241"/>
    </row>
    <row r="242" spans="1:33" x14ac:dyDescent="0.25">
      <c r="A242" s="200" t="s">
        <v>18</v>
      </c>
      <c r="B242" s="3">
        <v>1.4345881213713213E-3</v>
      </c>
      <c r="C242" s="3">
        <v>0</v>
      </c>
      <c r="D242" s="3">
        <v>5.9023772811930765E-4</v>
      </c>
      <c r="S242" s="200" t="s">
        <v>18</v>
      </c>
      <c r="T242" s="3">
        <v>2.3313566997405007E-2</v>
      </c>
      <c r="U242" s="3">
        <v>0</v>
      </c>
      <c r="V242" s="3">
        <v>1.3554281737682371E-2</v>
      </c>
      <c r="X242" s="2" t="s">
        <v>355</v>
      </c>
      <c r="Y242" s="3"/>
      <c r="Z242" s="3"/>
      <c r="AA242" s="3"/>
      <c r="AC242"/>
      <c r="AD242"/>
      <c r="AE242"/>
      <c r="AF242"/>
      <c r="AG242"/>
    </row>
    <row r="243" spans="1:33" x14ac:dyDescent="0.25">
      <c r="A243" s="2" t="s">
        <v>1198</v>
      </c>
      <c r="B243" s="3">
        <v>1.4345881213713213E-3</v>
      </c>
      <c r="C243" s="3">
        <v>0</v>
      </c>
      <c r="D243" s="3">
        <v>5.9023772811930765E-4</v>
      </c>
      <c r="S243" s="200" t="s">
        <v>42</v>
      </c>
      <c r="T243" s="3">
        <v>7.1356719017417016E-4</v>
      </c>
      <c r="U243" s="3">
        <v>0</v>
      </c>
      <c r="V243" s="3">
        <v>4.1486104359164091E-4</v>
      </c>
      <c r="X243" s="200" t="s">
        <v>18</v>
      </c>
      <c r="Y243" s="3">
        <v>2.2537928136298082E-3</v>
      </c>
      <c r="Z243" s="3">
        <v>0</v>
      </c>
      <c r="AA243" s="3">
        <v>1.0525561464807653E-3</v>
      </c>
      <c r="AC243"/>
      <c r="AD243"/>
      <c r="AE243"/>
      <c r="AF243"/>
      <c r="AG243"/>
    </row>
    <row r="244" spans="1:33" x14ac:dyDescent="0.25">
      <c r="A244" s="2" t="s">
        <v>352</v>
      </c>
      <c r="B244" s="3"/>
      <c r="C244" s="3"/>
      <c r="D244" s="3"/>
      <c r="S244" s="200" t="s">
        <v>44</v>
      </c>
      <c r="T244" s="3">
        <v>5.7573723763715124E-5</v>
      </c>
      <c r="U244" s="3">
        <v>0</v>
      </c>
      <c r="V244" s="3">
        <v>3.3472804597758686E-5</v>
      </c>
      <c r="X244" s="2" t="s">
        <v>1202</v>
      </c>
      <c r="Y244" s="3">
        <v>2.2537928136298082E-3</v>
      </c>
      <c r="Z244" s="3">
        <v>0</v>
      </c>
      <c r="AA244" s="3">
        <v>1.0525561464807653E-3</v>
      </c>
      <c r="AC244"/>
      <c r="AD244"/>
      <c r="AE244"/>
      <c r="AF244"/>
      <c r="AG244"/>
    </row>
    <row r="245" spans="1:33" x14ac:dyDescent="0.25">
      <c r="A245" s="200" t="s">
        <v>18</v>
      </c>
      <c r="B245" s="3">
        <v>1.0364555405231305E-3</v>
      </c>
      <c r="C245" s="3">
        <v>0</v>
      </c>
      <c r="D245" s="3">
        <v>4.2643261464500728E-4</v>
      </c>
      <c r="S245" s="200" t="s">
        <v>37</v>
      </c>
      <c r="T245" s="3">
        <v>0</v>
      </c>
      <c r="U245" s="3">
        <v>5.0490194678539093E-3</v>
      </c>
      <c r="V245" s="3">
        <v>2.1135685188870485E-3</v>
      </c>
      <c r="X245" s="2" t="s">
        <v>361</v>
      </c>
      <c r="Y245" s="3"/>
      <c r="Z245" s="3"/>
      <c r="AA245" s="3"/>
      <c r="AC245"/>
      <c r="AD245"/>
      <c r="AE245"/>
      <c r="AF245"/>
      <c r="AG245"/>
    </row>
    <row r="246" spans="1:33" x14ac:dyDescent="0.25">
      <c r="A246" s="2" t="s">
        <v>1199</v>
      </c>
      <c r="B246" s="3">
        <v>1.0364555405231305E-3</v>
      </c>
      <c r="C246" s="3">
        <v>0</v>
      </c>
      <c r="D246" s="3">
        <v>4.2643261464500728E-4</v>
      </c>
      <c r="S246" s="200" t="s">
        <v>34</v>
      </c>
      <c r="T246" s="3">
        <v>0</v>
      </c>
      <c r="U246" s="3">
        <v>4.7298860258105418E-6</v>
      </c>
      <c r="V246" s="3">
        <v>1.9799761648227795E-6</v>
      </c>
      <c r="X246" s="200" t="s">
        <v>18</v>
      </c>
      <c r="Y246" s="3">
        <v>8.7420816049703603E-4</v>
      </c>
      <c r="Z246" s="3">
        <v>0</v>
      </c>
      <c r="AA246" s="3">
        <v>4.0826874904834818E-4</v>
      </c>
      <c r="AC246"/>
      <c r="AD246"/>
      <c r="AE246"/>
      <c r="AF246"/>
      <c r="AG246"/>
    </row>
    <row r="247" spans="1:33" x14ac:dyDescent="0.25">
      <c r="A247" s="2" t="s">
        <v>353</v>
      </c>
      <c r="B247" s="3"/>
      <c r="C247" s="3"/>
      <c r="D247" s="3"/>
      <c r="S247" s="200" t="s">
        <v>35</v>
      </c>
      <c r="T247" s="3">
        <v>0</v>
      </c>
      <c r="U247" s="3">
        <v>1.8799690576210778E-2</v>
      </c>
      <c r="V247" s="3">
        <v>7.8697328104353256E-3</v>
      </c>
      <c r="X247" s="2" t="s">
        <v>1203</v>
      </c>
      <c r="Y247" s="3">
        <v>8.7420816049703603E-4</v>
      </c>
      <c r="Z247" s="3">
        <v>0</v>
      </c>
      <c r="AA247" s="3">
        <v>4.0826874904834818E-4</v>
      </c>
      <c r="AC247"/>
      <c r="AD247"/>
      <c r="AE247"/>
      <c r="AF247"/>
      <c r="AG247"/>
    </row>
    <row r="248" spans="1:33" x14ac:dyDescent="0.25">
      <c r="A248" s="200" t="s">
        <v>18</v>
      </c>
      <c r="B248" s="3">
        <v>8.5279793197240439E-3</v>
      </c>
      <c r="C248" s="3">
        <v>0</v>
      </c>
      <c r="D248" s="3">
        <v>3.5086970707040345E-3</v>
      </c>
      <c r="S248" s="200" t="s">
        <v>36</v>
      </c>
      <c r="T248" s="3">
        <v>0</v>
      </c>
      <c r="U248" s="3">
        <v>4.1801483292257697E-4</v>
      </c>
      <c r="V248" s="3">
        <v>1.7498506332131887E-4</v>
      </c>
      <c r="X248" s="2" t="s">
        <v>362</v>
      </c>
      <c r="Y248" s="3"/>
      <c r="Z248" s="3"/>
      <c r="AA248" s="3"/>
      <c r="AC248"/>
      <c r="AD248"/>
      <c r="AE248"/>
      <c r="AF248"/>
      <c r="AG248"/>
    </row>
    <row r="249" spans="1:33" x14ac:dyDescent="0.25">
      <c r="A249" s="2" t="s">
        <v>1200</v>
      </c>
      <c r="B249" s="3">
        <v>8.5279793197240439E-3</v>
      </c>
      <c r="C249" s="3">
        <v>0</v>
      </c>
      <c r="D249" s="3">
        <v>3.5086970707040345E-3</v>
      </c>
      <c r="S249" s="200" t="s">
        <v>41</v>
      </c>
      <c r="T249" s="3">
        <v>0</v>
      </c>
      <c r="U249" s="3">
        <v>1.5742488584018482E-4</v>
      </c>
      <c r="V249" s="3">
        <v>6.5899584051837425E-5</v>
      </c>
      <c r="X249" s="200" t="s">
        <v>18</v>
      </c>
      <c r="Y249" s="3">
        <v>2.3313566997405007E-2</v>
      </c>
      <c r="Z249" s="3">
        <v>0</v>
      </c>
      <c r="AA249" s="3">
        <v>1.0887796824584399E-2</v>
      </c>
      <c r="AC249"/>
      <c r="AD249"/>
      <c r="AE249"/>
      <c r="AF249"/>
      <c r="AG249"/>
    </row>
    <row r="250" spans="1:33" x14ac:dyDescent="0.25">
      <c r="A250" s="2" t="s">
        <v>354</v>
      </c>
      <c r="B250" s="3"/>
      <c r="C250" s="3"/>
      <c r="D250" s="3"/>
      <c r="S250" s="2" t="s">
        <v>1158</v>
      </c>
      <c r="T250" s="3">
        <v>2.408470791134289E-2</v>
      </c>
      <c r="U250" s="3">
        <v>2.442887964885326E-2</v>
      </c>
      <c r="V250" s="3">
        <v>2.4228781538732126E-2</v>
      </c>
      <c r="X250" s="200" t="s">
        <v>42</v>
      </c>
      <c r="Y250" s="3">
        <v>7.1356719017417016E-4</v>
      </c>
      <c r="Z250" s="3">
        <v>0</v>
      </c>
      <c r="AA250" s="3">
        <v>3.3324692820153672E-4</v>
      </c>
      <c r="AC250"/>
      <c r="AD250"/>
      <c r="AE250"/>
      <c r="AF250"/>
      <c r="AG250"/>
    </row>
    <row r="251" spans="1:33" x14ac:dyDescent="0.25">
      <c r="A251" s="200" t="s">
        <v>18</v>
      </c>
      <c r="B251" s="3">
        <v>1.4283552517227942E-3</v>
      </c>
      <c r="C251" s="3">
        <v>0</v>
      </c>
      <c r="D251" s="3">
        <v>5.8767331623954533E-4</v>
      </c>
      <c r="S251" s="2" t="s">
        <v>363</v>
      </c>
      <c r="T251" s="3"/>
      <c r="U251" s="3"/>
      <c r="V251" s="3"/>
      <c r="X251" s="200" t="s">
        <v>44</v>
      </c>
      <c r="Y251" s="3">
        <v>5.7573723763715124E-5</v>
      </c>
      <c r="Z251" s="3">
        <v>0</v>
      </c>
      <c r="AA251" s="3">
        <v>2.6887820591497244E-5</v>
      </c>
      <c r="AC251"/>
      <c r="AD251"/>
      <c r="AE251"/>
      <c r="AF251"/>
      <c r="AG251"/>
    </row>
    <row r="252" spans="1:33" x14ac:dyDescent="0.25">
      <c r="A252" s="2" t="s">
        <v>1201</v>
      </c>
      <c r="B252" s="3">
        <v>1.4283552517227942E-3</v>
      </c>
      <c r="C252" s="3">
        <v>0</v>
      </c>
      <c r="D252" s="3">
        <v>5.8767331623954533E-4</v>
      </c>
      <c r="S252" s="200" t="s">
        <v>18</v>
      </c>
      <c r="T252" s="3">
        <v>6.0201810038197211E-4</v>
      </c>
      <c r="U252" s="3">
        <v>0</v>
      </c>
      <c r="V252" s="3">
        <v>3.5000748468348345E-4</v>
      </c>
      <c r="X252" s="200" t="s">
        <v>37</v>
      </c>
      <c r="Y252" s="3">
        <v>0</v>
      </c>
      <c r="Z252" s="3">
        <v>3.1854092760518942E-3</v>
      </c>
      <c r="AA252" s="3">
        <v>1.6977738144916829E-3</v>
      </c>
      <c r="AC252"/>
      <c r="AD252"/>
      <c r="AE252"/>
      <c r="AF252"/>
      <c r="AG252"/>
    </row>
    <row r="253" spans="1:33" x14ac:dyDescent="0.25">
      <c r="A253" s="2" t="s">
        <v>355</v>
      </c>
      <c r="B253" s="3"/>
      <c r="C253" s="3"/>
      <c r="D253" s="3"/>
      <c r="S253" s="2" t="s">
        <v>1204</v>
      </c>
      <c r="T253" s="3">
        <v>6.0201810038197211E-4</v>
      </c>
      <c r="U253" s="3">
        <v>0</v>
      </c>
      <c r="V253" s="3">
        <v>3.5000748468348345E-4</v>
      </c>
      <c r="X253" s="200" t="s">
        <v>34</v>
      </c>
      <c r="Y253" s="3">
        <v>0</v>
      </c>
      <c r="Z253" s="3">
        <v>2.9840690686996322E-6</v>
      </c>
      <c r="AA253" s="3">
        <v>1.5904626019524039E-6</v>
      </c>
      <c r="AC253"/>
      <c r="AD253"/>
      <c r="AE253"/>
      <c r="AF253"/>
      <c r="AG253"/>
    </row>
    <row r="254" spans="1:33" x14ac:dyDescent="0.25">
      <c r="A254" s="200" t="s">
        <v>18</v>
      </c>
      <c r="B254" s="3">
        <v>2.2537928136298082E-3</v>
      </c>
      <c r="C254" s="3">
        <v>0</v>
      </c>
      <c r="D254" s="3">
        <v>9.2728604827486863E-4</v>
      </c>
      <c r="S254" s="2" t="s">
        <v>364</v>
      </c>
      <c r="T254" s="3"/>
      <c r="U254" s="3"/>
      <c r="V254" s="3"/>
      <c r="X254" s="200" t="s">
        <v>35</v>
      </c>
      <c r="Y254" s="3">
        <v>0</v>
      </c>
      <c r="Z254" s="3">
        <v>1.186066109066148E-2</v>
      </c>
      <c r="AA254" s="3">
        <v>6.3215486856507087E-3</v>
      </c>
      <c r="AC254"/>
      <c r="AD254"/>
      <c r="AE254"/>
      <c r="AF254"/>
      <c r="AG254"/>
    </row>
    <row r="255" spans="1:33" x14ac:dyDescent="0.25">
      <c r="A255" s="2" t="s">
        <v>1202</v>
      </c>
      <c r="B255" s="3">
        <v>2.2537928136298082E-3</v>
      </c>
      <c r="C255" s="3">
        <v>0</v>
      </c>
      <c r="D255" s="3">
        <v>9.2728604827486863E-4</v>
      </c>
      <c r="S255" s="200" t="s">
        <v>18</v>
      </c>
      <c r="T255" s="3">
        <v>8.2460222886133507E-4</v>
      </c>
      <c r="U255" s="3">
        <v>0</v>
      </c>
      <c r="V255" s="3">
        <v>4.7941573817303264E-4</v>
      </c>
      <c r="X255" s="200" t="s">
        <v>36</v>
      </c>
      <c r="Y255" s="3">
        <v>0</v>
      </c>
      <c r="Z255" s="3">
        <v>2.6372414184507693E-4</v>
      </c>
      <c r="AA255" s="3">
        <v>1.4056088353858604E-4</v>
      </c>
      <c r="AC255"/>
      <c r="AD255"/>
      <c r="AE255"/>
      <c r="AF255"/>
      <c r="AG255"/>
    </row>
    <row r="256" spans="1:33" x14ac:dyDescent="0.25">
      <c r="A256" s="2" t="s">
        <v>361</v>
      </c>
      <c r="B256" s="3"/>
      <c r="C256" s="3"/>
      <c r="D256" s="3"/>
      <c r="S256" s="2" t="s">
        <v>1205</v>
      </c>
      <c r="T256" s="3">
        <v>8.2460222886133507E-4</v>
      </c>
      <c r="U256" s="3">
        <v>0</v>
      </c>
      <c r="V256" s="3">
        <v>4.7941573817303264E-4</v>
      </c>
      <c r="X256" s="200" t="s">
        <v>41</v>
      </c>
      <c r="Y256" s="3">
        <v>0</v>
      </c>
      <c r="Z256" s="3">
        <v>9.9318827116719828E-5</v>
      </c>
      <c r="AA256" s="3">
        <v>5.2935396789510198E-5</v>
      </c>
      <c r="AC256"/>
      <c r="AD256"/>
      <c r="AE256"/>
      <c r="AF256"/>
      <c r="AG256"/>
    </row>
    <row r="257" spans="1:33" x14ac:dyDescent="0.25">
      <c r="A257" s="200" t="s">
        <v>18</v>
      </c>
      <c r="B257" s="3">
        <v>8.7420816049703603E-4</v>
      </c>
      <c r="C257" s="3">
        <v>0</v>
      </c>
      <c r="D257" s="3">
        <v>3.5967859406356629E-4</v>
      </c>
      <c r="S257" s="2" t="s">
        <v>22</v>
      </c>
      <c r="T257" s="3">
        <v>1</v>
      </c>
      <c r="U257" s="3">
        <v>1</v>
      </c>
      <c r="V257" s="3">
        <v>1</v>
      </c>
      <c r="X257" s="200" t="s">
        <v>391</v>
      </c>
      <c r="Y257" s="3">
        <v>0</v>
      </c>
      <c r="Z257" s="3">
        <v>8.2831000964304728E-3</v>
      </c>
      <c r="AA257" s="3">
        <v>4.4147640782798087E-3</v>
      </c>
      <c r="AC257"/>
      <c r="AD257"/>
      <c r="AE257"/>
      <c r="AF257"/>
      <c r="AG257"/>
    </row>
    <row r="258" spans="1:33" x14ac:dyDescent="0.25">
      <c r="A258" s="2" t="s">
        <v>1203</v>
      </c>
      <c r="B258" s="3">
        <v>8.7420816049703603E-4</v>
      </c>
      <c r="C258" s="3">
        <v>0</v>
      </c>
      <c r="D258" s="3">
        <v>3.5967859406356629E-4</v>
      </c>
      <c r="S258"/>
      <c r="T258"/>
      <c r="U258"/>
      <c r="V258"/>
      <c r="X258" s="2" t="s">
        <v>1158</v>
      </c>
      <c r="Y258" s="3">
        <v>2.408470791134289E-2</v>
      </c>
      <c r="Z258" s="3">
        <v>2.3695197501174343E-2</v>
      </c>
      <c r="AA258" s="3">
        <v>2.3877104894729682E-2</v>
      </c>
      <c r="AC258"/>
      <c r="AD258"/>
      <c r="AE258"/>
      <c r="AF258"/>
      <c r="AG258"/>
    </row>
    <row r="259" spans="1:33" x14ac:dyDescent="0.25">
      <c r="A259" s="2" t="s">
        <v>362</v>
      </c>
      <c r="B259" s="3"/>
      <c r="C259" s="3"/>
      <c r="D259" s="3"/>
      <c r="S259"/>
      <c r="T259"/>
      <c r="U259"/>
      <c r="V259"/>
      <c r="X259" s="2" t="s">
        <v>363</v>
      </c>
      <c r="Y259" s="3"/>
      <c r="Z259" s="3"/>
      <c r="AA259" s="3"/>
      <c r="AC259"/>
      <c r="AD259"/>
      <c r="AE259"/>
      <c r="AF259"/>
      <c r="AG259"/>
    </row>
    <row r="260" spans="1:33" x14ac:dyDescent="0.25">
      <c r="A260" s="200" t="s">
        <v>18</v>
      </c>
      <c r="B260" s="3">
        <v>2.3313566997405007E-2</v>
      </c>
      <c r="C260" s="3">
        <v>0</v>
      </c>
      <c r="D260" s="3">
        <v>9.591984356981784E-3</v>
      </c>
      <c r="S260"/>
      <c r="T260"/>
      <c r="U260"/>
      <c r="V260"/>
      <c r="X260" s="200" t="s">
        <v>18</v>
      </c>
      <c r="Y260" s="3">
        <v>6.0201810038197211E-4</v>
      </c>
      <c r="Z260" s="3">
        <v>0</v>
      </c>
      <c r="AA260" s="3">
        <v>2.8115177580551081E-4</v>
      </c>
      <c r="AC260"/>
      <c r="AD260"/>
      <c r="AE260"/>
      <c r="AF260"/>
      <c r="AG260"/>
    </row>
    <row r="261" spans="1:33" x14ac:dyDescent="0.25">
      <c r="A261" s="200" t="s">
        <v>42</v>
      </c>
      <c r="B261" s="3">
        <v>7.1356719017417016E-4</v>
      </c>
      <c r="C261" s="3">
        <v>0</v>
      </c>
      <c r="D261" s="3">
        <v>2.9358550437897122E-4</v>
      </c>
      <c r="X261" s="2" t="s">
        <v>1204</v>
      </c>
      <c r="Y261" s="3">
        <v>6.0201810038197211E-4</v>
      </c>
      <c r="Z261" s="3">
        <v>0</v>
      </c>
      <c r="AA261" s="3">
        <v>2.8115177580551081E-4</v>
      </c>
      <c r="AC261"/>
      <c r="AD261"/>
      <c r="AE261"/>
      <c r="AF261"/>
      <c r="AG261"/>
    </row>
    <row r="262" spans="1:33" x14ac:dyDescent="0.25">
      <c r="A262" s="200" t="s">
        <v>44</v>
      </c>
      <c r="B262" s="3">
        <v>5.7573723763715124E-5</v>
      </c>
      <c r="C262" s="3">
        <v>0</v>
      </c>
      <c r="D262" s="3">
        <v>2.3687763342958866E-5</v>
      </c>
      <c r="X262" s="2" t="s">
        <v>364</v>
      </c>
      <c r="Y262" s="3"/>
      <c r="Z262" s="3"/>
      <c r="AA262" s="3"/>
      <c r="AC262"/>
      <c r="AD262"/>
      <c r="AE262"/>
      <c r="AF262"/>
      <c r="AG262"/>
    </row>
    <row r="263" spans="1:33" x14ac:dyDescent="0.25">
      <c r="A263" s="200" t="s">
        <v>374</v>
      </c>
      <c r="B263" s="3">
        <v>0</v>
      </c>
      <c r="C263" s="3">
        <v>2.0976713512264551E-5</v>
      </c>
      <c r="D263" s="3">
        <v>1.2346189153082356E-5</v>
      </c>
      <c r="X263" s="200" t="s">
        <v>18</v>
      </c>
      <c r="Y263" s="3">
        <v>8.2460222886133507E-4</v>
      </c>
      <c r="Z263" s="3">
        <v>0</v>
      </c>
      <c r="AA263" s="3">
        <v>3.8510201077085281E-4</v>
      </c>
      <c r="AC263"/>
      <c r="AD263"/>
      <c r="AE263"/>
      <c r="AF263"/>
      <c r="AG263"/>
    </row>
    <row r="264" spans="1:33" x14ac:dyDescent="0.25">
      <c r="A264" s="200" t="s">
        <v>37</v>
      </c>
      <c r="B264" s="3">
        <v>0</v>
      </c>
      <c r="C264" s="3">
        <v>2.5412816780939597E-3</v>
      </c>
      <c r="D264" s="3">
        <v>1.49571305679826E-3</v>
      </c>
      <c r="X264" s="2" t="s">
        <v>1205</v>
      </c>
      <c r="Y264" s="3">
        <v>8.2460222886133507E-4</v>
      </c>
      <c r="Z264" s="3">
        <v>0</v>
      </c>
      <c r="AA264" s="3">
        <v>3.8510201077085281E-4</v>
      </c>
      <c r="AC264"/>
      <c r="AD264"/>
      <c r="AE264"/>
      <c r="AF264"/>
      <c r="AG264"/>
    </row>
    <row r="265" spans="1:33" x14ac:dyDescent="0.25">
      <c r="A265" s="200" t="s">
        <v>390</v>
      </c>
      <c r="B265" s="3">
        <v>0</v>
      </c>
      <c r="C265" s="3">
        <v>2.003294107627699E-2</v>
      </c>
      <c r="D265" s="3">
        <v>1.1790716390137145E-2</v>
      </c>
      <c r="X265" s="2" t="s">
        <v>22</v>
      </c>
      <c r="Y265" s="3">
        <v>1</v>
      </c>
      <c r="Z265" s="3">
        <v>1</v>
      </c>
      <c r="AA265" s="3">
        <v>1</v>
      </c>
      <c r="AC265"/>
      <c r="AD265"/>
      <c r="AE265"/>
      <c r="AF265"/>
      <c r="AG265"/>
    </row>
    <row r="266" spans="1:33" x14ac:dyDescent="0.25">
      <c r="A266" s="200" t="s">
        <v>34</v>
      </c>
      <c r="B266" s="3">
        <v>0</v>
      </c>
      <c r="C266" s="3">
        <v>2.3806548525696386E-6</v>
      </c>
      <c r="D266" s="3">
        <v>1.401173501313415E-6</v>
      </c>
      <c r="X266"/>
      <c r="Y266"/>
      <c r="Z266"/>
      <c r="AA266"/>
      <c r="AC266"/>
      <c r="AD266"/>
      <c r="AE266"/>
      <c r="AF266"/>
      <c r="AG266"/>
    </row>
    <row r="267" spans="1:33" x14ac:dyDescent="0.25">
      <c r="A267" s="200" t="s">
        <v>35</v>
      </c>
      <c r="B267" s="3">
        <v>0</v>
      </c>
      <c r="C267" s="3">
        <v>9.4622945146747607E-3</v>
      </c>
      <c r="D267" s="3">
        <v>5.5691887974750956E-3</v>
      </c>
      <c r="X267"/>
      <c r="Y267"/>
      <c r="Z267"/>
      <c r="AA267"/>
      <c r="AC267"/>
      <c r="AD267"/>
      <c r="AE267"/>
      <c r="AF267"/>
      <c r="AG267"/>
    </row>
    <row r="268" spans="1:33" x14ac:dyDescent="0.25">
      <c r="A268" s="200" t="s">
        <v>36</v>
      </c>
      <c r="B268" s="3">
        <v>0</v>
      </c>
      <c r="C268" s="3">
        <v>2.1039598734785259E-4</v>
      </c>
      <c r="D268" s="3">
        <v>1.2383201283305728E-4</v>
      </c>
      <c r="X268"/>
      <c r="Y268"/>
      <c r="Z268"/>
      <c r="AA268"/>
      <c r="AC268"/>
      <c r="AD268"/>
      <c r="AE268"/>
      <c r="AF268"/>
      <c r="AG268"/>
    </row>
    <row r="269" spans="1:33" x14ac:dyDescent="0.25">
      <c r="A269" s="200" t="s">
        <v>41</v>
      </c>
      <c r="B269" s="3">
        <v>0</v>
      </c>
      <c r="C269" s="3">
        <v>7.9235380376091366E-5</v>
      </c>
      <c r="D269" s="3">
        <v>4.6635284081450268E-5</v>
      </c>
      <c r="AC269"/>
      <c r="AD269"/>
      <c r="AE269"/>
      <c r="AF269"/>
      <c r="AG269"/>
    </row>
    <row r="270" spans="1:33" x14ac:dyDescent="0.25">
      <c r="A270" s="2" t="s">
        <v>1158</v>
      </c>
      <c r="B270" s="3">
        <v>2.408470791134289E-2</v>
      </c>
      <c r="C270" s="3">
        <v>3.234950600513449E-2</v>
      </c>
      <c r="D270" s="3">
        <v>2.8949090528683118E-2</v>
      </c>
      <c r="AC270"/>
      <c r="AD270"/>
      <c r="AE270"/>
      <c r="AF270"/>
      <c r="AG270"/>
    </row>
    <row r="271" spans="1:33" x14ac:dyDescent="0.25">
      <c r="A271" s="2" t="s">
        <v>363</v>
      </c>
      <c r="B271" s="3"/>
      <c r="C271" s="3"/>
      <c r="D271" s="3"/>
      <c r="AC271"/>
      <c r="AD271"/>
      <c r="AE271"/>
      <c r="AF271"/>
      <c r="AG271"/>
    </row>
    <row r="272" spans="1:33" x14ac:dyDescent="0.25">
      <c r="A272" s="200" t="s">
        <v>18</v>
      </c>
      <c r="B272" s="3">
        <v>6.0201810038197211E-4</v>
      </c>
      <c r="C272" s="3">
        <v>0</v>
      </c>
      <c r="D272" s="3">
        <v>2.476904629019884E-4</v>
      </c>
      <c r="AC272"/>
      <c r="AD272"/>
      <c r="AE272"/>
      <c r="AF272"/>
      <c r="AG272"/>
    </row>
    <row r="273" spans="1:33" x14ac:dyDescent="0.25">
      <c r="A273" s="2" t="s">
        <v>1204</v>
      </c>
      <c r="B273" s="3">
        <v>6.0201810038197211E-4</v>
      </c>
      <c r="C273" s="3">
        <v>0</v>
      </c>
      <c r="D273" s="3">
        <v>2.476904629019884E-4</v>
      </c>
      <c r="AC273"/>
      <c r="AD273"/>
      <c r="AE273"/>
      <c r="AF273"/>
      <c r="AG273"/>
    </row>
    <row r="274" spans="1:33" x14ac:dyDescent="0.25">
      <c r="A274" s="2" t="s">
        <v>364</v>
      </c>
      <c r="B274" s="3"/>
      <c r="C274" s="3"/>
      <c r="D274" s="3"/>
      <c r="AC274"/>
      <c r="AD274"/>
      <c r="AE274"/>
      <c r="AF274"/>
      <c r="AG274"/>
    </row>
    <row r="275" spans="1:33" x14ac:dyDescent="0.25">
      <c r="A275" s="200" t="s">
        <v>18</v>
      </c>
      <c r="B275" s="3">
        <v>8.2460222886133507E-4</v>
      </c>
      <c r="C275" s="3">
        <v>0</v>
      </c>
      <c r="D275" s="3">
        <v>3.3926904796896334E-4</v>
      </c>
      <c r="AC275"/>
      <c r="AD275"/>
      <c r="AE275"/>
      <c r="AF275"/>
      <c r="AG275"/>
    </row>
    <row r="276" spans="1:33" x14ac:dyDescent="0.25">
      <c r="A276" s="2" t="s">
        <v>1205</v>
      </c>
      <c r="B276" s="3">
        <v>8.2460222886133507E-4</v>
      </c>
      <c r="C276" s="3">
        <v>0</v>
      </c>
      <c r="D276" s="3">
        <v>3.3926904796896334E-4</v>
      </c>
      <c r="AC276"/>
      <c r="AD276"/>
      <c r="AE276"/>
      <c r="AF276"/>
      <c r="AG276"/>
    </row>
    <row r="277" spans="1:33" x14ac:dyDescent="0.25">
      <c r="A277" s="2" t="s">
        <v>22</v>
      </c>
      <c r="B277" s="3">
        <v>1</v>
      </c>
      <c r="C277" s="3">
        <v>1</v>
      </c>
      <c r="D277" s="3">
        <v>1</v>
      </c>
      <c r="AC277"/>
      <c r="AD277"/>
      <c r="AE277"/>
      <c r="AF277"/>
      <c r="AG277"/>
    </row>
    <row r="278" spans="1:33" x14ac:dyDescent="0.25">
      <c r="AC278"/>
      <c r="AD278"/>
      <c r="AE278"/>
      <c r="AF278"/>
      <c r="AG278"/>
    </row>
    <row r="279" spans="1:33" x14ac:dyDescent="0.25">
      <c r="AC279"/>
      <c r="AD279"/>
      <c r="AE279"/>
      <c r="AF279"/>
      <c r="AG279"/>
    </row>
    <row r="280" spans="1:33" x14ac:dyDescent="0.25">
      <c r="AC280"/>
      <c r="AD280"/>
      <c r="AE280"/>
      <c r="AF280"/>
      <c r="AG280"/>
    </row>
    <row r="281" spans="1:33" x14ac:dyDescent="0.25">
      <c r="AC281"/>
      <c r="AD281"/>
      <c r="AE281"/>
      <c r="AF281"/>
      <c r="AG281"/>
    </row>
    <row r="282" spans="1:33" x14ac:dyDescent="0.25">
      <c r="AC282"/>
      <c r="AD282"/>
      <c r="AE282"/>
      <c r="AF282"/>
      <c r="AG282"/>
    </row>
    <row r="283" spans="1:33" x14ac:dyDescent="0.25">
      <c r="AC283"/>
      <c r="AD283"/>
      <c r="AE283"/>
      <c r="AF283"/>
      <c r="AG283"/>
    </row>
    <row r="284" spans="1:33" x14ac:dyDescent="0.25">
      <c r="AC284"/>
      <c r="AD284"/>
      <c r="AE284"/>
      <c r="AF284"/>
      <c r="AG284"/>
    </row>
    <row r="285" spans="1:33" x14ac:dyDescent="0.25">
      <c r="AC285"/>
      <c r="AD285"/>
      <c r="AE285"/>
      <c r="AF285"/>
      <c r="AG285"/>
    </row>
    <row r="286" spans="1:33" x14ac:dyDescent="0.25">
      <c r="AC286"/>
      <c r="AD286"/>
      <c r="AE286"/>
      <c r="AF286"/>
      <c r="AG286"/>
    </row>
    <row r="287" spans="1:33" x14ac:dyDescent="0.25">
      <c r="AC287"/>
      <c r="AD287"/>
      <c r="AE287"/>
      <c r="AF287"/>
      <c r="AG287"/>
    </row>
    <row r="288" spans="1:33" x14ac:dyDescent="0.25">
      <c r="AC288"/>
      <c r="AD288"/>
      <c r="AE288"/>
      <c r="AF288"/>
      <c r="AG288"/>
    </row>
    <row r="289" spans="29:33" x14ac:dyDescent="0.25">
      <c r="AC289"/>
      <c r="AD289"/>
      <c r="AE289"/>
      <c r="AF289"/>
      <c r="AG289"/>
    </row>
    <row r="290" spans="29:33" x14ac:dyDescent="0.25">
      <c r="AC290"/>
      <c r="AD290"/>
      <c r="AE290"/>
      <c r="AF290"/>
      <c r="AG290"/>
    </row>
    <row r="291" spans="29:33" x14ac:dyDescent="0.25">
      <c r="AC291"/>
      <c r="AD291"/>
      <c r="AE291"/>
      <c r="AF291"/>
      <c r="AG291"/>
    </row>
    <row r="292" spans="29:33" x14ac:dyDescent="0.25">
      <c r="AC292"/>
      <c r="AD292"/>
      <c r="AE292"/>
      <c r="AF292"/>
      <c r="AG292"/>
    </row>
    <row r="293" spans="29:33" x14ac:dyDescent="0.25">
      <c r="AC293"/>
      <c r="AD293"/>
      <c r="AE293"/>
      <c r="AF293"/>
      <c r="AG293"/>
    </row>
    <row r="294" spans="29:33" x14ac:dyDescent="0.25">
      <c r="AC294"/>
      <c r="AD294"/>
      <c r="AE294"/>
      <c r="AF294"/>
      <c r="AG294"/>
    </row>
    <row r="295" spans="29:33" x14ac:dyDescent="0.25">
      <c r="AC295"/>
      <c r="AD295"/>
      <c r="AE295"/>
      <c r="AF295"/>
      <c r="AG295"/>
    </row>
    <row r="296" spans="29:33" x14ac:dyDescent="0.25">
      <c r="AC296"/>
      <c r="AD296"/>
      <c r="AE296"/>
      <c r="AF296"/>
      <c r="AG296"/>
    </row>
    <row r="297" spans="29:33" x14ac:dyDescent="0.25">
      <c r="AC297"/>
      <c r="AD297"/>
      <c r="AE297"/>
      <c r="AF297"/>
      <c r="AG297"/>
    </row>
    <row r="298" spans="29:33" x14ac:dyDescent="0.25">
      <c r="AC298"/>
      <c r="AD298"/>
      <c r="AE298"/>
      <c r="AF298"/>
      <c r="AG298"/>
    </row>
    <row r="299" spans="29:33" x14ac:dyDescent="0.25">
      <c r="AC299"/>
      <c r="AD299"/>
      <c r="AE299"/>
      <c r="AF299"/>
      <c r="AG299"/>
    </row>
    <row r="300" spans="29:33" x14ac:dyDescent="0.25">
      <c r="AC300"/>
      <c r="AD300"/>
      <c r="AE300"/>
      <c r="AF300"/>
      <c r="AG300"/>
    </row>
    <row r="301" spans="29:33" x14ac:dyDescent="0.25">
      <c r="AC301"/>
      <c r="AD301"/>
      <c r="AE301"/>
      <c r="AF301"/>
      <c r="AG301"/>
    </row>
    <row r="302" spans="29:33" x14ac:dyDescent="0.25">
      <c r="AC302"/>
      <c r="AD302"/>
      <c r="AE302"/>
      <c r="AF302"/>
      <c r="AG302"/>
    </row>
    <row r="303" spans="29:33" x14ac:dyDescent="0.25">
      <c r="AC303"/>
      <c r="AD303"/>
      <c r="AE303"/>
      <c r="AF303"/>
      <c r="AG303"/>
    </row>
    <row r="304" spans="29:33" x14ac:dyDescent="0.25">
      <c r="AC304"/>
      <c r="AD304"/>
      <c r="AE304"/>
      <c r="AF304"/>
      <c r="AG304"/>
    </row>
    <row r="305" spans="29:33" x14ac:dyDescent="0.25">
      <c r="AC305"/>
      <c r="AD305"/>
      <c r="AE305"/>
      <c r="AF305"/>
      <c r="AG305"/>
    </row>
    <row r="306" spans="29:33" x14ac:dyDescent="0.25">
      <c r="AC306"/>
      <c r="AD306"/>
      <c r="AE306"/>
      <c r="AF306"/>
      <c r="AG306"/>
    </row>
    <row r="307" spans="29:33" x14ac:dyDescent="0.25">
      <c r="AC307"/>
      <c r="AD307"/>
      <c r="AE307"/>
      <c r="AF307"/>
      <c r="AG307"/>
    </row>
    <row r="308" spans="29:33" x14ac:dyDescent="0.25">
      <c r="AC308"/>
      <c r="AD308"/>
      <c r="AE308"/>
      <c r="AF308"/>
      <c r="AG308"/>
    </row>
    <row r="309" spans="29:33" x14ac:dyDescent="0.25">
      <c r="AC309"/>
      <c r="AD309"/>
      <c r="AE309"/>
      <c r="AF309"/>
      <c r="AG309"/>
    </row>
    <row r="310" spans="29:33" x14ac:dyDescent="0.25">
      <c r="AC310"/>
      <c r="AD310"/>
      <c r="AE310"/>
      <c r="AF310"/>
      <c r="AG310"/>
    </row>
  </sheetData>
  <mergeCells count="11">
    <mergeCell ref="AC2:AF2"/>
    <mergeCell ref="AI2:AL2"/>
    <mergeCell ref="K15:M15"/>
    <mergeCell ref="S1:AA1"/>
    <mergeCell ref="O2:Q2"/>
    <mergeCell ref="X2:AA2"/>
    <mergeCell ref="A1:E1"/>
    <mergeCell ref="K1:R1"/>
    <mergeCell ref="S2:V2"/>
    <mergeCell ref="A2:D2"/>
    <mergeCell ref="F2:H2"/>
  </mergeCells>
  <pageMargins left="0.7" right="0.7" top="0.75" bottom="0.75" header="0.3" footer="0.3"/>
  <pageSetup orientation="portrait" r:id="rId1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92D050"/>
  </sheetPr>
  <dimension ref="A1:N54"/>
  <sheetViews>
    <sheetView workbookViewId="0">
      <selection sqref="A1:B1"/>
    </sheetView>
  </sheetViews>
  <sheetFormatPr defaultColWidth="9.28515625" defaultRowHeight="15" x14ac:dyDescent="0.25"/>
  <cols>
    <col min="1" max="1" width="13.140625" style="199" bestFit="1" customWidth="1"/>
    <col min="2" max="2" width="25.85546875" style="199" bestFit="1" customWidth="1"/>
    <col min="3" max="4" width="9.28515625" style="199"/>
    <col min="5" max="5" width="12.42578125" style="199" bestFit="1" customWidth="1"/>
    <col min="6" max="13" width="9.28515625" style="199"/>
    <col min="14" max="14" width="12.7109375" style="320" bestFit="1" customWidth="1"/>
    <col min="15" max="16384" width="9.28515625" style="199"/>
  </cols>
  <sheetData>
    <row r="1" spans="1:5" x14ac:dyDescent="0.25">
      <c r="A1" s="912" t="s">
        <v>377</v>
      </c>
      <c r="B1" s="912"/>
    </row>
    <row r="3" spans="1:5" x14ac:dyDescent="0.25">
      <c r="A3" s="1" t="s">
        <v>21</v>
      </c>
      <c r="B3" t="s">
        <v>23</v>
      </c>
    </row>
    <row r="4" spans="1:5" x14ac:dyDescent="0.25">
      <c r="A4" s="2" t="s">
        <v>15</v>
      </c>
      <c r="B4" s="3">
        <v>0.35046017298789561</v>
      </c>
      <c r="C4" t="s">
        <v>1215</v>
      </c>
      <c r="E4" s="569"/>
    </row>
    <row r="5" spans="1:5" x14ac:dyDescent="0.25">
      <c r="A5" s="2" t="s">
        <v>20</v>
      </c>
      <c r="B5" s="3">
        <v>0.64953982701210444</v>
      </c>
      <c r="C5" t="s">
        <v>1216</v>
      </c>
      <c r="E5" s="569"/>
    </row>
    <row r="6" spans="1:5" x14ac:dyDescent="0.25">
      <c r="A6" s="2" t="s">
        <v>293</v>
      </c>
      <c r="B6" s="3">
        <v>0</v>
      </c>
      <c r="E6" s="569"/>
    </row>
    <row r="7" spans="1:5" x14ac:dyDescent="0.25">
      <c r="A7" s="2" t="s">
        <v>22</v>
      </c>
      <c r="B7" s="3">
        <v>1</v>
      </c>
      <c r="E7" s="569"/>
    </row>
    <row r="8" spans="1:5" x14ac:dyDescent="0.25">
      <c r="A8"/>
      <c r="B8"/>
      <c r="E8" s="569"/>
    </row>
    <row r="9" spans="1:5" x14ac:dyDescent="0.25">
      <c r="A9"/>
      <c r="B9"/>
      <c r="E9" s="569"/>
    </row>
    <row r="10" spans="1:5" x14ac:dyDescent="0.25">
      <c r="A10"/>
      <c r="B10"/>
      <c r="E10" s="569"/>
    </row>
    <row r="11" spans="1:5" x14ac:dyDescent="0.25">
      <c r="A11"/>
      <c r="B11"/>
      <c r="E11" s="569"/>
    </row>
    <row r="12" spans="1:5" x14ac:dyDescent="0.25">
      <c r="A12"/>
      <c r="B12"/>
      <c r="E12" s="569"/>
    </row>
    <row r="13" spans="1:5" x14ac:dyDescent="0.25">
      <c r="A13"/>
      <c r="B13"/>
      <c r="E13" s="569"/>
    </row>
    <row r="14" spans="1:5" x14ac:dyDescent="0.25">
      <c r="A14"/>
      <c r="B14"/>
      <c r="E14" s="569"/>
    </row>
    <row r="15" spans="1:5" x14ac:dyDescent="0.25">
      <c r="A15"/>
      <c r="B15"/>
      <c r="E15" s="569"/>
    </row>
    <row r="16" spans="1:5" x14ac:dyDescent="0.25">
      <c r="E16" s="569"/>
    </row>
    <row r="17" spans="5:5" x14ac:dyDescent="0.25">
      <c r="E17" s="569"/>
    </row>
    <row r="18" spans="5:5" x14ac:dyDescent="0.25">
      <c r="E18" s="569"/>
    </row>
    <row r="19" spans="5:5" x14ac:dyDescent="0.25">
      <c r="E19" s="569"/>
    </row>
    <row r="20" spans="5:5" x14ac:dyDescent="0.25">
      <c r="E20" s="569"/>
    </row>
    <row r="21" spans="5:5" x14ac:dyDescent="0.25">
      <c r="E21" s="569"/>
    </row>
    <row r="22" spans="5:5" x14ac:dyDescent="0.25">
      <c r="E22" s="569"/>
    </row>
    <row r="23" spans="5:5" x14ac:dyDescent="0.25">
      <c r="E23" s="569"/>
    </row>
    <row r="24" spans="5:5" x14ac:dyDescent="0.25">
      <c r="E24" s="569"/>
    </row>
    <row r="25" spans="5:5" x14ac:dyDescent="0.25">
      <c r="E25" s="569"/>
    </row>
    <row r="26" spans="5:5" x14ac:dyDescent="0.25">
      <c r="E26" s="569"/>
    </row>
    <row r="27" spans="5:5" x14ac:dyDescent="0.25">
      <c r="E27" s="569"/>
    </row>
    <row r="28" spans="5:5" x14ac:dyDescent="0.25">
      <c r="E28" s="569"/>
    </row>
    <row r="29" spans="5:5" x14ac:dyDescent="0.25">
      <c r="E29" s="569"/>
    </row>
    <row r="30" spans="5:5" x14ac:dyDescent="0.25">
      <c r="E30" s="569"/>
    </row>
    <row r="31" spans="5:5" x14ac:dyDescent="0.25">
      <c r="E31" s="569"/>
    </row>
    <row r="32" spans="5:5" x14ac:dyDescent="0.25">
      <c r="E32" s="569"/>
    </row>
    <row r="33" spans="5:5" x14ac:dyDescent="0.25">
      <c r="E33" s="569"/>
    </row>
    <row r="34" spans="5:5" x14ac:dyDescent="0.25">
      <c r="E34" s="569"/>
    </row>
    <row r="35" spans="5:5" x14ac:dyDescent="0.25">
      <c r="E35" s="569"/>
    </row>
    <row r="36" spans="5:5" x14ac:dyDescent="0.25">
      <c r="E36" s="569"/>
    </row>
    <row r="37" spans="5:5" x14ac:dyDescent="0.25">
      <c r="E37" s="569"/>
    </row>
    <row r="38" spans="5:5" x14ac:dyDescent="0.25">
      <c r="E38" s="569"/>
    </row>
    <row r="39" spans="5:5" x14ac:dyDescent="0.25">
      <c r="E39" s="569"/>
    </row>
    <row r="40" spans="5:5" x14ac:dyDescent="0.25">
      <c r="E40" s="569"/>
    </row>
    <row r="41" spans="5:5" x14ac:dyDescent="0.25">
      <c r="E41" s="569"/>
    </row>
    <row r="42" spans="5:5" x14ac:dyDescent="0.25">
      <c r="E42" s="569"/>
    </row>
    <row r="43" spans="5:5" x14ac:dyDescent="0.25">
      <c r="E43" s="569"/>
    </row>
    <row r="44" spans="5:5" x14ac:dyDescent="0.25">
      <c r="E44" s="569"/>
    </row>
    <row r="45" spans="5:5" x14ac:dyDescent="0.25">
      <c r="E45" s="569"/>
    </row>
    <row r="46" spans="5:5" x14ac:dyDescent="0.25">
      <c r="E46" s="569"/>
    </row>
    <row r="47" spans="5:5" x14ac:dyDescent="0.25">
      <c r="E47" s="569"/>
    </row>
    <row r="48" spans="5:5" x14ac:dyDescent="0.25">
      <c r="E48" s="569"/>
    </row>
    <row r="49" spans="5:5" x14ac:dyDescent="0.25">
      <c r="E49" s="569"/>
    </row>
    <row r="50" spans="5:5" x14ac:dyDescent="0.25">
      <c r="E50" s="400"/>
    </row>
    <row r="51" spans="5:5" x14ac:dyDescent="0.25">
      <c r="E51" s="400"/>
    </row>
    <row r="52" spans="5:5" x14ac:dyDescent="0.25">
      <c r="E52" s="400"/>
    </row>
    <row r="53" spans="5:5" x14ac:dyDescent="0.25">
      <c r="E53" s="400"/>
    </row>
    <row r="54" spans="5:5" x14ac:dyDescent="0.25">
      <c r="E54" s="571"/>
    </row>
  </sheetData>
  <mergeCells count="1">
    <mergeCell ref="A1:B1"/>
  </mergeCells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92D050"/>
  </sheetPr>
  <dimension ref="A1:G265"/>
  <sheetViews>
    <sheetView zoomScaleNormal="100" workbookViewId="0"/>
  </sheetViews>
  <sheetFormatPr defaultColWidth="9.140625" defaultRowHeight="15" x14ac:dyDescent="0.25"/>
  <cols>
    <col min="1" max="1" width="67" style="201" customWidth="1"/>
    <col min="2" max="3" width="19.7109375" style="800" customWidth="1"/>
    <col min="4" max="4" width="17.28515625" style="800" bestFit="1" customWidth="1"/>
    <col min="5" max="5" width="16" style="201" bestFit="1" customWidth="1"/>
    <col min="6" max="6" width="16.28515625" style="201" bestFit="1" customWidth="1"/>
    <col min="7" max="16384" width="9.140625" style="201"/>
  </cols>
  <sheetData>
    <row r="1" spans="1:7" ht="18" x14ac:dyDescent="0.25">
      <c r="A1" s="823" t="s">
        <v>1217</v>
      </c>
      <c r="B1" s="824">
        <v>45657</v>
      </c>
      <c r="C1" s="824"/>
      <c r="E1" s="201" t="s">
        <v>245</v>
      </c>
      <c r="F1" s="825">
        <f>-SUM(D141:D144)+D142</f>
        <v>324121606.51999998</v>
      </c>
      <c r="G1" s="201" t="s">
        <v>532</v>
      </c>
    </row>
    <row r="2" spans="1:7" x14ac:dyDescent="0.25">
      <c r="A2" s="896" t="s">
        <v>1218</v>
      </c>
      <c r="B2" s="824" t="s">
        <v>547</v>
      </c>
      <c r="C2" s="824" t="s">
        <v>548</v>
      </c>
    </row>
    <row r="3" spans="1:7" x14ac:dyDescent="0.25">
      <c r="A3" s="826" t="s">
        <v>549</v>
      </c>
      <c r="B3" s="824">
        <v>3135190.24</v>
      </c>
      <c r="C3" s="824"/>
      <c r="D3" s="800">
        <f>B3-C3</f>
        <v>3135190.24</v>
      </c>
    </row>
    <row r="4" spans="1:7" x14ac:dyDescent="0.25">
      <c r="A4" s="201" t="s">
        <v>550</v>
      </c>
      <c r="C4" s="800">
        <v>1094256.42</v>
      </c>
      <c r="D4" s="800">
        <f t="shared" ref="D4:D67" si="0">B4-C4</f>
        <v>-1094256.42</v>
      </c>
    </row>
    <row r="5" spans="1:7" x14ac:dyDescent="0.25">
      <c r="A5" s="827" t="s">
        <v>551</v>
      </c>
      <c r="C5" s="800">
        <v>705008.08</v>
      </c>
      <c r="D5" s="800">
        <f t="shared" si="0"/>
        <v>-705008.08</v>
      </c>
    </row>
    <row r="6" spans="1:7" x14ac:dyDescent="0.25">
      <c r="A6" s="828" t="s">
        <v>552</v>
      </c>
      <c r="B6" s="800">
        <v>507618.52</v>
      </c>
      <c r="D6" s="800">
        <f t="shared" si="0"/>
        <v>507618.52</v>
      </c>
    </row>
    <row r="7" spans="1:7" x14ac:dyDescent="0.25">
      <c r="A7" s="828" t="s">
        <v>553</v>
      </c>
      <c r="B7" s="800">
        <v>71.7</v>
      </c>
      <c r="D7" s="800">
        <f t="shared" si="0"/>
        <v>71.7</v>
      </c>
    </row>
    <row r="8" spans="1:7" x14ac:dyDescent="0.25">
      <c r="A8" s="828" t="s">
        <v>554</v>
      </c>
      <c r="B8" s="800">
        <v>36228.959999999999</v>
      </c>
      <c r="D8" s="800">
        <f t="shared" si="0"/>
        <v>36228.959999999999</v>
      </c>
    </row>
    <row r="9" spans="1:7" x14ac:dyDescent="0.25">
      <c r="A9" s="828" t="s">
        <v>555</v>
      </c>
      <c r="B9" s="800">
        <v>182.42</v>
      </c>
      <c r="D9" s="800">
        <f t="shared" si="0"/>
        <v>182.42</v>
      </c>
    </row>
    <row r="10" spans="1:7" x14ac:dyDescent="0.25">
      <c r="A10" s="828" t="s">
        <v>556</v>
      </c>
      <c r="B10" s="800">
        <v>0</v>
      </c>
      <c r="D10" s="800">
        <f t="shared" si="0"/>
        <v>0</v>
      </c>
    </row>
    <row r="11" spans="1:7" x14ac:dyDescent="0.25">
      <c r="A11" s="828" t="s">
        <v>557</v>
      </c>
      <c r="C11" s="800">
        <v>615.65</v>
      </c>
      <c r="D11" s="800">
        <f t="shared" si="0"/>
        <v>-615.65</v>
      </c>
    </row>
    <row r="12" spans="1:7" x14ac:dyDescent="0.25">
      <c r="A12" s="828" t="s">
        <v>558</v>
      </c>
      <c r="B12" s="800">
        <v>0</v>
      </c>
      <c r="D12" s="800">
        <f t="shared" si="0"/>
        <v>0</v>
      </c>
    </row>
    <row r="13" spans="1:7" x14ac:dyDescent="0.25">
      <c r="A13" s="828" t="s">
        <v>559</v>
      </c>
      <c r="B13" s="800">
        <v>0</v>
      </c>
      <c r="D13" s="800">
        <f t="shared" si="0"/>
        <v>0</v>
      </c>
    </row>
    <row r="14" spans="1:7" x14ac:dyDescent="0.25">
      <c r="A14" s="828" t="s">
        <v>560</v>
      </c>
      <c r="B14" s="800">
        <v>0</v>
      </c>
      <c r="D14" s="800">
        <f t="shared" si="0"/>
        <v>0</v>
      </c>
    </row>
    <row r="15" spans="1:7" x14ac:dyDescent="0.25">
      <c r="A15" s="828" t="s">
        <v>561</v>
      </c>
      <c r="B15" s="829">
        <v>41906087.939999998</v>
      </c>
      <c r="C15" s="830"/>
      <c r="D15" s="800">
        <f t="shared" si="0"/>
        <v>41906087.939999998</v>
      </c>
    </row>
    <row r="16" spans="1:7" x14ac:dyDescent="0.25">
      <c r="A16" s="828" t="s">
        <v>562</v>
      </c>
      <c r="B16" s="829">
        <v>0</v>
      </c>
      <c r="C16" s="830"/>
      <c r="D16" s="800">
        <f t="shared" si="0"/>
        <v>0</v>
      </c>
    </row>
    <row r="17" spans="1:4" x14ac:dyDescent="0.25">
      <c r="A17" s="828" t="s">
        <v>563</v>
      </c>
      <c r="B17" s="829">
        <v>3300</v>
      </c>
      <c r="C17" s="830"/>
      <c r="D17" s="800">
        <f t="shared" si="0"/>
        <v>3300</v>
      </c>
    </row>
    <row r="18" spans="1:4" x14ac:dyDescent="0.25">
      <c r="A18" s="828" t="s">
        <v>564</v>
      </c>
      <c r="B18" s="829">
        <v>6000</v>
      </c>
      <c r="C18" s="830"/>
      <c r="D18" s="800">
        <f t="shared" si="0"/>
        <v>6000</v>
      </c>
    </row>
    <row r="19" spans="1:4" x14ac:dyDescent="0.25">
      <c r="A19" s="828" t="s">
        <v>565</v>
      </c>
      <c r="B19" s="829">
        <v>2500</v>
      </c>
      <c r="C19" s="830"/>
      <c r="D19" s="800">
        <f t="shared" si="0"/>
        <v>2500</v>
      </c>
    </row>
    <row r="20" spans="1:4" x14ac:dyDescent="0.25">
      <c r="A20" s="828" t="s">
        <v>566</v>
      </c>
      <c r="B20" s="829">
        <v>2000</v>
      </c>
      <c r="C20" s="830"/>
      <c r="D20" s="800">
        <f t="shared" si="0"/>
        <v>2000</v>
      </c>
    </row>
    <row r="21" spans="1:4" x14ac:dyDescent="0.25">
      <c r="A21" s="828" t="s">
        <v>567</v>
      </c>
      <c r="B21" s="829">
        <v>1150</v>
      </c>
      <c r="C21" s="830"/>
      <c r="D21" s="800">
        <f t="shared" si="0"/>
        <v>1150</v>
      </c>
    </row>
    <row r="22" spans="1:4" x14ac:dyDescent="0.25">
      <c r="A22" s="828" t="s">
        <v>568</v>
      </c>
      <c r="B22" s="829">
        <v>0</v>
      </c>
      <c r="C22" s="830"/>
      <c r="D22" s="800">
        <f t="shared" si="0"/>
        <v>0</v>
      </c>
    </row>
    <row r="23" spans="1:4" x14ac:dyDescent="0.25">
      <c r="A23" s="828" t="s">
        <v>569</v>
      </c>
      <c r="B23" s="829">
        <v>0</v>
      </c>
      <c r="C23" s="830"/>
      <c r="D23" s="800">
        <f t="shared" si="0"/>
        <v>0</v>
      </c>
    </row>
    <row r="24" spans="1:4" x14ac:dyDescent="0.25">
      <c r="A24" s="828" t="s">
        <v>570</v>
      </c>
      <c r="B24" s="829">
        <v>0</v>
      </c>
      <c r="C24" s="830"/>
      <c r="D24" s="800">
        <f t="shared" si="0"/>
        <v>0</v>
      </c>
    </row>
    <row r="25" spans="1:4" x14ac:dyDescent="0.25">
      <c r="A25" s="828" t="s">
        <v>571</v>
      </c>
      <c r="B25" s="829">
        <v>0</v>
      </c>
      <c r="C25" s="830"/>
      <c r="D25" s="800">
        <f t="shared" si="0"/>
        <v>0</v>
      </c>
    </row>
    <row r="26" spans="1:4" x14ac:dyDescent="0.25">
      <c r="A26" s="828" t="s">
        <v>572</v>
      </c>
      <c r="B26" s="829">
        <v>0</v>
      </c>
      <c r="C26" s="830"/>
      <c r="D26" s="800">
        <f t="shared" si="0"/>
        <v>0</v>
      </c>
    </row>
    <row r="27" spans="1:4" x14ac:dyDescent="0.25">
      <c r="A27" s="828" t="s">
        <v>573</v>
      </c>
      <c r="B27" s="829">
        <v>0</v>
      </c>
      <c r="C27" s="830"/>
      <c r="D27" s="800">
        <f t="shared" si="0"/>
        <v>0</v>
      </c>
    </row>
    <row r="28" spans="1:4" x14ac:dyDescent="0.25">
      <c r="A28" s="828" t="s">
        <v>574</v>
      </c>
      <c r="B28" s="829">
        <v>0</v>
      </c>
      <c r="C28" s="830"/>
      <c r="D28" s="800">
        <f t="shared" si="0"/>
        <v>0</v>
      </c>
    </row>
    <row r="29" spans="1:4" x14ac:dyDescent="0.25">
      <c r="A29" s="828" t="s">
        <v>575</v>
      </c>
      <c r="B29" s="829">
        <v>0</v>
      </c>
      <c r="C29" s="830"/>
      <c r="D29" s="800">
        <f t="shared" si="0"/>
        <v>0</v>
      </c>
    </row>
    <row r="30" spans="1:4" x14ac:dyDescent="0.25">
      <c r="A30" s="828" t="s">
        <v>576</v>
      </c>
      <c r="B30" s="829">
        <v>0</v>
      </c>
      <c r="C30" s="830"/>
      <c r="D30" s="800">
        <f t="shared" si="0"/>
        <v>0</v>
      </c>
    </row>
    <row r="31" spans="1:4" x14ac:dyDescent="0.25">
      <c r="A31" s="828" t="s">
        <v>577</v>
      </c>
      <c r="B31" s="829">
        <v>0</v>
      </c>
      <c r="C31" s="830"/>
      <c r="D31" s="800">
        <f t="shared" si="0"/>
        <v>0</v>
      </c>
    </row>
    <row r="32" spans="1:4" x14ac:dyDescent="0.25">
      <c r="A32" s="828" t="s">
        <v>578</v>
      </c>
      <c r="B32" s="829">
        <v>0</v>
      </c>
      <c r="C32" s="830"/>
      <c r="D32" s="800">
        <f t="shared" si="0"/>
        <v>0</v>
      </c>
    </row>
    <row r="33" spans="1:4" x14ac:dyDescent="0.25">
      <c r="A33" s="828" t="s">
        <v>579</v>
      </c>
      <c r="B33" s="829">
        <v>0</v>
      </c>
      <c r="C33" s="830"/>
      <c r="D33" s="800">
        <f t="shared" si="0"/>
        <v>0</v>
      </c>
    </row>
    <row r="34" spans="1:4" x14ac:dyDescent="0.25">
      <c r="A34" s="828" t="s">
        <v>580</v>
      </c>
      <c r="B34" s="829">
        <v>0</v>
      </c>
      <c r="C34" s="830"/>
      <c r="D34" s="800">
        <f t="shared" si="0"/>
        <v>0</v>
      </c>
    </row>
    <row r="35" spans="1:4" x14ac:dyDescent="0.25">
      <c r="A35" s="828" t="s">
        <v>581</v>
      </c>
      <c r="B35" s="829">
        <v>0</v>
      </c>
      <c r="C35" s="830"/>
      <c r="D35" s="800">
        <f t="shared" si="0"/>
        <v>0</v>
      </c>
    </row>
    <row r="36" spans="1:4" x14ac:dyDescent="0.25">
      <c r="A36" s="828" t="s">
        <v>582</v>
      </c>
      <c r="B36" s="830">
        <v>0</v>
      </c>
      <c r="C36" s="829"/>
      <c r="D36" s="800">
        <f t="shared" si="0"/>
        <v>0</v>
      </c>
    </row>
    <row r="37" spans="1:4" x14ac:dyDescent="0.25">
      <c r="A37" s="828" t="s">
        <v>583</v>
      </c>
      <c r="B37" s="829">
        <v>0</v>
      </c>
      <c r="C37" s="830"/>
      <c r="D37" s="800">
        <f t="shared" si="0"/>
        <v>0</v>
      </c>
    </row>
    <row r="38" spans="1:4" x14ac:dyDescent="0.25">
      <c r="A38" s="828" t="s">
        <v>584</v>
      </c>
      <c r="B38" s="830">
        <v>0</v>
      </c>
      <c r="C38" s="829"/>
      <c r="D38" s="800">
        <f t="shared" si="0"/>
        <v>0</v>
      </c>
    </row>
    <row r="39" spans="1:4" x14ac:dyDescent="0.25">
      <c r="A39" s="828" t="s">
        <v>585</v>
      </c>
      <c r="B39" s="829">
        <v>0</v>
      </c>
      <c r="C39" s="830"/>
      <c r="D39" s="800">
        <f t="shared" si="0"/>
        <v>0</v>
      </c>
    </row>
    <row r="40" spans="1:4" x14ac:dyDescent="0.25">
      <c r="A40" s="828" t="s">
        <v>586</v>
      </c>
      <c r="B40" s="830">
        <v>0</v>
      </c>
      <c r="C40" s="829"/>
      <c r="D40" s="800">
        <f t="shared" si="0"/>
        <v>0</v>
      </c>
    </row>
    <row r="41" spans="1:4" x14ac:dyDescent="0.25">
      <c r="A41" s="828" t="s">
        <v>587</v>
      </c>
      <c r="B41" s="829">
        <v>0</v>
      </c>
      <c r="C41" s="830"/>
      <c r="D41" s="800">
        <f t="shared" si="0"/>
        <v>0</v>
      </c>
    </row>
    <row r="42" spans="1:4" x14ac:dyDescent="0.25">
      <c r="A42" s="828" t="s">
        <v>588</v>
      </c>
      <c r="B42" s="830">
        <v>4880</v>
      </c>
      <c r="C42" s="829"/>
      <c r="D42" s="800">
        <f t="shared" si="0"/>
        <v>4880</v>
      </c>
    </row>
    <row r="43" spans="1:4" x14ac:dyDescent="0.25">
      <c r="A43" s="828" t="s">
        <v>589</v>
      </c>
      <c r="B43" s="829">
        <v>0</v>
      </c>
      <c r="C43" s="830"/>
      <c r="D43" s="800">
        <f t="shared" si="0"/>
        <v>0</v>
      </c>
    </row>
    <row r="44" spans="1:4" x14ac:dyDescent="0.25">
      <c r="A44" s="828" t="s">
        <v>590</v>
      </c>
      <c r="B44" s="830">
        <v>0</v>
      </c>
      <c r="C44" s="829"/>
      <c r="D44" s="800">
        <f t="shared" si="0"/>
        <v>0</v>
      </c>
    </row>
    <row r="45" spans="1:4" x14ac:dyDescent="0.25">
      <c r="A45" s="828" t="s">
        <v>591</v>
      </c>
      <c r="B45" s="829">
        <v>0</v>
      </c>
      <c r="C45" s="830"/>
      <c r="D45" s="800">
        <f t="shared" si="0"/>
        <v>0</v>
      </c>
    </row>
    <row r="46" spans="1:4" x14ac:dyDescent="0.25">
      <c r="A46" s="828" t="s">
        <v>592</v>
      </c>
      <c r="B46" s="830">
        <v>0</v>
      </c>
      <c r="C46" s="829"/>
      <c r="D46" s="800">
        <f t="shared" si="0"/>
        <v>0</v>
      </c>
    </row>
    <row r="47" spans="1:4" x14ac:dyDescent="0.25">
      <c r="A47" s="828" t="s">
        <v>593</v>
      </c>
      <c r="B47" s="830">
        <v>0</v>
      </c>
      <c r="C47" s="829"/>
      <c r="D47" s="800">
        <f t="shared" si="0"/>
        <v>0</v>
      </c>
    </row>
    <row r="48" spans="1:4" x14ac:dyDescent="0.25">
      <c r="A48" s="828" t="s">
        <v>594</v>
      </c>
      <c r="B48" s="830">
        <v>0</v>
      </c>
      <c r="C48" s="829"/>
      <c r="D48" s="800">
        <f t="shared" si="0"/>
        <v>0</v>
      </c>
    </row>
    <row r="49" spans="1:4" x14ac:dyDescent="0.25">
      <c r="A49" s="828" t="s">
        <v>595</v>
      </c>
      <c r="B49" s="829">
        <v>32000</v>
      </c>
      <c r="C49" s="830"/>
      <c r="D49" s="800">
        <f t="shared" si="0"/>
        <v>32000</v>
      </c>
    </row>
    <row r="50" spans="1:4" x14ac:dyDescent="0.25">
      <c r="A50" s="828" t="s">
        <v>596</v>
      </c>
      <c r="B50" s="829">
        <v>5000</v>
      </c>
      <c r="C50" s="830"/>
      <c r="D50" s="800">
        <f t="shared" si="0"/>
        <v>5000</v>
      </c>
    </row>
    <row r="51" spans="1:4" x14ac:dyDescent="0.25">
      <c r="A51" s="828" t="s">
        <v>597</v>
      </c>
      <c r="B51" s="829">
        <v>0</v>
      </c>
      <c r="C51" s="830"/>
      <c r="D51" s="800">
        <f t="shared" si="0"/>
        <v>0</v>
      </c>
    </row>
    <row r="52" spans="1:4" x14ac:dyDescent="0.25">
      <c r="A52" s="828" t="s">
        <v>598</v>
      </c>
      <c r="B52" s="830">
        <v>100000</v>
      </c>
      <c r="C52" s="829"/>
      <c r="D52" s="800">
        <f t="shared" si="0"/>
        <v>100000</v>
      </c>
    </row>
    <row r="53" spans="1:4" x14ac:dyDescent="0.25">
      <c r="A53" s="828" t="s">
        <v>599</v>
      </c>
      <c r="B53" s="830">
        <v>100000</v>
      </c>
      <c r="C53" s="829"/>
      <c r="D53" s="800">
        <f t="shared" si="0"/>
        <v>100000</v>
      </c>
    </row>
    <row r="54" spans="1:4" x14ac:dyDescent="0.25">
      <c r="A54" s="828" t="s">
        <v>600</v>
      </c>
      <c r="B54" s="829">
        <v>0</v>
      </c>
      <c r="C54" s="830"/>
      <c r="D54" s="800">
        <f t="shared" si="0"/>
        <v>0</v>
      </c>
    </row>
    <row r="55" spans="1:4" x14ac:dyDescent="0.25">
      <c r="A55" s="828" t="s">
        <v>601</v>
      </c>
      <c r="B55" s="830">
        <v>0</v>
      </c>
      <c r="C55" s="829"/>
      <c r="D55" s="800">
        <f t="shared" si="0"/>
        <v>0</v>
      </c>
    </row>
    <row r="56" spans="1:4" x14ac:dyDescent="0.25">
      <c r="A56" s="828" t="s">
        <v>602</v>
      </c>
      <c r="B56" s="830">
        <v>0</v>
      </c>
      <c r="C56" s="829"/>
      <c r="D56" s="800">
        <f t="shared" si="0"/>
        <v>0</v>
      </c>
    </row>
    <row r="57" spans="1:4" x14ac:dyDescent="0.25">
      <c r="A57" s="828" t="s">
        <v>603</v>
      </c>
      <c r="B57" s="830">
        <v>0</v>
      </c>
      <c r="C57" s="829"/>
      <c r="D57" s="800">
        <f t="shared" si="0"/>
        <v>0</v>
      </c>
    </row>
    <row r="58" spans="1:4" x14ac:dyDescent="0.25">
      <c r="A58" s="828" t="s">
        <v>604</v>
      </c>
      <c r="B58" s="829">
        <v>100000</v>
      </c>
      <c r="C58" s="830"/>
      <c r="D58" s="800">
        <f t="shared" si="0"/>
        <v>100000</v>
      </c>
    </row>
    <row r="59" spans="1:4" x14ac:dyDescent="0.25">
      <c r="A59" s="828" t="s">
        <v>605</v>
      </c>
      <c r="B59" s="829">
        <v>2000</v>
      </c>
      <c r="C59" s="830"/>
      <c r="D59" s="800">
        <f t="shared" si="0"/>
        <v>2000</v>
      </c>
    </row>
    <row r="60" spans="1:4" x14ac:dyDescent="0.25">
      <c r="A60" s="828" t="s">
        <v>606</v>
      </c>
      <c r="B60" s="830">
        <v>3826451.92</v>
      </c>
      <c r="C60" s="829"/>
      <c r="D60" s="800">
        <f t="shared" si="0"/>
        <v>3826451.92</v>
      </c>
    </row>
    <row r="61" spans="1:4" x14ac:dyDescent="0.25">
      <c r="A61" s="828" t="s">
        <v>607</v>
      </c>
      <c r="B61" s="830">
        <v>0</v>
      </c>
      <c r="C61" s="829"/>
      <c r="D61" s="800">
        <f t="shared" si="0"/>
        <v>0</v>
      </c>
    </row>
    <row r="62" spans="1:4" x14ac:dyDescent="0.25">
      <c r="A62" s="828" t="s">
        <v>608</v>
      </c>
      <c r="B62" s="830">
        <v>0</v>
      </c>
      <c r="C62" s="829"/>
      <c r="D62" s="800">
        <f t="shared" si="0"/>
        <v>0</v>
      </c>
    </row>
    <row r="63" spans="1:4" x14ac:dyDescent="0.25">
      <c r="A63" s="828" t="s">
        <v>609</v>
      </c>
      <c r="B63" s="830">
        <v>0</v>
      </c>
      <c r="C63" s="829"/>
      <c r="D63" s="800">
        <f t="shared" si="0"/>
        <v>0</v>
      </c>
    </row>
    <row r="64" spans="1:4" x14ac:dyDescent="0.25">
      <c r="A64" s="828" t="s">
        <v>610</v>
      </c>
      <c r="B64" s="830">
        <v>875000</v>
      </c>
      <c r="C64" s="829"/>
      <c r="D64" s="800">
        <f t="shared" si="0"/>
        <v>875000</v>
      </c>
    </row>
    <row r="65" spans="1:4" x14ac:dyDescent="0.25">
      <c r="A65" s="828" t="s">
        <v>611</v>
      </c>
      <c r="B65" s="829">
        <v>0</v>
      </c>
      <c r="C65" s="830"/>
      <c r="D65" s="800">
        <f t="shared" si="0"/>
        <v>0</v>
      </c>
    </row>
    <row r="66" spans="1:4" x14ac:dyDescent="0.25">
      <c r="A66" s="828" t="s">
        <v>612</v>
      </c>
      <c r="B66" s="829">
        <v>0</v>
      </c>
      <c r="C66" s="830"/>
      <c r="D66" s="800">
        <f t="shared" si="0"/>
        <v>0</v>
      </c>
    </row>
    <row r="67" spans="1:4" x14ac:dyDescent="0.25">
      <c r="A67" s="828" t="s">
        <v>613</v>
      </c>
      <c r="B67" s="830">
        <v>0</v>
      </c>
      <c r="C67" s="829"/>
      <c r="D67" s="800">
        <f t="shared" si="0"/>
        <v>0</v>
      </c>
    </row>
    <row r="68" spans="1:4" x14ac:dyDescent="0.25">
      <c r="A68" s="828" t="s">
        <v>614</v>
      </c>
      <c r="B68" s="830">
        <v>0</v>
      </c>
      <c r="C68" s="829"/>
      <c r="D68" s="800">
        <f t="shared" ref="D68:D131" si="1">B68-C68</f>
        <v>0</v>
      </c>
    </row>
    <row r="69" spans="1:4" x14ac:dyDescent="0.25">
      <c r="A69" s="828" t="s">
        <v>615</v>
      </c>
      <c r="B69" s="829">
        <v>0</v>
      </c>
      <c r="C69" s="830"/>
      <c r="D69" s="800">
        <f t="shared" si="1"/>
        <v>0</v>
      </c>
    </row>
    <row r="70" spans="1:4" x14ac:dyDescent="0.25">
      <c r="A70" s="828" t="s">
        <v>616</v>
      </c>
      <c r="B70" s="829">
        <v>0</v>
      </c>
      <c r="C70" s="830"/>
      <c r="D70" s="800">
        <f t="shared" si="1"/>
        <v>0</v>
      </c>
    </row>
    <row r="71" spans="1:4" x14ac:dyDescent="0.25">
      <c r="A71" s="828" t="s">
        <v>617</v>
      </c>
      <c r="B71" s="830">
        <v>0</v>
      </c>
      <c r="C71" s="829"/>
      <c r="D71" s="800">
        <f t="shared" si="1"/>
        <v>0</v>
      </c>
    </row>
    <row r="72" spans="1:4" x14ac:dyDescent="0.25">
      <c r="A72" s="828" t="s">
        <v>618</v>
      </c>
      <c r="B72" s="830">
        <v>0</v>
      </c>
      <c r="C72" s="829"/>
      <c r="D72" s="800">
        <f t="shared" si="1"/>
        <v>0</v>
      </c>
    </row>
    <row r="73" spans="1:4" x14ac:dyDescent="0.25">
      <c r="A73" s="828" t="s">
        <v>619</v>
      </c>
      <c r="B73" s="830">
        <v>0</v>
      </c>
      <c r="C73" s="829"/>
      <c r="D73" s="800">
        <f t="shared" si="1"/>
        <v>0</v>
      </c>
    </row>
    <row r="74" spans="1:4" x14ac:dyDescent="0.25">
      <c r="A74" s="828" t="s">
        <v>620</v>
      </c>
      <c r="B74" s="830">
        <v>0</v>
      </c>
      <c r="C74" s="829"/>
      <c r="D74" s="800">
        <f t="shared" si="1"/>
        <v>0</v>
      </c>
    </row>
    <row r="75" spans="1:4" x14ac:dyDescent="0.25">
      <c r="A75" s="828" t="s">
        <v>621</v>
      </c>
      <c r="B75" s="829">
        <v>0</v>
      </c>
      <c r="C75" s="830"/>
      <c r="D75" s="800">
        <f t="shared" si="1"/>
        <v>0</v>
      </c>
    </row>
    <row r="76" spans="1:4" x14ac:dyDescent="0.25">
      <c r="A76" s="828" t="s">
        <v>622</v>
      </c>
      <c r="B76" s="830">
        <v>0</v>
      </c>
      <c r="C76" s="829"/>
      <c r="D76" s="800">
        <f t="shared" si="1"/>
        <v>0</v>
      </c>
    </row>
    <row r="77" spans="1:4" x14ac:dyDescent="0.25">
      <c r="A77" s="828" t="s">
        <v>623</v>
      </c>
      <c r="B77" s="830">
        <v>0</v>
      </c>
      <c r="C77" s="829"/>
      <c r="D77" s="800">
        <f t="shared" si="1"/>
        <v>0</v>
      </c>
    </row>
    <row r="78" spans="1:4" x14ac:dyDescent="0.25">
      <c r="A78" s="828" t="s">
        <v>624</v>
      </c>
      <c r="B78" s="830">
        <v>66666.67</v>
      </c>
      <c r="C78" s="829"/>
      <c r="D78" s="800">
        <f t="shared" si="1"/>
        <v>66666.67</v>
      </c>
    </row>
    <row r="79" spans="1:4" x14ac:dyDescent="0.25">
      <c r="A79" s="828" t="s">
        <v>625</v>
      </c>
      <c r="B79" s="830">
        <v>24381.8</v>
      </c>
      <c r="C79" s="829"/>
      <c r="D79" s="800">
        <f t="shared" si="1"/>
        <v>24381.8</v>
      </c>
    </row>
    <row r="80" spans="1:4" x14ac:dyDescent="0.25">
      <c r="A80" s="828" t="s">
        <v>626</v>
      </c>
      <c r="B80" s="830">
        <v>0</v>
      </c>
      <c r="C80" s="829"/>
      <c r="D80" s="800">
        <f t="shared" si="1"/>
        <v>0</v>
      </c>
    </row>
    <row r="81" spans="1:4" x14ac:dyDescent="0.25">
      <c r="A81" s="828" t="s">
        <v>627</v>
      </c>
      <c r="B81" s="830">
        <v>0</v>
      </c>
      <c r="C81" s="829"/>
      <c r="D81" s="800">
        <f t="shared" si="1"/>
        <v>0</v>
      </c>
    </row>
    <row r="82" spans="1:4" x14ac:dyDescent="0.25">
      <c r="A82" s="828" t="s">
        <v>628</v>
      </c>
      <c r="B82" s="830">
        <v>0</v>
      </c>
      <c r="C82" s="829"/>
      <c r="D82" s="800">
        <f t="shared" si="1"/>
        <v>0</v>
      </c>
    </row>
    <row r="83" spans="1:4" x14ac:dyDescent="0.25">
      <c r="A83" s="828" t="s">
        <v>629</v>
      </c>
      <c r="B83" s="830">
        <v>0</v>
      </c>
      <c r="C83" s="829"/>
      <c r="D83" s="800">
        <f t="shared" si="1"/>
        <v>0</v>
      </c>
    </row>
    <row r="84" spans="1:4" x14ac:dyDescent="0.25">
      <c r="A84" s="828" t="s">
        <v>630</v>
      </c>
      <c r="B84" s="830">
        <v>52721.17</v>
      </c>
      <c r="C84" s="829"/>
      <c r="D84" s="800">
        <f t="shared" si="1"/>
        <v>52721.17</v>
      </c>
    </row>
    <row r="85" spans="1:4" x14ac:dyDescent="0.25">
      <c r="A85" s="828" t="s">
        <v>631</v>
      </c>
      <c r="B85" s="830">
        <v>50000</v>
      </c>
      <c r="C85" s="829"/>
      <c r="D85" s="800">
        <f t="shared" si="1"/>
        <v>50000</v>
      </c>
    </row>
    <row r="86" spans="1:4" x14ac:dyDescent="0.25">
      <c r="A86" s="828" t="s">
        <v>632</v>
      </c>
      <c r="B86" s="830">
        <v>0</v>
      </c>
      <c r="C86" s="829"/>
      <c r="D86" s="800">
        <f t="shared" si="1"/>
        <v>0</v>
      </c>
    </row>
    <row r="87" spans="1:4" x14ac:dyDescent="0.25">
      <c r="A87" s="828" t="s">
        <v>633</v>
      </c>
      <c r="B87" s="830">
        <v>109000</v>
      </c>
      <c r="C87" s="829"/>
      <c r="D87" s="800">
        <f t="shared" si="1"/>
        <v>109000</v>
      </c>
    </row>
    <row r="88" spans="1:4" x14ac:dyDescent="0.25">
      <c r="A88" s="201" t="s">
        <v>634</v>
      </c>
      <c r="B88" s="800">
        <v>250000</v>
      </c>
      <c r="D88" s="800">
        <f t="shared" si="1"/>
        <v>250000</v>
      </c>
    </row>
    <row r="89" spans="1:4" x14ac:dyDescent="0.25">
      <c r="A89" s="201" t="s">
        <v>635</v>
      </c>
      <c r="B89" s="800">
        <v>15000</v>
      </c>
      <c r="D89" s="800">
        <f t="shared" si="1"/>
        <v>15000</v>
      </c>
    </row>
    <row r="90" spans="1:4" x14ac:dyDescent="0.25">
      <c r="A90" s="201" t="s">
        <v>636</v>
      </c>
      <c r="B90" s="800">
        <v>150000</v>
      </c>
      <c r="D90" s="800">
        <f t="shared" si="1"/>
        <v>150000</v>
      </c>
    </row>
    <row r="91" spans="1:4" x14ac:dyDescent="0.25">
      <c r="A91" s="201" t="s">
        <v>637</v>
      </c>
      <c r="B91" s="800">
        <v>100000</v>
      </c>
      <c r="D91" s="800">
        <f t="shared" si="1"/>
        <v>100000</v>
      </c>
    </row>
    <row r="92" spans="1:4" x14ac:dyDescent="0.25">
      <c r="A92" s="201" t="s">
        <v>638</v>
      </c>
      <c r="B92" s="800">
        <v>200000</v>
      </c>
      <c r="D92" s="800">
        <f t="shared" si="1"/>
        <v>200000</v>
      </c>
    </row>
    <row r="93" spans="1:4" x14ac:dyDescent="0.25">
      <c r="A93" s="201" t="s">
        <v>639</v>
      </c>
      <c r="B93" s="800">
        <v>4000</v>
      </c>
      <c r="D93" s="800">
        <f t="shared" si="1"/>
        <v>4000</v>
      </c>
    </row>
    <row r="94" spans="1:4" x14ac:dyDescent="0.25">
      <c r="A94" s="201" t="s">
        <v>640</v>
      </c>
      <c r="B94" s="800">
        <v>0</v>
      </c>
      <c r="D94" s="800">
        <f t="shared" si="1"/>
        <v>0</v>
      </c>
    </row>
    <row r="95" spans="1:4" x14ac:dyDescent="0.25">
      <c r="A95" s="201" t="s">
        <v>641</v>
      </c>
      <c r="B95" s="800">
        <v>1239855.3500000001</v>
      </c>
      <c r="D95" s="800">
        <f t="shared" si="1"/>
        <v>1239855.3500000001</v>
      </c>
    </row>
    <row r="96" spans="1:4" x14ac:dyDescent="0.25">
      <c r="A96" s="201" t="s">
        <v>642</v>
      </c>
      <c r="B96" s="800">
        <v>5516430</v>
      </c>
      <c r="D96" s="800">
        <f t="shared" si="1"/>
        <v>5516430</v>
      </c>
    </row>
    <row r="97" spans="1:5" x14ac:dyDescent="0.25">
      <c r="A97" s="201" t="s">
        <v>643</v>
      </c>
      <c r="B97" s="800">
        <v>1299566.19</v>
      </c>
      <c r="D97" s="800">
        <f t="shared" si="1"/>
        <v>1299566.19</v>
      </c>
    </row>
    <row r="98" spans="1:5" x14ac:dyDescent="0.25">
      <c r="A98" s="201" t="s">
        <v>644</v>
      </c>
      <c r="B98" s="800">
        <v>0</v>
      </c>
      <c r="D98" s="800">
        <f t="shared" si="1"/>
        <v>0</v>
      </c>
    </row>
    <row r="99" spans="1:5" x14ac:dyDescent="0.25">
      <c r="A99" s="201" t="s">
        <v>645</v>
      </c>
      <c r="B99" s="800">
        <v>164975</v>
      </c>
      <c r="D99" s="800">
        <f t="shared" si="1"/>
        <v>164975</v>
      </c>
    </row>
    <row r="100" spans="1:5" x14ac:dyDescent="0.25">
      <c r="A100" s="201" t="s">
        <v>646</v>
      </c>
      <c r="B100" s="800">
        <v>1433650</v>
      </c>
      <c r="D100" s="800">
        <f t="shared" si="1"/>
        <v>1433650</v>
      </c>
    </row>
    <row r="101" spans="1:5" x14ac:dyDescent="0.25">
      <c r="A101" s="201" t="s">
        <v>647</v>
      </c>
      <c r="B101" s="800">
        <v>3057684.71</v>
      </c>
      <c r="D101" s="800">
        <f t="shared" si="1"/>
        <v>3057684.71</v>
      </c>
    </row>
    <row r="102" spans="1:5" x14ac:dyDescent="0.25">
      <c r="A102" s="201" t="s">
        <v>648</v>
      </c>
      <c r="B102" s="800">
        <v>267428.34999999998</v>
      </c>
      <c r="D102" s="800">
        <f t="shared" si="1"/>
        <v>267428.34999999998</v>
      </c>
    </row>
    <row r="103" spans="1:5" x14ac:dyDescent="0.25">
      <c r="A103" s="201" t="s">
        <v>649</v>
      </c>
      <c r="B103" s="800">
        <v>25000</v>
      </c>
      <c r="D103" s="800">
        <f t="shared" si="1"/>
        <v>25000</v>
      </c>
    </row>
    <row r="104" spans="1:5" x14ac:dyDescent="0.25">
      <c r="A104" s="201" t="s">
        <v>650</v>
      </c>
      <c r="B104" s="800">
        <v>0</v>
      </c>
      <c r="D104" s="800">
        <f t="shared" si="1"/>
        <v>0</v>
      </c>
    </row>
    <row r="105" spans="1:5" x14ac:dyDescent="0.25">
      <c r="A105" s="201" t="s">
        <v>651</v>
      </c>
      <c r="B105" s="800">
        <v>0</v>
      </c>
      <c r="D105" s="800">
        <f t="shared" si="1"/>
        <v>0</v>
      </c>
    </row>
    <row r="106" spans="1:5" x14ac:dyDescent="0.25">
      <c r="A106" s="201" t="s">
        <v>652</v>
      </c>
      <c r="B106" s="800">
        <v>295270.24</v>
      </c>
      <c r="D106" s="800">
        <f t="shared" si="1"/>
        <v>295270.24</v>
      </c>
    </row>
    <row r="107" spans="1:5" x14ac:dyDescent="0.25">
      <c r="A107" s="201" t="s">
        <v>653</v>
      </c>
      <c r="B107" s="800">
        <v>0</v>
      </c>
      <c r="D107" s="800">
        <f t="shared" si="1"/>
        <v>0</v>
      </c>
    </row>
    <row r="108" spans="1:5" x14ac:dyDescent="0.25">
      <c r="A108" s="201" t="s">
        <v>654</v>
      </c>
      <c r="B108" s="800">
        <v>355000</v>
      </c>
      <c r="D108" s="800">
        <f t="shared" si="1"/>
        <v>355000</v>
      </c>
    </row>
    <row r="109" spans="1:5" x14ac:dyDescent="0.25">
      <c r="A109" s="201" t="s">
        <v>655</v>
      </c>
      <c r="B109" s="800">
        <v>3284000</v>
      </c>
      <c r="D109" s="800">
        <f t="shared" si="1"/>
        <v>3284000</v>
      </c>
    </row>
    <row r="110" spans="1:5" x14ac:dyDescent="0.25">
      <c r="A110" s="201" t="s">
        <v>656</v>
      </c>
      <c r="B110" s="800">
        <v>266497.34000000003</v>
      </c>
      <c r="D110" s="800">
        <f t="shared" si="1"/>
        <v>266497.34000000003</v>
      </c>
      <c r="E110" s="831">
        <f>SUM(D6:D110,D3)</f>
        <v>68872172.870000005</v>
      </c>
    </row>
    <row r="111" spans="1:5" x14ac:dyDescent="0.25">
      <c r="A111" s="201" t="s">
        <v>216</v>
      </c>
      <c r="B111" s="800">
        <v>0</v>
      </c>
      <c r="D111" s="800">
        <f t="shared" si="1"/>
        <v>0</v>
      </c>
    </row>
    <row r="112" spans="1:5" x14ac:dyDescent="0.25">
      <c r="A112" s="201" t="s">
        <v>657</v>
      </c>
      <c r="C112" s="800">
        <v>123619.08</v>
      </c>
      <c r="D112" s="800">
        <f t="shared" si="1"/>
        <v>-123619.08</v>
      </c>
    </row>
    <row r="113" spans="1:5" x14ac:dyDescent="0.25">
      <c r="A113" s="201" t="s">
        <v>658</v>
      </c>
      <c r="C113" s="800">
        <v>164581.47</v>
      </c>
      <c r="D113" s="800">
        <f t="shared" si="1"/>
        <v>-164581.47</v>
      </c>
    </row>
    <row r="114" spans="1:5" x14ac:dyDescent="0.25">
      <c r="A114" s="201" t="s">
        <v>659</v>
      </c>
      <c r="B114" s="800">
        <v>0</v>
      </c>
      <c r="D114" s="800">
        <f t="shared" si="1"/>
        <v>0</v>
      </c>
    </row>
    <row r="115" spans="1:5" x14ac:dyDescent="0.25">
      <c r="A115" s="201" t="s">
        <v>660</v>
      </c>
      <c r="C115" s="800">
        <v>8500000</v>
      </c>
      <c r="D115" s="800">
        <f t="shared" si="1"/>
        <v>-8500000</v>
      </c>
    </row>
    <row r="116" spans="1:5" x14ac:dyDescent="0.25">
      <c r="A116" s="201" t="s">
        <v>661</v>
      </c>
      <c r="C116" s="800">
        <v>1531.86</v>
      </c>
      <c r="D116" s="800">
        <f t="shared" si="1"/>
        <v>-1531.86</v>
      </c>
    </row>
    <row r="117" spans="1:5" x14ac:dyDescent="0.25">
      <c r="A117" s="201" t="s">
        <v>662</v>
      </c>
      <c r="B117" s="800">
        <v>0</v>
      </c>
      <c r="D117" s="800">
        <f t="shared" si="1"/>
        <v>0</v>
      </c>
    </row>
    <row r="118" spans="1:5" x14ac:dyDescent="0.25">
      <c r="A118" s="201" t="s">
        <v>663</v>
      </c>
      <c r="B118" s="800">
        <v>0</v>
      </c>
      <c r="D118" s="800">
        <f t="shared" si="1"/>
        <v>0</v>
      </c>
    </row>
    <row r="119" spans="1:5" x14ac:dyDescent="0.25">
      <c r="A119" s="201" t="s">
        <v>664</v>
      </c>
      <c r="C119" s="800">
        <v>913044.88</v>
      </c>
      <c r="D119" s="800">
        <f t="shared" si="1"/>
        <v>-913044.88</v>
      </c>
      <c r="E119" s="201">
        <v>4</v>
      </c>
    </row>
    <row r="120" spans="1:5" x14ac:dyDescent="0.25">
      <c r="A120" s="201" t="s">
        <v>665</v>
      </c>
      <c r="C120" s="800">
        <v>13469560.779999999</v>
      </c>
      <c r="D120" s="800">
        <f t="shared" si="1"/>
        <v>-13469560.779999999</v>
      </c>
    </row>
    <row r="121" spans="1:5" x14ac:dyDescent="0.25">
      <c r="A121" s="201" t="s">
        <v>666</v>
      </c>
      <c r="B121" s="800">
        <v>7364049.7599999998</v>
      </c>
      <c r="D121" s="800">
        <f t="shared" si="1"/>
        <v>7364049.7599999998</v>
      </c>
    </row>
    <row r="122" spans="1:5" x14ac:dyDescent="0.25">
      <c r="A122" s="201" t="s">
        <v>667</v>
      </c>
      <c r="C122" s="800">
        <v>6300</v>
      </c>
      <c r="D122" s="800">
        <f t="shared" si="1"/>
        <v>-6300</v>
      </c>
    </row>
    <row r="123" spans="1:5" x14ac:dyDescent="0.25">
      <c r="A123" s="201" t="s">
        <v>668</v>
      </c>
      <c r="C123" s="800">
        <v>3683300</v>
      </c>
      <c r="D123" s="800">
        <f t="shared" si="1"/>
        <v>-3683300</v>
      </c>
    </row>
    <row r="124" spans="1:5" x14ac:dyDescent="0.25">
      <c r="A124" s="201" t="s">
        <v>669</v>
      </c>
      <c r="C124" s="800">
        <v>186201.15</v>
      </c>
      <c r="D124" s="800">
        <f t="shared" si="1"/>
        <v>-186201.15</v>
      </c>
    </row>
    <row r="125" spans="1:5" x14ac:dyDescent="0.25">
      <c r="A125" s="201" t="s">
        <v>670</v>
      </c>
      <c r="C125" s="800">
        <v>6270</v>
      </c>
      <c r="D125" s="800">
        <f t="shared" si="1"/>
        <v>-6270</v>
      </c>
    </row>
    <row r="126" spans="1:5" x14ac:dyDescent="0.25">
      <c r="A126" s="201" t="s">
        <v>671</v>
      </c>
      <c r="B126" s="800">
        <v>0</v>
      </c>
      <c r="D126" s="800">
        <f t="shared" si="1"/>
        <v>0</v>
      </c>
    </row>
    <row r="127" spans="1:5" x14ac:dyDescent="0.25">
      <c r="A127" s="201" t="s">
        <v>672</v>
      </c>
      <c r="B127" s="800">
        <v>4.3099999999999996</v>
      </c>
      <c r="D127" s="800">
        <f t="shared" si="1"/>
        <v>4.3099999999999996</v>
      </c>
    </row>
    <row r="128" spans="1:5" x14ac:dyDescent="0.25">
      <c r="A128" s="201" t="s">
        <v>673</v>
      </c>
      <c r="B128" s="800">
        <v>1.45</v>
      </c>
      <c r="D128" s="800">
        <f t="shared" si="1"/>
        <v>1.45</v>
      </c>
    </row>
    <row r="129" spans="1:6" x14ac:dyDescent="0.25">
      <c r="A129" s="201" t="s">
        <v>674</v>
      </c>
      <c r="B129" s="800">
        <v>6.28</v>
      </c>
      <c r="D129" s="800">
        <f t="shared" si="1"/>
        <v>6.28</v>
      </c>
    </row>
    <row r="130" spans="1:6" x14ac:dyDescent="0.25">
      <c r="A130" s="201" t="s">
        <v>675</v>
      </c>
      <c r="B130" s="800">
        <v>20.97</v>
      </c>
      <c r="D130" s="800">
        <f t="shared" si="1"/>
        <v>20.97</v>
      </c>
    </row>
    <row r="131" spans="1:6" x14ac:dyDescent="0.25">
      <c r="A131" s="201" t="s">
        <v>676</v>
      </c>
      <c r="B131" s="800">
        <v>54.88</v>
      </c>
      <c r="D131" s="800">
        <f t="shared" si="1"/>
        <v>54.88</v>
      </c>
    </row>
    <row r="132" spans="1:6" x14ac:dyDescent="0.25">
      <c r="A132" s="201" t="s">
        <v>677</v>
      </c>
      <c r="B132" s="800">
        <v>54.88</v>
      </c>
      <c r="D132" s="800">
        <f t="shared" ref="D132:D195" si="2">B132-C132</f>
        <v>54.88</v>
      </c>
    </row>
    <row r="133" spans="1:6" x14ac:dyDescent="0.25">
      <c r="A133" s="201" t="s">
        <v>678</v>
      </c>
      <c r="B133" s="800">
        <v>17.04</v>
      </c>
      <c r="D133" s="800">
        <f t="shared" si="2"/>
        <v>17.04</v>
      </c>
    </row>
    <row r="134" spans="1:6" x14ac:dyDescent="0.25">
      <c r="A134" s="201" t="s">
        <v>679</v>
      </c>
      <c r="B134" s="800">
        <v>2.98</v>
      </c>
      <c r="D134" s="800">
        <f t="shared" si="2"/>
        <v>2.98</v>
      </c>
    </row>
    <row r="135" spans="1:6" x14ac:dyDescent="0.25">
      <c r="A135" s="201" t="s">
        <v>680</v>
      </c>
      <c r="C135" s="800">
        <v>264803.78999999998</v>
      </c>
      <c r="D135" s="800">
        <f t="shared" si="2"/>
        <v>-264803.78999999998</v>
      </c>
    </row>
    <row r="136" spans="1:6" x14ac:dyDescent="0.25">
      <c r="A136" s="201" t="s">
        <v>681</v>
      </c>
      <c r="C136" s="800">
        <v>284196.01</v>
      </c>
      <c r="D136" s="800">
        <f t="shared" si="2"/>
        <v>-284196.01</v>
      </c>
    </row>
    <row r="137" spans="1:6" x14ac:dyDescent="0.25">
      <c r="A137" s="201" t="s">
        <v>682</v>
      </c>
      <c r="B137" s="800">
        <v>0</v>
      </c>
      <c r="D137" s="800">
        <f t="shared" si="2"/>
        <v>0</v>
      </c>
    </row>
    <row r="138" spans="1:6" x14ac:dyDescent="0.25">
      <c r="A138" s="201" t="s">
        <v>683</v>
      </c>
      <c r="C138" s="800">
        <v>1999900</v>
      </c>
      <c r="D138" s="800">
        <f t="shared" si="2"/>
        <v>-1999900</v>
      </c>
      <c r="E138" s="201" t="s">
        <v>1149</v>
      </c>
    </row>
    <row r="139" spans="1:6" x14ac:dyDescent="0.25">
      <c r="A139" s="201" t="s">
        <v>684</v>
      </c>
      <c r="C139" s="800">
        <v>1433400</v>
      </c>
      <c r="D139" s="800">
        <f t="shared" si="2"/>
        <v>-1433400</v>
      </c>
      <c r="E139" s="831">
        <f>SUM(D111:D139,D4,D5,D11)</f>
        <v>-25472376.620000005</v>
      </c>
    </row>
    <row r="140" spans="1:6" x14ac:dyDescent="0.25">
      <c r="A140" s="201" t="s">
        <v>239</v>
      </c>
      <c r="C140" s="800">
        <v>24459677.539999999</v>
      </c>
      <c r="D140" s="800">
        <f t="shared" si="2"/>
        <v>-24459677.539999999</v>
      </c>
      <c r="E140" s="831">
        <f>SUM(D140:D264)</f>
        <v>-43400411.900000028</v>
      </c>
    </row>
    <row r="141" spans="1:6" x14ac:dyDescent="0.25">
      <c r="A141" s="201" t="s">
        <v>685</v>
      </c>
      <c r="C141" s="800">
        <v>322903559.07999998</v>
      </c>
      <c r="D141" s="800">
        <f t="shared" si="2"/>
        <v>-322903559.07999998</v>
      </c>
    </row>
    <row r="142" spans="1:6" x14ac:dyDescent="0.25">
      <c r="A142" s="201" t="s">
        <v>686</v>
      </c>
      <c r="C142" s="800">
        <v>7092745.6600000001</v>
      </c>
      <c r="D142" s="800">
        <f t="shared" si="2"/>
        <v>-7092745.6600000001</v>
      </c>
    </row>
    <row r="143" spans="1:6" x14ac:dyDescent="0.25">
      <c r="A143" s="201" t="s">
        <v>687</v>
      </c>
      <c r="C143" s="800">
        <v>642518.59</v>
      </c>
      <c r="D143" s="800">
        <f t="shared" si="2"/>
        <v>-642518.59</v>
      </c>
    </row>
    <row r="144" spans="1:6" x14ac:dyDescent="0.25">
      <c r="A144" s="201" t="s">
        <v>688</v>
      </c>
      <c r="C144" s="800">
        <v>575528.85</v>
      </c>
      <c r="D144" s="800">
        <f t="shared" si="2"/>
        <v>-575528.85</v>
      </c>
      <c r="F144" s="831"/>
    </row>
    <row r="145" spans="1:4" x14ac:dyDescent="0.25">
      <c r="A145" s="201" t="s">
        <v>689</v>
      </c>
      <c r="C145" s="800">
        <v>2102</v>
      </c>
      <c r="D145" s="800">
        <f t="shared" si="2"/>
        <v>-2102</v>
      </c>
    </row>
    <row r="146" spans="1:4" x14ac:dyDescent="0.25">
      <c r="A146" s="201" t="s">
        <v>690</v>
      </c>
      <c r="B146" s="800">
        <v>216877138.68000001</v>
      </c>
      <c r="D146" s="800">
        <f t="shared" si="2"/>
        <v>216877138.68000001</v>
      </c>
    </row>
    <row r="147" spans="1:4" x14ac:dyDescent="0.25">
      <c r="A147" s="201" t="s">
        <v>691</v>
      </c>
      <c r="B147" s="800">
        <v>16506531.300000001</v>
      </c>
      <c r="D147" s="800">
        <f t="shared" si="2"/>
        <v>16506531.300000001</v>
      </c>
    </row>
    <row r="148" spans="1:4" x14ac:dyDescent="0.25">
      <c r="A148" s="201" t="s">
        <v>692</v>
      </c>
      <c r="B148" s="800">
        <v>770005.88</v>
      </c>
      <c r="D148" s="800">
        <f t="shared" si="2"/>
        <v>770005.88</v>
      </c>
    </row>
    <row r="149" spans="1:4" x14ac:dyDescent="0.25">
      <c r="A149" s="201" t="s">
        <v>693</v>
      </c>
      <c r="B149" s="800">
        <v>1294138.53</v>
      </c>
      <c r="D149" s="800">
        <f t="shared" si="2"/>
        <v>1294138.53</v>
      </c>
    </row>
    <row r="150" spans="1:4" x14ac:dyDescent="0.25">
      <c r="A150" s="201" t="s">
        <v>694</v>
      </c>
      <c r="B150" s="800">
        <v>4320536.16</v>
      </c>
      <c r="D150" s="800">
        <f t="shared" si="2"/>
        <v>4320536.16</v>
      </c>
    </row>
    <row r="151" spans="1:4" x14ac:dyDescent="0.25">
      <c r="A151" s="201" t="s">
        <v>695</v>
      </c>
      <c r="B151" s="800">
        <v>4879619.2</v>
      </c>
      <c r="D151" s="800">
        <f t="shared" si="2"/>
        <v>4879619.2</v>
      </c>
    </row>
    <row r="152" spans="1:4" x14ac:dyDescent="0.25">
      <c r="A152" s="201" t="s">
        <v>696</v>
      </c>
      <c r="B152" s="800">
        <v>19518033.760000002</v>
      </c>
      <c r="D152" s="800">
        <f t="shared" si="2"/>
        <v>19518033.760000002</v>
      </c>
    </row>
    <row r="153" spans="1:4" x14ac:dyDescent="0.25">
      <c r="A153" s="201" t="s">
        <v>697</v>
      </c>
      <c r="B153" s="800">
        <v>718434.57</v>
      </c>
      <c r="D153" s="800">
        <f t="shared" si="2"/>
        <v>718434.57</v>
      </c>
    </row>
    <row r="154" spans="1:4" x14ac:dyDescent="0.25">
      <c r="A154" s="201" t="s">
        <v>698</v>
      </c>
      <c r="B154" s="800">
        <v>3177314.83</v>
      </c>
      <c r="D154" s="800">
        <f t="shared" si="2"/>
        <v>3177314.83</v>
      </c>
    </row>
    <row r="155" spans="1:4" x14ac:dyDescent="0.25">
      <c r="A155" s="201" t="s">
        <v>699</v>
      </c>
      <c r="B155" s="800">
        <v>1637300.47</v>
      </c>
      <c r="D155" s="800">
        <f t="shared" si="2"/>
        <v>1637300.47</v>
      </c>
    </row>
    <row r="156" spans="1:4" x14ac:dyDescent="0.25">
      <c r="A156" s="201" t="s">
        <v>700</v>
      </c>
      <c r="B156" s="800">
        <v>2225651.9500000002</v>
      </c>
      <c r="D156" s="800">
        <f t="shared" si="2"/>
        <v>2225651.9500000002</v>
      </c>
    </row>
    <row r="157" spans="1:4" x14ac:dyDescent="0.25">
      <c r="A157" s="201" t="s">
        <v>701</v>
      </c>
      <c r="B157" s="800">
        <v>476149.43</v>
      </c>
      <c r="D157" s="800">
        <f t="shared" si="2"/>
        <v>476149.43</v>
      </c>
    </row>
    <row r="158" spans="1:4" x14ac:dyDescent="0.25">
      <c r="A158" s="201" t="s">
        <v>702</v>
      </c>
      <c r="B158" s="800">
        <v>1929874.34</v>
      </c>
      <c r="D158" s="800">
        <f t="shared" si="2"/>
        <v>1929874.34</v>
      </c>
    </row>
    <row r="159" spans="1:4" x14ac:dyDescent="0.25">
      <c r="A159" s="201" t="s">
        <v>703</v>
      </c>
      <c r="B159" s="800">
        <v>155663.13</v>
      </c>
      <c r="D159" s="800">
        <f t="shared" si="2"/>
        <v>155663.13</v>
      </c>
    </row>
    <row r="160" spans="1:4" x14ac:dyDescent="0.25">
      <c r="A160" s="201" t="s">
        <v>704</v>
      </c>
      <c r="B160" s="800">
        <v>46307.46</v>
      </c>
      <c r="D160" s="800">
        <f t="shared" si="2"/>
        <v>46307.46</v>
      </c>
    </row>
    <row r="161" spans="1:6" x14ac:dyDescent="0.25">
      <c r="A161" s="201" t="s">
        <v>705</v>
      </c>
      <c r="B161" s="800">
        <v>260512.5</v>
      </c>
      <c r="D161" s="800">
        <f t="shared" si="2"/>
        <v>260512.5</v>
      </c>
    </row>
    <row r="162" spans="1:6" x14ac:dyDescent="0.25">
      <c r="A162" s="201" t="s">
        <v>706</v>
      </c>
      <c r="B162" s="800">
        <v>227.65</v>
      </c>
      <c r="D162" s="800">
        <f t="shared" si="2"/>
        <v>227.65</v>
      </c>
    </row>
    <row r="163" spans="1:6" x14ac:dyDescent="0.25">
      <c r="A163" s="201" t="s">
        <v>707</v>
      </c>
      <c r="B163" s="800">
        <v>450</v>
      </c>
      <c r="D163" s="800">
        <f t="shared" si="2"/>
        <v>450</v>
      </c>
    </row>
    <row r="164" spans="1:6" x14ac:dyDescent="0.25">
      <c r="A164" s="201" t="s">
        <v>708</v>
      </c>
      <c r="B164" s="800">
        <v>5507098.9400000004</v>
      </c>
      <c r="D164" s="800">
        <f t="shared" si="2"/>
        <v>5507098.9400000004</v>
      </c>
    </row>
    <row r="165" spans="1:6" x14ac:dyDescent="0.25">
      <c r="A165" s="201" t="s">
        <v>709</v>
      </c>
      <c r="B165" s="800">
        <v>73055.839999999997</v>
      </c>
      <c r="D165" s="800">
        <f t="shared" si="2"/>
        <v>73055.839999999997</v>
      </c>
      <c r="E165" s="831">
        <f>SUM(D163:D174)</f>
        <v>7227037.79</v>
      </c>
      <c r="F165" s="831">
        <f>E165-'TB Tagging'!B136</f>
        <v>7502699.79</v>
      </c>
    </row>
    <row r="166" spans="1:6" x14ac:dyDescent="0.25">
      <c r="A166" s="201" t="s">
        <v>710</v>
      </c>
      <c r="B166" s="800">
        <v>1456.9</v>
      </c>
      <c r="D166" s="800">
        <f t="shared" si="2"/>
        <v>1456.9</v>
      </c>
      <c r="F166" s="831">
        <f ca="1">F165+Check!B18</f>
        <v>1.4062970876693726E-7</v>
      </c>
    </row>
    <row r="167" spans="1:6" x14ac:dyDescent="0.25">
      <c r="A167" s="201" t="s">
        <v>711</v>
      </c>
      <c r="B167" s="800">
        <v>9785.4699999999993</v>
      </c>
      <c r="D167" s="800">
        <f t="shared" si="2"/>
        <v>9785.4699999999993</v>
      </c>
    </row>
    <row r="168" spans="1:6" x14ac:dyDescent="0.25">
      <c r="A168" s="201" t="s">
        <v>712</v>
      </c>
      <c r="B168" s="800">
        <v>5729.85</v>
      </c>
      <c r="D168" s="800">
        <f t="shared" si="2"/>
        <v>5729.85</v>
      </c>
    </row>
    <row r="169" spans="1:6" x14ac:dyDescent="0.25">
      <c r="A169" s="201" t="s">
        <v>713</v>
      </c>
      <c r="B169" s="800">
        <v>139682.35999999999</v>
      </c>
      <c r="D169" s="800">
        <f t="shared" si="2"/>
        <v>139682.35999999999</v>
      </c>
    </row>
    <row r="170" spans="1:6" x14ac:dyDescent="0.25">
      <c r="A170" s="201" t="s">
        <v>714</v>
      </c>
      <c r="B170" s="800">
        <v>1370843.96</v>
      </c>
      <c r="D170" s="800">
        <f t="shared" si="2"/>
        <v>1370843.96</v>
      </c>
    </row>
    <row r="171" spans="1:6" x14ac:dyDescent="0.25">
      <c r="A171" s="201" t="s">
        <v>715</v>
      </c>
      <c r="B171" s="800">
        <v>104591.85</v>
      </c>
      <c r="D171" s="800">
        <f t="shared" si="2"/>
        <v>104591.85</v>
      </c>
    </row>
    <row r="172" spans="1:6" x14ac:dyDescent="0.25">
      <c r="A172" s="201" t="s">
        <v>716</v>
      </c>
      <c r="B172" s="800">
        <v>1872.39</v>
      </c>
      <c r="D172" s="800">
        <f t="shared" si="2"/>
        <v>1872.39</v>
      </c>
    </row>
    <row r="173" spans="1:6" x14ac:dyDescent="0.25">
      <c r="A173" s="201" t="s">
        <v>717</v>
      </c>
      <c r="B173" s="800">
        <v>12012.98</v>
      </c>
      <c r="D173" s="800">
        <f t="shared" si="2"/>
        <v>12012.98</v>
      </c>
    </row>
    <row r="174" spans="1:6" x14ac:dyDescent="0.25">
      <c r="A174" s="201" t="s">
        <v>718</v>
      </c>
      <c r="B174" s="800">
        <v>457.25</v>
      </c>
      <c r="D174" s="800">
        <f t="shared" si="2"/>
        <v>457.25</v>
      </c>
    </row>
    <row r="175" spans="1:6" x14ac:dyDescent="0.25">
      <c r="A175" s="201" t="s">
        <v>719</v>
      </c>
      <c r="B175" s="800">
        <v>434508.54</v>
      </c>
      <c r="D175" s="800">
        <f t="shared" si="2"/>
        <v>434508.54</v>
      </c>
    </row>
    <row r="176" spans="1:6" x14ac:dyDescent="0.25">
      <c r="A176" s="201" t="s">
        <v>720</v>
      </c>
      <c r="B176" s="800">
        <v>66409.55</v>
      </c>
      <c r="D176" s="800">
        <f t="shared" si="2"/>
        <v>66409.55</v>
      </c>
    </row>
    <row r="177" spans="1:4" x14ac:dyDescent="0.25">
      <c r="A177" s="201" t="s">
        <v>721</v>
      </c>
      <c r="B177" s="800">
        <v>565770.84</v>
      </c>
      <c r="D177" s="800">
        <f t="shared" si="2"/>
        <v>565770.84</v>
      </c>
    </row>
    <row r="178" spans="1:4" x14ac:dyDescent="0.25">
      <c r="A178" s="201" t="s">
        <v>722</v>
      </c>
      <c r="B178" s="800">
        <v>18235.3</v>
      </c>
      <c r="D178" s="800">
        <f t="shared" si="2"/>
        <v>18235.3</v>
      </c>
    </row>
    <row r="179" spans="1:4" x14ac:dyDescent="0.25">
      <c r="A179" s="201" t="s">
        <v>723</v>
      </c>
      <c r="B179" s="800">
        <v>507076</v>
      </c>
      <c r="D179" s="800">
        <f t="shared" si="2"/>
        <v>507076</v>
      </c>
    </row>
    <row r="180" spans="1:4" x14ac:dyDescent="0.25">
      <c r="A180" s="201" t="s">
        <v>724</v>
      </c>
      <c r="B180" s="800">
        <v>2500</v>
      </c>
      <c r="D180" s="800">
        <f t="shared" si="2"/>
        <v>2500</v>
      </c>
    </row>
    <row r="181" spans="1:4" x14ac:dyDescent="0.25">
      <c r="A181" s="201" t="s">
        <v>725</v>
      </c>
      <c r="B181" s="800">
        <v>27060</v>
      </c>
      <c r="D181" s="800">
        <f t="shared" si="2"/>
        <v>27060</v>
      </c>
    </row>
    <row r="182" spans="1:4" x14ac:dyDescent="0.25">
      <c r="A182" s="201" t="s">
        <v>726</v>
      </c>
      <c r="B182" s="800">
        <v>505127.14</v>
      </c>
      <c r="D182" s="800">
        <f t="shared" si="2"/>
        <v>505127.14</v>
      </c>
    </row>
    <row r="183" spans="1:4" x14ac:dyDescent="0.25">
      <c r="A183" s="201" t="s">
        <v>727</v>
      </c>
      <c r="B183" s="800">
        <v>125530.89</v>
      </c>
      <c r="D183" s="800">
        <f t="shared" si="2"/>
        <v>125530.89</v>
      </c>
    </row>
    <row r="184" spans="1:4" x14ac:dyDescent="0.25">
      <c r="A184" s="201" t="s">
        <v>728</v>
      </c>
      <c r="B184" s="800">
        <v>1075157.6499999999</v>
      </c>
      <c r="D184" s="800">
        <f t="shared" si="2"/>
        <v>1075157.6499999999</v>
      </c>
    </row>
    <row r="185" spans="1:4" x14ac:dyDescent="0.25">
      <c r="A185" s="201" t="s">
        <v>729</v>
      </c>
      <c r="B185" s="800">
        <v>2823.43</v>
      </c>
      <c r="D185" s="800">
        <f t="shared" si="2"/>
        <v>2823.43</v>
      </c>
    </row>
    <row r="186" spans="1:4" x14ac:dyDescent="0.25">
      <c r="A186" s="201" t="s">
        <v>730</v>
      </c>
      <c r="B186" s="800">
        <v>1664288.59</v>
      </c>
      <c r="D186" s="800">
        <f t="shared" si="2"/>
        <v>1664288.59</v>
      </c>
    </row>
    <row r="187" spans="1:4" x14ac:dyDescent="0.25">
      <c r="A187" s="201" t="s">
        <v>731</v>
      </c>
      <c r="B187" s="800">
        <v>1200</v>
      </c>
      <c r="D187" s="800">
        <f t="shared" si="2"/>
        <v>1200</v>
      </c>
    </row>
    <row r="188" spans="1:4" x14ac:dyDescent="0.25">
      <c r="A188" s="201" t="s">
        <v>732</v>
      </c>
      <c r="B188" s="800">
        <v>42933.47</v>
      </c>
      <c r="D188" s="800">
        <f t="shared" si="2"/>
        <v>42933.47</v>
      </c>
    </row>
    <row r="189" spans="1:4" x14ac:dyDescent="0.25">
      <c r="A189" s="201" t="s">
        <v>733</v>
      </c>
      <c r="B189" s="800">
        <v>46871.74</v>
      </c>
      <c r="D189" s="800">
        <f t="shared" si="2"/>
        <v>46871.74</v>
      </c>
    </row>
    <row r="190" spans="1:4" x14ac:dyDescent="0.25">
      <c r="A190" s="201" t="s">
        <v>734</v>
      </c>
      <c r="B190" s="800">
        <v>845.71</v>
      </c>
      <c r="D190" s="800">
        <f t="shared" si="2"/>
        <v>845.71</v>
      </c>
    </row>
    <row r="191" spans="1:4" x14ac:dyDescent="0.25">
      <c r="A191" s="201" t="s">
        <v>95</v>
      </c>
      <c r="B191" s="800">
        <v>56931.18</v>
      </c>
      <c r="D191" s="800">
        <f t="shared" si="2"/>
        <v>56931.18</v>
      </c>
    </row>
    <row r="192" spans="1:4" x14ac:dyDescent="0.25">
      <c r="A192" s="201" t="s">
        <v>735</v>
      </c>
      <c r="B192" s="800">
        <v>96002.5</v>
      </c>
      <c r="D192" s="800">
        <f t="shared" si="2"/>
        <v>96002.5</v>
      </c>
    </row>
    <row r="193" spans="1:4" x14ac:dyDescent="0.25">
      <c r="A193" s="201" t="s">
        <v>736</v>
      </c>
      <c r="B193" s="800">
        <v>1642.72</v>
      </c>
      <c r="D193" s="800">
        <f t="shared" si="2"/>
        <v>1642.72</v>
      </c>
    </row>
    <row r="194" spans="1:4" x14ac:dyDescent="0.25">
      <c r="A194" s="201" t="s">
        <v>737</v>
      </c>
      <c r="B194" s="800">
        <v>12230.99</v>
      </c>
      <c r="D194" s="800">
        <f t="shared" si="2"/>
        <v>12230.99</v>
      </c>
    </row>
    <row r="195" spans="1:4" x14ac:dyDescent="0.25">
      <c r="A195" s="201" t="s">
        <v>738</v>
      </c>
      <c r="B195" s="800">
        <v>76000</v>
      </c>
      <c r="D195" s="800">
        <f t="shared" si="2"/>
        <v>76000</v>
      </c>
    </row>
    <row r="196" spans="1:4" x14ac:dyDescent="0.25">
      <c r="A196" s="201" t="s">
        <v>739</v>
      </c>
      <c r="B196" s="800">
        <v>102154.09</v>
      </c>
      <c r="D196" s="800">
        <f t="shared" ref="D196:D259" si="3">B196-C196</f>
        <v>102154.09</v>
      </c>
    </row>
    <row r="197" spans="1:4" x14ac:dyDescent="0.25">
      <c r="A197" s="201" t="s">
        <v>740</v>
      </c>
      <c r="B197" s="800">
        <v>224277.47</v>
      </c>
      <c r="D197" s="800">
        <f t="shared" si="3"/>
        <v>224277.47</v>
      </c>
    </row>
    <row r="198" spans="1:4" x14ac:dyDescent="0.25">
      <c r="A198" s="201" t="s">
        <v>741</v>
      </c>
      <c r="B198" s="800">
        <v>447632.42</v>
      </c>
      <c r="D198" s="800">
        <f t="shared" si="3"/>
        <v>447632.42</v>
      </c>
    </row>
    <row r="199" spans="1:4" x14ac:dyDescent="0.25">
      <c r="A199" s="201" t="s">
        <v>742</v>
      </c>
      <c r="B199" s="800">
        <v>1251409.6100000001</v>
      </c>
      <c r="D199" s="800">
        <f t="shared" si="3"/>
        <v>1251409.6100000001</v>
      </c>
    </row>
    <row r="200" spans="1:4" x14ac:dyDescent="0.25">
      <c r="A200" s="201" t="s">
        <v>743</v>
      </c>
      <c r="B200" s="800">
        <v>1654.74</v>
      </c>
      <c r="D200" s="800">
        <f t="shared" si="3"/>
        <v>1654.74</v>
      </c>
    </row>
    <row r="201" spans="1:4" x14ac:dyDescent="0.25">
      <c r="A201" s="201" t="s">
        <v>744</v>
      </c>
      <c r="B201" s="800">
        <v>47681.05</v>
      </c>
      <c r="D201" s="800">
        <f t="shared" si="3"/>
        <v>47681.05</v>
      </c>
    </row>
    <row r="202" spans="1:4" x14ac:dyDescent="0.25">
      <c r="A202" s="201" t="s">
        <v>745</v>
      </c>
      <c r="B202" s="800">
        <v>368139.92</v>
      </c>
      <c r="D202" s="800">
        <f t="shared" si="3"/>
        <v>368139.92</v>
      </c>
    </row>
    <row r="203" spans="1:4" x14ac:dyDescent="0.25">
      <c r="A203" s="201" t="s">
        <v>746</v>
      </c>
      <c r="B203" s="800">
        <v>617889.32999999996</v>
      </c>
      <c r="D203" s="800">
        <f t="shared" si="3"/>
        <v>617889.32999999996</v>
      </c>
    </row>
    <row r="204" spans="1:4" x14ac:dyDescent="0.25">
      <c r="A204" s="201" t="s">
        <v>747</v>
      </c>
      <c r="B204" s="800">
        <v>128564.15</v>
      </c>
      <c r="D204" s="800">
        <f t="shared" si="3"/>
        <v>128564.15</v>
      </c>
    </row>
    <row r="205" spans="1:4" x14ac:dyDescent="0.25">
      <c r="A205" s="201" t="s">
        <v>748</v>
      </c>
      <c r="B205" s="800">
        <v>768291.37</v>
      </c>
      <c r="D205" s="800">
        <f t="shared" si="3"/>
        <v>768291.37</v>
      </c>
    </row>
    <row r="206" spans="1:4" x14ac:dyDescent="0.25">
      <c r="A206" s="201" t="s">
        <v>749</v>
      </c>
      <c r="B206" s="800">
        <v>469318.21</v>
      </c>
      <c r="D206" s="800">
        <f t="shared" si="3"/>
        <v>469318.21</v>
      </c>
    </row>
    <row r="207" spans="1:4" x14ac:dyDescent="0.25">
      <c r="A207" s="201" t="s">
        <v>750</v>
      </c>
      <c r="B207" s="800">
        <v>206843.9</v>
      </c>
      <c r="D207" s="800">
        <f t="shared" si="3"/>
        <v>206843.9</v>
      </c>
    </row>
    <row r="208" spans="1:4" x14ac:dyDescent="0.25">
      <c r="A208" s="201" t="s">
        <v>751</v>
      </c>
      <c r="B208" s="800">
        <v>382186.45</v>
      </c>
      <c r="D208" s="800">
        <f t="shared" si="3"/>
        <v>382186.45</v>
      </c>
    </row>
    <row r="209" spans="1:4" x14ac:dyDescent="0.25">
      <c r="A209" s="201" t="s">
        <v>752</v>
      </c>
      <c r="B209" s="800">
        <v>815670.93</v>
      </c>
      <c r="D209" s="800">
        <f t="shared" si="3"/>
        <v>815670.93</v>
      </c>
    </row>
    <row r="210" spans="1:4" x14ac:dyDescent="0.25">
      <c r="A210" s="201" t="s">
        <v>753</v>
      </c>
      <c r="B210" s="800">
        <v>85163.78</v>
      </c>
      <c r="D210" s="800">
        <f t="shared" si="3"/>
        <v>85163.78</v>
      </c>
    </row>
    <row r="211" spans="1:4" x14ac:dyDescent="0.25">
      <c r="A211" s="201" t="s">
        <v>754</v>
      </c>
      <c r="B211" s="800">
        <v>154600.49</v>
      </c>
      <c r="D211" s="800">
        <f t="shared" si="3"/>
        <v>154600.49</v>
      </c>
    </row>
    <row r="212" spans="1:4" x14ac:dyDescent="0.25">
      <c r="A212" s="201" t="s">
        <v>755</v>
      </c>
      <c r="B212" s="800">
        <v>221383.21</v>
      </c>
      <c r="D212" s="800">
        <f t="shared" si="3"/>
        <v>221383.21</v>
      </c>
    </row>
    <row r="213" spans="1:4" x14ac:dyDescent="0.25">
      <c r="A213" s="201" t="s">
        <v>756</v>
      </c>
      <c r="B213" s="800">
        <v>320272.42</v>
      </c>
      <c r="D213" s="800">
        <f t="shared" si="3"/>
        <v>320272.42</v>
      </c>
    </row>
    <row r="214" spans="1:4" x14ac:dyDescent="0.25">
      <c r="A214" s="201" t="s">
        <v>757</v>
      </c>
      <c r="B214" s="800">
        <v>2167.59</v>
      </c>
      <c r="D214" s="800">
        <f t="shared" si="3"/>
        <v>2167.59</v>
      </c>
    </row>
    <row r="215" spans="1:4" x14ac:dyDescent="0.25">
      <c r="A215" s="201" t="s">
        <v>758</v>
      </c>
      <c r="B215" s="800">
        <v>8840.74</v>
      </c>
      <c r="D215" s="800">
        <f t="shared" si="3"/>
        <v>8840.74</v>
      </c>
    </row>
    <row r="216" spans="1:4" x14ac:dyDescent="0.25">
      <c r="A216" s="201" t="s">
        <v>759</v>
      </c>
      <c r="B216" s="800">
        <v>15174.31</v>
      </c>
      <c r="D216" s="800">
        <f t="shared" si="3"/>
        <v>15174.31</v>
      </c>
    </row>
    <row r="217" spans="1:4" x14ac:dyDescent="0.25">
      <c r="A217" s="201" t="s">
        <v>760</v>
      </c>
      <c r="B217" s="800">
        <v>1250154.97</v>
      </c>
      <c r="D217" s="800">
        <f t="shared" si="3"/>
        <v>1250154.97</v>
      </c>
    </row>
    <row r="218" spans="1:4" x14ac:dyDescent="0.25">
      <c r="A218" s="201" t="s">
        <v>761</v>
      </c>
      <c r="B218" s="800">
        <v>46421.22</v>
      </c>
      <c r="D218" s="800">
        <f t="shared" si="3"/>
        <v>46421.22</v>
      </c>
    </row>
    <row r="219" spans="1:4" x14ac:dyDescent="0.25">
      <c r="A219" s="201" t="s">
        <v>762</v>
      </c>
      <c r="B219" s="800">
        <v>140997.87</v>
      </c>
      <c r="D219" s="800">
        <f t="shared" si="3"/>
        <v>140997.87</v>
      </c>
    </row>
    <row r="220" spans="1:4" x14ac:dyDescent="0.25">
      <c r="A220" s="201" t="s">
        <v>763</v>
      </c>
      <c r="B220" s="800">
        <v>405405.82</v>
      </c>
      <c r="D220" s="800">
        <f t="shared" si="3"/>
        <v>405405.82</v>
      </c>
    </row>
    <row r="221" spans="1:4" x14ac:dyDescent="0.25">
      <c r="A221" s="201" t="s">
        <v>764</v>
      </c>
      <c r="B221" s="800">
        <v>745846.73</v>
      </c>
      <c r="D221" s="800">
        <f t="shared" si="3"/>
        <v>745846.73</v>
      </c>
    </row>
    <row r="222" spans="1:4" x14ac:dyDescent="0.25">
      <c r="A222" s="201" t="s">
        <v>765</v>
      </c>
      <c r="B222" s="800">
        <v>79.37</v>
      </c>
      <c r="D222" s="800">
        <f t="shared" si="3"/>
        <v>79.37</v>
      </c>
    </row>
    <row r="223" spans="1:4" x14ac:dyDescent="0.25">
      <c r="A223" s="201" t="s">
        <v>766</v>
      </c>
      <c r="B223" s="800">
        <v>72820.87</v>
      </c>
      <c r="D223" s="800">
        <f t="shared" si="3"/>
        <v>72820.87</v>
      </c>
    </row>
    <row r="224" spans="1:4" x14ac:dyDescent="0.25">
      <c r="A224" s="201" t="s">
        <v>767</v>
      </c>
      <c r="C224" s="800">
        <v>23189.08</v>
      </c>
      <c r="D224" s="800">
        <f t="shared" si="3"/>
        <v>-23189.08</v>
      </c>
    </row>
    <row r="225" spans="1:4" x14ac:dyDescent="0.25">
      <c r="A225" s="201" t="s">
        <v>768</v>
      </c>
      <c r="C225" s="800">
        <v>3611.55</v>
      </c>
      <c r="D225" s="800">
        <f t="shared" si="3"/>
        <v>-3611.55</v>
      </c>
    </row>
    <row r="226" spans="1:4" x14ac:dyDescent="0.25">
      <c r="A226" s="201" t="s">
        <v>769</v>
      </c>
      <c r="B226" s="800">
        <v>892632.96</v>
      </c>
      <c r="D226" s="800">
        <f t="shared" si="3"/>
        <v>892632.96</v>
      </c>
    </row>
    <row r="227" spans="1:4" x14ac:dyDescent="0.25">
      <c r="A227" s="201" t="s">
        <v>770</v>
      </c>
      <c r="B227" s="800">
        <v>42090.32</v>
      </c>
      <c r="D227" s="800">
        <f t="shared" si="3"/>
        <v>42090.32</v>
      </c>
    </row>
    <row r="228" spans="1:4" x14ac:dyDescent="0.25">
      <c r="A228" s="201" t="s">
        <v>771</v>
      </c>
      <c r="B228" s="800">
        <v>23412.799999999999</v>
      </c>
      <c r="D228" s="800">
        <f t="shared" si="3"/>
        <v>23412.799999999999</v>
      </c>
    </row>
    <row r="229" spans="1:4" x14ac:dyDescent="0.25">
      <c r="A229" s="201" t="s">
        <v>772</v>
      </c>
      <c r="B229" s="800">
        <v>1249355.73</v>
      </c>
      <c r="D229" s="800">
        <f t="shared" si="3"/>
        <v>1249355.73</v>
      </c>
    </row>
    <row r="230" spans="1:4" x14ac:dyDescent="0.25">
      <c r="A230" s="201" t="s">
        <v>773</v>
      </c>
      <c r="B230" s="800">
        <v>7500</v>
      </c>
      <c r="D230" s="800">
        <f t="shared" si="3"/>
        <v>7500</v>
      </c>
    </row>
    <row r="231" spans="1:4" x14ac:dyDescent="0.25">
      <c r="A231" s="201" t="s">
        <v>774</v>
      </c>
      <c r="B231" s="800">
        <v>65353.94</v>
      </c>
      <c r="D231" s="800">
        <f t="shared" si="3"/>
        <v>65353.94</v>
      </c>
    </row>
    <row r="232" spans="1:4" x14ac:dyDescent="0.25">
      <c r="A232" s="201" t="s">
        <v>775</v>
      </c>
      <c r="B232" s="800">
        <v>145005.13</v>
      </c>
      <c r="D232" s="800">
        <f t="shared" si="3"/>
        <v>145005.13</v>
      </c>
    </row>
    <row r="233" spans="1:4" x14ac:dyDescent="0.25">
      <c r="A233" s="201" t="s">
        <v>776</v>
      </c>
      <c r="B233" s="800">
        <v>9652.2800000000007</v>
      </c>
      <c r="D233" s="800">
        <f t="shared" si="3"/>
        <v>9652.2800000000007</v>
      </c>
    </row>
    <row r="234" spans="1:4" x14ac:dyDescent="0.25">
      <c r="A234" s="201" t="s">
        <v>777</v>
      </c>
      <c r="B234" s="800">
        <v>203030.21</v>
      </c>
      <c r="D234" s="800">
        <f t="shared" si="3"/>
        <v>203030.21</v>
      </c>
    </row>
    <row r="235" spans="1:4" x14ac:dyDescent="0.25">
      <c r="A235" s="201" t="s">
        <v>778</v>
      </c>
      <c r="B235" s="800">
        <v>813087.81</v>
      </c>
      <c r="D235" s="800">
        <f t="shared" si="3"/>
        <v>813087.81</v>
      </c>
    </row>
    <row r="236" spans="1:4" x14ac:dyDescent="0.25">
      <c r="A236" s="201" t="s">
        <v>779</v>
      </c>
      <c r="B236" s="800">
        <v>236811.38</v>
      </c>
      <c r="D236" s="800">
        <f t="shared" si="3"/>
        <v>236811.38</v>
      </c>
    </row>
    <row r="237" spans="1:4" x14ac:dyDescent="0.25">
      <c r="A237" s="201" t="s">
        <v>780</v>
      </c>
      <c r="B237" s="800">
        <v>791512.77</v>
      </c>
      <c r="D237" s="800">
        <f t="shared" si="3"/>
        <v>791512.77</v>
      </c>
    </row>
    <row r="238" spans="1:4" x14ac:dyDescent="0.25">
      <c r="A238" s="201" t="s">
        <v>781</v>
      </c>
      <c r="B238" s="800">
        <v>236493.25</v>
      </c>
      <c r="D238" s="800">
        <f t="shared" si="3"/>
        <v>236493.25</v>
      </c>
    </row>
    <row r="239" spans="1:4" x14ac:dyDescent="0.25">
      <c r="A239" s="201" t="s">
        <v>782</v>
      </c>
      <c r="B239" s="800">
        <v>491294.73</v>
      </c>
      <c r="D239" s="800">
        <f t="shared" si="3"/>
        <v>491294.73</v>
      </c>
    </row>
    <row r="240" spans="1:4" x14ac:dyDescent="0.25">
      <c r="A240" s="201" t="s">
        <v>783</v>
      </c>
      <c r="B240" s="800">
        <v>31914.39</v>
      </c>
      <c r="D240" s="800">
        <f t="shared" si="3"/>
        <v>31914.39</v>
      </c>
    </row>
    <row r="241" spans="1:4" x14ac:dyDescent="0.25">
      <c r="A241" s="201" t="s">
        <v>784</v>
      </c>
      <c r="B241" s="800">
        <v>120308.03</v>
      </c>
      <c r="D241" s="800">
        <f t="shared" si="3"/>
        <v>120308.03</v>
      </c>
    </row>
    <row r="242" spans="1:4" x14ac:dyDescent="0.25">
      <c r="A242" s="201" t="s">
        <v>785</v>
      </c>
      <c r="B242" s="800">
        <v>1834263.71</v>
      </c>
      <c r="D242" s="800">
        <f t="shared" si="3"/>
        <v>1834263.71</v>
      </c>
    </row>
    <row r="243" spans="1:4" x14ac:dyDescent="0.25">
      <c r="A243" s="201" t="s">
        <v>786</v>
      </c>
      <c r="B243" s="800">
        <v>253215.17</v>
      </c>
      <c r="D243" s="800">
        <f t="shared" si="3"/>
        <v>253215.17</v>
      </c>
    </row>
    <row r="244" spans="1:4" x14ac:dyDescent="0.25">
      <c r="A244" s="201" t="s">
        <v>787</v>
      </c>
      <c r="B244" s="800">
        <v>24605.9</v>
      </c>
      <c r="D244" s="800">
        <f t="shared" si="3"/>
        <v>24605.9</v>
      </c>
    </row>
    <row r="245" spans="1:4" x14ac:dyDescent="0.25">
      <c r="A245" s="201" t="s">
        <v>788</v>
      </c>
      <c r="B245" s="800">
        <v>70251</v>
      </c>
      <c r="D245" s="800">
        <f t="shared" si="3"/>
        <v>70251</v>
      </c>
    </row>
    <row r="246" spans="1:4" x14ac:dyDescent="0.25">
      <c r="A246" s="201" t="s">
        <v>789</v>
      </c>
      <c r="B246" s="800">
        <v>34255.660000000003</v>
      </c>
      <c r="D246" s="800">
        <f t="shared" si="3"/>
        <v>34255.660000000003</v>
      </c>
    </row>
    <row r="247" spans="1:4" x14ac:dyDescent="0.25">
      <c r="A247" s="201" t="s">
        <v>790</v>
      </c>
      <c r="B247" s="800">
        <v>2248247.16</v>
      </c>
      <c r="D247" s="800">
        <f t="shared" si="3"/>
        <v>2248247.16</v>
      </c>
    </row>
    <row r="248" spans="1:4" x14ac:dyDescent="0.25">
      <c r="A248" s="201" t="s">
        <v>791</v>
      </c>
      <c r="B248" s="800">
        <v>46128.27</v>
      </c>
      <c r="D248" s="800">
        <f t="shared" si="3"/>
        <v>46128.27</v>
      </c>
    </row>
    <row r="249" spans="1:4" x14ac:dyDescent="0.25">
      <c r="A249" s="201" t="s">
        <v>792</v>
      </c>
      <c r="B249" s="800">
        <v>0</v>
      </c>
      <c r="D249" s="800">
        <f t="shared" si="3"/>
        <v>0</v>
      </c>
    </row>
    <row r="250" spans="1:4" x14ac:dyDescent="0.25">
      <c r="A250" s="201" t="s">
        <v>383</v>
      </c>
      <c r="B250" s="800">
        <v>709</v>
      </c>
      <c r="D250" s="800">
        <f t="shared" si="3"/>
        <v>709</v>
      </c>
    </row>
    <row r="251" spans="1:4" x14ac:dyDescent="0.25">
      <c r="A251" s="201" t="s">
        <v>793</v>
      </c>
      <c r="C251" s="800">
        <v>275662</v>
      </c>
      <c r="D251" s="800">
        <f t="shared" si="3"/>
        <v>-275662</v>
      </c>
    </row>
    <row r="252" spans="1:4" x14ac:dyDescent="0.25">
      <c r="A252" s="201" t="s">
        <v>794</v>
      </c>
      <c r="B252" s="800">
        <v>263000</v>
      </c>
      <c r="D252" s="800">
        <f t="shared" si="3"/>
        <v>263000</v>
      </c>
    </row>
    <row r="253" spans="1:4" x14ac:dyDescent="0.25">
      <c r="A253" s="201" t="s">
        <v>795</v>
      </c>
      <c r="B253" s="800">
        <v>283339.01</v>
      </c>
      <c r="D253" s="800">
        <f t="shared" si="3"/>
        <v>283339.01</v>
      </c>
    </row>
    <row r="254" spans="1:4" x14ac:dyDescent="0.25">
      <c r="A254" s="201" t="s">
        <v>796</v>
      </c>
      <c r="B254" s="800">
        <v>24479.5</v>
      </c>
      <c r="D254" s="800">
        <f t="shared" si="3"/>
        <v>24479.5</v>
      </c>
    </row>
    <row r="255" spans="1:4" x14ac:dyDescent="0.25">
      <c r="A255" s="201" t="s">
        <v>797</v>
      </c>
      <c r="B255" s="800">
        <v>209475.68</v>
      </c>
      <c r="D255" s="800">
        <f t="shared" si="3"/>
        <v>209475.68</v>
      </c>
    </row>
    <row r="256" spans="1:4" x14ac:dyDescent="0.25">
      <c r="A256" s="201" t="s">
        <v>798</v>
      </c>
      <c r="B256" s="800">
        <v>156443.31</v>
      </c>
      <c r="D256" s="800">
        <f t="shared" si="3"/>
        <v>156443.31</v>
      </c>
    </row>
    <row r="257" spans="1:4" x14ac:dyDescent="0.25">
      <c r="A257" s="201" t="s">
        <v>25</v>
      </c>
      <c r="B257" s="800">
        <v>17483.849999999999</v>
      </c>
      <c r="D257" s="800">
        <f t="shared" si="3"/>
        <v>17483.849999999999</v>
      </c>
    </row>
    <row r="258" spans="1:4" x14ac:dyDescent="0.25">
      <c r="A258" s="201" t="s">
        <v>799</v>
      </c>
      <c r="B258" s="800">
        <v>6166.87</v>
      </c>
      <c r="D258" s="800">
        <f t="shared" si="3"/>
        <v>6166.87</v>
      </c>
    </row>
    <row r="259" spans="1:4" x14ac:dyDescent="0.25">
      <c r="A259" s="201" t="s">
        <v>800</v>
      </c>
      <c r="B259" s="800">
        <v>192158.8</v>
      </c>
      <c r="D259" s="800">
        <f t="shared" si="3"/>
        <v>192158.8</v>
      </c>
    </row>
    <row r="260" spans="1:4" x14ac:dyDescent="0.25">
      <c r="A260" s="201" t="s">
        <v>801</v>
      </c>
      <c r="B260" s="800">
        <v>4312.87</v>
      </c>
      <c r="D260" s="800">
        <f t="shared" ref="D260:D265" si="4">B260-C260</f>
        <v>4312.87</v>
      </c>
    </row>
    <row r="261" spans="1:4" x14ac:dyDescent="0.25">
      <c r="A261" s="201" t="s">
        <v>262</v>
      </c>
      <c r="C261" s="800">
        <v>3311.64</v>
      </c>
      <c r="D261" s="800">
        <f t="shared" si="4"/>
        <v>-3311.64</v>
      </c>
    </row>
    <row r="262" spans="1:4" x14ac:dyDescent="0.25">
      <c r="A262" s="201" t="s">
        <v>802</v>
      </c>
      <c r="B262" s="800">
        <v>2939166.66</v>
      </c>
      <c r="D262" s="800">
        <f t="shared" si="4"/>
        <v>2939166.66</v>
      </c>
    </row>
    <row r="263" spans="1:4" x14ac:dyDescent="0.25">
      <c r="A263" s="201" t="s">
        <v>803</v>
      </c>
      <c r="B263" s="800">
        <v>419400.16</v>
      </c>
      <c r="D263" s="800">
        <f t="shared" si="4"/>
        <v>419400.16</v>
      </c>
    </row>
    <row r="264" spans="1:4" x14ac:dyDescent="0.25">
      <c r="A264" s="201" t="s">
        <v>804</v>
      </c>
      <c r="B264" s="800">
        <v>1544268.88</v>
      </c>
      <c r="D264" s="800">
        <f t="shared" si="4"/>
        <v>1544268.88</v>
      </c>
    </row>
    <row r="265" spans="1:4" x14ac:dyDescent="0.25">
      <c r="A265" s="201" t="s">
        <v>805</v>
      </c>
      <c r="B265" s="800">
        <v>388818495.16000003</v>
      </c>
      <c r="C265" s="800">
        <v>388818495.16000003</v>
      </c>
      <c r="D265" s="800">
        <f t="shared" si="4"/>
        <v>0</v>
      </c>
    </row>
  </sheetData>
  <autoFilter ref="A4:P358" xr:uid="{00000000-0001-0000-0300-000000000000}"/>
  <customSheetViews>
    <customSheetView guid="{DE5AAEC6-B417-4CB5-A2E1-8776196B56AA}">
      <pageMargins left="0.7" right="0.7" top="0.75" bottom="0.75" header="0.3" footer="0.3"/>
      <pageSetup orientation="portrait" r:id="rId1"/>
    </customSheetView>
    <customSheetView guid="{3ACE1F12-3844-4D90-9B24-992DA32A7B7A}">
      <pageMargins left="0.7" right="0.7" top="0.75" bottom="0.75" header="0.3" footer="0.3"/>
      <pageSetup orientation="portrait" r:id="rId2"/>
    </customSheetView>
  </customSheetViews>
  <pageMargins left="0.7" right="0.7" top="0.75" bottom="0.75" header="0.3" footer="0.3"/>
  <pageSetup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 filterMode="1">
    <tabColor rgb="FF92D050"/>
  </sheetPr>
  <dimension ref="A1:V299"/>
  <sheetViews>
    <sheetView workbookViewId="0">
      <selection activeCell="F75" sqref="F75"/>
    </sheetView>
  </sheetViews>
  <sheetFormatPr defaultColWidth="9.28515625" defaultRowHeight="15" x14ac:dyDescent="0.25"/>
  <cols>
    <col min="1" max="1" width="60.28515625" style="197" bestFit="1" customWidth="1"/>
    <col min="2" max="2" width="17.42578125" style="793" bestFit="1" customWidth="1"/>
    <col min="3" max="3" width="48.140625" style="194" bestFit="1" customWidth="1"/>
    <col min="4" max="4" width="34.7109375" style="383" bestFit="1" customWidth="1"/>
    <col min="5" max="5" width="48.140625" style="194" bestFit="1" customWidth="1"/>
    <col min="6" max="6" width="14.85546875" style="5" bestFit="1" customWidth="1"/>
    <col min="7" max="7" width="16.42578125" style="5" bestFit="1" customWidth="1"/>
    <col min="8" max="8" width="15.140625" style="5" bestFit="1" customWidth="1"/>
    <col min="9" max="9" width="7.42578125" style="5" bestFit="1" customWidth="1"/>
    <col min="10" max="10" width="15.140625" style="5" bestFit="1" customWidth="1"/>
    <col min="11" max="11" width="31.7109375" style="5" bestFit="1" customWidth="1"/>
    <col min="12" max="12" width="25.85546875" style="5" bestFit="1" customWidth="1"/>
    <col min="13" max="16" width="9.28515625" style="5"/>
    <col min="17" max="17" width="31.7109375" style="5" bestFit="1" customWidth="1"/>
    <col min="18" max="18" width="25.85546875" style="5" bestFit="1" customWidth="1"/>
    <col min="19" max="21" width="9.28515625" style="5"/>
    <col min="22" max="22" width="48.140625" style="5" bestFit="1" customWidth="1"/>
    <col min="23" max="16384" width="9.28515625" style="5"/>
  </cols>
  <sheetData>
    <row r="1" spans="1:22" ht="18.75" x14ac:dyDescent="0.4">
      <c r="A1" s="576"/>
      <c r="F1" s="5" t="s">
        <v>418</v>
      </c>
      <c r="G1" s="643">
        <f>+(B6/(B6+B15))*J3</f>
        <v>6008678.1919133486</v>
      </c>
      <c r="H1" s="643">
        <f>J3*(B15/(B15+B6))</f>
        <v>621028.173795952</v>
      </c>
      <c r="I1" s="389"/>
      <c r="J1" s="595">
        <f>+'Schedule 19'!E7</f>
        <v>8513912.0257093012</v>
      </c>
      <c r="K1" s="594" t="s">
        <v>511</v>
      </c>
      <c r="L1" s="543"/>
    </row>
    <row r="2" spans="1:22" ht="18.75" x14ac:dyDescent="0.4">
      <c r="A2" s="575"/>
      <c r="B2" s="794"/>
      <c r="F2" s="6" t="s">
        <v>26</v>
      </c>
      <c r="G2" s="287">
        <f ca="1">'Payroll Reports Input'!Q7</f>
        <v>0.8859815458972824</v>
      </c>
      <c r="H2" s="287">
        <f ca="1">B8/(SUM($B$9:$B$14))</f>
        <v>0.88132248306883765</v>
      </c>
      <c r="I2" s="396">
        <f ca="1">H2</f>
        <v>0.88132248306883765</v>
      </c>
      <c r="J2" s="587">
        <f>SUMIF(C42:C1048576,C7,B42:B1048576)</f>
        <v>1884205.66</v>
      </c>
      <c r="K2" s="596" t="s">
        <v>512</v>
      </c>
      <c r="L2" s="543"/>
    </row>
    <row r="3" spans="1:22" x14ac:dyDescent="0.25">
      <c r="A3" s="193"/>
      <c r="B3" s="794"/>
      <c r="F3" s="6" t="s">
        <v>29</v>
      </c>
      <c r="G3" s="287">
        <f ca="1">'Payroll Reports Input'!Q8</f>
        <v>0.11401845410271755</v>
      </c>
      <c r="H3" s="287">
        <f ca="1">B11/(SUM($B$9:$B$14))</f>
        <v>0.11341887147740598</v>
      </c>
      <c r="I3" s="396">
        <f t="shared" ref="I3:I6" ca="1" si="0">H3</f>
        <v>0.11341887147740598</v>
      </c>
      <c r="J3" s="597">
        <f>J1-J2</f>
        <v>6629706.3657093011</v>
      </c>
      <c r="K3" s="596" t="s">
        <v>513</v>
      </c>
      <c r="L3" s="543"/>
    </row>
    <row r="4" spans="1:22" x14ac:dyDescent="0.25">
      <c r="A4" s="193"/>
      <c r="B4" s="794"/>
      <c r="F4" s="6" t="s">
        <v>30</v>
      </c>
      <c r="G4" s="287">
        <f ca="1">'Payroll Reports Input'!Q12</f>
        <v>0</v>
      </c>
      <c r="H4" s="287">
        <f t="shared" ref="H4:H6" ca="1" si="1">B12/(SUM($B$9:$B$14))</f>
        <v>0</v>
      </c>
      <c r="I4" s="396">
        <f t="shared" ca="1" si="0"/>
        <v>0</v>
      </c>
      <c r="L4" s="543"/>
      <c r="V4" s="471" t="s">
        <v>449</v>
      </c>
    </row>
    <row r="5" spans="1:22" ht="21" x14ac:dyDescent="0.35">
      <c r="A5" s="384" t="s">
        <v>398</v>
      </c>
      <c r="B5" s="795" t="s">
        <v>399</v>
      </c>
      <c r="C5" s="385" t="s">
        <v>400</v>
      </c>
      <c r="D5" s="385" t="s">
        <v>401</v>
      </c>
      <c r="E5" s="385" t="s">
        <v>402</v>
      </c>
      <c r="F5" s="6" t="s">
        <v>19</v>
      </c>
      <c r="G5" s="288">
        <f ca="1">'Payroll Reports Input'!P9</f>
        <v>1176085</v>
      </c>
      <c r="H5" s="287">
        <f t="shared" ca="1" si="1"/>
        <v>4.9287097836660035E-3</v>
      </c>
      <c r="I5" s="396">
        <f t="shared" ca="1" si="0"/>
        <v>4.9287097836660035E-3</v>
      </c>
      <c r="L5" s="543"/>
      <c r="S5"/>
      <c r="V5" t="s">
        <v>388</v>
      </c>
    </row>
    <row r="6" spans="1:22" ht="15.75" hidden="1" thickBot="1" x14ac:dyDescent="0.3">
      <c r="A6" s="390" t="s">
        <v>406</v>
      </c>
      <c r="B6" s="796">
        <f>SUMIF(C$43:C$1048576,$V$15,B$43:B$1048576)</f>
        <v>244627921.69</v>
      </c>
      <c r="C6" s="832" t="s">
        <v>287</v>
      </c>
      <c r="D6" s="201"/>
      <c r="E6" s="201" t="s">
        <v>287</v>
      </c>
      <c r="F6" s="640" t="s">
        <v>519</v>
      </c>
      <c r="G6" s="643">
        <f ca="1">'Payroll Reports Input'!P11</f>
        <v>78729</v>
      </c>
      <c r="H6" s="287">
        <f t="shared" ca="1" si="1"/>
        <v>3.299356700903768E-4</v>
      </c>
      <c r="I6" s="396">
        <f t="shared" ca="1" si="0"/>
        <v>3.299356700903768E-4</v>
      </c>
      <c r="J6" s="542"/>
      <c r="K6" s="597"/>
      <c r="L6" s="543"/>
      <c r="S6"/>
      <c r="V6" s="5" t="s">
        <v>387</v>
      </c>
    </row>
    <row r="7" spans="1:22" hidden="1" x14ac:dyDescent="0.25">
      <c r="A7" s="391" t="s">
        <v>410</v>
      </c>
      <c r="B7" s="400">
        <f>+G1</f>
        <v>6008678.1919133486</v>
      </c>
      <c r="C7" t="s">
        <v>388</v>
      </c>
      <c r="E7" s="201" t="s">
        <v>388</v>
      </c>
      <c r="J7" s="542"/>
      <c r="K7" s="597"/>
      <c r="S7"/>
      <c r="V7" s="5" t="s">
        <v>31</v>
      </c>
    </row>
    <row r="8" spans="1:22" hidden="1" x14ac:dyDescent="0.25">
      <c r="A8" s="391" t="s">
        <v>407</v>
      </c>
      <c r="B8" s="400">
        <f ca="1">($B$6-$B$7-B13-B14)*G2</f>
        <v>210300504.18774131</v>
      </c>
      <c r="C8" s="201" t="s">
        <v>287</v>
      </c>
      <c r="E8" s="201" t="s">
        <v>287</v>
      </c>
      <c r="F8" s="598"/>
      <c r="G8" s="599"/>
      <c r="H8" s="599"/>
      <c r="I8" s="600"/>
      <c r="J8" s="543"/>
      <c r="S8"/>
      <c r="V8" s="399" t="s">
        <v>430</v>
      </c>
    </row>
    <row r="9" spans="1:22" hidden="1" x14ac:dyDescent="0.25">
      <c r="A9" s="391" t="s">
        <v>498</v>
      </c>
      <c r="B9" s="400">
        <f ca="1">B8-B10</f>
        <v>159272392.11909974</v>
      </c>
      <c r="C9" s="5" t="s">
        <v>32</v>
      </c>
      <c r="E9" s="201" t="s">
        <v>32</v>
      </c>
      <c r="F9" s="601"/>
      <c r="G9" s="197" t="s">
        <v>422</v>
      </c>
      <c r="H9" s="198"/>
      <c r="I9" s="602"/>
      <c r="K9" s="597"/>
      <c r="S9"/>
      <c r="V9" s="399" t="s">
        <v>431</v>
      </c>
    </row>
    <row r="10" spans="1:22" hidden="1" x14ac:dyDescent="0.25">
      <c r="A10" s="391" t="s">
        <v>499</v>
      </c>
      <c r="B10" s="400">
        <f ca="1">B8*GETPIVOTDATA("Unique Billed Hours",$K$16,"Level of Service","Other Non-Reimbursable Services")</f>
        <v>51028112.068641573</v>
      </c>
      <c r="C10" s="5" t="s">
        <v>449</v>
      </c>
      <c r="E10" s="201" t="s">
        <v>449</v>
      </c>
      <c r="F10" s="601"/>
      <c r="G10" s="197" t="s">
        <v>423</v>
      </c>
      <c r="H10" s="603">
        <f>B6</f>
        <v>244627921.69</v>
      </c>
      <c r="I10" s="602"/>
      <c r="K10" s="597"/>
      <c r="S10"/>
      <c r="V10" s="399" t="s">
        <v>432</v>
      </c>
    </row>
    <row r="11" spans="1:22" x14ac:dyDescent="0.25">
      <c r="A11" s="391" t="s">
        <v>408</v>
      </c>
      <c r="B11" s="400">
        <f ca="1">($B$6-$B$13-$B$7-B14)*G3</f>
        <v>27063925.310345329</v>
      </c>
      <c r="C11" s="5" t="s">
        <v>31</v>
      </c>
      <c r="D11" s="383" t="s">
        <v>84</v>
      </c>
      <c r="E11" s="201" t="s">
        <v>31</v>
      </c>
      <c r="F11" s="601"/>
      <c r="G11" s="197" t="s">
        <v>424</v>
      </c>
      <c r="H11" s="604">
        <f>'Payroll Reports Input'!R1</f>
        <v>244677337.91</v>
      </c>
      <c r="I11" s="602"/>
      <c r="J11" s="707"/>
      <c r="K11" s="597"/>
      <c r="L11" s="597"/>
      <c r="S11"/>
      <c r="V11" t="s">
        <v>287</v>
      </c>
    </row>
    <row r="12" spans="1:22" hidden="1" x14ac:dyDescent="0.25">
      <c r="A12" s="391" t="s">
        <v>435</v>
      </c>
      <c r="B12" s="400">
        <f ca="1">($B$6-$B$13-$B$7-B14)*G4</f>
        <v>0</v>
      </c>
      <c r="C12" s="5" t="s">
        <v>387</v>
      </c>
      <c r="E12" s="201" t="s">
        <v>387</v>
      </c>
      <c r="F12" s="601"/>
      <c r="G12" s="197" t="s">
        <v>425</v>
      </c>
      <c r="H12" s="604">
        <f>H10-H11</f>
        <v>-49416.219999998808</v>
      </c>
      <c r="I12" s="605">
        <f>H12/H11</f>
        <v>-2.019648424415E-4</v>
      </c>
      <c r="K12" s="921" t="s">
        <v>542</v>
      </c>
      <c r="L12" s="921"/>
      <c r="S12"/>
      <c r="V12" s="399" t="s">
        <v>441</v>
      </c>
    </row>
    <row r="13" spans="1:22" hidden="1" x14ac:dyDescent="0.25">
      <c r="A13" s="391" t="s">
        <v>409</v>
      </c>
      <c r="B13" s="400">
        <f ca="1">G5</f>
        <v>1176085</v>
      </c>
      <c r="C13" s="5" t="s">
        <v>33</v>
      </c>
      <c r="E13" s="201" t="s">
        <v>33</v>
      </c>
      <c r="F13" s="601"/>
      <c r="G13" s="197"/>
      <c r="H13" s="606"/>
      <c r="I13" s="602"/>
      <c r="S13"/>
      <c r="V13" s="399" t="s">
        <v>438</v>
      </c>
    </row>
    <row r="14" spans="1:22" hidden="1" x14ac:dyDescent="0.25">
      <c r="A14" s="391" t="s">
        <v>536</v>
      </c>
      <c r="B14" s="400">
        <f ca="1">G6</f>
        <v>78729</v>
      </c>
      <c r="C14" s="5" t="s">
        <v>449</v>
      </c>
      <c r="E14" s="201" t="s">
        <v>449</v>
      </c>
      <c r="F14" s="601"/>
      <c r="G14" s="197" t="s">
        <v>426</v>
      </c>
      <c r="H14" s="606">
        <f>B15</f>
        <v>25283569.300000001</v>
      </c>
      <c r="I14" s="602"/>
      <c r="K14" s="1" t="s">
        <v>519</v>
      </c>
      <c r="L14" t="s">
        <v>293</v>
      </c>
      <c r="S14"/>
      <c r="V14" s="399" t="s">
        <v>439</v>
      </c>
    </row>
    <row r="15" spans="1:22" ht="15.75" hidden="1" thickBot="1" x14ac:dyDescent="0.3">
      <c r="A15" s="392" t="s">
        <v>403</v>
      </c>
      <c r="B15" s="796">
        <f>SUMIF(C$43:C$1048576,$V$14,B$43:B$1048576)</f>
        <v>25283569.300000001</v>
      </c>
      <c r="C15" s="5" t="s">
        <v>287</v>
      </c>
      <c r="E15" s="201" t="s">
        <v>287</v>
      </c>
      <c r="F15" s="601"/>
      <c r="G15" s="197" t="s">
        <v>427</v>
      </c>
      <c r="H15" s="606">
        <f>'Payroll Reports Input'!T1</f>
        <v>24623303.830000006</v>
      </c>
      <c r="I15" s="602"/>
      <c r="S15"/>
      <c r="V15" s="399" t="s">
        <v>440</v>
      </c>
    </row>
    <row r="16" spans="1:22" hidden="1" x14ac:dyDescent="0.25">
      <c r="A16" s="392" t="s">
        <v>411</v>
      </c>
      <c r="B16" s="400">
        <f>J3-G1</f>
        <v>621028.17379595246</v>
      </c>
      <c r="C16" t="s">
        <v>388</v>
      </c>
      <c r="E16" s="201" t="s">
        <v>388</v>
      </c>
      <c r="F16" s="601"/>
      <c r="G16" s="197" t="s">
        <v>425</v>
      </c>
      <c r="H16" s="604">
        <f>H14-H15</f>
        <v>660265.46999999508</v>
      </c>
      <c r="I16" s="605">
        <f>H16/H15</f>
        <v>2.6814657958106954E-2</v>
      </c>
      <c r="K16" s="1" t="s">
        <v>21</v>
      </c>
      <c r="L16" t="s">
        <v>23</v>
      </c>
      <c r="S16"/>
      <c r="V16" s="5" t="s">
        <v>32</v>
      </c>
    </row>
    <row r="17" spans="1:22" ht="15.75" hidden="1" thickBot="1" x14ac:dyDescent="0.3">
      <c r="A17" s="392" t="s">
        <v>412</v>
      </c>
      <c r="B17" s="400">
        <f ca="1">($B$15-B16)*H2</f>
        <v>21735651.984133478</v>
      </c>
      <c r="C17" s="201" t="s">
        <v>287</v>
      </c>
      <c r="E17" s="201" t="s">
        <v>287</v>
      </c>
      <c r="F17" s="607"/>
      <c r="G17" s="608"/>
      <c r="H17" s="608"/>
      <c r="I17" s="609"/>
      <c r="K17" s="2" t="s">
        <v>18</v>
      </c>
      <c r="L17" s="3">
        <v>0.33974932997011675</v>
      </c>
      <c r="S17"/>
      <c r="V17" s="5" t="s">
        <v>33</v>
      </c>
    </row>
    <row r="18" spans="1:22" hidden="1" x14ac:dyDescent="0.25">
      <c r="A18" s="392" t="s">
        <v>500</v>
      </c>
      <c r="B18" s="400">
        <f ca="1">B17-B19</f>
        <v>16461630.936893368</v>
      </c>
      <c r="C18" s="5" t="s">
        <v>32</v>
      </c>
      <c r="E18" s="201" t="s">
        <v>32</v>
      </c>
      <c r="F18" s="601"/>
      <c r="I18" s="602"/>
      <c r="K18" s="2" t="s">
        <v>42</v>
      </c>
      <c r="L18" s="3">
        <v>4.6710757681868908E-4</v>
      </c>
      <c r="S18"/>
      <c r="V18" s="5" t="s">
        <v>60</v>
      </c>
    </row>
    <row r="19" spans="1:22" hidden="1" x14ac:dyDescent="0.25">
      <c r="A19" s="392" t="s">
        <v>501</v>
      </c>
      <c r="B19" s="400">
        <f ca="1">B17*GETPIVOTDATA("Unique Billed Hours",$K$16,"Level of Service","Other Non-Reimbursable Services")</f>
        <v>5274021.0472401101</v>
      </c>
      <c r="C19" s="5" t="s">
        <v>449</v>
      </c>
      <c r="E19" s="201" t="s">
        <v>449</v>
      </c>
      <c r="F19" s="601"/>
      <c r="G19" s="625" t="s">
        <v>516</v>
      </c>
      <c r="I19" s="602"/>
      <c r="K19" s="2" t="s">
        <v>43</v>
      </c>
      <c r="L19" s="3">
        <v>4.4259788661693885E-3</v>
      </c>
      <c r="S19"/>
      <c r="V19" s="5" t="s">
        <v>59</v>
      </c>
    </row>
    <row r="20" spans="1:22" x14ac:dyDescent="0.25">
      <c r="A20" s="392" t="s">
        <v>413</v>
      </c>
      <c r="B20" s="400">
        <f ca="1">($B$15-B16)*H3</f>
        <v>2797197.5822991761</v>
      </c>
      <c r="C20" s="5" t="s">
        <v>31</v>
      </c>
      <c r="D20" s="383" t="s">
        <v>84</v>
      </c>
      <c r="E20" s="201" t="s">
        <v>31</v>
      </c>
      <c r="F20" s="601"/>
      <c r="G20" s="625" t="s">
        <v>517</v>
      </c>
      <c r="H20" s="626">
        <f ca="1">'Payroll Reports Input'!P7</f>
        <v>215667864.03999996</v>
      </c>
      <c r="I20" s="602"/>
      <c r="K20" s="2" t="s">
        <v>44</v>
      </c>
      <c r="L20" s="3">
        <v>5.5942545790574451E-3</v>
      </c>
      <c r="S20"/>
      <c r="V20" s="5" t="s">
        <v>58</v>
      </c>
    </row>
    <row r="21" spans="1:22" hidden="1" x14ac:dyDescent="0.25">
      <c r="A21" s="392" t="s">
        <v>436</v>
      </c>
      <c r="B21" s="400">
        <f ca="1">($B$15-B16)*H4</f>
        <v>0</v>
      </c>
      <c r="C21" s="5" t="s">
        <v>387</v>
      </c>
      <c r="E21" s="201" t="s">
        <v>387</v>
      </c>
      <c r="F21" s="601"/>
      <c r="G21" s="625" t="s">
        <v>518</v>
      </c>
      <c r="H21" s="626">
        <f ca="1">SUM(B9:B10)</f>
        <v>210300504.18774131</v>
      </c>
      <c r="I21" s="602"/>
      <c r="K21" s="2" t="s">
        <v>45</v>
      </c>
      <c r="L21" s="3">
        <v>2.8214748130612457E-4</v>
      </c>
      <c r="Q21"/>
      <c r="R21"/>
      <c r="S21"/>
      <c r="V21" s="5" t="s">
        <v>446</v>
      </c>
    </row>
    <row r="22" spans="1:22" hidden="1" x14ac:dyDescent="0.25">
      <c r="A22" s="392" t="s">
        <v>414</v>
      </c>
      <c r="B22" s="400">
        <f ca="1">($B$15-B16)*H5</f>
        <v>121554.50773878707</v>
      </c>
      <c r="C22" s="5" t="s">
        <v>33</v>
      </c>
      <c r="E22" s="201" t="s">
        <v>33</v>
      </c>
      <c r="F22" s="601"/>
      <c r="H22" s="626">
        <f ca="1">H20-H21</f>
        <v>5367359.8522586524</v>
      </c>
      <c r="I22" s="605">
        <f ca="1">H22/H21</f>
        <v>2.5522334684785423E-2</v>
      </c>
      <c r="K22" s="2" t="s">
        <v>46</v>
      </c>
      <c r="L22" s="3">
        <v>1.1712037221935403E-6</v>
      </c>
      <c r="Q22"/>
      <c r="R22"/>
      <c r="S22"/>
      <c r="V22" s="5" t="s">
        <v>16</v>
      </c>
    </row>
    <row r="23" spans="1:22" hidden="1" x14ac:dyDescent="0.25">
      <c r="A23" s="392" t="s">
        <v>537</v>
      </c>
      <c r="B23" s="400">
        <f ca="1">($B$15-B16)*H6</f>
        <v>8137.0520326056085</v>
      </c>
      <c r="C23" s="5" t="s">
        <v>449</v>
      </c>
      <c r="E23" s="201" t="s">
        <v>449</v>
      </c>
      <c r="F23" s="601"/>
      <c r="I23" s="602"/>
      <c r="K23" s="2" t="s">
        <v>374</v>
      </c>
      <c r="L23" s="3">
        <v>6.2338444271176369E-3</v>
      </c>
      <c r="Q23"/>
      <c r="R23"/>
    </row>
    <row r="24" spans="1:22" ht="15.75" hidden="1" thickBot="1" x14ac:dyDescent="0.3">
      <c r="A24" s="401" t="s">
        <v>415</v>
      </c>
      <c r="B24" s="796">
        <f>SUMIF(C$43:C$1048576,$V$13,B$43:B$1048576)</f>
        <v>281208.65000000002</v>
      </c>
      <c r="C24" s="5" t="s">
        <v>287</v>
      </c>
      <c r="E24" s="201" t="s">
        <v>287</v>
      </c>
      <c r="F24" s="601"/>
      <c r="I24" s="602"/>
      <c r="K24" s="2" t="s">
        <v>37</v>
      </c>
      <c r="L24" s="3">
        <v>2.3891384729026029E-2</v>
      </c>
      <c r="Q24"/>
      <c r="R24"/>
    </row>
    <row r="25" spans="1:22" hidden="1" x14ac:dyDescent="0.25">
      <c r="A25" s="401" t="s">
        <v>442</v>
      </c>
      <c r="B25" s="400">
        <f ca="1">$B$24*H2</f>
        <v>247835.5056784357</v>
      </c>
      <c r="C25" s="201" t="s">
        <v>287</v>
      </c>
      <c r="E25" s="5" t="s">
        <v>32</v>
      </c>
      <c r="F25" s="601"/>
      <c r="I25" s="602"/>
      <c r="K25" s="2" t="s">
        <v>39</v>
      </c>
      <c r="L25" s="3">
        <v>4.6019297022804645E-4</v>
      </c>
      <c r="Q25"/>
      <c r="R25"/>
      <c r="V25" t="s">
        <v>72</v>
      </c>
    </row>
    <row r="26" spans="1:22" hidden="1" x14ac:dyDescent="0.25">
      <c r="A26" s="401" t="s">
        <v>502</v>
      </c>
      <c r="B26" s="400">
        <f ca="1">B25-B27</f>
        <v>187699.75846663772</v>
      </c>
      <c r="C26" s="5" t="s">
        <v>32</v>
      </c>
      <c r="E26" s="5" t="s">
        <v>32</v>
      </c>
      <c r="F26" s="601"/>
      <c r="I26" s="602"/>
      <c r="K26" s="2" t="s">
        <v>38</v>
      </c>
      <c r="L26" s="3">
        <v>1.0892194616399924E-4</v>
      </c>
      <c r="Q26"/>
      <c r="R26"/>
      <c r="V26" t="s">
        <v>73</v>
      </c>
    </row>
    <row r="27" spans="1:22" hidden="1" x14ac:dyDescent="0.25">
      <c r="A27" s="401" t="s">
        <v>503</v>
      </c>
      <c r="B27" s="400">
        <f ca="1">B25*GETPIVOTDATA("Unique Billed Hours",$K$16,"Level of Service","Other Non-Reimbursable Services")</f>
        <v>60135.747211797971</v>
      </c>
      <c r="C27" s="5" t="s">
        <v>449</v>
      </c>
      <c r="E27" s="5" t="s">
        <v>32</v>
      </c>
      <c r="F27" s="610"/>
      <c r="G27" s="611"/>
      <c r="H27" s="611"/>
      <c r="I27" s="612"/>
      <c r="K27" s="2" t="s">
        <v>390</v>
      </c>
      <c r="L27" s="3">
        <v>0.24264379329821914</v>
      </c>
      <c r="Q27"/>
      <c r="R27"/>
      <c r="V27" t="s">
        <v>74</v>
      </c>
    </row>
    <row r="28" spans="1:22" x14ac:dyDescent="0.25">
      <c r="A28" s="401" t="s">
        <v>443</v>
      </c>
      <c r="B28" s="400">
        <f ca="1">$B$24*H3</f>
        <v>31894.367732684845</v>
      </c>
      <c r="C28" s="5" t="s">
        <v>31</v>
      </c>
      <c r="D28" s="383" t="s">
        <v>84</v>
      </c>
      <c r="E28" s="201" t="s">
        <v>31</v>
      </c>
      <c r="F28" s="613"/>
      <c r="G28" s="389"/>
      <c r="H28" s="389"/>
      <c r="I28" s="614"/>
      <c r="K28" s="2" t="s">
        <v>34</v>
      </c>
      <c r="L28" s="3">
        <v>2.5883602260477241E-4</v>
      </c>
      <c r="Q28"/>
      <c r="R28"/>
      <c r="V28" t="s">
        <v>75</v>
      </c>
    </row>
    <row r="29" spans="1:22" hidden="1" x14ac:dyDescent="0.25">
      <c r="A29" s="401" t="s">
        <v>444</v>
      </c>
      <c r="B29" s="400">
        <f ca="1">$B$24*H4</f>
        <v>0</v>
      </c>
      <c r="C29" s="5" t="s">
        <v>387</v>
      </c>
      <c r="E29" s="201" t="s">
        <v>387</v>
      </c>
      <c r="F29" s="613"/>
      <c r="G29" s="621" t="s">
        <v>514</v>
      </c>
      <c r="H29" s="622">
        <f>SUM('Detail Data 5 Tagging'!Q:Q)</f>
        <v>11101586</v>
      </c>
      <c r="I29" s="614"/>
      <c r="K29" s="2" t="s">
        <v>35</v>
      </c>
      <c r="L29" s="3">
        <v>0.22260127680125164</v>
      </c>
      <c r="Q29"/>
      <c r="R29"/>
      <c r="V29" t="s">
        <v>467</v>
      </c>
    </row>
    <row r="30" spans="1:22" hidden="1" x14ac:dyDescent="0.25">
      <c r="A30" s="401" t="s">
        <v>445</v>
      </c>
      <c r="B30" s="400">
        <f ca="1">$B$24*H5</f>
        <v>1385.9958245065091</v>
      </c>
      <c r="C30" s="5" t="s">
        <v>33</v>
      </c>
      <c r="E30" s="5" t="s">
        <v>33</v>
      </c>
      <c r="F30" s="613"/>
      <c r="G30" s="621" t="s">
        <v>515</v>
      </c>
      <c r="H30" s="623" cm="1">
        <f t="array" ref="H30">SUM(
    SUMIFS('Payroll Reports Input'!G:G,
           'Payroll Reports Input'!E:E, 'hide this'!$A$3,
           'Payroll Reports Input'!B:B, {"HHA","CDPAP"}),
    SUMIFS('Payroll Reports Input'!G:G,
           'Payroll Reports Input'!E:E, 'hide this'!$A$5,
           'Payroll Reports Input'!B:B, {"HHA","CDPAP"}),
    SUMIFS('Payroll Reports Input'!G:G,
           'Payroll Reports Input'!E:E, 'hide this'!$A$8,
           'Payroll Reports Input'!B:B, {"HHA","CDPAP"})
)</f>
        <v>10999625</v>
      </c>
      <c r="I30" s="614"/>
      <c r="K30" s="2" t="s">
        <v>36</v>
      </c>
      <c r="L30" s="3">
        <v>1.5955398400036613E-4</v>
      </c>
      <c r="Q30"/>
      <c r="R30"/>
      <c r="V30" t="s">
        <v>76</v>
      </c>
    </row>
    <row r="31" spans="1:22" hidden="1" x14ac:dyDescent="0.25">
      <c r="A31" s="401" t="s">
        <v>538</v>
      </c>
      <c r="B31" s="400">
        <f ca="1">$B$24*H6</f>
        <v>92.780764372960249</v>
      </c>
      <c r="C31" s="5" t="s">
        <v>449</v>
      </c>
      <c r="E31" s="201" t="s">
        <v>449</v>
      </c>
      <c r="F31" s="613"/>
      <c r="G31" s="197" t="s">
        <v>425</v>
      </c>
      <c r="H31" s="604">
        <f>H29-H30</f>
        <v>101961</v>
      </c>
      <c r="I31" s="605">
        <f>H31/H30</f>
        <v>9.2694978237894479E-3</v>
      </c>
      <c r="K31" s="2" t="s">
        <v>41</v>
      </c>
      <c r="L31" s="3">
        <v>5.4685754104066764E-3</v>
      </c>
      <c r="Q31"/>
      <c r="R31"/>
      <c r="V31" t="s">
        <v>468</v>
      </c>
    </row>
    <row r="32" spans="1:22" ht="15.75" hidden="1" thickBot="1" x14ac:dyDescent="0.3">
      <c r="A32" s="393" t="s">
        <v>433</v>
      </c>
      <c r="B32" s="796">
        <f>SUMIF(C$43:C$1048576,$V$12,B$43:B$1048576)</f>
        <v>1251409.6100000001</v>
      </c>
      <c r="C32" s="5" t="s">
        <v>287</v>
      </c>
      <c r="E32" s="201" t="s">
        <v>287</v>
      </c>
      <c r="F32" s="613"/>
      <c r="G32" s="389"/>
      <c r="H32" s="389"/>
      <c r="I32" s="614"/>
      <c r="K32" s="2" t="s">
        <v>391</v>
      </c>
      <c r="L32" s="3">
        <v>0.14765363073379112</v>
      </c>
      <c r="Q32"/>
      <c r="R32"/>
      <c r="V32" t="s">
        <v>59</v>
      </c>
    </row>
    <row r="33" spans="1:22" hidden="1" x14ac:dyDescent="0.25">
      <c r="A33" s="393" t="s">
        <v>416</v>
      </c>
      <c r="B33" s="400">
        <f ca="1">$B$32*H2</f>
        <v>1102895.4248214059</v>
      </c>
      <c r="C33" s="201" t="s">
        <v>287</v>
      </c>
      <c r="E33" s="201" t="s">
        <v>287</v>
      </c>
      <c r="F33" s="613"/>
      <c r="G33" s="389"/>
      <c r="H33" s="389"/>
      <c r="I33" s="614"/>
      <c r="K33" s="2" t="s">
        <v>293</v>
      </c>
      <c r="L33" s="3">
        <v>0</v>
      </c>
      <c r="Q33"/>
      <c r="R33"/>
      <c r="V33" t="s">
        <v>25</v>
      </c>
    </row>
    <row r="34" spans="1:22" hidden="1" x14ac:dyDescent="0.25">
      <c r="A34" s="393" t="s">
        <v>504</v>
      </c>
      <c r="B34" s="400">
        <f ca="1">B33-B35</f>
        <v>835284.69533148909</v>
      </c>
      <c r="C34" s="5" t="s">
        <v>32</v>
      </c>
      <c r="E34" s="201" t="s">
        <v>32</v>
      </c>
      <c r="F34" s="615"/>
      <c r="G34" s="389"/>
      <c r="H34" s="389"/>
      <c r="I34" s="614"/>
      <c r="K34" s="2" t="s">
        <v>22</v>
      </c>
      <c r="L34" s="3">
        <v>1</v>
      </c>
      <c r="Q34"/>
      <c r="R34"/>
      <c r="V34" t="s">
        <v>466</v>
      </c>
    </row>
    <row r="35" spans="1:22" ht="15.75" hidden="1" thickBot="1" x14ac:dyDescent="0.3">
      <c r="A35" s="393" t="s">
        <v>505</v>
      </c>
      <c r="B35" s="400">
        <f ca="1">B33*GETPIVOTDATA("Unique Billed Hours",$K$16,"Level of Service","Other Non-Reimbursable Services")</f>
        <v>267610.72948991682</v>
      </c>
      <c r="C35" s="5" t="s">
        <v>449</v>
      </c>
      <c r="E35" s="201" t="s">
        <v>449</v>
      </c>
      <c r="F35" s="616"/>
      <c r="G35" s="617"/>
      <c r="H35" s="617"/>
      <c r="I35" s="618"/>
      <c r="K35"/>
      <c r="L35"/>
      <c r="Q35"/>
      <c r="R35"/>
      <c r="V35" t="s">
        <v>82</v>
      </c>
    </row>
    <row r="36" spans="1:22" x14ac:dyDescent="0.25">
      <c r="A36" s="393" t="s">
        <v>417</v>
      </c>
      <c r="B36" s="400">
        <f ca="1">$B$32*H3</f>
        <v>141933.46572218076</v>
      </c>
      <c r="C36" s="5" t="s">
        <v>31</v>
      </c>
      <c r="D36" s="383" t="s">
        <v>84</v>
      </c>
      <c r="E36" s="201" t="s">
        <v>31</v>
      </c>
      <c r="I36" s="387"/>
      <c r="Q36"/>
      <c r="R36"/>
      <c r="V36" t="s">
        <v>84</v>
      </c>
    </row>
    <row r="37" spans="1:22" hidden="1" x14ac:dyDescent="0.25">
      <c r="A37" s="393" t="s">
        <v>437</v>
      </c>
      <c r="B37" s="400">
        <f ca="1">$B$32*H4</f>
        <v>0</v>
      </c>
      <c r="C37" s="5" t="s">
        <v>387</v>
      </c>
      <c r="E37" s="201" t="s">
        <v>387</v>
      </c>
      <c r="I37" s="386"/>
      <c r="Q37"/>
      <c r="R37"/>
      <c r="V37" t="s">
        <v>86</v>
      </c>
    </row>
    <row r="38" spans="1:22" hidden="1" x14ac:dyDescent="0.25">
      <c r="A38" s="393" t="s">
        <v>419</v>
      </c>
      <c r="B38" s="400">
        <f ca="1">$B$32*H5</f>
        <v>6167.8347881806585</v>
      </c>
      <c r="C38" s="5" t="s">
        <v>33</v>
      </c>
      <c r="E38" s="5" t="s">
        <v>33</v>
      </c>
      <c r="I38" s="386"/>
      <c r="Q38"/>
      <c r="R38"/>
      <c r="V38" t="s">
        <v>386</v>
      </c>
    </row>
    <row r="39" spans="1:22" hidden="1" x14ac:dyDescent="0.25">
      <c r="A39" s="393" t="s">
        <v>539</v>
      </c>
      <c r="B39" s="400">
        <f ca="1">$B$32*H6</f>
        <v>412.88466823288712</v>
      </c>
      <c r="C39" s="5" t="s">
        <v>449</v>
      </c>
      <c r="E39" s="201" t="s">
        <v>449</v>
      </c>
      <c r="I39" s="386"/>
      <c r="Q39"/>
      <c r="R39"/>
      <c r="V39" t="s">
        <v>480</v>
      </c>
    </row>
    <row r="40" spans="1:22" hidden="1" x14ac:dyDescent="0.25">
      <c r="A40" s="270" t="s">
        <v>405</v>
      </c>
      <c r="B40" s="402">
        <f ca="1">SUMIFS(B:B, C:C, "&lt;&gt;"&amp;V11, C:C, "&lt;&gt;"&amp;V12, C:C, "&lt;&gt;"&amp;V13, C:C, "&lt;&gt;"&amp;V14, C:C, "&lt;&gt;"&amp;V15)-(SUMIF(C:C,$V$21,B:B))</f>
        <v>304483893.18000013</v>
      </c>
      <c r="C40" s="194" t="s">
        <v>287</v>
      </c>
      <c r="E40" s="201" t="s">
        <v>287</v>
      </c>
      <c r="I40" s="386"/>
      <c r="Q40"/>
      <c r="R40"/>
    </row>
    <row r="41" spans="1:22" hidden="1" x14ac:dyDescent="0.25">
      <c r="I41" s="386"/>
      <c r="Q41"/>
      <c r="R41"/>
    </row>
    <row r="42" spans="1:22" ht="21" hidden="1" x14ac:dyDescent="0.35">
      <c r="A42" s="384" t="s">
        <v>398</v>
      </c>
      <c r="B42" s="795" t="s">
        <v>399</v>
      </c>
      <c r="C42" s="385" t="s">
        <v>400</v>
      </c>
      <c r="D42" s="385" t="s">
        <v>401</v>
      </c>
      <c r="E42" s="385" t="s">
        <v>402</v>
      </c>
      <c r="I42" s="387"/>
      <c r="Q42"/>
      <c r="R42"/>
    </row>
    <row r="43" spans="1:22" hidden="1" x14ac:dyDescent="0.25">
      <c r="A43" s="724" t="s">
        <v>689</v>
      </c>
      <c r="B43" s="400">
        <v>-2102</v>
      </c>
      <c r="C43" s="194" t="s">
        <v>440</v>
      </c>
      <c r="E43" s="201" t="str">
        <f>C43</f>
        <v>Payroll Allocation - Wages</v>
      </c>
      <c r="I43" s="387"/>
      <c r="Q43"/>
      <c r="R43"/>
    </row>
    <row r="44" spans="1:22" hidden="1" x14ac:dyDescent="0.25">
      <c r="A44" s="724" t="s">
        <v>690</v>
      </c>
      <c r="B44" s="400">
        <v>216877138.68000001</v>
      </c>
      <c r="C44" s="194" t="s">
        <v>440</v>
      </c>
      <c r="E44" s="201" t="str">
        <f>C44</f>
        <v>Payroll Allocation - Wages</v>
      </c>
      <c r="I44" s="386"/>
      <c r="Q44"/>
      <c r="R44"/>
    </row>
    <row r="45" spans="1:22" hidden="1" x14ac:dyDescent="0.25">
      <c r="A45" s="725" t="s">
        <v>691</v>
      </c>
      <c r="B45" s="797">
        <v>16506531.300000001</v>
      </c>
      <c r="C45" s="833" t="s">
        <v>439</v>
      </c>
      <c r="D45" s="386"/>
      <c r="E45" s="201" t="str">
        <f t="shared" ref="E45:E95" si="2">C45</f>
        <v>Payroll Allocation - Taxes</v>
      </c>
      <c r="I45" s="386"/>
      <c r="Q45"/>
      <c r="R45"/>
    </row>
    <row r="46" spans="1:22" hidden="1" x14ac:dyDescent="0.25">
      <c r="A46" s="725" t="s">
        <v>692</v>
      </c>
      <c r="B46" s="797">
        <v>770005.88</v>
      </c>
      <c r="C46" s="833" t="s">
        <v>439</v>
      </c>
      <c r="D46" s="386"/>
      <c r="E46" s="201" t="str">
        <f t="shared" si="2"/>
        <v>Payroll Allocation - Taxes</v>
      </c>
      <c r="I46" s="386"/>
      <c r="Q46"/>
      <c r="R46"/>
    </row>
    <row r="47" spans="1:22" hidden="1" x14ac:dyDescent="0.25">
      <c r="A47" s="725" t="s">
        <v>693</v>
      </c>
      <c r="B47" s="797">
        <v>1294138.53</v>
      </c>
      <c r="C47" s="833" t="s">
        <v>439</v>
      </c>
      <c r="D47" s="386"/>
      <c r="E47" s="201" t="str">
        <f t="shared" si="2"/>
        <v>Payroll Allocation - Taxes</v>
      </c>
      <c r="Q47"/>
      <c r="R47"/>
    </row>
    <row r="48" spans="1:22" hidden="1" x14ac:dyDescent="0.25">
      <c r="A48" s="725" t="s">
        <v>694</v>
      </c>
      <c r="B48" s="797">
        <v>4320536.16</v>
      </c>
      <c r="C48" s="833" t="s">
        <v>439</v>
      </c>
      <c r="D48" s="386"/>
      <c r="E48" s="201" t="str">
        <f t="shared" si="2"/>
        <v>Payroll Allocation - Taxes</v>
      </c>
      <c r="Q48"/>
      <c r="R48"/>
    </row>
    <row r="49" spans="1:18" hidden="1" x14ac:dyDescent="0.25">
      <c r="A49" s="696" t="s">
        <v>695</v>
      </c>
      <c r="B49" s="797">
        <v>4879619.2</v>
      </c>
      <c r="C49" s="833" t="s">
        <v>32</v>
      </c>
      <c r="D49" s="386" t="s">
        <v>480</v>
      </c>
      <c r="E49" s="201" t="str">
        <f t="shared" si="2"/>
        <v>Program Aide (Direct Care)</v>
      </c>
      <c r="Q49"/>
      <c r="R49"/>
    </row>
    <row r="50" spans="1:18" hidden="1" x14ac:dyDescent="0.25">
      <c r="A50" s="724" t="s">
        <v>696</v>
      </c>
      <c r="B50" s="797">
        <v>19518033.760000002</v>
      </c>
      <c r="C50" s="194" t="s">
        <v>440</v>
      </c>
      <c r="D50" s="386"/>
      <c r="E50" s="201" t="str">
        <f t="shared" si="2"/>
        <v>Payroll Allocation - Wages</v>
      </c>
      <c r="Q50"/>
      <c r="R50"/>
    </row>
    <row r="51" spans="1:18" hidden="1" x14ac:dyDescent="0.25">
      <c r="A51" s="724" t="s">
        <v>697</v>
      </c>
      <c r="B51" s="797">
        <v>718434.57</v>
      </c>
      <c r="C51" s="194" t="s">
        <v>440</v>
      </c>
      <c r="D51" s="386"/>
      <c r="E51" s="201" t="str">
        <f t="shared" si="2"/>
        <v>Payroll Allocation - Wages</v>
      </c>
      <c r="Q51"/>
      <c r="R51"/>
    </row>
    <row r="52" spans="1:18" hidden="1" x14ac:dyDescent="0.25">
      <c r="A52" s="724" t="s">
        <v>698</v>
      </c>
      <c r="B52" s="797">
        <v>3177314.83</v>
      </c>
      <c r="C52" s="194" t="s">
        <v>440</v>
      </c>
      <c r="D52" s="386"/>
      <c r="E52" s="201" t="str">
        <f t="shared" si="2"/>
        <v>Payroll Allocation - Wages</v>
      </c>
      <c r="F52" s="386"/>
      <c r="Q52"/>
      <c r="R52"/>
    </row>
    <row r="53" spans="1:18" hidden="1" x14ac:dyDescent="0.25">
      <c r="A53" s="724" t="s">
        <v>699</v>
      </c>
      <c r="B53" s="797">
        <v>1637300.47</v>
      </c>
      <c r="C53" s="194" t="s">
        <v>440</v>
      </c>
      <c r="D53" s="386"/>
      <c r="E53" s="201" t="str">
        <f t="shared" si="2"/>
        <v>Payroll Allocation - Wages</v>
      </c>
      <c r="F53" s="387"/>
      <c r="Q53"/>
      <c r="R53"/>
    </row>
    <row r="54" spans="1:18" hidden="1" x14ac:dyDescent="0.25">
      <c r="A54" s="724" t="s">
        <v>700</v>
      </c>
      <c r="B54" s="797">
        <v>2225651.9500000002</v>
      </c>
      <c r="C54" s="194" t="s">
        <v>440</v>
      </c>
      <c r="D54" s="386"/>
      <c r="E54" s="201" t="str">
        <f t="shared" si="2"/>
        <v>Payroll Allocation - Wages</v>
      </c>
      <c r="F54" s="387"/>
      <c r="Q54"/>
      <c r="R54"/>
    </row>
    <row r="55" spans="1:18" hidden="1" x14ac:dyDescent="0.25">
      <c r="A55" s="724" t="s">
        <v>701</v>
      </c>
      <c r="B55" s="797">
        <v>476149.43</v>
      </c>
      <c r="C55" s="194" t="s">
        <v>440</v>
      </c>
      <c r="D55" s="386"/>
      <c r="E55" s="201" t="str">
        <f t="shared" si="2"/>
        <v>Payroll Allocation - Wages</v>
      </c>
      <c r="F55" s="386"/>
      <c r="Q55"/>
      <c r="R55"/>
    </row>
    <row r="56" spans="1:18" hidden="1" x14ac:dyDescent="0.25">
      <c r="A56" s="725" t="s">
        <v>702</v>
      </c>
      <c r="B56" s="797">
        <v>1929874.34</v>
      </c>
      <c r="C56" s="833" t="s">
        <v>439</v>
      </c>
      <c r="D56" s="386"/>
      <c r="E56" s="201" t="str">
        <f t="shared" si="2"/>
        <v>Payroll Allocation - Taxes</v>
      </c>
      <c r="F56" s="386"/>
      <c r="Q56"/>
      <c r="R56"/>
    </row>
    <row r="57" spans="1:18" hidden="1" x14ac:dyDescent="0.25">
      <c r="A57" s="725" t="s">
        <v>703</v>
      </c>
      <c r="B57" s="797">
        <v>155663.13</v>
      </c>
      <c r="C57" s="833" t="s">
        <v>439</v>
      </c>
      <c r="D57" s="386"/>
      <c r="E57" s="201" t="str">
        <f t="shared" si="2"/>
        <v>Payroll Allocation - Taxes</v>
      </c>
      <c r="Q57"/>
      <c r="R57"/>
    </row>
    <row r="58" spans="1:18" hidden="1" x14ac:dyDescent="0.25">
      <c r="A58" s="725" t="s">
        <v>704</v>
      </c>
      <c r="B58" s="797">
        <v>46307.46</v>
      </c>
      <c r="C58" s="833" t="s">
        <v>439</v>
      </c>
      <c r="D58" s="386"/>
      <c r="E58" s="201" t="str">
        <f t="shared" si="2"/>
        <v>Payroll Allocation - Taxes</v>
      </c>
      <c r="Q58"/>
      <c r="R58"/>
    </row>
    <row r="59" spans="1:18" hidden="1" x14ac:dyDescent="0.25">
      <c r="A59" s="725" t="s">
        <v>705</v>
      </c>
      <c r="B59" s="797">
        <v>260512.5</v>
      </c>
      <c r="C59" s="833" t="s">
        <v>439</v>
      </c>
      <c r="D59" s="386"/>
      <c r="E59" s="201" t="str">
        <f t="shared" si="2"/>
        <v>Payroll Allocation - Taxes</v>
      </c>
      <c r="Q59"/>
      <c r="R59"/>
    </row>
    <row r="60" spans="1:18" hidden="1" x14ac:dyDescent="0.25">
      <c r="A60" s="696" t="s">
        <v>719</v>
      </c>
      <c r="B60" s="797">
        <v>434508.54</v>
      </c>
      <c r="C60" s="833" t="s">
        <v>387</v>
      </c>
      <c r="D60" s="386"/>
      <c r="E60" s="201" t="str">
        <f t="shared" si="2"/>
        <v>Non-Reimbursable Costs (Adjustment to Expense)</v>
      </c>
      <c r="Q60"/>
      <c r="R60"/>
    </row>
    <row r="61" spans="1:18" x14ac:dyDescent="0.25">
      <c r="A61" s="696" t="s">
        <v>720</v>
      </c>
      <c r="B61" s="797">
        <v>66409.55</v>
      </c>
      <c r="C61" s="833" t="s">
        <v>31</v>
      </c>
      <c r="D61" s="386" t="s">
        <v>59</v>
      </c>
      <c r="E61" s="201" t="str">
        <f t="shared" si="2"/>
        <v>Program Administration</v>
      </c>
      <c r="Q61"/>
      <c r="R61"/>
    </row>
    <row r="62" spans="1:18" hidden="1" x14ac:dyDescent="0.25">
      <c r="A62" s="696" t="s">
        <v>721</v>
      </c>
      <c r="B62" s="797">
        <v>565770.84</v>
      </c>
      <c r="C62" s="833" t="s">
        <v>446</v>
      </c>
      <c r="D62" s="386"/>
      <c r="E62" s="201" t="str">
        <f t="shared" si="2"/>
        <v>Bad Debt</v>
      </c>
      <c r="Q62"/>
      <c r="R62"/>
    </row>
    <row r="63" spans="1:18" x14ac:dyDescent="0.25">
      <c r="A63" s="696" t="s">
        <v>722</v>
      </c>
      <c r="B63" s="797">
        <v>18235.3</v>
      </c>
      <c r="C63" s="833" t="s">
        <v>31</v>
      </c>
      <c r="D63" s="386" t="s">
        <v>84</v>
      </c>
      <c r="E63" s="201" t="str">
        <f t="shared" si="2"/>
        <v>Program Administration</v>
      </c>
      <c r="Q63"/>
      <c r="R63"/>
    </row>
    <row r="64" spans="1:18" x14ac:dyDescent="0.25">
      <c r="A64" s="696" t="s">
        <v>723</v>
      </c>
      <c r="B64" s="797">
        <v>507076</v>
      </c>
      <c r="C64" s="833" t="s">
        <v>31</v>
      </c>
      <c r="D64" s="386" t="s">
        <v>84</v>
      </c>
      <c r="E64" s="201" t="str">
        <f t="shared" si="2"/>
        <v>Program Administration</v>
      </c>
      <c r="Q64"/>
      <c r="R64"/>
    </row>
    <row r="65" spans="1:18" x14ac:dyDescent="0.25">
      <c r="A65" s="696" t="s">
        <v>724</v>
      </c>
      <c r="B65" s="797">
        <v>2500</v>
      </c>
      <c r="C65" s="833" t="s">
        <v>31</v>
      </c>
      <c r="D65" s="386" t="s">
        <v>84</v>
      </c>
      <c r="E65" s="201" t="str">
        <f t="shared" si="2"/>
        <v>Program Administration</v>
      </c>
      <c r="Q65"/>
      <c r="R65"/>
    </row>
    <row r="66" spans="1:18" x14ac:dyDescent="0.25">
      <c r="A66" s="696" t="s">
        <v>725</v>
      </c>
      <c r="B66" s="797">
        <v>27060</v>
      </c>
      <c r="C66" s="833" t="s">
        <v>31</v>
      </c>
      <c r="D66" s="386" t="s">
        <v>84</v>
      </c>
      <c r="E66" s="201" t="str">
        <f t="shared" si="2"/>
        <v>Program Administration</v>
      </c>
      <c r="Q66"/>
      <c r="R66"/>
    </row>
    <row r="67" spans="1:18" x14ac:dyDescent="0.25">
      <c r="A67" s="620" t="s">
        <v>726</v>
      </c>
      <c r="B67" s="797">
        <v>505127.14</v>
      </c>
      <c r="C67" s="833" t="s">
        <v>31</v>
      </c>
      <c r="D67" s="386" t="s">
        <v>84</v>
      </c>
      <c r="E67" s="201" t="str">
        <f t="shared" si="2"/>
        <v>Program Administration</v>
      </c>
      <c r="Q67"/>
      <c r="R67"/>
    </row>
    <row r="68" spans="1:18" x14ac:dyDescent="0.25">
      <c r="A68" s="620" t="s">
        <v>727</v>
      </c>
      <c r="B68" s="797">
        <v>125530.89</v>
      </c>
      <c r="C68" s="833" t="s">
        <v>31</v>
      </c>
      <c r="D68" s="386" t="s">
        <v>75</v>
      </c>
      <c r="E68" s="201" t="str">
        <f t="shared" si="2"/>
        <v>Program Administration</v>
      </c>
      <c r="Q68"/>
      <c r="R68"/>
    </row>
    <row r="69" spans="1:18" x14ac:dyDescent="0.25">
      <c r="A69" s="620" t="s">
        <v>728</v>
      </c>
      <c r="B69" s="797">
        <v>1075157.6499999999</v>
      </c>
      <c r="C69" s="833" t="s">
        <v>31</v>
      </c>
      <c r="D69" s="386" t="s">
        <v>84</v>
      </c>
      <c r="E69" s="201" t="str">
        <f t="shared" si="2"/>
        <v>Program Administration</v>
      </c>
      <c r="Q69"/>
      <c r="R69"/>
    </row>
    <row r="70" spans="1:18" s="194" customFormat="1" x14ac:dyDescent="0.25">
      <c r="A70" s="620" t="s">
        <v>729</v>
      </c>
      <c r="B70" s="797">
        <v>2823.43</v>
      </c>
      <c r="C70" s="833" t="s">
        <v>31</v>
      </c>
      <c r="D70" s="386" t="s">
        <v>84</v>
      </c>
      <c r="E70" s="201" t="str">
        <f t="shared" si="2"/>
        <v>Program Administration</v>
      </c>
      <c r="F70" s="5"/>
      <c r="G70" s="5"/>
      <c r="H70" s="5"/>
      <c r="I70" s="5"/>
      <c r="J70" s="5"/>
      <c r="Q70"/>
      <c r="R70"/>
    </row>
    <row r="71" spans="1:18" x14ac:dyDescent="0.25">
      <c r="A71" s="696" t="s">
        <v>730</v>
      </c>
      <c r="B71" s="797">
        <v>1664288.59</v>
      </c>
      <c r="C71" s="833" t="s">
        <v>31</v>
      </c>
      <c r="D71" s="386" t="s">
        <v>84</v>
      </c>
      <c r="E71" s="201" t="str">
        <f t="shared" si="2"/>
        <v>Program Administration</v>
      </c>
      <c r="J71" s="194"/>
      <c r="Q71"/>
      <c r="R71"/>
    </row>
    <row r="72" spans="1:18" hidden="1" x14ac:dyDescent="0.25">
      <c r="A72" s="696" t="s">
        <v>731</v>
      </c>
      <c r="B72" s="797">
        <v>1200</v>
      </c>
      <c r="C72" s="833" t="s">
        <v>60</v>
      </c>
      <c r="D72" s="386"/>
      <c r="E72" s="201" t="str">
        <f t="shared" si="2"/>
        <v>Program Staff Training</v>
      </c>
      <c r="Q72"/>
      <c r="R72"/>
    </row>
    <row r="73" spans="1:18" x14ac:dyDescent="0.25">
      <c r="A73" s="696" t="s">
        <v>732</v>
      </c>
      <c r="B73" s="797">
        <v>42933.47</v>
      </c>
      <c r="C73" s="833" t="s">
        <v>31</v>
      </c>
      <c r="D73" s="386" t="s">
        <v>84</v>
      </c>
      <c r="E73" s="201" t="str">
        <f t="shared" si="2"/>
        <v>Program Administration</v>
      </c>
      <c r="Q73"/>
      <c r="R73"/>
    </row>
    <row r="74" spans="1:18" x14ac:dyDescent="0.25">
      <c r="A74" s="620" t="s">
        <v>733</v>
      </c>
      <c r="B74" s="797">
        <v>46871.74</v>
      </c>
      <c r="C74" s="833" t="s">
        <v>31</v>
      </c>
      <c r="D74" s="386" t="s">
        <v>84</v>
      </c>
      <c r="E74" s="201" t="str">
        <f t="shared" si="2"/>
        <v>Program Administration</v>
      </c>
      <c r="Q74"/>
      <c r="R74"/>
    </row>
    <row r="75" spans="1:18" x14ac:dyDescent="0.25">
      <c r="A75" s="620" t="s">
        <v>734</v>
      </c>
      <c r="B75" s="797">
        <v>845.71</v>
      </c>
      <c r="C75" s="833" t="s">
        <v>31</v>
      </c>
      <c r="D75" s="386" t="s">
        <v>84</v>
      </c>
      <c r="E75" s="201" t="str">
        <f t="shared" si="2"/>
        <v>Program Administration</v>
      </c>
      <c r="Q75"/>
      <c r="R75"/>
    </row>
    <row r="76" spans="1:18" hidden="1" x14ac:dyDescent="0.25">
      <c r="A76" s="727" t="s">
        <v>95</v>
      </c>
      <c r="B76" s="797">
        <v>56931.18</v>
      </c>
      <c r="C76" s="833" t="s">
        <v>438</v>
      </c>
      <c r="D76" s="386"/>
      <c r="E76" s="201" t="str">
        <f t="shared" si="2"/>
        <v>Payroll Allocation - Benefits</v>
      </c>
      <c r="Q76"/>
      <c r="R76"/>
    </row>
    <row r="77" spans="1:18" hidden="1" x14ac:dyDescent="0.25">
      <c r="A77" s="696" t="s">
        <v>1213</v>
      </c>
      <c r="B77" s="577">
        <v>96002.5</v>
      </c>
      <c r="C77" s="833" t="s">
        <v>449</v>
      </c>
      <c r="D77" s="386"/>
      <c r="E77" s="201" t="str">
        <f t="shared" si="2"/>
        <v>NR Services</v>
      </c>
      <c r="Q77"/>
      <c r="R77"/>
    </row>
    <row r="78" spans="1:18" x14ac:dyDescent="0.25">
      <c r="A78" s="696" t="s">
        <v>736</v>
      </c>
      <c r="B78" s="797">
        <v>1642.72</v>
      </c>
      <c r="C78" s="833" t="s">
        <v>31</v>
      </c>
      <c r="D78" s="386" t="s">
        <v>84</v>
      </c>
      <c r="E78" s="201" t="str">
        <f t="shared" si="2"/>
        <v>Program Administration</v>
      </c>
      <c r="Q78"/>
      <c r="R78"/>
    </row>
    <row r="79" spans="1:18" hidden="1" x14ac:dyDescent="0.25">
      <c r="A79" s="696" t="s">
        <v>737</v>
      </c>
      <c r="B79" s="797">
        <v>12230.99</v>
      </c>
      <c r="C79" s="833" t="s">
        <v>387</v>
      </c>
      <c r="D79" s="386"/>
      <c r="E79" s="201" t="str">
        <f t="shared" si="2"/>
        <v>Non-Reimbursable Costs (Adjustment to Expense)</v>
      </c>
      <c r="Q79"/>
      <c r="R79"/>
    </row>
    <row r="80" spans="1:18" x14ac:dyDescent="0.25">
      <c r="A80" s="696" t="s">
        <v>738</v>
      </c>
      <c r="B80" s="797">
        <v>76000</v>
      </c>
      <c r="C80" s="833" t="s">
        <v>31</v>
      </c>
      <c r="D80" s="386" t="s">
        <v>84</v>
      </c>
      <c r="E80" s="201" t="str">
        <f t="shared" si="2"/>
        <v>Program Administration</v>
      </c>
      <c r="H80" s="194"/>
      <c r="I80" s="194"/>
      <c r="Q80"/>
      <c r="R80"/>
    </row>
    <row r="81" spans="1:18" x14ac:dyDescent="0.25">
      <c r="A81" s="696" t="s">
        <v>739</v>
      </c>
      <c r="B81" s="797">
        <v>102154.09</v>
      </c>
      <c r="C81" s="833" t="s">
        <v>31</v>
      </c>
      <c r="D81" s="386" t="s">
        <v>82</v>
      </c>
      <c r="E81" s="201" t="str">
        <f t="shared" si="2"/>
        <v>Program Administration</v>
      </c>
      <c r="G81" s="194"/>
      <c r="Q81"/>
      <c r="R81"/>
    </row>
    <row r="82" spans="1:18" hidden="1" x14ac:dyDescent="0.25">
      <c r="A82" s="728" t="s">
        <v>740</v>
      </c>
      <c r="B82" s="797">
        <v>224277.47</v>
      </c>
      <c r="C82" s="833" t="s">
        <v>438</v>
      </c>
      <c r="D82" s="386"/>
      <c r="E82" s="201" t="str">
        <f t="shared" si="2"/>
        <v>Payroll Allocation - Benefits</v>
      </c>
      <c r="Q82"/>
      <c r="R82"/>
    </row>
    <row r="83" spans="1:18" x14ac:dyDescent="0.25">
      <c r="A83" s="696" t="s">
        <v>741</v>
      </c>
      <c r="B83" s="797">
        <v>447632.42</v>
      </c>
      <c r="C83" s="833" t="s">
        <v>31</v>
      </c>
      <c r="D83" s="386" t="s">
        <v>82</v>
      </c>
      <c r="E83" s="201" t="str">
        <f t="shared" si="2"/>
        <v>Program Administration</v>
      </c>
      <c r="Q83"/>
      <c r="R83"/>
    </row>
    <row r="84" spans="1:18" hidden="1" x14ac:dyDescent="0.25">
      <c r="A84" s="726" t="s">
        <v>742</v>
      </c>
      <c r="B84" s="797">
        <v>1251409.6100000001</v>
      </c>
      <c r="C84" s="833" t="s">
        <v>441</v>
      </c>
      <c r="D84" s="386"/>
      <c r="E84" s="201" t="str">
        <f t="shared" si="2"/>
        <v>Payroll Allocation - Workers Comp</v>
      </c>
      <c r="Q84"/>
      <c r="R84"/>
    </row>
    <row r="85" spans="1:18" x14ac:dyDescent="0.25">
      <c r="A85" s="696" t="s">
        <v>743</v>
      </c>
      <c r="B85" s="797">
        <v>1654.74</v>
      </c>
      <c r="C85" s="833" t="s">
        <v>31</v>
      </c>
      <c r="D85" s="386" t="s">
        <v>25</v>
      </c>
      <c r="E85" s="201" t="str">
        <f t="shared" si="2"/>
        <v>Program Administration</v>
      </c>
      <c r="Q85"/>
      <c r="R85"/>
    </row>
    <row r="86" spans="1:18" hidden="1" x14ac:dyDescent="0.25">
      <c r="A86" s="696" t="s">
        <v>744</v>
      </c>
      <c r="B86" s="797">
        <v>47681.05</v>
      </c>
      <c r="C86" s="833" t="s">
        <v>387</v>
      </c>
      <c r="D86" s="386"/>
      <c r="E86" s="201" t="str">
        <f t="shared" si="2"/>
        <v>Non-Reimbursable Costs (Adjustment to Expense)</v>
      </c>
      <c r="Q86"/>
      <c r="R86"/>
    </row>
    <row r="87" spans="1:18" hidden="1" x14ac:dyDescent="0.25">
      <c r="A87" s="696" t="s">
        <v>745</v>
      </c>
      <c r="B87" s="797">
        <v>368139.92</v>
      </c>
      <c r="C87" s="833" t="s">
        <v>387</v>
      </c>
      <c r="D87" s="386"/>
      <c r="E87" s="201" t="str">
        <f t="shared" si="2"/>
        <v>Non-Reimbursable Costs (Adjustment to Expense)</v>
      </c>
      <c r="Q87"/>
      <c r="R87"/>
    </row>
    <row r="88" spans="1:18" hidden="1" x14ac:dyDescent="0.25">
      <c r="A88" s="696" t="s">
        <v>746</v>
      </c>
      <c r="B88" s="797">
        <v>617889.32999999996</v>
      </c>
      <c r="C88" s="833" t="s">
        <v>387</v>
      </c>
      <c r="D88" s="386"/>
      <c r="E88" s="201" t="str">
        <f t="shared" si="2"/>
        <v>Non-Reimbursable Costs (Adjustment to Expense)</v>
      </c>
      <c r="F88" s="194"/>
      <c r="Q88"/>
      <c r="R88"/>
    </row>
    <row r="89" spans="1:18" hidden="1" x14ac:dyDescent="0.25">
      <c r="A89" s="696" t="s">
        <v>747</v>
      </c>
      <c r="B89" s="797">
        <v>128564.15</v>
      </c>
      <c r="C89" s="833" t="s">
        <v>387</v>
      </c>
      <c r="D89" s="386"/>
      <c r="E89" s="201" t="str">
        <f t="shared" si="2"/>
        <v>Non-Reimbursable Costs (Adjustment to Expense)</v>
      </c>
      <c r="Q89"/>
      <c r="R89"/>
    </row>
    <row r="90" spans="1:18" hidden="1" x14ac:dyDescent="0.25">
      <c r="A90" s="696" t="s">
        <v>748</v>
      </c>
      <c r="B90" s="797">
        <v>768291.37</v>
      </c>
      <c r="C90" s="833" t="s">
        <v>387</v>
      </c>
      <c r="D90" s="386"/>
      <c r="E90" s="201" t="str">
        <f t="shared" si="2"/>
        <v>Non-Reimbursable Costs (Adjustment to Expense)</v>
      </c>
      <c r="Q90"/>
      <c r="R90"/>
    </row>
    <row r="91" spans="1:18" hidden="1" x14ac:dyDescent="0.25">
      <c r="A91" s="696" t="s">
        <v>749</v>
      </c>
      <c r="B91" s="797">
        <v>469318.21</v>
      </c>
      <c r="C91" s="833" t="s">
        <v>387</v>
      </c>
      <c r="D91" s="386"/>
      <c r="E91" s="201" t="str">
        <f t="shared" si="2"/>
        <v>Non-Reimbursable Costs (Adjustment to Expense)</v>
      </c>
      <c r="Q91"/>
      <c r="R91"/>
    </row>
    <row r="92" spans="1:18" hidden="1" x14ac:dyDescent="0.25">
      <c r="A92" s="696" t="s">
        <v>750</v>
      </c>
      <c r="B92" s="797">
        <v>206843.9</v>
      </c>
      <c r="C92" s="833" t="s">
        <v>387</v>
      </c>
      <c r="D92" s="386"/>
      <c r="E92" s="201" t="str">
        <f t="shared" si="2"/>
        <v>Non-Reimbursable Costs (Adjustment to Expense)</v>
      </c>
      <c r="Q92"/>
      <c r="R92"/>
    </row>
    <row r="93" spans="1:18" hidden="1" x14ac:dyDescent="0.25">
      <c r="A93" s="197" t="s">
        <v>751</v>
      </c>
      <c r="B93" s="400">
        <v>382186.45</v>
      </c>
      <c r="C93" s="833" t="s">
        <v>387</v>
      </c>
      <c r="E93" s="201" t="str">
        <f t="shared" si="2"/>
        <v>Non-Reimbursable Costs (Adjustment to Expense)</v>
      </c>
      <c r="Q93"/>
      <c r="R93"/>
    </row>
    <row r="94" spans="1:18" hidden="1" x14ac:dyDescent="0.25">
      <c r="A94" s="197" t="s">
        <v>752</v>
      </c>
      <c r="B94" s="400">
        <v>815670.93</v>
      </c>
      <c r="C94" s="833" t="s">
        <v>387</v>
      </c>
      <c r="E94" s="201" t="str">
        <f t="shared" si="2"/>
        <v>Non-Reimbursable Costs (Adjustment to Expense)</v>
      </c>
      <c r="Q94"/>
      <c r="R94"/>
    </row>
    <row r="95" spans="1:18" hidden="1" x14ac:dyDescent="0.25">
      <c r="A95" s="197" t="s">
        <v>753</v>
      </c>
      <c r="B95" s="400">
        <v>85163.78</v>
      </c>
      <c r="C95" s="833" t="s">
        <v>387</v>
      </c>
      <c r="E95" s="201" t="str">
        <f t="shared" si="2"/>
        <v>Non-Reimbursable Costs (Adjustment to Expense)</v>
      </c>
      <c r="Q95"/>
      <c r="R95"/>
    </row>
    <row r="96" spans="1:18" hidden="1" x14ac:dyDescent="0.25">
      <c r="A96" s="197" t="s">
        <v>754</v>
      </c>
      <c r="B96" s="400">
        <v>154600.49</v>
      </c>
      <c r="C96" s="833" t="s">
        <v>387</v>
      </c>
      <c r="E96" s="201" t="str">
        <f t="shared" ref="E96:E159" si="3">C96</f>
        <v>Non-Reimbursable Costs (Adjustment to Expense)</v>
      </c>
      <c r="Q96"/>
      <c r="R96"/>
    </row>
    <row r="97" spans="1:18" hidden="1" x14ac:dyDescent="0.25">
      <c r="A97" s="197" t="s">
        <v>755</v>
      </c>
      <c r="B97" s="400">
        <v>221383.21</v>
      </c>
      <c r="C97" s="833" t="s">
        <v>387</v>
      </c>
      <c r="E97" s="201" t="str">
        <f t="shared" si="3"/>
        <v>Non-Reimbursable Costs (Adjustment to Expense)</v>
      </c>
      <c r="Q97"/>
      <c r="R97"/>
    </row>
    <row r="98" spans="1:18" hidden="1" x14ac:dyDescent="0.25">
      <c r="A98" s="197" t="s">
        <v>756</v>
      </c>
      <c r="B98" s="400">
        <v>320272.42</v>
      </c>
      <c r="C98" s="833" t="s">
        <v>387</v>
      </c>
      <c r="E98" s="201" t="str">
        <f t="shared" si="3"/>
        <v>Non-Reimbursable Costs (Adjustment to Expense)</v>
      </c>
      <c r="Q98"/>
      <c r="R98"/>
    </row>
    <row r="99" spans="1:18" hidden="1" x14ac:dyDescent="0.25">
      <c r="A99" s="197" t="s">
        <v>757</v>
      </c>
      <c r="B99" s="400">
        <v>2167.59</v>
      </c>
      <c r="C99" s="833" t="s">
        <v>387</v>
      </c>
      <c r="E99" s="201" t="str">
        <f t="shared" si="3"/>
        <v>Non-Reimbursable Costs (Adjustment to Expense)</v>
      </c>
      <c r="Q99"/>
      <c r="R99"/>
    </row>
    <row r="100" spans="1:18" x14ac:dyDescent="0.25">
      <c r="A100" s="197" t="s">
        <v>758</v>
      </c>
      <c r="B100" s="400">
        <v>8840.74</v>
      </c>
      <c r="C100" s="833" t="s">
        <v>31</v>
      </c>
      <c r="D100" s="386" t="s">
        <v>84</v>
      </c>
      <c r="E100" s="201" t="str">
        <f t="shared" si="3"/>
        <v>Program Administration</v>
      </c>
      <c r="Q100"/>
      <c r="R100"/>
    </row>
    <row r="101" spans="1:18" x14ac:dyDescent="0.25">
      <c r="A101" s="197" t="s">
        <v>759</v>
      </c>
      <c r="B101" s="400">
        <v>15174.31</v>
      </c>
      <c r="C101" s="833" t="s">
        <v>31</v>
      </c>
      <c r="D101" s="386" t="s">
        <v>84</v>
      </c>
      <c r="E101" s="201" t="str">
        <f t="shared" si="3"/>
        <v>Program Administration</v>
      </c>
      <c r="Q101"/>
      <c r="R101"/>
    </row>
    <row r="102" spans="1:18" x14ac:dyDescent="0.25">
      <c r="A102" s="197" t="s">
        <v>760</v>
      </c>
      <c r="B102" s="400">
        <v>1250154.97</v>
      </c>
      <c r="C102" s="833" t="s">
        <v>31</v>
      </c>
      <c r="D102" s="383" t="s">
        <v>73</v>
      </c>
      <c r="E102" s="201" t="str">
        <f t="shared" si="3"/>
        <v>Program Administration</v>
      </c>
      <c r="Q102"/>
      <c r="R102"/>
    </row>
    <row r="103" spans="1:18" x14ac:dyDescent="0.25">
      <c r="A103" s="197" t="s">
        <v>761</v>
      </c>
      <c r="B103" s="400">
        <v>46421.22</v>
      </c>
      <c r="C103" s="833" t="s">
        <v>31</v>
      </c>
      <c r="D103" s="383" t="s">
        <v>74</v>
      </c>
      <c r="E103" s="201" t="str">
        <f t="shared" si="3"/>
        <v>Program Administration</v>
      </c>
      <c r="Q103"/>
      <c r="R103"/>
    </row>
    <row r="104" spans="1:18" x14ac:dyDescent="0.25">
      <c r="A104" s="197" t="s">
        <v>762</v>
      </c>
      <c r="B104" s="400">
        <v>140997.87</v>
      </c>
      <c r="C104" s="833" t="s">
        <v>31</v>
      </c>
      <c r="D104" s="383" t="s">
        <v>74</v>
      </c>
      <c r="E104" s="201" t="str">
        <f t="shared" si="3"/>
        <v>Program Administration</v>
      </c>
      <c r="Q104"/>
      <c r="R104"/>
    </row>
    <row r="105" spans="1:18" hidden="1" x14ac:dyDescent="0.25">
      <c r="A105" s="197" t="s">
        <v>763</v>
      </c>
      <c r="B105" s="400">
        <v>405405.82</v>
      </c>
      <c r="C105" s="833" t="s">
        <v>387</v>
      </c>
      <c r="E105" s="201" t="str">
        <f t="shared" si="3"/>
        <v>Non-Reimbursable Costs (Adjustment to Expense)</v>
      </c>
      <c r="Q105"/>
      <c r="R105"/>
    </row>
    <row r="106" spans="1:18" x14ac:dyDescent="0.25">
      <c r="A106" s="197" t="s">
        <v>764</v>
      </c>
      <c r="B106" s="400">
        <v>745846.73</v>
      </c>
      <c r="C106" s="833" t="s">
        <v>31</v>
      </c>
      <c r="D106" s="383" t="s">
        <v>466</v>
      </c>
      <c r="E106" s="201" t="str">
        <f t="shared" si="3"/>
        <v>Program Administration</v>
      </c>
      <c r="Q106"/>
      <c r="R106"/>
    </row>
    <row r="107" spans="1:18" x14ac:dyDescent="0.25">
      <c r="A107" s="197" t="s">
        <v>765</v>
      </c>
      <c r="B107" s="400">
        <v>79.37</v>
      </c>
      <c r="C107" s="833" t="s">
        <v>31</v>
      </c>
      <c r="D107" s="386" t="s">
        <v>84</v>
      </c>
      <c r="E107" s="201" t="str">
        <f t="shared" si="3"/>
        <v>Program Administration</v>
      </c>
      <c r="Q107"/>
      <c r="R107"/>
    </row>
    <row r="108" spans="1:18" x14ac:dyDescent="0.25">
      <c r="A108" s="197" t="s">
        <v>1211</v>
      </c>
      <c r="B108" s="800">
        <v>72820.87</v>
      </c>
      <c r="C108" s="833" t="s">
        <v>31</v>
      </c>
      <c r="D108" s="386" t="s">
        <v>84</v>
      </c>
      <c r="E108" s="201" t="str">
        <f t="shared" si="3"/>
        <v>Program Administration</v>
      </c>
      <c r="Q108"/>
      <c r="R108"/>
    </row>
    <row r="109" spans="1:18" hidden="1" x14ac:dyDescent="0.25">
      <c r="A109" s="197" t="s">
        <v>1212</v>
      </c>
      <c r="B109" s="400">
        <v>-23189.08</v>
      </c>
      <c r="C109" s="833" t="s">
        <v>387</v>
      </c>
      <c r="D109" s="386"/>
      <c r="E109" s="201" t="str">
        <f t="shared" si="3"/>
        <v>Non-Reimbursable Costs (Adjustment to Expense)</v>
      </c>
      <c r="Q109"/>
      <c r="R109"/>
    </row>
    <row r="110" spans="1:18" x14ac:dyDescent="0.25">
      <c r="A110" s="197" t="s">
        <v>768</v>
      </c>
      <c r="B110" s="400">
        <v>-3611.55</v>
      </c>
      <c r="C110" s="833" t="s">
        <v>31</v>
      </c>
      <c r="D110" s="386" t="s">
        <v>84</v>
      </c>
      <c r="E110" s="201" t="str">
        <f t="shared" si="3"/>
        <v>Program Administration</v>
      </c>
      <c r="Q110"/>
      <c r="R110"/>
    </row>
    <row r="111" spans="1:18" x14ac:dyDescent="0.25">
      <c r="A111" s="197" t="s">
        <v>769</v>
      </c>
      <c r="B111" s="400">
        <v>892632.96</v>
      </c>
      <c r="C111" s="833" t="s">
        <v>31</v>
      </c>
      <c r="D111" s="386" t="s">
        <v>84</v>
      </c>
      <c r="E111" s="201" t="str">
        <f t="shared" si="3"/>
        <v>Program Administration</v>
      </c>
      <c r="Q111"/>
      <c r="R111"/>
    </row>
    <row r="112" spans="1:18" x14ac:dyDescent="0.25">
      <c r="A112" s="197" t="s">
        <v>770</v>
      </c>
      <c r="B112" s="400">
        <v>42090.32</v>
      </c>
      <c r="C112" s="833" t="s">
        <v>31</v>
      </c>
      <c r="D112" s="383" t="s">
        <v>466</v>
      </c>
      <c r="E112" s="201" t="str">
        <f t="shared" si="3"/>
        <v>Program Administration</v>
      </c>
      <c r="Q112"/>
      <c r="R112"/>
    </row>
    <row r="113" spans="1:18" x14ac:dyDescent="0.25">
      <c r="A113" s="197" t="s">
        <v>771</v>
      </c>
      <c r="B113" s="400">
        <v>23412.799999999999</v>
      </c>
      <c r="C113" s="833" t="s">
        <v>31</v>
      </c>
      <c r="D113" s="383" t="s">
        <v>466</v>
      </c>
      <c r="E113" s="201" t="str">
        <f t="shared" si="3"/>
        <v>Program Administration</v>
      </c>
      <c r="Q113"/>
      <c r="R113"/>
    </row>
    <row r="114" spans="1:18" x14ac:dyDescent="0.25">
      <c r="A114" s="197" t="s">
        <v>772</v>
      </c>
      <c r="B114" s="400">
        <v>1249355.73</v>
      </c>
      <c r="C114" s="833" t="s">
        <v>31</v>
      </c>
      <c r="D114" s="386" t="s">
        <v>84</v>
      </c>
      <c r="E114" s="201" t="str">
        <f t="shared" si="3"/>
        <v>Program Administration</v>
      </c>
      <c r="Q114"/>
      <c r="R114"/>
    </row>
    <row r="115" spans="1:18" x14ac:dyDescent="0.25">
      <c r="A115" s="197" t="s">
        <v>773</v>
      </c>
      <c r="B115" s="400">
        <v>7500</v>
      </c>
      <c r="C115" s="833" t="s">
        <v>31</v>
      </c>
      <c r="D115" s="386" t="s">
        <v>84</v>
      </c>
      <c r="E115" s="201" t="str">
        <f t="shared" si="3"/>
        <v>Program Administration</v>
      </c>
      <c r="Q115"/>
      <c r="R115"/>
    </row>
    <row r="116" spans="1:18" x14ac:dyDescent="0.25">
      <c r="A116" s="197" t="s">
        <v>774</v>
      </c>
      <c r="B116" s="400">
        <v>65353.94</v>
      </c>
      <c r="C116" s="833" t="s">
        <v>31</v>
      </c>
      <c r="D116" s="386" t="s">
        <v>84</v>
      </c>
      <c r="E116" s="201" t="str">
        <f t="shared" si="3"/>
        <v>Program Administration</v>
      </c>
      <c r="Q116"/>
      <c r="R116"/>
    </row>
    <row r="117" spans="1:18" x14ac:dyDescent="0.25">
      <c r="A117" s="197" t="s">
        <v>775</v>
      </c>
      <c r="B117" s="400">
        <v>145005.13</v>
      </c>
      <c r="C117" s="833" t="s">
        <v>31</v>
      </c>
      <c r="D117" s="386" t="s">
        <v>84</v>
      </c>
      <c r="E117" s="201" t="str">
        <f t="shared" si="3"/>
        <v>Program Administration</v>
      </c>
      <c r="Q117"/>
      <c r="R117"/>
    </row>
    <row r="118" spans="1:18" hidden="1" x14ac:dyDescent="0.25">
      <c r="A118" s="197" t="s">
        <v>776</v>
      </c>
      <c r="B118" s="400">
        <v>9652.2800000000007</v>
      </c>
      <c r="C118" s="194" t="s">
        <v>388</v>
      </c>
      <c r="E118" s="201" t="str">
        <f t="shared" si="3"/>
        <v>Non-Reimbursable WR&amp;R Costs</v>
      </c>
      <c r="Q118"/>
      <c r="R118"/>
    </row>
    <row r="119" spans="1:18" hidden="1" x14ac:dyDescent="0.25">
      <c r="A119" s="197" t="s">
        <v>777</v>
      </c>
      <c r="B119" s="400">
        <v>203030.21</v>
      </c>
      <c r="C119" s="194" t="s">
        <v>388</v>
      </c>
      <c r="E119" s="201" t="str">
        <f t="shared" si="3"/>
        <v>Non-Reimbursable WR&amp;R Costs</v>
      </c>
      <c r="Q119"/>
      <c r="R119"/>
    </row>
    <row r="120" spans="1:18" hidden="1" x14ac:dyDescent="0.25">
      <c r="A120" s="197" t="s">
        <v>778</v>
      </c>
      <c r="B120" s="400">
        <v>813087.81</v>
      </c>
      <c r="C120" s="194" t="s">
        <v>60</v>
      </c>
      <c r="E120" s="201" t="str">
        <f t="shared" si="3"/>
        <v>Program Staff Training</v>
      </c>
      <c r="Q120"/>
      <c r="R120"/>
    </row>
    <row r="121" spans="1:18" x14ac:dyDescent="0.25">
      <c r="A121" s="197" t="s">
        <v>779</v>
      </c>
      <c r="B121" s="400">
        <v>236811.38</v>
      </c>
      <c r="C121" s="194" t="s">
        <v>31</v>
      </c>
      <c r="D121" s="383" t="s">
        <v>86</v>
      </c>
      <c r="E121" s="201" t="str">
        <f t="shared" si="3"/>
        <v>Program Administration</v>
      </c>
      <c r="Q121"/>
      <c r="R121"/>
    </row>
    <row r="122" spans="1:18" hidden="1" x14ac:dyDescent="0.25">
      <c r="A122" s="197" t="s">
        <v>780</v>
      </c>
      <c r="B122" s="400">
        <v>791512.77</v>
      </c>
      <c r="C122" s="194" t="s">
        <v>388</v>
      </c>
      <c r="E122" s="201" t="str">
        <f t="shared" si="3"/>
        <v>Non-Reimbursable WR&amp;R Costs</v>
      </c>
      <c r="Q122"/>
      <c r="R122"/>
    </row>
    <row r="123" spans="1:18" hidden="1" x14ac:dyDescent="0.25">
      <c r="A123" s="197" t="s">
        <v>781</v>
      </c>
      <c r="B123" s="400">
        <v>236493.25</v>
      </c>
      <c r="C123" s="194" t="s">
        <v>388</v>
      </c>
      <c r="E123" s="201" t="str">
        <f t="shared" si="3"/>
        <v>Non-Reimbursable WR&amp;R Costs</v>
      </c>
    </row>
    <row r="124" spans="1:18" hidden="1" x14ac:dyDescent="0.25">
      <c r="A124" s="197" t="s">
        <v>782</v>
      </c>
      <c r="B124" s="400">
        <v>491294.73</v>
      </c>
      <c r="C124" s="194" t="s">
        <v>388</v>
      </c>
      <c r="E124" s="201" t="str">
        <f t="shared" si="3"/>
        <v>Non-Reimbursable WR&amp;R Costs</v>
      </c>
    </row>
    <row r="125" spans="1:18" hidden="1" x14ac:dyDescent="0.25">
      <c r="A125" s="197" t="s">
        <v>783</v>
      </c>
      <c r="B125" s="400">
        <v>31914.39</v>
      </c>
      <c r="C125" s="194" t="s">
        <v>388</v>
      </c>
      <c r="E125" s="201" t="str">
        <f t="shared" si="3"/>
        <v>Non-Reimbursable WR&amp;R Costs</v>
      </c>
    </row>
    <row r="126" spans="1:18" hidden="1" x14ac:dyDescent="0.25">
      <c r="A126" s="197" t="s">
        <v>784</v>
      </c>
      <c r="B126" s="400">
        <v>120308.03</v>
      </c>
      <c r="C126" s="194" t="s">
        <v>388</v>
      </c>
      <c r="E126" s="201" t="str">
        <f t="shared" si="3"/>
        <v>Non-Reimbursable WR&amp;R Costs</v>
      </c>
    </row>
    <row r="127" spans="1:18" x14ac:dyDescent="0.25">
      <c r="A127" s="197" t="s">
        <v>785</v>
      </c>
      <c r="B127" s="400">
        <v>1834263.71</v>
      </c>
      <c r="C127" s="194" t="s">
        <v>31</v>
      </c>
      <c r="D127" s="383" t="s">
        <v>467</v>
      </c>
      <c r="E127" s="201" t="str">
        <f t="shared" si="3"/>
        <v>Program Administration</v>
      </c>
    </row>
    <row r="128" spans="1:18" x14ac:dyDescent="0.25">
      <c r="A128" s="197" t="s">
        <v>786</v>
      </c>
      <c r="B128" s="400">
        <v>253215.17</v>
      </c>
      <c r="C128" s="194" t="s">
        <v>31</v>
      </c>
      <c r="D128" s="383" t="s">
        <v>75</v>
      </c>
      <c r="E128" s="201" t="str">
        <f t="shared" si="3"/>
        <v>Program Administration</v>
      </c>
    </row>
    <row r="129" spans="1:5" x14ac:dyDescent="0.25">
      <c r="A129" s="197" t="s">
        <v>787</v>
      </c>
      <c r="B129" s="400">
        <v>24605.9</v>
      </c>
      <c r="C129" s="833" t="s">
        <v>31</v>
      </c>
      <c r="D129" s="386" t="s">
        <v>84</v>
      </c>
      <c r="E129" s="201" t="str">
        <f t="shared" si="3"/>
        <v>Program Administration</v>
      </c>
    </row>
    <row r="130" spans="1:5" hidden="1" x14ac:dyDescent="0.25">
      <c r="A130" s="197" t="s">
        <v>788</v>
      </c>
      <c r="B130" s="400">
        <v>70251</v>
      </c>
      <c r="C130" s="194" t="s">
        <v>59</v>
      </c>
      <c r="E130" s="201" t="str">
        <f t="shared" si="3"/>
        <v>Transportation</v>
      </c>
    </row>
    <row r="131" spans="1:5" x14ac:dyDescent="0.25">
      <c r="A131" s="197" t="s">
        <v>789</v>
      </c>
      <c r="B131" s="400">
        <v>34255.660000000003</v>
      </c>
      <c r="C131" s="833" t="s">
        <v>31</v>
      </c>
      <c r="D131" s="386" t="s">
        <v>84</v>
      </c>
      <c r="E131" s="201" t="str">
        <f t="shared" si="3"/>
        <v>Program Administration</v>
      </c>
    </row>
    <row r="132" spans="1:5" x14ac:dyDescent="0.25">
      <c r="A132" s="197" t="s">
        <v>790</v>
      </c>
      <c r="B132" s="400">
        <v>2248247.16</v>
      </c>
      <c r="C132" s="833" t="s">
        <v>31</v>
      </c>
      <c r="D132" s="386" t="s">
        <v>84</v>
      </c>
      <c r="E132" s="201" t="str">
        <f t="shared" si="3"/>
        <v>Program Administration</v>
      </c>
    </row>
    <row r="133" spans="1:5" x14ac:dyDescent="0.25">
      <c r="A133" s="197" t="s">
        <v>791</v>
      </c>
      <c r="B133" s="400">
        <v>46128.27</v>
      </c>
      <c r="C133" s="833" t="s">
        <v>31</v>
      </c>
      <c r="D133" s="386" t="s">
        <v>84</v>
      </c>
      <c r="E133" s="201" t="str">
        <f t="shared" si="3"/>
        <v>Program Administration</v>
      </c>
    </row>
    <row r="134" spans="1:5" hidden="1" x14ac:dyDescent="0.25">
      <c r="A134" s="197" t="s">
        <v>792</v>
      </c>
      <c r="B134" s="400">
        <v>0</v>
      </c>
      <c r="E134" s="201">
        <f t="shared" si="3"/>
        <v>0</v>
      </c>
    </row>
    <row r="135" spans="1:5" hidden="1" x14ac:dyDescent="0.25">
      <c r="A135" s="197" t="s">
        <v>383</v>
      </c>
      <c r="B135" s="400">
        <v>709</v>
      </c>
      <c r="C135" s="194" t="s">
        <v>387</v>
      </c>
      <c r="E135" s="201" t="str">
        <f t="shared" si="3"/>
        <v>Non-Reimbursable Costs (Adjustment to Expense)</v>
      </c>
    </row>
    <row r="136" spans="1:5" hidden="1" x14ac:dyDescent="0.25">
      <c r="A136" s="197" t="s">
        <v>793</v>
      </c>
      <c r="B136" s="400">
        <v>-275662</v>
      </c>
      <c r="C136" s="194" t="s">
        <v>387</v>
      </c>
      <c r="E136" s="201" t="str">
        <f t="shared" si="3"/>
        <v>Non-Reimbursable Costs (Adjustment to Expense)</v>
      </c>
    </row>
    <row r="137" spans="1:5" hidden="1" x14ac:dyDescent="0.25">
      <c r="A137" s="197" t="s">
        <v>794</v>
      </c>
      <c r="B137" s="400">
        <v>263000</v>
      </c>
      <c r="C137" s="194" t="s">
        <v>387</v>
      </c>
      <c r="E137" s="201" t="str">
        <f t="shared" si="3"/>
        <v>Non-Reimbursable Costs (Adjustment to Expense)</v>
      </c>
    </row>
    <row r="138" spans="1:5" x14ac:dyDescent="0.25">
      <c r="A138" s="197" t="s">
        <v>795</v>
      </c>
      <c r="B138" s="400">
        <v>283339.01</v>
      </c>
      <c r="C138" s="833" t="s">
        <v>31</v>
      </c>
      <c r="D138" s="386" t="s">
        <v>84</v>
      </c>
      <c r="E138" s="201" t="str">
        <f t="shared" si="3"/>
        <v>Program Administration</v>
      </c>
    </row>
    <row r="139" spans="1:5" hidden="1" x14ac:dyDescent="0.25">
      <c r="A139" s="197" t="s">
        <v>796</v>
      </c>
      <c r="B139" s="400">
        <v>24479.5</v>
      </c>
      <c r="C139" s="194" t="s">
        <v>60</v>
      </c>
      <c r="E139" s="201" t="str">
        <f t="shared" si="3"/>
        <v>Program Staff Training</v>
      </c>
    </row>
    <row r="140" spans="1:5" x14ac:dyDescent="0.25">
      <c r="A140" s="197" t="s">
        <v>797</v>
      </c>
      <c r="B140" s="400">
        <v>209475.68</v>
      </c>
      <c r="C140" s="833" t="s">
        <v>31</v>
      </c>
      <c r="D140" s="386" t="s">
        <v>84</v>
      </c>
      <c r="E140" s="201" t="str">
        <f t="shared" si="3"/>
        <v>Program Administration</v>
      </c>
    </row>
    <row r="141" spans="1:5" x14ac:dyDescent="0.25">
      <c r="A141" s="197" t="s">
        <v>798</v>
      </c>
      <c r="B141" s="400">
        <v>156443.31</v>
      </c>
      <c r="C141" s="833" t="s">
        <v>31</v>
      </c>
      <c r="D141" s="383" t="s">
        <v>86</v>
      </c>
      <c r="E141" s="201" t="str">
        <f t="shared" si="3"/>
        <v>Program Administration</v>
      </c>
    </row>
    <row r="142" spans="1:5" x14ac:dyDescent="0.25">
      <c r="A142" s="197" t="s">
        <v>25</v>
      </c>
      <c r="B142" s="400">
        <v>17483.849999999999</v>
      </c>
      <c r="C142" s="833" t="s">
        <v>31</v>
      </c>
      <c r="D142" s="383" t="s">
        <v>25</v>
      </c>
      <c r="E142" s="201" t="str">
        <f t="shared" si="3"/>
        <v>Program Administration</v>
      </c>
    </row>
    <row r="143" spans="1:5" x14ac:dyDescent="0.25">
      <c r="A143" s="197" t="s">
        <v>799</v>
      </c>
      <c r="B143" s="400">
        <v>6166.87</v>
      </c>
      <c r="C143" s="833" t="s">
        <v>31</v>
      </c>
      <c r="D143" s="383" t="s">
        <v>25</v>
      </c>
      <c r="E143" s="201" t="str">
        <f t="shared" si="3"/>
        <v>Program Administration</v>
      </c>
    </row>
    <row r="144" spans="1:5" x14ac:dyDescent="0.25">
      <c r="A144" s="197" t="s">
        <v>800</v>
      </c>
      <c r="B144" s="400">
        <v>192158.8</v>
      </c>
      <c r="C144" s="833" t="s">
        <v>31</v>
      </c>
      <c r="D144" s="383" t="s">
        <v>25</v>
      </c>
      <c r="E144" s="201" t="str">
        <f t="shared" si="3"/>
        <v>Program Administration</v>
      </c>
    </row>
    <row r="145" spans="1:5" x14ac:dyDescent="0.25">
      <c r="A145" s="197" t="s">
        <v>801</v>
      </c>
      <c r="B145" s="400">
        <v>4312.87</v>
      </c>
      <c r="C145" s="833" t="s">
        <v>31</v>
      </c>
      <c r="D145" s="383" t="s">
        <v>75</v>
      </c>
      <c r="E145" s="201" t="str">
        <f t="shared" si="3"/>
        <v>Program Administration</v>
      </c>
    </row>
    <row r="146" spans="1:5" hidden="1" x14ac:dyDescent="0.25">
      <c r="B146" s="400"/>
      <c r="E146" s="201">
        <f t="shared" si="3"/>
        <v>0</v>
      </c>
    </row>
    <row r="147" spans="1:5" hidden="1" x14ac:dyDescent="0.25">
      <c r="A147" s="197" t="s">
        <v>802</v>
      </c>
      <c r="B147" s="400">
        <v>2939166.66</v>
      </c>
      <c r="C147" s="194" t="s">
        <v>387</v>
      </c>
      <c r="E147" s="201" t="str">
        <f t="shared" si="3"/>
        <v>Non-Reimbursable Costs (Adjustment to Expense)</v>
      </c>
    </row>
    <row r="148" spans="1:5" x14ac:dyDescent="0.25">
      <c r="A148" s="197" t="s">
        <v>803</v>
      </c>
      <c r="B148" s="400">
        <v>419400.16</v>
      </c>
      <c r="C148" s="194" t="s">
        <v>31</v>
      </c>
      <c r="D148" s="383" t="s">
        <v>76</v>
      </c>
      <c r="E148" s="201" t="str">
        <f t="shared" si="3"/>
        <v>Program Administration</v>
      </c>
    </row>
    <row r="149" spans="1:5" hidden="1" x14ac:dyDescent="0.25">
      <c r="A149" s="197" t="s">
        <v>804</v>
      </c>
      <c r="B149" s="400">
        <v>1544268.88</v>
      </c>
      <c r="C149" s="194" t="s">
        <v>387</v>
      </c>
      <c r="E149" s="201" t="str">
        <f t="shared" si="3"/>
        <v>Non-Reimbursable Costs (Adjustment to Expense)</v>
      </c>
    </row>
    <row r="150" spans="1:5" hidden="1" x14ac:dyDescent="0.25">
      <c r="B150" s="400"/>
      <c r="E150" s="201">
        <f t="shared" si="3"/>
        <v>0</v>
      </c>
    </row>
    <row r="151" spans="1:5" hidden="1" x14ac:dyDescent="0.25">
      <c r="B151" s="400"/>
      <c r="E151" s="201">
        <f t="shared" si="3"/>
        <v>0</v>
      </c>
    </row>
    <row r="152" spans="1:5" hidden="1" x14ac:dyDescent="0.25">
      <c r="B152" s="400"/>
      <c r="E152" s="201">
        <f t="shared" si="3"/>
        <v>0</v>
      </c>
    </row>
    <row r="153" spans="1:5" hidden="1" x14ac:dyDescent="0.25">
      <c r="B153" s="400"/>
      <c r="E153" s="201">
        <f t="shared" si="3"/>
        <v>0</v>
      </c>
    </row>
    <row r="154" spans="1:5" hidden="1" x14ac:dyDescent="0.25">
      <c r="B154" s="400"/>
      <c r="E154" s="201">
        <f t="shared" si="3"/>
        <v>0</v>
      </c>
    </row>
    <row r="155" spans="1:5" hidden="1" x14ac:dyDescent="0.25">
      <c r="B155" s="400"/>
      <c r="E155" s="201">
        <f t="shared" si="3"/>
        <v>0</v>
      </c>
    </row>
    <row r="156" spans="1:5" hidden="1" x14ac:dyDescent="0.25">
      <c r="B156" s="400"/>
      <c r="E156" s="201">
        <f t="shared" si="3"/>
        <v>0</v>
      </c>
    </row>
    <row r="157" spans="1:5" hidden="1" x14ac:dyDescent="0.25">
      <c r="B157" s="400"/>
      <c r="E157" s="201">
        <f t="shared" si="3"/>
        <v>0</v>
      </c>
    </row>
    <row r="158" spans="1:5" hidden="1" x14ac:dyDescent="0.25">
      <c r="B158" s="400"/>
      <c r="E158" s="201">
        <f t="shared" si="3"/>
        <v>0</v>
      </c>
    </row>
    <row r="159" spans="1:5" hidden="1" x14ac:dyDescent="0.25">
      <c r="B159" s="400"/>
      <c r="E159" s="201">
        <f t="shared" si="3"/>
        <v>0</v>
      </c>
    </row>
    <row r="160" spans="1:5" hidden="1" x14ac:dyDescent="0.25">
      <c r="B160" s="400"/>
      <c r="E160" s="201">
        <f t="shared" ref="E160:E223" si="4">C160</f>
        <v>0</v>
      </c>
    </row>
    <row r="161" spans="2:5" hidden="1" x14ac:dyDescent="0.25">
      <c r="B161" s="400"/>
      <c r="E161" s="201">
        <f t="shared" si="4"/>
        <v>0</v>
      </c>
    </row>
    <row r="162" spans="2:5" hidden="1" x14ac:dyDescent="0.25">
      <c r="B162" s="400"/>
      <c r="E162" s="201">
        <f t="shared" si="4"/>
        <v>0</v>
      </c>
    </row>
    <row r="163" spans="2:5" hidden="1" x14ac:dyDescent="0.25">
      <c r="B163" s="400"/>
      <c r="E163" s="201">
        <f t="shared" si="4"/>
        <v>0</v>
      </c>
    </row>
    <row r="164" spans="2:5" hidden="1" x14ac:dyDescent="0.25">
      <c r="B164" s="400"/>
      <c r="E164" s="201">
        <f t="shared" si="4"/>
        <v>0</v>
      </c>
    </row>
    <row r="165" spans="2:5" hidden="1" x14ac:dyDescent="0.25">
      <c r="B165" s="400"/>
      <c r="E165" s="201">
        <f t="shared" si="4"/>
        <v>0</v>
      </c>
    </row>
    <row r="166" spans="2:5" hidden="1" x14ac:dyDescent="0.25">
      <c r="B166" s="400"/>
      <c r="E166" s="201">
        <f t="shared" si="4"/>
        <v>0</v>
      </c>
    </row>
    <row r="167" spans="2:5" hidden="1" x14ac:dyDescent="0.25">
      <c r="B167" s="400"/>
      <c r="E167" s="201">
        <f t="shared" si="4"/>
        <v>0</v>
      </c>
    </row>
    <row r="168" spans="2:5" hidden="1" x14ac:dyDescent="0.25">
      <c r="B168" s="400"/>
      <c r="E168" s="201">
        <f t="shared" si="4"/>
        <v>0</v>
      </c>
    </row>
    <row r="169" spans="2:5" hidden="1" x14ac:dyDescent="0.25">
      <c r="B169" s="400"/>
      <c r="E169" s="201">
        <f t="shared" si="4"/>
        <v>0</v>
      </c>
    </row>
    <row r="170" spans="2:5" hidden="1" x14ac:dyDescent="0.25">
      <c r="B170" s="400"/>
      <c r="E170" s="201">
        <f t="shared" si="4"/>
        <v>0</v>
      </c>
    </row>
    <row r="171" spans="2:5" hidden="1" x14ac:dyDescent="0.25">
      <c r="B171" s="400"/>
      <c r="E171" s="201">
        <f t="shared" si="4"/>
        <v>0</v>
      </c>
    </row>
    <row r="172" spans="2:5" hidden="1" x14ac:dyDescent="0.25">
      <c r="B172" s="400"/>
      <c r="E172" s="201">
        <f t="shared" si="4"/>
        <v>0</v>
      </c>
    </row>
    <row r="173" spans="2:5" hidden="1" x14ac:dyDescent="0.25">
      <c r="B173" s="400"/>
      <c r="E173" s="201">
        <f t="shared" si="4"/>
        <v>0</v>
      </c>
    </row>
    <row r="174" spans="2:5" hidden="1" x14ac:dyDescent="0.25">
      <c r="B174" s="400"/>
      <c r="E174" s="201">
        <f t="shared" si="4"/>
        <v>0</v>
      </c>
    </row>
    <row r="175" spans="2:5" hidden="1" x14ac:dyDescent="0.25">
      <c r="B175" s="400"/>
      <c r="E175" s="201">
        <f t="shared" si="4"/>
        <v>0</v>
      </c>
    </row>
    <row r="176" spans="2:5" hidden="1" x14ac:dyDescent="0.25">
      <c r="B176" s="400"/>
      <c r="E176" s="201">
        <f t="shared" si="4"/>
        <v>0</v>
      </c>
    </row>
    <row r="177" spans="2:5" hidden="1" x14ac:dyDescent="0.25">
      <c r="B177" s="400"/>
      <c r="E177" s="201">
        <f t="shared" si="4"/>
        <v>0</v>
      </c>
    </row>
    <row r="178" spans="2:5" hidden="1" x14ac:dyDescent="0.25">
      <c r="B178" s="400"/>
      <c r="E178" s="201">
        <f t="shared" si="4"/>
        <v>0</v>
      </c>
    </row>
    <row r="179" spans="2:5" hidden="1" x14ac:dyDescent="0.25">
      <c r="B179" s="400"/>
      <c r="E179" s="201">
        <f t="shared" si="4"/>
        <v>0</v>
      </c>
    </row>
    <row r="180" spans="2:5" hidden="1" x14ac:dyDescent="0.25">
      <c r="B180" s="400"/>
      <c r="E180" s="201">
        <f t="shared" si="4"/>
        <v>0</v>
      </c>
    </row>
    <row r="181" spans="2:5" hidden="1" x14ac:dyDescent="0.25">
      <c r="B181" s="400"/>
      <c r="E181" s="201">
        <f t="shared" si="4"/>
        <v>0</v>
      </c>
    </row>
    <row r="182" spans="2:5" hidden="1" x14ac:dyDescent="0.25">
      <c r="B182" s="400"/>
      <c r="E182" s="201">
        <f t="shared" si="4"/>
        <v>0</v>
      </c>
    </row>
    <row r="183" spans="2:5" hidden="1" x14ac:dyDescent="0.25">
      <c r="B183" s="400"/>
      <c r="E183" s="201">
        <f t="shared" si="4"/>
        <v>0</v>
      </c>
    </row>
    <row r="184" spans="2:5" hidden="1" x14ac:dyDescent="0.25">
      <c r="B184" s="400"/>
      <c r="E184" s="201">
        <f t="shared" si="4"/>
        <v>0</v>
      </c>
    </row>
    <row r="185" spans="2:5" hidden="1" x14ac:dyDescent="0.25">
      <c r="B185" s="400"/>
      <c r="E185" s="201">
        <f t="shared" si="4"/>
        <v>0</v>
      </c>
    </row>
    <row r="186" spans="2:5" hidden="1" x14ac:dyDescent="0.25">
      <c r="B186" s="400"/>
      <c r="E186" s="201">
        <f t="shared" si="4"/>
        <v>0</v>
      </c>
    </row>
    <row r="187" spans="2:5" hidden="1" x14ac:dyDescent="0.25">
      <c r="B187" s="400"/>
      <c r="E187" s="201">
        <f t="shared" si="4"/>
        <v>0</v>
      </c>
    </row>
    <row r="188" spans="2:5" hidden="1" x14ac:dyDescent="0.25">
      <c r="B188" s="400"/>
      <c r="E188" s="201">
        <f t="shared" si="4"/>
        <v>0</v>
      </c>
    </row>
    <row r="189" spans="2:5" hidden="1" x14ac:dyDescent="0.25">
      <c r="B189" s="400"/>
      <c r="E189" s="201">
        <f t="shared" si="4"/>
        <v>0</v>
      </c>
    </row>
    <row r="190" spans="2:5" hidden="1" x14ac:dyDescent="0.25">
      <c r="B190" s="400"/>
      <c r="E190" s="201">
        <f t="shared" si="4"/>
        <v>0</v>
      </c>
    </row>
    <row r="191" spans="2:5" hidden="1" x14ac:dyDescent="0.25">
      <c r="B191" s="400"/>
      <c r="E191" s="201">
        <f t="shared" si="4"/>
        <v>0</v>
      </c>
    </row>
    <row r="192" spans="2:5" hidden="1" x14ac:dyDescent="0.25">
      <c r="B192" s="400"/>
      <c r="E192" s="201">
        <f t="shared" si="4"/>
        <v>0</v>
      </c>
    </row>
    <row r="193" spans="2:5" hidden="1" x14ac:dyDescent="0.25">
      <c r="B193" s="400"/>
      <c r="E193" s="201">
        <f t="shared" si="4"/>
        <v>0</v>
      </c>
    </row>
    <row r="194" spans="2:5" hidden="1" x14ac:dyDescent="0.25">
      <c r="B194" s="400"/>
      <c r="E194" s="201">
        <f t="shared" si="4"/>
        <v>0</v>
      </c>
    </row>
    <row r="195" spans="2:5" hidden="1" x14ac:dyDescent="0.25">
      <c r="B195" s="400"/>
      <c r="E195" s="201">
        <f t="shared" si="4"/>
        <v>0</v>
      </c>
    </row>
    <row r="196" spans="2:5" hidden="1" x14ac:dyDescent="0.25">
      <c r="B196" s="400"/>
      <c r="E196" s="201">
        <f t="shared" si="4"/>
        <v>0</v>
      </c>
    </row>
    <row r="197" spans="2:5" hidden="1" x14ac:dyDescent="0.25">
      <c r="B197" s="400"/>
      <c r="E197" s="201">
        <f t="shared" si="4"/>
        <v>0</v>
      </c>
    </row>
    <row r="198" spans="2:5" hidden="1" x14ac:dyDescent="0.25">
      <c r="B198" s="400"/>
      <c r="E198" s="201">
        <f t="shared" si="4"/>
        <v>0</v>
      </c>
    </row>
    <row r="199" spans="2:5" hidden="1" x14ac:dyDescent="0.25">
      <c r="B199" s="400"/>
      <c r="E199" s="201">
        <f t="shared" si="4"/>
        <v>0</v>
      </c>
    </row>
    <row r="200" spans="2:5" hidden="1" x14ac:dyDescent="0.25">
      <c r="B200" s="400"/>
      <c r="E200" s="201">
        <f t="shared" si="4"/>
        <v>0</v>
      </c>
    </row>
    <row r="201" spans="2:5" hidden="1" x14ac:dyDescent="0.25">
      <c r="B201" s="400"/>
      <c r="E201" s="201">
        <f t="shared" si="4"/>
        <v>0</v>
      </c>
    </row>
    <row r="202" spans="2:5" hidden="1" x14ac:dyDescent="0.25">
      <c r="B202" s="400"/>
      <c r="E202" s="201">
        <f t="shared" si="4"/>
        <v>0</v>
      </c>
    </row>
    <row r="203" spans="2:5" hidden="1" x14ac:dyDescent="0.25">
      <c r="B203" s="400"/>
      <c r="E203" s="201">
        <f t="shared" si="4"/>
        <v>0</v>
      </c>
    </row>
    <row r="204" spans="2:5" hidden="1" x14ac:dyDescent="0.25">
      <c r="B204" s="400"/>
      <c r="E204" s="201">
        <f t="shared" si="4"/>
        <v>0</v>
      </c>
    </row>
    <row r="205" spans="2:5" hidden="1" x14ac:dyDescent="0.25">
      <c r="B205" s="400"/>
      <c r="E205" s="201">
        <f t="shared" si="4"/>
        <v>0</v>
      </c>
    </row>
    <row r="206" spans="2:5" hidden="1" x14ac:dyDescent="0.25">
      <c r="B206" s="400"/>
      <c r="E206" s="201">
        <f t="shared" si="4"/>
        <v>0</v>
      </c>
    </row>
    <row r="207" spans="2:5" hidden="1" x14ac:dyDescent="0.25">
      <c r="B207" s="400"/>
      <c r="E207" s="201">
        <f t="shared" si="4"/>
        <v>0</v>
      </c>
    </row>
    <row r="208" spans="2:5" hidden="1" x14ac:dyDescent="0.25">
      <c r="B208" s="400"/>
      <c r="E208" s="201">
        <f t="shared" si="4"/>
        <v>0</v>
      </c>
    </row>
    <row r="209" spans="1:5" hidden="1" x14ac:dyDescent="0.25">
      <c r="B209" s="400"/>
      <c r="E209" s="201">
        <f t="shared" si="4"/>
        <v>0</v>
      </c>
    </row>
    <row r="210" spans="1:5" hidden="1" x14ac:dyDescent="0.25">
      <c r="B210" s="400"/>
      <c r="E210" s="201">
        <f t="shared" si="4"/>
        <v>0</v>
      </c>
    </row>
    <row r="211" spans="1:5" hidden="1" x14ac:dyDescent="0.25">
      <c r="B211" s="400"/>
      <c r="E211" s="201">
        <f t="shared" si="4"/>
        <v>0</v>
      </c>
    </row>
    <row r="212" spans="1:5" hidden="1" x14ac:dyDescent="0.25">
      <c r="B212" s="400"/>
      <c r="E212" s="201">
        <f t="shared" si="4"/>
        <v>0</v>
      </c>
    </row>
    <row r="213" spans="1:5" hidden="1" x14ac:dyDescent="0.25">
      <c r="B213" s="400"/>
      <c r="E213" s="201">
        <f t="shared" si="4"/>
        <v>0</v>
      </c>
    </row>
    <row r="214" spans="1:5" hidden="1" x14ac:dyDescent="0.25">
      <c r="B214" s="400"/>
      <c r="E214" s="201">
        <f t="shared" si="4"/>
        <v>0</v>
      </c>
    </row>
    <row r="215" spans="1:5" hidden="1" x14ac:dyDescent="0.25">
      <c r="B215" s="400"/>
      <c r="E215" s="201">
        <f t="shared" si="4"/>
        <v>0</v>
      </c>
    </row>
    <row r="216" spans="1:5" hidden="1" x14ac:dyDescent="0.25">
      <c r="B216" s="400"/>
      <c r="E216" s="201">
        <f t="shared" si="4"/>
        <v>0</v>
      </c>
    </row>
    <row r="217" spans="1:5" hidden="1" x14ac:dyDescent="0.25">
      <c r="B217" s="400"/>
      <c r="E217" s="201">
        <f t="shared" si="4"/>
        <v>0</v>
      </c>
    </row>
    <row r="218" spans="1:5" hidden="1" x14ac:dyDescent="0.25">
      <c r="B218" s="400"/>
      <c r="E218" s="201">
        <f t="shared" si="4"/>
        <v>0</v>
      </c>
    </row>
    <row r="219" spans="1:5" hidden="1" x14ac:dyDescent="0.25">
      <c r="B219" s="400"/>
      <c r="E219" s="201">
        <f t="shared" si="4"/>
        <v>0</v>
      </c>
    </row>
    <row r="220" spans="1:5" hidden="1" x14ac:dyDescent="0.25">
      <c r="B220" s="400"/>
      <c r="E220" s="201">
        <f t="shared" si="4"/>
        <v>0</v>
      </c>
    </row>
    <row r="221" spans="1:5" hidden="1" x14ac:dyDescent="0.25">
      <c r="B221" s="400"/>
      <c r="E221" s="201">
        <f t="shared" si="4"/>
        <v>0</v>
      </c>
    </row>
    <row r="222" spans="1:5" hidden="1" x14ac:dyDescent="0.25">
      <c r="B222" s="400"/>
      <c r="E222" s="201">
        <f t="shared" si="4"/>
        <v>0</v>
      </c>
    </row>
    <row r="223" spans="1:5" hidden="1" x14ac:dyDescent="0.25">
      <c r="B223" s="400"/>
      <c r="E223" s="201">
        <f t="shared" si="4"/>
        <v>0</v>
      </c>
    </row>
    <row r="224" spans="1:5" hidden="1" x14ac:dyDescent="0.25">
      <c r="A224" s="583">
        <f>SUM(B43:B223)</f>
        <v>305049664.01999998</v>
      </c>
      <c r="B224" s="400"/>
      <c r="E224" s="201">
        <f t="shared" ref="E224:E287" si="5">C224</f>
        <v>0</v>
      </c>
    </row>
    <row r="225" spans="1:5" hidden="1" x14ac:dyDescent="0.25">
      <c r="A225" s="583">
        <f>TB!J357</f>
        <v>0</v>
      </c>
      <c r="B225" s="400"/>
      <c r="E225" s="201">
        <f t="shared" si="5"/>
        <v>0</v>
      </c>
    </row>
    <row r="226" spans="1:5" hidden="1" x14ac:dyDescent="0.25">
      <c r="A226" s="583">
        <f>A224-A225</f>
        <v>305049664.01999998</v>
      </c>
      <c r="B226" s="400"/>
      <c r="E226" s="201">
        <f t="shared" si="5"/>
        <v>0</v>
      </c>
    </row>
    <row r="227" spans="1:5" x14ac:dyDescent="0.25">
      <c r="B227" s="400"/>
      <c r="E227" s="201">
        <f t="shared" si="5"/>
        <v>0</v>
      </c>
    </row>
    <row r="228" spans="1:5" x14ac:dyDescent="0.25">
      <c r="B228" s="400"/>
      <c r="E228" s="201">
        <f t="shared" si="5"/>
        <v>0</v>
      </c>
    </row>
    <row r="229" spans="1:5" x14ac:dyDescent="0.25">
      <c r="B229" s="400"/>
      <c r="E229" s="201">
        <f t="shared" si="5"/>
        <v>0</v>
      </c>
    </row>
    <row r="230" spans="1:5" x14ac:dyDescent="0.25">
      <c r="B230" s="400"/>
      <c r="E230" s="201">
        <f t="shared" si="5"/>
        <v>0</v>
      </c>
    </row>
    <row r="231" spans="1:5" x14ac:dyDescent="0.25">
      <c r="B231" s="400"/>
      <c r="E231" s="201">
        <f t="shared" si="5"/>
        <v>0</v>
      </c>
    </row>
    <row r="232" spans="1:5" x14ac:dyDescent="0.25">
      <c r="B232" s="400"/>
      <c r="E232" s="201">
        <f t="shared" si="5"/>
        <v>0</v>
      </c>
    </row>
    <row r="233" spans="1:5" x14ac:dyDescent="0.25">
      <c r="B233" s="400"/>
      <c r="E233" s="201">
        <f t="shared" si="5"/>
        <v>0</v>
      </c>
    </row>
    <row r="234" spans="1:5" x14ac:dyDescent="0.25">
      <c r="B234" s="400"/>
      <c r="E234" s="201">
        <f t="shared" si="5"/>
        <v>0</v>
      </c>
    </row>
    <row r="235" spans="1:5" x14ac:dyDescent="0.25">
      <c r="B235" s="400"/>
      <c r="E235" s="201">
        <f t="shared" si="5"/>
        <v>0</v>
      </c>
    </row>
    <row r="236" spans="1:5" x14ac:dyDescent="0.25">
      <c r="B236" s="400"/>
      <c r="E236" s="201">
        <f t="shared" si="5"/>
        <v>0</v>
      </c>
    </row>
    <row r="237" spans="1:5" x14ac:dyDescent="0.25">
      <c r="B237" s="400"/>
      <c r="E237" s="201">
        <f t="shared" si="5"/>
        <v>0</v>
      </c>
    </row>
    <row r="238" spans="1:5" x14ac:dyDescent="0.25">
      <c r="B238" s="400"/>
      <c r="E238" s="201">
        <f t="shared" si="5"/>
        <v>0</v>
      </c>
    </row>
    <row r="239" spans="1:5" x14ac:dyDescent="0.25">
      <c r="B239" s="400"/>
      <c r="E239" s="201">
        <f t="shared" si="5"/>
        <v>0</v>
      </c>
    </row>
    <row r="240" spans="1:5" x14ac:dyDescent="0.25">
      <c r="B240" s="400"/>
      <c r="E240" s="201">
        <f t="shared" si="5"/>
        <v>0</v>
      </c>
    </row>
    <row r="241" spans="2:5" x14ac:dyDescent="0.25">
      <c r="B241" s="400"/>
      <c r="E241" s="201">
        <f t="shared" si="5"/>
        <v>0</v>
      </c>
    </row>
    <row r="242" spans="2:5" x14ac:dyDescent="0.25">
      <c r="B242" s="400"/>
      <c r="E242" s="201">
        <f t="shared" si="5"/>
        <v>0</v>
      </c>
    </row>
    <row r="243" spans="2:5" x14ac:dyDescent="0.25">
      <c r="B243" s="400"/>
      <c r="E243" s="201">
        <f t="shared" si="5"/>
        <v>0</v>
      </c>
    </row>
    <row r="244" spans="2:5" x14ac:dyDescent="0.25">
      <c r="E244" s="201">
        <f t="shared" si="5"/>
        <v>0</v>
      </c>
    </row>
    <row r="245" spans="2:5" x14ac:dyDescent="0.25">
      <c r="E245" s="201">
        <f t="shared" si="5"/>
        <v>0</v>
      </c>
    </row>
    <row r="246" spans="2:5" x14ac:dyDescent="0.25">
      <c r="E246" s="201">
        <f t="shared" si="5"/>
        <v>0</v>
      </c>
    </row>
    <row r="247" spans="2:5" x14ac:dyDescent="0.25">
      <c r="E247" s="201">
        <f t="shared" si="5"/>
        <v>0</v>
      </c>
    </row>
    <row r="248" spans="2:5" x14ac:dyDescent="0.25">
      <c r="E248" s="201">
        <f t="shared" si="5"/>
        <v>0</v>
      </c>
    </row>
    <row r="249" spans="2:5" x14ac:dyDescent="0.25">
      <c r="E249" s="201">
        <f t="shared" si="5"/>
        <v>0</v>
      </c>
    </row>
    <row r="250" spans="2:5" x14ac:dyDescent="0.25">
      <c r="E250" s="201">
        <f t="shared" si="5"/>
        <v>0</v>
      </c>
    </row>
    <row r="251" spans="2:5" x14ac:dyDescent="0.25">
      <c r="E251" s="201">
        <f t="shared" si="5"/>
        <v>0</v>
      </c>
    </row>
    <row r="252" spans="2:5" x14ac:dyDescent="0.25">
      <c r="E252" s="201">
        <f t="shared" si="5"/>
        <v>0</v>
      </c>
    </row>
    <row r="253" spans="2:5" x14ac:dyDescent="0.25">
      <c r="E253" s="201">
        <f t="shared" si="5"/>
        <v>0</v>
      </c>
    </row>
    <row r="254" spans="2:5" x14ac:dyDescent="0.25">
      <c r="E254" s="201">
        <f t="shared" si="5"/>
        <v>0</v>
      </c>
    </row>
    <row r="255" spans="2:5" x14ac:dyDescent="0.25">
      <c r="E255" s="201">
        <f t="shared" si="5"/>
        <v>0</v>
      </c>
    </row>
    <row r="256" spans="2:5" x14ac:dyDescent="0.25">
      <c r="E256" s="201">
        <f t="shared" si="5"/>
        <v>0</v>
      </c>
    </row>
    <row r="257" spans="5:5" x14ac:dyDescent="0.25">
      <c r="E257" s="201">
        <f t="shared" si="5"/>
        <v>0</v>
      </c>
    </row>
    <row r="258" spans="5:5" x14ac:dyDescent="0.25">
      <c r="E258" s="201">
        <f t="shared" si="5"/>
        <v>0</v>
      </c>
    </row>
    <row r="259" spans="5:5" x14ac:dyDescent="0.25">
      <c r="E259" s="201">
        <f t="shared" si="5"/>
        <v>0</v>
      </c>
    </row>
    <row r="260" spans="5:5" x14ac:dyDescent="0.25">
      <c r="E260" s="201">
        <f t="shared" si="5"/>
        <v>0</v>
      </c>
    </row>
    <row r="261" spans="5:5" x14ac:dyDescent="0.25">
      <c r="E261" s="201">
        <f t="shared" si="5"/>
        <v>0</v>
      </c>
    </row>
    <row r="262" spans="5:5" x14ac:dyDescent="0.25">
      <c r="E262" s="201">
        <f t="shared" si="5"/>
        <v>0</v>
      </c>
    </row>
    <row r="263" spans="5:5" x14ac:dyDescent="0.25">
      <c r="E263" s="201">
        <f t="shared" si="5"/>
        <v>0</v>
      </c>
    </row>
    <row r="264" spans="5:5" x14ac:dyDescent="0.25">
      <c r="E264" s="201">
        <f t="shared" si="5"/>
        <v>0</v>
      </c>
    </row>
    <row r="265" spans="5:5" x14ac:dyDescent="0.25">
      <c r="E265" s="201">
        <f t="shared" si="5"/>
        <v>0</v>
      </c>
    </row>
    <row r="266" spans="5:5" x14ac:dyDescent="0.25">
      <c r="E266" s="201">
        <f t="shared" si="5"/>
        <v>0</v>
      </c>
    </row>
    <row r="267" spans="5:5" x14ac:dyDescent="0.25">
      <c r="E267" s="201">
        <f t="shared" si="5"/>
        <v>0</v>
      </c>
    </row>
    <row r="268" spans="5:5" x14ac:dyDescent="0.25">
      <c r="E268" s="201">
        <f t="shared" si="5"/>
        <v>0</v>
      </c>
    </row>
    <row r="269" spans="5:5" x14ac:dyDescent="0.25">
      <c r="E269" s="201">
        <f t="shared" si="5"/>
        <v>0</v>
      </c>
    </row>
    <row r="270" spans="5:5" x14ac:dyDescent="0.25">
      <c r="E270" s="201">
        <f t="shared" si="5"/>
        <v>0</v>
      </c>
    </row>
    <row r="271" spans="5:5" x14ac:dyDescent="0.25">
      <c r="E271" s="201">
        <f t="shared" si="5"/>
        <v>0</v>
      </c>
    </row>
    <row r="272" spans="5:5" x14ac:dyDescent="0.25">
      <c r="E272" s="201">
        <f t="shared" si="5"/>
        <v>0</v>
      </c>
    </row>
    <row r="273" spans="5:5" x14ac:dyDescent="0.25">
      <c r="E273" s="201">
        <f t="shared" si="5"/>
        <v>0</v>
      </c>
    </row>
    <row r="274" spans="5:5" x14ac:dyDescent="0.25">
      <c r="E274" s="201">
        <f t="shared" si="5"/>
        <v>0</v>
      </c>
    </row>
    <row r="275" spans="5:5" x14ac:dyDescent="0.25">
      <c r="E275" s="201">
        <f t="shared" si="5"/>
        <v>0</v>
      </c>
    </row>
    <row r="276" spans="5:5" x14ac:dyDescent="0.25">
      <c r="E276" s="201">
        <f t="shared" si="5"/>
        <v>0</v>
      </c>
    </row>
    <row r="277" spans="5:5" x14ac:dyDescent="0.25">
      <c r="E277" s="201">
        <f t="shared" si="5"/>
        <v>0</v>
      </c>
    </row>
    <row r="278" spans="5:5" x14ac:dyDescent="0.25">
      <c r="E278" s="201">
        <f t="shared" si="5"/>
        <v>0</v>
      </c>
    </row>
    <row r="279" spans="5:5" x14ac:dyDescent="0.25">
      <c r="E279" s="201">
        <f t="shared" si="5"/>
        <v>0</v>
      </c>
    </row>
    <row r="280" spans="5:5" x14ac:dyDescent="0.25">
      <c r="E280" s="201">
        <f t="shared" si="5"/>
        <v>0</v>
      </c>
    </row>
    <row r="281" spans="5:5" x14ac:dyDescent="0.25">
      <c r="E281" s="201">
        <f t="shared" si="5"/>
        <v>0</v>
      </c>
    </row>
    <row r="282" spans="5:5" x14ac:dyDescent="0.25">
      <c r="E282" s="201">
        <f t="shared" si="5"/>
        <v>0</v>
      </c>
    </row>
    <row r="283" spans="5:5" x14ac:dyDescent="0.25">
      <c r="E283" s="201">
        <f t="shared" si="5"/>
        <v>0</v>
      </c>
    </row>
    <row r="284" spans="5:5" x14ac:dyDescent="0.25">
      <c r="E284" s="201">
        <f t="shared" si="5"/>
        <v>0</v>
      </c>
    </row>
    <row r="285" spans="5:5" x14ac:dyDescent="0.25">
      <c r="E285" s="201">
        <f t="shared" si="5"/>
        <v>0</v>
      </c>
    </row>
    <row r="286" spans="5:5" x14ac:dyDescent="0.25">
      <c r="E286" s="201">
        <f t="shared" si="5"/>
        <v>0</v>
      </c>
    </row>
    <row r="287" spans="5:5" x14ac:dyDescent="0.25">
      <c r="E287" s="201">
        <f t="shared" si="5"/>
        <v>0</v>
      </c>
    </row>
    <row r="288" spans="5:5" x14ac:dyDescent="0.25">
      <c r="E288" s="201">
        <f t="shared" ref="E288:E299" si="6">C288</f>
        <v>0</v>
      </c>
    </row>
    <row r="289" spans="5:5" x14ac:dyDescent="0.25">
      <c r="E289" s="201">
        <f t="shared" si="6"/>
        <v>0</v>
      </c>
    </row>
    <row r="290" spans="5:5" x14ac:dyDescent="0.25">
      <c r="E290" s="201">
        <f t="shared" si="6"/>
        <v>0</v>
      </c>
    </row>
    <row r="291" spans="5:5" x14ac:dyDescent="0.25">
      <c r="E291" s="201">
        <f t="shared" si="6"/>
        <v>0</v>
      </c>
    </row>
    <row r="292" spans="5:5" x14ac:dyDescent="0.25">
      <c r="E292" s="201">
        <f t="shared" si="6"/>
        <v>0</v>
      </c>
    </row>
    <row r="293" spans="5:5" x14ac:dyDescent="0.25">
      <c r="E293" s="201">
        <f t="shared" si="6"/>
        <v>0</v>
      </c>
    </row>
    <row r="294" spans="5:5" x14ac:dyDescent="0.25">
      <c r="E294" s="201">
        <f t="shared" si="6"/>
        <v>0</v>
      </c>
    </row>
    <row r="295" spans="5:5" x14ac:dyDescent="0.25">
      <c r="E295" s="201">
        <f t="shared" si="6"/>
        <v>0</v>
      </c>
    </row>
    <row r="296" spans="5:5" x14ac:dyDescent="0.25">
      <c r="E296" s="201">
        <f t="shared" si="6"/>
        <v>0</v>
      </c>
    </row>
    <row r="297" spans="5:5" x14ac:dyDescent="0.25">
      <c r="E297" s="201">
        <f t="shared" si="6"/>
        <v>0</v>
      </c>
    </row>
    <row r="298" spans="5:5" x14ac:dyDescent="0.25">
      <c r="E298" s="201">
        <f t="shared" si="6"/>
        <v>0</v>
      </c>
    </row>
    <row r="299" spans="5:5" x14ac:dyDescent="0.25">
      <c r="E299" s="201">
        <f t="shared" si="6"/>
        <v>0</v>
      </c>
    </row>
  </sheetData>
  <autoFilter ref="A5:E226" xr:uid="{00000000-0009-0000-0000-000004000000}">
    <filterColumn colId="2">
      <filters>
        <filter val="Program Administration"/>
      </filters>
    </filterColumn>
  </autoFilter>
  <customSheetViews>
    <customSheetView guid="{DE5AAEC6-B417-4CB5-A2E1-8776196B56AA}" scale="80">
      <pageMargins left="0.7" right="0.7" top="0.75" bottom="0.75" header="0.3" footer="0.3"/>
      <pageSetup orientation="portrait" r:id="rId2"/>
    </customSheetView>
    <customSheetView guid="{3ACE1F12-3844-4D90-9B24-992DA32A7B7A}" scale="80">
      <pageMargins left="0.7" right="0.7" top="0.75" bottom="0.75" header="0.3" footer="0.3"/>
      <pageSetup orientation="portrait" r:id="rId3"/>
    </customSheetView>
  </customSheetViews>
  <mergeCells count="1">
    <mergeCell ref="K12:L12"/>
  </mergeCells>
  <conditionalFormatting sqref="A1">
    <cfRule type="containsText" dxfId="784" priority="4" operator="containsText" text="Entity Name">
      <formula>NOT(ISERROR(SEARCH("Entity Name",A1)))</formula>
    </cfRule>
  </conditionalFormatting>
  <conditionalFormatting sqref="A2">
    <cfRule type="containsText" dxfId="783" priority="3" operator="containsText" text="Year">
      <formula>NOT(ISERROR(SEARCH("Year",A2)))</formula>
    </cfRule>
  </conditionalFormatting>
  <conditionalFormatting sqref="I12">
    <cfRule type="cellIs" dxfId="782" priority="5" operator="lessThan">
      <formula>0.1</formula>
    </cfRule>
    <cfRule type="cellIs" dxfId="781" priority="6" operator="greaterThan">
      <formula>0.1</formula>
    </cfRule>
  </conditionalFormatting>
  <conditionalFormatting sqref="I16">
    <cfRule type="cellIs" dxfId="780" priority="7" operator="lessThan">
      <formula>0.1</formula>
    </cfRule>
    <cfRule type="cellIs" dxfId="779" priority="8" operator="greaterThan">
      <formula>0.1</formula>
    </cfRule>
  </conditionalFormatting>
  <conditionalFormatting sqref="I31">
    <cfRule type="cellIs" dxfId="778" priority="1" operator="lessThan">
      <formula>0.1</formula>
    </cfRule>
    <cfRule type="cellIs" dxfId="777" priority="2" operator="greaterThan">
      <formula>0.1</formula>
    </cfRule>
  </conditionalFormatting>
  <dataValidations count="4">
    <dataValidation type="list" allowBlank="1" showInputMessage="1" showErrorMessage="1" sqref="V5 V11" xr:uid="{00000000-0002-0000-0400-000001000000}">
      <formula1>#REF!</formula1>
    </dataValidation>
    <dataValidation type="list" allowBlank="1" showInputMessage="1" showErrorMessage="1" sqref="D42 D1:D4" xr:uid="{00000000-0002-0000-0400-000002000000}">
      <formula1>$F$36:$F$56</formula1>
    </dataValidation>
    <dataValidation type="list" allowBlank="1" showInputMessage="1" showErrorMessage="1" sqref="A20" xr:uid="{00000000-0002-0000-0400-000003000000}">
      <formula1>$V$5:$V$22</formula1>
    </dataValidation>
    <dataValidation type="list" allowBlank="1" showInputMessage="1" showErrorMessage="1" sqref="C42 C1:C4" xr:uid="{00000000-0002-0000-0400-000004000000}">
      <formula1>$V$4:$V$22</formula1>
    </dataValidation>
  </dataValidations>
  <pageMargins left="0.7" right="0.7" top="0.75" bottom="0.75" header="0.3" footer="0.3"/>
  <pageSetup orientation="portrait" r:id="rId4"/>
  <legacyDrawing r:id="rId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7C7D8F3-E61B-49A0-9691-266A7781948A}">
          <x14:formula1>
            <xm:f>'hide this'!$S:$S</xm:f>
          </x14:formula1>
          <xm:sqref>D6:D41 D43:D1048576</xm:sqref>
        </x14:dataValidation>
        <x14:dataValidation type="list" allowBlank="1" showInputMessage="1" showErrorMessage="1" xr:uid="{1A339126-B1ED-4AFB-AA8B-B29B26BB88BA}">
          <x14:formula1>
            <xm:f>'hide this'!$V:$V</xm:f>
          </x14:formula1>
          <xm:sqref>E6:E41 C6:C41 C43:C1048576 E43:E1048576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92D050"/>
  </sheetPr>
  <dimension ref="A1:AZ1264"/>
  <sheetViews>
    <sheetView workbookViewId="0"/>
  </sheetViews>
  <sheetFormatPr defaultColWidth="9.28515625" defaultRowHeight="15" x14ac:dyDescent="0.25"/>
  <cols>
    <col min="1" max="3" width="8" style="834" customWidth="1"/>
    <col min="4" max="4" width="12.28515625" style="172" bestFit="1" customWidth="1"/>
    <col min="5" max="6" width="23" style="172" customWidth="1"/>
    <col min="7" max="7" width="14.7109375" style="835" customWidth="1"/>
    <col min="8" max="8" width="14" style="835" bestFit="1" customWidth="1"/>
    <col min="9" max="9" width="16.28515625" style="836" bestFit="1" customWidth="1"/>
    <col min="10" max="10" width="16.42578125" style="837" bestFit="1" customWidth="1"/>
    <col min="11" max="11" width="10.28515625" style="201" customWidth="1"/>
    <col min="12" max="12" width="16" style="201" bestFit="1" customWidth="1"/>
    <col min="13" max="13" width="14.28515625" style="800" bestFit="1" customWidth="1"/>
    <col min="14" max="14" width="14.28515625" style="172" bestFit="1" customWidth="1"/>
    <col min="15" max="15" width="19" style="195" customWidth="1"/>
    <col min="16" max="16" width="19.28515625" style="172" bestFit="1" customWidth="1"/>
    <col min="17" max="17" width="15.28515625" style="202" customWidth="1"/>
    <col min="18" max="18" width="16.28515625" style="202" bestFit="1" customWidth="1"/>
    <col min="19" max="19" width="20.42578125" style="203" bestFit="1" customWidth="1"/>
    <col min="20" max="20" width="18.28515625" style="203" customWidth="1"/>
    <col min="21" max="21" width="15.7109375" style="172" bestFit="1" customWidth="1"/>
    <col min="22" max="22" width="28.28515625" style="172" bestFit="1" customWidth="1"/>
    <col min="23" max="25" width="14.28515625" style="172" customWidth="1"/>
    <col min="26" max="26" width="12.42578125" style="172" customWidth="1"/>
    <col min="27" max="27" width="11.7109375" style="172" customWidth="1"/>
    <col min="28" max="29" width="13.7109375" style="172" customWidth="1"/>
    <col min="30" max="30" width="13.7109375" style="172" bestFit="1" customWidth="1"/>
    <col min="31" max="31" width="26.28515625" style="172" bestFit="1" customWidth="1"/>
    <col min="32" max="32" width="16.42578125" style="172" bestFit="1" customWidth="1"/>
    <col min="33" max="33" width="17.28515625" style="172" customWidth="1"/>
    <col min="34" max="34" width="13.28515625" style="172" bestFit="1" customWidth="1"/>
    <col min="35" max="35" width="13.7109375" style="172" bestFit="1" customWidth="1"/>
    <col min="36" max="36" width="67" style="172" bestFit="1" customWidth="1"/>
    <col min="37" max="37" width="23.85546875" style="172" customWidth="1"/>
    <col min="38" max="38" width="11.140625" style="172" bestFit="1" customWidth="1"/>
    <col min="39" max="39" width="9.28515625" style="172"/>
    <col min="40" max="40" width="80.7109375" style="172" customWidth="1"/>
    <col min="41" max="41" width="62.28515625" style="172" customWidth="1"/>
    <col min="42" max="42" width="36.85546875" style="172" bestFit="1" customWidth="1"/>
    <col min="43" max="47" width="9.28515625" style="172"/>
    <col min="48" max="48" width="12.85546875" style="562" bestFit="1" customWidth="1"/>
    <col min="49" max="49" width="12.85546875" style="562" customWidth="1"/>
    <col min="50" max="16384" width="9.28515625" style="172"/>
  </cols>
  <sheetData>
    <row r="1" spans="1:52" ht="15.75" thickBot="1" x14ac:dyDescent="0.3">
      <c r="O1" s="201" t="s">
        <v>370</v>
      </c>
      <c r="P1" s="351">
        <f>SUM(G:G)</f>
        <v>11891178.100000001</v>
      </c>
      <c r="Q1" s="201" t="s">
        <v>371</v>
      </c>
      <c r="R1" s="351">
        <f>SUM(I:I)</f>
        <v>244677337.91</v>
      </c>
      <c r="S1" s="201" t="s">
        <v>372</v>
      </c>
      <c r="T1" s="352">
        <f>SUM(M:M)</f>
        <v>24623303.830000006</v>
      </c>
      <c r="U1" s="173"/>
    </row>
    <row r="2" spans="1:52" x14ac:dyDescent="0.25">
      <c r="B2" s="838"/>
      <c r="M2" s="201"/>
      <c r="O2" s="926" t="s">
        <v>384</v>
      </c>
      <c r="P2" s="926"/>
      <c r="Q2" s="926"/>
      <c r="R2" s="926"/>
      <c r="S2" s="926"/>
      <c r="U2" s="204"/>
      <c r="V2" s="205"/>
      <c r="W2" s="206"/>
      <c r="X2" s="206"/>
      <c r="Y2" s="206"/>
      <c r="Z2" s="206" t="s">
        <v>135</v>
      </c>
      <c r="AA2" s="206"/>
      <c r="AB2" s="206"/>
      <c r="AC2" s="206"/>
      <c r="AD2" s="206"/>
      <c r="AE2" s="206"/>
      <c r="AF2" s="206"/>
      <c r="AG2" s="205"/>
      <c r="AH2" s="205"/>
      <c r="AI2" s="555"/>
      <c r="AM2" s="201"/>
    </row>
    <row r="3" spans="1:52" x14ac:dyDescent="0.25">
      <c r="B3" s="838"/>
      <c r="M3" s="201"/>
      <c r="O3" s="195">
        <v>0</v>
      </c>
      <c r="P3" s="358">
        <f>P1-P91</f>
        <v>0</v>
      </c>
      <c r="R3" s="358">
        <f>R1-R91</f>
        <v>0</v>
      </c>
      <c r="T3" s="203">
        <f>T1-T91</f>
        <v>0</v>
      </c>
      <c r="U3" s="208"/>
      <c r="AM3" s="201"/>
    </row>
    <row r="4" spans="1:52" ht="15.75" thickBot="1" x14ac:dyDescent="0.3">
      <c r="B4" s="838"/>
      <c r="M4" s="201"/>
      <c r="O4" s="210"/>
      <c r="Q4" s="211"/>
      <c r="R4" s="211"/>
      <c r="U4" s="208"/>
      <c r="V4" s="212" t="s">
        <v>15</v>
      </c>
      <c r="AL4" s="274"/>
      <c r="AM4" s="201"/>
      <c r="AO4"/>
      <c r="AQ4" s="172" t="s">
        <v>286</v>
      </c>
      <c r="AR4" s="172" t="s">
        <v>382</v>
      </c>
      <c r="AV4" s="172" t="s">
        <v>286</v>
      </c>
      <c r="AW4" s="172" t="s">
        <v>382</v>
      </c>
      <c r="AY4" s="172" t="s">
        <v>286</v>
      </c>
      <c r="AZ4" s="172" t="s">
        <v>382</v>
      </c>
    </row>
    <row r="5" spans="1:52" x14ac:dyDescent="0.25">
      <c r="A5" s="838"/>
      <c r="B5" s="839"/>
      <c r="C5" s="839"/>
      <c r="D5" s="201"/>
      <c r="E5" s="275" t="s">
        <v>395</v>
      </c>
      <c r="F5" s="272" t="s">
        <v>288</v>
      </c>
      <c r="G5" s="840" t="s">
        <v>289</v>
      </c>
      <c r="H5" s="840" t="s">
        <v>429</v>
      </c>
      <c r="I5" s="537" t="s">
        <v>169</v>
      </c>
      <c r="J5" s="537"/>
      <c r="K5" s="272"/>
      <c r="L5" s="272" t="s">
        <v>164</v>
      </c>
      <c r="M5" s="272" t="s">
        <v>290</v>
      </c>
      <c r="O5" s="922" t="s">
        <v>136</v>
      </c>
      <c r="P5" s="923"/>
      <c r="Q5" s="924"/>
      <c r="R5" s="213"/>
      <c r="U5" s="208"/>
      <c r="V5" s="214" t="s">
        <v>356</v>
      </c>
      <c r="W5" s="332" t="s">
        <v>373</v>
      </c>
      <c r="X5" s="214" t="s">
        <v>358</v>
      </c>
      <c r="Y5" s="214" t="s">
        <v>109</v>
      </c>
      <c r="Z5" s="214" t="s">
        <v>111</v>
      </c>
      <c r="AA5" s="214" t="s">
        <v>469</v>
      </c>
      <c r="AB5" s="201" t="s">
        <v>470</v>
      </c>
      <c r="AC5" s="214" t="s">
        <v>357</v>
      </c>
      <c r="AD5" s="201" t="s">
        <v>471</v>
      </c>
      <c r="AE5" s="201" t="s">
        <v>472</v>
      </c>
      <c r="AF5" s="214" t="s">
        <v>110</v>
      </c>
      <c r="AG5" s="235" t="s">
        <v>116</v>
      </c>
      <c r="AH5" s="214" t="s">
        <v>112</v>
      </c>
      <c r="AI5" s="214" t="s">
        <v>113</v>
      </c>
      <c r="AJ5" s="214" t="s">
        <v>114</v>
      </c>
      <c r="AK5" s="214" t="s">
        <v>115</v>
      </c>
      <c r="AM5" s="275"/>
      <c r="AN5"/>
      <c r="AO5" s="619">
        <f>AQ5/AR5</f>
        <v>19.773934553616382</v>
      </c>
      <c r="AP5" s="214" t="s">
        <v>356</v>
      </c>
      <c r="AQ5">
        <f>SUMIF(E:E,AP5,I:I)</f>
        <v>219451093.84</v>
      </c>
      <c r="AR5">
        <f>SUMIF(E:E,AP5,G:G)</f>
        <v>11097998.390000001</v>
      </c>
      <c r="AT5">
        <f>SUMIF(K:K,AP16,M:M)</f>
        <v>0</v>
      </c>
      <c r="AU5" s="172" t="s">
        <v>20</v>
      </c>
      <c r="AV5" s="562">
        <f t="shared" ref="AV5:AV10" si="0">SUMIF(A:A,AU5,J:J)</f>
        <v>141225953.77999997</v>
      </c>
      <c r="AW5" s="321">
        <f>SUMIF(A:A,AU5,H:H)</f>
        <v>7252607.6699999999</v>
      </c>
      <c r="AX5" s="172" t="s">
        <v>165</v>
      </c>
      <c r="AY5" s="172">
        <f>SUMIF(C:C,AX5,J:J)</f>
        <v>215667864.03999996</v>
      </c>
      <c r="AZ5" s="172">
        <f>SUMIF(C:C,AX5,H:H)</f>
        <v>11142243.98</v>
      </c>
    </row>
    <row r="6" spans="1:52" x14ac:dyDescent="0.25">
      <c r="A6" s="841"/>
      <c r="B6" s="841" t="s">
        <v>523</v>
      </c>
      <c r="C6" s="841"/>
      <c r="D6" s="842"/>
      <c r="E6" s="387" t="s">
        <v>472</v>
      </c>
      <c r="F6" s="387" t="s">
        <v>806</v>
      </c>
      <c r="G6" s="387">
        <v>0</v>
      </c>
      <c r="H6" s="843"/>
      <c r="I6" s="577">
        <v>2905</v>
      </c>
      <c r="J6" s="577"/>
      <c r="K6" s="387" t="s">
        <v>114</v>
      </c>
      <c r="L6" s="387" t="s">
        <v>807</v>
      </c>
      <c r="M6" s="577">
        <v>152</v>
      </c>
      <c r="N6" s="844"/>
      <c r="O6" s="208"/>
      <c r="Q6" s="209"/>
      <c r="R6" s="172"/>
      <c r="T6" s="215">
        <f t="shared" ref="T6:T20" si="1">SUM(V6:AF6)</f>
        <v>74441910.25999999</v>
      </c>
      <c r="U6" s="208"/>
      <c r="V6" s="174">
        <f t="shared" ref="V6:AH6" si="2">SUMIFS($I:$I,$B:$B,$V$4,$E:$E,V5)</f>
        <v>70530391.739999995</v>
      </c>
      <c r="W6" s="174">
        <f>SUMIFS($I:$I,$B:$B,$V$4,$E:$E,W5)</f>
        <v>1586034.14</v>
      </c>
      <c r="X6" s="174">
        <f>SUMIFS($I:$I,$B:$B,$V$4,$E:$E,X5)</f>
        <v>0</v>
      </c>
      <c r="Y6" s="174">
        <f>SUMIFS($I:$I,$B:$B,$V$4,$E:$E,Y5)</f>
        <v>2021422.6</v>
      </c>
      <c r="Z6" s="174">
        <f>SUMIFS($I:$I,$B:$B,$V$4,$E:$E,Z5)</f>
        <v>231745.75</v>
      </c>
      <c r="AA6" s="174">
        <f t="shared" ref="AA6:AE6" si="3">SUMIFS($I:$I,$B:$B,$V$4,$E:$E,AA5)</f>
        <v>70336.03</v>
      </c>
      <c r="AB6" s="174">
        <f t="shared" si="3"/>
        <v>0</v>
      </c>
      <c r="AC6" s="174">
        <f t="shared" si="3"/>
        <v>0</v>
      </c>
      <c r="AD6" s="174">
        <f t="shared" si="3"/>
        <v>0</v>
      </c>
      <c r="AE6" s="174">
        <f t="shared" si="3"/>
        <v>1980</v>
      </c>
      <c r="AF6" s="174">
        <f t="shared" si="2"/>
        <v>0</v>
      </c>
      <c r="AG6" s="290">
        <f>SUM(V6:AF6)</f>
        <v>74441910.25999999</v>
      </c>
      <c r="AH6" s="174">
        <f t="shared" si="2"/>
        <v>0</v>
      </c>
      <c r="AI6" s="174">
        <f>SUMIFS($M:$M,$B:$B,$V$4,$K:$K,AI5)</f>
        <v>5680760.9699999997</v>
      </c>
      <c r="AJ6" s="174">
        <f ca="1">SUMIFS($M:$M,$B:$B,$V$4,$K:$K,AJ5)+R52</f>
        <v>2417944.7313704686</v>
      </c>
      <c r="AK6" s="174">
        <f ca="1">+R46</f>
        <v>1796968.6631396641</v>
      </c>
      <c r="AL6" s="174">
        <f ca="1">SUM(AG6:AK6)</f>
        <v>84337584.624510124</v>
      </c>
      <c r="AN6"/>
      <c r="AO6" s="619">
        <f t="shared" ref="AO6:AO16" si="4">AQ6/AR6</f>
        <v>28.219238186584782</v>
      </c>
      <c r="AP6" s="332" t="s">
        <v>373</v>
      </c>
      <c r="AQ6">
        <f t="shared" ref="AQ6:AQ15" si="5">SUMIF(E:E,AP6,I:I)</f>
        <v>10756459.649999999</v>
      </c>
      <c r="AR6">
        <f t="shared" ref="AR6:AR15" si="6">SUMIF(E:E,AP6,G:G)</f>
        <v>381174.7</v>
      </c>
      <c r="AS6" s="214" t="s">
        <v>113</v>
      </c>
      <c r="AT6">
        <f>SUMIF(K:K,AS6,M:M)</f>
        <v>18435087.790000003</v>
      </c>
      <c r="AU6" s="172" t="s">
        <v>15</v>
      </c>
      <c r="AV6" s="562">
        <f t="shared" si="0"/>
        <v>74441910.259999976</v>
      </c>
      <c r="AW6" s="321">
        <f t="shared" ref="AW6:AW7" si="7">SUMIF(A:A,AU6,H:H)</f>
        <v>3889636.3100000005</v>
      </c>
      <c r="AX6" s="172" t="s">
        <v>291</v>
      </c>
      <c r="AY6" s="172">
        <f>SUMIF(C:C,AX6,J:J)</f>
        <v>27754659.869999997</v>
      </c>
      <c r="AZ6" s="172">
        <f t="shared" ref="AZ6:AZ8" si="8">SUMIF(C:C,AX6,H:H)</f>
        <v>738027.12</v>
      </c>
    </row>
    <row r="7" spans="1:52" x14ac:dyDescent="0.25">
      <c r="A7" s="841"/>
      <c r="B7" s="841" t="s">
        <v>523</v>
      </c>
      <c r="C7" s="841"/>
      <c r="D7" s="842"/>
      <c r="E7" s="387" t="s">
        <v>110</v>
      </c>
      <c r="F7" s="387" t="s">
        <v>808</v>
      </c>
      <c r="G7" s="387">
        <v>39</v>
      </c>
      <c r="H7" s="845"/>
      <c r="I7" s="577">
        <v>754</v>
      </c>
      <c r="J7" s="577"/>
      <c r="K7" s="387" t="s">
        <v>113</v>
      </c>
      <c r="L7" s="387" t="s">
        <v>809</v>
      </c>
      <c r="M7" s="577">
        <v>535.76</v>
      </c>
      <c r="N7" s="578"/>
      <c r="O7" s="273" t="s">
        <v>165</v>
      </c>
      <c r="P7" s="216">
        <f t="shared" ref="P7:P12" ca="1" si="9">SUMIF(C:I,O7,J:J)</f>
        <v>215667864.03999996</v>
      </c>
      <c r="Q7" s="641">
        <f ca="1">+P7/$P$17</f>
        <v>0.8859815458972824</v>
      </c>
      <c r="R7" s="172"/>
      <c r="T7" s="203">
        <f t="shared" si="1"/>
        <v>0</v>
      </c>
      <c r="U7" s="208"/>
      <c r="AG7" s="290"/>
      <c r="AM7" s="275"/>
      <c r="AN7"/>
      <c r="AO7" s="619">
        <f t="shared" si="4"/>
        <v>18.461392124916419</v>
      </c>
      <c r="AP7" s="214" t="s">
        <v>358</v>
      </c>
      <c r="AQ7">
        <f t="shared" si="5"/>
        <v>19602.86</v>
      </c>
      <c r="AR7">
        <f t="shared" si="6"/>
        <v>1061.83</v>
      </c>
      <c r="AS7" s="214" t="s">
        <v>114</v>
      </c>
      <c r="AT7">
        <f>SUMIF(K:K,AS7,M:M)</f>
        <v>6188216.0399999982</v>
      </c>
      <c r="AU7" s="172" t="s">
        <v>16</v>
      </c>
      <c r="AV7" s="562">
        <f t="shared" si="0"/>
        <v>27754659.869999997</v>
      </c>
      <c r="AW7" s="321">
        <f t="shared" si="7"/>
        <v>738027.12</v>
      </c>
      <c r="AX7" s="274" t="s">
        <v>19</v>
      </c>
      <c r="AY7" s="172">
        <f>SUMIF(C:C,AX7,J:J)</f>
        <v>1176085</v>
      </c>
      <c r="AZ7" s="172">
        <f t="shared" si="8"/>
        <v>9063.75</v>
      </c>
    </row>
    <row r="8" spans="1:52" x14ac:dyDescent="0.25">
      <c r="A8" s="841"/>
      <c r="B8" s="841" t="s">
        <v>523</v>
      </c>
      <c r="C8" s="841"/>
      <c r="D8" s="842"/>
      <c r="E8" s="387" t="s">
        <v>110</v>
      </c>
      <c r="F8" s="387" t="s">
        <v>810</v>
      </c>
      <c r="G8" s="387">
        <v>0</v>
      </c>
      <c r="I8" s="577">
        <v>3000</v>
      </c>
      <c r="J8" s="577"/>
      <c r="K8" s="387" t="s">
        <v>114</v>
      </c>
      <c r="L8" s="387" t="s">
        <v>811</v>
      </c>
      <c r="M8" s="577">
        <v>221.59</v>
      </c>
      <c r="N8" s="580"/>
      <c r="O8" s="273" t="s">
        <v>291</v>
      </c>
      <c r="P8" s="216">
        <f t="shared" ca="1" si="9"/>
        <v>27754659.869999997</v>
      </c>
      <c r="Q8" s="641">
        <f t="shared" ref="Q8:Q12" ca="1" si="10">+P8/$P$17</f>
        <v>0.11401845410271755</v>
      </c>
      <c r="R8" s="172"/>
      <c r="T8" s="203">
        <f t="shared" si="1"/>
        <v>0</v>
      </c>
      <c r="U8" s="278" t="s">
        <v>16</v>
      </c>
      <c r="V8" s="218" t="s">
        <v>137</v>
      </c>
      <c r="AG8" s="290"/>
      <c r="AM8" s="275"/>
      <c r="AN8"/>
      <c r="AO8" s="619">
        <f t="shared" si="4"/>
        <v>28.143987310586848</v>
      </c>
      <c r="AP8" s="214" t="s">
        <v>109</v>
      </c>
      <c r="AQ8">
        <f t="shared" si="5"/>
        <v>5183523.8400000008</v>
      </c>
      <c r="AR8">
        <f t="shared" si="6"/>
        <v>184178.72999999998</v>
      </c>
      <c r="AT8">
        <f>SUMIF(K:K,AP17,M:M)</f>
        <v>0</v>
      </c>
      <c r="AU8" s="172" t="s">
        <v>19</v>
      </c>
      <c r="AV8" s="562">
        <f t="shared" si="0"/>
        <v>1176085</v>
      </c>
      <c r="AW8" s="321">
        <f>SUMIF(A:A,AU8,H:H)</f>
        <v>9063.75</v>
      </c>
      <c r="AX8" s="172" t="s">
        <v>292</v>
      </c>
      <c r="AY8" s="172">
        <f>SUMIF(C:C,AX8,J:J)</f>
        <v>0</v>
      </c>
      <c r="AZ8" s="172">
        <f t="shared" si="8"/>
        <v>0</v>
      </c>
    </row>
    <row r="9" spans="1:52" x14ac:dyDescent="0.25">
      <c r="A9" s="841"/>
      <c r="B9" s="841" t="s">
        <v>523</v>
      </c>
      <c r="C9" s="841"/>
      <c r="D9" s="842"/>
      <c r="E9" s="846" t="s">
        <v>356</v>
      </c>
      <c r="F9" s="387" t="s">
        <v>812</v>
      </c>
      <c r="G9" s="387">
        <v>628.11</v>
      </c>
      <c r="I9" s="577">
        <v>122366.77</v>
      </c>
      <c r="J9" s="577"/>
      <c r="K9" s="387" t="s">
        <v>114</v>
      </c>
      <c r="L9" s="387" t="s">
        <v>813</v>
      </c>
      <c r="M9" s="577">
        <v>26.82</v>
      </c>
      <c r="N9" s="580"/>
      <c r="O9" s="208" t="s">
        <v>19</v>
      </c>
      <c r="P9" s="216">
        <f t="shared" ca="1" si="9"/>
        <v>1176085</v>
      </c>
      <c r="Q9" s="641"/>
      <c r="R9" s="174"/>
      <c r="T9" s="203">
        <f t="shared" si="1"/>
        <v>0</v>
      </c>
      <c r="U9" s="208"/>
      <c r="V9" s="214" t="s">
        <v>356</v>
      </c>
      <c r="W9" s="332" t="s">
        <v>373</v>
      </c>
      <c r="X9" s="214" t="s">
        <v>358</v>
      </c>
      <c r="Y9" s="214" t="s">
        <v>109</v>
      </c>
      <c r="Z9" s="214" t="s">
        <v>111</v>
      </c>
      <c r="AA9" s="214" t="s">
        <v>469</v>
      </c>
      <c r="AB9" s="201" t="s">
        <v>470</v>
      </c>
      <c r="AC9" s="214" t="s">
        <v>357</v>
      </c>
      <c r="AD9" s="201" t="s">
        <v>471</v>
      </c>
      <c r="AE9" s="201" t="s">
        <v>472</v>
      </c>
      <c r="AF9" s="214" t="s">
        <v>110</v>
      </c>
      <c r="AG9" s="235" t="s">
        <v>116</v>
      </c>
      <c r="AH9" s="214" t="s">
        <v>112</v>
      </c>
      <c r="AI9" s="214" t="s">
        <v>113</v>
      </c>
      <c r="AJ9" s="214" t="s">
        <v>114</v>
      </c>
      <c r="AK9" s="214" t="s">
        <v>115</v>
      </c>
      <c r="AN9"/>
      <c r="AO9" s="619">
        <f t="shared" si="4"/>
        <v>19.070560046687909</v>
      </c>
      <c r="AP9" s="214" t="s">
        <v>111</v>
      </c>
      <c r="AQ9">
        <f t="shared" si="5"/>
        <v>3434406.67</v>
      </c>
      <c r="AR9">
        <f t="shared" si="6"/>
        <v>180089.45</v>
      </c>
      <c r="AU9" s="172" t="s">
        <v>292</v>
      </c>
      <c r="AV9" s="562">
        <f t="shared" si="0"/>
        <v>0</v>
      </c>
      <c r="AW9" s="321">
        <f>SUMIF(A:A,AU9,H:H)</f>
        <v>0</v>
      </c>
      <c r="AZ9" s="174">
        <f>SUM(AZ5:AZ8)-P1</f>
        <v>-1843.2500000018626</v>
      </c>
    </row>
    <row r="10" spans="1:52" x14ac:dyDescent="0.25">
      <c r="A10" s="841"/>
      <c r="B10" s="841" t="s">
        <v>523</v>
      </c>
      <c r="C10" s="841"/>
      <c r="D10" s="842"/>
      <c r="E10" s="387"/>
      <c r="F10" s="387"/>
      <c r="G10" s="387"/>
      <c r="I10" s="577"/>
      <c r="J10" s="577"/>
      <c r="K10" s="387" t="s">
        <v>114</v>
      </c>
      <c r="L10" s="387" t="s">
        <v>814</v>
      </c>
      <c r="M10" s="577">
        <v>985.57</v>
      </c>
      <c r="N10" s="580"/>
      <c r="O10" s="274" t="s">
        <v>418</v>
      </c>
      <c r="P10" s="216">
        <f t="shared" ca="1" si="9"/>
        <v>0</v>
      </c>
      <c r="Q10" s="641"/>
      <c r="R10" s="172"/>
      <c r="T10" s="215">
        <f t="shared" si="1"/>
        <v>9726902.8992604036</v>
      </c>
      <c r="U10" s="208"/>
      <c r="V10" s="174">
        <f t="shared" ref="V10:AF10" si="11">SUM(SUMIFS($I:$I,$B:$B,$U$8,$E:$E,V9)*$P$33)</f>
        <v>7530672.4965481507</v>
      </c>
      <c r="W10" s="174">
        <f t="shared" si="11"/>
        <v>149595.61405791706</v>
      </c>
      <c r="X10" s="174">
        <f t="shared" si="11"/>
        <v>0</v>
      </c>
      <c r="Y10" s="174">
        <f t="shared" si="11"/>
        <v>0</v>
      </c>
      <c r="Z10" s="174">
        <f t="shared" si="11"/>
        <v>319377.61492347805</v>
      </c>
      <c r="AA10" s="174">
        <f t="shared" si="11"/>
        <v>1314.8915230332857</v>
      </c>
      <c r="AB10" s="174">
        <f t="shared" si="11"/>
        <v>185.04297133760889</v>
      </c>
      <c r="AC10" s="174">
        <f t="shared" si="11"/>
        <v>0</v>
      </c>
      <c r="AD10" s="174">
        <f t="shared" si="11"/>
        <v>0</v>
      </c>
      <c r="AE10" s="174">
        <f t="shared" si="11"/>
        <v>95707.168641264419</v>
      </c>
      <c r="AF10" s="174">
        <f t="shared" si="11"/>
        <v>1630050.070595223</v>
      </c>
      <c r="AG10" s="290">
        <f>SUM(V10:AF10)</f>
        <v>9726902.8992604036</v>
      </c>
      <c r="AH10" s="174">
        <f>SUMIFS($I:$I,$B:$B,$U$8,$E:$E,AH9)*$P$33</f>
        <v>0</v>
      </c>
      <c r="AI10" s="174">
        <f>SUMIFS($M:$M,$B:$B,$U$8,$K:$K,AI9)*P33</f>
        <v>676344.09504130087</v>
      </c>
      <c r="AJ10" s="174">
        <f ca="1">SUMIFS($M:$M,$B:$B,$U$8,$K:$K,AJ9)*P33+R53</f>
        <v>196157.97193179259</v>
      </c>
      <c r="AK10" s="172">
        <f ca="1">+R47</f>
        <v>11177.705632936286</v>
      </c>
      <c r="AL10" s="174">
        <f ca="1">SUM(AG10:AK10)</f>
        <v>10610582.671866434</v>
      </c>
      <c r="AN10"/>
      <c r="AO10" s="619">
        <f t="shared" si="4"/>
        <v>31.84020972816004</v>
      </c>
      <c r="AP10" s="214" t="s">
        <v>469</v>
      </c>
      <c r="AQ10">
        <f t="shared" si="5"/>
        <v>197361.54</v>
      </c>
      <c r="AR10">
        <f t="shared" si="6"/>
        <v>6198.5</v>
      </c>
      <c r="AU10" s="172" t="str">
        <f>O11</f>
        <v>PDN</v>
      </c>
      <c r="AV10" s="562">
        <f t="shared" si="0"/>
        <v>78729</v>
      </c>
      <c r="AW10" s="321">
        <f>SUMIF(A:A,AU10,H:H)</f>
        <v>1843.25</v>
      </c>
    </row>
    <row r="11" spans="1:52" x14ac:dyDescent="0.25">
      <c r="A11" s="841"/>
      <c r="B11" s="841" t="s">
        <v>523</v>
      </c>
      <c r="C11" s="841"/>
      <c r="D11" s="842"/>
      <c r="E11" s="387"/>
      <c r="F11" s="387"/>
      <c r="G11" s="387"/>
      <c r="I11" s="577"/>
      <c r="J11" s="577"/>
      <c r="K11" s="387" t="s">
        <v>113</v>
      </c>
      <c r="L11" s="847" t="s">
        <v>815</v>
      </c>
      <c r="M11" s="577">
        <v>2290.89</v>
      </c>
      <c r="N11" s="580"/>
      <c r="O11" s="274" t="s">
        <v>519</v>
      </c>
      <c r="P11" s="216">
        <f t="shared" ca="1" si="9"/>
        <v>78729</v>
      </c>
      <c r="Q11" s="641"/>
      <c r="R11" s="172"/>
      <c r="T11" s="203">
        <f t="shared" si="1"/>
        <v>0</v>
      </c>
      <c r="U11" s="208"/>
      <c r="V11" s="212" t="s">
        <v>20</v>
      </c>
      <c r="AG11" s="290"/>
      <c r="AN11"/>
      <c r="AO11" s="619">
        <f t="shared" si="4"/>
        <v>22</v>
      </c>
      <c r="AP11" s="201" t="s">
        <v>470</v>
      </c>
      <c r="AQ11">
        <f t="shared" si="5"/>
        <v>528</v>
      </c>
      <c r="AR11">
        <f t="shared" si="6"/>
        <v>24</v>
      </c>
      <c r="AU11" s="172" t="s">
        <v>20</v>
      </c>
      <c r="AV11" s="562">
        <f>SUMIF(B:B,AU11,I:I)</f>
        <v>141225953.78</v>
      </c>
      <c r="AW11" s="321">
        <f>SUMIF(B:B,AU11,G:G)</f>
        <v>7252607.6700000018</v>
      </c>
    </row>
    <row r="12" spans="1:52" x14ac:dyDescent="0.25">
      <c r="A12" s="841"/>
      <c r="B12" s="841" t="s">
        <v>523</v>
      </c>
      <c r="C12" s="841"/>
      <c r="D12" s="842"/>
      <c r="E12" s="387"/>
      <c r="F12" s="387"/>
      <c r="G12" s="387"/>
      <c r="I12" s="577"/>
      <c r="J12" s="577"/>
      <c r="K12" s="579"/>
      <c r="L12" s="847"/>
      <c r="M12" s="577"/>
      <c r="N12" s="580"/>
      <c r="O12" s="563" t="s">
        <v>292</v>
      </c>
      <c r="P12" s="216">
        <f t="shared" ca="1" si="9"/>
        <v>0</v>
      </c>
      <c r="Q12" s="641">
        <f t="shared" ca="1" si="10"/>
        <v>0</v>
      </c>
      <c r="R12" s="172"/>
      <c r="T12" s="203">
        <f t="shared" si="1"/>
        <v>0</v>
      </c>
      <c r="U12" s="208"/>
      <c r="V12" s="214" t="s">
        <v>356</v>
      </c>
      <c r="W12" s="332" t="s">
        <v>373</v>
      </c>
      <c r="X12" s="214" t="s">
        <v>358</v>
      </c>
      <c r="Y12" s="214" t="s">
        <v>109</v>
      </c>
      <c r="Z12" s="214" t="s">
        <v>111</v>
      </c>
      <c r="AA12" s="214" t="s">
        <v>469</v>
      </c>
      <c r="AB12" s="201" t="s">
        <v>470</v>
      </c>
      <c r="AC12" s="214" t="s">
        <v>357</v>
      </c>
      <c r="AD12" s="201" t="s">
        <v>471</v>
      </c>
      <c r="AE12" s="201" t="s">
        <v>472</v>
      </c>
      <c r="AF12" s="214" t="s">
        <v>110</v>
      </c>
      <c r="AG12" s="235" t="s">
        <v>116</v>
      </c>
      <c r="AH12" s="214" t="s">
        <v>112</v>
      </c>
      <c r="AI12" s="214" t="s">
        <v>113</v>
      </c>
      <c r="AJ12" s="214" t="s">
        <v>114</v>
      </c>
      <c r="AK12" s="214" t="s">
        <v>115</v>
      </c>
      <c r="AN12"/>
      <c r="AO12" s="619">
        <f t="shared" si="4"/>
        <v>3731.0499999999997</v>
      </c>
      <c r="AP12" s="214" t="s">
        <v>357</v>
      </c>
      <c r="AQ12">
        <f t="shared" si="5"/>
        <v>89545.2</v>
      </c>
      <c r="AR12">
        <f t="shared" si="6"/>
        <v>24</v>
      </c>
      <c r="AU12" s="172" t="s">
        <v>15</v>
      </c>
      <c r="AV12" s="562">
        <f>SUMIF(B:B,AU12,I:I)</f>
        <v>74441910.259999976</v>
      </c>
      <c r="AW12" s="321">
        <f t="shared" ref="AW12:AW14" si="12">SUMIF(B:B,AU12,G:G)</f>
        <v>3889636.3100000005</v>
      </c>
    </row>
    <row r="13" spans="1:52" x14ac:dyDescent="0.25">
      <c r="A13" s="841"/>
      <c r="B13" s="841" t="s">
        <v>523</v>
      </c>
      <c r="C13" s="841"/>
      <c r="D13" s="842"/>
      <c r="E13" s="387"/>
      <c r="F13" s="387"/>
      <c r="G13" s="387"/>
      <c r="I13" s="577"/>
      <c r="J13" s="577"/>
      <c r="K13" s="847"/>
      <c r="L13" s="847"/>
      <c r="M13" s="577"/>
      <c r="N13" s="580"/>
      <c r="O13" s="219" t="s">
        <v>138</v>
      </c>
      <c r="P13" s="216">
        <f ca="1">SUM(P7:P12)</f>
        <v>244677337.90999997</v>
      </c>
      <c r="Q13" s="217"/>
      <c r="R13" s="172"/>
      <c r="T13" s="215">
        <f t="shared" si="1"/>
        <v>141225953.78</v>
      </c>
      <c r="U13" s="208"/>
      <c r="V13" s="174">
        <f>SUMIFS($I:$I,$B:$B,$V$11,$E:$E,V12)</f>
        <v>126233577.89999998</v>
      </c>
      <c r="W13" s="174">
        <f t="shared" ref="W13:AF13" si="13">SUMIFS($I:$I,$B:$B,$V$11,$E:$E,W12)</f>
        <v>8743045.6899999995</v>
      </c>
      <c r="X13" s="174">
        <f t="shared" si="13"/>
        <v>19602.86</v>
      </c>
      <c r="Y13" s="174">
        <f t="shared" si="13"/>
        <v>3140701.2399999998</v>
      </c>
      <c r="Z13" s="174">
        <f t="shared" si="13"/>
        <v>2291351.62</v>
      </c>
      <c r="AA13" s="174">
        <f t="shared" si="13"/>
        <v>123273.60999999999</v>
      </c>
      <c r="AB13" s="174">
        <f t="shared" si="13"/>
        <v>0</v>
      </c>
      <c r="AC13" s="174">
        <f t="shared" si="13"/>
        <v>89545.2</v>
      </c>
      <c r="AD13" s="174">
        <f t="shared" si="13"/>
        <v>0</v>
      </c>
      <c r="AE13" s="174">
        <f t="shared" si="13"/>
        <v>584855.66</v>
      </c>
      <c r="AF13" s="174">
        <f t="shared" si="13"/>
        <v>0</v>
      </c>
      <c r="AG13" s="290">
        <f>SUM(V13:AF13)</f>
        <v>141225953.78</v>
      </c>
      <c r="AH13" s="174">
        <f>SUMIFS($I:$I,$B:$B,$V$11,$E:$E,AH12)</f>
        <v>0</v>
      </c>
      <c r="AI13" s="174">
        <f>SUMIFS($M:$M,$B:$B,$V$11,$K:$K,AI12)</f>
        <v>10785320.93</v>
      </c>
      <c r="AJ13" s="174">
        <f ca="1">SUMIFS($M:$M,$B:$B,$V$11,$K:$K,AJ12)+Q52</f>
        <v>4446308.5034509376</v>
      </c>
      <c r="AK13" s="174">
        <f ca="1">+Q46</f>
        <v>3330486.0425387723</v>
      </c>
      <c r="AL13" s="174">
        <f ca="1">SUM(AG13:AK13)</f>
        <v>159788069.2559897</v>
      </c>
      <c r="AN13"/>
      <c r="AO13" s="619" t="e">
        <f t="shared" si="4"/>
        <v>#DIV/0!</v>
      </c>
      <c r="AP13" s="201" t="s">
        <v>471</v>
      </c>
      <c r="AQ13">
        <f t="shared" si="5"/>
        <v>0</v>
      </c>
      <c r="AR13">
        <f t="shared" si="6"/>
        <v>0</v>
      </c>
      <c r="AU13" s="172" t="s">
        <v>16</v>
      </c>
      <c r="AV13" s="562">
        <f>SUMIF(B:B,AU13,I:I)</f>
        <v>27754659.870000005</v>
      </c>
      <c r="AW13" s="321">
        <f t="shared" si="12"/>
        <v>738027.12</v>
      </c>
    </row>
    <row r="14" spans="1:52" x14ac:dyDescent="0.25">
      <c r="A14" s="841" t="s">
        <v>523</v>
      </c>
      <c r="B14" s="841" t="s">
        <v>523</v>
      </c>
      <c r="C14" s="848" t="s">
        <v>291</v>
      </c>
      <c r="D14" s="842" t="s">
        <v>816</v>
      </c>
      <c r="E14" s="387"/>
      <c r="F14" s="849"/>
      <c r="G14" s="580"/>
      <c r="H14" s="578">
        <v>667.11</v>
      </c>
      <c r="I14" s="577"/>
      <c r="J14" s="584">
        <v>129025.77</v>
      </c>
      <c r="K14" s="847"/>
      <c r="L14" s="847"/>
      <c r="M14" s="577"/>
      <c r="N14" s="584">
        <v>4212.63</v>
      </c>
      <c r="O14" s="208"/>
      <c r="Q14" s="209"/>
      <c r="R14" s="172"/>
      <c r="T14" s="203">
        <f t="shared" si="1"/>
        <v>0</v>
      </c>
      <c r="U14" s="208"/>
      <c r="AG14" s="290"/>
      <c r="AN14"/>
      <c r="AO14" s="619" t="e">
        <f t="shared" si="4"/>
        <v>#DIV/0!</v>
      </c>
      <c r="AP14" s="201" t="s">
        <v>472</v>
      </c>
      <c r="AQ14">
        <f t="shared" si="5"/>
        <v>893645.66</v>
      </c>
      <c r="AR14">
        <f t="shared" si="6"/>
        <v>0</v>
      </c>
      <c r="AU14" s="172" t="s">
        <v>19</v>
      </c>
      <c r="AV14" s="562">
        <f>SUMIF(B:B,AU14,I:I)</f>
        <v>1176085</v>
      </c>
      <c r="AW14" s="321">
        <f t="shared" si="12"/>
        <v>9063.75</v>
      </c>
    </row>
    <row r="15" spans="1:52" x14ac:dyDescent="0.25">
      <c r="A15" s="841"/>
      <c r="B15" s="841"/>
      <c r="C15" s="841"/>
      <c r="D15" s="842"/>
      <c r="E15" s="387"/>
      <c r="F15" s="387"/>
      <c r="G15" s="580"/>
      <c r="H15" s="578"/>
      <c r="I15" s="577"/>
      <c r="J15" s="584"/>
      <c r="K15" s="847"/>
      <c r="L15" s="847"/>
      <c r="M15" s="577"/>
      <c r="N15" s="578"/>
      <c r="O15" s="220" t="s">
        <v>139</v>
      </c>
      <c r="P15" s="221">
        <f ca="1">+P13-R1</f>
        <v>0</v>
      </c>
      <c r="Q15" s="642">
        <f ca="1">1-SUM(Q7:Q12)</f>
        <v>0</v>
      </c>
      <c r="R15" s="172"/>
      <c r="T15" s="203">
        <f t="shared" si="1"/>
        <v>0</v>
      </c>
      <c r="U15" s="208"/>
      <c r="V15" s="218" t="s">
        <v>140</v>
      </c>
      <c r="AG15" s="290"/>
      <c r="AN15"/>
      <c r="AO15" s="619">
        <f t="shared" si="4"/>
        <v>115.04682711453555</v>
      </c>
      <c r="AP15" s="214" t="s">
        <v>110</v>
      </c>
      <c r="AQ15">
        <f t="shared" si="5"/>
        <v>4651170.6500000004</v>
      </c>
      <c r="AR15">
        <f t="shared" si="6"/>
        <v>40428.5</v>
      </c>
      <c r="AU15" s="172" t="s">
        <v>292</v>
      </c>
      <c r="AV15" s="562">
        <f>SUMIF(B:B,AU15,I:I)</f>
        <v>0</v>
      </c>
      <c r="AW15" s="321">
        <f t="shared" ref="AW15" si="14">SUMIF(B:B,AU15,G:G)</f>
        <v>0</v>
      </c>
    </row>
    <row r="16" spans="1:52" x14ac:dyDescent="0.25">
      <c r="A16" s="848"/>
      <c r="B16" s="841"/>
      <c r="C16" s="848"/>
      <c r="D16" s="842"/>
      <c r="E16" s="387"/>
      <c r="F16" s="387"/>
      <c r="G16" s="580"/>
      <c r="H16" s="578"/>
      <c r="I16" s="577"/>
      <c r="J16" s="584"/>
      <c r="K16" s="847"/>
      <c r="L16" s="847"/>
      <c r="M16" s="577"/>
      <c r="N16" s="578"/>
      <c r="O16" s="208"/>
      <c r="Q16" s="209"/>
      <c r="R16" s="172"/>
      <c r="T16" s="203">
        <f t="shared" si="1"/>
        <v>0</v>
      </c>
      <c r="U16" s="208"/>
      <c r="V16" s="214" t="s">
        <v>356</v>
      </c>
      <c r="W16" s="332" t="s">
        <v>373</v>
      </c>
      <c r="X16" s="214" t="s">
        <v>358</v>
      </c>
      <c r="Y16" s="214" t="s">
        <v>109</v>
      </c>
      <c r="Z16" s="214" t="s">
        <v>111</v>
      </c>
      <c r="AA16" s="214" t="s">
        <v>469</v>
      </c>
      <c r="AB16" s="201" t="s">
        <v>470</v>
      </c>
      <c r="AC16" s="214" t="s">
        <v>357</v>
      </c>
      <c r="AD16" s="201" t="s">
        <v>471</v>
      </c>
      <c r="AE16" s="201" t="s">
        <v>472</v>
      </c>
      <c r="AF16" s="214" t="s">
        <v>110</v>
      </c>
      <c r="AG16" s="235" t="s">
        <v>116</v>
      </c>
      <c r="AH16" s="214" t="s">
        <v>112</v>
      </c>
      <c r="AI16" s="214" t="s">
        <v>113</v>
      </c>
      <c r="AJ16" s="214" t="s">
        <v>114</v>
      </c>
      <c r="AK16" s="214" t="s">
        <v>115</v>
      </c>
      <c r="AN16"/>
      <c r="AO16" s="274" t="e">
        <f t="shared" si="4"/>
        <v>#DIV/0!</v>
      </c>
      <c r="AP16" s="214" t="s">
        <v>112</v>
      </c>
      <c r="AQ16">
        <f t="shared" ref="AQ16:AQ17" si="15">SUMIF(E:E,AP16,I:I)</f>
        <v>0</v>
      </c>
      <c r="AR16">
        <f t="shared" ref="AR16:AR17" si="16">SUMIF(E:E,AP16,G:G)</f>
        <v>0</v>
      </c>
      <c r="AU16" s="172" t="s">
        <v>20</v>
      </c>
      <c r="AV16" s="562">
        <f t="shared" ref="AV16:AW20" si="17">AV11-AV5</f>
        <v>0</v>
      </c>
      <c r="AW16" s="562">
        <f t="shared" si="17"/>
        <v>0</v>
      </c>
    </row>
    <row r="17" spans="1:49" ht="15.75" thickBot="1" x14ac:dyDescent="0.3">
      <c r="A17" s="841"/>
      <c r="B17" s="841" t="s">
        <v>523</v>
      </c>
      <c r="C17" s="841"/>
      <c r="D17" s="842"/>
      <c r="E17" s="387" t="s">
        <v>110</v>
      </c>
      <c r="F17" s="387" t="s">
        <v>808</v>
      </c>
      <c r="G17" s="580">
        <v>8425</v>
      </c>
      <c r="H17" s="850"/>
      <c r="I17" s="577">
        <v>203239.9</v>
      </c>
      <c r="J17" s="584"/>
      <c r="K17" s="387" t="s">
        <v>114</v>
      </c>
      <c r="L17" s="847" t="s">
        <v>807</v>
      </c>
      <c r="M17" s="577">
        <v>14684.13</v>
      </c>
      <c r="N17" s="578"/>
      <c r="O17" s="222" t="s">
        <v>540</v>
      </c>
      <c r="P17" s="223">
        <f ca="1">+P13-P9-P11</f>
        <v>243422523.90999997</v>
      </c>
      <c r="Q17" s="224"/>
      <c r="R17" s="172"/>
      <c r="T17" s="215">
        <f t="shared" si="1"/>
        <v>18027756.970739599</v>
      </c>
      <c r="U17" s="208"/>
      <c r="V17" s="174">
        <f t="shared" ref="V17:AF17" si="18">SUM(SUMIFS($I:$I,$B:$B,$U$8,$E:$E,V16)*$P$34)</f>
        <v>13957282.70345185</v>
      </c>
      <c r="W17" s="174">
        <f t="shared" si="18"/>
        <v>277259.20594208298</v>
      </c>
      <c r="X17" s="174">
        <f t="shared" si="18"/>
        <v>0</v>
      </c>
      <c r="Y17" s="174">
        <f t="shared" si="18"/>
        <v>0</v>
      </c>
      <c r="Z17" s="174">
        <f t="shared" si="18"/>
        <v>591931.68507652194</v>
      </c>
      <c r="AA17" s="174">
        <f t="shared" si="18"/>
        <v>2437.0084769667146</v>
      </c>
      <c r="AB17" s="174">
        <f t="shared" si="18"/>
        <v>342.95702866239117</v>
      </c>
      <c r="AC17" s="174">
        <f t="shared" si="18"/>
        <v>0</v>
      </c>
      <c r="AD17" s="174">
        <f t="shared" si="18"/>
        <v>0</v>
      </c>
      <c r="AE17" s="174">
        <f t="shared" si="18"/>
        <v>177382.8313587356</v>
      </c>
      <c r="AF17" s="174">
        <f t="shared" si="18"/>
        <v>3021120.5794047778</v>
      </c>
      <c r="AG17" s="290">
        <f>SUM(V17:AF17)</f>
        <v>18027756.970739599</v>
      </c>
      <c r="AH17" s="174">
        <f>SUMIFS($I:$I,$B:$B,$U$8,$E:$E,AH16)</f>
        <v>0</v>
      </c>
      <c r="AI17" s="174">
        <f>SUMIFS($M:$M,$B:$B,$U$8,$K:$K,AI16)*P34</f>
        <v>1253530.2449586992</v>
      </c>
      <c r="AJ17" s="174">
        <f ca="1">SUMIFS($M:$M,$B:$B,$U$8,$K:$K,AJ16)*P34+Q53</f>
        <v>363557.47379038832</v>
      </c>
      <c r="AK17" s="174">
        <f ca="1">+Q47</f>
        <v>20716.662099748559</v>
      </c>
      <c r="AL17" s="174">
        <f ca="1">SUM(AG17:AK17)</f>
        <v>19665561.351588435</v>
      </c>
      <c r="AN17"/>
      <c r="AO17"/>
      <c r="AP17" s="214" t="s">
        <v>115</v>
      </c>
      <c r="AQ17">
        <f t="shared" si="15"/>
        <v>0</v>
      </c>
      <c r="AR17">
        <f t="shared" si="16"/>
        <v>0</v>
      </c>
      <c r="AU17" s="172" t="s">
        <v>15</v>
      </c>
      <c r="AV17" s="562">
        <f t="shared" si="17"/>
        <v>0</v>
      </c>
      <c r="AW17" s="562">
        <f t="shared" si="17"/>
        <v>0</v>
      </c>
    </row>
    <row r="18" spans="1:49" x14ac:dyDescent="0.25">
      <c r="A18" s="848"/>
      <c r="B18" s="841" t="s">
        <v>523</v>
      </c>
      <c r="C18" s="848"/>
      <c r="D18" s="851"/>
      <c r="E18" s="387" t="s">
        <v>110</v>
      </c>
      <c r="F18" s="387" t="s">
        <v>810</v>
      </c>
      <c r="G18" s="580">
        <v>15.5</v>
      </c>
      <c r="H18" s="850"/>
      <c r="I18" s="577">
        <v>401368.83</v>
      </c>
      <c r="J18" s="584"/>
      <c r="K18" s="387" t="s">
        <v>113</v>
      </c>
      <c r="L18" s="847" t="s">
        <v>809</v>
      </c>
      <c r="M18" s="577">
        <v>60212.28</v>
      </c>
      <c r="N18" s="578"/>
      <c r="O18" s="172"/>
      <c r="Q18" s="172"/>
      <c r="R18" s="172"/>
      <c r="T18" s="203">
        <f t="shared" si="1"/>
        <v>0</v>
      </c>
      <c r="U18" s="274" t="s">
        <v>19</v>
      </c>
      <c r="V18" s="212" t="s">
        <v>141</v>
      </c>
      <c r="AG18" s="290"/>
      <c r="AN18"/>
      <c r="AO18"/>
      <c r="AP18"/>
      <c r="AQ18" s="276">
        <f>SUM(AQ5:AQ15)-R1</f>
        <v>0</v>
      </c>
      <c r="AR18" s="276">
        <f>SUM(AR5:AR15)-P1</f>
        <v>0</v>
      </c>
      <c r="AU18" s="172" t="s">
        <v>16</v>
      </c>
      <c r="AV18" s="562">
        <f t="shared" si="17"/>
        <v>0</v>
      </c>
      <c r="AW18" s="562">
        <f t="shared" si="17"/>
        <v>0</v>
      </c>
    </row>
    <row r="19" spans="1:49" x14ac:dyDescent="0.25">
      <c r="A19" s="848"/>
      <c r="B19" s="841" t="s">
        <v>523</v>
      </c>
      <c r="C19" s="848"/>
      <c r="D19" s="851"/>
      <c r="E19" s="387" t="s">
        <v>356</v>
      </c>
      <c r="F19" s="387" t="s">
        <v>817</v>
      </c>
      <c r="G19" s="580">
        <v>0</v>
      </c>
      <c r="H19" s="850"/>
      <c r="I19" s="577">
        <v>95570</v>
      </c>
      <c r="J19" s="584"/>
      <c r="K19" s="387" t="s">
        <v>114</v>
      </c>
      <c r="L19" s="847" t="s">
        <v>811</v>
      </c>
      <c r="M19" s="577">
        <v>24915.27</v>
      </c>
      <c r="N19" s="578"/>
      <c r="O19" s="172"/>
      <c r="Q19" s="172"/>
      <c r="R19" s="174"/>
      <c r="T19" s="203">
        <f t="shared" si="1"/>
        <v>0</v>
      </c>
      <c r="U19" s="208"/>
      <c r="V19" s="214" t="s">
        <v>356</v>
      </c>
      <c r="W19" s="332" t="s">
        <v>373</v>
      </c>
      <c r="X19" s="214" t="s">
        <v>358</v>
      </c>
      <c r="Y19" s="214" t="s">
        <v>109</v>
      </c>
      <c r="Z19" s="214" t="s">
        <v>111</v>
      </c>
      <c r="AA19" s="214" t="s">
        <v>469</v>
      </c>
      <c r="AB19" s="201" t="s">
        <v>470</v>
      </c>
      <c r="AC19" s="214" t="s">
        <v>357</v>
      </c>
      <c r="AD19" s="201" t="s">
        <v>471</v>
      </c>
      <c r="AE19" s="201" t="s">
        <v>472</v>
      </c>
      <c r="AF19" s="214" t="s">
        <v>110</v>
      </c>
      <c r="AG19" s="235" t="s">
        <v>116</v>
      </c>
      <c r="AH19" s="214" t="s">
        <v>112</v>
      </c>
      <c r="AI19" s="214" t="s">
        <v>113</v>
      </c>
      <c r="AJ19" s="214" t="s">
        <v>114</v>
      </c>
      <c r="AK19" s="214" t="s">
        <v>115</v>
      </c>
      <c r="AN19"/>
      <c r="AO19"/>
      <c r="AP19"/>
      <c r="AQ19"/>
      <c r="AR19"/>
      <c r="AU19" s="172" t="s">
        <v>19</v>
      </c>
      <c r="AV19" s="562">
        <f t="shared" si="17"/>
        <v>0</v>
      </c>
      <c r="AW19" s="562">
        <f t="shared" si="17"/>
        <v>0</v>
      </c>
    </row>
    <row r="20" spans="1:49" x14ac:dyDescent="0.25">
      <c r="A20" s="848"/>
      <c r="B20" s="841" t="s">
        <v>523</v>
      </c>
      <c r="C20" s="848"/>
      <c r="D20" s="851"/>
      <c r="E20" s="387" t="s">
        <v>373</v>
      </c>
      <c r="F20" s="387" t="s">
        <v>818</v>
      </c>
      <c r="G20" s="580">
        <v>2867.59</v>
      </c>
      <c r="H20" s="850"/>
      <c r="I20" s="577">
        <v>108614.1</v>
      </c>
      <c r="J20" s="584"/>
      <c r="K20" s="387" t="s">
        <v>114</v>
      </c>
      <c r="L20" s="847" t="s">
        <v>813</v>
      </c>
      <c r="M20" s="577">
        <v>2708.25</v>
      </c>
      <c r="N20" s="578"/>
      <c r="O20" s="172"/>
      <c r="Q20" s="172"/>
      <c r="R20" s="172"/>
      <c r="T20" s="215">
        <f t="shared" si="1"/>
        <v>1176085</v>
      </c>
      <c r="U20" s="208"/>
      <c r="V20" s="174">
        <f t="shared" ref="V20:AH20" si="19">SUMIFS($I:$I,$B:$B,$U$18,$E:$E,V19)</f>
        <v>1123590</v>
      </c>
      <c r="W20" s="174">
        <f>SUMIFS($I:$I,$B:$B,$U$18,$E:$E,W19)</f>
        <v>0</v>
      </c>
      <c r="X20" s="174">
        <f>SUMIFS($I:$I,$B:$B,$U$18,$E:$E,X19)</f>
        <v>0</v>
      </c>
      <c r="Y20" s="174">
        <f>SUMIFS($I:$I,$B:$B,$U$18,$E:$E,Y19)</f>
        <v>18775</v>
      </c>
      <c r="Z20" s="174">
        <f>SUMIFS($I:$I,$B:$B,$U$18,$E:$E,Z19)</f>
        <v>0</v>
      </c>
      <c r="AA20" s="174">
        <f t="shared" ref="AA20:AE20" si="20">SUMIFS($I:$I,$B:$B,$U$18,$E:$E,AA19)</f>
        <v>0</v>
      </c>
      <c r="AB20" s="174">
        <f t="shared" si="20"/>
        <v>0</v>
      </c>
      <c r="AC20" s="174">
        <f t="shared" si="20"/>
        <v>0</v>
      </c>
      <c r="AD20" s="174">
        <f t="shared" si="20"/>
        <v>0</v>
      </c>
      <c r="AE20" s="174">
        <f t="shared" si="20"/>
        <v>33720</v>
      </c>
      <c r="AF20" s="174">
        <f t="shared" si="19"/>
        <v>0</v>
      </c>
      <c r="AG20" s="290">
        <f>SUM(V20:AF20)</f>
        <v>1176085</v>
      </c>
      <c r="AH20" s="174">
        <f t="shared" si="19"/>
        <v>0</v>
      </c>
      <c r="AI20" s="174">
        <f>SUMIFS($M:$M,$B:$B,$U$18,$K:$K,AI19)</f>
        <v>33951.78</v>
      </c>
      <c r="AJ20" s="174">
        <f ca="1">SUMIFS($M:$M,$B:$B,$U$18,$K:$K,AJ19)+P54</f>
        <v>13893.39478818066</v>
      </c>
      <c r="AK20" s="174">
        <f ca="1">+P48</f>
        <v>1385.9958245065091</v>
      </c>
      <c r="AL20" s="174">
        <f ca="1">SUM(AG20:AK20)</f>
        <v>1225316.1706126872</v>
      </c>
      <c r="AN20"/>
      <c r="AO20"/>
      <c r="AP20"/>
      <c r="AQ20"/>
      <c r="AR20"/>
      <c r="AU20" s="172" t="s">
        <v>292</v>
      </c>
      <c r="AV20" s="562">
        <f t="shared" si="17"/>
        <v>0</v>
      </c>
      <c r="AW20" s="562">
        <f t="shared" si="17"/>
        <v>0</v>
      </c>
    </row>
    <row r="21" spans="1:49" ht="15.75" thickBot="1" x14ac:dyDescent="0.3">
      <c r="A21" s="841"/>
      <c r="B21" s="841" t="s">
        <v>523</v>
      </c>
      <c r="C21" s="841"/>
      <c r="D21" s="842"/>
      <c r="E21" s="387" t="s">
        <v>111</v>
      </c>
      <c r="F21" s="387" t="s">
        <v>819</v>
      </c>
      <c r="G21" s="580">
        <v>5150.97</v>
      </c>
      <c r="H21" s="850"/>
      <c r="I21" s="577">
        <v>126572.53</v>
      </c>
      <c r="J21" s="584"/>
      <c r="K21" s="387" t="s">
        <v>114</v>
      </c>
      <c r="L21" s="847" t="s">
        <v>814</v>
      </c>
      <c r="M21" s="577">
        <v>94322.2</v>
      </c>
      <c r="N21" s="578"/>
      <c r="O21" s="172"/>
      <c r="Q21" s="195"/>
      <c r="R21" s="172"/>
      <c r="U21" s="225"/>
      <c r="V21" s="226"/>
      <c r="W21" s="226"/>
      <c r="X21" s="226"/>
      <c r="Y21" s="226"/>
      <c r="Z21" s="226"/>
      <c r="AA21" s="226" t="s">
        <v>153</v>
      </c>
      <c r="AB21" s="226"/>
      <c r="AC21" s="226"/>
      <c r="AD21" s="226"/>
      <c r="AE21" s="226"/>
      <c r="AF21" s="226"/>
      <c r="AG21" s="226"/>
      <c r="AH21" s="226"/>
      <c r="AI21" s="556"/>
      <c r="AL21"/>
      <c r="AM21"/>
      <c r="AN21"/>
      <c r="AO21"/>
    </row>
    <row r="22" spans="1:49" ht="15.75" thickBot="1" x14ac:dyDescent="0.3">
      <c r="A22" s="848"/>
      <c r="B22" s="841" t="s">
        <v>523</v>
      </c>
      <c r="C22" s="848"/>
      <c r="D22" s="842"/>
      <c r="E22" s="846" t="s">
        <v>356</v>
      </c>
      <c r="F22" s="387" t="s">
        <v>812</v>
      </c>
      <c r="G22" s="580">
        <v>133750.29</v>
      </c>
      <c r="H22" s="850"/>
      <c r="I22" s="577">
        <v>3253887.94</v>
      </c>
      <c r="J22" s="584"/>
      <c r="K22" s="387" t="s">
        <v>113</v>
      </c>
      <c r="L22" s="847" t="s">
        <v>815</v>
      </c>
      <c r="M22" s="577">
        <v>257458.39</v>
      </c>
      <c r="N22" s="578"/>
      <c r="O22" s="172"/>
      <c r="Q22" s="172"/>
      <c r="R22" s="172"/>
      <c r="T22" s="203">
        <f>SUM(T6:T20)</f>
        <v>244598608.91</v>
      </c>
      <c r="AM22"/>
      <c r="AN22"/>
      <c r="AO22"/>
    </row>
    <row r="23" spans="1:49" ht="15.75" x14ac:dyDescent="0.25">
      <c r="A23" s="848"/>
      <c r="B23" s="841" t="s">
        <v>523</v>
      </c>
      <c r="C23" s="848"/>
      <c r="D23" s="842"/>
      <c r="E23" s="387"/>
      <c r="F23" s="387"/>
      <c r="G23" s="387"/>
      <c r="H23" s="578"/>
      <c r="I23" s="577"/>
      <c r="J23" s="584"/>
      <c r="K23" s="847"/>
      <c r="L23" s="847"/>
      <c r="M23" s="577"/>
      <c r="N23" s="578"/>
      <c r="R23" s="172"/>
      <c r="S23" s="315" t="s">
        <v>68</v>
      </c>
      <c r="T23" s="314">
        <f ca="1">T22-P13+P12+P11</f>
        <v>2.9802322387695313E-8</v>
      </c>
      <c r="W23" s="205"/>
      <c r="X23" s="205"/>
      <c r="Y23" s="228" t="s">
        <v>142</v>
      </c>
      <c r="Z23" s="205"/>
      <c r="AA23" s="205"/>
      <c r="AB23" s="205"/>
      <c r="AC23" s="205"/>
      <c r="AD23" s="207"/>
      <c r="AF23" s="203" t="s">
        <v>488</v>
      </c>
      <c r="AG23" s="172">
        <f>+SUMIF(B:B,O12,M:M)+SUMIF(B:B,O11,M:M)</f>
        <v>6530.46</v>
      </c>
      <c r="AI23" s="174">
        <f ca="1">SUM(AL6:AL21)</f>
        <v>275627114.07456738</v>
      </c>
      <c r="AK23" s="174"/>
      <c r="AM23"/>
      <c r="AN23"/>
      <c r="AO23"/>
    </row>
    <row r="24" spans="1:49" x14ac:dyDescent="0.25">
      <c r="A24" s="848"/>
      <c r="B24" s="841" t="s">
        <v>523</v>
      </c>
      <c r="C24" s="848"/>
      <c r="D24" s="851"/>
      <c r="E24" s="387"/>
      <c r="F24" s="387"/>
      <c r="G24" s="387"/>
      <c r="H24" s="578"/>
      <c r="I24" s="577"/>
      <c r="J24" s="584"/>
      <c r="K24" s="579"/>
      <c r="L24" s="847"/>
      <c r="M24" s="577"/>
      <c r="N24" s="578"/>
      <c r="O24" s="172"/>
      <c r="Q24" s="172"/>
      <c r="R24" s="172"/>
      <c r="V24" s="208"/>
      <c r="W24" s="212" t="s">
        <v>20</v>
      </c>
      <c r="AD24" s="209"/>
      <c r="AF24" s="318" t="s">
        <v>139</v>
      </c>
      <c r="AG24" s="319">
        <f ca="1">SUM(AI20,AJ20,AJ17,AI17,AI13,AJ13,AJ10,AI10,AI6,AJ6)-P52-P53-P54-T91+AG23</f>
        <v>-4.6193235903047025E-9</v>
      </c>
      <c r="AH24" s="317">
        <f ca="1">+AK6+AK10+AK13+AK17+AK20-P47-P46-P48</f>
        <v>9.2859409051015973E-10</v>
      </c>
      <c r="AI24" s="174"/>
      <c r="AK24" s="174"/>
      <c r="AM24"/>
      <c r="AN24"/>
      <c r="AO24"/>
    </row>
    <row r="25" spans="1:49" x14ac:dyDescent="0.25">
      <c r="A25" s="841" t="s">
        <v>523</v>
      </c>
      <c r="B25" s="841" t="s">
        <v>523</v>
      </c>
      <c r="C25" s="848" t="s">
        <v>291</v>
      </c>
      <c r="D25" s="842" t="s">
        <v>850</v>
      </c>
      <c r="E25" s="852"/>
      <c r="F25" s="387"/>
      <c r="G25" s="387"/>
      <c r="H25" s="578">
        <v>150209.35</v>
      </c>
      <c r="I25" s="577"/>
      <c r="J25" s="584">
        <v>4189253.3</v>
      </c>
      <c r="K25" s="387"/>
      <c r="L25" s="387"/>
      <c r="M25" s="577"/>
      <c r="N25" s="584">
        <v>454300.52</v>
      </c>
      <c r="O25" s="172"/>
      <c r="Q25" s="203"/>
      <c r="R25" s="172"/>
      <c r="V25" s="208"/>
      <c r="W25" s="172" t="s">
        <v>97</v>
      </c>
      <c r="X25" s="214" t="s">
        <v>356</v>
      </c>
      <c r="Y25" s="332" t="s">
        <v>373</v>
      </c>
      <c r="Z25" s="214" t="s">
        <v>358</v>
      </c>
      <c r="AA25" s="214" t="s">
        <v>109</v>
      </c>
      <c r="AB25" s="214" t="s">
        <v>111</v>
      </c>
      <c r="AC25" s="214" t="s">
        <v>469</v>
      </c>
      <c r="AD25" s="201" t="s">
        <v>470</v>
      </c>
      <c r="AE25" s="214" t="s">
        <v>357</v>
      </c>
      <c r="AF25" s="201" t="s">
        <v>471</v>
      </c>
      <c r="AG25" s="214" t="s">
        <v>110</v>
      </c>
      <c r="AH25" s="275" t="s">
        <v>129</v>
      </c>
      <c r="AJ25" s="209"/>
      <c r="AL25" s="174"/>
      <c r="AO25" s="174"/>
      <c r="AQ25" s="174"/>
      <c r="AR25" s="174"/>
      <c r="AT25"/>
    </row>
    <row r="26" spans="1:49" x14ac:dyDescent="0.25">
      <c r="A26" s="848"/>
      <c r="B26" s="841"/>
      <c r="C26" s="848"/>
      <c r="D26" s="842"/>
      <c r="E26" s="387"/>
      <c r="F26" s="387"/>
      <c r="G26" s="387"/>
      <c r="H26" s="525"/>
      <c r="I26" s="577"/>
      <c r="J26" s="584"/>
      <c r="K26" s="387"/>
      <c r="L26" s="387"/>
      <c r="M26" s="577"/>
      <c r="N26" s="578"/>
      <c r="O26" s="925" t="s">
        <v>534</v>
      </c>
      <c r="P26" s="925"/>
      <c r="Q26" s="211"/>
      <c r="R26" s="172"/>
      <c r="S26" s="203">
        <f ca="1">SUMIF(B:I,#REF!,I:I)</f>
        <v>0</v>
      </c>
      <c r="V26" s="397">
        <f>W26*$U$35</f>
        <v>7252607.6700000018</v>
      </c>
      <c r="W26" s="203">
        <f>SUM(SUMIFS(G:G,B:B,W24)/2080)</f>
        <v>3486.8306105769238</v>
      </c>
      <c r="X26" s="174">
        <f>SUMIFS($G:$G,$B:$B,W24,$E:$E,X25)</f>
        <v>6701440.2700000005</v>
      </c>
      <c r="Y26" s="174">
        <f>SUMIFS($G:$G,$B:$B,$W$24,$E:$E,Y25)</f>
        <v>312221.11999999994</v>
      </c>
      <c r="Z26" s="174">
        <f t="shared" ref="Z26:AG26" si="21">SUMIFS($G:$G,$B:$B,$W$24,$E:$E,Z25)</f>
        <v>1061.83</v>
      </c>
      <c r="AA26" s="174">
        <f t="shared" si="21"/>
        <v>112038.55</v>
      </c>
      <c r="AB26" s="174">
        <f t="shared" si="21"/>
        <v>122949.15</v>
      </c>
      <c r="AC26" s="174">
        <f t="shared" si="21"/>
        <v>2872.75</v>
      </c>
      <c r="AD26" s="174">
        <f t="shared" si="21"/>
        <v>0</v>
      </c>
      <c r="AE26" s="174">
        <f t="shared" si="21"/>
        <v>24</v>
      </c>
      <c r="AF26" s="174">
        <f t="shared" si="21"/>
        <v>0</v>
      </c>
      <c r="AG26" s="174">
        <f t="shared" si="21"/>
        <v>0</v>
      </c>
      <c r="AH26" s="174">
        <f>SUM(X26:AG26)</f>
        <v>7252607.6700000009</v>
      </c>
      <c r="AI26" s="174"/>
      <c r="AJ26" s="209"/>
      <c r="AL26" s="203"/>
      <c r="AM26" s="321"/>
      <c r="AO26" s="174"/>
      <c r="AQ26" s="174"/>
      <c r="AR26" s="174"/>
      <c r="AT26"/>
    </row>
    <row r="27" spans="1:49" x14ac:dyDescent="0.25">
      <c r="A27" s="853"/>
      <c r="B27" s="854"/>
      <c r="C27" s="853"/>
      <c r="D27" s="855"/>
      <c r="E27" s="846"/>
      <c r="F27" s="201"/>
      <c r="G27" s="201"/>
      <c r="H27" s="525"/>
      <c r="I27" s="800"/>
      <c r="J27" s="538"/>
      <c r="K27" s="846"/>
      <c r="M27" s="856"/>
      <c r="N27" s="840"/>
      <c r="O27" s="212" t="s">
        <v>15</v>
      </c>
      <c r="P27" s="216">
        <f ca="1">SUMIF(A:I,O27,J:J)</f>
        <v>74441910.259999976</v>
      </c>
      <c r="Q27" s="211">
        <f ca="1">+P27/P29</f>
        <v>0.34516922857915083</v>
      </c>
      <c r="R27" s="172"/>
      <c r="V27" s="208"/>
      <c r="W27" s="218" t="s">
        <v>140</v>
      </c>
      <c r="AH27" s="174">
        <f t="shared" ref="AH27:AH37" si="22">SUM(X27:AA27)</f>
        <v>0</v>
      </c>
      <c r="AI27" s="174"/>
      <c r="AJ27" s="209"/>
      <c r="AO27" s="174"/>
      <c r="AT27"/>
    </row>
    <row r="28" spans="1:49" x14ac:dyDescent="0.25">
      <c r="A28" s="853"/>
      <c r="B28" s="841" t="s">
        <v>523</v>
      </c>
      <c r="C28" s="853"/>
      <c r="D28" s="855"/>
      <c r="E28" s="387" t="s">
        <v>472</v>
      </c>
      <c r="F28" s="201" t="s">
        <v>820</v>
      </c>
      <c r="G28" s="201">
        <v>0</v>
      </c>
      <c r="H28" s="850"/>
      <c r="I28" s="800">
        <v>15000</v>
      </c>
      <c r="J28" s="538"/>
      <c r="K28" s="387" t="s">
        <v>114</v>
      </c>
      <c r="L28" s="201" t="s">
        <v>807</v>
      </c>
      <c r="M28" s="856">
        <v>2750.82</v>
      </c>
      <c r="N28" s="840"/>
      <c r="O28" s="201" t="s">
        <v>20</v>
      </c>
      <c r="P28" s="216">
        <f>SUMIF(A:A,O28,J:J)</f>
        <v>141225953.77999997</v>
      </c>
      <c r="Q28" s="211">
        <f ca="1">+P28/P29</f>
        <v>0.65483077142084911</v>
      </c>
      <c r="R28" s="172"/>
      <c r="S28" s="203">
        <f>+SUMIFS(I:I,B:B,#REF!,E:E,#REF!)</f>
        <v>0</v>
      </c>
      <c r="T28" s="203">
        <f>+S28*P34</f>
        <v>0</v>
      </c>
      <c r="V28" s="208"/>
      <c r="W28" s="172" t="s">
        <v>97</v>
      </c>
      <c r="X28" s="214" t="s">
        <v>356</v>
      </c>
      <c r="Y28" s="332" t="s">
        <v>373</v>
      </c>
      <c r="Z28" s="214" t="s">
        <v>358</v>
      </c>
      <c r="AA28" s="214" t="s">
        <v>109</v>
      </c>
      <c r="AB28" s="214" t="s">
        <v>111</v>
      </c>
      <c r="AC28" s="214" t="s">
        <v>469</v>
      </c>
      <c r="AD28" s="201" t="s">
        <v>470</v>
      </c>
      <c r="AE28" s="214" t="s">
        <v>357</v>
      </c>
      <c r="AF28" s="201" t="s">
        <v>471</v>
      </c>
      <c r="AG28" s="214" t="s">
        <v>110</v>
      </c>
      <c r="AH28" s="174">
        <f t="shared" si="22"/>
        <v>0</v>
      </c>
      <c r="AI28" s="174"/>
      <c r="AJ28" s="209"/>
      <c r="AO28" s="174"/>
      <c r="AT28"/>
      <c r="AU28"/>
      <c r="AV28" s="561"/>
      <c r="AW28" s="561"/>
    </row>
    <row r="29" spans="1:49" x14ac:dyDescent="0.25">
      <c r="A29" s="853"/>
      <c r="B29" s="841" t="s">
        <v>523</v>
      </c>
      <c r="C29" s="853"/>
      <c r="D29" s="855"/>
      <c r="E29" s="387" t="s">
        <v>472</v>
      </c>
      <c r="F29" s="201" t="s">
        <v>806</v>
      </c>
      <c r="G29" s="201">
        <v>0</v>
      </c>
      <c r="H29" s="850"/>
      <c r="I29" s="800">
        <v>42000</v>
      </c>
      <c r="J29" s="538"/>
      <c r="K29" s="387" t="s">
        <v>113</v>
      </c>
      <c r="L29" s="201" t="s">
        <v>809</v>
      </c>
      <c r="M29" s="856">
        <v>40248</v>
      </c>
      <c r="N29" s="840"/>
      <c r="O29" s="229" t="s">
        <v>138</v>
      </c>
      <c r="P29" s="203">
        <f ca="1">+P28+P27</f>
        <v>215667864.03999996</v>
      </c>
      <c r="Q29" s="230"/>
      <c r="R29" s="172"/>
      <c r="T29" s="203">
        <f>+S28*P33</f>
        <v>0</v>
      </c>
      <c r="V29" s="397">
        <f>W29*$U$35</f>
        <v>479378.00785504165</v>
      </c>
      <c r="W29" s="203">
        <f>SUM((SUMIFS(G:G,B:B,U8)*P34)/2080)</f>
        <v>230.47019608415465</v>
      </c>
      <c r="X29" s="174">
        <f t="shared" ref="X29:AG29" si="23">SUM(SUMIFS($G:$G,$B:$B,$U$8,$E:$E,X28)*$P$34)</f>
        <v>415953.34719033638</v>
      </c>
      <c r="Y29" s="174">
        <f t="shared" si="23"/>
        <v>8105.1073556172532</v>
      </c>
      <c r="Z29" s="174">
        <f t="shared" si="23"/>
        <v>0</v>
      </c>
      <c r="AA29" s="174">
        <f t="shared" si="23"/>
        <v>0</v>
      </c>
      <c r="AB29" s="174">
        <f t="shared" si="23"/>
        <v>29044.043456880849</v>
      </c>
      <c r="AC29" s="174">
        <f t="shared" si="23"/>
        <v>0</v>
      </c>
      <c r="AD29" s="174">
        <f t="shared" si="23"/>
        <v>15.588955848290507</v>
      </c>
      <c r="AE29" s="174">
        <f t="shared" si="23"/>
        <v>0</v>
      </c>
      <c r="AF29" s="174">
        <f t="shared" si="23"/>
        <v>0</v>
      </c>
      <c r="AG29" s="174">
        <f t="shared" si="23"/>
        <v>26259.920896358864</v>
      </c>
      <c r="AH29" s="174">
        <f>SUM(X29:AG29)</f>
        <v>479378.00785504165</v>
      </c>
      <c r="AI29" s="174"/>
      <c r="AJ29" s="209"/>
      <c r="AT29"/>
      <c r="AU29"/>
      <c r="AV29" s="561"/>
      <c r="AW29" s="561"/>
    </row>
    <row r="30" spans="1:49" x14ac:dyDescent="0.25">
      <c r="A30" s="853"/>
      <c r="B30" s="841" t="s">
        <v>523</v>
      </c>
      <c r="C30" s="853"/>
      <c r="D30" s="855"/>
      <c r="E30" s="387" t="s">
        <v>110</v>
      </c>
      <c r="F30" s="201" t="s">
        <v>808</v>
      </c>
      <c r="G30" s="201">
        <v>1160</v>
      </c>
      <c r="H30" s="850"/>
      <c r="I30" s="800">
        <v>0</v>
      </c>
      <c r="J30" s="538"/>
      <c r="K30" s="387" t="s">
        <v>114</v>
      </c>
      <c r="L30" s="201" t="s">
        <v>811</v>
      </c>
      <c r="M30" s="856">
        <v>16655.240000000002</v>
      </c>
      <c r="N30" s="840"/>
      <c r="O30" s="231" t="s">
        <v>139</v>
      </c>
      <c r="P30" s="232">
        <f ca="1">+P29-P7</f>
        <v>0</v>
      </c>
      <c r="Q30" s="172"/>
      <c r="R30" s="172"/>
      <c r="V30" s="208"/>
      <c r="W30" s="212" t="s">
        <v>141</v>
      </c>
      <c r="AH30" s="174">
        <f t="shared" si="22"/>
        <v>0</v>
      </c>
      <c r="AI30" s="174"/>
      <c r="AJ30" s="209"/>
      <c r="AO30" s="174"/>
      <c r="AT30"/>
      <c r="AU30"/>
      <c r="AV30" s="561"/>
      <c r="AW30" s="561"/>
    </row>
    <row r="31" spans="1:49" x14ac:dyDescent="0.25">
      <c r="A31" s="853"/>
      <c r="B31" s="841" t="s">
        <v>523</v>
      </c>
      <c r="C31" s="853"/>
      <c r="D31" s="855"/>
      <c r="E31" s="387" t="s">
        <v>110</v>
      </c>
      <c r="F31" s="201" t="s">
        <v>810</v>
      </c>
      <c r="G31" s="201">
        <v>0</v>
      </c>
      <c r="H31" s="525"/>
      <c r="I31" s="800">
        <v>361200.25</v>
      </c>
      <c r="J31" s="538"/>
      <c r="K31" s="387" t="s">
        <v>114</v>
      </c>
      <c r="L31" s="201" t="s">
        <v>813</v>
      </c>
      <c r="M31" s="856">
        <v>586.78</v>
      </c>
      <c r="N31" s="840"/>
      <c r="Q31" s="172"/>
      <c r="R31" s="172"/>
      <c r="V31" s="208"/>
      <c r="W31" s="172" t="s">
        <v>97</v>
      </c>
      <c r="X31" s="214" t="s">
        <v>356</v>
      </c>
      <c r="Y31" s="332" t="s">
        <v>373</v>
      </c>
      <c r="Z31" s="214" t="s">
        <v>358</v>
      </c>
      <c r="AA31" s="214" t="s">
        <v>109</v>
      </c>
      <c r="AB31" s="214" t="s">
        <v>111</v>
      </c>
      <c r="AC31" s="214" t="s">
        <v>469</v>
      </c>
      <c r="AD31" s="201" t="s">
        <v>470</v>
      </c>
      <c r="AE31" s="214" t="s">
        <v>357</v>
      </c>
      <c r="AF31" s="201" t="s">
        <v>471</v>
      </c>
      <c r="AG31" s="214" t="s">
        <v>110</v>
      </c>
      <c r="AH31" s="174">
        <f t="shared" si="22"/>
        <v>0</v>
      </c>
      <c r="AI31" s="174"/>
      <c r="AJ31" s="209"/>
      <c r="AT31"/>
      <c r="AU31"/>
      <c r="AV31" s="561"/>
      <c r="AW31" s="561"/>
    </row>
    <row r="32" spans="1:49" x14ac:dyDescent="0.25">
      <c r="A32" s="853"/>
      <c r="B32" s="841" t="s">
        <v>523</v>
      </c>
      <c r="C32" s="853"/>
      <c r="D32" s="857"/>
      <c r="E32" s="387" t="s">
        <v>356</v>
      </c>
      <c r="F32" s="201" t="s">
        <v>817</v>
      </c>
      <c r="G32" s="201">
        <v>0</v>
      </c>
      <c r="H32" s="525"/>
      <c r="I32" s="800">
        <v>12730</v>
      </c>
      <c r="J32" s="538"/>
      <c r="K32" s="387" t="s">
        <v>114</v>
      </c>
      <c r="L32" s="846" t="s">
        <v>814</v>
      </c>
      <c r="M32" s="856">
        <v>20360.04</v>
      </c>
      <c r="N32" s="840"/>
      <c r="O32" s="927" t="s">
        <v>533</v>
      </c>
      <c r="P32" s="927"/>
      <c r="Q32" s="172"/>
      <c r="R32" s="172"/>
      <c r="V32" s="397">
        <f>W32*$U$35</f>
        <v>9063.75</v>
      </c>
      <c r="W32" s="203">
        <f>SUM(SUMIFS(G:G,B:B,U18)/2080)</f>
        <v>4.357572115384615</v>
      </c>
      <c r="X32" s="174">
        <f>SUMIFS($G:$G,$B:$B,$U$18,$E:$E,X31)</f>
        <v>8888.75</v>
      </c>
      <c r="Y32" s="174">
        <f>SUMIFS($G:$G,$B:$B,$U$18,$E:$E,Y31)</f>
        <v>0</v>
      </c>
      <c r="Z32" s="174">
        <f>SUMIFS($G:$G,$B:$B,$U$18,$E:$E,Z31)</f>
        <v>0</v>
      </c>
      <c r="AA32" s="174">
        <f>SUMIFS($G:$G,$B:$B,$U$18,$E:$E,AA31)</f>
        <v>135</v>
      </c>
      <c r="AB32" s="174">
        <f t="shared" ref="AB32:AG32" si="24">SUMIFS($G:$G,$B:$B,$U$18,$E:$E,AB31)</f>
        <v>40</v>
      </c>
      <c r="AC32" s="174">
        <f t="shared" si="24"/>
        <v>0</v>
      </c>
      <c r="AD32" s="174">
        <f t="shared" si="24"/>
        <v>0</v>
      </c>
      <c r="AE32" s="174">
        <f t="shared" si="24"/>
        <v>0</v>
      </c>
      <c r="AF32" s="174">
        <f t="shared" si="24"/>
        <v>0</v>
      </c>
      <c r="AG32" s="174">
        <f t="shared" si="24"/>
        <v>0</v>
      </c>
      <c r="AH32" s="174">
        <f>SUM(X32:AG32)</f>
        <v>9063.75</v>
      </c>
      <c r="AI32" s="174"/>
      <c r="AJ32" s="209"/>
      <c r="AT32"/>
      <c r="AU32"/>
      <c r="AV32" s="561"/>
      <c r="AW32" s="561"/>
    </row>
    <row r="33" spans="1:49" x14ac:dyDescent="0.25">
      <c r="A33" s="853"/>
      <c r="B33" s="841" t="s">
        <v>523</v>
      </c>
      <c r="C33" s="853"/>
      <c r="D33" s="332"/>
      <c r="E33" s="387" t="s">
        <v>373</v>
      </c>
      <c r="F33" s="201" t="s">
        <v>818</v>
      </c>
      <c r="G33" s="271">
        <v>302.95</v>
      </c>
      <c r="H33" s="525"/>
      <c r="I33" s="800">
        <v>0</v>
      </c>
      <c r="J33" s="538"/>
      <c r="K33" s="387" t="s">
        <v>113</v>
      </c>
      <c r="L33" s="858" t="s">
        <v>815</v>
      </c>
      <c r="M33" s="856">
        <v>141168.24</v>
      </c>
      <c r="N33" s="840"/>
      <c r="O33" s="2" t="s">
        <v>15</v>
      </c>
      <c r="P33" s="3">
        <f>IFERROR(+GETPIVOTDATA("Unique Billed Hours",'HHA-CDPAP'!$A$3,"HHA/CDPAP",O33),0)</f>
        <v>0.35046017298789561</v>
      </c>
      <c r="Q33" s="172"/>
      <c r="R33" s="172"/>
      <c r="V33" s="208"/>
      <c r="W33" s="212" t="s">
        <v>15</v>
      </c>
      <c r="X33" s="239"/>
      <c r="AH33" s="174">
        <f t="shared" si="22"/>
        <v>0</v>
      </c>
      <c r="AI33" s="174"/>
      <c r="AJ33" s="209"/>
      <c r="AT33"/>
      <c r="AU33"/>
      <c r="AV33" s="561"/>
      <c r="AW33" s="561"/>
    </row>
    <row r="34" spans="1:49" x14ac:dyDescent="0.25">
      <c r="A34" s="853"/>
      <c r="B34" s="841" t="s">
        <v>523</v>
      </c>
      <c r="C34" s="853"/>
      <c r="D34" s="332"/>
      <c r="E34" s="387" t="s">
        <v>111</v>
      </c>
      <c r="F34" s="201" t="s">
        <v>819</v>
      </c>
      <c r="G34" s="201">
        <v>1871</v>
      </c>
      <c r="H34" s="525"/>
      <c r="I34" s="800">
        <v>769.22</v>
      </c>
      <c r="J34" s="538"/>
      <c r="K34" s="859"/>
      <c r="L34" s="858"/>
      <c r="M34" s="856"/>
      <c r="N34" s="840"/>
      <c r="O34" s="2" t="s">
        <v>20</v>
      </c>
      <c r="P34" s="3">
        <f>IFERROR(+GETPIVOTDATA("Unique Billed Hours",'HHA-CDPAP'!$A$3,"HHA/CDPAP",O34),0)</f>
        <v>0.64953982701210444</v>
      </c>
      <c r="Q34" s="172"/>
      <c r="R34" s="172"/>
      <c r="V34" s="208"/>
      <c r="W34" s="172" t="s">
        <v>97</v>
      </c>
      <c r="X34" s="214" t="s">
        <v>356</v>
      </c>
      <c r="Y34" s="332" t="s">
        <v>373</v>
      </c>
      <c r="Z34" s="214" t="s">
        <v>358</v>
      </c>
      <c r="AA34" s="214" t="s">
        <v>109</v>
      </c>
      <c r="AB34" s="214" t="s">
        <v>111</v>
      </c>
      <c r="AC34" s="214" t="s">
        <v>469</v>
      </c>
      <c r="AD34" s="201" t="s">
        <v>470</v>
      </c>
      <c r="AE34" s="214" t="s">
        <v>357</v>
      </c>
      <c r="AF34" s="201" t="s">
        <v>471</v>
      </c>
      <c r="AG34" s="214" t="s">
        <v>110</v>
      </c>
      <c r="AH34" s="174">
        <f t="shared" si="22"/>
        <v>0</v>
      </c>
      <c r="AI34" s="174"/>
      <c r="AJ34" s="209"/>
      <c r="AT34"/>
      <c r="AU34"/>
      <c r="AV34" s="561"/>
      <c r="AW34" s="561"/>
    </row>
    <row r="35" spans="1:49" x14ac:dyDescent="0.25">
      <c r="A35" s="853"/>
      <c r="B35" s="841" t="s">
        <v>523</v>
      </c>
      <c r="C35" s="853"/>
      <c r="D35" s="332"/>
      <c r="E35" s="846" t="s">
        <v>356</v>
      </c>
      <c r="F35" s="201" t="s">
        <v>812</v>
      </c>
      <c r="G35" s="201">
        <v>18903.45</v>
      </c>
      <c r="I35" s="800">
        <v>2876474.1</v>
      </c>
      <c r="K35" s="858"/>
      <c r="L35" s="858"/>
      <c r="M35" s="856"/>
      <c r="Q35" s="233"/>
      <c r="R35" s="211"/>
      <c r="U35" s="172">
        <f>40*52</f>
        <v>2080</v>
      </c>
      <c r="V35" s="397">
        <f>W35*$U$35</f>
        <v>3889636.3100000005</v>
      </c>
      <c r="W35" s="203">
        <f>SUM(SUMIFS(G:G,B:B,W33)/2080)</f>
        <v>1870.0174567307695</v>
      </c>
      <c r="X35" s="174">
        <f>SUMIFS($G:$G,$B:$B,$W$33,$E:$E,X34)</f>
        <v>3745501.7800000003</v>
      </c>
      <c r="Y35" s="174">
        <f>SUMIFS($G:$G,$B:$B,$W$33,$E:$E,Y34)</f>
        <v>56465.85</v>
      </c>
      <c r="Z35" s="174">
        <f t="shared" ref="Z35:AG35" si="25">SUMIFS($G:$G,$B:$B,$W$33,$E:$E,Z34)</f>
        <v>0</v>
      </c>
      <c r="AA35" s="174">
        <f t="shared" si="25"/>
        <v>71957.429999999993</v>
      </c>
      <c r="AB35" s="174">
        <f t="shared" si="25"/>
        <v>12385.5</v>
      </c>
      <c r="AC35" s="174">
        <f t="shared" si="25"/>
        <v>3325.75</v>
      </c>
      <c r="AD35" s="174">
        <f t="shared" si="25"/>
        <v>0</v>
      </c>
      <c r="AE35" s="174">
        <f t="shared" si="25"/>
        <v>0</v>
      </c>
      <c r="AF35" s="174">
        <f t="shared" si="25"/>
        <v>0</v>
      </c>
      <c r="AG35" s="174">
        <f t="shared" si="25"/>
        <v>0</v>
      </c>
      <c r="AH35" s="174">
        <f>SUM(X35:AG35)</f>
        <v>3889636.3100000005</v>
      </c>
      <c r="AI35" s="174"/>
      <c r="AJ35" s="209"/>
      <c r="AT35"/>
      <c r="AU35"/>
      <c r="AV35" s="561"/>
      <c r="AW35" s="561"/>
    </row>
    <row r="36" spans="1:49" ht="15.75" thickBot="1" x14ac:dyDescent="0.3">
      <c r="A36" s="853"/>
      <c r="B36" s="841" t="s">
        <v>523</v>
      </c>
      <c r="C36" s="853"/>
      <c r="D36" s="855"/>
      <c r="E36" s="846"/>
      <c r="F36" s="201"/>
      <c r="G36" s="201"/>
      <c r="H36" s="525"/>
      <c r="I36" s="800"/>
      <c r="J36" s="538"/>
      <c r="K36" s="858"/>
      <c r="L36" s="858"/>
      <c r="M36" s="856"/>
      <c r="N36" s="840"/>
      <c r="O36" s="172"/>
      <c r="Q36" s="172"/>
      <c r="R36" s="172"/>
      <c r="V36" s="208"/>
      <c r="W36" s="218" t="s">
        <v>137</v>
      </c>
      <c r="AH36" s="174">
        <f t="shared" si="22"/>
        <v>0</v>
      </c>
      <c r="AI36" s="174"/>
      <c r="AJ36" s="209"/>
      <c r="AT36"/>
      <c r="AU36"/>
      <c r="AV36" s="561"/>
      <c r="AW36" s="561"/>
    </row>
    <row r="37" spans="1:49" x14ac:dyDescent="0.25">
      <c r="A37" s="853"/>
      <c r="B37" s="841" t="s">
        <v>523</v>
      </c>
      <c r="C37" s="853"/>
      <c r="D37" s="855"/>
      <c r="E37" s="846"/>
      <c r="F37" s="201"/>
      <c r="G37" s="201"/>
      <c r="H37" s="525"/>
      <c r="I37" s="800"/>
      <c r="J37" s="538"/>
      <c r="K37" s="858"/>
      <c r="L37" s="858"/>
      <c r="M37" s="856"/>
      <c r="N37" s="840"/>
      <c r="O37" s="590" t="s">
        <v>143</v>
      </c>
      <c r="P37" s="588"/>
      <c r="Q37" s="588"/>
      <c r="R37" s="588"/>
      <c r="S37" s="589"/>
      <c r="V37" s="208"/>
      <c r="W37" s="172" t="s">
        <v>97</v>
      </c>
      <c r="X37" s="214" t="s">
        <v>356</v>
      </c>
      <c r="Y37" s="332" t="s">
        <v>373</v>
      </c>
      <c r="Z37" s="214" t="s">
        <v>358</v>
      </c>
      <c r="AA37" s="214" t="s">
        <v>109</v>
      </c>
      <c r="AB37" s="214" t="s">
        <v>111</v>
      </c>
      <c r="AC37" s="214" t="s">
        <v>469</v>
      </c>
      <c r="AD37" s="201" t="s">
        <v>470</v>
      </c>
      <c r="AE37" s="214" t="s">
        <v>357</v>
      </c>
      <c r="AF37" s="201" t="s">
        <v>471</v>
      </c>
      <c r="AG37" s="214" t="s">
        <v>110</v>
      </c>
      <c r="AH37" s="174">
        <f t="shared" si="22"/>
        <v>0</v>
      </c>
      <c r="AI37" s="174"/>
      <c r="AJ37" s="209"/>
      <c r="AT37"/>
      <c r="AU37"/>
      <c r="AV37" s="561"/>
      <c r="AW37" s="561"/>
    </row>
    <row r="38" spans="1:49" ht="15.75" thickBot="1" x14ac:dyDescent="0.3">
      <c r="A38" s="841" t="s">
        <v>523</v>
      </c>
      <c r="B38" s="841" t="s">
        <v>523</v>
      </c>
      <c r="C38" s="848" t="s">
        <v>291</v>
      </c>
      <c r="D38" s="842" t="s">
        <v>851</v>
      </c>
      <c r="E38" s="846"/>
      <c r="F38" s="201"/>
      <c r="G38" s="201"/>
      <c r="H38" s="525">
        <v>22237.4</v>
      </c>
      <c r="I38" s="800"/>
      <c r="J38" s="538">
        <v>3308173.5700000003</v>
      </c>
      <c r="K38" s="858"/>
      <c r="L38" s="858"/>
      <c r="M38" s="856"/>
      <c r="N38" s="538">
        <v>221769.12</v>
      </c>
      <c r="O38" s="208"/>
      <c r="P38" s="211"/>
      <c r="Q38" s="234" t="s">
        <v>97</v>
      </c>
      <c r="R38" s="214" t="s">
        <v>144</v>
      </c>
      <c r="S38" s="235" t="s">
        <v>145</v>
      </c>
      <c r="T38" s="214"/>
      <c r="V38" s="397">
        <f>W38*$U$35</f>
        <v>258649.1121449584</v>
      </c>
      <c r="W38" s="223">
        <f>SUM(SUMIFS(G:G,B:B,U8)*P33)/2080</f>
        <v>124.35053468507616</v>
      </c>
      <c r="X38" s="312">
        <f t="shared" ref="X38:AG38" si="26">SUM(SUMIFS($G:$G,$B:$B,$U$8,$E:$E,X37)*$P$33)</f>
        <v>224428.24280966364</v>
      </c>
      <c r="Y38" s="312">
        <f t="shared" si="26"/>
        <v>4373.1226443827491</v>
      </c>
      <c r="Z38" s="312">
        <f t="shared" si="26"/>
        <v>0</v>
      </c>
      <c r="AA38" s="312">
        <f t="shared" si="26"/>
        <v>0</v>
      </c>
      <c r="AB38" s="312">
        <f t="shared" si="26"/>
        <v>15670.756543119156</v>
      </c>
      <c r="AC38" s="312">
        <f t="shared" si="26"/>
        <v>0</v>
      </c>
      <c r="AD38" s="312">
        <f t="shared" si="26"/>
        <v>8.4110441517094952</v>
      </c>
      <c r="AE38" s="312">
        <f t="shared" si="26"/>
        <v>0</v>
      </c>
      <c r="AF38" s="312">
        <f t="shared" si="26"/>
        <v>0</v>
      </c>
      <c r="AG38" s="312">
        <f t="shared" si="26"/>
        <v>14168.579103641137</v>
      </c>
      <c r="AH38" s="174">
        <f>SUM(X38:AG38)</f>
        <v>258649.11214495837</v>
      </c>
      <c r="AI38" s="312"/>
      <c r="AJ38" s="227"/>
      <c r="AT38"/>
      <c r="AU38"/>
      <c r="AV38" s="561"/>
      <c r="AW38" s="561"/>
    </row>
    <row r="39" spans="1:49" x14ac:dyDescent="0.25">
      <c r="A39" s="853"/>
      <c r="B39" s="854"/>
      <c r="C39" s="853"/>
      <c r="D39" s="332"/>
      <c r="E39" s="846"/>
      <c r="F39" s="201"/>
      <c r="G39" s="201"/>
      <c r="H39" s="850"/>
      <c r="I39" s="800"/>
      <c r="J39" s="538"/>
      <c r="K39" s="858"/>
      <c r="L39" s="846"/>
      <c r="M39" s="856"/>
      <c r="N39" s="525"/>
      <c r="O39" s="201" t="s">
        <v>20</v>
      </c>
      <c r="P39" s="280">
        <f>SUMIF(B:B,O39,G:G)</f>
        <v>7252607.6700000018</v>
      </c>
      <c r="Q39" s="216">
        <f>+P39/2080</f>
        <v>3486.8306105769238</v>
      </c>
      <c r="R39" s="216">
        <f ca="1">SUMIF(B:J,O39,J:J)</f>
        <v>141225953.77999997</v>
      </c>
      <c r="S39" s="236">
        <f ca="1">+P46*Q28</f>
        <v>3357615.1203448731</v>
      </c>
      <c r="AT39"/>
      <c r="AU39"/>
      <c r="AV39" s="561"/>
      <c r="AW39" s="561"/>
    </row>
    <row r="40" spans="1:49" x14ac:dyDescent="0.25">
      <c r="A40" s="853"/>
      <c r="B40" s="854"/>
      <c r="C40" s="853"/>
      <c r="D40" s="855"/>
      <c r="E40" s="846"/>
      <c r="F40" s="201"/>
      <c r="G40" s="201"/>
      <c r="H40" s="850"/>
      <c r="I40" s="800"/>
      <c r="J40" s="538"/>
      <c r="K40" s="859"/>
      <c r="L40" s="846"/>
      <c r="M40" s="856"/>
      <c r="N40" s="525"/>
      <c r="O40" s="278" t="s">
        <v>19</v>
      </c>
      <c r="P40" s="280">
        <f>SUMIF(B:B,O40,G:G)</f>
        <v>9063.75</v>
      </c>
      <c r="Q40" s="216">
        <f>+P40/2080</f>
        <v>4.357572115384615</v>
      </c>
      <c r="R40" s="216">
        <f ca="1">SUMIF(C:J,O40,J:J)</f>
        <v>1176085</v>
      </c>
      <c r="S40" s="236">
        <f>+R48</f>
        <v>0</v>
      </c>
      <c r="W40" s="174">
        <f>SUM(W35,W38,W32,W29,W26)*2080</f>
        <v>11889334.850000001</v>
      </c>
      <c r="X40" s="174">
        <f>SUM(X38,X32,X35,X29,X26)</f>
        <v>11096212.390000001</v>
      </c>
      <c r="Y40" s="174">
        <f>SUM(Y38,Y35,Y32,Y29,Y26)</f>
        <v>381165.19999999995</v>
      </c>
      <c r="Z40" s="174">
        <f>SUM(Z38,Z38,Z35,Z32,Z29,Z26)</f>
        <v>1061.83</v>
      </c>
      <c r="AA40" s="174">
        <f>SUM(AA38,AA35,AA32,AA29,AA26)</f>
        <v>184130.97999999998</v>
      </c>
      <c r="AB40" s="174">
        <f t="shared" ref="AB40:AG40" si="27">SUM(AB38,AB35,AB32,AB29,AB26)</f>
        <v>180089.45</v>
      </c>
      <c r="AC40" s="174">
        <f t="shared" si="27"/>
        <v>6198.5</v>
      </c>
      <c r="AD40" s="174">
        <f t="shared" si="27"/>
        <v>24</v>
      </c>
      <c r="AE40" s="174">
        <f t="shared" si="27"/>
        <v>24</v>
      </c>
      <c r="AF40" s="174">
        <f t="shared" si="27"/>
        <v>0</v>
      </c>
      <c r="AG40" s="174">
        <f t="shared" si="27"/>
        <v>40428.5</v>
      </c>
      <c r="AH40" s="174">
        <f>SUM(AH25:AH38)</f>
        <v>11889334.850000001</v>
      </c>
      <c r="AI40" s="174"/>
      <c r="AT40"/>
      <c r="AU40"/>
      <c r="AV40" s="561"/>
      <c r="AW40" s="561"/>
    </row>
    <row r="41" spans="1:49" ht="15.75" x14ac:dyDescent="0.25">
      <c r="A41" s="853"/>
      <c r="B41" s="841" t="s">
        <v>523</v>
      </c>
      <c r="C41" s="853"/>
      <c r="D41" s="332"/>
      <c r="E41" s="387" t="s">
        <v>472</v>
      </c>
      <c r="F41" s="201" t="s">
        <v>820</v>
      </c>
      <c r="G41" s="201">
        <v>0</v>
      </c>
      <c r="H41" s="850"/>
      <c r="I41" s="800">
        <v>12000</v>
      </c>
      <c r="J41" s="538"/>
      <c r="K41" s="387" t="s">
        <v>114</v>
      </c>
      <c r="L41" s="846" t="s">
        <v>807</v>
      </c>
      <c r="M41" s="856">
        <v>566.91999999999996</v>
      </c>
      <c r="N41" s="525"/>
      <c r="O41" s="208"/>
      <c r="P41" s="280"/>
      <c r="Q41" s="216"/>
      <c r="R41" s="211"/>
      <c r="S41" s="236"/>
      <c r="V41" s="315" t="s">
        <v>68</v>
      </c>
      <c r="W41" s="314">
        <f ca="1">W40-P1+W43</f>
        <v>0</v>
      </c>
      <c r="AH41" s="174">
        <f>AH40-P1</f>
        <v>-1843.25</v>
      </c>
      <c r="AM41"/>
      <c r="AN41"/>
      <c r="AO41"/>
      <c r="AU41"/>
      <c r="AV41" s="561"/>
      <c r="AW41" s="561"/>
    </row>
    <row r="42" spans="1:49" ht="15.75" thickBot="1" x14ac:dyDescent="0.3">
      <c r="A42" s="853"/>
      <c r="B42" s="841" t="s">
        <v>523</v>
      </c>
      <c r="C42" s="853"/>
      <c r="D42" s="332"/>
      <c r="E42" s="387" t="s">
        <v>110</v>
      </c>
      <c r="F42" s="201" t="s">
        <v>808</v>
      </c>
      <c r="G42" s="201">
        <v>2268</v>
      </c>
      <c r="H42" s="850"/>
      <c r="I42" s="800">
        <v>47716.480000000003</v>
      </c>
      <c r="J42" s="538"/>
      <c r="K42" s="387" t="s">
        <v>113</v>
      </c>
      <c r="L42" s="846" t="s">
        <v>809</v>
      </c>
      <c r="M42" s="856">
        <v>17212.169999999998</v>
      </c>
      <c r="N42" s="525"/>
      <c r="O42" s="279" t="s">
        <v>15</v>
      </c>
      <c r="P42" s="281">
        <f>SUMIF(B:B,O42,G:G)</f>
        <v>3889636.3100000005</v>
      </c>
      <c r="Q42" s="237">
        <f t="shared" ref="Q42" si="28">+P42/2080</f>
        <v>1870.0174567307695</v>
      </c>
      <c r="R42" s="237">
        <f ca="1">SUMIF(B:J,O42,J:J)</f>
        <v>74441910.259999976</v>
      </c>
      <c r="S42" s="238">
        <f ca="1">+P46*Q27</f>
        <v>1769839.5853335627</v>
      </c>
      <c r="W42" s="174"/>
      <c r="AM42"/>
      <c r="AN42"/>
      <c r="AO42"/>
      <c r="AU42"/>
      <c r="AV42" s="561"/>
      <c r="AW42" s="561"/>
    </row>
    <row r="43" spans="1:49" x14ac:dyDescent="0.25">
      <c r="A43" s="853"/>
      <c r="B43" s="841" t="s">
        <v>523</v>
      </c>
      <c r="C43" s="853"/>
      <c r="D43" s="855"/>
      <c r="E43" s="387" t="s">
        <v>110</v>
      </c>
      <c r="F43" s="201" t="s">
        <v>810</v>
      </c>
      <c r="G43" s="201">
        <v>0</v>
      </c>
      <c r="H43" s="525"/>
      <c r="I43" s="800">
        <v>136626.59</v>
      </c>
      <c r="J43" s="538"/>
      <c r="K43" s="387" t="s">
        <v>114</v>
      </c>
      <c r="L43" s="846" t="s">
        <v>811</v>
      </c>
      <c r="M43" s="856">
        <v>7122.2</v>
      </c>
      <c r="N43" s="525"/>
      <c r="O43" s="172"/>
      <c r="Q43" s="316" t="s">
        <v>68</v>
      </c>
      <c r="R43" s="313">
        <f ca="1">+R39+R42-P7</f>
        <v>0</v>
      </c>
      <c r="V43" s="172" t="s">
        <v>380</v>
      </c>
      <c r="W43" s="321">
        <f ca="1">SUMIF(C:J,O11,H:H)+SUMIF(C:J,O12,H:H)</f>
        <v>1843.25</v>
      </c>
      <c r="AM43"/>
      <c r="AN43"/>
      <c r="AO43"/>
      <c r="AU43"/>
      <c r="AV43" s="561"/>
      <c r="AW43" s="561"/>
    </row>
    <row r="44" spans="1:49" ht="15.75" thickBot="1" x14ac:dyDescent="0.3">
      <c r="A44" s="853"/>
      <c r="B44" s="841" t="s">
        <v>523</v>
      </c>
      <c r="C44" s="853"/>
      <c r="D44" s="855"/>
      <c r="E44" s="387" t="s">
        <v>373</v>
      </c>
      <c r="F44" s="201" t="s">
        <v>818</v>
      </c>
      <c r="G44" s="201">
        <v>119.55</v>
      </c>
      <c r="H44" s="525"/>
      <c r="I44" s="800">
        <v>2899</v>
      </c>
      <c r="J44" s="538"/>
      <c r="K44" s="387" t="s">
        <v>114</v>
      </c>
      <c r="L44" s="846" t="s">
        <v>813</v>
      </c>
      <c r="M44" s="856">
        <v>141.24</v>
      </c>
      <c r="N44" s="525"/>
      <c r="O44" s="172"/>
      <c r="Q44" s="316" t="s">
        <v>68</v>
      </c>
      <c r="R44" s="313">
        <f ca="1">+P9-R40</f>
        <v>0</v>
      </c>
      <c r="AM44"/>
      <c r="AN44"/>
      <c r="AO44"/>
    </row>
    <row r="45" spans="1:49" x14ac:dyDescent="0.25">
      <c r="A45" s="853"/>
      <c r="B45" s="841" t="s">
        <v>523</v>
      </c>
      <c r="C45" s="853"/>
      <c r="D45" s="855"/>
      <c r="E45" s="387" t="s">
        <v>111</v>
      </c>
      <c r="F45" s="201" t="s">
        <v>819</v>
      </c>
      <c r="G45" s="201">
        <v>2827.74</v>
      </c>
      <c r="H45" s="525"/>
      <c r="I45" s="800">
        <v>57669.17</v>
      </c>
      <c r="J45" s="525"/>
      <c r="K45" s="387" t="s">
        <v>114</v>
      </c>
      <c r="L45" s="846" t="s">
        <v>814</v>
      </c>
      <c r="M45" s="856">
        <v>6071.92</v>
      </c>
      <c r="N45" s="525"/>
      <c r="O45" s="403" t="s">
        <v>146</v>
      </c>
      <c r="P45" s="404"/>
      <c r="Q45" s="404" t="s">
        <v>20</v>
      </c>
      <c r="R45" s="405" t="s">
        <v>15</v>
      </c>
      <c r="V45" s="203"/>
      <c r="AM45"/>
      <c r="AN45"/>
      <c r="AO45"/>
    </row>
    <row r="46" spans="1:49" x14ac:dyDescent="0.25">
      <c r="A46" s="853"/>
      <c r="B46" s="841" t="s">
        <v>523</v>
      </c>
      <c r="C46" s="853"/>
      <c r="D46" s="855"/>
      <c r="E46" s="846" t="s">
        <v>356</v>
      </c>
      <c r="F46" s="201" t="s">
        <v>812</v>
      </c>
      <c r="G46" s="271">
        <v>34942.81</v>
      </c>
      <c r="H46" s="525"/>
      <c r="I46" s="800">
        <v>933025.52</v>
      </c>
      <c r="J46" s="538"/>
      <c r="K46" s="387" t="s">
        <v>113</v>
      </c>
      <c r="L46" s="858" t="s">
        <v>815</v>
      </c>
      <c r="M46" s="856">
        <v>73596.479999999996</v>
      </c>
      <c r="N46" s="525"/>
      <c r="O46" s="406" t="s">
        <v>150</v>
      </c>
      <c r="P46" s="407">
        <f ca="1">'TB Tagging'!B25+(SUMIF('TB Tagging'!D:D,'TB Tagging'!V39,'TB Tagging'!B:B))</f>
        <v>5127454.705678436</v>
      </c>
      <c r="Q46" s="408">
        <f ca="1">+P46*P34</f>
        <v>3330486.0425387723</v>
      </c>
      <c r="R46" s="409">
        <f ca="1">+P46*P33</f>
        <v>1796968.6631396641</v>
      </c>
      <c r="S46" s="174">
        <f ca="1">+P47-Q47-R47</f>
        <v>0</v>
      </c>
      <c r="T46" s="174"/>
      <c r="AM46"/>
      <c r="AN46"/>
      <c r="AO46"/>
    </row>
    <row r="47" spans="1:49" x14ac:dyDescent="0.25">
      <c r="A47" s="853"/>
      <c r="B47" s="841" t="s">
        <v>523</v>
      </c>
      <c r="C47" s="853"/>
      <c r="D47" s="332"/>
      <c r="E47" s="846" t="s">
        <v>469</v>
      </c>
      <c r="F47" s="201" t="s">
        <v>821</v>
      </c>
      <c r="G47" s="271">
        <v>0</v>
      </c>
      <c r="H47" s="525"/>
      <c r="I47" s="800">
        <v>938.4</v>
      </c>
      <c r="J47" s="538"/>
      <c r="K47" s="859"/>
      <c r="L47" s="858"/>
      <c r="M47" s="856"/>
      <c r="N47" s="525"/>
      <c r="O47" s="406" t="s">
        <v>148</v>
      </c>
      <c r="P47" s="410">
        <f ca="1">'TB Tagging'!B28</f>
        <v>31894.367732684845</v>
      </c>
      <c r="Q47" s="408">
        <f ca="1">+P47*P34</f>
        <v>20716.662099748559</v>
      </c>
      <c r="R47" s="411">
        <f ca="1">+P47*P33</f>
        <v>11177.705632936286</v>
      </c>
      <c r="S47" s="174">
        <f ca="1">+P46-Q46-R46</f>
        <v>0</v>
      </c>
      <c r="T47" s="174"/>
      <c r="AM47"/>
      <c r="AN47"/>
      <c r="AO47"/>
    </row>
    <row r="48" spans="1:49" x14ac:dyDescent="0.25">
      <c r="A48" s="853"/>
      <c r="B48" s="841" t="s">
        <v>523</v>
      </c>
      <c r="C48" s="853"/>
      <c r="D48" s="855"/>
      <c r="E48" s="846"/>
      <c r="F48" s="201"/>
      <c r="G48" s="201"/>
      <c r="H48" s="850"/>
      <c r="I48" s="800"/>
      <c r="J48" s="538"/>
      <c r="K48" s="858"/>
      <c r="L48" s="858"/>
      <c r="M48" s="856"/>
      <c r="N48" s="840"/>
      <c r="O48" s="406" t="s">
        <v>151</v>
      </c>
      <c r="P48" s="412">
        <f ca="1">'TB Tagging'!B30</f>
        <v>1385.9958245065091</v>
      </c>
      <c r="Q48" s="413"/>
      <c r="R48" s="411"/>
      <c r="AM48"/>
      <c r="AN48"/>
      <c r="AO48"/>
    </row>
    <row r="49" spans="1:41" x14ac:dyDescent="0.25">
      <c r="A49" s="853"/>
      <c r="B49" s="841" t="s">
        <v>523</v>
      </c>
      <c r="C49" s="853"/>
      <c r="D49" s="855"/>
      <c r="E49" s="846"/>
      <c r="F49" s="201"/>
      <c r="G49" s="201"/>
      <c r="H49" s="860"/>
      <c r="I49" s="800"/>
      <c r="J49" s="538"/>
      <c r="K49" s="858"/>
      <c r="L49" s="858"/>
      <c r="M49" s="858"/>
      <c r="N49" s="525"/>
      <c r="O49" s="414"/>
      <c r="P49" s="415"/>
      <c r="Q49" s="416"/>
      <c r="R49" s="417"/>
      <c r="AM49"/>
      <c r="AN49"/>
      <c r="AO49"/>
    </row>
    <row r="50" spans="1:41" x14ac:dyDescent="0.25">
      <c r="A50" s="841" t="s">
        <v>523</v>
      </c>
      <c r="B50" s="841" t="s">
        <v>523</v>
      </c>
      <c r="C50" s="848" t="s">
        <v>291</v>
      </c>
      <c r="D50" s="842" t="s">
        <v>852</v>
      </c>
      <c r="E50" s="846"/>
      <c r="F50" s="201"/>
      <c r="G50" s="201"/>
      <c r="H50" s="525">
        <v>40158.1</v>
      </c>
      <c r="I50" s="800"/>
      <c r="J50" s="538">
        <v>1190875.1599999999</v>
      </c>
      <c r="K50" s="846"/>
      <c r="M50" s="286"/>
      <c r="N50" s="538">
        <v>104710.93</v>
      </c>
      <c r="O50" s="406" t="s">
        <v>149</v>
      </c>
      <c r="P50" s="413"/>
      <c r="Q50" s="413"/>
      <c r="R50" s="411">
        <v>1</v>
      </c>
      <c r="U50" s="172" t="s">
        <v>147</v>
      </c>
      <c r="AM50"/>
      <c r="AN50"/>
      <c r="AO50"/>
    </row>
    <row r="51" spans="1:41" x14ac:dyDescent="0.25">
      <c r="A51" s="853"/>
      <c r="B51" s="854"/>
      <c r="C51" s="853"/>
      <c r="D51" s="855"/>
      <c r="E51" s="846"/>
      <c r="F51" s="201"/>
      <c r="G51" s="201"/>
      <c r="H51" s="850"/>
      <c r="I51" s="800"/>
      <c r="J51" s="538"/>
      <c r="K51" s="846"/>
      <c r="M51" s="286"/>
      <c r="N51" s="525"/>
      <c r="O51" s="406"/>
      <c r="P51" s="413"/>
      <c r="Q51" s="413" t="s">
        <v>20</v>
      </c>
      <c r="R51" s="411" t="s">
        <v>15</v>
      </c>
      <c r="U51" s="172" t="s">
        <v>147</v>
      </c>
      <c r="X51" s="239"/>
      <c r="AM51"/>
      <c r="AN51"/>
      <c r="AO51"/>
    </row>
    <row r="52" spans="1:41" x14ac:dyDescent="0.25">
      <c r="A52" s="853"/>
      <c r="B52" s="854"/>
      <c r="C52" s="853"/>
      <c r="D52" s="855"/>
      <c r="E52" s="846"/>
      <c r="F52" s="201"/>
      <c r="G52" s="201"/>
      <c r="H52" s="855"/>
      <c r="I52" s="800"/>
      <c r="J52" s="538"/>
      <c r="K52" s="859"/>
      <c r="M52" s="286"/>
      <c r="N52" s="525"/>
      <c r="O52" s="406" t="s">
        <v>150</v>
      </c>
      <c r="P52" s="412">
        <f ca="1">'TB Tagging'!B33</f>
        <v>1102895.4248214059</v>
      </c>
      <c r="Q52" s="412">
        <f ca="1">+P52*P34</f>
        <v>716374.50345093745</v>
      </c>
      <c r="R52" s="409">
        <f ca="1">+P52*P33</f>
        <v>386520.92137046851</v>
      </c>
      <c r="S52" s="174">
        <f ca="1">+P52-Q52-R52</f>
        <v>0</v>
      </c>
      <c r="T52" s="174"/>
      <c r="AM52"/>
      <c r="AN52"/>
      <c r="AO52"/>
    </row>
    <row r="53" spans="1:41" x14ac:dyDescent="0.25">
      <c r="A53" s="853"/>
      <c r="B53" s="841" t="s">
        <v>523</v>
      </c>
      <c r="C53" s="853"/>
      <c r="D53" s="855"/>
      <c r="E53" s="387" t="s">
        <v>472</v>
      </c>
      <c r="F53" s="201" t="s">
        <v>820</v>
      </c>
      <c r="G53" s="201">
        <v>0</v>
      </c>
      <c r="H53" s="861"/>
      <c r="I53" s="800">
        <v>2850</v>
      </c>
      <c r="J53" s="538"/>
      <c r="K53" s="387" t="s">
        <v>114</v>
      </c>
      <c r="L53" s="201" t="s">
        <v>807</v>
      </c>
      <c r="M53" s="286">
        <v>150.01</v>
      </c>
      <c r="N53" s="525"/>
      <c r="O53" s="418" t="s">
        <v>148</v>
      </c>
      <c r="P53" s="412">
        <f ca="1">'TB Tagging'!B36</f>
        <v>141933.46572218076</v>
      </c>
      <c r="Q53" s="412">
        <f ca="1">+P53*P34</f>
        <v>92191.438772413749</v>
      </c>
      <c r="R53" s="409">
        <f ca="1">+P53*P33</f>
        <v>49742.026949767023</v>
      </c>
      <c r="S53" s="174">
        <f ca="1">+P53-Q53-R53</f>
        <v>0</v>
      </c>
      <c r="T53" s="174"/>
      <c r="AM53"/>
      <c r="AN53"/>
      <c r="AO53"/>
    </row>
    <row r="54" spans="1:41" x14ac:dyDescent="0.25">
      <c r="A54" s="853"/>
      <c r="B54" s="841" t="s">
        <v>523</v>
      </c>
      <c r="C54" s="853"/>
      <c r="D54" s="855"/>
      <c r="E54" s="387" t="s">
        <v>110</v>
      </c>
      <c r="F54" s="201" t="s">
        <v>808</v>
      </c>
      <c r="G54" s="286">
        <v>646.5</v>
      </c>
      <c r="H54" s="861"/>
      <c r="I54" s="800">
        <v>14543.78</v>
      </c>
      <c r="J54" s="537"/>
      <c r="K54" s="387" t="s">
        <v>113</v>
      </c>
      <c r="L54" s="201" t="s">
        <v>809</v>
      </c>
      <c r="M54" s="286">
        <v>4945.93</v>
      </c>
      <c r="N54" s="525"/>
      <c r="O54" s="418" t="s">
        <v>151</v>
      </c>
      <c r="P54" s="412">
        <f ca="1">'TB Tagging'!B38</f>
        <v>6167.8347881806585</v>
      </c>
      <c r="Q54" s="419"/>
      <c r="R54" s="411"/>
      <c r="AM54"/>
      <c r="AN54"/>
      <c r="AO54"/>
    </row>
    <row r="55" spans="1:41" x14ac:dyDescent="0.25">
      <c r="A55" s="854"/>
      <c r="B55" s="841" t="s">
        <v>523</v>
      </c>
      <c r="C55" s="332"/>
      <c r="D55" s="332"/>
      <c r="E55" s="387" t="s">
        <v>110</v>
      </c>
      <c r="F55" s="201" t="s">
        <v>810</v>
      </c>
      <c r="G55" s="286">
        <v>0</v>
      </c>
      <c r="H55" s="861"/>
      <c r="I55" s="800">
        <v>21828.560000000001</v>
      </c>
      <c r="J55" s="525"/>
      <c r="K55" s="387" t="s">
        <v>114</v>
      </c>
      <c r="L55" s="846" t="s">
        <v>811</v>
      </c>
      <c r="M55" s="846">
        <v>2046.73</v>
      </c>
      <c r="N55" s="525"/>
      <c r="O55" s="418"/>
      <c r="P55" s="412"/>
      <c r="Q55" s="419"/>
      <c r="R55" s="411"/>
      <c r="AM55"/>
      <c r="AN55"/>
      <c r="AO55"/>
    </row>
    <row r="56" spans="1:41" x14ac:dyDescent="0.25">
      <c r="A56" s="853"/>
      <c r="B56" s="841" t="s">
        <v>523</v>
      </c>
      <c r="C56" s="853"/>
      <c r="D56" s="855"/>
      <c r="E56" s="387" t="s">
        <v>373</v>
      </c>
      <c r="F56" s="201" t="s">
        <v>818</v>
      </c>
      <c r="G56" s="286">
        <v>577.17999999999995</v>
      </c>
      <c r="H56" s="861"/>
      <c r="I56" s="800">
        <v>9572.35</v>
      </c>
      <c r="J56" s="537"/>
      <c r="K56" s="387" t="s">
        <v>114</v>
      </c>
      <c r="L56" s="846" t="s">
        <v>813</v>
      </c>
      <c r="M56" s="846">
        <v>43.52</v>
      </c>
      <c r="N56" s="525"/>
      <c r="O56" s="418"/>
      <c r="P56" s="412"/>
      <c r="Q56" s="419"/>
      <c r="R56" s="411"/>
      <c r="AM56"/>
      <c r="AN56"/>
      <c r="AO56"/>
    </row>
    <row r="57" spans="1:41" x14ac:dyDescent="0.25">
      <c r="A57" s="853"/>
      <c r="B57" s="841" t="s">
        <v>523</v>
      </c>
      <c r="C57" s="853"/>
      <c r="D57" s="332"/>
      <c r="E57" s="387" t="s">
        <v>111</v>
      </c>
      <c r="F57" s="862" t="s">
        <v>819</v>
      </c>
      <c r="G57" s="286">
        <v>408.7</v>
      </c>
      <c r="H57" s="861"/>
      <c r="I57" s="856">
        <v>11744.22</v>
      </c>
      <c r="J57" s="537"/>
      <c r="K57" s="387" t="s">
        <v>114</v>
      </c>
      <c r="L57" s="846" t="s">
        <v>814</v>
      </c>
      <c r="M57" s="858">
        <v>1870.58</v>
      </c>
      <c r="N57" s="525"/>
      <c r="O57" s="418"/>
      <c r="P57" s="412"/>
      <c r="Q57" s="419"/>
      <c r="R57" s="411"/>
      <c r="AM57"/>
      <c r="AN57"/>
      <c r="AO57"/>
    </row>
    <row r="58" spans="1:41" x14ac:dyDescent="0.25">
      <c r="A58" s="853"/>
      <c r="B58" s="841" t="s">
        <v>523</v>
      </c>
      <c r="C58" s="853"/>
      <c r="D58" s="332"/>
      <c r="E58" s="846" t="s">
        <v>356</v>
      </c>
      <c r="F58" s="846" t="s">
        <v>812</v>
      </c>
      <c r="G58" s="863">
        <v>10236.11</v>
      </c>
      <c r="H58" s="861"/>
      <c r="I58" s="836">
        <v>280563.42</v>
      </c>
      <c r="J58" s="538"/>
      <c r="K58" s="387" t="s">
        <v>113</v>
      </c>
      <c r="L58" s="846" t="s">
        <v>815</v>
      </c>
      <c r="M58" s="858">
        <v>21148.47</v>
      </c>
      <c r="N58" s="525"/>
      <c r="O58" s="418"/>
      <c r="P58" s="412"/>
      <c r="Q58" s="419"/>
      <c r="R58" s="411"/>
      <c r="AM58"/>
      <c r="AN58"/>
      <c r="AO58"/>
    </row>
    <row r="59" spans="1:41" x14ac:dyDescent="0.25">
      <c r="A59" s="853"/>
      <c r="B59" s="841" t="s">
        <v>523</v>
      </c>
      <c r="C59" s="853"/>
      <c r="D59" s="855"/>
      <c r="E59" s="846"/>
      <c r="F59" s="846"/>
      <c r="G59" s="863"/>
      <c r="H59" s="850"/>
      <c r="I59" s="856"/>
      <c r="J59" s="537"/>
      <c r="K59" s="846"/>
      <c r="L59" s="846"/>
      <c r="M59" s="858"/>
      <c r="N59" s="525"/>
      <c r="O59" s="418"/>
      <c r="P59" s="412"/>
      <c r="Q59" s="419"/>
      <c r="R59" s="411"/>
      <c r="AM59"/>
      <c r="AN59"/>
      <c r="AO59"/>
    </row>
    <row r="60" spans="1:41" x14ac:dyDescent="0.25">
      <c r="A60" s="853"/>
      <c r="B60" s="841" t="s">
        <v>523</v>
      </c>
      <c r="C60" s="853"/>
      <c r="D60" s="855"/>
      <c r="E60" s="846"/>
      <c r="F60" s="201"/>
      <c r="G60" s="286"/>
      <c r="H60" s="850"/>
      <c r="I60" s="800"/>
      <c r="J60" s="537"/>
      <c r="K60" s="846"/>
      <c r="M60" s="286"/>
      <c r="N60" s="525"/>
      <c r="O60" s="418"/>
      <c r="P60" s="412"/>
      <c r="Q60" s="419"/>
      <c r="R60" s="411"/>
      <c r="AM60"/>
      <c r="AN60"/>
      <c r="AO60"/>
    </row>
    <row r="61" spans="1:41" x14ac:dyDescent="0.25">
      <c r="A61" s="841" t="s">
        <v>523</v>
      </c>
      <c r="B61" s="841" t="s">
        <v>523</v>
      </c>
      <c r="C61" s="848" t="s">
        <v>291</v>
      </c>
      <c r="D61" s="332" t="s">
        <v>853</v>
      </c>
      <c r="E61" s="846"/>
      <c r="F61" s="201"/>
      <c r="G61" s="286"/>
      <c r="H61" s="850">
        <v>11868.49</v>
      </c>
      <c r="I61" s="800"/>
      <c r="J61" s="537">
        <v>341102.32999999996</v>
      </c>
      <c r="K61" s="846"/>
      <c r="M61" s="286"/>
      <c r="N61" s="538">
        <v>30205.24</v>
      </c>
      <c r="O61" s="418"/>
      <c r="P61" s="412"/>
      <c r="Q61" s="419"/>
      <c r="R61" s="411"/>
      <c r="AM61"/>
      <c r="AN61"/>
      <c r="AO61"/>
    </row>
    <row r="62" spans="1:41" ht="18" x14ac:dyDescent="0.4">
      <c r="A62" s="853"/>
      <c r="B62" s="854"/>
      <c r="C62" s="853"/>
      <c r="D62" s="855"/>
      <c r="E62" s="846"/>
      <c r="F62" s="201"/>
      <c r="G62" s="864"/>
      <c r="H62" s="850"/>
      <c r="I62" s="800"/>
      <c r="J62" s="537"/>
      <c r="K62" s="859"/>
      <c r="M62" s="286"/>
      <c r="N62" s="840"/>
      <c r="O62" s="418"/>
      <c r="P62" s="412"/>
      <c r="Q62" s="419"/>
      <c r="R62" s="411"/>
      <c r="AM62"/>
      <c r="AN62"/>
      <c r="AO62"/>
    </row>
    <row r="63" spans="1:41" x14ac:dyDescent="0.25">
      <c r="A63" s="853"/>
      <c r="B63" s="854"/>
      <c r="C63" s="853"/>
      <c r="D63" s="332"/>
      <c r="E63" s="865"/>
      <c r="F63" s="201"/>
      <c r="G63" s="286"/>
      <c r="H63" s="840"/>
      <c r="I63" s="800"/>
      <c r="J63" s="537"/>
      <c r="K63" s="858"/>
      <c r="M63" s="286"/>
      <c r="N63" s="525"/>
      <c r="O63" s="418"/>
      <c r="P63" s="412"/>
      <c r="Q63" s="419"/>
      <c r="R63" s="411"/>
      <c r="AM63"/>
      <c r="AN63"/>
      <c r="AO63"/>
    </row>
    <row r="64" spans="1:41" x14ac:dyDescent="0.25">
      <c r="A64" s="853"/>
      <c r="B64" s="841" t="s">
        <v>523</v>
      </c>
      <c r="C64" s="853"/>
      <c r="D64" s="332"/>
      <c r="E64" s="387" t="s">
        <v>110</v>
      </c>
      <c r="F64" s="201" t="s">
        <v>808</v>
      </c>
      <c r="G64" s="286">
        <v>1353</v>
      </c>
      <c r="H64" s="525"/>
      <c r="I64" s="800">
        <v>22885.75</v>
      </c>
      <c r="J64" s="537"/>
      <c r="K64" s="387" t="s">
        <v>114</v>
      </c>
      <c r="L64" s="201" t="s">
        <v>807</v>
      </c>
      <c r="M64" s="286">
        <v>1060.93</v>
      </c>
      <c r="N64" s="525"/>
      <c r="O64" s="418"/>
      <c r="P64" s="412"/>
      <c r="Q64" s="419"/>
      <c r="R64" s="411"/>
      <c r="AM64"/>
      <c r="AN64"/>
      <c r="AO64"/>
    </row>
    <row r="65" spans="1:44" ht="18.75" thickBot="1" x14ac:dyDescent="0.45">
      <c r="A65" s="853"/>
      <c r="B65" s="841" t="s">
        <v>523</v>
      </c>
      <c r="C65" s="853"/>
      <c r="D65" s="855"/>
      <c r="E65" s="387" t="s">
        <v>110</v>
      </c>
      <c r="F65" s="201" t="s">
        <v>810</v>
      </c>
      <c r="G65" s="864">
        <v>0</v>
      </c>
      <c r="H65" s="525"/>
      <c r="I65" s="800">
        <v>37989.019999999997</v>
      </c>
      <c r="J65" s="537"/>
      <c r="K65" s="387" t="s">
        <v>113</v>
      </c>
      <c r="L65" s="858" t="s">
        <v>809</v>
      </c>
      <c r="M65" s="271">
        <v>12423.51</v>
      </c>
      <c r="N65" s="525"/>
      <c r="O65" s="420" t="s">
        <v>152</v>
      </c>
      <c r="P65" s="421">
        <f ca="1">'TB Tagging'!B37</f>
        <v>0</v>
      </c>
      <c r="Q65" s="422"/>
      <c r="R65" s="423"/>
      <c r="AM65"/>
      <c r="AN65"/>
      <c r="AO65"/>
    </row>
    <row r="66" spans="1:44" x14ac:dyDescent="0.25">
      <c r="A66" s="853"/>
      <c r="B66" s="841" t="s">
        <v>523</v>
      </c>
      <c r="C66" s="853"/>
      <c r="D66" s="855"/>
      <c r="E66" s="387" t="s">
        <v>373</v>
      </c>
      <c r="F66" s="201" t="s">
        <v>818</v>
      </c>
      <c r="G66" s="286">
        <v>198.78</v>
      </c>
      <c r="H66" s="525"/>
      <c r="I66" s="800">
        <v>6013.74</v>
      </c>
      <c r="J66" s="840"/>
      <c r="K66" s="387" t="s">
        <v>114</v>
      </c>
      <c r="L66" s="858" t="s">
        <v>811</v>
      </c>
      <c r="M66" s="858">
        <v>5140.68</v>
      </c>
      <c r="N66" s="840"/>
      <c r="O66" s="522"/>
      <c r="P66" s="412"/>
      <c r="Q66" s="419"/>
      <c r="R66" s="413"/>
      <c r="U66" s="203"/>
      <c r="V66" s="203"/>
      <c r="AO66"/>
    </row>
    <row r="67" spans="1:44" x14ac:dyDescent="0.25">
      <c r="A67" s="853"/>
      <c r="B67" s="841" t="s">
        <v>523</v>
      </c>
      <c r="C67" s="853"/>
      <c r="D67" s="855"/>
      <c r="E67" s="387" t="s">
        <v>111</v>
      </c>
      <c r="F67" s="201" t="s">
        <v>819</v>
      </c>
      <c r="G67" s="286">
        <v>1109.05</v>
      </c>
      <c r="H67" s="525"/>
      <c r="I67" s="800">
        <v>12451.41</v>
      </c>
      <c r="J67" s="667"/>
      <c r="K67" s="387" t="s">
        <v>114</v>
      </c>
      <c r="L67" s="858" t="s">
        <v>813</v>
      </c>
      <c r="M67" s="858">
        <v>223.1</v>
      </c>
      <c r="N67" s="525"/>
      <c r="R67" s="172"/>
      <c r="U67" s="203"/>
      <c r="V67" s="203"/>
      <c r="AO67"/>
    </row>
    <row r="68" spans="1:44" x14ac:dyDescent="0.25">
      <c r="A68" s="853"/>
      <c r="B68" s="841" t="s">
        <v>523</v>
      </c>
      <c r="C68" s="853"/>
      <c r="D68" s="855"/>
      <c r="E68" s="846" t="s">
        <v>356</v>
      </c>
      <c r="F68" s="201" t="s">
        <v>812</v>
      </c>
      <c r="G68" s="286">
        <v>21581.37</v>
      </c>
      <c r="H68" s="525"/>
      <c r="I68" s="800">
        <v>780749.21</v>
      </c>
      <c r="J68" s="667"/>
      <c r="K68" s="387" t="s">
        <v>114</v>
      </c>
      <c r="L68" s="846" t="s">
        <v>814</v>
      </c>
      <c r="M68" s="858">
        <v>9591.86</v>
      </c>
      <c r="N68" s="525"/>
      <c r="O68" s="271"/>
      <c r="P68" s="241"/>
      <c r="Q68" s="195"/>
      <c r="R68" s="172"/>
      <c r="S68" s="202"/>
      <c r="T68" s="172"/>
      <c r="U68" s="203"/>
      <c r="V68" s="203"/>
      <c r="AO68"/>
    </row>
    <row r="69" spans="1:44" x14ac:dyDescent="0.25">
      <c r="A69" s="853"/>
      <c r="B69" s="841" t="s">
        <v>523</v>
      </c>
      <c r="C69" s="853"/>
      <c r="D69" s="855"/>
      <c r="E69" s="846"/>
      <c r="F69" s="201"/>
      <c r="G69" s="286"/>
      <c r="H69" s="850"/>
      <c r="I69" s="800"/>
      <c r="J69" s="667"/>
      <c r="K69" s="387" t="s">
        <v>113</v>
      </c>
      <c r="L69" s="846" t="s">
        <v>815</v>
      </c>
      <c r="M69" s="858">
        <v>53121.47</v>
      </c>
      <c r="N69" s="525"/>
      <c r="O69" s="271"/>
      <c r="P69" s="241"/>
      <c r="Q69" s="195"/>
      <c r="R69" s="172"/>
      <c r="S69" s="202"/>
      <c r="T69" s="172"/>
      <c r="U69" s="203"/>
      <c r="V69" s="203"/>
      <c r="AO69"/>
    </row>
    <row r="70" spans="1:44" x14ac:dyDescent="0.25">
      <c r="A70" s="853"/>
      <c r="B70" s="841" t="s">
        <v>523</v>
      </c>
      <c r="C70" s="853"/>
      <c r="D70" s="855"/>
      <c r="E70" s="846"/>
      <c r="F70" s="201"/>
      <c r="G70" s="286"/>
      <c r="H70" s="850"/>
      <c r="I70" s="800"/>
      <c r="J70" s="667"/>
      <c r="K70" s="846"/>
      <c r="L70" s="846"/>
      <c r="M70" s="858"/>
      <c r="N70" s="525"/>
      <c r="O70" s="271"/>
      <c r="P70" s="241"/>
      <c r="Q70" s="195"/>
      <c r="R70" s="172"/>
      <c r="S70" s="202"/>
      <c r="T70" s="211"/>
      <c r="U70" s="203"/>
      <c r="V70" s="203"/>
      <c r="AO70"/>
    </row>
    <row r="71" spans="1:44" x14ac:dyDescent="0.25">
      <c r="A71" s="853"/>
      <c r="B71" s="841" t="s">
        <v>523</v>
      </c>
      <c r="C71" s="853"/>
      <c r="D71" s="855"/>
      <c r="E71" s="846"/>
      <c r="F71" s="201"/>
      <c r="G71" s="286"/>
      <c r="H71" s="840"/>
      <c r="I71" s="800"/>
      <c r="J71" s="667"/>
      <c r="K71" s="859"/>
      <c r="L71" s="846"/>
      <c r="M71" s="858"/>
      <c r="N71" s="525"/>
      <c r="O71" s="271"/>
      <c r="P71" s="241"/>
      <c r="Q71" s="195"/>
      <c r="R71" s="172"/>
      <c r="S71" s="202"/>
      <c r="T71" s="172"/>
      <c r="U71" s="203"/>
      <c r="V71" s="203"/>
      <c r="AO71"/>
    </row>
    <row r="72" spans="1:44" x14ac:dyDescent="0.25">
      <c r="A72" s="841" t="s">
        <v>523</v>
      </c>
      <c r="B72" s="841" t="s">
        <v>523</v>
      </c>
      <c r="C72" s="848" t="s">
        <v>291</v>
      </c>
      <c r="D72" s="855" t="s">
        <v>854</v>
      </c>
      <c r="E72" s="865"/>
      <c r="F72" s="201"/>
      <c r="G72" s="866"/>
      <c r="H72" s="840">
        <v>24242.199999999997</v>
      </c>
      <c r="I72" s="800"/>
      <c r="J72" s="667">
        <v>860089.13</v>
      </c>
      <c r="K72" s="858"/>
      <c r="L72" s="846"/>
      <c r="M72" s="858"/>
      <c r="N72" s="538">
        <v>81561.55</v>
      </c>
      <c r="O72" s="201"/>
      <c r="P72" s="241"/>
      <c r="Q72" s="195"/>
      <c r="R72" s="172"/>
      <c r="S72" s="202"/>
      <c r="T72" s="172"/>
      <c r="U72" s="203"/>
      <c r="V72" s="203"/>
      <c r="AO72"/>
    </row>
    <row r="73" spans="1:44" x14ac:dyDescent="0.25">
      <c r="A73" s="853"/>
      <c r="B73" s="854"/>
      <c r="C73" s="853"/>
      <c r="D73" s="855"/>
      <c r="E73" s="846"/>
      <c r="F73" s="201"/>
      <c r="G73" s="286"/>
      <c r="H73" s="840"/>
      <c r="I73" s="800"/>
      <c r="J73" s="667"/>
      <c r="K73" s="858"/>
      <c r="L73" s="846"/>
      <c r="M73" s="858"/>
      <c r="N73" s="525"/>
      <c r="O73" s="201"/>
      <c r="P73" s="242"/>
      <c r="Q73" s="195"/>
      <c r="R73" s="172"/>
      <c r="S73" s="202"/>
      <c r="T73" s="172"/>
      <c r="U73" s="203"/>
      <c r="V73" s="203"/>
      <c r="AO73"/>
    </row>
    <row r="74" spans="1:44" x14ac:dyDescent="0.25">
      <c r="A74" s="853"/>
      <c r="B74" s="854"/>
      <c r="C74" s="853"/>
      <c r="D74" s="855"/>
      <c r="E74" s="846"/>
      <c r="F74" s="201"/>
      <c r="G74" s="286"/>
      <c r="H74" s="840"/>
      <c r="I74" s="800"/>
      <c r="J74" s="667"/>
      <c r="K74" s="858"/>
      <c r="L74" s="846"/>
      <c r="M74" s="858"/>
      <c r="N74" s="525"/>
      <c r="O74" s="201"/>
      <c r="P74" s="242"/>
      <c r="Q74" s="195"/>
      <c r="R74" s="172"/>
      <c r="S74" s="202"/>
      <c r="T74" s="172"/>
      <c r="U74" s="203"/>
      <c r="V74" s="203"/>
      <c r="AO74"/>
    </row>
    <row r="75" spans="1:44" x14ac:dyDescent="0.25">
      <c r="A75" s="853"/>
      <c r="B75" s="841" t="s">
        <v>523</v>
      </c>
      <c r="C75" s="853"/>
      <c r="D75" s="855"/>
      <c r="E75" s="387" t="s">
        <v>472</v>
      </c>
      <c r="F75" s="201" t="s">
        <v>820</v>
      </c>
      <c r="G75" s="863">
        <v>0</v>
      </c>
      <c r="H75" s="840"/>
      <c r="I75" s="800">
        <v>132450</v>
      </c>
      <c r="J75" s="667"/>
      <c r="K75" s="387" t="s">
        <v>114</v>
      </c>
      <c r="L75" s="858" t="s">
        <v>807</v>
      </c>
      <c r="M75" s="858">
        <v>7858.12</v>
      </c>
      <c r="N75" s="525"/>
      <c r="O75" s="201"/>
      <c r="P75" s="242"/>
      <c r="Q75" s="195"/>
      <c r="R75" s="172"/>
      <c r="S75" s="202"/>
      <c r="T75" s="172"/>
      <c r="U75" s="203"/>
      <c r="V75" s="203"/>
      <c r="AO75"/>
    </row>
    <row r="76" spans="1:44" x14ac:dyDescent="0.25">
      <c r="A76" s="853"/>
      <c r="B76" s="841" t="s">
        <v>523</v>
      </c>
      <c r="C76" s="853"/>
      <c r="D76" s="855"/>
      <c r="E76" s="387" t="s">
        <v>472</v>
      </c>
      <c r="F76" s="201" t="s">
        <v>806</v>
      </c>
      <c r="G76" s="286">
        <v>0</v>
      </c>
      <c r="H76" s="840"/>
      <c r="I76" s="800">
        <v>41685</v>
      </c>
      <c r="J76" s="840"/>
      <c r="K76" s="387" t="s">
        <v>113</v>
      </c>
      <c r="L76" s="858" t="s">
        <v>809</v>
      </c>
      <c r="M76" s="858">
        <v>197603.58</v>
      </c>
      <c r="N76" s="840"/>
      <c r="O76" s="271"/>
      <c r="P76" s="242"/>
      <c r="Q76" s="195"/>
      <c r="R76" s="172"/>
      <c r="S76" s="202"/>
      <c r="T76" s="172"/>
      <c r="U76" s="203"/>
      <c r="V76" s="203"/>
      <c r="AO76"/>
    </row>
    <row r="77" spans="1:44" x14ac:dyDescent="0.25">
      <c r="A77" s="853"/>
      <c r="B77" s="841" t="s">
        <v>523</v>
      </c>
      <c r="C77" s="853"/>
      <c r="D77" s="855"/>
      <c r="E77" s="846" t="s">
        <v>470</v>
      </c>
      <c r="F77" s="201" t="s">
        <v>822</v>
      </c>
      <c r="G77" s="863">
        <v>24</v>
      </c>
      <c r="H77" s="840"/>
      <c r="I77" s="800">
        <v>528</v>
      </c>
      <c r="J77" s="667"/>
      <c r="K77" s="387" t="s">
        <v>114</v>
      </c>
      <c r="L77" s="858" t="s">
        <v>811</v>
      </c>
      <c r="M77" s="858">
        <v>81579.039999999994</v>
      </c>
      <c r="N77" s="855"/>
      <c r="O77" s="271"/>
      <c r="P77" s="242"/>
      <c r="Q77" s="195"/>
      <c r="R77" s="172"/>
      <c r="S77" s="202"/>
      <c r="T77" s="211"/>
      <c r="U77" s="203"/>
      <c r="V77" s="203"/>
      <c r="W77" s="564"/>
      <c r="AO77"/>
      <c r="AP77"/>
      <c r="AQ77"/>
      <c r="AR77"/>
    </row>
    <row r="78" spans="1:44" x14ac:dyDescent="0.25">
      <c r="A78" s="853"/>
      <c r="B78" s="841" t="s">
        <v>523</v>
      </c>
      <c r="C78" s="853"/>
      <c r="D78" s="855"/>
      <c r="E78" s="387" t="s">
        <v>110</v>
      </c>
      <c r="F78" s="201" t="s">
        <v>808</v>
      </c>
      <c r="G78" s="863">
        <v>22820</v>
      </c>
      <c r="H78" s="840"/>
      <c r="I78" s="800">
        <v>510750.3</v>
      </c>
      <c r="J78" s="667"/>
      <c r="K78" s="387" t="s">
        <v>114</v>
      </c>
      <c r="L78" s="858" t="s">
        <v>813</v>
      </c>
      <c r="M78" s="858">
        <v>1834.35</v>
      </c>
      <c r="N78" s="855"/>
      <c r="O78" s="271"/>
      <c r="P78" s="242"/>
      <c r="Q78" s="172"/>
      <c r="R78" s="172"/>
      <c r="S78" s="172"/>
      <c r="T78" s="172"/>
      <c r="W78" s="564"/>
      <c r="AO78"/>
      <c r="AP78"/>
      <c r="AQ78"/>
      <c r="AR78"/>
    </row>
    <row r="79" spans="1:44" x14ac:dyDescent="0.25">
      <c r="A79" s="853"/>
      <c r="B79" s="841" t="s">
        <v>523</v>
      </c>
      <c r="C79" s="853"/>
      <c r="D79" s="855"/>
      <c r="E79" s="387" t="s">
        <v>110</v>
      </c>
      <c r="F79" s="201" t="s">
        <v>810</v>
      </c>
      <c r="G79" s="286">
        <v>1</v>
      </c>
      <c r="H79" s="840"/>
      <c r="I79" s="800">
        <v>1760753.42</v>
      </c>
      <c r="J79" s="667"/>
      <c r="K79" s="387" t="s">
        <v>114</v>
      </c>
      <c r="L79" s="858" t="s">
        <v>814</v>
      </c>
      <c r="M79" s="858">
        <v>78868.63</v>
      </c>
      <c r="N79" s="855"/>
      <c r="O79" s="271"/>
      <c r="P79" s="242"/>
      <c r="Q79" s="240"/>
      <c r="R79" s="196"/>
      <c r="S79" s="564"/>
      <c r="T79" s="564"/>
      <c r="U79" s="203"/>
      <c r="V79" s="203"/>
      <c r="W79" s="564"/>
      <c r="AO79"/>
      <c r="AP79"/>
      <c r="AQ79"/>
      <c r="AR79"/>
    </row>
    <row r="80" spans="1:44" x14ac:dyDescent="0.25">
      <c r="A80" s="853"/>
      <c r="B80" s="841" t="s">
        <v>523</v>
      </c>
      <c r="C80" s="853"/>
      <c r="D80" s="855"/>
      <c r="E80" s="387" t="s">
        <v>356</v>
      </c>
      <c r="F80" s="201" t="s">
        <v>817</v>
      </c>
      <c r="G80" s="286">
        <v>0</v>
      </c>
      <c r="H80" s="840"/>
      <c r="I80" s="800">
        <v>371248</v>
      </c>
      <c r="J80" s="667"/>
      <c r="K80" s="387" t="s">
        <v>113</v>
      </c>
      <c r="L80" s="858" t="s">
        <v>815</v>
      </c>
      <c r="M80" s="858">
        <v>842655.5</v>
      </c>
      <c r="N80" s="855"/>
      <c r="O80" s="271"/>
      <c r="P80" s="242"/>
      <c r="AO80"/>
      <c r="AP80"/>
      <c r="AQ80"/>
      <c r="AR80"/>
    </row>
    <row r="81" spans="1:44" ht="15.75" thickBot="1" x14ac:dyDescent="0.3">
      <c r="A81" s="853"/>
      <c r="B81" s="841" t="s">
        <v>523</v>
      </c>
      <c r="C81" s="853"/>
      <c r="D81" s="855"/>
      <c r="E81" s="387" t="s">
        <v>373</v>
      </c>
      <c r="F81" s="862" t="s">
        <v>818</v>
      </c>
      <c r="G81" s="286">
        <v>7448.6</v>
      </c>
      <c r="H81" s="840"/>
      <c r="I81" s="836">
        <v>276211.39</v>
      </c>
      <c r="J81" s="667"/>
      <c r="K81" s="846"/>
      <c r="L81" s="846"/>
      <c r="M81" s="858"/>
      <c r="N81" s="855"/>
      <c r="O81" s="271"/>
      <c r="P81" s="242"/>
      <c r="Q81" s="240"/>
      <c r="R81" s="196"/>
      <c r="S81" s="172"/>
      <c r="T81" s="172"/>
      <c r="AO81"/>
      <c r="AP81"/>
      <c r="AQ81"/>
      <c r="AR81"/>
    </row>
    <row r="82" spans="1:44" x14ac:dyDescent="0.25">
      <c r="A82" s="853"/>
      <c r="B82" s="841" t="s">
        <v>523</v>
      </c>
      <c r="C82" s="853"/>
      <c r="D82" s="865"/>
      <c r="E82" s="387" t="s">
        <v>111</v>
      </c>
      <c r="F82" s="862" t="s">
        <v>819</v>
      </c>
      <c r="G82" s="286">
        <v>28217.01</v>
      </c>
      <c r="H82" s="840"/>
      <c r="I82" s="836">
        <v>606142.81999999995</v>
      </c>
      <c r="J82" s="667"/>
      <c r="K82" s="846"/>
      <c r="L82" s="846"/>
      <c r="M82" s="858"/>
      <c r="N82" s="855"/>
      <c r="O82" s="591" t="s">
        <v>381</v>
      </c>
      <c r="P82" s="592"/>
      <c r="Q82" s="592"/>
      <c r="R82" s="592"/>
      <c r="S82" s="592"/>
      <c r="T82" s="593"/>
      <c r="AO82"/>
      <c r="AP82"/>
      <c r="AQ82"/>
      <c r="AR82"/>
    </row>
    <row r="83" spans="1:44" x14ac:dyDescent="0.25">
      <c r="A83" s="853"/>
      <c r="B83" s="841" t="s">
        <v>523</v>
      </c>
      <c r="C83" s="853"/>
      <c r="D83" s="855"/>
      <c r="E83" s="846" t="s">
        <v>356</v>
      </c>
      <c r="F83" s="867" t="s">
        <v>812</v>
      </c>
      <c r="G83" s="863">
        <v>360907.98</v>
      </c>
      <c r="H83" s="840"/>
      <c r="I83" s="836">
        <v>10857729.539999999</v>
      </c>
      <c r="J83" s="538"/>
      <c r="K83" s="846"/>
      <c r="L83" s="846"/>
      <c r="M83" s="858"/>
      <c r="N83" s="855"/>
      <c r="O83" s="355"/>
      <c r="P83" s="353"/>
      <c r="Q83" s="353"/>
      <c r="R83" s="353"/>
      <c r="S83" s="354"/>
      <c r="T83" s="356"/>
      <c r="AO83"/>
      <c r="AP83"/>
      <c r="AQ83"/>
      <c r="AR83"/>
    </row>
    <row r="84" spans="1:44" x14ac:dyDescent="0.25">
      <c r="A84" s="853"/>
      <c r="B84" s="841" t="s">
        <v>523</v>
      </c>
      <c r="C84" s="853"/>
      <c r="D84" s="332"/>
      <c r="E84" s="846" t="s">
        <v>469</v>
      </c>
      <c r="F84" s="867" t="s">
        <v>821</v>
      </c>
      <c r="G84" s="863">
        <v>0</v>
      </c>
      <c r="H84" s="840"/>
      <c r="I84" s="836">
        <v>2176</v>
      </c>
      <c r="J84" s="667"/>
      <c r="K84" s="846"/>
      <c r="L84" s="846"/>
      <c r="M84" s="858"/>
      <c r="N84" s="855"/>
      <c r="O84" s="539" t="s">
        <v>382</v>
      </c>
      <c r="P84" s="540">
        <v>738027.12</v>
      </c>
      <c r="Q84" s="541" t="s">
        <v>286</v>
      </c>
      <c r="R84" s="540">
        <v>27754659.870000001</v>
      </c>
      <c r="S84" s="354" t="s">
        <v>383</v>
      </c>
      <c r="T84" s="565">
        <v>2347656.3199999998</v>
      </c>
      <c r="AO84"/>
      <c r="AP84"/>
      <c r="AQ84"/>
      <c r="AR84"/>
    </row>
    <row r="85" spans="1:44" x14ac:dyDescent="0.25">
      <c r="A85" s="853"/>
      <c r="B85" s="841" t="s">
        <v>523</v>
      </c>
      <c r="C85" s="853"/>
      <c r="D85" s="332"/>
      <c r="E85" s="846"/>
      <c r="F85" s="201"/>
      <c r="G85" s="286"/>
      <c r="H85" s="525"/>
      <c r="I85" s="856"/>
      <c r="J85" s="667"/>
      <c r="K85" s="846"/>
      <c r="M85" s="286"/>
      <c r="N85" s="855"/>
      <c r="O85" s="539" t="s">
        <v>382</v>
      </c>
      <c r="P85" s="540">
        <v>11153150.98</v>
      </c>
      <c r="Q85" s="541" t="s">
        <v>286</v>
      </c>
      <c r="R85" s="540">
        <v>216922678.03999999</v>
      </c>
      <c r="S85" s="354" t="s">
        <v>383</v>
      </c>
      <c r="T85" s="565">
        <v>22275647.510000002</v>
      </c>
      <c r="AO85"/>
      <c r="AP85"/>
      <c r="AQ85"/>
      <c r="AR85"/>
    </row>
    <row r="86" spans="1:44" x14ac:dyDescent="0.25">
      <c r="A86" s="853"/>
      <c r="B86" s="841" t="s">
        <v>523</v>
      </c>
      <c r="C86" s="853"/>
      <c r="D86" s="332"/>
      <c r="E86" s="846"/>
      <c r="F86" s="201"/>
      <c r="G86" s="863"/>
      <c r="H86" s="525"/>
      <c r="I86" s="856"/>
      <c r="J86" s="667"/>
      <c r="K86" s="846"/>
      <c r="M86" s="868"/>
      <c r="N86" s="855"/>
      <c r="O86" s="539" t="s">
        <v>382</v>
      </c>
      <c r="P86" s="540"/>
      <c r="Q86" s="541" t="s">
        <v>286</v>
      </c>
      <c r="R86" s="540"/>
      <c r="S86" s="354" t="s">
        <v>383</v>
      </c>
      <c r="T86" s="565"/>
      <c r="AO86"/>
      <c r="AP86"/>
      <c r="AQ86"/>
      <c r="AR86"/>
    </row>
    <row r="87" spans="1:44" x14ac:dyDescent="0.25">
      <c r="A87" s="841" t="s">
        <v>523</v>
      </c>
      <c r="B87" s="841" t="s">
        <v>523</v>
      </c>
      <c r="C87" s="848" t="s">
        <v>291</v>
      </c>
      <c r="D87" s="855" t="s">
        <v>855</v>
      </c>
      <c r="E87" s="846"/>
      <c r="F87" s="862"/>
      <c r="G87" s="286"/>
      <c r="H87" s="525">
        <v>419418.58999999997</v>
      </c>
      <c r="I87" s="856"/>
      <c r="J87" s="538">
        <v>14559674.469999999</v>
      </c>
      <c r="K87" s="859"/>
      <c r="M87" s="858"/>
      <c r="N87" s="538">
        <v>1210399.22</v>
      </c>
      <c r="O87" s="539" t="s">
        <v>382</v>
      </c>
      <c r="P87" s="540"/>
      <c r="Q87" s="541" t="s">
        <v>286</v>
      </c>
      <c r="R87" s="540"/>
      <c r="S87" s="354" t="s">
        <v>383</v>
      </c>
      <c r="T87" s="565"/>
      <c r="AN87"/>
      <c r="AO87"/>
      <c r="AP87"/>
      <c r="AQ87"/>
      <c r="AR87"/>
    </row>
    <row r="88" spans="1:44" x14ac:dyDescent="0.25">
      <c r="A88" s="853"/>
      <c r="B88" s="854"/>
      <c r="C88" s="853"/>
      <c r="D88" s="332"/>
      <c r="E88" s="846"/>
      <c r="F88" s="862"/>
      <c r="G88" s="863"/>
      <c r="H88" s="840"/>
      <c r="I88" s="831"/>
      <c r="J88" s="667"/>
      <c r="K88" s="858"/>
      <c r="M88" s="858"/>
      <c r="N88" s="855"/>
      <c r="O88" s="539" t="s">
        <v>382</v>
      </c>
      <c r="P88" s="540"/>
      <c r="Q88" s="541" t="s">
        <v>286</v>
      </c>
      <c r="R88" s="540"/>
      <c r="S88" s="354" t="s">
        <v>383</v>
      </c>
      <c r="T88" s="565"/>
      <c r="AM88"/>
      <c r="AN88"/>
      <c r="AO88"/>
      <c r="AP88"/>
      <c r="AQ88"/>
      <c r="AR88"/>
    </row>
    <row r="89" spans="1:44" x14ac:dyDescent="0.25">
      <c r="A89" s="853"/>
      <c r="B89" s="854"/>
      <c r="C89" s="853"/>
      <c r="D89" s="332"/>
      <c r="E89" s="865"/>
      <c r="F89" s="846"/>
      <c r="G89" s="863"/>
      <c r="H89" s="840"/>
      <c r="I89" s="856"/>
      <c r="J89" s="537"/>
      <c r="K89" s="858"/>
      <c r="M89" s="858"/>
      <c r="N89" s="855"/>
      <c r="O89" s="539" t="s">
        <v>382</v>
      </c>
      <c r="P89" s="540"/>
      <c r="Q89" s="541" t="s">
        <v>286</v>
      </c>
      <c r="R89" s="540"/>
      <c r="S89" s="354" t="s">
        <v>383</v>
      </c>
      <c r="T89" s="565"/>
      <c r="AM89"/>
      <c r="AN89"/>
      <c r="AO89"/>
      <c r="AP89"/>
      <c r="AQ89"/>
      <c r="AR89"/>
    </row>
    <row r="90" spans="1:44" x14ac:dyDescent="0.25">
      <c r="A90" s="853"/>
      <c r="B90" s="841" t="s">
        <v>523</v>
      </c>
      <c r="C90" s="853"/>
      <c r="D90" s="855"/>
      <c r="E90" s="387" t="s">
        <v>472</v>
      </c>
      <c r="F90" s="867" t="s">
        <v>820</v>
      </c>
      <c r="G90" s="863">
        <v>0</v>
      </c>
      <c r="H90" s="850"/>
      <c r="I90" s="856">
        <v>8650</v>
      </c>
      <c r="J90" s="537"/>
      <c r="K90" s="387" t="s">
        <v>114</v>
      </c>
      <c r="L90" s="858" t="s">
        <v>807</v>
      </c>
      <c r="M90" s="858">
        <v>516.77</v>
      </c>
      <c r="N90" s="855"/>
      <c r="O90" s="524"/>
      <c r="P90" s="353"/>
      <c r="Q90" s="353"/>
      <c r="R90" s="353"/>
      <c r="S90" s="354"/>
      <c r="T90" s="356"/>
      <c r="AM90"/>
      <c r="AN90"/>
      <c r="AO90"/>
      <c r="AP90"/>
      <c r="AQ90"/>
      <c r="AR90"/>
    </row>
    <row r="91" spans="1:44" ht="15.75" thickBot="1" x14ac:dyDescent="0.3">
      <c r="A91" s="853"/>
      <c r="B91" s="841" t="s">
        <v>523</v>
      </c>
      <c r="C91" s="853"/>
      <c r="D91" s="855"/>
      <c r="E91" s="387" t="s">
        <v>110</v>
      </c>
      <c r="F91" s="867" t="s">
        <v>808</v>
      </c>
      <c r="G91" s="863">
        <v>1309.5</v>
      </c>
      <c r="H91" s="850"/>
      <c r="I91" s="836">
        <v>25853.41</v>
      </c>
      <c r="J91" s="538"/>
      <c r="K91" s="387" t="s">
        <v>113</v>
      </c>
      <c r="L91" s="858" t="s">
        <v>809</v>
      </c>
      <c r="M91" s="846">
        <v>20345.740000000002</v>
      </c>
      <c r="N91" s="855"/>
      <c r="O91" s="357" t="s">
        <v>98</v>
      </c>
      <c r="P91" s="359">
        <f>SUM(P84:P89)</f>
        <v>11891178.1</v>
      </c>
      <c r="Q91" s="360"/>
      <c r="R91" s="359">
        <f>SUM(R84:R89)</f>
        <v>244677337.91</v>
      </c>
      <c r="S91" s="361"/>
      <c r="T91" s="359">
        <f>SUM(T84:T89)</f>
        <v>24623303.830000002</v>
      </c>
      <c r="AM91"/>
      <c r="AN91"/>
      <c r="AO91"/>
      <c r="AP91"/>
      <c r="AQ91"/>
      <c r="AR91"/>
    </row>
    <row r="92" spans="1:44" x14ac:dyDescent="0.25">
      <c r="A92" s="853"/>
      <c r="B92" s="841" t="s">
        <v>523</v>
      </c>
      <c r="C92" s="853"/>
      <c r="D92" s="332"/>
      <c r="E92" s="387" t="s">
        <v>110</v>
      </c>
      <c r="F92" s="867" t="s">
        <v>810</v>
      </c>
      <c r="G92" s="863">
        <v>0</v>
      </c>
      <c r="H92" s="850"/>
      <c r="I92" s="836">
        <v>718524.4</v>
      </c>
      <c r="J92" s="667"/>
      <c r="K92" s="387" t="s">
        <v>114</v>
      </c>
      <c r="L92" s="858" t="s">
        <v>811</v>
      </c>
      <c r="M92" s="271">
        <v>8418.86</v>
      </c>
      <c r="N92" s="855"/>
      <c r="O92" s="523"/>
      <c r="P92" s="358"/>
      <c r="Q92" s="172"/>
      <c r="R92" s="358"/>
      <c r="T92" s="358"/>
      <c r="AM92"/>
      <c r="AN92"/>
      <c r="AO92"/>
      <c r="AP92"/>
      <c r="AQ92"/>
      <c r="AR92"/>
    </row>
    <row r="93" spans="1:44" x14ac:dyDescent="0.25">
      <c r="A93" s="853"/>
      <c r="B93" s="841" t="s">
        <v>523</v>
      </c>
      <c r="C93" s="853"/>
      <c r="D93" s="332"/>
      <c r="E93" s="387" t="s">
        <v>356</v>
      </c>
      <c r="F93" s="867" t="s">
        <v>817</v>
      </c>
      <c r="G93" s="863">
        <v>0</v>
      </c>
      <c r="H93" s="850"/>
      <c r="I93" s="836">
        <v>1320</v>
      </c>
      <c r="J93" s="667"/>
      <c r="K93" s="387" t="s">
        <v>114</v>
      </c>
      <c r="L93" s="858" t="s">
        <v>813</v>
      </c>
      <c r="M93" s="566">
        <v>125.31</v>
      </c>
      <c r="N93" s="855"/>
      <c r="O93" s="523"/>
      <c r="P93" s="358"/>
      <c r="Q93" s="172"/>
      <c r="R93" s="358"/>
      <c r="T93" s="358"/>
      <c r="AM93"/>
      <c r="AN93"/>
      <c r="AO93"/>
      <c r="AP93"/>
      <c r="AQ93"/>
      <c r="AR93"/>
    </row>
    <row r="94" spans="1:44" x14ac:dyDescent="0.25">
      <c r="A94" s="853"/>
      <c r="B94" s="841" t="s">
        <v>523</v>
      </c>
      <c r="C94" s="853"/>
      <c r="D94" s="855"/>
      <c r="E94" s="387" t="s">
        <v>373</v>
      </c>
      <c r="F94" s="201" t="s">
        <v>818</v>
      </c>
      <c r="G94" s="286">
        <v>6.81</v>
      </c>
      <c r="H94" s="850"/>
      <c r="I94" s="800">
        <v>245.12</v>
      </c>
      <c r="J94" s="667"/>
      <c r="K94" s="387" t="s">
        <v>114</v>
      </c>
      <c r="L94" s="201" t="s">
        <v>814</v>
      </c>
      <c r="M94" s="286">
        <v>5385.19</v>
      </c>
      <c r="N94" s="855"/>
      <c r="Q94" s="172"/>
      <c r="R94" s="172"/>
      <c r="AM94"/>
      <c r="AN94"/>
      <c r="AO94"/>
      <c r="AP94"/>
      <c r="AQ94"/>
      <c r="AR94"/>
    </row>
    <row r="95" spans="1:44" x14ac:dyDescent="0.25">
      <c r="A95" s="853"/>
      <c r="B95" s="841" t="s">
        <v>523</v>
      </c>
      <c r="C95" s="853"/>
      <c r="D95" s="855"/>
      <c r="E95" s="387" t="s">
        <v>111</v>
      </c>
      <c r="F95" s="201" t="s">
        <v>819</v>
      </c>
      <c r="G95" s="286">
        <v>2105</v>
      </c>
      <c r="H95" s="840"/>
      <c r="I95" s="800">
        <v>37263.96</v>
      </c>
      <c r="J95" s="537"/>
      <c r="K95" s="387" t="s">
        <v>113</v>
      </c>
      <c r="L95" s="201" t="s">
        <v>815</v>
      </c>
      <c r="M95" s="868">
        <v>62383.51</v>
      </c>
      <c r="N95" s="855"/>
      <c r="O95" s="172"/>
      <c r="Q95" s="172"/>
      <c r="R95" s="172"/>
      <c r="AM95"/>
      <c r="AN95"/>
      <c r="AO95"/>
      <c r="AP95"/>
      <c r="AQ95"/>
      <c r="AR95"/>
    </row>
    <row r="96" spans="1:44" x14ac:dyDescent="0.25">
      <c r="A96" s="853"/>
      <c r="B96" s="841" t="s">
        <v>523</v>
      </c>
      <c r="C96" s="853"/>
      <c r="D96" s="332"/>
      <c r="E96" s="846" t="s">
        <v>356</v>
      </c>
      <c r="F96" s="201" t="s">
        <v>812</v>
      </c>
      <c r="G96" s="286">
        <v>21701.75</v>
      </c>
      <c r="H96" s="525"/>
      <c r="I96" s="800">
        <v>771040.13</v>
      </c>
      <c r="J96" s="667"/>
      <c r="K96" s="859"/>
      <c r="M96" s="846"/>
      <c r="N96" s="855"/>
      <c r="O96" s="172"/>
      <c r="Q96" s="172"/>
      <c r="R96" s="172"/>
      <c r="AM96"/>
      <c r="AN96"/>
      <c r="AO96"/>
      <c r="AP96"/>
      <c r="AQ96"/>
      <c r="AR96"/>
    </row>
    <row r="97" spans="1:44" x14ac:dyDescent="0.25">
      <c r="A97" s="853"/>
      <c r="B97" s="841" t="s">
        <v>523</v>
      </c>
      <c r="C97" s="853"/>
      <c r="D97" s="332"/>
      <c r="E97" s="846"/>
      <c r="F97" s="201"/>
      <c r="G97" s="863"/>
      <c r="H97" s="525"/>
      <c r="I97" s="800"/>
      <c r="J97" s="537"/>
      <c r="K97" s="858"/>
      <c r="M97" s="846"/>
      <c r="N97" s="855"/>
      <c r="O97" s="172"/>
      <c r="Q97" s="172"/>
      <c r="R97" s="172"/>
      <c r="AM97"/>
      <c r="AN97"/>
      <c r="AO97"/>
      <c r="AP97"/>
      <c r="AQ97"/>
      <c r="AR97"/>
    </row>
    <row r="98" spans="1:44" x14ac:dyDescent="0.25">
      <c r="A98" s="853"/>
      <c r="B98" s="841" t="s">
        <v>523</v>
      </c>
      <c r="C98" s="853"/>
      <c r="D98" s="332"/>
      <c r="E98" s="865"/>
      <c r="F98" s="201"/>
      <c r="G98" s="286"/>
      <c r="H98" s="525"/>
      <c r="I98" s="800"/>
      <c r="J98" s="525"/>
      <c r="K98" s="858"/>
      <c r="M98" s="846"/>
      <c r="N98" s="525"/>
      <c r="O98" s="172"/>
      <c r="Q98" s="172"/>
      <c r="R98" s="172"/>
      <c r="S98" s="172"/>
      <c r="T98" s="172"/>
      <c r="AM98"/>
      <c r="AN98"/>
      <c r="AO98"/>
      <c r="AP98"/>
    </row>
    <row r="99" spans="1:44" x14ac:dyDescent="0.25">
      <c r="A99" s="841" t="s">
        <v>523</v>
      </c>
      <c r="B99" s="841" t="s">
        <v>523</v>
      </c>
      <c r="C99" s="848" t="s">
        <v>291</v>
      </c>
      <c r="D99" s="332" t="s">
        <v>856</v>
      </c>
      <c r="E99" s="865"/>
      <c r="F99" s="201"/>
      <c r="G99" s="286"/>
      <c r="H99" s="850">
        <v>25123.06</v>
      </c>
      <c r="I99" s="800"/>
      <c r="J99" s="537">
        <v>1562897.02</v>
      </c>
      <c r="K99" s="846"/>
      <c r="L99" s="846"/>
      <c r="M99" s="846"/>
      <c r="N99" s="538">
        <v>97175.38</v>
      </c>
      <c r="O99" s="172"/>
      <c r="Q99" s="172"/>
      <c r="R99" s="172"/>
      <c r="S99" s="172"/>
      <c r="T99" s="172"/>
      <c r="AM99"/>
      <c r="AN99"/>
      <c r="AO99"/>
    </row>
    <row r="100" spans="1:44" x14ac:dyDescent="0.25">
      <c r="A100" s="853"/>
      <c r="B100" s="854"/>
      <c r="C100" s="853"/>
      <c r="D100" s="855"/>
      <c r="E100" s="846"/>
      <c r="F100" s="201"/>
      <c r="G100" s="863"/>
      <c r="H100" s="850"/>
      <c r="I100" s="800"/>
      <c r="J100" s="667"/>
      <c r="K100" s="846"/>
      <c r="L100" s="846"/>
      <c r="M100" s="846"/>
      <c r="N100" s="525"/>
      <c r="O100" s="172"/>
      <c r="Q100" s="172"/>
      <c r="R100" s="172"/>
      <c r="S100" s="172"/>
      <c r="T100" s="172"/>
      <c r="AM100"/>
      <c r="AN100"/>
      <c r="AO100"/>
    </row>
    <row r="101" spans="1:44" x14ac:dyDescent="0.25">
      <c r="A101" s="853"/>
      <c r="B101" s="854"/>
      <c r="C101" s="853"/>
      <c r="D101" s="332"/>
      <c r="E101" s="846"/>
      <c r="F101" s="201"/>
      <c r="G101" s="863"/>
      <c r="H101" s="850"/>
      <c r="I101" s="800"/>
      <c r="J101" s="667"/>
      <c r="K101" s="846"/>
      <c r="L101" s="846"/>
      <c r="M101" s="846"/>
      <c r="N101" s="525"/>
      <c r="O101" s="172"/>
      <c r="Q101" s="172"/>
      <c r="R101" s="172"/>
      <c r="S101" s="172"/>
      <c r="T101" s="172"/>
      <c r="AM101"/>
      <c r="AN101"/>
      <c r="AO101"/>
    </row>
    <row r="102" spans="1:44" x14ac:dyDescent="0.25">
      <c r="A102" s="853"/>
      <c r="B102" s="841" t="s">
        <v>523</v>
      </c>
      <c r="C102" s="853"/>
      <c r="D102" s="332"/>
      <c r="E102" s="387" t="s">
        <v>472</v>
      </c>
      <c r="F102" s="201" t="s">
        <v>820</v>
      </c>
      <c r="G102" s="863">
        <v>0</v>
      </c>
      <c r="H102" s="850"/>
      <c r="I102" s="800">
        <v>3300</v>
      </c>
      <c r="J102" s="537"/>
      <c r="K102" s="387" t="s">
        <v>114</v>
      </c>
      <c r="L102" s="858" t="s">
        <v>807</v>
      </c>
      <c r="M102" s="858">
        <v>12.21</v>
      </c>
      <c r="N102" s="525"/>
      <c r="O102" s="172"/>
      <c r="Q102" s="172"/>
      <c r="R102" s="172"/>
      <c r="S102" s="172"/>
      <c r="T102" s="172"/>
      <c r="AM102"/>
      <c r="AN102"/>
      <c r="AO102"/>
    </row>
    <row r="103" spans="1:44" x14ac:dyDescent="0.25">
      <c r="A103" s="853"/>
      <c r="B103" s="841" t="s">
        <v>523</v>
      </c>
      <c r="C103" s="853"/>
      <c r="D103" s="332"/>
      <c r="E103" s="387" t="s">
        <v>110</v>
      </c>
      <c r="F103" s="201" t="s">
        <v>808</v>
      </c>
      <c r="G103" s="863">
        <v>142</v>
      </c>
      <c r="H103" s="850"/>
      <c r="I103" s="800">
        <v>3506</v>
      </c>
      <c r="J103" s="667"/>
      <c r="K103" s="387" t="s">
        <v>113</v>
      </c>
      <c r="L103" s="858" t="s">
        <v>809</v>
      </c>
      <c r="M103" s="858">
        <v>1006.8</v>
      </c>
      <c r="N103" s="525"/>
      <c r="O103" s="172"/>
      <c r="Q103" s="172"/>
      <c r="R103" s="172"/>
      <c r="S103" s="172"/>
      <c r="T103" s="172"/>
      <c r="AM103"/>
      <c r="AN103"/>
      <c r="AO103"/>
    </row>
    <row r="104" spans="1:44" x14ac:dyDescent="0.25">
      <c r="A104" s="853"/>
      <c r="B104" s="841" t="s">
        <v>523</v>
      </c>
      <c r="C104" s="853"/>
      <c r="D104" s="332"/>
      <c r="E104" s="387" t="s">
        <v>110</v>
      </c>
      <c r="F104" s="201" t="s">
        <v>810</v>
      </c>
      <c r="G104" s="863">
        <v>0</v>
      </c>
      <c r="H104" s="850"/>
      <c r="I104" s="800">
        <v>3000</v>
      </c>
      <c r="J104" s="667"/>
      <c r="K104" s="387" t="s">
        <v>114</v>
      </c>
      <c r="L104" s="858" t="s">
        <v>811</v>
      </c>
      <c r="M104" s="846">
        <v>370.2</v>
      </c>
      <c r="N104" s="525"/>
      <c r="O104" s="172"/>
      <c r="Q104" s="172"/>
      <c r="R104" s="172"/>
      <c r="S104" s="172"/>
      <c r="T104" s="172"/>
      <c r="AN104"/>
      <c r="AO104"/>
    </row>
    <row r="105" spans="1:44" x14ac:dyDescent="0.25">
      <c r="A105" s="853"/>
      <c r="B105" s="841" t="s">
        <v>523</v>
      </c>
      <c r="C105" s="853"/>
      <c r="D105" s="332"/>
      <c r="E105" s="387" t="s">
        <v>373</v>
      </c>
      <c r="F105" s="201" t="s">
        <v>818</v>
      </c>
      <c r="G105" s="286">
        <v>0.19</v>
      </c>
      <c r="H105" s="850"/>
      <c r="I105" s="800">
        <v>7.41</v>
      </c>
      <c r="J105" s="667"/>
      <c r="K105" s="387" t="s">
        <v>114</v>
      </c>
      <c r="L105" s="858" t="s">
        <v>813</v>
      </c>
      <c r="M105" s="858">
        <v>10.08</v>
      </c>
      <c r="N105" s="525"/>
      <c r="O105" s="172"/>
      <c r="Q105" s="172"/>
      <c r="R105" s="172"/>
      <c r="S105" s="172"/>
      <c r="T105" s="172"/>
      <c r="AN105"/>
      <c r="AO105"/>
    </row>
    <row r="106" spans="1:44" x14ac:dyDescent="0.25">
      <c r="A106" s="853"/>
      <c r="B106" s="841" t="s">
        <v>523</v>
      </c>
      <c r="C106" s="853"/>
      <c r="D106" s="332"/>
      <c r="E106" s="387" t="s">
        <v>111</v>
      </c>
      <c r="F106" s="201" t="s">
        <v>819</v>
      </c>
      <c r="G106" s="286">
        <v>185.29</v>
      </c>
      <c r="H106" s="525"/>
      <c r="I106" s="800">
        <v>4590.04</v>
      </c>
      <c r="J106" s="667"/>
      <c r="K106" s="387" t="s">
        <v>114</v>
      </c>
      <c r="L106" s="858" t="s">
        <v>814</v>
      </c>
      <c r="M106" s="858">
        <v>432.4</v>
      </c>
      <c r="N106" s="525"/>
      <c r="O106" s="241"/>
      <c r="Q106" s="172"/>
      <c r="R106" s="172"/>
      <c r="S106" s="172"/>
      <c r="T106" s="172"/>
      <c r="AO106"/>
    </row>
    <row r="107" spans="1:44" x14ac:dyDescent="0.25">
      <c r="A107" s="853"/>
      <c r="B107" s="841" t="s">
        <v>523</v>
      </c>
      <c r="C107" s="853"/>
      <c r="D107" s="332"/>
      <c r="E107" s="846" t="s">
        <v>356</v>
      </c>
      <c r="F107" s="201" t="s">
        <v>812</v>
      </c>
      <c r="G107" s="286">
        <v>2160.23</v>
      </c>
      <c r="H107" s="525"/>
      <c r="I107" s="800">
        <v>55642.12</v>
      </c>
      <c r="J107" s="667"/>
      <c r="K107" s="387" t="s">
        <v>113</v>
      </c>
      <c r="L107" s="858" t="s">
        <v>815</v>
      </c>
      <c r="M107" s="858">
        <v>4304.99</v>
      </c>
      <c r="N107" s="525"/>
      <c r="O107" s="241"/>
      <c r="Q107" s="172"/>
      <c r="R107" s="172"/>
      <c r="S107" s="172"/>
      <c r="T107" s="172"/>
      <c r="AO107"/>
    </row>
    <row r="108" spans="1:44" x14ac:dyDescent="0.25">
      <c r="A108" s="853"/>
      <c r="B108" s="841" t="s">
        <v>523</v>
      </c>
      <c r="C108" s="853"/>
      <c r="D108" s="332"/>
      <c r="E108" s="865"/>
      <c r="F108" s="201"/>
      <c r="G108" s="863"/>
      <c r="H108" s="525"/>
      <c r="I108" s="800"/>
      <c r="J108" s="525"/>
      <c r="K108" s="846"/>
      <c r="L108" s="846"/>
      <c r="M108" s="846"/>
      <c r="N108" s="525"/>
      <c r="O108" s="241"/>
      <c r="Q108" s="172"/>
      <c r="R108" s="172"/>
      <c r="S108" s="172"/>
      <c r="T108" s="172"/>
      <c r="AO108"/>
    </row>
    <row r="109" spans="1:44" x14ac:dyDescent="0.25">
      <c r="A109" s="854"/>
      <c r="B109" s="841" t="s">
        <v>523</v>
      </c>
      <c r="C109" s="853"/>
      <c r="D109" s="332"/>
      <c r="E109" s="846"/>
      <c r="F109" s="201"/>
      <c r="G109" s="286"/>
      <c r="H109" s="525"/>
      <c r="I109" s="800"/>
      <c r="J109" s="667"/>
      <c r="K109" s="846"/>
      <c r="L109" s="846"/>
      <c r="M109" s="846"/>
      <c r="N109" s="840"/>
      <c r="O109" s="241"/>
      <c r="Q109" s="172"/>
      <c r="R109" s="172"/>
      <c r="S109" s="172"/>
      <c r="T109" s="172"/>
      <c r="AO109"/>
    </row>
    <row r="110" spans="1:44" x14ac:dyDescent="0.25">
      <c r="A110" s="841" t="s">
        <v>523</v>
      </c>
      <c r="B110" s="841" t="s">
        <v>523</v>
      </c>
      <c r="C110" s="848" t="s">
        <v>291</v>
      </c>
      <c r="D110" s="332" t="s">
        <v>857</v>
      </c>
      <c r="E110" s="846"/>
      <c r="F110" s="201"/>
      <c r="G110" s="286"/>
      <c r="H110" s="840">
        <v>2487.71</v>
      </c>
      <c r="I110" s="800"/>
      <c r="J110" s="667">
        <v>70045.570000000007</v>
      </c>
      <c r="K110" s="846"/>
      <c r="L110" s="846"/>
      <c r="M110" s="846"/>
      <c r="N110" s="538">
        <v>6136.68</v>
      </c>
      <c r="O110" s="241"/>
      <c r="Q110" s="172"/>
      <c r="R110" s="172"/>
      <c r="S110" s="172"/>
      <c r="T110" s="172"/>
      <c r="AO110"/>
    </row>
    <row r="111" spans="1:44" x14ac:dyDescent="0.25">
      <c r="A111" s="853"/>
      <c r="B111" s="853"/>
      <c r="C111" s="853"/>
      <c r="D111" s="332"/>
      <c r="E111" s="865"/>
      <c r="F111" s="201"/>
      <c r="G111" s="286"/>
      <c r="H111" s="850"/>
      <c r="I111" s="800"/>
      <c r="J111" s="537"/>
      <c r="K111" s="846"/>
      <c r="L111" s="846"/>
      <c r="M111" s="846"/>
      <c r="N111" s="525"/>
      <c r="O111" s="241"/>
      <c r="Q111" s="172"/>
      <c r="R111" s="172"/>
      <c r="S111" s="172"/>
      <c r="T111" s="172"/>
      <c r="AO111"/>
    </row>
    <row r="112" spans="1:44" x14ac:dyDescent="0.25">
      <c r="A112" s="853"/>
      <c r="B112" s="853"/>
      <c r="C112" s="853"/>
      <c r="D112" s="332"/>
      <c r="E112" s="846"/>
      <c r="F112" s="201"/>
      <c r="G112" s="286"/>
      <c r="H112" s="850"/>
      <c r="I112" s="800"/>
      <c r="J112" s="667"/>
      <c r="K112" s="846"/>
      <c r="L112" s="846"/>
      <c r="M112" s="846"/>
      <c r="N112" s="525"/>
      <c r="O112" s="241"/>
      <c r="Q112" s="172"/>
      <c r="R112" s="172"/>
      <c r="S112" s="172"/>
      <c r="T112" s="172"/>
      <c r="AO112"/>
    </row>
    <row r="113" spans="1:42" x14ac:dyDescent="0.25">
      <c r="A113" s="853"/>
      <c r="B113" s="841" t="s">
        <v>523</v>
      </c>
      <c r="C113" s="853"/>
      <c r="D113" s="855"/>
      <c r="E113" s="387" t="s">
        <v>472</v>
      </c>
      <c r="F113" s="201" t="s">
        <v>820</v>
      </c>
      <c r="G113" s="863">
        <v>0</v>
      </c>
      <c r="H113" s="850"/>
      <c r="I113" s="800">
        <v>12250</v>
      </c>
      <c r="J113" s="667"/>
      <c r="K113" s="387" t="s">
        <v>114</v>
      </c>
      <c r="L113" s="846" t="s">
        <v>807</v>
      </c>
      <c r="M113" s="846">
        <v>1043.19</v>
      </c>
      <c r="N113" s="525"/>
      <c r="O113" s="242"/>
      <c r="Q113" s="172"/>
      <c r="R113" s="172"/>
      <c r="S113" s="172"/>
      <c r="T113" s="172"/>
      <c r="AO113"/>
    </row>
    <row r="114" spans="1:42" x14ac:dyDescent="0.25">
      <c r="A114" s="853"/>
      <c r="B114" s="841" t="s">
        <v>523</v>
      </c>
      <c r="C114" s="869"/>
      <c r="D114" s="855"/>
      <c r="E114" s="387" t="s">
        <v>110</v>
      </c>
      <c r="F114" s="201" t="s">
        <v>808</v>
      </c>
      <c r="G114" s="863">
        <v>2249</v>
      </c>
      <c r="H114" s="850"/>
      <c r="I114" s="800">
        <v>43901.46</v>
      </c>
      <c r="J114" s="667"/>
      <c r="K114" s="387" t="s">
        <v>113</v>
      </c>
      <c r="L114" s="846" t="s">
        <v>809</v>
      </c>
      <c r="M114" s="846">
        <v>22217.03</v>
      </c>
      <c r="N114" s="525"/>
      <c r="O114" s="241"/>
      <c r="Q114" s="172"/>
      <c r="R114" s="172"/>
      <c r="S114" s="172"/>
      <c r="T114" s="172"/>
      <c r="AO114"/>
    </row>
    <row r="115" spans="1:42" x14ac:dyDescent="0.25">
      <c r="A115" s="853"/>
      <c r="B115" s="841" t="s">
        <v>523</v>
      </c>
      <c r="C115" s="848"/>
      <c r="D115" s="332"/>
      <c r="E115" s="387" t="s">
        <v>110</v>
      </c>
      <c r="F115" s="201" t="s">
        <v>810</v>
      </c>
      <c r="G115" s="286">
        <v>0</v>
      </c>
      <c r="H115" s="850"/>
      <c r="I115" s="800">
        <v>333728.5</v>
      </c>
      <c r="J115" s="537"/>
      <c r="K115" s="387" t="s">
        <v>114</v>
      </c>
      <c r="L115" s="846" t="s">
        <v>811</v>
      </c>
      <c r="M115" s="846">
        <v>9193.32</v>
      </c>
      <c r="N115" s="870"/>
      <c r="O115" s="241"/>
      <c r="Q115" s="172"/>
      <c r="R115" s="172"/>
      <c r="S115" s="172"/>
      <c r="T115" s="172"/>
      <c r="AO115"/>
      <c r="AP115"/>
    </row>
    <row r="116" spans="1:42" x14ac:dyDescent="0.25">
      <c r="A116" s="853"/>
      <c r="B116" s="841" t="s">
        <v>523</v>
      </c>
      <c r="C116" s="848"/>
      <c r="D116" s="332"/>
      <c r="E116" s="387" t="s">
        <v>356</v>
      </c>
      <c r="F116" s="201" t="s">
        <v>817</v>
      </c>
      <c r="G116" s="286">
        <v>0</v>
      </c>
      <c r="H116" s="850"/>
      <c r="I116" s="800">
        <v>30470</v>
      </c>
      <c r="J116" s="537"/>
      <c r="K116" s="387" t="s">
        <v>114</v>
      </c>
      <c r="L116" s="846" t="s">
        <v>813</v>
      </c>
      <c r="M116" s="858">
        <v>221.28</v>
      </c>
      <c r="N116" s="855"/>
      <c r="O116" s="241"/>
      <c r="Q116" s="172"/>
      <c r="R116" s="172"/>
      <c r="S116" s="172"/>
      <c r="T116" s="172"/>
      <c r="AO116"/>
      <c r="AP116"/>
    </row>
    <row r="117" spans="1:42" x14ac:dyDescent="0.25">
      <c r="A117" s="853"/>
      <c r="B117" s="841" t="s">
        <v>523</v>
      </c>
      <c r="C117" s="853"/>
      <c r="D117" s="855"/>
      <c r="E117" s="387" t="s">
        <v>373</v>
      </c>
      <c r="F117" s="201" t="s">
        <v>818</v>
      </c>
      <c r="G117" s="863">
        <v>956.58</v>
      </c>
      <c r="H117" s="850"/>
      <c r="I117" s="800">
        <v>23291.71</v>
      </c>
      <c r="J117" s="667"/>
      <c r="K117" s="387" t="s">
        <v>114</v>
      </c>
      <c r="L117" s="846" t="s">
        <v>814</v>
      </c>
      <c r="M117" s="858">
        <v>9514.6299999999992</v>
      </c>
      <c r="N117" s="855"/>
      <c r="O117" s="241"/>
      <c r="Q117" s="172"/>
      <c r="R117" s="172"/>
      <c r="S117" s="172"/>
      <c r="T117" s="172"/>
      <c r="AO117"/>
      <c r="AP117"/>
    </row>
    <row r="118" spans="1:42" x14ac:dyDescent="0.25">
      <c r="A118" s="853"/>
      <c r="B118" s="841" t="s">
        <v>523</v>
      </c>
      <c r="C118" s="853"/>
      <c r="D118" s="855"/>
      <c r="E118" s="387" t="s">
        <v>111</v>
      </c>
      <c r="F118" s="201" t="s">
        <v>819</v>
      </c>
      <c r="G118" s="286">
        <v>2840.04</v>
      </c>
      <c r="H118" s="850"/>
      <c r="I118" s="800">
        <v>54105.93</v>
      </c>
      <c r="J118" s="667"/>
      <c r="K118" s="387" t="s">
        <v>113</v>
      </c>
      <c r="L118" s="858" t="s">
        <v>815</v>
      </c>
      <c r="M118" s="846">
        <v>94995.6</v>
      </c>
      <c r="N118" s="855"/>
      <c r="O118" s="241"/>
      <c r="Q118" s="172"/>
      <c r="R118" s="172"/>
      <c r="S118" s="172"/>
      <c r="T118" s="172"/>
      <c r="AO118"/>
      <c r="AP118"/>
    </row>
    <row r="119" spans="1:42" x14ac:dyDescent="0.25">
      <c r="A119" s="853"/>
      <c r="B119" s="841" t="s">
        <v>523</v>
      </c>
      <c r="C119" s="853"/>
      <c r="D119" s="855"/>
      <c r="E119" s="846" t="s">
        <v>356</v>
      </c>
      <c r="F119" s="201" t="s">
        <v>812</v>
      </c>
      <c r="G119" s="286">
        <v>35569.49</v>
      </c>
      <c r="H119" s="850"/>
      <c r="I119" s="800">
        <v>1045138.45</v>
      </c>
      <c r="J119" s="525"/>
      <c r="K119" s="858"/>
      <c r="L119" s="858"/>
      <c r="M119" s="863"/>
      <c r="N119" s="525"/>
      <c r="O119" s="241"/>
      <c r="Q119" s="172"/>
      <c r="R119" s="172"/>
      <c r="S119" s="172"/>
      <c r="T119" s="172"/>
      <c r="AO119"/>
      <c r="AP119"/>
    </row>
    <row r="120" spans="1:42" x14ac:dyDescent="0.25">
      <c r="A120" s="853"/>
      <c r="B120" s="841" t="s">
        <v>523</v>
      </c>
      <c r="C120" s="853"/>
      <c r="D120" s="855"/>
      <c r="E120" s="846" t="s">
        <v>469</v>
      </c>
      <c r="F120" s="201" t="s">
        <v>821</v>
      </c>
      <c r="G120" s="286">
        <v>0</v>
      </c>
      <c r="H120" s="850"/>
      <c r="I120" s="800">
        <v>637.5</v>
      </c>
      <c r="J120" s="537"/>
      <c r="K120" s="859"/>
      <c r="L120" s="858"/>
      <c r="M120" s="846"/>
      <c r="N120" s="855"/>
      <c r="O120" s="241"/>
      <c r="Q120" s="172"/>
      <c r="R120" s="172"/>
      <c r="S120" s="172"/>
      <c r="T120" s="172"/>
      <c r="AO120"/>
      <c r="AP120"/>
    </row>
    <row r="121" spans="1:42" x14ac:dyDescent="0.25">
      <c r="A121" s="853"/>
      <c r="B121" s="841" t="s">
        <v>523</v>
      </c>
      <c r="C121" s="853"/>
      <c r="D121" s="855"/>
      <c r="E121" s="846"/>
      <c r="F121" s="201"/>
      <c r="G121" s="871"/>
      <c r="H121" s="525"/>
      <c r="I121" s="800"/>
      <c r="J121" s="537"/>
      <c r="K121" s="858"/>
      <c r="L121" s="846"/>
      <c r="M121" s="846"/>
      <c r="N121" s="855"/>
      <c r="O121" s="241"/>
      <c r="Q121" s="172"/>
      <c r="R121" s="172"/>
      <c r="S121" s="172"/>
      <c r="T121" s="172"/>
      <c r="AO121"/>
      <c r="AP121"/>
    </row>
    <row r="122" spans="1:42" x14ac:dyDescent="0.25">
      <c r="A122" s="853"/>
      <c r="B122" s="841" t="s">
        <v>523</v>
      </c>
      <c r="C122" s="853"/>
      <c r="D122" s="855"/>
      <c r="E122" s="846"/>
      <c r="F122" s="201"/>
      <c r="G122" s="863"/>
      <c r="H122" s="850"/>
      <c r="I122" s="800"/>
      <c r="J122" s="537"/>
      <c r="K122" s="865"/>
      <c r="L122" s="865"/>
      <c r="M122" s="865"/>
      <c r="N122" s="855"/>
      <c r="O122" s="241"/>
      <c r="Q122" s="172"/>
      <c r="R122" s="172"/>
      <c r="S122" s="172"/>
      <c r="T122" s="172"/>
      <c r="AO122"/>
      <c r="AP122"/>
    </row>
    <row r="123" spans="1:42" x14ac:dyDescent="0.25">
      <c r="A123" s="841" t="s">
        <v>523</v>
      </c>
      <c r="B123" s="841" t="s">
        <v>523</v>
      </c>
      <c r="C123" s="848" t="s">
        <v>291</v>
      </c>
      <c r="D123" s="855" t="s">
        <v>858</v>
      </c>
      <c r="E123" s="846"/>
      <c r="F123" s="201"/>
      <c r="G123" s="286"/>
      <c r="H123" s="850">
        <v>41615.11</v>
      </c>
      <c r="I123" s="800"/>
      <c r="J123" s="537">
        <v>1543523.55</v>
      </c>
      <c r="K123" s="865"/>
      <c r="L123" s="865"/>
      <c r="M123" s="865"/>
      <c r="N123" s="538">
        <v>137185.04999999999</v>
      </c>
      <c r="O123" s="242"/>
      <c r="Q123" s="172"/>
      <c r="R123" s="172"/>
      <c r="S123" s="172"/>
      <c r="T123" s="172"/>
      <c r="AO123"/>
      <c r="AP123"/>
    </row>
    <row r="124" spans="1:42" x14ac:dyDescent="0.25">
      <c r="A124" s="853"/>
      <c r="B124" s="853"/>
      <c r="C124" s="853"/>
      <c r="D124" s="855"/>
      <c r="E124" s="846"/>
      <c r="F124" s="201"/>
      <c r="G124" s="863"/>
      <c r="H124" s="850"/>
      <c r="I124" s="800"/>
      <c r="J124" s="537"/>
      <c r="K124" s="846"/>
      <c r="L124" s="858"/>
      <c r="M124" s="858"/>
      <c r="N124" s="855"/>
      <c r="O124" s="241"/>
      <c r="Q124" s="172"/>
      <c r="R124" s="172"/>
      <c r="S124" s="172"/>
      <c r="T124" s="172"/>
      <c r="AO124"/>
      <c r="AP124"/>
    </row>
    <row r="125" spans="1:42" x14ac:dyDescent="0.25">
      <c r="A125" s="853"/>
      <c r="B125" s="853"/>
      <c r="C125" s="853"/>
      <c r="D125" s="855"/>
      <c r="E125" s="846"/>
      <c r="F125" s="201"/>
      <c r="G125" s="866"/>
      <c r="H125" s="850"/>
      <c r="I125" s="800"/>
      <c r="J125" s="872"/>
      <c r="K125" s="859"/>
      <c r="L125" s="858"/>
      <c r="M125" s="858"/>
      <c r="N125" s="855"/>
      <c r="O125" s="241"/>
      <c r="Q125" s="172"/>
      <c r="R125" s="172"/>
      <c r="S125" s="172"/>
      <c r="T125" s="172"/>
      <c r="AO125"/>
      <c r="AP125"/>
    </row>
    <row r="126" spans="1:42" x14ac:dyDescent="0.25">
      <c r="A126" s="853"/>
      <c r="B126" s="834" t="s">
        <v>20</v>
      </c>
      <c r="C126" s="853"/>
      <c r="D126" s="855"/>
      <c r="E126" s="387" t="s">
        <v>472</v>
      </c>
      <c r="F126" s="201" t="s">
        <v>806</v>
      </c>
      <c r="G126" s="866">
        <v>0</v>
      </c>
      <c r="H126" s="525"/>
      <c r="I126" s="800">
        <v>94910</v>
      </c>
      <c r="J126" s="872"/>
      <c r="K126" s="387" t="s">
        <v>114</v>
      </c>
      <c r="L126" s="858" t="s">
        <v>807</v>
      </c>
      <c r="M126" s="856">
        <v>787.02</v>
      </c>
      <c r="N126" s="855"/>
      <c r="O126" s="241"/>
      <c r="Q126" s="172"/>
      <c r="R126" s="172"/>
      <c r="S126" s="172"/>
      <c r="T126" s="172"/>
      <c r="AO126"/>
      <c r="AP126"/>
    </row>
    <row r="127" spans="1:42" x14ac:dyDescent="0.25">
      <c r="A127" s="853"/>
      <c r="B127" s="834" t="s">
        <v>20</v>
      </c>
      <c r="C127" s="853"/>
      <c r="D127" s="855"/>
      <c r="E127" s="846" t="s">
        <v>356</v>
      </c>
      <c r="F127" s="201" t="s">
        <v>823</v>
      </c>
      <c r="G127" s="863">
        <v>-36.75</v>
      </c>
      <c r="H127" s="525"/>
      <c r="I127" s="800">
        <v>-681.71</v>
      </c>
      <c r="J127" s="537"/>
      <c r="K127" s="387" t="s">
        <v>113</v>
      </c>
      <c r="L127" s="858" t="s">
        <v>809</v>
      </c>
      <c r="M127" s="846">
        <v>6360.9</v>
      </c>
      <c r="N127" s="855"/>
      <c r="O127" s="241"/>
      <c r="Q127" s="172"/>
      <c r="R127" s="172"/>
      <c r="S127" s="172"/>
      <c r="T127" s="172"/>
      <c r="AO127"/>
      <c r="AP127"/>
    </row>
    <row r="128" spans="1:42" x14ac:dyDescent="0.25">
      <c r="A128" s="853"/>
      <c r="B128" s="834" t="s">
        <v>20</v>
      </c>
      <c r="C128" s="853"/>
      <c r="D128" s="855"/>
      <c r="E128" s="865" t="s">
        <v>357</v>
      </c>
      <c r="F128" s="201" t="s">
        <v>824</v>
      </c>
      <c r="G128" s="863">
        <v>6</v>
      </c>
      <c r="H128" s="525"/>
      <c r="I128" s="800">
        <v>8911.2999999999993</v>
      </c>
      <c r="J128" s="537"/>
      <c r="K128" s="387" t="s">
        <v>114</v>
      </c>
      <c r="L128" s="858" t="s">
        <v>811</v>
      </c>
      <c r="M128" s="856">
        <v>2628.24</v>
      </c>
      <c r="N128" s="855"/>
      <c r="O128" s="241"/>
      <c r="Q128" s="172"/>
      <c r="R128" s="172"/>
      <c r="S128" s="172"/>
      <c r="T128" s="172"/>
      <c r="AO128"/>
      <c r="AP128"/>
    </row>
    <row r="129" spans="1:42" x14ac:dyDescent="0.25">
      <c r="A129" s="853"/>
      <c r="B129" s="834" t="s">
        <v>20</v>
      </c>
      <c r="C129" s="853"/>
      <c r="D129" s="855"/>
      <c r="E129" s="387" t="s">
        <v>472</v>
      </c>
      <c r="F129" s="201" t="s">
        <v>825</v>
      </c>
      <c r="G129" s="286">
        <v>0</v>
      </c>
      <c r="H129" s="525"/>
      <c r="I129" s="800">
        <v>18820</v>
      </c>
      <c r="J129" s="525"/>
      <c r="K129" s="387" t="s">
        <v>114</v>
      </c>
      <c r="L129" s="858" t="s">
        <v>813</v>
      </c>
      <c r="M129" s="856">
        <v>136.16</v>
      </c>
      <c r="N129" s="873"/>
      <c r="O129" s="241"/>
      <c r="Q129" s="172"/>
      <c r="R129" s="172"/>
      <c r="S129" s="172"/>
      <c r="T129" s="172"/>
      <c r="AO129"/>
      <c r="AP129"/>
    </row>
    <row r="130" spans="1:42" x14ac:dyDescent="0.25">
      <c r="A130" s="853"/>
      <c r="B130" s="834" t="s">
        <v>20</v>
      </c>
      <c r="C130" s="853"/>
      <c r="D130" s="855"/>
      <c r="E130" s="846" t="s">
        <v>356</v>
      </c>
      <c r="F130" s="201" t="s">
        <v>826</v>
      </c>
      <c r="G130" s="286">
        <v>-10</v>
      </c>
      <c r="H130" s="525"/>
      <c r="I130" s="800">
        <v>-185.5</v>
      </c>
      <c r="J130" s="537"/>
      <c r="K130" s="387" t="s">
        <v>114</v>
      </c>
      <c r="L130" s="846" t="s">
        <v>814</v>
      </c>
      <c r="M130" s="856">
        <v>4995.22</v>
      </c>
      <c r="N130" s="855"/>
      <c r="O130" s="241"/>
      <c r="Q130" s="172"/>
      <c r="R130" s="172"/>
      <c r="S130" s="172"/>
      <c r="T130" s="172"/>
      <c r="AO130"/>
      <c r="AP130"/>
    </row>
    <row r="131" spans="1:42" x14ac:dyDescent="0.25">
      <c r="A131" s="853"/>
      <c r="B131" s="834" t="s">
        <v>20</v>
      </c>
      <c r="C131" s="853"/>
      <c r="D131" s="855"/>
      <c r="E131" s="201" t="s">
        <v>356</v>
      </c>
      <c r="F131" s="201" t="s">
        <v>827</v>
      </c>
      <c r="G131" s="286">
        <v>3</v>
      </c>
      <c r="H131" s="525"/>
      <c r="I131" s="800">
        <v>1240</v>
      </c>
      <c r="J131" s="537"/>
      <c r="K131" s="387" t="s">
        <v>113</v>
      </c>
      <c r="L131" s="846" t="s">
        <v>815</v>
      </c>
      <c r="M131" s="846">
        <v>27199.03</v>
      </c>
      <c r="N131" s="855"/>
      <c r="O131" s="241"/>
      <c r="Q131" s="172"/>
      <c r="R131" s="172"/>
      <c r="S131" s="172"/>
      <c r="T131" s="172"/>
      <c r="AO131"/>
      <c r="AP131"/>
    </row>
    <row r="132" spans="1:42" x14ac:dyDescent="0.25">
      <c r="A132" s="853"/>
      <c r="B132" s="834" t="s">
        <v>20</v>
      </c>
      <c r="C132" s="853"/>
      <c r="D132" s="855"/>
      <c r="E132" s="387" t="s">
        <v>373</v>
      </c>
      <c r="F132" s="846" t="s">
        <v>818</v>
      </c>
      <c r="G132" s="863">
        <v>-31.25</v>
      </c>
      <c r="H132" s="525"/>
      <c r="I132" s="856">
        <v>-435</v>
      </c>
      <c r="J132" s="538"/>
      <c r="K132" s="846"/>
      <c r="L132" s="846"/>
      <c r="M132" s="846"/>
      <c r="N132" s="855"/>
      <c r="O132" s="242"/>
      <c r="Q132" s="172"/>
      <c r="R132" s="172"/>
      <c r="S132" s="172"/>
      <c r="T132" s="172"/>
      <c r="AO132"/>
      <c r="AP132"/>
    </row>
    <row r="133" spans="1:42" x14ac:dyDescent="0.25">
      <c r="A133" s="853"/>
      <c r="B133" s="834" t="s">
        <v>20</v>
      </c>
      <c r="C133" s="853"/>
      <c r="D133" s="855"/>
      <c r="E133" s="387" t="s">
        <v>111</v>
      </c>
      <c r="F133" s="846" t="s">
        <v>819</v>
      </c>
      <c r="G133" s="863">
        <v>32</v>
      </c>
      <c r="H133" s="525"/>
      <c r="I133" s="856">
        <v>2000</v>
      </c>
      <c r="J133" s="537"/>
      <c r="K133" s="846"/>
      <c r="L133" s="846"/>
      <c r="M133" s="846"/>
      <c r="N133" s="874"/>
      <c r="O133" s="242"/>
      <c r="Q133" s="172"/>
      <c r="R133" s="172"/>
      <c r="S133" s="172"/>
      <c r="T133" s="172"/>
      <c r="AO133"/>
      <c r="AP133"/>
    </row>
    <row r="134" spans="1:42" x14ac:dyDescent="0.25">
      <c r="A134" s="853"/>
      <c r="B134" s="834" t="s">
        <v>20</v>
      </c>
      <c r="C134" s="853"/>
      <c r="D134" s="855"/>
      <c r="E134" s="846" t="s">
        <v>356</v>
      </c>
      <c r="F134" s="865" t="s">
        <v>812</v>
      </c>
      <c r="G134" s="866">
        <v>0</v>
      </c>
      <c r="H134" s="525"/>
      <c r="I134" s="875">
        <v>73840</v>
      </c>
      <c r="J134" s="538"/>
      <c r="K134" s="846"/>
      <c r="L134" s="846"/>
      <c r="M134" s="846"/>
      <c r="N134" s="874"/>
      <c r="O134" s="242"/>
      <c r="Q134" s="172"/>
      <c r="R134" s="172"/>
      <c r="S134" s="172"/>
      <c r="T134" s="172"/>
      <c r="AO134"/>
      <c r="AP134"/>
    </row>
    <row r="135" spans="1:42" x14ac:dyDescent="0.25">
      <c r="A135" s="853"/>
      <c r="B135" s="834" t="s">
        <v>20</v>
      </c>
      <c r="C135" s="853"/>
      <c r="D135" s="855"/>
      <c r="E135" s="846" t="s">
        <v>469</v>
      </c>
      <c r="F135" s="846" t="s">
        <v>828</v>
      </c>
      <c r="G135" s="863">
        <v>629.5</v>
      </c>
      <c r="H135" s="525"/>
      <c r="I135" s="856">
        <v>11422.08</v>
      </c>
      <c r="J135" s="537"/>
      <c r="K135" s="846"/>
      <c r="L135" s="846"/>
      <c r="M135" s="846"/>
      <c r="N135" s="855"/>
      <c r="O135" s="242"/>
      <c r="Q135" s="172"/>
      <c r="R135" s="172"/>
      <c r="S135" s="172"/>
      <c r="T135" s="172"/>
      <c r="AO135"/>
      <c r="AP135"/>
    </row>
    <row r="136" spans="1:42" x14ac:dyDescent="0.25">
      <c r="A136" s="854"/>
      <c r="B136" s="834" t="s">
        <v>20</v>
      </c>
      <c r="C136" s="854"/>
      <c r="D136" s="855"/>
      <c r="E136" s="846" t="s">
        <v>358</v>
      </c>
      <c r="F136" s="846" t="s">
        <v>829</v>
      </c>
      <c r="G136" s="863">
        <v>20</v>
      </c>
      <c r="H136" s="525"/>
      <c r="I136" s="856">
        <v>371</v>
      </c>
      <c r="J136" s="537"/>
      <c r="K136" s="846"/>
      <c r="L136" s="846"/>
      <c r="M136" s="846"/>
      <c r="N136" s="525"/>
      <c r="O136" s="242"/>
      <c r="Q136" s="172"/>
      <c r="R136" s="172"/>
      <c r="S136" s="172"/>
      <c r="T136" s="172"/>
      <c r="AN136"/>
      <c r="AO136"/>
      <c r="AP136"/>
    </row>
    <row r="137" spans="1:42" x14ac:dyDescent="0.25">
      <c r="A137" s="854"/>
      <c r="B137" s="834" t="s">
        <v>20</v>
      </c>
      <c r="C137" s="854"/>
      <c r="D137" s="855"/>
      <c r="E137" s="846" t="s">
        <v>111</v>
      </c>
      <c r="F137" s="846" t="s">
        <v>830</v>
      </c>
      <c r="G137" s="863">
        <v>17385.5</v>
      </c>
      <c r="H137" s="525"/>
      <c r="I137" s="856">
        <v>323120.02</v>
      </c>
      <c r="J137" s="537"/>
      <c r="K137" s="846"/>
      <c r="L137" s="858"/>
      <c r="M137" s="846"/>
      <c r="N137" s="855"/>
      <c r="O137" s="242"/>
      <c r="Q137" s="172"/>
      <c r="R137" s="172"/>
      <c r="S137" s="172"/>
      <c r="T137" s="172"/>
      <c r="AN137"/>
      <c r="AO137"/>
      <c r="AP137"/>
    </row>
    <row r="138" spans="1:42" x14ac:dyDescent="0.25">
      <c r="A138" s="853"/>
      <c r="B138" s="834" t="s">
        <v>20</v>
      </c>
      <c r="C138" s="853"/>
      <c r="D138" s="855"/>
      <c r="E138" s="201" t="s">
        <v>356</v>
      </c>
      <c r="F138" s="846" t="s">
        <v>831</v>
      </c>
      <c r="G138" s="863">
        <v>0</v>
      </c>
      <c r="H138" s="525"/>
      <c r="I138" s="856">
        <v>14600</v>
      </c>
      <c r="J138" s="537"/>
      <c r="K138" s="859"/>
      <c r="L138" s="858"/>
      <c r="M138" s="846"/>
      <c r="N138" s="855"/>
      <c r="O138" s="172"/>
      <c r="Q138" s="172"/>
      <c r="R138" s="172"/>
      <c r="S138" s="172"/>
      <c r="T138" s="172"/>
      <c r="AN138"/>
      <c r="AO138"/>
      <c r="AP138"/>
    </row>
    <row r="139" spans="1:42" x14ac:dyDescent="0.25">
      <c r="A139" s="854"/>
      <c r="B139" s="834" t="s">
        <v>20</v>
      </c>
      <c r="C139" s="854"/>
      <c r="D139" s="855"/>
      <c r="E139" s="846" t="s">
        <v>469</v>
      </c>
      <c r="F139" s="846" t="s">
        <v>821</v>
      </c>
      <c r="G139" s="863">
        <v>0</v>
      </c>
      <c r="H139" s="525"/>
      <c r="I139" s="856">
        <v>2040</v>
      </c>
      <c r="J139" s="537"/>
      <c r="K139" s="858"/>
      <c r="L139" s="858"/>
      <c r="M139" s="846"/>
      <c r="N139" s="874"/>
      <c r="O139" s="172"/>
      <c r="Q139" s="172"/>
      <c r="R139" s="172"/>
      <c r="S139" s="172"/>
      <c r="T139" s="172"/>
      <c r="AN139"/>
      <c r="AO139"/>
      <c r="AP139"/>
    </row>
    <row r="140" spans="1:42" x14ac:dyDescent="0.25">
      <c r="A140" s="854"/>
      <c r="B140" s="834" t="s">
        <v>20</v>
      </c>
      <c r="C140" s="854"/>
      <c r="D140" s="272"/>
      <c r="E140" s="876"/>
      <c r="F140" s="846"/>
      <c r="G140" s="863"/>
      <c r="H140" s="525"/>
      <c r="I140" s="856"/>
      <c r="J140" s="537"/>
      <c r="K140" s="858"/>
      <c r="L140" s="858"/>
      <c r="M140" s="201"/>
      <c r="N140" s="855"/>
      <c r="O140" s="172"/>
      <c r="Q140" s="172"/>
      <c r="R140" s="172"/>
      <c r="S140" s="172"/>
      <c r="T140" s="172"/>
      <c r="AO140"/>
      <c r="AP140"/>
    </row>
    <row r="141" spans="1:42" x14ac:dyDescent="0.25">
      <c r="A141" s="854"/>
      <c r="B141" s="834" t="s">
        <v>20</v>
      </c>
      <c r="C141" s="854"/>
      <c r="D141" s="272"/>
      <c r="E141" s="846"/>
      <c r="F141" s="846"/>
      <c r="G141" s="863"/>
      <c r="H141" s="525"/>
      <c r="I141" s="856"/>
      <c r="J141" s="537"/>
      <c r="K141" s="858"/>
      <c r="L141" s="858"/>
      <c r="M141" s="846"/>
      <c r="N141" s="855"/>
      <c r="O141" s="172"/>
      <c r="Q141" s="172"/>
      <c r="R141" s="172"/>
      <c r="S141" s="172"/>
      <c r="T141" s="172"/>
      <c r="AO141"/>
      <c r="AP141"/>
    </row>
    <row r="142" spans="1:42" x14ac:dyDescent="0.25">
      <c r="A142" s="834" t="s">
        <v>20</v>
      </c>
      <c r="B142" s="834" t="s">
        <v>20</v>
      </c>
      <c r="C142" s="854" t="s">
        <v>525</v>
      </c>
      <c r="D142" s="272" t="s">
        <v>832</v>
      </c>
      <c r="E142" s="846"/>
      <c r="F142" s="846"/>
      <c r="G142" s="863"/>
      <c r="H142" s="525">
        <v>17998</v>
      </c>
      <c r="I142" s="856"/>
      <c r="J142" s="538">
        <v>549972.18999999994</v>
      </c>
      <c r="K142" s="859"/>
      <c r="L142" s="858"/>
      <c r="M142" s="858"/>
      <c r="N142" s="538">
        <v>42106.57</v>
      </c>
      <c r="O142" s="242"/>
      <c r="Q142" s="172"/>
      <c r="R142" s="172"/>
      <c r="S142" s="172"/>
      <c r="T142" s="172"/>
      <c r="AO142"/>
      <c r="AP142"/>
    </row>
    <row r="143" spans="1:42" x14ac:dyDescent="0.25">
      <c r="A143" s="854"/>
      <c r="B143" s="854"/>
      <c r="C143" s="854"/>
      <c r="D143" s="272"/>
      <c r="E143" s="846"/>
      <c r="F143" s="846"/>
      <c r="G143" s="863"/>
      <c r="H143" s="525"/>
      <c r="I143" s="856"/>
      <c r="J143" s="538"/>
      <c r="K143" s="859"/>
      <c r="L143" s="846"/>
      <c r="M143" s="858"/>
      <c r="N143" s="855"/>
      <c r="O143" s="242"/>
      <c r="Q143" s="172"/>
      <c r="R143" s="172"/>
      <c r="S143" s="172"/>
      <c r="T143" s="172"/>
      <c r="U143" s="203"/>
      <c r="AO143"/>
      <c r="AP143"/>
    </row>
    <row r="144" spans="1:42" x14ac:dyDescent="0.25">
      <c r="A144" s="854"/>
      <c r="B144" s="854"/>
      <c r="C144" s="854"/>
      <c r="D144" s="272"/>
      <c r="E144" s="846"/>
      <c r="F144" s="846"/>
      <c r="G144" s="863"/>
      <c r="H144" s="525"/>
      <c r="I144" s="856"/>
      <c r="J144" s="537"/>
      <c r="K144" s="858"/>
      <c r="L144" s="846"/>
      <c r="M144" s="846"/>
      <c r="N144" s="855"/>
      <c r="O144" s="242"/>
      <c r="Q144" s="172"/>
      <c r="R144" s="172"/>
      <c r="S144" s="172"/>
      <c r="T144" s="172"/>
      <c r="AO144"/>
      <c r="AP144"/>
    </row>
    <row r="145" spans="1:42" x14ac:dyDescent="0.25">
      <c r="A145" s="854"/>
      <c r="B145" s="834" t="s">
        <v>20</v>
      </c>
      <c r="C145" s="854"/>
      <c r="D145" s="272"/>
      <c r="E145" s="387" t="s">
        <v>472</v>
      </c>
      <c r="F145" s="846" t="s">
        <v>806</v>
      </c>
      <c r="G145" s="863">
        <v>0</v>
      </c>
      <c r="H145" s="877"/>
      <c r="I145" s="856">
        <v>150</v>
      </c>
      <c r="J145" s="878"/>
      <c r="K145" s="387" t="s">
        <v>114</v>
      </c>
      <c r="L145" s="846" t="s">
        <v>807</v>
      </c>
      <c r="M145" s="856">
        <v>98614.17</v>
      </c>
      <c r="N145" s="855"/>
      <c r="O145" s="242"/>
      <c r="P145" s="195"/>
      <c r="Q145" s="172"/>
      <c r="S145" s="202"/>
      <c r="AO145"/>
      <c r="AP145"/>
    </row>
    <row r="146" spans="1:42" x14ac:dyDescent="0.25">
      <c r="A146" s="854"/>
      <c r="B146" s="834" t="s">
        <v>20</v>
      </c>
      <c r="C146" s="854"/>
      <c r="D146" s="272"/>
      <c r="E146" s="846" t="s">
        <v>109</v>
      </c>
      <c r="F146" s="201" t="s">
        <v>833</v>
      </c>
      <c r="G146" s="863">
        <v>39649</v>
      </c>
      <c r="H146" s="877"/>
      <c r="I146" s="856">
        <v>1108507.47</v>
      </c>
      <c r="J146" s="879"/>
      <c r="K146" s="387" t="s">
        <v>113</v>
      </c>
      <c r="L146" s="858" t="s">
        <v>809</v>
      </c>
      <c r="M146" s="880">
        <v>734429.12</v>
      </c>
      <c r="N146" s="855"/>
      <c r="O146" s="242"/>
      <c r="Q146" s="172"/>
      <c r="R146" s="172"/>
      <c r="S146" s="172"/>
      <c r="T146" s="172"/>
      <c r="AO146"/>
      <c r="AP146"/>
    </row>
    <row r="147" spans="1:42" x14ac:dyDescent="0.25">
      <c r="A147" s="854"/>
      <c r="B147" s="834" t="s">
        <v>20</v>
      </c>
      <c r="C147" s="854"/>
      <c r="D147" s="272"/>
      <c r="E147" s="846" t="s">
        <v>356</v>
      </c>
      <c r="F147" s="201" t="s">
        <v>823</v>
      </c>
      <c r="G147" s="863">
        <v>2391416.79</v>
      </c>
      <c r="H147" s="877"/>
      <c r="I147" s="856">
        <v>44908138.850000001</v>
      </c>
      <c r="J147" s="538"/>
      <c r="K147" s="387" t="s">
        <v>114</v>
      </c>
      <c r="L147" s="858" t="s">
        <v>811</v>
      </c>
      <c r="M147" s="881">
        <v>303916.53999999998</v>
      </c>
      <c r="N147" s="840"/>
      <c r="O147" s="242"/>
      <c r="Q147" s="172"/>
      <c r="R147" s="172"/>
      <c r="S147" s="172"/>
      <c r="T147" s="172"/>
      <c r="AO147"/>
    </row>
    <row r="148" spans="1:42" x14ac:dyDescent="0.25">
      <c r="A148" s="854"/>
      <c r="B148" s="834" t="s">
        <v>20</v>
      </c>
      <c r="C148" s="854"/>
      <c r="D148" s="272"/>
      <c r="E148" s="387" t="s">
        <v>373</v>
      </c>
      <c r="F148" s="201" t="s">
        <v>818</v>
      </c>
      <c r="G148" s="863">
        <v>122746.96</v>
      </c>
      <c r="H148" s="877"/>
      <c r="I148" s="856">
        <v>3437959</v>
      </c>
      <c r="J148" s="538"/>
      <c r="K148" s="387" t="s">
        <v>114</v>
      </c>
      <c r="L148" s="858" t="s">
        <v>813</v>
      </c>
      <c r="M148" s="881">
        <v>19998.669999999998</v>
      </c>
      <c r="N148" s="840"/>
      <c r="O148" s="242"/>
      <c r="Q148" s="172"/>
      <c r="R148" s="172"/>
      <c r="S148" s="172"/>
      <c r="T148" s="172"/>
      <c r="AO148"/>
    </row>
    <row r="149" spans="1:42" x14ac:dyDescent="0.25">
      <c r="A149" s="854"/>
      <c r="B149" s="834" t="s">
        <v>20</v>
      </c>
      <c r="C149" s="854"/>
      <c r="D149" s="272"/>
      <c r="E149" s="846" t="s">
        <v>109</v>
      </c>
      <c r="F149" s="201" t="s">
        <v>834</v>
      </c>
      <c r="G149" s="863">
        <v>1121</v>
      </c>
      <c r="H149" s="877"/>
      <c r="I149" s="836">
        <v>32203.99</v>
      </c>
      <c r="J149" s="538"/>
      <c r="K149" s="387" t="s">
        <v>114</v>
      </c>
      <c r="L149" s="858" t="s">
        <v>814</v>
      </c>
      <c r="M149" s="881">
        <v>804344.27</v>
      </c>
      <c r="N149" s="840"/>
      <c r="O149" s="242"/>
      <c r="Q149" s="172"/>
      <c r="R149" s="172"/>
      <c r="S149" s="172"/>
      <c r="T149" s="172"/>
      <c r="AO149"/>
    </row>
    <row r="150" spans="1:42" x14ac:dyDescent="0.25">
      <c r="A150" s="854"/>
      <c r="B150" s="834" t="s">
        <v>20</v>
      </c>
      <c r="C150" s="854"/>
      <c r="D150" s="272"/>
      <c r="E150" s="846" t="s">
        <v>373</v>
      </c>
      <c r="F150" s="201" t="s">
        <v>835</v>
      </c>
      <c r="G150" s="863">
        <v>7642.23</v>
      </c>
      <c r="H150" s="877"/>
      <c r="I150" s="836">
        <v>213627.86</v>
      </c>
      <c r="J150" s="538"/>
      <c r="K150" s="387" t="s">
        <v>113</v>
      </c>
      <c r="L150" s="858" t="s">
        <v>815</v>
      </c>
      <c r="M150" s="858">
        <v>3140211.59</v>
      </c>
      <c r="N150" s="840"/>
      <c r="O150" s="242"/>
      <c r="Q150" s="172"/>
      <c r="R150" s="172"/>
      <c r="S150" s="172"/>
      <c r="T150" s="172"/>
      <c r="AO150"/>
    </row>
    <row r="151" spans="1:42" x14ac:dyDescent="0.25">
      <c r="A151" s="854"/>
      <c r="B151" s="834" t="s">
        <v>20</v>
      </c>
      <c r="C151" s="854"/>
      <c r="D151" s="272"/>
      <c r="E151" s="846" t="s">
        <v>356</v>
      </c>
      <c r="F151" s="201" t="s">
        <v>823</v>
      </c>
      <c r="G151" s="863">
        <v>51272.52</v>
      </c>
      <c r="H151" s="877"/>
      <c r="I151" s="856">
        <v>997316.69</v>
      </c>
      <c r="J151" s="538"/>
      <c r="K151" s="859"/>
      <c r="L151" s="858"/>
      <c r="M151" s="858"/>
      <c r="N151" s="870"/>
      <c r="O151" s="242"/>
      <c r="Q151" s="172"/>
      <c r="R151" s="172"/>
      <c r="S151" s="172"/>
      <c r="T151" s="172"/>
      <c r="AO151"/>
      <c r="AP151"/>
    </row>
    <row r="152" spans="1:42" x14ac:dyDescent="0.25">
      <c r="A152" s="854"/>
      <c r="B152" s="834" t="s">
        <v>20</v>
      </c>
      <c r="C152" s="854"/>
      <c r="D152" s="272"/>
      <c r="E152" s="846" t="s">
        <v>358</v>
      </c>
      <c r="F152" s="201" t="s">
        <v>829</v>
      </c>
      <c r="G152" s="863">
        <v>1</v>
      </c>
      <c r="H152" s="877"/>
      <c r="I152" s="856">
        <v>18.55</v>
      </c>
      <c r="J152" s="538"/>
      <c r="K152" s="846"/>
      <c r="L152" s="846"/>
      <c r="M152" s="846"/>
      <c r="N152" s="870"/>
      <c r="O152" s="242"/>
      <c r="Q152" s="172"/>
      <c r="R152" s="172"/>
      <c r="S152" s="172"/>
      <c r="T152" s="172"/>
      <c r="AO152"/>
      <c r="AP152"/>
    </row>
    <row r="153" spans="1:42" x14ac:dyDescent="0.25">
      <c r="A153" s="853"/>
      <c r="B153" s="834" t="s">
        <v>20</v>
      </c>
      <c r="C153" s="853"/>
      <c r="D153" s="332"/>
      <c r="E153" s="846"/>
      <c r="F153" s="201"/>
      <c r="G153" s="863"/>
      <c r="H153" s="525"/>
      <c r="I153" s="856"/>
      <c r="J153" s="525"/>
      <c r="K153" s="846"/>
      <c r="L153" s="846"/>
      <c r="M153" s="858"/>
      <c r="N153" s="525"/>
      <c r="O153" s="242"/>
      <c r="Q153" s="172"/>
      <c r="R153" s="172"/>
      <c r="S153" s="172"/>
      <c r="T153" s="172"/>
      <c r="AO153"/>
      <c r="AP153"/>
    </row>
    <row r="154" spans="1:42" x14ac:dyDescent="0.25">
      <c r="A154" s="854"/>
      <c r="B154" s="834" t="s">
        <v>20</v>
      </c>
      <c r="C154" s="882"/>
      <c r="D154" s="272"/>
      <c r="E154" s="846"/>
      <c r="F154" s="201"/>
      <c r="G154" s="863"/>
      <c r="H154" s="525"/>
      <c r="I154" s="856"/>
      <c r="J154" s="538"/>
      <c r="K154" s="859"/>
      <c r="L154" s="846"/>
      <c r="M154" s="858"/>
      <c r="N154" s="870"/>
      <c r="O154" s="242"/>
      <c r="Q154" s="172"/>
      <c r="R154" s="172"/>
      <c r="S154" s="172"/>
      <c r="T154" s="172"/>
      <c r="AO154"/>
      <c r="AP154"/>
    </row>
    <row r="155" spans="1:42" x14ac:dyDescent="0.25">
      <c r="A155" s="834" t="s">
        <v>20</v>
      </c>
      <c r="B155" s="834" t="s">
        <v>20</v>
      </c>
      <c r="C155" s="854" t="s">
        <v>525</v>
      </c>
      <c r="D155" s="272" t="s">
        <v>836</v>
      </c>
      <c r="E155" s="846"/>
      <c r="F155" s="201"/>
      <c r="G155" s="863"/>
      <c r="H155" s="525">
        <v>2613849.5</v>
      </c>
      <c r="J155" s="538">
        <v>50697922.409999996</v>
      </c>
      <c r="K155" s="858"/>
      <c r="L155" s="846"/>
      <c r="M155" s="846"/>
      <c r="N155" s="538">
        <v>5101514.3599999994</v>
      </c>
      <c r="O155" s="242"/>
      <c r="Q155" s="172"/>
      <c r="R155" s="172"/>
      <c r="S155" s="172"/>
      <c r="T155" s="172"/>
      <c r="AO155"/>
      <c r="AP155"/>
    </row>
    <row r="156" spans="1:42" x14ac:dyDescent="0.25">
      <c r="A156" s="854"/>
      <c r="B156" s="854"/>
      <c r="C156" s="882"/>
      <c r="D156" s="272"/>
      <c r="E156" s="846"/>
      <c r="F156" s="201"/>
      <c r="G156" s="863"/>
      <c r="H156" s="850"/>
      <c r="J156" s="538"/>
      <c r="K156" s="858"/>
      <c r="L156" s="846"/>
      <c r="M156" s="858"/>
      <c r="N156" s="855"/>
      <c r="O156" s="242"/>
      <c r="Q156" s="172"/>
      <c r="R156" s="172"/>
      <c r="S156" s="172"/>
      <c r="T156" s="172"/>
      <c r="AO156"/>
      <c r="AP156"/>
    </row>
    <row r="157" spans="1:42" x14ac:dyDescent="0.25">
      <c r="A157" s="854"/>
      <c r="B157" s="854"/>
      <c r="C157" s="854"/>
      <c r="D157" s="272"/>
      <c r="E157" s="846"/>
      <c r="F157" s="201"/>
      <c r="G157" s="863"/>
      <c r="H157" s="850"/>
      <c r="I157" s="856"/>
      <c r="J157" s="538"/>
      <c r="K157" s="858"/>
      <c r="L157" s="846"/>
      <c r="M157" s="858"/>
      <c r="N157" s="874"/>
      <c r="O157" s="242"/>
      <c r="Q157" s="172"/>
      <c r="R157" s="172"/>
      <c r="S157" s="172"/>
      <c r="T157" s="172"/>
      <c r="AO157"/>
      <c r="AP157"/>
    </row>
    <row r="158" spans="1:42" x14ac:dyDescent="0.25">
      <c r="A158" s="854"/>
      <c r="B158" s="834" t="s">
        <v>20</v>
      </c>
      <c r="C158" s="882"/>
      <c r="D158" s="272"/>
      <c r="E158" s="846" t="s">
        <v>109</v>
      </c>
      <c r="F158" s="201" t="s">
        <v>833</v>
      </c>
      <c r="G158" s="863">
        <v>24097.25</v>
      </c>
      <c r="H158" s="850"/>
      <c r="I158" s="856">
        <v>673309.9</v>
      </c>
      <c r="J158" s="538"/>
      <c r="K158" s="387" t="s">
        <v>114</v>
      </c>
      <c r="L158" s="846" t="s">
        <v>807</v>
      </c>
      <c r="M158" s="856">
        <v>74170.19</v>
      </c>
      <c r="N158" s="874"/>
      <c r="O158" s="242"/>
      <c r="Q158" s="172"/>
      <c r="R158" s="172"/>
      <c r="S158" s="172"/>
      <c r="T158" s="172"/>
      <c r="AO158"/>
      <c r="AP158"/>
    </row>
    <row r="159" spans="1:42" x14ac:dyDescent="0.25">
      <c r="A159" s="854"/>
      <c r="B159" s="834" t="s">
        <v>20</v>
      </c>
      <c r="C159" s="882"/>
      <c r="D159" s="272"/>
      <c r="E159" s="846" t="s">
        <v>356</v>
      </c>
      <c r="F159" s="201" t="s">
        <v>823</v>
      </c>
      <c r="G159" s="863">
        <v>1470330.52</v>
      </c>
      <c r="H159" s="850"/>
      <c r="I159" s="856">
        <v>27559073.199999999</v>
      </c>
      <c r="J159" s="538"/>
      <c r="K159" s="387" t="s">
        <v>113</v>
      </c>
      <c r="L159" s="846" t="s">
        <v>809</v>
      </c>
      <c r="M159" s="846">
        <v>465264.4</v>
      </c>
      <c r="N159" s="874"/>
      <c r="O159" s="242"/>
      <c r="Q159" s="172"/>
      <c r="R159" s="172"/>
      <c r="S159" s="172"/>
      <c r="T159" s="172"/>
      <c r="AO159"/>
      <c r="AP159"/>
    </row>
    <row r="160" spans="1:42" x14ac:dyDescent="0.25">
      <c r="A160" s="854"/>
      <c r="B160" s="834" t="s">
        <v>20</v>
      </c>
      <c r="C160" s="882"/>
      <c r="D160" s="272"/>
      <c r="E160" s="387" t="s">
        <v>373</v>
      </c>
      <c r="F160" s="201" t="s">
        <v>818</v>
      </c>
      <c r="G160" s="863">
        <v>76288.98</v>
      </c>
      <c r="H160" s="850"/>
      <c r="I160" s="856">
        <v>2135779.38</v>
      </c>
      <c r="J160" s="538"/>
      <c r="K160" s="387" t="s">
        <v>114</v>
      </c>
      <c r="L160" s="846" t="s">
        <v>811</v>
      </c>
      <c r="M160" s="856">
        <v>192517.11</v>
      </c>
      <c r="N160" s="874"/>
      <c r="O160" s="242"/>
      <c r="Q160" s="172"/>
      <c r="R160" s="172"/>
      <c r="S160" s="172"/>
      <c r="T160" s="172"/>
      <c r="AO160"/>
      <c r="AP160"/>
    </row>
    <row r="161" spans="1:42" x14ac:dyDescent="0.25">
      <c r="A161" s="854"/>
      <c r="B161" s="834" t="s">
        <v>20</v>
      </c>
      <c r="C161" s="882"/>
      <c r="D161" s="272"/>
      <c r="E161" s="846" t="s">
        <v>356</v>
      </c>
      <c r="F161" s="201" t="s">
        <v>837</v>
      </c>
      <c r="G161" s="863">
        <v>4764</v>
      </c>
      <c r="H161" s="860"/>
      <c r="I161" s="856">
        <v>104182.16</v>
      </c>
      <c r="J161" s="538"/>
      <c r="K161" s="387" t="s">
        <v>114</v>
      </c>
      <c r="L161" s="846" t="s">
        <v>813</v>
      </c>
      <c r="M161" s="856">
        <v>14069.51</v>
      </c>
      <c r="N161" s="855"/>
      <c r="O161" s="242"/>
      <c r="Q161" s="172"/>
      <c r="R161" s="172"/>
      <c r="S161" s="172"/>
      <c r="T161" s="172"/>
      <c r="AO161"/>
      <c r="AP161"/>
    </row>
    <row r="162" spans="1:42" x14ac:dyDescent="0.25">
      <c r="A162" s="854"/>
      <c r="B162" s="834" t="s">
        <v>20</v>
      </c>
      <c r="C162" s="882"/>
      <c r="D162" s="272"/>
      <c r="E162" s="846" t="s">
        <v>109</v>
      </c>
      <c r="F162" s="201" t="s">
        <v>838</v>
      </c>
      <c r="G162" s="863">
        <v>92</v>
      </c>
      <c r="H162" s="525"/>
      <c r="I162" s="856">
        <v>2955.04</v>
      </c>
      <c r="J162" s="538"/>
      <c r="K162" s="387" t="s">
        <v>114</v>
      </c>
      <c r="L162" s="846" t="s">
        <v>814</v>
      </c>
      <c r="M162" s="856">
        <v>566860.47</v>
      </c>
      <c r="N162" s="855"/>
      <c r="O162" s="242"/>
      <c r="Q162" s="172"/>
      <c r="R162" s="172"/>
      <c r="S162" s="172"/>
      <c r="T162" s="172"/>
      <c r="U162" s="203"/>
      <c r="AO162"/>
      <c r="AP162"/>
    </row>
    <row r="163" spans="1:42" x14ac:dyDescent="0.25">
      <c r="A163" s="854"/>
      <c r="B163" s="834" t="s">
        <v>20</v>
      </c>
      <c r="C163" s="882"/>
      <c r="D163" s="272"/>
      <c r="E163" s="846" t="s">
        <v>373</v>
      </c>
      <c r="F163" s="201" t="s">
        <v>839</v>
      </c>
      <c r="G163" s="863">
        <v>625.25</v>
      </c>
      <c r="H163" s="525"/>
      <c r="I163" s="856">
        <v>18719.400000000001</v>
      </c>
      <c r="J163" s="538"/>
      <c r="K163" s="387" t="s">
        <v>113</v>
      </c>
      <c r="L163" s="846" t="s">
        <v>815</v>
      </c>
      <c r="M163" s="858">
        <v>1989373.65</v>
      </c>
      <c r="N163" s="855"/>
      <c r="O163" s="286"/>
      <c r="Q163" s="172"/>
      <c r="R163" s="172"/>
      <c r="S163" s="172"/>
      <c r="T163" s="172"/>
      <c r="U163" s="201"/>
      <c r="V163" s="201"/>
      <c r="W163" s="201"/>
      <c r="AO163"/>
      <c r="AP163"/>
    </row>
    <row r="164" spans="1:42" x14ac:dyDescent="0.25">
      <c r="A164" s="854"/>
      <c r="B164" s="834" t="s">
        <v>20</v>
      </c>
      <c r="C164" s="882"/>
      <c r="D164" s="272"/>
      <c r="E164" s="846" t="s">
        <v>109</v>
      </c>
      <c r="F164" s="846" t="s">
        <v>834</v>
      </c>
      <c r="G164" s="863">
        <v>1643</v>
      </c>
      <c r="H164" s="525"/>
      <c r="I164" s="856">
        <v>46239.51</v>
      </c>
      <c r="J164" s="525"/>
      <c r="K164" s="858"/>
      <c r="L164" s="846"/>
      <c r="M164" s="846"/>
      <c r="N164" s="525"/>
      <c r="O164" s="241"/>
      <c r="P164" s="195"/>
      <c r="Q164" s="172"/>
      <c r="S164" s="202"/>
      <c r="U164"/>
      <c r="V164"/>
      <c r="W164"/>
      <c r="X164"/>
      <c r="AO164"/>
      <c r="AP164"/>
    </row>
    <row r="165" spans="1:42" x14ac:dyDescent="0.25">
      <c r="A165" s="854"/>
      <c r="B165" s="834" t="s">
        <v>20</v>
      </c>
      <c r="C165" s="882"/>
      <c r="D165" s="272"/>
      <c r="E165" s="846" t="s">
        <v>373</v>
      </c>
      <c r="F165" s="867" t="s">
        <v>835</v>
      </c>
      <c r="G165" s="863">
        <v>11112</v>
      </c>
      <c r="H165" s="525"/>
      <c r="I165" s="856">
        <v>309535.02</v>
      </c>
      <c r="J165" s="538"/>
      <c r="K165" s="858"/>
      <c r="L165" s="846"/>
      <c r="M165" s="846"/>
      <c r="N165" s="855"/>
      <c r="O165" s="241"/>
      <c r="P165" s="201"/>
      <c r="Q165" s="201"/>
      <c r="R165" s="201"/>
      <c r="S165" s="201"/>
      <c r="T165" s="286"/>
      <c r="U165"/>
      <c r="V165"/>
      <c r="W165"/>
      <c r="X165"/>
      <c r="AO165"/>
      <c r="AP165"/>
    </row>
    <row r="166" spans="1:42" x14ac:dyDescent="0.25">
      <c r="A166" s="854"/>
      <c r="B166" s="834" t="s">
        <v>20</v>
      </c>
      <c r="C166" s="882"/>
      <c r="D166" s="272"/>
      <c r="E166" s="846" t="s">
        <v>356</v>
      </c>
      <c r="F166" s="846" t="s">
        <v>823</v>
      </c>
      <c r="G166" s="863">
        <v>66158</v>
      </c>
      <c r="H166" s="525"/>
      <c r="I166" s="836">
        <v>1249227.27</v>
      </c>
      <c r="J166" s="538"/>
      <c r="K166" s="858"/>
      <c r="L166" s="846"/>
      <c r="M166" s="858"/>
      <c r="N166" s="855"/>
      <c r="O166"/>
      <c r="P166"/>
      <c r="Q166"/>
      <c r="R166"/>
      <c r="S166"/>
      <c r="T166"/>
      <c r="U166"/>
      <c r="V166"/>
      <c r="W166"/>
      <c r="X166"/>
      <c r="AO166"/>
      <c r="AP166"/>
    </row>
    <row r="167" spans="1:42" x14ac:dyDescent="0.25">
      <c r="A167" s="854"/>
      <c r="B167" s="834" t="s">
        <v>20</v>
      </c>
      <c r="C167" s="882"/>
      <c r="D167" s="272"/>
      <c r="E167" s="846" t="s">
        <v>356</v>
      </c>
      <c r="F167" s="846" t="s">
        <v>840</v>
      </c>
      <c r="G167" s="863">
        <v>161</v>
      </c>
      <c r="H167" s="850"/>
      <c r="I167" s="836">
        <v>3266.01</v>
      </c>
      <c r="J167" s="538"/>
      <c r="K167" s="859"/>
      <c r="L167" s="846"/>
      <c r="M167" s="858"/>
      <c r="N167" s="855"/>
      <c r="O167"/>
      <c r="P167"/>
      <c r="Q167"/>
      <c r="R167"/>
      <c r="S167"/>
      <c r="T167"/>
      <c r="U167"/>
      <c r="V167"/>
      <c r="W167"/>
      <c r="X167"/>
      <c r="AO167"/>
      <c r="AP167"/>
    </row>
    <row r="168" spans="1:42" x14ac:dyDescent="0.25">
      <c r="A168" s="854"/>
      <c r="B168" s="834" t="s">
        <v>20</v>
      </c>
      <c r="C168" s="882"/>
      <c r="D168" s="272"/>
      <c r="E168" s="846" t="s">
        <v>373</v>
      </c>
      <c r="F168" s="201" t="s">
        <v>841</v>
      </c>
      <c r="G168" s="863">
        <v>75</v>
      </c>
      <c r="H168" s="850"/>
      <c r="I168" s="856">
        <v>2250.21</v>
      </c>
      <c r="J168" s="538"/>
      <c r="K168" s="867"/>
      <c r="L168" s="846"/>
      <c r="M168" s="846"/>
      <c r="N168" s="855"/>
      <c r="O168"/>
      <c r="P168"/>
      <c r="Q168"/>
      <c r="R168"/>
      <c r="S168"/>
      <c r="T168"/>
      <c r="U168"/>
      <c r="V168"/>
      <c r="W168"/>
      <c r="X168"/>
      <c r="AO168"/>
      <c r="AP168"/>
    </row>
    <row r="169" spans="1:42" x14ac:dyDescent="0.25">
      <c r="A169" s="854"/>
      <c r="B169" s="834" t="s">
        <v>20</v>
      </c>
      <c r="C169" s="882"/>
      <c r="D169" s="272"/>
      <c r="E169" s="846"/>
      <c r="F169" s="846"/>
      <c r="G169" s="863"/>
      <c r="H169" s="850"/>
      <c r="I169" s="856"/>
      <c r="J169" s="538"/>
      <c r="K169" s="867"/>
      <c r="L169" s="846"/>
      <c r="M169" s="846"/>
      <c r="N169" s="855"/>
      <c r="O169"/>
      <c r="P169"/>
      <c r="Q169"/>
      <c r="R169"/>
      <c r="S169"/>
      <c r="T169"/>
      <c r="U169"/>
      <c r="V169"/>
      <c r="W169"/>
      <c r="X169"/>
      <c r="AO169"/>
      <c r="AP169"/>
    </row>
    <row r="170" spans="1:42" x14ac:dyDescent="0.25">
      <c r="A170" s="854"/>
      <c r="B170" s="834" t="s">
        <v>20</v>
      </c>
      <c r="C170" s="882"/>
      <c r="D170" s="272"/>
      <c r="E170" s="846"/>
      <c r="F170" s="201"/>
      <c r="G170" s="863"/>
      <c r="H170" s="850"/>
      <c r="I170" s="856"/>
      <c r="J170" s="538"/>
      <c r="K170" s="846"/>
      <c r="L170" s="846"/>
      <c r="M170" s="858"/>
      <c r="N170" s="855"/>
      <c r="O170"/>
      <c r="P170"/>
      <c r="Q170"/>
      <c r="R170"/>
      <c r="S170"/>
      <c r="T170"/>
      <c r="U170"/>
      <c r="V170"/>
      <c r="W170"/>
      <c r="X170"/>
      <c r="AO170"/>
      <c r="AP170"/>
    </row>
    <row r="171" spans="1:42" x14ac:dyDescent="0.25">
      <c r="A171" s="834" t="s">
        <v>20</v>
      </c>
      <c r="B171" s="834" t="s">
        <v>20</v>
      </c>
      <c r="C171" s="854" t="s">
        <v>525</v>
      </c>
      <c r="D171" s="855" t="s">
        <v>20</v>
      </c>
      <c r="E171" s="846"/>
      <c r="F171" s="201"/>
      <c r="G171" s="286"/>
      <c r="H171" s="850">
        <v>1655347</v>
      </c>
      <c r="J171" s="538">
        <v>32104537.099999998</v>
      </c>
      <c r="K171" s="859"/>
      <c r="L171" s="846"/>
      <c r="M171" s="858"/>
      <c r="N171" s="538">
        <v>3302255.33</v>
      </c>
      <c r="O171"/>
      <c r="P171"/>
      <c r="Q171"/>
      <c r="R171"/>
      <c r="S171"/>
      <c r="T171"/>
      <c r="U171"/>
      <c r="V171"/>
      <c r="W171"/>
      <c r="X171"/>
      <c r="AO171"/>
      <c r="AP171"/>
    </row>
    <row r="172" spans="1:42" x14ac:dyDescent="0.25">
      <c r="A172" s="854"/>
      <c r="B172" s="882"/>
      <c r="C172" s="882"/>
      <c r="D172" s="855"/>
      <c r="E172" s="846"/>
      <c r="F172" s="867"/>
      <c r="G172" s="863"/>
      <c r="H172" s="525"/>
      <c r="I172" s="856"/>
      <c r="J172" s="538"/>
      <c r="K172" s="858"/>
      <c r="L172" s="846"/>
      <c r="M172" s="846"/>
      <c r="N172" s="855"/>
      <c r="O172"/>
      <c r="P172"/>
      <c r="Q172"/>
      <c r="R172"/>
      <c r="S172"/>
      <c r="T172"/>
      <c r="U172"/>
      <c r="V172"/>
      <c r="W172"/>
      <c r="AN172"/>
      <c r="AO172"/>
      <c r="AP172"/>
    </row>
    <row r="173" spans="1:42" x14ac:dyDescent="0.25">
      <c r="A173" s="854"/>
      <c r="B173" s="882"/>
      <c r="C173" s="882"/>
      <c r="D173" s="855"/>
      <c r="E173" s="846"/>
      <c r="F173" s="867"/>
      <c r="G173" s="863"/>
      <c r="H173" s="525"/>
      <c r="I173" s="856"/>
      <c r="J173" s="538"/>
      <c r="K173" s="858"/>
      <c r="L173" s="846"/>
      <c r="M173" s="846"/>
      <c r="N173" s="855"/>
      <c r="O173"/>
      <c r="P173"/>
      <c r="Q173"/>
      <c r="R173"/>
      <c r="S173"/>
      <c r="T173"/>
      <c r="U173"/>
      <c r="V173"/>
      <c r="W173"/>
      <c r="AN173"/>
      <c r="AO173"/>
      <c r="AP173"/>
    </row>
    <row r="174" spans="1:42" x14ac:dyDescent="0.25">
      <c r="A174" s="854"/>
      <c r="B174" s="854" t="s">
        <v>519</v>
      </c>
      <c r="C174" s="882"/>
      <c r="D174" s="855"/>
      <c r="E174" s="846" t="s">
        <v>109</v>
      </c>
      <c r="F174" s="867" t="s">
        <v>833</v>
      </c>
      <c r="G174" s="863">
        <v>36</v>
      </c>
      <c r="H174" s="525"/>
      <c r="I174" s="856">
        <v>1920</v>
      </c>
      <c r="J174" s="538"/>
      <c r="K174" s="387" t="s">
        <v>114</v>
      </c>
      <c r="L174" s="846" t="s">
        <v>807</v>
      </c>
      <c r="M174" s="856">
        <v>120.06</v>
      </c>
      <c r="N174" s="855"/>
      <c r="O174"/>
      <c r="P174"/>
      <c r="Q174"/>
      <c r="R174"/>
      <c r="S174"/>
      <c r="T174"/>
      <c r="U174"/>
      <c r="V174"/>
      <c r="W174"/>
      <c r="AN174"/>
      <c r="AO174"/>
      <c r="AP174"/>
    </row>
    <row r="175" spans="1:42" x14ac:dyDescent="0.25">
      <c r="A175" s="882"/>
      <c r="B175" s="854" t="s">
        <v>519</v>
      </c>
      <c r="C175" s="882"/>
      <c r="D175" s="855"/>
      <c r="E175" s="846" t="s">
        <v>356</v>
      </c>
      <c r="F175" s="867" t="s">
        <v>823</v>
      </c>
      <c r="G175" s="863">
        <v>1410</v>
      </c>
      <c r="H175" s="525"/>
      <c r="I175" s="856">
        <v>60132.5</v>
      </c>
      <c r="J175" s="525"/>
      <c r="K175" s="387" t="s">
        <v>113</v>
      </c>
      <c r="L175" s="846" t="s">
        <v>809</v>
      </c>
      <c r="M175" s="858">
        <v>981.82</v>
      </c>
      <c r="N175" s="525"/>
      <c r="O175"/>
      <c r="P175"/>
      <c r="Q175"/>
      <c r="R175"/>
      <c r="S175"/>
      <c r="T175"/>
      <c r="U175"/>
      <c r="V175"/>
      <c r="W175"/>
      <c r="AN175"/>
      <c r="AO175"/>
      <c r="AP175"/>
    </row>
    <row r="176" spans="1:42" x14ac:dyDescent="0.25">
      <c r="A176" s="854"/>
      <c r="B176" s="854" t="s">
        <v>519</v>
      </c>
      <c r="C176" s="882"/>
      <c r="D176" s="855"/>
      <c r="E176" s="387" t="s">
        <v>373</v>
      </c>
      <c r="F176" s="867" t="s">
        <v>818</v>
      </c>
      <c r="G176" s="863">
        <v>12.5</v>
      </c>
      <c r="H176" s="525"/>
      <c r="I176" s="836">
        <v>750</v>
      </c>
      <c r="J176" s="538"/>
      <c r="K176" s="387" t="s">
        <v>114</v>
      </c>
      <c r="L176" s="858" t="s">
        <v>811</v>
      </c>
      <c r="M176" s="856">
        <v>406.24</v>
      </c>
      <c r="N176" s="855"/>
      <c r="O176"/>
      <c r="P176"/>
      <c r="Q176"/>
      <c r="R176"/>
      <c r="S176"/>
      <c r="T176"/>
      <c r="U176"/>
      <c r="V176"/>
      <c r="W176"/>
      <c r="X176"/>
      <c r="AO176"/>
      <c r="AP176"/>
    </row>
    <row r="177" spans="1:42" x14ac:dyDescent="0.25">
      <c r="A177" s="854"/>
      <c r="B177" s="854" t="s">
        <v>519</v>
      </c>
      <c r="C177" s="882"/>
      <c r="D177" s="855"/>
      <c r="E177" s="846" t="s">
        <v>109</v>
      </c>
      <c r="F177" s="867" t="s">
        <v>834</v>
      </c>
      <c r="G177" s="863">
        <v>11.75</v>
      </c>
      <c r="H177" s="525"/>
      <c r="I177" s="836">
        <v>705</v>
      </c>
      <c r="J177" s="538"/>
      <c r="K177" s="387" t="s">
        <v>114</v>
      </c>
      <c r="L177" s="858" t="s">
        <v>813</v>
      </c>
      <c r="M177" s="856">
        <v>21.47</v>
      </c>
      <c r="N177" s="855"/>
      <c r="O177"/>
      <c r="P177"/>
      <c r="Q177"/>
      <c r="R177"/>
      <c r="S177"/>
      <c r="T177"/>
      <c r="U177"/>
      <c r="V177"/>
      <c r="W177"/>
      <c r="X177"/>
      <c r="AO177"/>
      <c r="AP177"/>
    </row>
    <row r="178" spans="1:42" x14ac:dyDescent="0.25">
      <c r="A178" s="854"/>
      <c r="B178" s="854" t="s">
        <v>519</v>
      </c>
      <c r="C178" s="882"/>
      <c r="D178" s="855"/>
      <c r="E178" s="846" t="s">
        <v>373</v>
      </c>
      <c r="F178" s="867" t="s">
        <v>835</v>
      </c>
      <c r="G178" s="863">
        <v>-3</v>
      </c>
      <c r="H178" s="850"/>
      <c r="I178" s="836">
        <v>-225</v>
      </c>
      <c r="J178" s="538"/>
      <c r="K178" s="387" t="s">
        <v>114</v>
      </c>
      <c r="L178" s="858" t="s">
        <v>814</v>
      </c>
      <c r="M178" s="856">
        <v>802.92</v>
      </c>
      <c r="N178" s="855"/>
      <c r="O178"/>
      <c r="P178"/>
      <c r="Q178"/>
      <c r="R178"/>
      <c r="S178"/>
      <c r="T178"/>
      <c r="U178"/>
      <c r="V178"/>
      <c r="W178"/>
      <c r="X178"/>
      <c r="AO178"/>
      <c r="AP178"/>
    </row>
    <row r="179" spans="1:42" x14ac:dyDescent="0.25">
      <c r="A179" s="854"/>
      <c r="B179" s="854" t="s">
        <v>519</v>
      </c>
      <c r="C179" s="882"/>
      <c r="D179" s="855"/>
      <c r="E179" s="846" t="s">
        <v>356</v>
      </c>
      <c r="F179" s="867" t="s">
        <v>823</v>
      </c>
      <c r="G179" s="863">
        <v>376</v>
      </c>
      <c r="H179" s="850"/>
      <c r="I179" s="836">
        <v>15446.5</v>
      </c>
      <c r="J179" s="538"/>
      <c r="K179" s="387" t="s">
        <v>113</v>
      </c>
      <c r="L179" s="858" t="s">
        <v>815</v>
      </c>
      <c r="M179" s="858">
        <v>4197.95</v>
      </c>
      <c r="N179" s="855"/>
      <c r="O179"/>
      <c r="P179"/>
      <c r="Q179"/>
      <c r="R179"/>
      <c r="S179"/>
      <c r="T179"/>
      <c r="U179"/>
      <c r="V179"/>
      <c r="W179"/>
      <c r="X179"/>
      <c r="AO179"/>
      <c r="AP179"/>
    </row>
    <row r="180" spans="1:42" x14ac:dyDescent="0.25">
      <c r="A180" s="854"/>
      <c r="B180" s="854" t="s">
        <v>519</v>
      </c>
      <c r="C180" s="882"/>
      <c r="D180" s="855"/>
      <c r="E180" s="846"/>
      <c r="F180" s="867"/>
      <c r="G180" s="863"/>
      <c r="H180" s="850"/>
      <c r="J180" s="538"/>
      <c r="K180" s="858"/>
      <c r="L180" s="858"/>
      <c r="M180" s="858"/>
      <c r="N180" s="855"/>
      <c r="O180"/>
      <c r="P180"/>
      <c r="Q180"/>
      <c r="R180"/>
      <c r="S180"/>
      <c r="T180"/>
      <c r="U180"/>
      <c r="V180"/>
      <c r="W180"/>
      <c r="X180"/>
      <c r="AO180"/>
      <c r="AP180"/>
    </row>
    <row r="181" spans="1:42" x14ac:dyDescent="0.25">
      <c r="A181" s="854"/>
      <c r="B181" s="854" t="s">
        <v>519</v>
      </c>
      <c r="C181" s="882"/>
      <c r="D181" s="855"/>
      <c r="E181" s="846"/>
      <c r="F181" s="867"/>
      <c r="G181" s="863"/>
      <c r="H181" s="850"/>
      <c r="J181" s="538"/>
      <c r="K181" s="859"/>
      <c r="L181" s="858"/>
      <c r="M181" s="858"/>
      <c r="N181" s="855"/>
      <c r="O181"/>
      <c r="P181"/>
      <c r="Q181"/>
      <c r="R181"/>
      <c r="S181"/>
      <c r="T181"/>
      <c r="U181"/>
      <c r="V181"/>
      <c r="W181"/>
      <c r="X181"/>
      <c r="AO181"/>
      <c r="AP181"/>
    </row>
    <row r="182" spans="1:42" x14ac:dyDescent="0.25">
      <c r="A182" s="854" t="s">
        <v>519</v>
      </c>
      <c r="B182" s="854" t="s">
        <v>519</v>
      </c>
      <c r="C182" s="882" t="s">
        <v>519</v>
      </c>
      <c r="D182" s="855" t="s">
        <v>842</v>
      </c>
      <c r="E182" s="846"/>
      <c r="F182" s="867"/>
      <c r="G182" s="863"/>
      <c r="H182" s="850">
        <v>1843.25</v>
      </c>
      <c r="J182" s="538">
        <v>78729</v>
      </c>
      <c r="K182" s="867"/>
      <c r="L182" s="846"/>
      <c r="M182" s="846"/>
      <c r="N182" s="538">
        <v>6530.46</v>
      </c>
      <c r="O182"/>
      <c r="P182"/>
      <c r="Q182"/>
      <c r="R182"/>
      <c r="S182"/>
      <c r="T182"/>
      <c r="U182"/>
      <c r="V182"/>
      <c r="W182"/>
      <c r="X182"/>
      <c r="AO182"/>
      <c r="AP182"/>
    </row>
    <row r="183" spans="1:42" x14ac:dyDescent="0.25">
      <c r="A183" s="854"/>
      <c r="B183" s="854"/>
      <c r="C183" s="882"/>
      <c r="D183" s="855"/>
      <c r="E183" s="846"/>
      <c r="F183" s="867"/>
      <c r="G183" s="863"/>
      <c r="H183" s="525"/>
      <c r="J183" s="538"/>
      <c r="K183" s="867"/>
      <c r="L183" s="846"/>
      <c r="M183" s="846"/>
      <c r="N183" s="883"/>
      <c r="O183"/>
      <c r="P183"/>
      <c r="Q183"/>
      <c r="R183"/>
      <c r="S183"/>
      <c r="T183"/>
      <c r="U183"/>
      <c r="V183"/>
      <c r="W183"/>
      <c r="X183"/>
      <c r="AO183"/>
    </row>
    <row r="184" spans="1:42" x14ac:dyDescent="0.25">
      <c r="A184" s="854"/>
      <c r="B184" s="854"/>
      <c r="C184" s="882"/>
      <c r="D184" s="855"/>
      <c r="E184" s="846"/>
      <c r="F184" s="867"/>
      <c r="G184" s="863"/>
      <c r="H184" s="525"/>
      <c r="J184" s="538"/>
      <c r="K184" s="867"/>
      <c r="L184" s="846"/>
      <c r="M184" s="846"/>
      <c r="N184" s="883"/>
      <c r="O184"/>
      <c r="P184"/>
      <c r="Q184"/>
      <c r="R184"/>
      <c r="S184"/>
      <c r="T184"/>
      <c r="AO184"/>
    </row>
    <row r="185" spans="1:42" x14ac:dyDescent="0.25">
      <c r="A185" s="854"/>
      <c r="B185" s="854" t="s">
        <v>15</v>
      </c>
      <c r="C185" s="882"/>
      <c r="D185" s="855"/>
      <c r="E185" s="387" t="s">
        <v>472</v>
      </c>
      <c r="F185" s="867" t="s">
        <v>806</v>
      </c>
      <c r="G185" s="863">
        <v>0</v>
      </c>
      <c r="H185" s="525"/>
      <c r="I185" s="836">
        <v>1690</v>
      </c>
      <c r="J185" s="525"/>
      <c r="K185" s="387" t="s">
        <v>114</v>
      </c>
      <c r="L185" s="846" t="s">
        <v>807</v>
      </c>
      <c r="M185" s="856">
        <v>177183.88</v>
      </c>
      <c r="N185" s="525"/>
      <c r="O185"/>
      <c r="P185"/>
      <c r="Q185"/>
      <c r="R185"/>
      <c r="S185"/>
      <c r="T185"/>
      <c r="AO185"/>
    </row>
    <row r="186" spans="1:42" x14ac:dyDescent="0.25">
      <c r="A186" s="854"/>
      <c r="B186" s="854" t="s">
        <v>15</v>
      </c>
      <c r="C186" s="882"/>
      <c r="D186" s="855"/>
      <c r="E186" s="846" t="s">
        <v>109</v>
      </c>
      <c r="F186" s="867" t="s">
        <v>833</v>
      </c>
      <c r="G186" s="863">
        <v>68609.679999999993</v>
      </c>
      <c r="H186" s="525"/>
      <c r="I186" s="836">
        <v>1927225.89</v>
      </c>
      <c r="J186" s="538"/>
      <c r="K186" s="387" t="s">
        <v>113</v>
      </c>
      <c r="L186" s="846" t="s">
        <v>809</v>
      </c>
      <c r="M186" s="846">
        <v>1076731.3700000001</v>
      </c>
      <c r="N186" s="883"/>
      <c r="O186" s="241"/>
      <c r="Q186" s="172"/>
      <c r="R186" s="172"/>
      <c r="S186" s="172"/>
      <c r="T186" s="172"/>
      <c r="AO186"/>
    </row>
    <row r="187" spans="1:42" x14ac:dyDescent="0.25">
      <c r="A187" s="854"/>
      <c r="B187" s="854" t="s">
        <v>15</v>
      </c>
      <c r="C187" s="882"/>
      <c r="D187" s="855"/>
      <c r="E187" s="846" t="s">
        <v>356</v>
      </c>
      <c r="F187" s="867" t="s">
        <v>823</v>
      </c>
      <c r="G187" s="863">
        <v>3541829.75</v>
      </c>
      <c r="H187" s="525"/>
      <c r="I187" s="836">
        <v>66682884.350000001</v>
      </c>
      <c r="J187" s="538"/>
      <c r="K187" s="387" t="s">
        <v>114</v>
      </c>
      <c r="L187" s="846" t="s">
        <v>811</v>
      </c>
      <c r="M187" s="856">
        <v>444959.55</v>
      </c>
      <c r="N187" s="855"/>
      <c r="O187" s="241"/>
      <c r="Q187" s="172"/>
      <c r="R187" s="172"/>
      <c r="S187" s="172"/>
      <c r="T187" s="172"/>
      <c r="AO187"/>
      <c r="AP187"/>
    </row>
    <row r="188" spans="1:42" x14ac:dyDescent="0.25">
      <c r="A188" s="854"/>
      <c r="B188" s="854" t="s">
        <v>15</v>
      </c>
      <c r="C188" s="882"/>
      <c r="D188" s="855"/>
      <c r="E188" s="387" t="s">
        <v>373</v>
      </c>
      <c r="F188" s="867" t="s">
        <v>818</v>
      </c>
      <c r="G188" s="863">
        <v>48378.39</v>
      </c>
      <c r="H188" s="525"/>
      <c r="I188" s="856">
        <v>1359964.65</v>
      </c>
      <c r="J188" s="538"/>
      <c r="K188" s="387" t="s">
        <v>114</v>
      </c>
      <c r="L188" s="846" t="s">
        <v>813</v>
      </c>
      <c r="M188" s="856">
        <v>34240.42</v>
      </c>
      <c r="N188" s="855"/>
      <c r="O188" s="241"/>
      <c r="Q188" s="172"/>
      <c r="R188" s="172"/>
      <c r="S188" s="172"/>
      <c r="T188" s="172"/>
      <c r="AO188"/>
      <c r="AP188"/>
    </row>
    <row r="189" spans="1:42" x14ac:dyDescent="0.25">
      <c r="A189" s="854"/>
      <c r="B189" s="854" t="s">
        <v>15</v>
      </c>
      <c r="C189" s="882"/>
      <c r="D189" s="855"/>
      <c r="E189" s="846" t="s">
        <v>356</v>
      </c>
      <c r="F189" s="867" t="s">
        <v>837</v>
      </c>
      <c r="G189" s="863">
        <v>43134.25</v>
      </c>
      <c r="H189" s="525"/>
      <c r="I189" s="856">
        <v>816326.19</v>
      </c>
      <c r="J189" s="538"/>
      <c r="K189" s="387" t="s">
        <v>114</v>
      </c>
      <c r="L189" s="846" t="s">
        <v>814</v>
      </c>
      <c r="M189" s="856">
        <v>1375039.96</v>
      </c>
      <c r="N189" s="855"/>
      <c r="O189" s="241"/>
      <c r="Q189" s="172"/>
      <c r="R189" s="172"/>
      <c r="S189" s="172"/>
      <c r="T189" s="172"/>
      <c r="AO189"/>
      <c r="AP189"/>
    </row>
    <row r="190" spans="1:42" x14ac:dyDescent="0.25">
      <c r="A190" s="854"/>
      <c r="B190" s="854" t="s">
        <v>15</v>
      </c>
      <c r="C190" s="882"/>
      <c r="D190" s="855"/>
      <c r="E190" s="846" t="s">
        <v>109</v>
      </c>
      <c r="F190" s="867" t="s">
        <v>838</v>
      </c>
      <c r="G190" s="863">
        <v>743</v>
      </c>
      <c r="H190" s="525"/>
      <c r="I190" s="856">
        <v>20779.52</v>
      </c>
      <c r="J190" s="538"/>
      <c r="K190" s="387" t="s">
        <v>113</v>
      </c>
      <c r="L190" s="846" t="s">
        <v>815</v>
      </c>
      <c r="M190" s="858">
        <v>4604029.5999999996</v>
      </c>
      <c r="N190" s="855"/>
      <c r="O190" s="242"/>
      <c r="Q190" s="172"/>
      <c r="R190" s="172"/>
      <c r="S190" s="172"/>
      <c r="T190" s="172"/>
      <c r="AO190"/>
      <c r="AP190"/>
    </row>
    <row r="191" spans="1:42" x14ac:dyDescent="0.25">
      <c r="A191" s="854"/>
      <c r="B191" s="854" t="s">
        <v>15</v>
      </c>
      <c r="C191" s="882"/>
      <c r="D191" s="855"/>
      <c r="E191" s="846" t="s">
        <v>373</v>
      </c>
      <c r="F191" s="867" t="s">
        <v>839</v>
      </c>
      <c r="G191" s="863">
        <v>4161.5</v>
      </c>
      <c r="H191" s="525"/>
      <c r="I191" s="856">
        <v>115867.72</v>
      </c>
      <c r="J191" s="538"/>
      <c r="K191" s="846"/>
      <c r="L191" s="858"/>
      <c r="M191" s="858"/>
      <c r="N191" s="855"/>
      <c r="O191" s="241"/>
      <c r="Q191" s="172"/>
      <c r="R191" s="172"/>
      <c r="S191" s="172"/>
      <c r="T191" s="172"/>
      <c r="AO191"/>
      <c r="AP191"/>
    </row>
    <row r="192" spans="1:42" x14ac:dyDescent="0.25">
      <c r="A192" s="854"/>
      <c r="B192" s="854" t="s">
        <v>15</v>
      </c>
      <c r="C192" s="882"/>
      <c r="D192" s="855"/>
      <c r="E192" s="387" t="s">
        <v>472</v>
      </c>
      <c r="F192" s="867" t="s">
        <v>825</v>
      </c>
      <c r="G192" s="863">
        <v>0</v>
      </c>
      <c r="H192" s="525"/>
      <c r="I192" s="856">
        <v>290</v>
      </c>
      <c r="J192" s="538"/>
      <c r="K192" s="859"/>
      <c r="L192" s="858"/>
      <c r="M192" s="858"/>
      <c r="N192" s="855"/>
      <c r="O192" s="241"/>
      <c r="Q192" s="172"/>
      <c r="R192" s="172"/>
      <c r="S192" s="172"/>
      <c r="T192" s="172"/>
      <c r="AO192"/>
      <c r="AP192"/>
    </row>
    <row r="193" spans="1:42" x14ac:dyDescent="0.25">
      <c r="A193" s="854"/>
      <c r="B193" s="854" t="s">
        <v>15</v>
      </c>
      <c r="C193" s="882"/>
      <c r="D193" s="855"/>
      <c r="E193" s="846" t="s">
        <v>356</v>
      </c>
      <c r="F193" s="867" t="s">
        <v>826</v>
      </c>
      <c r="G193" s="863">
        <v>24565.38</v>
      </c>
      <c r="H193" s="525"/>
      <c r="I193" s="836">
        <v>460203.23</v>
      </c>
      <c r="J193" s="538"/>
      <c r="K193" s="858"/>
      <c r="L193" s="858"/>
      <c r="M193" s="846"/>
      <c r="N193" s="855"/>
      <c r="O193" s="241"/>
      <c r="Q193" s="172"/>
      <c r="R193" s="172"/>
      <c r="S193" s="172"/>
      <c r="T193" s="172"/>
      <c r="AO193"/>
      <c r="AP193"/>
    </row>
    <row r="194" spans="1:42" x14ac:dyDescent="0.25">
      <c r="A194" s="854"/>
      <c r="B194" s="854" t="s">
        <v>15</v>
      </c>
      <c r="C194" s="882"/>
      <c r="D194" s="855"/>
      <c r="E194" s="846" t="s">
        <v>109</v>
      </c>
      <c r="F194" s="867" t="s">
        <v>834</v>
      </c>
      <c r="G194" s="863">
        <v>2552.75</v>
      </c>
      <c r="H194" s="525"/>
      <c r="I194" s="836">
        <v>72019.820000000007</v>
      </c>
      <c r="J194" s="538"/>
      <c r="K194" s="858"/>
      <c r="L194" s="858"/>
      <c r="M194" s="271"/>
      <c r="N194" s="855"/>
      <c r="O194" s="241"/>
      <c r="Q194" s="172"/>
      <c r="R194" s="172"/>
      <c r="S194" s="172"/>
      <c r="T194" s="172"/>
      <c r="AO194"/>
      <c r="AP194"/>
    </row>
    <row r="195" spans="1:42" x14ac:dyDescent="0.25">
      <c r="A195" s="854"/>
      <c r="B195" s="854" t="s">
        <v>15</v>
      </c>
      <c r="C195" s="882"/>
      <c r="D195" s="855"/>
      <c r="E195" s="846" t="s">
        <v>373</v>
      </c>
      <c r="F195" s="867" t="s">
        <v>835</v>
      </c>
      <c r="G195" s="286">
        <v>3531.71</v>
      </c>
      <c r="H195" s="525"/>
      <c r="I195" s="856">
        <v>99205.67</v>
      </c>
      <c r="J195" s="538"/>
      <c r="K195" s="858"/>
      <c r="L195" s="858"/>
      <c r="M195" s="858"/>
      <c r="N195" s="855"/>
      <c r="O195" s="241"/>
      <c r="Q195" s="172"/>
      <c r="R195" s="172"/>
      <c r="S195" s="172"/>
      <c r="T195" s="172"/>
      <c r="AO195"/>
      <c r="AP195"/>
    </row>
    <row r="196" spans="1:42" x14ac:dyDescent="0.25">
      <c r="A196" s="854"/>
      <c r="B196" s="854" t="s">
        <v>15</v>
      </c>
      <c r="C196" s="882"/>
      <c r="D196" s="855"/>
      <c r="E196" s="846" t="s">
        <v>356</v>
      </c>
      <c r="F196" s="867" t="s">
        <v>823</v>
      </c>
      <c r="G196" s="863">
        <v>132751.91</v>
      </c>
      <c r="H196" s="525"/>
      <c r="I196" s="856">
        <v>2510478.02</v>
      </c>
      <c r="J196" s="538"/>
      <c r="K196" s="859"/>
      <c r="L196" s="858"/>
      <c r="M196" s="858"/>
      <c r="N196" s="855"/>
      <c r="O196" s="241"/>
      <c r="Q196" s="172"/>
      <c r="R196" s="172"/>
      <c r="S196" s="172"/>
      <c r="T196" s="172"/>
      <c r="AO196"/>
      <c r="AP196"/>
    </row>
    <row r="197" spans="1:42" x14ac:dyDescent="0.25">
      <c r="A197" s="854"/>
      <c r="B197" s="854" t="s">
        <v>15</v>
      </c>
      <c r="C197" s="882"/>
      <c r="D197" s="855"/>
      <c r="E197" s="846" t="s">
        <v>109</v>
      </c>
      <c r="F197" s="867" t="s">
        <v>843</v>
      </c>
      <c r="G197" s="863">
        <v>52</v>
      </c>
      <c r="H197" s="525"/>
      <c r="I197" s="856">
        <v>1397.37</v>
      </c>
      <c r="J197" s="525"/>
      <c r="K197" s="858"/>
      <c r="L197" s="846"/>
      <c r="M197" s="858"/>
      <c r="N197" s="525"/>
      <c r="O197" s="241"/>
      <c r="Q197" s="172"/>
      <c r="R197" s="172"/>
      <c r="S197" s="172"/>
      <c r="T197" s="172"/>
      <c r="AO197"/>
      <c r="AP197"/>
    </row>
    <row r="198" spans="1:42" x14ac:dyDescent="0.25">
      <c r="A198" s="854"/>
      <c r="B198" s="854" t="s">
        <v>15</v>
      </c>
      <c r="C198" s="882"/>
      <c r="D198" s="855"/>
      <c r="E198" s="846" t="s">
        <v>356</v>
      </c>
      <c r="F198" s="867" t="s">
        <v>840</v>
      </c>
      <c r="G198" s="863">
        <v>2791.25</v>
      </c>
      <c r="H198" s="525"/>
      <c r="I198" s="856">
        <v>51830.96</v>
      </c>
      <c r="J198" s="538"/>
      <c r="K198" s="858"/>
      <c r="L198" s="846"/>
      <c r="M198" s="858"/>
      <c r="N198" s="874"/>
      <c r="O198" s="241"/>
      <c r="Q198" s="172"/>
      <c r="R198" s="172"/>
      <c r="S198" s="172"/>
      <c r="T198" s="172"/>
      <c r="AO198"/>
      <c r="AP198"/>
    </row>
    <row r="199" spans="1:42" x14ac:dyDescent="0.25">
      <c r="A199" s="854"/>
      <c r="B199" s="854" t="s">
        <v>15</v>
      </c>
      <c r="C199" s="882"/>
      <c r="D199" s="855"/>
      <c r="E199" s="846" t="s">
        <v>356</v>
      </c>
      <c r="F199" s="867" t="s">
        <v>844</v>
      </c>
      <c r="G199" s="863">
        <v>5.87</v>
      </c>
      <c r="H199" s="525"/>
      <c r="I199" s="856">
        <v>103.02</v>
      </c>
      <c r="J199" s="538"/>
      <c r="K199" s="858"/>
      <c r="L199" s="846"/>
      <c r="M199" s="858"/>
      <c r="N199" s="855"/>
      <c r="O199" s="241"/>
      <c r="Q199" s="172"/>
      <c r="R199" s="172"/>
      <c r="S199" s="172"/>
      <c r="T199" s="172"/>
      <c r="AO199"/>
      <c r="AP199"/>
    </row>
    <row r="200" spans="1:42" x14ac:dyDescent="0.25">
      <c r="A200" s="854"/>
      <c r="B200" s="854" t="s">
        <v>15</v>
      </c>
      <c r="C200" s="882"/>
      <c r="D200" s="855"/>
      <c r="E200" s="846" t="s">
        <v>373</v>
      </c>
      <c r="F200" s="867" t="s">
        <v>841</v>
      </c>
      <c r="G200" s="863">
        <v>394.25</v>
      </c>
      <c r="H200" s="850"/>
      <c r="I200" s="856">
        <v>10996.1</v>
      </c>
      <c r="J200" s="538"/>
      <c r="K200" s="859"/>
      <c r="L200" s="846"/>
      <c r="M200" s="858"/>
      <c r="N200" s="874"/>
      <c r="O200" s="242"/>
      <c r="Q200" s="172"/>
      <c r="R200" s="172"/>
      <c r="S200" s="172"/>
      <c r="T200" s="172"/>
      <c r="AO200"/>
      <c r="AP200"/>
    </row>
    <row r="201" spans="1:42" x14ac:dyDescent="0.25">
      <c r="A201" s="854"/>
      <c r="B201" s="854" t="s">
        <v>15</v>
      </c>
      <c r="C201" s="882"/>
      <c r="D201" s="855"/>
      <c r="E201" s="846" t="s">
        <v>356</v>
      </c>
      <c r="F201" s="867" t="s">
        <v>845</v>
      </c>
      <c r="G201" s="863">
        <v>438.37</v>
      </c>
      <c r="H201" s="850"/>
      <c r="I201" s="856">
        <v>8478.9699999999993</v>
      </c>
      <c r="J201" s="538"/>
      <c r="K201" s="867"/>
      <c r="L201" s="846"/>
      <c r="M201" s="846"/>
      <c r="N201" s="874"/>
      <c r="O201" s="241"/>
      <c r="Q201" s="172"/>
      <c r="R201" s="172"/>
      <c r="S201" s="172"/>
      <c r="T201" s="172"/>
      <c r="AO201"/>
      <c r="AP201"/>
    </row>
    <row r="202" spans="1:42" x14ac:dyDescent="0.25">
      <c r="A202" s="853"/>
      <c r="B202" s="854" t="s">
        <v>15</v>
      </c>
      <c r="C202" s="853"/>
      <c r="D202" s="332"/>
      <c r="E202" s="846" t="s">
        <v>356</v>
      </c>
      <c r="F202" s="867" t="s">
        <v>812</v>
      </c>
      <c r="G202" s="863">
        <v>-15</v>
      </c>
      <c r="H202" s="850"/>
      <c r="I202" s="856">
        <v>87</v>
      </c>
      <c r="J202" s="538"/>
      <c r="K202" s="867"/>
      <c r="L202" s="846"/>
      <c r="M202" s="846"/>
      <c r="N202" s="855"/>
      <c r="O202" s="241"/>
      <c r="Q202" s="172"/>
      <c r="R202" s="172"/>
      <c r="S202" s="172"/>
      <c r="T202" s="172"/>
      <c r="AO202"/>
      <c r="AP202"/>
    </row>
    <row r="203" spans="1:42" x14ac:dyDescent="0.25">
      <c r="A203" s="854"/>
      <c r="B203" s="854" t="s">
        <v>15</v>
      </c>
      <c r="C203" s="882"/>
      <c r="D203" s="855"/>
      <c r="E203" s="846" t="s">
        <v>469</v>
      </c>
      <c r="F203" s="867" t="s">
        <v>828</v>
      </c>
      <c r="G203" s="863">
        <v>3325.75</v>
      </c>
      <c r="H203" s="850"/>
      <c r="I203" s="856">
        <v>60902.37</v>
      </c>
      <c r="J203" s="538"/>
      <c r="K203" s="867"/>
      <c r="L203" s="846"/>
      <c r="M203" s="846"/>
      <c r="N203" s="525"/>
      <c r="O203" s="241"/>
      <c r="Q203" s="172"/>
      <c r="R203" s="172"/>
      <c r="S203" s="172"/>
      <c r="T203" s="172"/>
      <c r="AO203"/>
      <c r="AP203"/>
    </row>
    <row r="204" spans="1:42" x14ac:dyDescent="0.25">
      <c r="A204" s="854"/>
      <c r="B204" s="854" t="s">
        <v>15</v>
      </c>
      <c r="C204" s="882"/>
      <c r="D204" s="855"/>
      <c r="E204" s="846" t="s">
        <v>111</v>
      </c>
      <c r="F204" s="867" t="s">
        <v>830</v>
      </c>
      <c r="G204" s="863">
        <v>12385.5</v>
      </c>
      <c r="H204" s="850"/>
      <c r="I204" s="836">
        <v>231745.75</v>
      </c>
      <c r="J204" s="667"/>
      <c r="K204" s="867"/>
      <c r="L204" s="846"/>
      <c r="M204" s="846"/>
      <c r="N204" s="525"/>
      <c r="O204" s="241"/>
      <c r="Q204" s="172"/>
      <c r="R204" s="172"/>
      <c r="S204" s="172"/>
      <c r="T204" s="172"/>
      <c r="AO204"/>
      <c r="AP204"/>
    </row>
    <row r="205" spans="1:42" x14ac:dyDescent="0.25">
      <c r="A205" s="854"/>
      <c r="B205" s="854" t="s">
        <v>15</v>
      </c>
      <c r="C205" s="882"/>
      <c r="D205" s="855"/>
      <c r="E205" s="846" t="s">
        <v>469</v>
      </c>
      <c r="F205" s="846" t="s">
        <v>821</v>
      </c>
      <c r="G205" s="863">
        <v>0</v>
      </c>
      <c r="H205" s="850"/>
      <c r="I205" s="856">
        <v>9433.66</v>
      </c>
      <c r="J205" s="538"/>
      <c r="K205" s="846"/>
      <c r="L205" s="858"/>
      <c r="M205" s="858"/>
      <c r="N205" s="525"/>
      <c r="O205" s="241"/>
      <c r="Q205" s="172"/>
      <c r="R205" s="172"/>
      <c r="S205" s="172"/>
      <c r="T205" s="172"/>
      <c r="AO205"/>
      <c r="AP205"/>
    </row>
    <row r="206" spans="1:42" x14ac:dyDescent="0.25">
      <c r="A206" s="854"/>
      <c r="B206" s="854" t="s">
        <v>15</v>
      </c>
      <c r="C206" s="882"/>
      <c r="D206" s="855"/>
      <c r="E206" s="846"/>
      <c r="F206" s="846"/>
      <c r="G206" s="863"/>
      <c r="H206" s="850"/>
      <c r="I206" s="856"/>
      <c r="J206" s="538"/>
      <c r="K206" s="859"/>
      <c r="L206" s="858"/>
      <c r="M206" s="858"/>
      <c r="N206" s="525"/>
      <c r="O206" s="241"/>
      <c r="Q206" s="172"/>
      <c r="R206" s="172"/>
      <c r="S206" s="172"/>
      <c r="T206" s="172"/>
      <c r="AO206"/>
      <c r="AP206"/>
    </row>
    <row r="207" spans="1:42" x14ac:dyDescent="0.25">
      <c r="A207" s="854"/>
      <c r="B207" s="854" t="s">
        <v>15</v>
      </c>
      <c r="C207" s="882"/>
      <c r="D207" s="855"/>
      <c r="E207" s="846"/>
      <c r="F207" s="846"/>
      <c r="G207" s="863"/>
      <c r="H207" s="850"/>
      <c r="I207" s="856"/>
      <c r="J207" s="538"/>
      <c r="K207" s="858"/>
      <c r="L207" s="858"/>
      <c r="M207" s="858"/>
      <c r="N207" s="840"/>
      <c r="O207" s="241"/>
      <c r="Q207" s="172"/>
      <c r="R207" s="172"/>
      <c r="S207" s="172"/>
      <c r="T207" s="172"/>
      <c r="AO207"/>
      <c r="AP207"/>
    </row>
    <row r="208" spans="1:42" x14ac:dyDescent="0.25">
      <c r="A208" s="854" t="s">
        <v>15</v>
      </c>
      <c r="B208" s="854" t="s">
        <v>15</v>
      </c>
      <c r="C208" s="882" t="s">
        <v>525</v>
      </c>
      <c r="D208" s="855" t="s">
        <v>846</v>
      </c>
      <c r="E208" s="846"/>
      <c r="F208" s="846"/>
      <c r="G208" s="863"/>
      <c r="H208" s="850">
        <v>3889636.3100000005</v>
      </c>
      <c r="I208" s="856"/>
      <c r="J208" s="538">
        <v>74441910.259999976</v>
      </c>
      <c r="K208" s="858"/>
      <c r="L208" s="858"/>
      <c r="M208" s="858"/>
      <c r="N208" s="538">
        <v>7712184.7799999993</v>
      </c>
      <c r="O208" s="241"/>
      <c r="Q208" s="172"/>
      <c r="R208" s="172"/>
      <c r="S208" s="172"/>
      <c r="T208" s="172"/>
      <c r="AN208"/>
      <c r="AO208"/>
      <c r="AP208"/>
    </row>
    <row r="209" spans="1:42" x14ac:dyDescent="0.25">
      <c r="A209" s="854"/>
      <c r="B209" s="854"/>
      <c r="C209" s="882"/>
      <c r="D209" s="855"/>
      <c r="E209" s="846"/>
      <c r="F209" s="846"/>
      <c r="G209" s="863"/>
      <c r="H209" s="850"/>
      <c r="I209" s="856"/>
      <c r="J209" s="538"/>
      <c r="K209" s="858"/>
      <c r="L209" s="858"/>
      <c r="M209" s="858"/>
      <c r="N209" s="525"/>
      <c r="O209" s="242"/>
      <c r="Q209" s="172"/>
      <c r="R209" s="172"/>
      <c r="S209" s="172"/>
      <c r="T209" s="172"/>
      <c r="AN209"/>
      <c r="AO209"/>
      <c r="AP209"/>
    </row>
    <row r="210" spans="1:42" x14ac:dyDescent="0.25">
      <c r="A210" s="854"/>
      <c r="B210" s="854"/>
      <c r="C210" s="882"/>
      <c r="D210" s="855"/>
      <c r="E210" s="846"/>
      <c r="F210" s="846"/>
      <c r="G210" s="863"/>
      <c r="H210" s="850"/>
      <c r="I210" s="856"/>
      <c r="J210" s="538"/>
      <c r="K210" s="859"/>
      <c r="L210" s="858"/>
      <c r="M210" s="858"/>
      <c r="N210" s="840"/>
      <c r="O210" s="172"/>
      <c r="Q210" s="172"/>
      <c r="R210" s="172"/>
      <c r="S210" s="172"/>
      <c r="T210" s="172"/>
      <c r="AN210"/>
      <c r="AO210"/>
      <c r="AP210"/>
    </row>
    <row r="211" spans="1:42" x14ac:dyDescent="0.25">
      <c r="A211" s="854"/>
      <c r="B211" s="838" t="s">
        <v>20</v>
      </c>
      <c r="C211" s="882"/>
      <c r="D211" s="855"/>
      <c r="E211" s="387" t="s">
        <v>472</v>
      </c>
      <c r="F211" s="846" t="s">
        <v>806</v>
      </c>
      <c r="G211" s="863">
        <v>0</v>
      </c>
      <c r="H211" s="525"/>
      <c r="I211" s="856">
        <v>468890</v>
      </c>
      <c r="J211" s="538"/>
      <c r="K211" s="387" t="s">
        <v>114</v>
      </c>
      <c r="L211" s="846" t="s">
        <v>807</v>
      </c>
      <c r="M211" s="856">
        <v>151578.54999999999</v>
      </c>
      <c r="N211" s="525"/>
      <c r="O211" s="172"/>
      <c r="Q211" s="172"/>
      <c r="R211" s="172"/>
      <c r="S211" s="172"/>
      <c r="T211" s="172"/>
      <c r="AN211"/>
      <c r="AO211"/>
      <c r="AP211"/>
    </row>
    <row r="212" spans="1:42" x14ac:dyDescent="0.25">
      <c r="A212" s="854"/>
      <c r="B212" s="838" t="s">
        <v>20</v>
      </c>
      <c r="C212" s="882"/>
      <c r="D212" s="855"/>
      <c r="E212" s="846" t="s">
        <v>109</v>
      </c>
      <c r="F212" s="846" t="s">
        <v>833</v>
      </c>
      <c r="G212" s="863">
        <v>39130.69</v>
      </c>
      <c r="H212" s="525"/>
      <c r="I212" s="856">
        <v>1099552.1599999999</v>
      </c>
      <c r="J212" s="538"/>
      <c r="K212" s="387" t="s">
        <v>113</v>
      </c>
      <c r="L212" s="846" t="s">
        <v>809</v>
      </c>
      <c r="M212" s="858">
        <v>837142.36</v>
      </c>
      <c r="N212" s="840"/>
      <c r="O212" s="172"/>
      <c r="Q212" s="172"/>
      <c r="R212" s="172"/>
      <c r="S212" s="172"/>
      <c r="T212" s="172"/>
      <c r="AN212"/>
      <c r="AO212"/>
      <c r="AP212"/>
    </row>
    <row r="213" spans="1:42" x14ac:dyDescent="0.25">
      <c r="A213" s="854"/>
      <c r="B213" s="838" t="s">
        <v>20</v>
      </c>
      <c r="C213" s="882"/>
      <c r="D213" s="855"/>
      <c r="E213" s="846" t="s">
        <v>356</v>
      </c>
      <c r="F213" s="846" t="s">
        <v>823</v>
      </c>
      <c r="G213" s="863">
        <v>2365874.4900000002</v>
      </c>
      <c r="H213" s="525"/>
      <c r="I213" s="856">
        <v>44469773.509999998</v>
      </c>
      <c r="J213" s="525"/>
      <c r="K213" s="387" t="s">
        <v>114</v>
      </c>
      <c r="L213" s="846" t="s">
        <v>811</v>
      </c>
      <c r="M213" s="856">
        <v>346408.91</v>
      </c>
      <c r="N213" s="525"/>
      <c r="O213" s="172"/>
      <c r="Q213" s="172"/>
      <c r="R213" s="172"/>
      <c r="S213" s="172"/>
      <c r="T213" s="172"/>
      <c r="AN213"/>
      <c r="AO213"/>
      <c r="AP213"/>
    </row>
    <row r="214" spans="1:42" x14ac:dyDescent="0.25">
      <c r="A214" s="854"/>
      <c r="B214" s="838" t="s">
        <v>20</v>
      </c>
      <c r="C214" s="882"/>
      <c r="D214" s="855"/>
      <c r="E214" s="387" t="s">
        <v>373</v>
      </c>
      <c r="F214" s="846" t="s">
        <v>818</v>
      </c>
      <c r="G214" s="863">
        <v>59292.75</v>
      </c>
      <c r="H214" s="525"/>
      <c r="I214" s="856">
        <v>1662020.98</v>
      </c>
      <c r="J214" s="538"/>
      <c r="K214" s="387" t="s">
        <v>114</v>
      </c>
      <c r="L214" s="846" t="s">
        <v>813</v>
      </c>
      <c r="M214" s="856">
        <v>27786.14</v>
      </c>
      <c r="N214" s="525"/>
      <c r="O214" s="172"/>
      <c r="Q214" s="172"/>
      <c r="R214" s="172"/>
      <c r="S214" s="172"/>
      <c r="T214" s="172"/>
      <c r="AN214"/>
      <c r="AO214"/>
      <c r="AP214"/>
    </row>
    <row r="215" spans="1:42" x14ac:dyDescent="0.25">
      <c r="A215" s="854"/>
      <c r="B215" s="838" t="s">
        <v>20</v>
      </c>
      <c r="C215" s="882"/>
      <c r="D215" s="855"/>
      <c r="E215" s="865" t="s">
        <v>357</v>
      </c>
      <c r="F215" s="846" t="s">
        <v>824</v>
      </c>
      <c r="G215" s="863">
        <v>18</v>
      </c>
      <c r="H215" s="525"/>
      <c r="I215" s="856">
        <v>80633.899999999994</v>
      </c>
      <c r="J215" s="538"/>
      <c r="K215" s="387" t="s">
        <v>114</v>
      </c>
      <c r="L215" s="846" t="s">
        <v>814</v>
      </c>
      <c r="M215" s="856">
        <v>1118046.2</v>
      </c>
      <c r="N215" s="525"/>
      <c r="O215" s="172"/>
      <c r="Q215" s="172"/>
      <c r="R215" s="172"/>
      <c r="S215" s="172"/>
      <c r="T215" s="172"/>
      <c r="AN215"/>
      <c r="AO215"/>
      <c r="AP215"/>
    </row>
    <row r="216" spans="1:42" x14ac:dyDescent="0.25">
      <c r="A216" s="854"/>
      <c r="B216" s="838" t="s">
        <v>20</v>
      </c>
      <c r="C216" s="882"/>
      <c r="D216" s="855"/>
      <c r="E216" s="846" t="s">
        <v>356</v>
      </c>
      <c r="F216" s="846" t="s">
        <v>837</v>
      </c>
      <c r="G216" s="863">
        <v>215481.27</v>
      </c>
      <c r="H216" s="850"/>
      <c r="I216" s="856">
        <v>4041275.98</v>
      </c>
      <c r="J216" s="538"/>
      <c r="K216" s="387" t="s">
        <v>113</v>
      </c>
      <c r="L216" s="846" t="s">
        <v>815</v>
      </c>
      <c r="M216" s="846">
        <v>3579569.03</v>
      </c>
      <c r="N216" s="840"/>
      <c r="O216" s="172"/>
      <c r="Q216" s="172"/>
      <c r="R216" s="172"/>
      <c r="S216" s="172"/>
      <c r="T216" s="172"/>
      <c r="AN216"/>
      <c r="AO216"/>
      <c r="AP216"/>
    </row>
    <row r="217" spans="1:42" x14ac:dyDescent="0.25">
      <c r="A217" s="854"/>
      <c r="B217" s="838" t="s">
        <v>20</v>
      </c>
      <c r="C217" s="882"/>
      <c r="D217" s="855"/>
      <c r="E217" s="846" t="s">
        <v>109</v>
      </c>
      <c r="F217" s="867" t="s">
        <v>838</v>
      </c>
      <c r="G217" s="863">
        <v>3965.74</v>
      </c>
      <c r="H217" s="850"/>
      <c r="I217" s="856">
        <v>110051.33</v>
      </c>
      <c r="J217" s="538"/>
      <c r="K217" s="859"/>
      <c r="L217" s="846"/>
      <c r="M217" s="858"/>
      <c r="N217" s="840"/>
      <c r="O217" s="172"/>
      <c r="Q217" s="172"/>
      <c r="R217" s="172"/>
      <c r="S217" s="172"/>
      <c r="T217" s="172"/>
      <c r="AN217"/>
      <c r="AO217"/>
      <c r="AP217"/>
    </row>
    <row r="218" spans="1:42" x14ac:dyDescent="0.25">
      <c r="A218" s="854"/>
      <c r="B218" s="838" t="s">
        <v>20</v>
      </c>
      <c r="C218" s="882"/>
      <c r="D218" s="855"/>
      <c r="E218" s="846" t="s">
        <v>373</v>
      </c>
      <c r="F218" s="867" t="s">
        <v>839</v>
      </c>
      <c r="G218" s="863">
        <v>25064.98</v>
      </c>
      <c r="H218" s="850"/>
      <c r="I218" s="856">
        <v>700418.42</v>
      </c>
      <c r="J218" s="538"/>
      <c r="K218" s="858"/>
      <c r="L218" s="846"/>
      <c r="M218" s="846"/>
      <c r="N218" s="870"/>
      <c r="O218" s="172"/>
      <c r="Q218" s="172"/>
      <c r="R218" s="172"/>
      <c r="S218" s="172"/>
      <c r="T218" s="172"/>
      <c r="AN218"/>
      <c r="AO218"/>
      <c r="AP218"/>
    </row>
    <row r="219" spans="1:42" x14ac:dyDescent="0.25">
      <c r="A219" s="854"/>
      <c r="B219" s="838" t="s">
        <v>20</v>
      </c>
      <c r="C219" s="882"/>
      <c r="D219" s="855"/>
      <c r="E219" s="846" t="s">
        <v>356</v>
      </c>
      <c r="F219" s="846" t="s">
        <v>847</v>
      </c>
      <c r="G219" s="863">
        <v>1184.5</v>
      </c>
      <c r="H219" s="850"/>
      <c r="I219" s="856">
        <v>22862.02</v>
      </c>
      <c r="J219" s="538"/>
      <c r="K219" s="858"/>
      <c r="L219" s="846"/>
      <c r="M219" s="846"/>
      <c r="N219" s="870"/>
      <c r="O219" s="172"/>
      <c r="Q219" s="172"/>
      <c r="R219" s="172"/>
      <c r="S219" s="172"/>
      <c r="T219" s="172"/>
      <c r="AN219"/>
      <c r="AO219"/>
    </row>
    <row r="220" spans="1:42" x14ac:dyDescent="0.25">
      <c r="A220" s="854"/>
      <c r="B220" s="838" t="s">
        <v>20</v>
      </c>
      <c r="C220" s="882"/>
      <c r="D220" s="855"/>
      <c r="E220" s="387" t="s">
        <v>472</v>
      </c>
      <c r="F220" s="846" t="s">
        <v>825</v>
      </c>
      <c r="G220" s="863">
        <v>0</v>
      </c>
      <c r="H220" s="850"/>
      <c r="I220" s="856">
        <v>2085.66</v>
      </c>
      <c r="J220" s="538"/>
      <c r="K220" s="858"/>
      <c r="L220" s="846"/>
      <c r="M220" s="858"/>
      <c r="N220" s="870"/>
      <c r="O220" s="172"/>
      <c r="Q220" s="172"/>
      <c r="R220" s="172"/>
      <c r="S220" s="172"/>
      <c r="T220" s="172"/>
      <c r="AN220"/>
      <c r="AO220"/>
    </row>
    <row r="221" spans="1:42" x14ac:dyDescent="0.25">
      <c r="A221" s="854"/>
      <c r="B221" s="838" t="s">
        <v>20</v>
      </c>
      <c r="C221" s="882"/>
      <c r="D221" s="855"/>
      <c r="E221" s="846" t="s">
        <v>356</v>
      </c>
      <c r="F221" s="846" t="s">
        <v>826</v>
      </c>
      <c r="G221" s="863">
        <v>15883.44</v>
      </c>
      <c r="H221" s="850"/>
      <c r="I221" s="856">
        <v>301289.09999999998</v>
      </c>
      <c r="J221" s="538"/>
      <c r="K221" s="859"/>
      <c r="L221" s="846"/>
      <c r="M221" s="858"/>
      <c r="N221" s="870"/>
      <c r="O221" s="172"/>
      <c r="Q221" s="172"/>
      <c r="R221" s="172"/>
      <c r="S221" s="172"/>
      <c r="T221" s="172"/>
      <c r="AN221"/>
      <c r="AO221"/>
    </row>
    <row r="222" spans="1:42" x14ac:dyDescent="0.25">
      <c r="A222" s="854"/>
      <c r="B222" s="838" t="s">
        <v>20</v>
      </c>
      <c r="C222" s="882"/>
      <c r="D222" s="855"/>
      <c r="E222" s="846" t="s">
        <v>109</v>
      </c>
      <c r="F222" s="846" t="s">
        <v>834</v>
      </c>
      <c r="G222" s="863">
        <v>2030.12</v>
      </c>
      <c r="H222" s="877"/>
      <c r="I222" s="856">
        <v>59189.86</v>
      </c>
      <c r="J222" s="538"/>
      <c r="K222" s="867"/>
      <c r="L222" s="846"/>
      <c r="M222" s="846"/>
      <c r="N222" s="870"/>
      <c r="O222" s="172"/>
      <c r="Q222" s="172"/>
      <c r="R222" s="172"/>
      <c r="S222" s="172"/>
      <c r="T222" s="172"/>
      <c r="AN222"/>
      <c r="AO222"/>
    </row>
    <row r="223" spans="1:42" x14ac:dyDescent="0.25">
      <c r="A223" s="838"/>
      <c r="B223" s="838" t="s">
        <v>20</v>
      </c>
      <c r="C223" s="884"/>
      <c r="D223" s="201"/>
      <c r="E223" s="846" t="s">
        <v>373</v>
      </c>
      <c r="F223" s="201" t="s">
        <v>835</v>
      </c>
      <c r="G223" s="286">
        <v>5846.47</v>
      </c>
      <c r="H223" s="850"/>
      <c r="I223" s="800">
        <v>164375.48000000001</v>
      </c>
      <c r="J223" s="538"/>
      <c r="K223" s="172"/>
      <c r="M223" s="201"/>
      <c r="N223" s="870"/>
      <c r="O223" s="172"/>
      <c r="Q223" s="172"/>
      <c r="R223" s="172"/>
      <c r="S223" s="172"/>
      <c r="T223" s="172"/>
      <c r="AN223"/>
      <c r="AO223"/>
    </row>
    <row r="224" spans="1:42" x14ac:dyDescent="0.25">
      <c r="A224" s="838"/>
      <c r="B224" s="838" t="s">
        <v>20</v>
      </c>
      <c r="C224" s="884"/>
      <c r="D224" s="201"/>
      <c r="E224" s="846" t="s">
        <v>356</v>
      </c>
      <c r="F224" s="201" t="s">
        <v>823</v>
      </c>
      <c r="G224" s="286">
        <v>90685.28</v>
      </c>
      <c r="H224" s="850"/>
      <c r="I224" s="800">
        <v>1741396.07</v>
      </c>
      <c r="J224" s="538"/>
      <c r="K224" s="172"/>
      <c r="M224" s="201"/>
      <c r="N224" s="870"/>
      <c r="O224" s="172"/>
      <c r="Q224" s="172"/>
      <c r="R224" s="172"/>
      <c r="S224" s="172"/>
      <c r="T224" s="172"/>
      <c r="AN224"/>
      <c r="AO224"/>
    </row>
    <row r="225" spans="1:41" x14ac:dyDescent="0.25">
      <c r="A225" s="838"/>
      <c r="B225" s="838" t="s">
        <v>20</v>
      </c>
      <c r="C225" s="884"/>
      <c r="D225" s="201"/>
      <c r="E225" s="846" t="s">
        <v>109</v>
      </c>
      <c r="F225" s="201" t="s">
        <v>843</v>
      </c>
      <c r="G225" s="286">
        <v>309.75</v>
      </c>
      <c r="H225" s="850"/>
      <c r="I225" s="800">
        <v>8691.98</v>
      </c>
      <c r="J225" s="538"/>
      <c r="K225" s="172"/>
      <c r="M225" s="201"/>
      <c r="N225" s="870"/>
      <c r="O225" s="172"/>
      <c r="Q225" s="172"/>
      <c r="R225" s="172"/>
      <c r="S225" s="172"/>
      <c r="T225" s="172"/>
      <c r="AN225"/>
      <c r="AO225"/>
    </row>
    <row r="226" spans="1:41" x14ac:dyDescent="0.25">
      <c r="A226" s="838"/>
      <c r="B226" s="838" t="s">
        <v>20</v>
      </c>
      <c r="C226" s="884"/>
      <c r="D226" s="201"/>
      <c r="E226" s="846" t="s">
        <v>356</v>
      </c>
      <c r="F226" s="201" t="s">
        <v>840</v>
      </c>
      <c r="G226" s="286">
        <v>16056.5</v>
      </c>
      <c r="H226" s="525"/>
      <c r="I226" s="800">
        <v>303162.40000000002</v>
      </c>
      <c r="J226" s="538"/>
      <c r="K226" s="172"/>
      <c r="M226" s="201"/>
      <c r="N226" s="870"/>
      <c r="O226" s="172"/>
      <c r="Q226" s="172"/>
      <c r="R226" s="172"/>
      <c r="S226" s="172"/>
      <c r="T226" s="172"/>
      <c r="AN226"/>
      <c r="AO226"/>
    </row>
    <row r="227" spans="1:41" x14ac:dyDescent="0.25">
      <c r="A227" s="838"/>
      <c r="B227" s="838" t="s">
        <v>20</v>
      </c>
      <c r="C227" s="884"/>
      <c r="D227" s="201"/>
      <c r="E227" s="201" t="s">
        <v>356</v>
      </c>
      <c r="F227" s="201" t="s">
        <v>844</v>
      </c>
      <c r="G227" s="286">
        <v>-27</v>
      </c>
      <c r="H227" s="525"/>
      <c r="I227" s="800">
        <v>-498.23</v>
      </c>
      <c r="J227" s="538"/>
      <c r="K227" s="172"/>
      <c r="M227" s="201"/>
      <c r="N227" s="870"/>
      <c r="O227" s="172"/>
      <c r="Q227" s="172"/>
      <c r="R227" s="172"/>
      <c r="S227" s="172"/>
      <c r="T227" s="172"/>
      <c r="AN227"/>
      <c r="AO227"/>
    </row>
    <row r="228" spans="1:41" x14ac:dyDescent="0.25">
      <c r="A228" s="838"/>
      <c r="B228" s="838" t="s">
        <v>20</v>
      </c>
      <c r="C228" s="884"/>
      <c r="D228" s="201"/>
      <c r="E228" s="201" t="s">
        <v>356</v>
      </c>
      <c r="F228" s="201" t="s">
        <v>827</v>
      </c>
      <c r="G228" s="286">
        <v>1765</v>
      </c>
      <c r="H228" s="525"/>
      <c r="I228" s="800">
        <v>72765.899999999994</v>
      </c>
      <c r="J228" s="525"/>
      <c r="K228" s="172"/>
      <c r="M228" s="201"/>
      <c r="N228" s="525"/>
      <c r="O228" s="172"/>
      <c r="Q228" s="172"/>
      <c r="R228" s="172"/>
      <c r="S228" s="172"/>
      <c r="T228" s="172"/>
      <c r="AN228"/>
      <c r="AO228"/>
    </row>
    <row r="229" spans="1:41" x14ac:dyDescent="0.25">
      <c r="A229" s="838"/>
      <c r="B229" s="838" t="s">
        <v>20</v>
      </c>
      <c r="C229" s="884"/>
      <c r="D229" s="201"/>
      <c r="E229" s="846" t="s">
        <v>373</v>
      </c>
      <c r="F229" s="201" t="s">
        <v>841</v>
      </c>
      <c r="G229" s="286">
        <v>3557.75</v>
      </c>
      <c r="H229" s="525"/>
      <c r="I229" s="800">
        <v>98794.94</v>
      </c>
      <c r="J229" s="538"/>
      <c r="K229" s="172"/>
      <c r="M229" s="201"/>
      <c r="N229" s="870"/>
      <c r="O229" s="172"/>
      <c r="Q229" s="172"/>
      <c r="R229" s="172"/>
      <c r="S229" s="172"/>
      <c r="T229" s="172"/>
      <c r="AN229"/>
      <c r="AO229"/>
    </row>
    <row r="230" spans="1:41" x14ac:dyDescent="0.25">
      <c r="A230" s="838"/>
      <c r="B230" s="838" t="s">
        <v>20</v>
      </c>
      <c r="C230" s="884"/>
      <c r="D230" s="201"/>
      <c r="E230" s="201" t="s">
        <v>356</v>
      </c>
      <c r="F230" s="201" t="s">
        <v>845</v>
      </c>
      <c r="G230" s="286">
        <v>618.46</v>
      </c>
      <c r="H230" s="525"/>
      <c r="I230" s="800">
        <v>12396.2</v>
      </c>
      <c r="J230" s="538"/>
      <c r="K230" s="172"/>
      <c r="M230" s="201"/>
      <c r="N230" s="870"/>
      <c r="O230" s="172"/>
      <c r="Q230" s="172"/>
      <c r="R230" s="172"/>
      <c r="S230" s="172"/>
      <c r="T230" s="172"/>
      <c r="AN230"/>
      <c r="AO230"/>
    </row>
    <row r="231" spans="1:41" x14ac:dyDescent="0.25">
      <c r="A231" s="838"/>
      <c r="B231" s="838" t="s">
        <v>20</v>
      </c>
      <c r="C231" s="884"/>
      <c r="D231" s="201"/>
      <c r="E231" s="846" t="s">
        <v>469</v>
      </c>
      <c r="F231" s="201" t="s">
        <v>828</v>
      </c>
      <c r="G231" s="286">
        <v>36</v>
      </c>
      <c r="H231" s="850"/>
      <c r="I231" s="800">
        <v>667.8</v>
      </c>
      <c r="J231" s="538"/>
      <c r="K231" s="172"/>
      <c r="M231" s="201"/>
      <c r="N231" s="870"/>
      <c r="O231" s="172"/>
      <c r="Q231" s="172"/>
      <c r="R231" s="172"/>
      <c r="S231" s="172"/>
      <c r="T231" s="172"/>
      <c r="AN231"/>
      <c r="AO231"/>
    </row>
    <row r="232" spans="1:41" x14ac:dyDescent="0.25">
      <c r="A232" s="838"/>
      <c r="B232" s="838" t="s">
        <v>20</v>
      </c>
      <c r="C232" s="884"/>
      <c r="D232" s="201"/>
      <c r="E232" s="846" t="s">
        <v>469</v>
      </c>
      <c r="F232" s="201" t="s">
        <v>828</v>
      </c>
      <c r="G232" s="286">
        <v>2207.25</v>
      </c>
      <c r="H232" s="850"/>
      <c r="I232" s="800">
        <v>43317.86</v>
      </c>
      <c r="J232" s="538"/>
      <c r="K232" s="172"/>
      <c r="M232" s="201"/>
      <c r="N232" s="870"/>
      <c r="O232" s="172"/>
      <c r="Q232" s="172"/>
      <c r="R232" s="172"/>
      <c r="S232" s="172"/>
      <c r="T232" s="172"/>
      <c r="AN232"/>
      <c r="AO232"/>
    </row>
    <row r="233" spans="1:41" x14ac:dyDescent="0.25">
      <c r="A233" s="838"/>
      <c r="B233" s="838" t="s">
        <v>20</v>
      </c>
      <c r="C233" s="884"/>
      <c r="D233" s="201"/>
      <c r="E233" s="846" t="s">
        <v>358</v>
      </c>
      <c r="F233" s="201" t="s">
        <v>829</v>
      </c>
      <c r="G233" s="286">
        <v>1040.83</v>
      </c>
      <c r="H233" s="850"/>
      <c r="I233" s="800">
        <v>19213.310000000001</v>
      </c>
      <c r="J233" s="538"/>
      <c r="K233" s="172"/>
      <c r="M233" s="172"/>
      <c r="N233" s="870"/>
      <c r="O233" s="172"/>
      <c r="Q233" s="172"/>
      <c r="R233" s="172"/>
      <c r="S233" s="172"/>
      <c r="T233" s="172"/>
      <c r="AN233"/>
      <c r="AO233"/>
    </row>
    <row r="234" spans="1:41" x14ac:dyDescent="0.25">
      <c r="A234" s="838"/>
      <c r="B234" s="838" t="s">
        <v>20</v>
      </c>
      <c r="C234" s="884"/>
      <c r="D234" s="201"/>
      <c r="E234" s="846" t="s">
        <v>111</v>
      </c>
      <c r="F234" s="201" t="s">
        <v>830</v>
      </c>
      <c r="G234" s="286">
        <v>105531.65</v>
      </c>
      <c r="H234" s="850"/>
      <c r="I234" s="800">
        <v>1966231.6</v>
      </c>
      <c r="J234" s="538"/>
      <c r="K234" s="172"/>
      <c r="M234" s="172"/>
      <c r="N234" s="870"/>
      <c r="O234" s="172"/>
      <c r="Q234" s="172"/>
      <c r="R234" s="172"/>
      <c r="S234" s="172"/>
      <c r="T234" s="172"/>
      <c r="AN234"/>
      <c r="AO234"/>
    </row>
    <row r="235" spans="1:41" x14ac:dyDescent="0.25">
      <c r="A235" s="838"/>
      <c r="B235" s="838" t="s">
        <v>20</v>
      </c>
      <c r="C235" s="884"/>
      <c r="D235" s="201"/>
      <c r="E235" s="201" t="s">
        <v>356</v>
      </c>
      <c r="F235" s="201" t="s">
        <v>831</v>
      </c>
      <c r="G235" s="286">
        <v>6748</v>
      </c>
      <c r="H235" s="850"/>
      <c r="I235" s="800">
        <v>283705.09999999998</v>
      </c>
      <c r="J235" s="538"/>
      <c r="K235" s="172"/>
      <c r="M235" s="172"/>
      <c r="N235" s="870"/>
      <c r="O235" s="172"/>
      <c r="Q235" s="172"/>
      <c r="R235" s="172"/>
      <c r="S235" s="172"/>
      <c r="T235" s="172"/>
      <c r="AN235"/>
      <c r="AO235"/>
    </row>
    <row r="236" spans="1:41" x14ac:dyDescent="0.25">
      <c r="A236" s="838"/>
      <c r="B236" s="838" t="s">
        <v>20</v>
      </c>
      <c r="C236" s="884"/>
      <c r="D236" s="201"/>
      <c r="E236" s="846" t="s">
        <v>469</v>
      </c>
      <c r="F236" s="201" t="s">
        <v>821</v>
      </c>
      <c r="G236" s="286">
        <v>0</v>
      </c>
      <c r="H236" s="850"/>
      <c r="I236" s="800">
        <v>65825.87</v>
      </c>
      <c r="J236" s="538"/>
      <c r="K236" s="172"/>
      <c r="M236" s="172"/>
      <c r="N236" s="870"/>
      <c r="O236" s="172"/>
      <c r="Q236" s="172"/>
      <c r="R236" s="172"/>
      <c r="S236" s="172"/>
      <c r="T236" s="172"/>
      <c r="AN236"/>
      <c r="AO236"/>
    </row>
    <row r="237" spans="1:41" x14ac:dyDescent="0.25">
      <c r="A237" s="838"/>
      <c r="B237" s="838" t="s">
        <v>20</v>
      </c>
      <c r="C237" s="884"/>
      <c r="D237" s="201"/>
      <c r="E237" s="201"/>
      <c r="F237" s="201"/>
      <c r="G237" s="286"/>
      <c r="H237" s="850"/>
      <c r="I237" s="800"/>
      <c r="J237" s="538"/>
      <c r="K237" s="172"/>
      <c r="M237" s="172"/>
      <c r="N237" s="870"/>
      <c r="O237" s="172"/>
      <c r="Q237" s="172"/>
      <c r="R237" s="172"/>
      <c r="S237" s="172"/>
      <c r="T237" s="172"/>
      <c r="AN237"/>
      <c r="AO237"/>
    </row>
    <row r="238" spans="1:41" x14ac:dyDescent="0.25">
      <c r="A238" s="838"/>
      <c r="B238" s="838" t="s">
        <v>20</v>
      </c>
      <c r="C238" s="884"/>
      <c r="D238" s="201"/>
      <c r="E238" s="201"/>
      <c r="F238" s="201"/>
      <c r="G238" s="286"/>
      <c r="H238" s="525"/>
      <c r="I238" s="800"/>
      <c r="J238" s="538"/>
      <c r="K238" s="172"/>
      <c r="M238" s="201"/>
      <c r="N238" s="870"/>
      <c r="O238" s="172"/>
      <c r="Q238" s="172"/>
      <c r="R238" s="172"/>
      <c r="S238" s="172"/>
      <c r="T238" s="172"/>
      <c r="AN238"/>
      <c r="AO238"/>
    </row>
    <row r="239" spans="1:41" x14ac:dyDescent="0.25">
      <c r="A239" s="838" t="s">
        <v>20</v>
      </c>
      <c r="B239" s="838" t="s">
        <v>20</v>
      </c>
      <c r="C239" s="884" t="s">
        <v>525</v>
      </c>
      <c r="D239" s="201" t="s">
        <v>848</v>
      </c>
      <c r="E239" s="201"/>
      <c r="F239" s="201"/>
      <c r="G239" s="286"/>
      <c r="H239" s="525">
        <v>2962301.9200000004</v>
      </c>
      <c r="I239" s="800"/>
      <c r="J239" s="538">
        <v>57798089.199999981</v>
      </c>
      <c r="K239" s="172"/>
      <c r="M239" s="201"/>
      <c r="N239" s="885">
        <v>6060531.1899999995</v>
      </c>
      <c r="O239" s="172"/>
      <c r="Q239" s="172"/>
      <c r="R239" s="172"/>
      <c r="S239" s="172"/>
      <c r="T239" s="172"/>
      <c r="AN239"/>
      <c r="AO239"/>
    </row>
    <row r="240" spans="1:41" x14ac:dyDescent="0.25">
      <c r="A240" s="838"/>
      <c r="B240" s="838"/>
      <c r="C240" s="884"/>
      <c r="D240" s="201"/>
      <c r="E240" s="201"/>
      <c r="F240" s="201"/>
      <c r="G240" s="286"/>
      <c r="H240" s="525"/>
      <c r="I240" s="800"/>
      <c r="J240" s="525"/>
      <c r="K240" s="172"/>
      <c r="M240" s="201"/>
      <c r="N240" s="525"/>
      <c r="O240" s="172"/>
      <c r="Q240" s="172"/>
      <c r="R240" s="172"/>
      <c r="S240" s="172"/>
      <c r="T240" s="172"/>
      <c r="AN240"/>
      <c r="AO240"/>
    </row>
    <row r="241" spans="1:41" x14ac:dyDescent="0.25">
      <c r="A241" s="838"/>
      <c r="B241" s="838"/>
      <c r="C241" s="884"/>
      <c r="D241" s="201"/>
      <c r="E241" s="201"/>
      <c r="F241" s="201"/>
      <c r="G241" s="286"/>
      <c r="H241" s="525"/>
      <c r="I241" s="800"/>
      <c r="J241" s="538"/>
      <c r="K241" s="172"/>
      <c r="M241" s="201"/>
      <c r="N241" s="870"/>
      <c r="O241" s="172"/>
      <c r="Q241" s="172"/>
      <c r="R241" s="172"/>
      <c r="S241" s="172"/>
      <c r="T241" s="172"/>
      <c r="AN241"/>
      <c r="AO241"/>
    </row>
    <row r="242" spans="1:41" x14ac:dyDescent="0.25">
      <c r="A242" s="838"/>
      <c r="B242" s="838" t="s">
        <v>20</v>
      </c>
      <c r="C242" s="884"/>
      <c r="D242" s="201"/>
      <c r="E242" s="846" t="s">
        <v>356</v>
      </c>
      <c r="F242" s="201" t="s">
        <v>823</v>
      </c>
      <c r="G242" s="286">
        <v>2633.75</v>
      </c>
      <c r="H242" s="525"/>
      <c r="I242" s="800">
        <v>63681.13</v>
      </c>
      <c r="J242" s="538"/>
      <c r="K242" s="387" t="s">
        <v>114</v>
      </c>
      <c r="L242" s="201" t="s">
        <v>807</v>
      </c>
      <c r="M242" s="800">
        <v>437.56</v>
      </c>
      <c r="N242" s="870"/>
      <c r="O242" s="172"/>
      <c r="Q242" s="172"/>
      <c r="R242" s="172"/>
      <c r="S242" s="172"/>
      <c r="T242" s="172"/>
      <c r="AN242"/>
      <c r="AO242"/>
    </row>
    <row r="243" spans="1:41" x14ac:dyDescent="0.25">
      <c r="A243" s="838"/>
      <c r="B243" s="838" t="s">
        <v>20</v>
      </c>
      <c r="C243" s="884"/>
      <c r="D243" s="201"/>
      <c r="E243" s="846" t="s">
        <v>356</v>
      </c>
      <c r="F243" s="201" t="s">
        <v>823</v>
      </c>
      <c r="G243" s="286">
        <v>477.5</v>
      </c>
      <c r="H243" s="850"/>
      <c r="I243" s="800">
        <v>11751.75</v>
      </c>
      <c r="J243" s="538"/>
      <c r="K243" s="387" t="s">
        <v>113</v>
      </c>
      <c r="L243" s="201" t="s">
        <v>809</v>
      </c>
      <c r="M243" s="201">
        <v>1093.8399999999999</v>
      </c>
      <c r="N243" s="870"/>
      <c r="O243" s="172"/>
      <c r="Q243" s="172"/>
      <c r="R243" s="172"/>
      <c r="S243" s="172"/>
      <c r="T243" s="172"/>
      <c r="AN243"/>
      <c r="AO243"/>
    </row>
    <row r="244" spans="1:41" x14ac:dyDescent="0.25">
      <c r="A244" s="838"/>
      <c r="B244" s="838" t="s">
        <v>20</v>
      </c>
      <c r="C244" s="884"/>
      <c r="D244" s="201"/>
      <c r="E244" s="201"/>
      <c r="F244" s="201"/>
      <c r="G244" s="286"/>
      <c r="H244" s="850"/>
      <c r="I244" s="800"/>
      <c r="J244" s="538"/>
      <c r="K244" s="387" t="s">
        <v>114</v>
      </c>
      <c r="L244" s="201" t="s">
        <v>811</v>
      </c>
      <c r="M244" s="800">
        <v>452.52</v>
      </c>
      <c r="N244" s="870"/>
      <c r="O244" s="172"/>
      <c r="Q244" s="172"/>
      <c r="R244" s="172"/>
      <c r="S244" s="172"/>
      <c r="T244" s="172"/>
      <c r="AN244"/>
      <c r="AO244"/>
    </row>
    <row r="245" spans="1:41" x14ac:dyDescent="0.25">
      <c r="A245" s="838"/>
      <c r="B245" s="838" t="s">
        <v>20</v>
      </c>
      <c r="C245" s="884"/>
      <c r="D245" s="201"/>
      <c r="E245" s="201"/>
      <c r="F245" s="201"/>
      <c r="G245" s="286"/>
      <c r="H245" s="850"/>
      <c r="I245" s="800"/>
      <c r="J245" s="538"/>
      <c r="K245" s="387" t="s">
        <v>114</v>
      </c>
      <c r="L245" s="201" t="s">
        <v>813</v>
      </c>
      <c r="M245" s="800">
        <v>56.62</v>
      </c>
      <c r="N245" s="870"/>
      <c r="O245" s="172"/>
      <c r="Q245" s="172"/>
      <c r="R245" s="172"/>
      <c r="S245" s="172"/>
      <c r="T245" s="172"/>
      <c r="AN245"/>
      <c r="AO245"/>
    </row>
    <row r="246" spans="1:41" x14ac:dyDescent="0.25">
      <c r="A246" s="838"/>
      <c r="B246" s="838" t="s">
        <v>20</v>
      </c>
      <c r="C246" s="884"/>
      <c r="D246" s="201"/>
      <c r="E246" s="201"/>
      <c r="F246" s="201"/>
      <c r="G246" s="286"/>
      <c r="H246" s="850"/>
      <c r="I246" s="800"/>
      <c r="J246" s="538"/>
      <c r="K246" s="387" t="s">
        <v>114</v>
      </c>
      <c r="L246" s="201" t="s">
        <v>814</v>
      </c>
      <c r="M246" s="800">
        <v>2129.9299999999998</v>
      </c>
      <c r="N246" s="870"/>
      <c r="O246" s="172"/>
      <c r="Q246" s="172"/>
      <c r="R246" s="172"/>
      <c r="S246" s="172"/>
      <c r="T246" s="172"/>
      <c r="AN246"/>
      <c r="AO246"/>
    </row>
    <row r="247" spans="1:41" x14ac:dyDescent="0.25">
      <c r="A247" s="838"/>
      <c r="B247" s="838" t="s">
        <v>20</v>
      </c>
      <c r="C247" s="884"/>
      <c r="D247" s="201"/>
      <c r="E247" s="201"/>
      <c r="F247" s="201"/>
      <c r="G247" s="286"/>
      <c r="H247" s="850"/>
      <c r="I247" s="800"/>
      <c r="J247" s="538"/>
      <c r="K247" s="387" t="s">
        <v>113</v>
      </c>
      <c r="L247" s="201" t="s">
        <v>815</v>
      </c>
      <c r="M247" s="201">
        <v>4677.01</v>
      </c>
      <c r="N247" s="870"/>
      <c r="O247" s="172"/>
      <c r="Q247" s="172"/>
      <c r="R247" s="172"/>
      <c r="S247" s="172"/>
      <c r="T247" s="172"/>
      <c r="AN247"/>
      <c r="AO247"/>
    </row>
    <row r="248" spans="1:41" x14ac:dyDescent="0.25">
      <c r="A248" s="838"/>
      <c r="B248" s="838" t="s">
        <v>20</v>
      </c>
      <c r="C248" s="884"/>
      <c r="D248" s="201"/>
      <c r="E248" s="201"/>
      <c r="F248" s="201"/>
      <c r="G248" s="286"/>
      <c r="H248" s="850"/>
      <c r="I248" s="800"/>
      <c r="J248" s="538"/>
      <c r="K248" s="172"/>
      <c r="M248" s="201"/>
      <c r="N248" s="870"/>
      <c r="O248" s="172"/>
      <c r="Q248" s="172"/>
      <c r="R248" s="172"/>
      <c r="S248" s="172"/>
      <c r="T248" s="172"/>
      <c r="AN248"/>
      <c r="AO248"/>
    </row>
    <row r="249" spans="1:41" x14ac:dyDescent="0.25">
      <c r="A249" s="838"/>
      <c r="B249" s="838" t="s">
        <v>20</v>
      </c>
      <c r="C249" s="884"/>
      <c r="D249" s="201"/>
      <c r="E249" s="201"/>
      <c r="F249" s="201"/>
      <c r="G249" s="286"/>
      <c r="H249" s="850"/>
      <c r="I249" s="800"/>
      <c r="J249" s="538"/>
      <c r="K249" s="172"/>
      <c r="M249" s="201"/>
      <c r="N249" s="870"/>
      <c r="O249" s="172"/>
      <c r="Q249" s="172"/>
      <c r="R249" s="172"/>
      <c r="S249" s="172"/>
      <c r="T249" s="172"/>
      <c r="AN249"/>
      <c r="AO249"/>
    </row>
    <row r="250" spans="1:41" x14ac:dyDescent="0.25">
      <c r="A250" s="838" t="s">
        <v>20</v>
      </c>
      <c r="B250" s="838" t="s">
        <v>20</v>
      </c>
      <c r="C250" s="884" t="s">
        <v>525</v>
      </c>
      <c r="D250" s="201" t="s">
        <v>849</v>
      </c>
      <c r="E250" s="201"/>
      <c r="F250" s="201"/>
      <c r="G250" s="286"/>
      <c r="H250" s="850">
        <v>3111.25</v>
      </c>
      <c r="I250" s="800"/>
      <c r="J250" s="538">
        <v>75432.88</v>
      </c>
      <c r="K250" s="172"/>
      <c r="M250" s="201"/>
      <c r="N250" s="885">
        <v>8847.48</v>
      </c>
      <c r="O250" s="172"/>
      <c r="Q250" s="172"/>
      <c r="R250" s="172"/>
      <c r="S250" s="172"/>
      <c r="T250" s="172"/>
      <c r="AN250"/>
      <c r="AO250"/>
    </row>
    <row r="251" spans="1:41" x14ac:dyDescent="0.25">
      <c r="A251" s="838"/>
      <c r="B251" s="838"/>
      <c r="C251" s="884"/>
      <c r="D251" s="201"/>
      <c r="E251" s="201"/>
      <c r="F251" s="201"/>
      <c r="G251" s="286"/>
      <c r="H251" s="850"/>
      <c r="I251" s="800"/>
      <c r="J251" s="538"/>
      <c r="K251" s="172"/>
      <c r="M251" s="201"/>
      <c r="N251" s="870"/>
      <c r="O251" s="172"/>
      <c r="Q251" s="172"/>
      <c r="R251" s="172"/>
      <c r="S251" s="172"/>
      <c r="T251" s="172"/>
      <c r="AN251"/>
      <c r="AO251"/>
    </row>
    <row r="252" spans="1:41" x14ac:dyDescent="0.25">
      <c r="A252" s="838"/>
      <c r="B252" s="838"/>
      <c r="C252" s="884"/>
      <c r="D252" s="201"/>
      <c r="E252" s="201"/>
      <c r="F252" s="201"/>
      <c r="G252" s="286"/>
      <c r="H252" s="525"/>
      <c r="I252" s="800"/>
      <c r="J252" s="538"/>
      <c r="K252" s="172"/>
      <c r="M252" s="201"/>
      <c r="N252" s="870"/>
      <c r="O252" s="172"/>
      <c r="Q252" s="172"/>
      <c r="R252" s="172"/>
      <c r="S252" s="172"/>
      <c r="T252" s="172"/>
      <c r="AN252"/>
      <c r="AO252"/>
    </row>
    <row r="253" spans="1:41" x14ac:dyDescent="0.25">
      <c r="A253" s="838"/>
      <c r="B253" s="838" t="s">
        <v>19</v>
      </c>
      <c r="C253" s="884"/>
      <c r="D253" s="201"/>
      <c r="E253" s="387" t="s">
        <v>472</v>
      </c>
      <c r="F253" s="201" t="s">
        <v>806</v>
      </c>
      <c r="G253" s="286">
        <v>0</v>
      </c>
      <c r="H253" s="525"/>
      <c r="I253" s="800">
        <v>10000</v>
      </c>
      <c r="J253" s="538"/>
      <c r="K253" s="387" t="s">
        <v>114</v>
      </c>
      <c r="L253" s="201" t="s">
        <v>807</v>
      </c>
      <c r="M253" s="800">
        <v>651.22</v>
      </c>
      <c r="N253" s="870"/>
      <c r="O253" s="172"/>
      <c r="Q253" s="172"/>
      <c r="R253" s="172"/>
      <c r="S253" s="172"/>
      <c r="T253" s="172"/>
      <c r="AN253"/>
      <c r="AO253"/>
    </row>
    <row r="254" spans="1:41" x14ac:dyDescent="0.25">
      <c r="A254" s="838"/>
      <c r="B254" s="838" t="s">
        <v>19</v>
      </c>
      <c r="C254" s="884"/>
      <c r="D254" s="201"/>
      <c r="E254" s="846" t="s">
        <v>109</v>
      </c>
      <c r="F254" s="201" t="s">
        <v>833</v>
      </c>
      <c r="G254" s="286">
        <v>51</v>
      </c>
      <c r="H254" s="525"/>
      <c r="I254" s="800">
        <v>7370</v>
      </c>
      <c r="J254" s="525"/>
      <c r="K254" s="387" t="s">
        <v>113</v>
      </c>
      <c r="L254" s="201" t="s">
        <v>809</v>
      </c>
      <c r="M254" s="201">
        <v>6686.82</v>
      </c>
      <c r="N254" s="525"/>
      <c r="O254" s="172"/>
      <c r="Q254" s="172"/>
      <c r="R254" s="172"/>
      <c r="S254" s="172"/>
      <c r="T254" s="172"/>
      <c r="AN254"/>
      <c r="AO254"/>
    </row>
    <row r="255" spans="1:41" x14ac:dyDescent="0.25">
      <c r="A255" s="838"/>
      <c r="B255" s="838" t="s">
        <v>19</v>
      </c>
      <c r="C255" s="884"/>
      <c r="D255" s="201"/>
      <c r="E255" s="846" t="s">
        <v>356</v>
      </c>
      <c r="F255" s="201" t="s">
        <v>823</v>
      </c>
      <c r="G255" s="286">
        <v>383.5</v>
      </c>
      <c r="H255" s="525"/>
      <c r="I255" s="800">
        <v>48185</v>
      </c>
      <c r="J255" s="538"/>
      <c r="K255" s="387" t="s">
        <v>114</v>
      </c>
      <c r="L255" s="201" t="s">
        <v>811</v>
      </c>
      <c r="M255" s="800">
        <v>2766.94</v>
      </c>
      <c r="N255" s="870"/>
      <c r="O255" s="172"/>
      <c r="Q255" s="172"/>
      <c r="R255" s="172"/>
      <c r="S255" s="172"/>
      <c r="T255" s="172"/>
      <c r="AN255"/>
      <c r="AO255"/>
    </row>
    <row r="256" spans="1:41" x14ac:dyDescent="0.25">
      <c r="A256" s="838"/>
      <c r="B256" s="838" t="s">
        <v>19</v>
      </c>
      <c r="C256" s="884"/>
      <c r="D256" s="201"/>
      <c r="E256" s="387" t="s">
        <v>472</v>
      </c>
      <c r="F256" s="201" t="s">
        <v>825</v>
      </c>
      <c r="G256" s="286">
        <v>0</v>
      </c>
      <c r="H256" s="525"/>
      <c r="I256" s="800">
        <v>23720</v>
      </c>
      <c r="J256" s="538"/>
      <c r="K256" s="387" t="s">
        <v>114</v>
      </c>
      <c r="L256" s="201" t="s">
        <v>813</v>
      </c>
      <c r="M256" s="800">
        <v>112.3</v>
      </c>
      <c r="N256" s="870"/>
      <c r="O256" s="172"/>
      <c r="Q256" s="172"/>
      <c r="R256" s="172"/>
      <c r="S256" s="172"/>
      <c r="T256" s="172"/>
      <c r="AN256"/>
      <c r="AO256"/>
    </row>
    <row r="257" spans="1:41" x14ac:dyDescent="0.25">
      <c r="A257" s="838"/>
      <c r="B257" s="838" t="s">
        <v>19</v>
      </c>
      <c r="C257" s="884"/>
      <c r="D257" s="201"/>
      <c r="E257" s="846" t="s">
        <v>109</v>
      </c>
      <c r="F257" s="201" t="s">
        <v>834</v>
      </c>
      <c r="G257" s="286">
        <v>84</v>
      </c>
      <c r="H257" s="850"/>
      <c r="I257" s="800">
        <v>11405</v>
      </c>
      <c r="J257" s="538"/>
      <c r="K257" s="387" t="s">
        <v>114</v>
      </c>
      <c r="L257" s="201" t="s">
        <v>814</v>
      </c>
      <c r="M257" s="800">
        <v>4195.1000000000004</v>
      </c>
      <c r="N257" s="870"/>
      <c r="O257" s="172"/>
      <c r="Q257" s="172"/>
      <c r="R257" s="172"/>
      <c r="S257" s="172"/>
      <c r="T257" s="172"/>
      <c r="AN257"/>
      <c r="AO257"/>
    </row>
    <row r="258" spans="1:41" x14ac:dyDescent="0.25">
      <c r="A258" s="838"/>
      <c r="B258" s="838" t="s">
        <v>19</v>
      </c>
      <c r="C258" s="884"/>
      <c r="D258" s="201"/>
      <c r="E258" s="846" t="s">
        <v>356</v>
      </c>
      <c r="F258" s="201" t="s">
        <v>823</v>
      </c>
      <c r="G258" s="286">
        <v>417.25</v>
      </c>
      <c r="H258" s="850"/>
      <c r="I258" s="800">
        <v>52245</v>
      </c>
      <c r="J258" s="538"/>
      <c r="K258" s="387" t="s">
        <v>113</v>
      </c>
      <c r="L258" s="201" t="s">
        <v>815</v>
      </c>
      <c r="M258" s="201">
        <v>27264.959999999999</v>
      </c>
      <c r="N258" s="870"/>
      <c r="O258" s="172"/>
      <c r="Q258" s="172"/>
      <c r="R258" s="172"/>
      <c r="S258" s="172"/>
      <c r="T258" s="172"/>
      <c r="AN258"/>
      <c r="AO258"/>
    </row>
    <row r="259" spans="1:41" x14ac:dyDescent="0.25">
      <c r="A259" s="838"/>
      <c r="B259" s="838" t="s">
        <v>19</v>
      </c>
      <c r="C259" s="884"/>
      <c r="D259" s="201"/>
      <c r="E259" s="201" t="s">
        <v>356</v>
      </c>
      <c r="F259" s="201" t="s">
        <v>827</v>
      </c>
      <c r="G259" s="286">
        <v>5605</v>
      </c>
      <c r="H259" s="850"/>
      <c r="I259" s="800">
        <v>492410</v>
      </c>
      <c r="J259" s="538"/>
      <c r="K259" s="172"/>
      <c r="M259" s="201"/>
      <c r="N259" s="870"/>
      <c r="O259" s="172"/>
      <c r="Q259" s="172"/>
      <c r="R259" s="172"/>
      <c r="S259" s="172"/>
      <c r="T259" s="172"/>
      <c r="AN259"/>
      <c r="AO259"/>
    </row>
    <row r="260" spans="1:41" x14ac:dyDescent="0.25">
      <c r="A260" s="838"/>
      <c r="B260" s="838" t="s">
        <v>19</v>
      </c>
      <c r="C260" s="884"/>
      <c r="D260" s="201"/>
      <c r="E260" s="387" t="s">
        <v>111</v>
      </c>
      <c r="F260" s="201" t="s">
        <v>819</v>
      </c>
      <c r="G260" s="286">
        <v>40</v>
      </c>
      <c r="H260" s="850"/>
      <c r="I260" s="800">
        <v>0</v>
      </c>
      <c r="J260" s="538"/>
      <c r="K260" s="172"/>
      <c r="M260" s="201"/>
      <c r="N260" s="870"/>
      <c r="O260" s="172"/>
      <c r="Q260" s="172"/>
      <c r="R260" s="172"/>
      <c r="S260" s="172"/>
      <c r="T260" s="172"/>
      <c r="AN260"/>
      <c r="AO260"/>
    </row>
    <row r="261" spans="1:41" x14ac:dyDescent="0.25">
      <c r="A261" s="838"/>
      <c r="B261" s="838" t="s">
        <v>19</v>
      </c>
      <c r="C261" s="884"/>
      <c r="D261" s="201"/>
      <c r="E261" s="846" t="s">
        <v>356</v>
      </c>
      <c r="F261" s="201" t="s">
        <v>812</v>
      </c>
      <c r="G261" s="286">
        <v>0</v>
      </c>
      <c r="H261" s="850"/>
      <c r="I261" s="800">
        <v>33460</v>
      </c>
      <c r="J261" s="538"/>
      <c r="K261" s="172"/>
      <c r="M261" s="201"/>
      <c r="N261" s="870"/>
      <c r="O261" s="172"/>
      <c r="Q261" s="172"/>
      <c r="R261" s="172"/>
      <c r="S261" s="172"/>
      <c r="T261" s="172"/>
      <c r="AN261"/>
      <c r="AO261"/>
    </row>
    <row r="262" spans="1:41" x14ac:dyDescent="0.25">
      <c r="A262" s="838"/>
      <c r="B262" s="838" t="s">
        <v>19</v>
      </c>
      <c r="C262" s="884"/>
      <c r="D262" s="201"/>
      <c r="E262" s="201" t="s">
        <v>356</v>
      </c>
      <c r="F262" s="201" t="s">
        <v>831</v>
      </c>
      <c r="G262" s="286">
        <v>2483</v>
      </c>
      <c r="H262" s="525"/>
      <c r="I262" s="800">
        <v>497290</v>
      </c>
      <c r="J262" s="538"/>
      <c r="K262" s="172"/>
      <c r="M262" s="201"/>
      <c r="N262" s="870"/>
      <c r="O262" s="172"/>
      <c r="Q262" s="172"/>
      <c r="R262" s="172"/>
      <c r="S262" s="172"/>
      <c r="T262" s="172"/>
      <c r="AN262"/>
      <c r="AO262"/>
    </row>
    <row r="263" spans="1:41" x14ac:dyDescent="0.25">
      <c r="A263" s="838"/>
      <c r="B263" s="838" t="s">
        <v>19</v>
      </c>
      <c r="C263" s="884"/>
      <c r="D263" s="201"/>
      <c r="E263" s="201"/>
      <c r="F263" s="201"/>
      <c r="G263" s="286"/>
      <c r="H263" s="525"/>
      <c r="I263" s="800"/>
      <c r="J263" s="538"/>
      <c r="K263" s="172"/>
      <c r="M263" s="201"/>
      <c r="N263" s="870"/>
      <c r="O263" s="172"/>
      <c r="Q263" s="172"/>
      <c r="R263" s="172"/>
      <c r="S263" s="172"/>
      <c r="T263" s="172"/>
      <c r="AN263"/>
      <c r="AO263"/>
    </row>
    <row r="264" spans="1:41" x14ac:dyDescent="0.25">
      <c r="A264" s="838"/>
      <c r="B264" s="838" t="s">
        <v>19</v>
      </c>
      <c r="C264" s="884"/>
      <c r="D264" s="201"/>
      <c r="E264" s="201"/>
      <c r="F264" s="201"/>
      <c r="G264" s="286"/>
      <c r="H264" s="525"/>
      <c r="I264" s="800"/>
      <c r="J264" s="538"/>
      <c r="K264" s="172"/>
      <c r="M264" s="201"/>
      <c r="N264" s="870"/>
      <c r="O264" s="172"/>
      <c r="Q264" s="172"/>
      <c r="R264" s="172"/>
      <c r="S264" s="172"/>
      <c r="T264" s="172"/>
      <c r="AN264"/>
      <c r="AO264"/>
    </row>
    <row r="265" spans="1:41" x14ac:dyDescent="0.25">
      <c r="A265" s="838" t="s">
        <v>19</v>
      </c>
      <c r="B265" s="838" t="s">
        <v>19</v>
      </c>
      <c r="C265" s="884" t="s">
        <v>19</v>
      </c>
      <c r="D265" s="201" t="s">
        <v>19</v>
      </c>
      <c r="E265" s="201"/>
      <c r="F265" s="201"/>
      <c r="G265" s="286"/>
      <c r="H265" s="525">
        <v>9063.75</v>
      </c>
      <c r="I265" s="800"/>
      <c r="J265" s="538">
        <v>1176085</v>
      </c>
      <c r="K265" s="172"/>
      <c r="M265" s="201"/>
      <c r="N265" s="538">
        <v>41677.339999999997</v>
      </c>
      <c r="O265" s="172"/>
      <c r="Q265" s="172"/>
      <c r="R265" s="172"/>
      <c r="S265" s="172"/>
      <c r="T265" s="172"/>
      <c r="AN265"/>
      <c r="AO265"/>
    </row>
    <row r="266" spans="1:41" x14ac:dyDescent="0.25">
      <c r="A266" s="838"/>
      <c r="B266" s="838"/>
      <c r="C266" s="884"/>
      <c r="D266" s="201"/>
      <c r="E266" s="201"/>
      <c r="F266" s="201"/>
      <c r="G266" s="286"/>
      <c r="H266" s="525"/>
      <c r="I266" s="800"/>
      <c r="J266" s="538"/>
      <c r="K266" s="172"/>
      <c r="M266" s="201"/>
      <c r="N266" s="870"/>
      <c r="O266" s="172"/>
      <c r="Q266" s="172"/>
      <c r="R266" s="172"/>
      <c r="S266" s="172"/>
      <c r="T266" s="172"/>
      <c r="AN266"/>
      <c r="AO266"/>
    </row>
    <row r="267" spans="1:41" x14ac:dyDescent="0.25">
      <c r="A267" s="838"/>
      <c r="B267" s="838"/>
      <c r="C267" s="884"/>
      <c r="D267" s="201"/>
      <c r="E267" s="201"/>
      <c r="F267" s="201"/>
      <c r="G267" s="286"/>
      <c r="H267" s="525"/>
      <c r="I267" s="800"/>
      <c r="J267" s="538"/>
      <c r="K267" s="172"/>
      <c r="M267" s="201"/>
      <c r="N267" s="870"/>
      <c r="O267" s="172"/>
      <c r="Q267" s="172"/>
      <c r="R267" s="172"/>
      <c r="S267" s="172"/>
      <c r="T267" s="172"/>
      <c r="AN267"/>
      <c r="AO267"/>
    </row>
    <row r="268" spans="1:41" x14ac:dyDescent="0.25">
      <c r="A268" s="838"/>
      <c r="B268" s="838"/>
      <c r="C268" s="884"/>
      <c r="D268" s="201"/>
      <c r="E268" s="201"/>
      <c r="F268" s="201"/>
      <c r="G268" s="286"/>
      <c r="H268" s="850"/>
      <c r="I268" s="800"/>
      <c r="J268" s="538"/>
      <c r="K268" s="172"/>
      <c r="M268" s="201"/>
      <c r="N268" s="870"/>
      <c r="O268" s="172"/>
      <c r="Q268" s="172"/>
      <c r="R268" s="172"/>
      <c r="S268" s="172"/>
      <c r="T268" s="172"/>
      <c r="AN268"/>
      <c r="AO268"/>
    </row>
    <row r="269" spans="1:41" x14ac:dyDescent="0.25">
      <c r="A269" s="838"/>
      <c r="B269" s="838"/>
      <c r="C269" s="884"/>
      <c r="D269" s="201"/>
      <c r="E269" s="201"/>
      <c r="F269" s="201"/>
      <c r="G269" s="286"/>
      <c r="H269" s="850"/>
      <c r="I269" s="800"/>
      <c r="J269" s="538"/>
      <c r="K269" s="172"/>
      <c r="M269" s="201"/>
      <c r="N269" s="870"/>
      <c r="O269" s="172"/>
      <c r="Q269" s="172"/>
      <c r="R269" s="172"/>
      <c r="S269" s="172"/>
      <c r="T269" s="172"/>
      <c r="AN269"/>
      <c r="AO269"/>
    </row>
    <row r="270" spans="1:41" x14ac:dyDescent="0.25">
      <c r="A270" s="838"/>
      <c r="B270" s="838"/>
      <c r="C270" s="884"/>
      <c r="D270" s="201"/>
      <c r="E270" s="201"/>
      <c r="F270" s="201"/>
      <c r="G270" s="286"/>
      <c r="H270" s="850"/>
      <c r="I270" s="800"/>
      <c r="J270" s="538"/>
      <c r="K270" s="172"/>
      <c r="M270" s="201"/>
      <c r="N270" s="870"/>
      <c r="O270" s="172"/>
      <c r="Q270" s="172"/>
      <c r="R270" s="172"/>
      <c r="S270" s="172"/>
      <c r="T270" s="172"/>
      <c r="AN270"/>
      <c r="AO270"/>
    </row>
    <row r="271" spans="1:41" x14ac:dyDescent="0.25">
      <c r="A271" s="838"/>
      <c r="B271" s="838"/>
      <c r="C271" s="884"/>
      <c r="D271" s="201"/>
      <c r="E271" s="201"/>
      <c r="F271" s="201"/>
      <c r="G271" s="286"/>
      <c r="H271" s="850"/>
      <c r="I271" s="800"/>
      <c r="J271" s="538"/>
      <c r="K271" s="172"/>
      <c r="M271" s="201"/>
      <c r="N271" s="870"/>
      <c r="O271" s="172"/>
      <c r="Q271" s="172"/>
      <c r="R271" s="172"/>
      <c r="S271" s="172"/>
      <c r="T271" s="172"/>
      <c r="AN271"/>
      <c r="AO271"/>
    </row>
    <row r="272" spans="1:41" x14ac:dyDescent="0.25">
      <c r="A272" s="838"/>
      <c r="B272" s="838"/>
      <c r="C272" s="884"/>
      <c r="D272" s="201"/>
      <c r="E272" s="201"/>
      <c r="F272" s="201"/>
      <c r="G272" s="286"/>
      <c r="H272" s="850"/>
      <c r="I272" s="800"/>
      <c r="J272" s="538"/>
      <c r="K272" s="172"/>
      <c r="M272" s="201"/>
      <c r="N272" s="870"/>
      <c r="O272" s="172"/>
      <c r="Q272" s="172"/>
      <c r="R272" s="172"/>
      <c r="S272" s="172"/>
      <c r="T272" s="172"/>
      <c r="AN272"/>
      <c r="AO272"/>
    </row>
    <row r="273" spans="1:41" x14ac:dyDescent="0.25">
      <c r="A273" s="838"/>
      <c r="B273" s="838"/>
      <c r="C273" s="884"/>
      <c r="D273" s="201"/>
      <c r="E273" s="201"/>
      <c r="F273" s="201"/>
      <c r="G273" s="286"/>
      <c r="H273" s="850"/>
      <c r="I273" s="800"/>
      <c r="J273" s="538"/>
      <c r="K273" s="172"/>
      <c r="M273" s="201"/>
      <c r="N273" s="870"/>
      <c r="O273" s="172"/>
      <c r="Q273" s="172"/>
      <c r="R273" s="172"/>
      <c r="S273" s="172"/>
      <c r="T273" s="172"/>
      <c r="AN273"/>
      <c r="AO273"/>
    </row>
    <row r="274" spans="1:41" x14ac:dyDescent="0.25">
      <c r="A274" s="838"/>
      <c r="B274" s="838"/>
      <c r="C274" s="884"/>
      <c r="D274" s="201"/>
      <c r="E274" s="201"/>
      <c r="F274" s="201"/>
      <c r="G274" s="286"/>
      <c r="H274" s="850"/>
      <c r="I274" s="800"/>
      <c r="J274" s="538"/>
      <c r="K274" s="172"/>
      <c r="M274" s="201"/>
      <c r="N274" s="870"/>
      <c r="O274" s="172"/>
      <c r="Q274" s="172"/>
      <c r="R274" s="172"/>
      <c r="S274" s="172"/>
      <c r="T274" s="172"/>
      <c r="AN274"/>
      <c r="AO274"/>
    </row>
    <row r="275" spans="1:41" x14ac:dyDescent="0.25">
      <c r="A275" s="838"/>
      <c r="B275" s="838"/>
      <c r="C275" s="884"/>
      <c r="D275" s="201"/>
      <c r="E275" s="201"/>
      <c r="F275" s="201"/>
      <c r="G275" s="286"/>
      <c r="H275" s="850"/>
      <c r="I275" s="800"/>
      <c r="J275" s="538"/>
      <c r="K275" s="172"/>
      <c r="M275" s="201"/>
      <c r="N275" s="870"/>
      <c r="O275" s="172"/>
      <c r="Q275" s="172"/>
      <c r="R275" s="172"/>
      <c r="S275" s="172"/>
      <c r="T275" s="172"/>
      <c r="AN275"/>
      <c r="AO275"/>
    </row>
    <row r="276" spans="1:41" x14ac:dyDescent="0.25">
      <c r="A276" s="838"/>
      <c r="B276" s="838"/>
      <c r="C276" s="884"/>
      <c r="D276" s="201"/>
      <c r="E276" s="201"/>
      <c r="F276" s="201"/>
      <c r="G276" s="286"/>
      <c r="H276" s="850"/>
      <c r="I276" s="800"/>
      <c r="J276" s="538"/>
      <c r="K276" s="172"/>
      <c r="M276" s="201"/>
      <c r="N276" s="870"/>
      <c r="O276" s="172"/>
      <c r="Q276" s="172"/>
      <c r="R276" s="172"/>
      <c r="S276" s="172"/>
      <c r="T276" s="172"/>
      <c r="AN276"/>
      <c r="AO276"/>
    </row>
    <row r="277" spans="1:41" x14ac:dyDescent="0.25">
      <c r="A277" s="838"/>
      <c r="B277" s="838"/>
      <c r="C277" s="884"/>
      <c r="D277" s="201"/>
      <c r="E277" s="201"/>
      <c r="F277" s="201"/>
      <c r="G277" s="286"/>
      <c r="H277" s="525"/>
      <c r="I277" s="800"/>
      <c r="J277" s="538"/>
      <c r="K277" s="172"/>
      <c r="M277" s="201"/>
      <c r="N277" s="870"/>
      <c r="O277" s="172"/>
      <c r="Q277" s="172"/>
      <c r="R277" s="172"/>
      <c r="S277" s="172"/>
      <c r="T277" s="172"/>
      <c r="AN277"/>
      <c r="AO277"/>
    </row>
    <row r="278" spans="1:41" x14ac:dyDescent="0.25">
      <c r="A278" s="838"/>
      <c r="B278" s="838"/>
      <c r="C278" s="884"/>
      <c r="D278" s="201"/>
      <c r="E278" s="201"/>
      <c r="F278" s="201"/>
      <c r="G278" s="286"/>
      <c r="H278" s="525"/>
      <c r="I278" s="800"/>
      <c r="J278" s="538"/>
      <c r="K278" s="172"/>
      <c r="M278" s="201"/>
      <c r="N278" s="870"/>
      <c r="O278" s="172"/>
      <c r="Q278" s="172"/>
      <c r="R278" s="172"/>
      <c r="S278" s="172"/>
      <c r="T278" s="172"/>
      <c r="AN278"/>
      <c r="AO278"/>
    </row>
    <row r="279" spans="1:41" x14ac:dyDescent="0.25">
      <c r="A279" s="838"/>
      <c r="B279" s="838"/>
      <c r="C279" s="884"/>
      <c r="D279" s="201"/>
      <c r="E279" s="201"/>
      <c r="F279" s="201"/>
      <c r="G279" s="286"/>
      <c r="H279" s="525"/>
      <c r="I279" s="800"/>
      <c r="J279" s="525"/>
      <c r="K279" s="172"/>
      <c r="M279" s="201"/>
      <c r="N279" s="525"/>
      <c r="O279" s="172"/>
      <c r="Q279" s="172"/>
      <c r="R279" s="172"/>
      <c r="S279" s="172"/>
      <c r="T279" s="172"/>
      <c r="AN279"/>
      <c r="AO279"/>
    </row>
    <row r="280" spans="1:41" x14ac:dyDescent="0.25">
      <c r="A280" s="838"/>
      <c r="B280" s="838"/>
      <c r="C280" s="884"/>
      <c r="D280" s="201"/>
      <c r="E280" s="201"/>
      <c r="F280" s="201"/>
      <c r="G280" s="286"/>
      <c r="H280" s="525"/>
      <c r="I280" s="800"/>
      <c r="J280" s="538"/>
      <c r="K280" s="172"/>
      <c r="M280" s="201"/>
      <c r="N280" s="870"/>
      <c r="O280" s="172"/>
      <c r="Q280" s="172"/>
      <c r="R280" s="172"/>
      <c r="S280" s="172"/>
      <c r="T280" s="172"/>
      <c r="AN280"/>
      <c r="AO280"/>
    </row>
    <row r="281" spans="1:41" x14ac:dyDescent="0.25">
      <c r="A281" s="838"/>
      <c r="B281" s="838"/>
      <c r="C281" s="884"/>
      <c r="D281" s="201"/>
      <c r="E281" s="201"/>
      <c r="F281" s="201"/>
      <c r="G281" s="286"/>
      <c r="H281" s="525"/>
      <c r="I281" s="800"/>
      <c r="J281" s="538"/>
      <c r="K281" s="172"/>
      <c r="M281" s="201"/>
      <c r="N281" s="870"/>
      <c r="O281" s="172"/>
      <c r="Q281" s="172"/>
      <c r="R281" s="172"/>
      <c r="S281" s="172"/>
      <c r="T281" s="172"/>
      <c r="AN281"/>
      <c r="AO281"/>
    </row>
    <row r="282" spans="1:41" x14ac:dyDescent="0.25">
      <c r="A282" s="838"/>
      <c r="B282" s="838"/>
      <c r="C282" s="884"/>
      <c r="D282" s="201"/>
      <c r="E282" s="201"/>
      <c r="F282" s="201"/>
      <c r="G282" s="286"/>
      <c r="H282" s="850"/>
      <c r="I282" s="800"/>
      <c r="J282" s="538"/>
      <c r="K282" s="172"/>
      <c r="M282" s="201"/>
      <c r="N282" s="870"/>
      <c r="O282" s="172"/>
      <c r="Q282" s="172"/>
      <c r="R282" s="172"/>
      <c r="S282" s="172"/>
      <c r="T282" s="172"/>
      <c r="AN282"/>
      <c r="AO282"/>
    </row>
    <row r="283" spans="1:41" x14ac:dyDescent="0.25">
      <c r="A283" s="838"/>
      <c r="B283" s="838"/>
      <c r="C283" s="884"/>
      <c r="D283" s="201"/>
      <c r="E283" s="201"/>
      <c r="F283" s="201"/>
      <c r="G283" s="286"/>
      <c r="H283" s="850"/>
      <c r="I283" s="800"/>
      <c r="J283" s="538"/>
      <c r="K283" s="172"/>
      <c r="M283" s="201"/>
      <c r="N283" s="870"/>
      <c r="O283" s="172"/>
      <c r="Q283" s="172"/>
      <c r="R283" s="172"/>
      <c r="S283" s="172"/>
      <c r="T283" s="172"/>
      <c r="AN283"/>
      <c r="AO283"/>
    </row>
    <row r="284" spans="1:41" x14ac:dyDescent="0.25">
      <c r="A284" s="838"/>
      <c r="B284" s="838"/>
      <c r="C284" s="884"/>
      <c r="D284" s="201"/>
      <c r="E284" s="201"/>
      <c r="F284" s="201"/>
      <c r="G284" s="286"/>
      <c r="H284" s="850"/>
      <c r="I284" s="800"/>
      <c r="J284" s="538"/>
      <c r="K284" s="172"/>
      <c r="M284" s="201"/>
      <c r="N284" s="870"/>
      <c r="O284" s="172"/>
      <c r="Q284" s="172"/>
      <c r="R284" s="172"/>
      <c r="S284" s="172"/>
      <c r="T284" s="172"/>
      <c r="AN284"/>
      <c r="AO284"/>
    </row>
    <row r="285" spans="1:41" x14ac:dyDescent="0.25">
      <c r="A285" s="838"/>
      <c r="B285" s="838"/>
      <c r="C285" s="884"/>
      <c r="D285" s="201"/>
      <c r="E285" s="201"/>
      <c r="F285" s="201"/>
      <c r="G285" s="286"/>
      <c r="H285" s="850"/>
      <c r="I285" s="800"/>
      <c r="J285" s="538"/>
      <c r="K285" s="172"/>
      <c r="M285" s="201"/>
      <c r="N285" s="870"/>
      <c r="O285" s="172"/>
      <c r="Q285" s="172"/>
      <c r="R285" s="172"/>
      <c r="S285" s="172"/>
      <c r="T285" s="172"/>
      <c r="AN285"/>
      <c r="AO285"/>
    </row>
    <row r="286" spans="1:41" x14ac:dyDescent="0.25">
      <c r="A286" s="838"/>
      <c r="B286" s="838"/>
      <c r="C286" s="884"/>
      <c r="D286" s="201"/>
      <c r="E286" s="201"/>
      <c r="F286" s="201"/>
      <c r="G286" s="286"/>
      <c r="H286" s="850"/>
      <c r="I286" s="800"/>
      <c r="J286" s="538"/>
      <c r="K286" s="172"/>
      <c r="M286" s="201"/>
      <c r="N286" s="870"/>
      <c r="O286" s="172"/>
      <c r="Q286" s="172"/>
      <c r="R286" s="172"/>
      <c r="S286" s="172"/>
      <c r="T286" s="172"/>
      <c r="AN286"/>
      <c r="AO286"/>
    </row>
    <row r="287" spans="1:41" x14ac:dyDescent="0.25">
      <c r="A287" s="838"/>
      <c r="B287" s="838"/>
      <c r="C287" s="884"/>
      <c r="D287" s="201"/>
      <c r="E287" s="201"/>
      <c r="F287" s="201"/>
      <c r="G287" s="286"/>
      <c r="H287" s="850"/>
      <c r="I287" s="800"/>
      <c r="J287" s="538"/>
      <c r="K287" s="172"/>
      <c r="M287" s="201"/>
      <c r="N287" s="870"/>
      <c r="O287" s="172"/>
      <c r="Q287" s="172"/>
      <c r="R287" s="172"/>
      <c r="S287" s="172"/>
      <c r="T287" s="172"/>
      <c r="AN287"/>
      <c r="AO287"/>
    </row>
    <row r="288" spans="1:41" x14ac:dyDescent="0.25">
      <c r="A288" s="838"/>
      <c r="B288" s="838"/>
      <c r="C288" s="884"/>
      <c r="D288" s="201"/>
      <c r="E288" s="201"/>
      <c r="F288" s="201"/>
      <c r="G288" s="286"/>
      <c r="H288" s="850"/>
      <c r="I288" s="800"/>
      <c r="J288" s="538"/>
      <c r="K288" s="172"/>
      <c r="M288" s="201"/>
      <c r="N288" s="870"/>
      <c r="O288" s="172"/>
      <c r="Q288" s="172"/>
      <c r="R288" s="172"/>
      <c r="S288" s="172"/>
      <c r="T288" s="172"/>
      <c r="AN288"/>
      <c r="AO288"/>
    </row>
    <row r="289" spans="1:41" x14ac:dyDescent="0.25">
      <c r="A289" s="838"/>
      <c r="B289" s="838"/>
      <c r="C289" s="884"/>
      <c r="D289" s="201"/>
      <c r="E289" s="201"/>
      <c r="F289" s="201"/>
      <c r="G289" s="286"/>
      <c r="H289" s="850"/>
      <c r="I289" s="800"/>
      <c r="J289" s="538"/>
      <c r="K289" s="172"/>
      <c r="M289" s="201"/>
      <c r="N289" s="870"/>
      <c r="O289" s="172"/>
      <c r="Q289" s="172"/>
      <c r="R289" s="172"/>
      <c r="S289" s="172"/>
      <c r="T289" s="172"/>
      <c r="AN289"/>
      <c r="AO289"/>
    </row>
    <row r="290" spans="1:41" x14ac:dyDescent="0.25">
      <c r="A290" s="838"/>
      <c r="B290" s="838"/>
      <c r="C290" s="884"/>
      <c r="D290" s="201"/>
      <c r="E290" s="201"/>
      <c r="F290" s="201"/>
      <c r="G290" s="286"/>
      <c r="H290" s="850"/>
      <c r="I290" s="800"/>
      <c r="J290" s="538"/>
      <c r="K290" s="172"/>
      <c r="M290" s="201"/>
      <c r="N290" s="870"/>
      <c r="O290" s="172"/>
      <c r="Q290" s="172"/>
      <c r="R290" s="172"/>
      <c r="S290" s="172"/>
      <c r="T290" s="172"/>
      <c r="AN290"/>
      <c r="AO290"/>
    </row>
    <row r="291" spans="1:41" x14ac:dyDescent="0.25">
      <c r="A291" s="838"/>
      <c r="B291" s="838"/>
      <c r="C291" s="884"/>
      <c r="D291" s="201"/>
      <c r="E291" s="201"/>
      <c r="F291" s="201"/>
      <c r="G291" s="286"/>
      <c r="H291" s="850"/>
      <c r="I291" s="800"/>
      <c r="J291" s="538"/>
      <c r="K291" s="172"/>
      <c r="M291" s="201"/>
      <c r="N291" s="870"/>
      <c r="O291" s="172"/>
      <c r="Q291" s="172"/>
      <c r="R291" s="172"/>
      <c r="S291" s="172"/>
      <c r="T291" s="172"/>
      <c r="AN291"/>
      <c r="AO291"/>
    </row>
    <row r="292" spans="1:41" x14ac:dyDescent="0.25">
      <c r="A292" s="838"/>
      <c r="B292" s="838"/>
      <c r="C292" s="884"/>
      <c r="D292" s="201"/>
      <c r="E292" s="201"/>
      <c r="F292" s="201"/>
      <c r="G292" s="286"/>
      <c r="H292" s="850"/>
      <c r="I292" s="800"/>
      <c r="J292" s="850"/>
      <c r="K292" s="172"/>
      <c r="M292" s="201"/>
      <c r="N292" s="850"/>
      <c r="O292" s="172"/>
      <c r="Q292" s="172"/>
      <c r="R292" s="172"/>
      <c r="S292" s="172"/>
      <c r="T292" s="172"/>
      <c r="AN292"/>
      <c r="AO292"/>
    </row>
    <row r="293" spans="1:41" x14ac:dyDescent="0.25">
      <c r="A293" s="838"/>
      <c r="B293" s="838"/>
      <c r="C293" s="884"/>
      <c r="D293" s="201"/>
      <c r="E293" s="201"/>
      <c r="F293" s="201"/>
      <c r="G293" s="286"/>
      <c r="H293" s="850"/>
      <c r="I293" s="800"/>
      <c r="J293" s="538"/>
      <c r="K293" s="172"/>
      <c r="M293" s="201"/>
      <c r="N293" s="870"/>
      <c r="O293" s="172"/>
      <c r="Q293" s="172"/>
      <c r="R293" s="172"/>
      <c r="S293" s="172"/>
      <c r="T293" s="172"/>
      <c r="AN293"/>
      <c r="AO293"/>
    </row>
    <row r="294" spans="1:41" x14ac:dyDescent="0.25">
      <c r="A294" s="838"/>
      <c r="B294" s="838"/>
      <c r="C294" s="884"/>
      <c r="D294" s="201"/>
      <c r="E294" s="201"/>
      <c r="F294" s="201"/>
      <c r="G294" s="286"/>
      <c r="H294" s="850"/>
      <c r="I294" s="800"/>
      <c r="J294" s="538"/>
      <c r="K294" s="172"/>
      <c r="M294" s="201"/>
      <c r="N294" s="870"/>
      <c r="O294" s="172"/>
      <c r="Q294" s="172"/>
      <c r="R294" s="172"/>
      <c r="S294" s="172"/>
      <c r="T294" s="172"/>
      <c r="AN294"/>
      <c r="AO294"/>
    </row>
    <row r="295" spans="1:41" x14ac:dyDescent="0.25">
      <c r="A295" s="838"/>
      <c r="B295" s="838"/>
      <c r="C295" s="884"/>
      <c r="D295" s="201"/>
      <c r="E295" s="201"/>
      <c r="F295" s="201"/>
      <c r="G295" s="286"/>
      <c r="H295" s="850"/>
      <c r="I295" s="800"/>
      <c r="J295" s="538"/>
      <c r="K295" s="172"/>
      <c r="M295" s="201"/>
      <c r="N295" s="870"/>
      <c r="O295" s="172"/>
      <c r="Q295" s="172"/>
      <c r="R295" s="172"/>
      <c r="S295" s="172"/>
      <c r="T295" s="172"/>
      <c r="AN295"/>
      <c r="AO295"/>
    </row>
    <row r="296" spans="1:41" x14ac:dyDescent="0.25">
      <c r="A296" s="838"/>
      <c r="B296" s="838"/>
      <c r="C296" s="884"/>
      <c r="D296" s="201"/>
      <c r="E296" s="201"/>
      <c r="F296" s="201"/>
      <c r="G296" s="286"/>
      <c r="H296" s="850"/>
      <c r="I296" s="800"/>
      <c r="J296" s="538"/>
      <c r="K296" s="172"/>
      <c r="M296" s="201"/>
      <c r="N296" s="870"/>
      <c r="O296" s="172"/>
      <c r="Q296" s="172"/>
      <c r="R296" s="172"/>
      <c r="S296" s="172"/>
      <c r="T296" s="172"/>
      <c r="AN296"/>
      <c r="AO296"/>
    </row>
    <row r="297" spans="1:41" x14ac:dyDescent="0.25">
      <c r="A297" s="838"/>
      <c r="B297" s="838"/>
      <c r="C297" s="884"/>
      <c r="D297" s="201"/>
      <c r="E297" s="201"/>
      <c r="F297" s="201"/>
      <c r="G297" s="286"/>
      <c r="H297" s="850"/>
      <c r="I297" s="800"/>
      <c r="J297" s="538"/>
      <c r="K297" s="172"/>
      <c r="M297" s="201"/>
      <c r="N297" s="870"/>
      <c r="O297" s="172"/>
      <c r="Q297" s="172"/>
      <c r="R297" s="172"/>
      <c r="S297" s="172"/>
      <c r="T297" s="172"/>
      <c r="AN297"/>
      <c r="AO297"/>
    </row>
    <row r="298" spans="1:41" x14ac:dyDescent="0.25">
      <c r="A298" s="838"/>
      <c r="B298" s="838"/>
      <c r="C298" s="884"/>
      <c r="D298" s="201"/>
      <c r="E298" s="201"/>
      <c r="F298" s="201"/>
      <c r="G298" s="286"/>
      <c r="H298" s="850"/>
      <c r="I298" s="800"/>
      <c r="J298" s="538"/>
      <c r="K298" s="172"/>
      <c r="M298" s="201"/>
      <c r="N298" s="870"/>
      <c r="O298" s="172"/>
      <c r="Q298" s="172"/>
      <c r="R298" s="172"/>
      <c r="S298" s="172"/>
      <c r="T298" s="172"/>
      <c r="AN298"/>
      <c r="AO298"/>
    </row>
    <row r="299" spans="1:41" x14ac:dyDescent="0.25">
      <c r="A299" s="838"/>
      <c r="B299" s="838"/>
      <c r="C299" s="884"/>
      <c r="D299" s="201"/>
      <c r="E299" s="201"/>
      <c r="F299" s="201"/>
      <c r="G299" s="286"/>
      <c r="H299" s="850"/>
      <c r="I299" s="800"/>
      <c r="J299" s="538"/>
      <c r="K299" s="172"/>
      <c r="M299" s="201"/>
      <c r="N299" s="870"/>
      <c r="O299" s="172"/>
      <c r="Q299" s="172"/>
      <c r="R299" s="172"/>
      <c r="S299" s="172"/>
      <c r="T299" s="172"/>
      <c r="AN299"/>
      <c r="AO299"/>
    </row>
    <row r="300" spans="1:41" x14ac:dyDescent="0.25">
      <c r="A300" s="838"/>
      <c r="B300" s="838"/>
      <c r="C300" s="884"/>
      <c r="D300" s="201"/>
      <c r="E300" s="201"/>
      <c r="F300" s="201"/>
      <c r="G300" s="286"/>
      <c r="H300" s="850"/>
      <c r="I300" s="800"/>
      <c r="J300" s="538"/>
      <c r="K300" s="172"/>
      <c r="M300" s="201"/>
      <c r="N300" s="870"/>
      <c r="O300" s="172"/>
      <c r="Q300" s="172"/>
      <c r="R300" s="172"/>
      <c r="S300" s="172"/>
      <c r="T300" s="172"/>
      <c r="AN300"/>
      <c r="AO300"/>
    </row>
    <row r="301" spans="1:41" x14ac:dyDescent="0.25">
      <c r="A301" s="838"/>
      <c r="B301" s="838"/>
      <c r="C301" s="884"/>
      <c r="D301" s="201"/>
      <c r="E301" s="201"/>
      <c r="F301" s="201"/>
      <c r="G301" s="286"/>
      <c r="H301" s="850"/>
      <c r="I301" s="800"/>
      <c r="J301" s="538"/>
      <c r="K301" s="172"/>
      <c r="M301" s="201"/>
      <c r="N301" s="870"/>
      <c r="O301" s="172"/>
      <c r="Q301" s="172"/>
      <c r="R301" s="172"/>
      <c r="S301" s="172"/>
      <c r="T301" s="172"/>
      <c r="AN301"/>
      <c r="AO301"/>
    </row>
    <row r="302" spans="1:41" x14ac:dyDescent="0.25">
      <c r="A302" s="838"/>
      <c r="B302" s="838"/>
      <c r="C302" s="884"/>
      <c r="D302" s="201"/>
      <c r="E302" s="201"/>
      <c r="F302" s="201"/>
      <c r="G302" s="286"/>
      <c r="H302" s="850"/>
      <c r="I302" s="800"/>
      <c r="J302" s="538"/>
      <c r="K302" s="172"/>
      <c r="M302" s="201"/>
      <c r="N302" s="870"/>
      <c r="O302" s="172"/>
      <c r="Q302" s="172"/>
      <c r="R302" s="172"/>
      <c r="S302" s="172"/>
      <c r="T302" s="172"/>
      <c r="AN302"/>
      <c r="AO302"/>
    </row>
    <row r="303" spans="1:41" x14ac:dyDescent="0.25">
      <c r="A303" s="838"/>
      <c r="B303" s="838"/>
      <c r="C303" s="884"/>
      <c r="D303" s="201"/>
      <c r="E303" s="201"/>
      <c r="F303" s="201"/>
      <c r="G303" s="286"/>
      <c r="H303" s="850"/>
      <c r="I303" s="800"/>
      <c r="J303" s="538"/>
      <c r="K303" s="172"/>
      <c r="M303" s="201"/>
      <c r="N303" s="870"/>
      <c r="O303" s="172"/>
      <c r="Q303" s="172"/>
      <c r="R303" s="172"/>
      <c r="S303" s="172"/>
      <c r="T303" s="172"/>
      <c r="AN303"/>
      <c r="AO303"/>
    </row>
    <row r="304" spans="1:41" x14ac:dyDescent="0.25">
      <c r="A304" s="838"/>
      <c r="B304" s="838"/>
      <c r="C304" s="884"/>
      <c r="D304" s="201"/>
      <c r="E304" s="201"/>
      <c r="F304" s="201"/>
      <c r="G304" s="286"/>
      <c r="H304" s="850"/>
      <c r="I304" s="800"/>
      <c r="J304" s="538"/>
      <c r="K304" s="172"/>
      <c r="M304" s="201"/>
      <c r="N304" s="870"/>
      <c r="O304" s="172"/>
      <c r="Q304" s="172"/>
      <c r="R304" s="172"/>
      <c r="S304" s="172"/>
      <c r="T304" s="172"/>
      <c r="AN304"/>
      <c r="AO304"/>
    </row>
    <row r="305" spans="1:41" x14ac:dyDescent="0.25">
      <c r="A305" s="838"/>
      <c r="B305" s="838"/>
      <c r="C305" s="884"/>
      <c r="D305" s="201"/>
      <c r="E305" s="201"/>
      <c r="F305" s="201"/>
      <c r="H305" s="850"/>
      <c r="I305" s="886"/>
      <c r="J305" s="538"/>
      <c r="K305" s="172"/>
      <c r="M305" s="201"/>
      <c r="N305" s="870"/>
      <c r="O305" s="172"/>
      <c r="Q305" s="172"/>
      <c r="R305" s="172"/>
      <c r="S305" s="172"/>
      <c r="T305" s="172"/>
      <c r="AN305"/>
      <c r="AO305"/>
    </row>
    <row r="306" spans="1:41" x14ac:dyDescent="0.25">
      <c r="A306" s="838"/>
      <c r="B306" s="838"/>
      <c r="C306" s="884"/>
      <c r="D306" s="201"/>
      <c r="E306" s="201"/>
      <c r="H306" s="850"/>
      <c r="I306" s="886"/>
      <c r="J306" s="538"/>
      <c r="K306" s="172"/>
      <c r="M306" s="201"/>
      <c r="N306" s="870"/>
      <c r="O306" s="172"/>
      <c r="Q306" s="172"/>
      <c r="R306" s="172"/>
      <c r="S306" s="172"/>
      <c r="T306" s="172"/>
      <c r="AN306"/>
      <c r="AO306"/>
    </row>
    <row r="307" spans="1:41" x14ac:dyDescent="0.25">
      <c r="A307" s="838"/>
      <c r="B307" s="838"/>
      <c r="C307" s="884"/>
      <c r="D307" s="201"/>
      <c r="E307" s="201"/>
      <c r="H307" s="850"/>
      <c r="I307" s="886"/>
      <c r="J307" s="538"/>
      <c r="K307" s="172"/>
      <c r="M307" s="201"/>
      <c r="N307" s="870"/>
      <c r="O307" s="172"/>
      <c r="Q307" s="172"/>
      <c r="R307" s="172"/>
      <c r="S307" s="172"/>
      <c r="T307" s="172"/>
      <c r="AN307"/>
      <c r="AO307"/>
    </row>
    <row r="308" spans="1:41" x14ac:dyDescent="0.25">
      <c r="A308" s="838"/>
      <c r="B308" s="838"/>
      <c r="C308" s="884"/>
      <c r="D308" s="201"/>
      <c r="E308" s="201"/>
      <c r="H308" s="850"/>
      <c r="I308" s="886"/>
      <c r="J308" s="850"/>
      <c r="K308" s="172"/>
      <c r="M308" s="201"/>
      <c r="N308" s="850"/>
      <c r="O308" s="172"/>
      <c r="Q308" s="172"/>
      <c r="R308" s="172"/>
      <c r="S308" s="172"/>
      <c r="T308" s="172"/>
      <c r="AN308"/>
      <c r="AO308"/>
    </row>
    <row r="309" spans="1:41" x14ac:dyDescent="0.25">
      <c r="A309" s="838"/>
      <c r="B309" s="838"/>
      <c r="C309" s="884"/>
      <c r="D309" s="201"/>
      <c r="E309" s="201"/>
      <c r="H309" s="850"/>
      <c r="I309" s="886"/>
      <c r="J309" s="538"/>
      <c r="K309" s="172"/>
      <c r="M309" s="201"/>
      <c r="N309" s="870"/>
      <c r="O309" s="172"/>
      <c r="Q309" s="172"/>
      <c r="R309" s="172"/>
      <c r="S309" s="172"/>
      <c r="T309" s="172"/>
      <c r="AN309"/>
      <c r="AO309"/>
    </row>
    <row r="310" spans="1:41" x14ac:dyDescent="0.25">
      <c r="A310" s="838"/>
      <c r="B310" s="838"/>
      <c r="C310" s="884"/>
      <c r="D310" s="201"/>
      <c r="E310" s="201"/>
      <c r="H310" s="850"/>
      <c r="I310" s="886"/>
      <c r="J310" s="538"/>
      <c r="K310" s="172"/>
      <c r="M310" s="201"/>
      <c r="N310" s="870"/>
      <c r="O310" s="172"/>
      <c r="Q310" s="172"/>
      <c r="R310" s="172"/>
      <c r="S310" s="172"/>
      <c r="T310" s="172"/>
      <c r="AN310"/>
      <c r="AO310"/>
    </row>
    <row r="311" spans="1:41" x14ac:dyDescent="0.25">
      <c r="A311" s="838"/>
      <c r="B311" s="838"/>
      <c r="C311" s="884"/>
      <c r="D311" s="201"/>
      <c r="E311" s="201"/>
      <c r="H311" s="850"/>
      <c r="I311" s="886"/>
      <c r="J311" s="538"/>
      <c r="K311" s="172"/>
      <c r="M311" s="201"/>
      <c r="N311" s="870"/>
      <c r="O311" s="172"/>
      <c r="Q311" s="172"/>
      <c r="R311" s="172"/>
      <c r="S311" s="172"/>
      <c r="T311" s="172"/>
      <c r="AN311"/>
      <c r="AO311"/>
    </row>
    <row r="312" spans="1:41" x14ac:dyDescent="0.25">
      <c r="A312" s="838"/>
      <c r="B312" s="838"/>
      <c r="C312" s="884"/>
      <c r="D312" s="201"/>
      <c r="E312" s="201"/>
      <c r="H312" s="850"/>
      <c r="I312" s="886"/>
      <c r="J312" s="538"/>
      <c r="K312" s="172"/>
      <c r="M312" s="201"/>
      <c r="N312" s="870"/>
      <c r="O312" s="172"/>
      <c r="Q312" s="172"/>
      <c r="R312" s="172"/>
      <c r="S312" s="172"/>
      <c r="T312" s="172"/>
      <c r="AN312"/>
      <c r="AO312"/>
    </row>
    <row r="313" spans="1:41" ht="14.25" customHeight="1" x14ac:dyDescent="0.25">
      <c r="A313" s="838"/>
      <c r="B313" s="838"/>
      <c r="C313" s="884"/>
      <c r="D313" s="201"/>
      <c r="E313" s="201"/>
      <c r="H313" s="850"/>
      <c r="I313" s="886"/>
      <c r="J313" s="538"/>
      <c r="K313" s="172"/>
      <c r="M313" s="201"/>
      <c r="N313" s="870"/>
      <c r="O313" s="172"/>
      <c r="Q313" s="172"/>
      <c r="R313" s="172"/>
      <c r="S313" s="172"/>
      <c r="T313" s="172"/>
      <c r="AN313"/>
      <c r="AO313"/>
    </row>
    <row r="314" spans="1:41" x14ac:dyDescent="0.25">
      <c r="A314" s="838"/>
      <c r="B314" s="838"/>
      <c r="C314" s="884"/>
      <c r="D314" s="201"/>
      <c r="E314" s="201"/>
      <c r="H314" s="850"/>
      <c r="I314" s="886"/>
      <c r="J314" s="538"/>
      <c r="K314" s="172"/>
      <c r="M314" s="201"/>
      <c r="N314" s="870"/>
      <c r="O314" s="172"/>
      <c r="Q314" s="172"/>
      <c r="R314" s="172"/>
      <c r="S314" s="172"/>
      <c r="T314" s="172"/>
      <c r="AN314"/>
      <c r="AO314"/>
    </row>
    <row r="315" spans="1:41" x14ac:dyDescent="0.25">
      <c r="A315" s="838"/>
      <c r="B315" s="838"/>
      <c r="C315" s="884"/>
      <c r="D315" s="201"/>
      <c r="E315" s="201"/>
      <c r="H315" s="850"/>
      <c r="I315" s="886"/>
      <c r="J315" s="538"/>
      <c r="K315" s="172"/>
      <c r="M315" s="201"/>
      <c r="N315" s="870"/>
      <c r="O315" s="172"/>
      <c r="Q315" s="172"/>
      <c r="R315" s="172"/>
      <c r="S315" s="172"/>
      <c r="T315" s="172"/>
      <c r="AN315"/>
      <c r="AO315"/>
    </row>
    <row r="316" spans="1:41" x14ac:dyDescent="0.25">
      <c r="A316" s="838"/>
      <c r="B316" s="838"/>
      <c r="C316" s="884"/>
      <c r="D316" s="201"/>
      <c r="E316" s="201"/>
      <c r="H316" s="850"/>
      <c r="I316" s="886"/>
      <c r="J316" s="538"/>
      <c r="K316" s="172"/>
      <c r="M316" s="201"/>
      <c r="N316" s="870"/>
      <c r="O316" s="172"/>
      <c r="Q316" s="172"/>
      <c r="R316" s="172"/>
      <c r="S316" s="172"/>
      <c r="T316" s="172"/>
      <c r="AN316"/>
      <c r="AO316"/>
    </row>
    <row r="317" spans="1:41" x14ac:dyDescent="0.25">
      <c r="A317" s="838"/>
      <c r="B317" s="838"/>
      <c r="C317" s="884"/>
      <c r="D317" s="201"/>
      <c r="E317" s="201"/>
      <c r="H317" s="850"/>
      <c r="I317" s="886"/>
      <c r="J317" s="885"/>
      <c r="K317" s="172"/>
      <c r="M317" s="201"/>
      <c r="N317" s="870"/>
      <c r="O317" s="172"/>
      <c r="Q317" s="172"/>
      <c r="R317" s="172"/>
      <c r="S317" s="172"/>
      <c r="T317" s="172"/>
      <c r="AN317"/>
      <c r="AO317"/>
    </row>
    <row r="318" spans="1:41" x14ac:dyDescent="0.25">
      <c r="A318" s="838"/>
      <c r="B318" s="838"/>
      <c r="C318" s="884"/>
      <c r="D318" s="201"/>
      <c r="E318" s="201"/>
      <c r="H318" s="850"/>
      <c r="I318" s="886"/>
      <c r="J318" s="885"/>
      <c r="K318" s="172"/>
      <c r="M318" s="201"/>
      <c r="N318" s="870"/>
      <c r="O318" s="172"/>
      <c r="Q318" s="172"/>
      <c r="R318" s="172"/>
      <c r="S318" s="172"/>
      <c r="T318" s="172"/>
      <c r="AN318"/>
      <c r="AO318"/>
    </row>
    <row r="319" spans="1:41" x14ac:dyDescent="0.25">
      <c r="A319" s="838"/>
      <c r="B319" s="838"/>
      <c r="C319" s="884"/>
      <c r="D319" s="201"/>
      <c r="E319" s="201"/>
      <c r="H319" s="850"/>
      <c r="I319" s="886"/>
      <c r="J319" s="885"/>
      <c r="K319" s="172"/>
      <c r="M319" s="201"/>
      <c r="N319" s="870"/>
      <c r="O319" s="172"/>
      <c r="Q319" s="172"/>
      <c r="R319" s="172"/>
      <c r="S319" s="172"/>
      <c r="T319" s="172"/>
      <c r="AN319"/>
      <c r="AO319"/>
    </row>
    <row r="320" spans="1:41" x14ac:dyDescent="0.25">
      <c r="A320" s="838"/>
      <c r="B320" s="838"/>
      <c r="C320" s="884"/>
      <c r="D320" s="201"/>
      <c r="E320" s="201"/>
      <c r="H320" s="850"/>
      <c r="I320" s="886"/>
      <c r="J320" s="885"/>
      <c r="K320" s="172"/>
      <c r="M320" s="201"/>
      <c r="N320" s="870"/>
      <c r="O320" s="172"/>
      <c r="Q320" s="172"/>
      <c r="R320" s="172"/>
      <c r="S320" s="172"/>
      <c r="T320" s="172"/>
      <c r="AN320"/>
      <c r="AO320"/>
    </row>
    <row r="321" spans="1:41" x14ac:dyDescent="0.25">
      <c r="A321" s="838"/>
      <c r="B321" s="838"/>
      <c r="C321" s="884"/>
      <c r="D321" s="201"/>
      <c r="E321" s="201"/>
      <c r="H321" s="850"/>
      <c r="I321" s="886"/>
      <c r="J321" s="885"/>
      <c r="K321" s="172"/>
      <c r="M321" s="201"/>
      <c r="N321" s="870"/>
      <c r="O321" s="172"/>
      <c r="Q321" s="172"/>
      <c r="R321" s="172"/>
      <c r="S321" s="172"/>
      <c r="T321" s="172"/>
      <c r="AN321"/>
      <c r="AO321"/>
    </row>
    <row r="322" spans="1:41" x14ac:dyDescent="0.25">
      <c r="A322" s="838"/>
      <c r="B322" s="838"/>
      <c r="C322" s="884"/>
      <c r="D322" s="201"/>
      <c r="E322" s="201"/>
      <c r="H322" s="850"/>
      <c r="I322" s="886"/>
      <c r="J322" s="885"/>
      <c r="K322" s="172"/>
      <c r="M322" s="201"/>
      <c r="N322" s="870"/>
      <c r="O322" s="172"/>
      <c r="Q322" s="172"/>
      <c r="R322" s="172"/>
      <c r="S322" s="172"/>
      <c r="T322" s="172"/>
      <c r="AN322"/>
      <c r="AO322"/>
    </row>
    <row r="323" spans="1:41" x14ac:dyDescent="0.25">
      <c r="A323" s="838"/>
      <c r="B323" s="838"/>
      <c r="C323" s="884"/>
      <c r="D323" s="201"/>
      <c r="E323" s="201"/>
      <c r="H323" s="850"/>
      <c r="I323" s="886"/>
      <c r="J323" s="885"/>
      <c r="K323" s="172"/>
      <c r="M323" s="201"/>
      <c r="N323" s="870"/>
      <c r="O323" s="172"/>
      <c r="Q323" s="172"/>
      <c r="R323" s="172"/>
      <c r="S323" s="172"/>
      <c r="T323" s="172"/>
      <c r="AN323"/>
      <c r="AO323"/>
    </row>
    <row r="324" spans="1:41" x14ac:dyDescent="0.25">
      <c r="A324" s="838"/>
      <c r="B324" s="838"/>
      <c r="C324" s="884"/>
      <c r="D324" s="201"/>
      <c r="E324" s="201"/>
      <c r="H324" s="850"/>
      <c r="I324" s="886"/>
      <c r="J324" s="850"/>
      <c r="K324" s="172"/>
      <c r="M324" s="201"/>
      <c r="N324" s="850"/>
      <c r="O324" s="172"/>
      <c r="Q324" s="172"/>
      <c r="R324" s="172"/>
      <c r="S324" s="172"/>
      <c r="T324" s="172"/>
      <c r="AN324"/>
      <c r="AO324"/>
    </row>
    <row r="325" spans="1:41" x14ac:dyDescent="0.25">
      <c r="A325" s="838"/>
      <c r="B325" s="838"/>
      <c r="C325" s="884"/>
      <c r="D325" s="201"/>
      <c r="E325" s="201"/>
      <c r="H325" s="850"/>
      <c r="I325" s="886"/>
      <c r="J325" s="885"/>
      <c r="K325" s="172"/>
      <c r="M325" s="201"/>
      <c r="N325" s="870"/>
      <c r="O325" s="172"/>
      <c r="Q325" s="172"/>
      <c r="R325" s="172"/>
      <c r="S325" s="172"/>
      <c r="T325" s="172"/>
      <c r="AN325"/>
      <c r="AO325"/>
    </row>
    <row r="326" spans="1:41" x14ac:dyDescent="0.25">
      <c r="A326" s="838"/>
      <c r="B326" s="838"/>
      <c r="C326" s="884"/>
      <c r="D326" s="201"/>
      <c r="E326" s="201"/>
      <c r="H326" s="850"/>
      <c r="I326" s="886"/>
      <c r="J326" s="885"/>
      <c r="K326" s="172"/>
      <c r="M326" s="201"/>
      <c r="N326" s="870"/>
      <c r="O326" s="172"/>
      <c r="Q326" s="172"/>
      <c r="R326" s="172"/>
      <c r="S326" s="172"/>
      <c r="T326" s="172"/>
      <c r="AN326"/>
      <c r="AO326"/>
    </row>
    <row r="327" spans="1:41" x14ac:dyDescent="0.25">
      <c r="A327" s="838"/>
      <c r="B327" s="838"/>
      <c r="C327" s="884"/>
      <c r="D327" s="201"/>
      <c r="E327" s="201"/>
      <c r="H327" s="850"/>
      <c r="I327" s="886"/>
      <c r="J327" s="885"/>
      <c r="K327" s="172"/>
      <c r="M327" s="201"/>
      <c r="N327" s="870"/>
      <c r="O327" s="172"/>
      <c r="Q327" s="172"/>
      <c r="R327" s="172"/>
      <c r="S327" s="172"/>
      <c r="T327" s="172"/>
      <c r="AN327"/>
      <c r="AO327"/>
    </row>
    <row r="328" spans="1:41" x14ac:dyDescent="0.25">
      <c r="A328" s="838"/>
      <c r="B328" s="838"/>
      <c r="C328" s="884"/>
      <c r="D328" s="201"/>
      <c r="E328" s="201"/>
      <c r="H328" s="850"/>
      <c r="I328" s="886"/>
      <c r="J328" s="885"/>
      <c r="K328" s="172"/>
      <c r="M328" s="201"/>
      <c r="N328" s="870"/>
      <c r="O328" s="172"/>
      <c r="Q328" s="172"/>
      <c r="R328" s="172"/>
      <c r="S328" s="172"/>
      <c r="T328" s="172"/>
      <c r="AN328"/>
      <c r="AO328"/>
    </row>
    <row r="329" spans="1:41" x14ac:dyDescent="0.25">
      <c r="A329" s="838"/>
      <c r="B329" s="838"/>
      <c r="C329" s="884"/>
      <c r="D329" s="201"/>
      <c r="E329" s="201"/>
      <c r="H329" s="850"/>
      <c r="I329" s="886"/>
      <c r="J329" s="885"/>
      <c r="K329" s="172"/>
      <c r="M329" s="201"/>
      <c r="N329" s="870"/>
      <c r="O329" s="172"/>
      <c r="Q329" s="172"/>
      <c r="R329" s="172"/>
      <c r="S329" s="172"/>
      <c r="T329" s="172"/>
      <c r="AN329"/>
      <c r="AO329"/>
    </row>
    <row r="330" spans="1:41" x14ac:dyDescent="0.25">
      <c r="A330" s="838"/>
      <c r="B330" s="838"/>
      <c r="C330" s="884"/>
      <c r="D330" s="201"/>
      <c r="E330" s="201"/>
      <c r="H330" s="850"/>
      <c r="I330" s="886"/>
      <c r="J330" s="885"/>
      <c r="K330" s="172"/>
      <c r="M330" s="201"/>
      <c r="N330" s="870"/>
      <c r="O330" s="172"/>
      <c r="Q330" s="172"/>
      <c r="R330" s="172"/>
      <c r="S330" s="172"/>
      <c r="T330" s="172"/>
      <c r="AN330"/>
      <c r="AO330"/>
    </row>
    <row r="331" spans="1:41" x14ac:dyDescent="0.25">
      <c r="A331" s="838"/>
      <c r="B331" s="838"/>
      <c r="C331" s="884"/>
      <c r="D331" s="201"/>
      <c r="E331" s="201"/>
      <c r="H331" s="850"/>
      <c r="I331" s="886"/>
      <c r="J331" s="885"/>
      <c r="K331" s="172"/>
      <c r="M331" s="201"/>
      <c r="N331" s="870"/>
      <c r="O331" s="172"/>
      <c r="Q331" s="172"/>
      <c r="R331" s="172"/>
      <c r="S331" s="172"/>
      <c r="T331" s="172"/>
      <c r="AN331"/>
      <c r="AO331"/>
    </row>
    <row r="332" spans="1:41" x14ac:dyDescent="0.25">
      <c r="A332" s="838"/>
      <c r="B332" s="838"/>
      <c r="C332" s="884"/>
      <c r="D332" s="201"/>
      <c r="E332" s="201"/>
      <c r="H332" s="850"/>
      <c r="I332" s="886"/>
      <c r="J332" s="885"/>
      <c r="K332" s="172"/>
      <c r="M332" s="201"/>
      <c r="N332" s="870"/>
      <c r="O332" s="172"/>
      <c r="Q332" s="172"/>
      <c r="R332" s="172"/>
      <c r="S332" s="172"/>
      <c r="T332" s="172"/>
      <c r="AN332"/>
      <c r="AO332"/>
    </row>
    <row r="333" spans="1:41" x14ac:dyDescent="0.25">
      <c r="A333" s="838"/>
      <c r="B333" s="838"/>
      <c r="C333" s="884"/>
      <c r="D333" s="201"/>
      <c r="E333" s="201"/>
      <c r="H333" s="850"/>
      <c r="I333" s="886"/>
      <c r="J333" s="885"/>
      <c r="K333" s="172"/>
      <c r="M333" s="201"/>
      <c r="N333" s="870"/>
      <c r="O333" s="172"/>
      <c r="Q333" s="172"/>
      <c r="R333" s="172"/>
      <c r="S333" s="172"/>
      <c r="T333" s="172"/>
      <c r="AN333"/>
      <c r="AO333"/>
    </row>
    <row r="334" spans="1:41" x14ac:dyDescent="0.25">
      <c r="A334" s="838"/>
      <c r="B334" s="838"/>
      <c r="C334" s="884"/>
      <c r="D334" s="201"/>
      <c r="E334" s="201"/>
      <c r="H334" s="850"/>
      <c r="I334" s="886"/>
      <c r="J334" s="885"/>
      <c r="K334" s="172"/>
      <c r="M334" s="201"/>
      <c r="N334" s="870"/>
      <c r="O334" s="172"/>
      <c r="Q334" s="172"/>
      <c r="R334" s="172"/>
      <c r="S334" s="172"/>
      <c r="T334" s="172"/>
      <c r="AN334"/>
      <c r="AO334"/>
    </row>
    <row r="335" spans="1:41" x14ac:dyDescent="0.25">
      <c r="A335" s="838"/>
      <c r="B335" s="838"/>
      <c r="C335" s="884"/>
      <c r="D335" s="201"/>
      <c r="E335" s="201"/>
      <c r="H335" s="850"/>
      <c r="I335" s="886"/>
      <c r="J335" s="885"/>
      <c r="K335" s="172"/>
      <c r="M335" s="201"/>
      <c r="N335" s="870"/>
      <c r="O335" s="172"/>
      <c r="Q335" s="172"/>
      <c r="R335" s="172"/>
      <c r="S335" s="172"/>
      <c r="T335" s="172"/>
      <c r="AN335"/>
      <c r="AO335"/>
    </row>
    <row r="336" spans="1:41" x14ac:dyDescent="0.25">
      <c r="A336" s="838"/>
      <c r="B336" s="838"/>
      <c r="C336" s="884"/>
      <c r="D336" s="201"/>
      <c r="E336" s="201"/>
      <c r="H336" s="850"/>
      <c r="I336" s="886"/>
      <c r="J336" s="885"/>
      <c r="K336" s="172"/>
      <c r="M336" s="201"/>
      <c r="N336" s="870"/>
      <c r="O336" s="172"/>
      <c r="Q336" s="172"/>
      <c r="R336" s="172"/>
      <c r="S336" s="172"/>
      <c r="T336" s="172"/>
      <c r="AN336"/>
      <c r="AO336"/>
    </row>
    <row r="337" spans="1:41" x14ac:dyDescent="0.25">
      <c r="A337" s="838"/>
      <c r="B337" s="838"/>
      <c r="C337" s="884"/>
      <c r="D337" s="201"/>
      <c r="E337" s="201"/>
      <c r="H337" s="850"/>
      <c r="I337" s="886"/>
      <c r="J337" s="885"/>
      <c r="K337" s="172"/>
      <c r="M337" s="201"/>
      <c r="N337" s="870"/>
      <c r="O337" s="172"/>
      <c r="Q337" s="172"/>
      <c r="R337" s="172"/>
      <c r="S337" s="172"/>
      <c r="T337" s="172"/>
      <c r="AN337"/>
      <c r="AO337"/>
    </row>
    <row r="338" spans="1:41" x14ac:dyDescent="0.25">
      <c r="A338" s="838"/>
      <c r="B338" s="838"/>
      <c r="C338" s="884"/>
      <c r="D338" s="201"/>
      <c r="E338" s="201"/>
      <c r="H338" s="850"/>
      <c r="I338" s="886"/>
      <c r="J338" s="885"/>
      <c r="K338" s="172"/>
      <c r="M338" s="201"/>
      <c r="N338" s="870"/>
      <c r="O338" s="172"/>
      <c r="Q338" s="172"/>
      <c r="R338" s="172"/>
      <c r="S338" s="172"/>
      <c r="T338" s="172"/>
      <c r="AN338"/>
      <c r="AO338"/>
    </row>
    <row r="339" spans="1:41" x14ac:dyDescent="0.25">
      <c r="A339" s="838"/>
      <c r="B339" s="838"/>
      <c r="C339" s="884"/>
      <c r="D339" s="201"/>
      <c r="E339" s="201"/>
      <c r="H339" s="850"/>
      <c r="I339" s="886"/>
      <c r="J339" s="850"/>
      <c r="K339" s="172"/>
      <c r="M339" s="201"/>
      <c r="N339" s="850"/>
      <c r="O339" s="172"/>
      <c r="Q339" s="172"/>
      <c r="R339" s="172"/>
      <c r="S339" s="172"/>
      <c r="T339" s="172"/>
      <c r="AN339"/>
      <c r="AO339"/>
    </row>
    <row r="340" spans="1:41" x14ac:dyDescent="0.25">
      <c r="A340" s="838"/>
      <c r="B340" s="838"/>
      <c r="C340" s="884"/>
      <c r="D340" s="201"/>
      <c r="E340" s="201"/>
      <c r="H340" s="850"/>
      <c r="I340" s="886"/>
      <c r="J340" s="885"/>
      <c r="K340" s="172"/>
      <c r="M340" s="201"/>
      <c r="N340" s="870"/>
      <c r="O340" s="172"/>
      <c r="Q340" s="172"/>
      <c r="R340" s="172"/>
      <c r="S340" s="172"/>
      <c r="T340" s="172"/>
      <c r="AN340"/>
      <c r="AO340"/>
    </row>
    <row r="341" spans="1:41" x14ac:dyDescent="0.25">
      <c r="A341" s="838"/>
      <c r="B341" s="838"/>
      <c r="C341" s="884"/>
      <c r="D341" s="201"/>
      <c r="E341" s="201"/>
      <c r="H341" s="850"/>
      <c r="I341" s="886"/>
      <c r="J341" s="885"/>
      <c r="K341" s="172"/>
      <c r="M341" s="201"/>
      <c r="N341" s="870"/>
      <c r="O341" s="172"/>
      <c r="Q341" s="172"/>
      <c r="R341" s="172"/>
      <c r="S341" s="172"/>
      <c r="T341" s="172"/>
      <c r="AN341"/>
      <c r="AO341"/>
    </row>
    <row r="342" spans="1:41" x14ac:dyDescent="0.25">
      <c r="A342" s="838"/>
      <c r="B342" s="838"/>
      <c r="C342" s="884"/>
      <c r="D342" s="201"/>
      <c r="E342" s="201"/>
      <c r="H342" s="850"/>
      <c r="I342" s="886"/>
      <c r="J342" s="885"/>
      <c r="K342" s="172"/>
      <c r="M342" s="201"/>
      <c r="N342" s="870"/>
      <c r="O342" s="172"/>
      <c r="Q342" s="172"/>
      <c r="R342" s="172"/>
      <c r="S342" s="172"/>
      <c r="T342" s="172"/>
      <c r="AN342"/>
      <c r="AO342"/>
    </row>
    <row r="343" spans="1:41" x14ac:dyDescent="0.25">
      <c r="A343" s="838"/>
      <c r="B343" s="838"/>
      <c r="C343" s="884"/>
      <c r="D343" s="201"/>
      <c r="E343" s="201"/>
      <c r="H343" s="850"/>
      <c r="I343" s="886"/>
      <c r="J343" s="885"/>
      <c r="K343" s="172"/>
      <c r="M343" s="201"/>
      <c r="N343" s="870"/>
      <c r="O343" s="172"/>
      <c r="Q343" s="172"/>
      <c r="R343" s="172"/>
      <c r="S343" s="172"/>
      <c r="T343" s="172"/>
      <c r="AN343"/>
      <c r="AO343"/>
    </row>
    <row r="344" spans="1:41" x14ac:dyDescent="0.25">
      <c r="A344" s="838"/>
      <c r="B344" s="838"/>
      <c r="C344" s="884"/>
      <c r="D344" s="201"/>
      <c r="E344" s="201"/>
      <c r="H344" s="850"/>
      <c r="I344" s="886"/>
      <c r="J344" s="885"/>
      <c r="K344" s="172"/>
      <c r="M344" s="201"/>
      <c r="N344" s="870"/>
      <c r="O344" s="172"/>
      <c r="Q344" s="172"/>
      <c r="R344" s="172"/>
      <c r="S344" s="172"/>
      <c r="T344" s="172"/>
      <c r="AN344"/>
      <c r="AO344"/>
    </row>
    <row r="345" spans="1:41" x14ac:dyDescent="0.25">
      <c r="A345" s="838"/>
      <c r="B345" s="838"/>
      <c r="C345" s="884"/>
      <c r="D345" s="201"/>
      <c r="E345" s="201"/>
      <c r="H345" s="850"/>
      <c r="I345" s="886"/>
      <c r="J345" s="885"/>
      <c r="K345" s="172"/>
      <c r="M345" s="201"/>
      <c r="N345" s="870"/>
      <c r="O345" s="172"/>
      <c r="Q345" s="172"/>
      <c r="R345" s="172"/>
      <c r="S345" s="172"/>
      <c r="T345" s="172"/>
      <c r="AN345"/>
      <c r="AO345"/>
    </row>
    <row r="346" spans="1:41" x14ac:dyDescent="0.25">
      <c r="A346" s="838"/>
      <c r="B346" s="838"/>
      <c r="C346" s="884"/>
      <c r="D346" s="201"/>
      <c r="E346" s="201"/>
      <c r="H346" s="850"/>
      <c r="I346" s="886"/>
      <c r="J346" s="885"/>
      <c r="K346" s="172"/>
      <c r="M346" s="201"/>
      <c r="N346" s="870"/>
      <c r="O346" s="172"/>
      <c r="Q346" s="172"/>
      <c r="R346" s="172"/>
      <c r="S346" s="172"/>
      <c r="T346" s="172"/>
      <c r="AN346"/>
      <c r="AO346"/>
    </row>
    <row r="347" spans="1:41" x14ac:dyDescent="0.25">
      <c r="A347" s="838"/>
      <c r="B347" s="838"/>
      <c r="C347" s="884"/>
      <c r="D347" s="201"/>
      <c r="E347" s="201"/>
      <c r="H347" s="850"/>
      <c r="I347" s="886"/>
      <c r="J347" s="885"/>
      <c r="K347" s="172"/>
      <c r="M347" s="201"/>
      <c r="N347" s="870"/>
      <c r="O347" s="172"/>
      <c r="Q347" s="172"/>
      <c r="R347" s="172"/>
      <c r="S347" s="172"/>
      <c r="T347" s="172"/>
      <c r="AN347"/>
      <c r="AO347"/>
    </row>
    <row r="348" spans="1:41" x14ac:dyDescent="0.25">
      <c r="A348" s="838"/>
      <c r="B348" s="838"/>
      <c r="C348" s="884"/>
      <c r="D348" s="201"/>
      <c r="E348" s="201"/>
      <c r="H348" s="850"/>
      <c r="I348" s="886"/>
      <c r="J348" s="885"/>
      <c r="K348" s="172"/>
      <c r="M348" s="201"/>
      <c r="N348" s="870"/>
      <c r="O348" s="172"/>
      <c r="Q348" s="172"/>
      <c r="R348" s="172"/>
      <c r="S348" s="172"/>
      <c r="T348" s="172"/>
      <c r="AN348"/>
      <c r="AO348"/>
    </row>
    <row r="349" spans="1:41" x14ac:dyDescent="0.25">
      <c r="A349" s="838"/>
      <c r="B349" s="838"/>
      <c r="C349" s="884"/>
      <c r="D349" s="201"/>
      <c r="E349" s="201"/>
      <c r="H349" s="850"/>
      <c r="I349" s="886"/>
      <c r="J349" s="885"/>
      <c r="K349" s="172"/>
      <c r="M349" s="201"/>
      <c r="N349" s="870"/>
      <c r="O349" s="172"/>
      <c r="Q349" s="172"/>
      <c r="R349" s="172"/>
      <c r="S349" s="172"/>
      <c r="T349" s="172"/>
      <c r="AN349"/>
      <c r="AO349"/>
    </row>
    <row r="350" spans="1:41" x14ac:dyDescent="0.25">
      <c r="A350" s="838"/>
      <c r="B350" s="838"/>
      <c r="C350" s="884"/>
      <c r="D350" s="201"/>
      <c r="E350" s="201"/>
      <c r="H350" s="850"/>
      <c r="I350" s="886"/>
      <c r="J350" s="885"/>
      <c r="K350" s="172"/>
      <c r="M350" s="201"/>
      <c r="N350" s="870"/>
      <c r="O350" s="172"/>
      <c r="Q350" s="172"/>
      <c r="R350" s="172"/>
      <c r="S350" s="172"/>
      <c r="T350" s="172"/>
      <c r="AN350"/>
      <c r="AO350"/>
    </row>
    <row r="351" spans="1:41" x14ac:dyDescent="0.25">
      <c r="A351" s="838"/>
      <c r="B351" s="838"/>
      <c r="C351" s="884"/>
      <c r="D351" s="201"/>
      <c r="E351" s="201"/>
      <c r="H351" s="850"/>
      <c r="I351" s="886"/>
      <c r="J351" s="885"/>
      <c r="K351" s="172"/>
      <c r="M351" s="201"/>
      <c r="N351" s="870"/>
      <c r="O351" s="172"/>
      <c r="Q351" s="172"/>
      <c r="R351" s="172"/>
      <c r="S351" s="172"/>
      <c r="T351" s="172"/>
      <c r="AN351"/>
      <c r="AO351"/>
    </row>
    <row r="352" spans="1:41" x14ac:dyDescent="0.25">
      <c r="A352" s="838"/>
      <c r="B352" s="838"/>
      <c r="C352" s="884"/>
      <c r="D352" s="201"/>
      <c r="E352" s="201"/>
      <c r="H352" s="850"/>
      <c r="I352" s="886"/>
      <c r="J352" s="885"/>
      <c r="K352" s="172"/>
      <c r="M352" s="201"/>
      <c r="N352" s="870"/>
      <c r="O352" s="172"/>
      <c r="Q352" s="172"/>
      <c r="R352" s="172"/>
      <c r="S352" s="172"/>
      <c r="T352" s="172"/>
      <c r="AN352"/>
      <c r="AO352"/>
    </row>
    <row r="353" spans="1:41" x14ac:dyDescent="0.25">
      <c r="A353" s="838"/>
      <c r="B353" s="838"/>
      <c r="C353" s="884"/>
      <c r="D353" s="201"/>
      <c r="E353" s="201"/>
      <c r="H353" s="850"/>
      <c r="I353" s="886"/>
      <c r="J353" s="885"/>
      <c r="K353" s="172"/>
      <c r="M353" s="201"/>
      <c r="N353" s="870"/>
      <c r="O353" s="172"/>
      <c r="Q353" s="172"/>
      <c r="R353" s="172"/>
      <c r="S353" s="172"/>
      <c r="T353" s="172"/>
      <c r="AN353"/>
      <c r="AO353"/>
    </row>
    <row r="354" spans="1:41" x14ac:dyDescent="0.25">
      <c r="A354" s="838"/>
      <c r="B354" s="838"/>
      <c r="C354" s="884"/>
      <c r="D354" s="201"/>
      <c r="E354" s="201"/>
      <c r="H354" s="850"/>
      <c r="I354" s="886"/>
      <c r="J354" s="850"/>
      <c r="K354" s="172"/>
      <c r="M354" s="201"/>
      <c r="N354" s="850"/>
      <c r="O354" s="172"/>
      <c r="Q354" s="172"/>
      <c r="R354" s="172"/>
      <c r="S354" s="172"/>
      <c r="T354" s="172"/>
      <c r="AN354"/>
      <c r="AO354"/>
    </row>
    <row r="355" spans="1:41" x14ac:dyDescent="0.25">
      <c r="A355" s="838"/>
      <c r="B355" s="838"/>
      <c r="C355" s="884"/>
      <c r="D355" s="201"/>
      <c r="E355" s="201"/>
      <c r="H355" s="850"/>
      <c r="I355" s="886"/>
      <c r="J355" s="885"/>
      <c r="K355" s="172"/>
      <c r="M355" s="201"/>
      <c r="N355" s="870"/>
      <c r="O355" s="172"/>
      <c r="Q355" s="172"/>
      <c r="R355" s="172"/>
      <c r="S355" s="172"/>
      <c r="T355" s="172"/>
      <c r="AN355"/>
      <c r="AO355"/>
    </row>
    <row r="356" spans="1:41" x14ac:dyDescent="0.25">
      <c r="A356" s="838"/>
      <c r="B356" s="838"/>
      <c r="C356" s="884"/>
      <c r="D356" s="201"/>
      <c r="E356" s="201"/>
      <c r="H356" s="850"/>
      <c r="I356" s="886"/>
      <c r="J356" s="885"/>
      <c r="K356" s="172"/>
      <c r="M356" s="201"/>
      <c r="N356" s="870"/>
      <c r="O356" s="172"/>
      <c r="Q356" s="172"/>
      <c r="R356" s="172"/>
      <c r="S356" s="172"/>
      <c r="T356" s="172"/>
      <c r="AN356"/>
      <c r="AO356"/>
    </row>
    <row r="357" spans="1:41" x14ac:dyDescent="0.25">
      <c r="A357" s="838"/>
      <c r="B357" s="884"/>
      <c r="C357" s="884"/>
      <c r="D357" s="201"/>
      <c r="E357" s="201"/>
      <c r="H357" s="850"/>
      <c r="I357" s="886"/>
      <c r="J357" s="885"/>
      <c r="K357" s="172"/>
      <c r="M357" s="201"/>
      <c r="N357" s="870"/>
      <c r="O357" s="172"/>
      <c r="Q357" s="172"/>
      <c r="R357" s="172"/>
      <c r="S357" s="172"/>
      <c r="T357" s="172"/>
      <c r="AN357"/>
      <c r="AO357"/>
    </row>
    <row r="358" spans="1:41" x14ac:dyDescent="0.25">
      <c r="A358" s="838"/>
      <c r="B358" s="884"/>
      <c r="C358" s="884"/>
      <c r="D358" s="201"/>
      <c r="E358" s="201"/>
      <c r="H358" s="850"/>
      <c r="I358" s="886"/>
      <c r="J358" s="885"/>
      <c r="K358" s="172"/>
      <c r="M358" s="201"/>
      <c r="N358" s="870"/>
      <c r="O358" s="172"/>
      <c r="Q358" s="172"/>
      <c r="R358" s="172"/>
      <c r="S358" s="172"/>
      <c r="T358" s="172"/>
      <c r="AN358"/>
      <c r="AO358"/>
    </row>
    <row r="359" spans="1:41" x14ac:dyDescent="0.25">
      <c r="A359" s="838"/>
      <c r="B359" s="884"/>
      <c r="C359" s="884"/>
      <c r="D359" s="201"/>
      <c r="E359" s="201"/>
      <c r="H359" s="850"/>
      <c r="I359" s="886"/>
      <c r="J359" s="885"/>
      <c r="K359" s="172"/>
      <c r="M359" s="201"/>
      <c r="N359" s="870"/>
      <c r="O359" s="172"/>
      <c r="Q359" s="172"/>
      <c r="R359" s="172"/>
      <c r="S359" s="172"/>
      <c r="T359" s="172"/>
      <c r="AN359"/>
      <c r="AO359"/>
    </row>
    <row r="360" spans="1:41" x14ac:dyDescent="0.25">
      <c r="A360" s="838"/>
      <c r="B360" s="884"/>
      <c r="C360" s="884"/>
      <c r="D360" s="201"/>
      <c r="E360" s="201"/>
      <c r="H360" s="850"/>
      <c r="I360" s="886"/>
      <c r="J360" s="885"/>
      <c r="K360" s="172"/>
      <c r="M360" s="201"/>
      <c r="N360" s="870"/>
      <c r="O360" s="172"/>
      <c r="Q360" s="172"/>
      <c r="R360" s="172"/>
      <c r="S360" s="172"/>
      <c r="T360" s="172"/>
      <c r="AN360"/>
      <c r="AO360"/>
    </row>
    <row r="361" spans="1:41" x14ac:dyDescent="0.25">
      <c r="A361" s="838"/>
      <c r="B361" s="884"/>
      <c r="C361" s="884"/>
      <c r="D361" s="201"/>
      <c r="E361" s="201"/>
      <c r="H361" s="850"/>
      <c r="I361" s="886"/>
      <c r="J361" s="885"/>
      <c r="K361" s="172"/>
      <c r="M361" s="201"/>
      <c r="N361" s="870"/>
      <c r="O361" s="172"/>
      <c r="Q361" s="172"/>
      <c r="R361" s="172"/>
      <c r="S361" s="172"/>
      <c r="T361" s="172"/>
      <c r="AN361"/>
      <c r="AO361"/>
    </row>
    <row r="362" spans="1:41" x14ac:dyDescent="0.25">
      <c r="A362" s="838"/>
      <c r="B362" s="884"/>
      <c r="C362" s="884"/>
      <c r="D362" s="201"/>
      <c r="E362" s="201"/>
      <c r="H362" s="850"/>
      <c r="I362" s="886"/>
      <c r="J362" s="885"/>
      <c r="K362" s="172"/>
      <c r="M362" s="201"/>
      <c r="N362" s="870"/>
      <c r="O362" s="172"/>
      <c r="Q362" s="172"/>
      <c r="R362" s="172"/>
      <c r="S362" s="172"/>
      <c r="T362" s="172"/>
      <c r="AN362"/>
      <c r="AO362"/>
    </row>
    <row r="363" spans="1:41" x14ac:dyDescent="0.25">
      <c r="A363" s="838"/>
      <c r="B363" s="884"/>
      <c r="C363" s="884"/>
      <c r="D363" s="201"/>
      <c r="E363" s="201"/>
      <c r="H363" s="850"/>
      <c r="I363" s="886"/>
      <c r="J363" s="885"/>
      <c r="K363" s="172"/>
      <c r="M363" s="201"/>
      <c r="N363" s="870"/>
      <c r="O363" s="172"/>
      <c r="Q363" s="172"/>
      <c r="R363" s="172"/>
      <c r="S363" s="172"/>
      <c r="T363" s="172"/>
      <c r="AN363"/>
      <c r="AO363"/>
    </row>
    <row r="364" spans="1:41" x14ac:dyDescent="0.25">
      <c r="A364" s="838"/>
      <c r="B364" s="884"/>
      <c r="C364" s="884"/>
      <c r="D364" s="201"/>
      <c r="E364" s="201"/>
      <c r="H364" s="850"/>
      <c r="I364" s="886"/>
      <c r="J364" s="885"/>
      <c r="K364" s="172"/>
      <c r="M364" s="201"/>
      <c r="N364" s="870"/>
      <c r="O364" s="172"/>
      <c r="Q364" s="172"/>
      <c r="R364" s="172"/>
      <c r="S364" s="172"/>
      <c r="T364" s="172"/>
      <c r="AN364"/>
      <c r="AO364"/>
    </row>
    <row r="365" spans="1:41" x14ac:dyDescent="0.25">
      <c r="A365" s="838"/>
      <c r="B365" s="884"/>
      <c r="C365" s="884"/>
      <c r="D365" s="201"/>
      <c r="E365" s="201"/>
      <c r="H365" s="850"/>
      <c r="I365" s="886"/>
      <c r="J365" s="885"/>
      <c r="K365" s="172"/>
      <c r="M365" s="201"/>
      <c r="N365" s="870"/>
      <c r="O365" s="172"/>
      <c r="Q365" s="172"/>
      <c r="R365" s="172"/>
      <c r="S365" s="172"/>
      <c r="T365" s="172"/>
      <c r="AN365"/>
      <c r="AO365"/>
    </row>
    <row r="366" spans="1:41" x14ac:dyDescent="0.25">
      <c r="A366" s="884"/>
      <c r="B366" s="884"/>
      <c r="C366" s="884"/>
      <c r="D366" s="201"/>
      <c r="E366" s="201"/>
      <c r="H366" s="850"/>
      <c r="I366" s="886"/>
      <c r="J366" s="850"/>
      <c r="K366" s="172"/>
      <c r="M366" s="201"/>
      <c r="N366" s="850"/>
      <c r="O366" s="172"/>
      <c r="Q366" s="172"/>
      <c r="R366" s="172"/>
      <c r="S366" s="172"/>
      <c r="T366" s="172"/>
      <c r="AN366"/>
      <c r="AO366"/>
    </row>
    <row r="367" spans="1:41" x14ac:dyDescent="0.25">
      <c r="A367" s="838"/>
      <c r="B367" s="838"/>
      <c r="C367" s="884"/>
      <c r="D367" s="201"/>
      <c r="E367" s="201"/>
      <c r="H367" s="850"/>
      <c r="I367" s="886"/>
      <c r="J367" s="885"/>
      <c r="K367" s="172"/>
      <c r="L367" s="172"/>
      <c r="M367" s="201"/>
      <c r="N367" s="870"/>
      <c r="O367" s="172"/>
      <c r="Q367" s="172"/>
      <c r="R367" s="172"/>
      <c r="S367" s="172"/>
      <c r="T367" s="172"/>
      <c r="AN367"/>
      <c r="AO367"/>
    </row>
    <row r="368" spans="1:41" x14ac:dyDescent="0.25">
      <c r="A368" s="838"/>
      <c r="B368" s="838"/>
      <c r="C368" s="884"/>
      <c r="D368" s="201"/>
      <c r="E368" s="201"/>
      <c r="H368" s="850"/>
      <c r="I368" s="886"/>
      <c r="J368" s="885"/>
      <c r="K368" s="172"/>
      <c r="L368" s="172"/>
      <c r="M368" s="201"/>
      <c r="N368" s="870"/>
      <c r="O368" s="172"/>
      <c r="Q368" s="172"/>
      <c r="R368" s="172"/>
      <c r="S368" s="172"/>
      <c r="T368" s="172"/>
      <c r="AN368"/>
      <c r="AO368"/>
    </row>
    <row r="369" spans="1:41" x14ac:dyDescent="0.25">
      <c r="A369" s="838"/>
      <c r="C369" s="884"/>
      <c r="D369" s="203"/>
      <c r="E369" s="201"/>
      <c r="H369" s="850"/>
      <c r="I369" s="886"/>
      <c r="J369" s="885"/>
      <c r="K369" s="172"/>
      <c r="L369" s="172"/>
      <c r="M369" s="201"/>
      <c r="N369" s="870"/>
      <c r="O369" s="172"/>
      <c r="Q369" s="172"/>
      <c r="R369" s="172"/>
      <c r="S369" s="172"/>
      <c r="T369" s="172"/>
      <c r="AN369"/>
      <c r="AO369"/>
    </row>
    <row r="370" spans="1:41" x14ac:dyDescent="0.25">
      <c r="A370" s="838"/>
      <c r="C370" s="884"/>
      <c r="D370" s="203"/>
      <c r="H370" s="850"/>
      <c r="I370" s="886"/>
      <c r="J370" s="885"/>
      <c r="K370" s="172"/>
      <c r="L370" s="172"/>
      <c r="M370" s="201"/>
      <c r="N370" s="870"/>
      <c r="O370" s="172"/>
      <c r="Q370" s="172"/>
      <c r="R370" s="172"/>
      <c r="S370" s="172"/>
      <c r="T370" s="172"/>
      <c r="AN370"/>
      <c r="AO370"/>
    </row>
    <row r="371" spans="1:41" x14ac:dyDescent="0.25">
      <c r="A371" s="838"/>
      <c r="C371" s="884"/>
      <c r="D371" s="203"/>
      <c r="H371" s="850"/>
      <c r="I371" s="886"/>
      <c r="J371" s="885"/>
      <c r="K371" s="172"/>
      <c r="L371" s="172"/>
      <c r="M371" s="201"/>
      <c r="N371" s="870"/>
      <c r="O371" s="172"/>
      <c r="Q371" s="172"/>
      <c r="R371" s="172"/>
      <c r="S371" s="172"/>
      <c r="T371" s="172"/>
      <c r="AN371"/>
      <c r="AO371"/>
    </row>
    <row r="372" spans="1:41" x14ac:dyDescent="0.25">
      <c r="A372" s="838"/>
      <c r="C372" s="884"/>
      <c r="D372" s="203"/>
      <c r="H372" s="850"/>
      <c r="I372" s="886"/>
      <c r="J372" s="885"/>
      <c r="K372" s="172"/>
      <c r="L372" s="172"/>
      <c r="M372" s="201"/>
      <c r="N372" s="870"/>
      <c r="O372" s="172"/>
      <c r="Q372" s="172"/>
      <c r="R372" s="172"/>
      <c r="S372" s="172"/>
      <c r="T372" s="172"/>
      <c r="AN372"/>
      <c r="AO372"/>
    </row>
    <row r="373" spans="1:41" x14ac:dyDescent="0.25">
      <c r="A373" s="838"/>
      <c r="C373" s="884"/>
      <c r="D373" s="203"/>
      <c r="H373" s="850"/>
      <c r="I373" s="886"/>
      <c r="J373" s="885"/>
      <c r="K373" s="172"/>
      <c r="L373" s="172"/>
      <c r="M373" s="201"/>
      <c r="N373" s="870"/>
      <c r="O373" s="172"/>
      <c r="Q373" s="172"/>
      <c r="R373" s="172"/>
      <c r="S373" s="172"/>
      <c r="T373" s="172"/>
      <c r="AN373"/>
      <c r="AO373"/>
    </row>
    <row r="374" spans="1:41" x14ac:dyDescent="0.25">
      <c r="A374" s="838"/>
      <c r="C374" s="884"/>
      <c r="D374" s="203"/>
      <c r="H374" s="850"/>
      <c r="I374" s="886"/>
      <c r="J374" s="885"/>
      <c r="K374" s="172"/>
      <c r="L374" s="172"/>
      <c r="M374" s="201"/>
      <c r="N374" s="870"/>
      <c r="O374" s="172"/>
      <c r="Q374" s="172"/>
      <c r="R374" s="172"/>
      <c r="S374" s="172"/>
      <c r="T374" s="172"/>
      <c r="AN374"/>
      <c r="AO374"/>
    </row>
    <row r="375" spans="1:41" x14ac:dyDescent="0.25">
      <c r="A375" s="838"/>
      <c r="C375" s="884"/>
      <c r="D375" s="203"/>
      <c r="H375" s="850"/>
      <c r="I375" s="886"/>
      <c r="J375" s="885"/>
      <c r="K375" s="172"/>
      <c r="L375" s="172"/>
      <c r="M375" s="201"/>
      <c r="N375" s="870"/>
      <c r="O375" s="172"/>
      <c r="Q375" s="172"/>
      <c r="R375" s="172"/>
      <c r="S375" s="172"/>
      <c r="T375" s="172"/>
      <c r="AN375"/>
      <c r="AO375"/>
    </row>
    <row r="376" spans="1:41" x14ac:dyDescent="0.25">
      <c r="A376" s="638"/>
      <c r="C376" s="884"/>
      <c r="D376" s="203"/>
      <c r="H376" s="850"/>
      <c r="I376" s="886"/>
      <c r="J376" s="885"/>
      <c r="K376" s="172"/>
      <c r="L376" s="172"/>
      <c r="M376" s="201"/>
      <c r="N376" s="870"/>
      <c r="O376" s="172"/>
      <c r="Q376" s="172"/>
      <c r="R376" s="172"/>
      <c r="S376" s="172"/>
      <c r="T376" s="172"/>
      <c r="AN376"/>
      <c r="AO376"/>
    </row>
    <row r="377" spans="1:41" x14ac:dyDescent="0.25">
      <c r="C377" s="884"/>
      <c r="D377" s="203"/>
      <c r="H377" s="850"/>
      <c r="I377" s="886"/>
      <c r="J377" s="885"/>
      <c r="K377" s="172"/>
      <c r="L377" s="172"/>
      <c r="M377" s="201"/>
      <c r="N377" s="870"/>
      <c r="O377" s="172"/>
      <c r="Q377" s="172"/>
      <c r="R377" s="172"/>
      <c r="S377" s="172"/>
      <c r="T377" s="172"/>
      <c r="AN377"/>
      <c r="AO377"/>
    </row>
    <row r="378" spans="1:41" x14ac:dyDescent="0.25">
      <c r="C378" s="884"/>
      <c r="D378" s="203"/>
      <c r="H378" s="850"/>
      <c r="I378" s="886"/>
      <c r="J378" s="885"/>
      <c r="K378" s="172"/>
      <c r="L378" s="172"/>
      <c r="M378" s="201"/>
      <c r="N378" s="870"/>
      <c r="O378" s="172"/>
      <c r="Q378" s="172"/>
      <c r="R378" s="172"/>
      <c r="S378" s="172"/>
      <c r="T378" s="172"/>
      <c r="AN378"/>
      <c r="AO378"/>
    </row>
    <row r="379" spans="1:41" x14ac:dyDescent="0.25">
      <c r="C379" s="884"/>
      <c r="D379" s="203"/>
      <c r="H379" s="850"/>
      <c r="I379" s="886"/>
      <c r="J379" s="885"/>
      <c r="K379" s="172"/>
      <c r="L379" s="172"/>
      <c r="M379" s="201"/>
      <c r="N379" s="870"/>
      <c r="O379" s="172"/>
      <c r="Q379" s="172"/>
      <c r="R379" s="172"/>
      <c r="S379" s="172"/>
      <c r="T379" s="172"/>
      <c r="AN379"/>
      <c r="AO379"/>
    </row>
    <row r="380" spans="1:41" x14ac:dyDescent="0.25">
      <c r="C380" s="884"/>
      <c r="D380" s="203"/>
      <c r="H380" s="850"/>
      <c r="I380" s="886"/>
      <c r="J380" s="850"/>
      <c r="K380" s="172"/>
      <c r="L380" s="172"/>
      <c r="M380" s="201"/>
      <c r="N380" s="850"/>
      <c r="O380" s="172"/>
      <c r="Q380" s="172"/>
      <c r="R380" s="172"/>
      <c r="S380" s="172"/>
      <c r="T380" s="172"/>
      <c r="AN380"/>
      <c r="AO380"/>
    </row>
    <row r="381" spans="1:41" x14ac:dyDescent="0.25">
      <c r="C381" s="884"/>
      <c r="D381" s="203"/>
      <c r="H381" s="850"/>
      <c r="I381" s="886"/>
      <c r="J381" s="885"/>
      <c r="K381" s="172"/>
      <c r="L381" s="172"/>
      <c r="M381" s="201"/>
      <c r="N381" s="870"/>
      <c r="O381" s="172"/>
      <c r="Q381" s="172"/>
      <c r="R381" s="172"/>
      <c r="S381" s="172"/>
      <c r="T381" s="172"/>
      <c r="AN381"/>
      <c r="AO381"/>
    </row>
    <row r="382" spans="1:41" x14ac:dyDescent="0.25">
      <c r="C382" s="884"/>
      <c r="D382" s="203"/>
      <c r="H382" s="850"/>
      <c r="I382" s="886"/>
      <c r="J382" s="885"/>
      <c r="K382" s="172"/>
      <c r="L382" s="172"/>
      <c r="M382" s="201"/>
      <c r="N382" s="870"/>
      <c r="O382" s="172"/>
      <c r="Q382" s="172"/>
      <c r="R382" s="172"/>
      <c r="S382" s="172"/>
      <c r="T382" s="172"/>
      <c r="AN382"/>
      <c r="AO382"/>
    </row>
    <row r="383" spans="1:41" x14ac:dyDescent="0.25">
      <c r="C383" s="884"/>
      <c r="D383" s="203"/>
      <c r="H383" s="850"/>
      <c r="I383" s="886"/>
      <c r="J383" s="885"/>
      <c r="K383" s="172"/>
      <c r="L383" s="172"/>
      <c r="M383" s="201"/>
      <c r="N383" s="870"/>
      <c r="O383" s="172"/>
      <c r="Q383" s="172"/>
      <c r="R383" s="172"/>
      <c r="S383" s="172"/>
      <c r="T383" s="172"/>
      <c r="AN383"/>
      <c r="AO383"/>
    </row>
    <row r="384" spans="1:41" x14ac:dyDescent="0.25">
      <c r="C384" s="884"/>
      <c r="D384" s="203"/>
      <c r="H384" s="850"/>
      <c r="I384" s="886"/>
      <c r="J384" s="885"/>
      <c r="K384" s="172"/>
      <c r="L384" s="172"/>
      <c r="M384" s="201"/>
      <c r="N384" s="870"/>
      <c r="O384" s="172"/>
      <c r="Q384" s="172"/>
      <c r="R384" s="172"/>
      <c r="S384" s="172"/>
      <c r="T384" s="172"/>
      <c r="AN384"/>
      <c r="AO384"/>
    </row>
    <row r="385" spans="1:41" x14ac:dyDescent="0.25">
      <c r="C385" s="884"/>
      <c r="D385" s="203"/>
      <c r="H385" s="850"/>
      <c r="I385" s="886"/>
      <c r="J385" s="885"/>
      <c r="K385" s="172"/>
      <c r="L385" s="172"/>
      <c r="M385" s="201"/>
      <c r="N385" s="870"/>
      <c r="O385" s="172"/>
      <c r="Q385" s="172"/>
      <c r="R385" s="172"/>
      <c r="S385" s="172"/>
      <c r="T385" s="172"/>
      <c r="AN385"/>
      <c r="AO385"/>
    </row>
    <row r="386" spans="1:41" x14ac:dyDescent="0.25">
      <c r="C386" s="884"/>
      <c r="D386" s="203"/>
      <c r="H386" s="850"/>
      <c r="I386" s="886"/>
      <c r="J386" s="885"/>
      <c r="K386" s="172"/>
      <c r="L386" s="172"/>
      <c r="M386" s="201"/>
      <c r="N386" s="870"/>
      <c r="O386" s="172"/>
      <c r="Q386" s="172"/>
      <c r="R386" s="172"/>
      <c r="S386" s="172"/>
      <c r="T386" s="172"/>
      <c r="AN386"/>
      <c r="AO386"/>
    </row>
    <row r="387" spans="1:41" x14ac:dyDescent="0.25">
      <c r="C387" s="884"/>
      <c r="D387" s="203"/>
      <c r="H387" s="850"/>
      <c r="I387" s="886"/>
      <c r="J387" s="885"/>
      <c r="K387" s="172"/>
      <c r="L387" s="172"/>
      <c r="M387" s="201"/>
      <c r="N387" s="870"/>
      <c r="O387" s="172"/>
      <c r="Q387" s="172"/>
      <c r="R387" s="172"/>
      <c r="S387" s="172"/>
      <c r="T387" s="172"/>
      <c r="AN387"/>
      <c r="AO387"/>
    </row>
    <row r="388" spans="1:41" x14ac:dyDescent="0.25">
      <c r="C388" s="884"/>
      <c r="D388" s="203"/>
      <c r="H388" s="850"/>
      <c r="I388" s="886"/>
      <c r="J388" s="885"/>
      <c r="K388" s="172"/>
      <c r="L388" s="172"/>
      <c r="M388" s="201"/>
      <c r="N388" s="870"/>
      <c r="O388" s="172"/>
      <c r="Q388" s="172"/>
      <c r="R388" s="172"/>
      <c r="S388" s="172"/>
      <c r="T388" s="172"/>
      <c r="AN388"/>
      <c r="AO388"/>
    </row>
    <row r="389" spans="1:41" x14ac:dyDescent="0.25">
      <c r="C389" s="884"/>
      <c r="D389" s="203"/>
      <c r="H389" s="850"/>
      <c r="I389" s="886"/>
      <c r="J389" s="885"/>
      <c r="K389" s="172"/>
      <c r="L389" s="172"/>
      <c r="M389" s="201"/>
      <c r="N389" s="870"/>
      <c r="O389" s="172"/>
      <c r="Q389" s="172"/>
      <c r="R389" s="172"/>
      <c r="S389" s="172"/>
      <c r="T389" s="172"/>
      <c r="AN389"/>
      <c r="AO389"/>
    </row>
    <row r="390" spans="1:41" x14ac:dyDescent="0.25">
      <c r="A390" s="639"/>
      <c r="C390" s="884"/>
      <c r="D390" s="203"/>
      <c r="H390" s="850"/>
      <c r="I390" s="886"/>
      <c r="J390" s="885"/>
      <c r="K390" s="172"/>
      <c r="L390" s="172"/>
      <c r="M390" s="201"/>
      <c r="N390" s="870"/>
      <c r="O390" s="172"/>
      <c r="Q390" s="172"/>
      <c r="R390" s="172"/>
      <c r="S390" s="172"/>
      <c r="T390" s="172"/>
      <c r="AN390"/>
      <c r="AO390"/>
    </row>
    <row r="391" spans="1:41" x14ac:dyDescent="0.25">
      <c r="C391" s="884"/>
      <c r="D391" s="203"/>
      <c r="H391" s="850"/>
      <c r="I391" s="886"/>
      <c r="J391" s="885"/>
      <c r="K391" s="172"/>
      <c r="L391" s="172"/>
      <c r="M391" s="201"/>
      <c r="N391" s="870"/>
      <c r="O391" s="172"/>
      <c r="Q391" s="172"/>
      <c r="R391" s="172"/>
      <c r="S391" s="172"/>
      <c r="T391" s="172"/>
      <c r="AN391"/>
      <c r="AO391"/>
    </row>
    <row r="392" spans="1:41" x14ac:dyDescent="0.25">
      <c r="C392" s="884"/>
      <c r="D392" s="203"/>
      <c r="H392" s="850"/>
      <c r="I392" s="886"/>
      <c r="J392" s="885"/>
      <c r="K392" s="172"/>
      <c r="L392" s="172"/>
      <c r="M392" s="201"/>
      <c r="N392" s="870"/>
      <c r="O392" s="172"/>
      <c r="Q392" s="172"/>
      <c r="R392" s="172"/>
      <c r="S392" s="172"/>
      <c r="T392" s="172"/>
      <c r="AN392"/>
      <c r="AO392"/>
    </row>
    <row r="393" spans="1:41" x14ac:dyDescent="0.25">
      <c r="C393" s="884"/>
      <c r="D393" s="203"/>
      <c r="H393" s="850"/>
      <c r="I393" s="886"/>
      <c r="J393" s="885"/>
      <c r="K393" s="172"/>
      <c r="L393" s="172"/>
      <c r="M393" s="201"/>
      <c r="N393" s="870"/>
      <c r="O393" s="172"/>
      <c r="Q393" s="172"/>
      <c r="R393" s="172"/>
      <c r="S393" s="172"/>
      <c r="T393" s="172"/>
      <c r="AN393"/>
      <c r="AO393"/>
    </row>
    <row r="394" spans="1:41" x14ac:dyDescent="0.25">
      <c r="C394" s="884"/>
      <c r="D394" s="203"/>
      <c r="H394" s="850"/>
      <c r="I394" s="886"/>
      <c r="J394" s="885"/>
      <c r="K394" s="172"/>
      <c r="L394" s="172"/>
      <c r="M394" s="201"/>
      <c r="N394" s="870"/>
      <c r="O394" s="172"/>
      <c r="Q394" s="172"/>
      <c r="R394" s="172"/>
      <c r="S394" s="172"/>
      <c r="T394" s="172"/>
      <c r="AN394"/>
      <c r="AO394"/>
    </row>
    <row r="395" spans="1:41" x14ac:dyDescent="0.25">
      <c r="C395" s="884"/>
      <c r="D395" s="203"/>
      <c r="H395" s="850"/>
      <c r="I395" s="886"/>
      <c r="J395" s="850"/>
      <c r="K395" s="172"/>
      <c r="L395" s="172"/>
      <c r="M395" s="201"/>
      <c r="N395" s="850"/>
      <c r="O395" s="172"/>
      <c r="Q395" s="172"/>
      <c r="R395" s="172"/>
      <c r="S395" s="172"/>
      <c r="T395" s="172"/>
      <c r="AN395"/>
      <c r="AO395"/>
    </row>
    <row r="396" spans="1:41" x14ac:dyDescent="0.25">
      <c r="C396" s="884"/>
      <c r="D396" s="203"/>
      <c r="H396" s="850"/>
      <c r="I396" s="886"/>
      <c r="J396" s="885"/>
      <c r="K396" s="172"/>
      <c r="L396" s="172"/>
      <c r="M396" s="201"/>
      <c r="N396" s="870"/>
      <c r="O396" s="172"/>
      <c r="Q396" s="172"/>
      <c r="R396" s="172"/>
      <c r="S396" s="172"/>
      <c r="T396" s="172"/>
      <c r="AN396"/>
      <c r="AO396"/>
    </row>
    <row r="397" spans="1:41" x14ac:dyDescent="0.25">
      <c r="C397" s="884"/>
      <c r="D397" s="203"/>
      <c r="H397" s="850"/>
      <c r="I397" s="886"/>
      <c r="J397" s="885"/>
      <c r="K397" s="172"/>
      <c r="L397" s="172"/>
      <c r="M397" s="201"/>
      <c r="N397" s="870"/>
      <c r="O397" s="172"/>
      <c r="Q397" s="172"/>
      <c r="R397" s="172"/>
      <c r="S397" s="172"/>
      <c r="T397" s="172"/>
      <c r="AN397"/>
      <c r="AO397"/>
    </row>
    <row r="398" spans="1:41" x14ac:dyDescent="0.25">
      <c r="C398" s="884"/>
      <c r="D398" s="203"/>
      <c r="H398" s="850"/>
      <c r="I398" s="886"/>
      <c r="J398" s="885"/>
      <c r="K398" s="172"/>
      <c r="L398" s="172"/>
      <c r="M398" s="201"/>
      <c r="N398" s="870"/>
      <c r="O398" s="172"/>
      <c r="Q398" s="172"/>
      <c r="R398" s="172"/>
      <c r="S398" s="172"/>
      <c r="T398" s="172"/>
      <c r="AN398"/>
      <c r="AO398"/>
    </row>
    <row r="399" spans="1:41" x14ac:dyDescent="0.25">
      <c r="C399" s="884"/>
      <c r="D399" s="203"/>
      <c r="H399" s="850"/>
      <c r="I399" s="886"/>
      <c r="J399" s="885"/>
      <c r="K399" s="172"/>
      <c r="L399" s="172"/>
      <c r="M399" s="201"/>
      <c r="N399" s="870"/>
      <c r="O399" s="172"/>
      <c r="Q399" s="172"/>
      <c r="R399" s="172"/>
      <c r="S399" s="172"/>
      <c r="T399" s="172"/>
      <c r="AN399"/>
      <c r="AO399"/>
    </row>
    <row r="400" spans="1:41" x14ac:dyDescent="0.25">
      <c r="C400" s="884"/>
      <c r="D400" s="203"/>
      <c r="H400" s="850"/>
      <c r="I400" s="886"/>
      <c r="J400" s="885"/>
      <c r="K400" s="172"/>
      <c r="L400" s="172"/>
      <c r="M400" s="201"/>
      <c r="N400" s="870"/>
      <c r="O400" s="172"/>
      <c r="Q400" s="172"/>
      <c r="R400" s="172"/>
      <c r="S400" s="172"/>
      <c r="T400" s="172"/>
      <c r="AN400"/>
      <c r="AO400"/>
    </row>
    <row r="401" spans="1:41" x14ac:dyDescent="0.25">
      <c r="A401" s="639"/>
      <c r="C401" s="884"/>
      <c r="D401" s="203"/>
      <c r="H401" s="850"/>
      <c r="I401" s="886"/>
      <c r="J401" s="885"/>
      <c r="K401" s="172"/>
      <c r="L401" s="172"/>
      <c r="M401" s="201"/>
      <c r="N401" s="870"/>
      <c r="O401" s="172"/>
      <c r="Q401" s="172"/>
      <c r="R401" s="172"/>
      <c r="S401" s="172"/>
      <c r="T401" s="172"/>
      <c r="AN401"/>
      <c r="AO401"/>
    </row>
    <row r="402" spans="1:41" x14ac:dyDescent="0.25">
      <c r="C402" s="884"/>
      <c r="D402" s="203"/>
      <c r="H402" s="850"/>
      <c r="I402" s="886"/>
      <c r="J402" s="885"/>
      <c r="K402" s="172"/>
      <c r="L402" s="172"/>
      <c r="M402" s="201"/>
      <c r="N402" s="870"/>
      <c r="O402" s="172"/>
      <c r="Q402" s="172"/>
      <c r="R402" s="172"/>
      <c r="S402" s="172"/>
      <c r="T402" s="172"/>
      <c r="AN402"/>
      <c r="AO402"/>
    </row>
    <row r="403" spans="1:41" x14ac:dyDescent="0.25">
      <c r="C403" s="884"/>
      <c r="D403" s="203"/>
      <c r="H403" s="850"/>
      <c r="I403" s="886"/>
      <c r="J403" s="885"/>
      <c r="K403" s="172"/>
      <c r="L403" s="172"/>
      <c r="M403" s="201"/>
      <c r="N403" s="870"/>
      <c r="O403" s="172"/>
      <c r="Q403" s="172"/>
      <c r="R403" s="172"/>
      <c r="S403" s="172"/>
      <c r="T403" s="172"/>
      <c r="AN403"/>
      <c r="AO403"/>
    </row>
    <row r="404" spans="1:41" x14ac:dyDescent="0.25">
      <c r="C404" s="884"/>
      <c r="D404" s="203"/>
      <c r="H404" s="850"/>
      <c r="I404" s="886"/>
      <c r="J404" s="885"/>
      <c r="K404" s="172"/>
      <c r="L404" s="172"/>
      <c r="M404" s="201"/>
      <c r="N404" s="870"/>
      <c r="O404" s="172"/>
      <c r="Q404" s="172"/>
      <c r="R404" s="172"/>
      <c r="S404" s="172"/>
      <c r="T404" s="172"/>
      <c r="AN404"/>
      <c r="AO404"/>
    </row>
    <row r="405" spans="1:41" x14ac:dyDescent="0.25">
      <c r="C405" s="884"/>
      <c r="D405" s="203"/>
      <c r="H405" s="850"/>
      <c r="I405" s="886"/>
      <c r="J405" s="885"/>
      <c r="K405" s="172"/>
      <c r="L405" s="172"/>
      <c r="M405" s="201"/>
      <c r="N405" s="870"/>
      <c r="O405" s="172"/>
      <c r="Q405" s="172"/>
      <c r="R405" s="172"/>
      <c r="S405" s="172"/>
      <c r="T405" s="172"/>
      <c r="AN405"/>
      <c r="AO405"/>
    </row>
    <row r="406" spans="1:41" x14ac:dyDescent="0.25">
      <c r="C406" s="884"/>
      <c r="D406" s="203"/>
      <c r="H406" s="850"/>
      <c r="I406" s="886"/>
      <c r="J406" s="885"/>
      <c r="K406" s="172"/>
      <c r="L406" s="172"/>
      <c r="M406" s="201"/>
      <c r="N406" s="870"/>
      <c r="O406" s="172"/>
      <c r="Q406" s="172"/>
      <c r="R406" s="172"/>
      <c r="S406" s="172"/>
      <c r="T406" s="172"/>
      <c r="AN406"/>
      <c r="AO406"/>
    </row>
    <row r="407" spans="1:41" x14ac:dyDescent="0.25">
      <c r="C407" s="884"/>
      <c r="D407" s="203"/>
      <c r="H407" s="850"/>
      <c r="I407" s="886"/>
      <c r="J407" s="885"/>
      <c r="K407" s="172"/>
      <c r="L407" s="172"/>
      <c r="M407" s="201"/>
      <c r="N407" s="870"/>
      <c r="O407" s="172"/>
      <c r="Q407" s="172"/>
      <c r="R407" s="172"/>
      <c r="S407" s="172"/>
      <c r="T407" s="172"/>
      <c r="AN407"/>
      <c r="AO407"/>
    </row>
    <row r="408" spans="1:41" x14ac:dyDescent="0.25">
      <c r="C408" s="884"/>
      <c r="D408" s="203"/>
      <c r="H408" s="850"/>
      <c r="I408" s="886"/>
      <c r="J408" s="885"/>
      <c r="K408" s="172"/>
      <c r="L408" s="172"/>
      <c r="M408" s="172"/>
      <c r="N408" s="870"/>
      <c r="O408" s="172"/>
      <c r="Q408" s="172"/>
      <c r="R408" s="172"/>
      <c r="S408" s="172"/>
      <c r="T408" s="172"/>
      <c r="AN408"/>
      <c r="AO408"/>
    </row>
    <row r="409" spans="1:41" x14ac:dyDescent="0.25">
      <c r="C409" s="884"/>
      <c r="D409" s="203"/>
      <c r="H409" s="850"/>
      <c r="I409" s="886"/>
      <c r="J409" s="885"/>
      <c r="K409" s="172"/>
      <c r="L409" s="172"/>
      <c r="M409" s="172"/>
      <c r="N409" s="870"/>
      <c r="O409" s="172"/>
      <c r="Q409" s="172"/>
      <c r="R409" s="172"/>
      <c r="S409" s="172"/>
      <c r="T409" s="172"/>
      <c r="AN409"/>
      <c r="AO409"/>
    </row>
    <row r="410" spans="1:41" x14ac:dyDescent="0.25">
      <c r="A410" s="639"/>
      <c r="C410" s="884"/>
      <c r="D410" s="203"/>
      <c r="H410" s="850"/>
      <c r="I410" s="886"/>
      <c r="J410" s="885"/>
      <c r="K410" s="172"/>
      <c r="L410" s="172"/>
      <c r="M410" s="172"/>
      <c r="N410" s="870"/>
      <c r="O410" s="172"/>
      <c r="Q410" s="172"/>
      <c r="R410" s="172"/>
      <c r="S410" s="172"/>
      <c r="T410" s="172"/>
      <c r="AN410"/>
      <c r="AO410"/>
    </row>
    <row r="411" spans="1:41" x14ac:dyDescent="0.25">
      <c r="C411" s="884"/>
      <c r="D411" s="203"/>
      <c r="H411" s="850"/>
      <c r="I411" s="886"/>
      <c r="J411" s="885"/>
      <c r="K411" s="172"/>
      <c r="L411" s="172"/>
      <c r="M411" s="172"/>
      <c r="N411" s="870"/>
      <c r="O411" s="172"/>
      <c r="Q411" s="172"/>
      <c r="R411" s="172"/>
      <c r="S411" s="172"/>
      <c r="T411" s="172"/>
      <c r="AN411"/>
      <c r="AO411"/>
    </row>
    <row r="412" spans="1:41" x14ac:dyDescent="0.25">
      <c r="C412" s="884"/>
      <c r="D412" s="203"/>
      <c r="H412" s="850"/>
      <c r="I412" s="886"/>
      <c r="J412" s="850"/>
      <c r="K412" s="172"/>
      <c r="L412" s="172"/>
      <c r="M412" s="172"/>
      <c r="N412" s="850"/>
      <c r="O412" s="172"/>
      <c r="Q412" s="172"/>
      <c r="R412" s="172"/>
      <c r="S412" s="172"/>
      <c r="T412" s="172"/>
      <c r="AN412"/>
      <c r="AO412"/>
    </row>
    <row r="413" spans="1:41" x14ac:dyDescent="0.25">
      <c r="C413" s="884"/>
      <c r="D413" s="203"/>
      <c r="H413" s="850"/>
      <c r="I413" s="886"/>
      <c r="J413" s="885"/>
      <c r="K413" s="172"/>
      <c r="L413" s="172"/>
      <c r="M413" s="172"/>
      <c r="N413" s="870"/>
      <c r="O413" s="172"/>
      <c r="Q413" s="172"/>
      <c r="R413" s="172"/>
      <c r="S413" s="172"/>
      <c r="T413" s="172"/>
      <c r="AN413"/>
      <c r="AO413"/>
    </row>
    <row r="414" spans="1:41" x14ac:dyDescent="0.25">
      <c r="C414" s="884"/>
      <c r="D414" s="203"/>
      <c r="H414" s="850"/>
      <c r="I414" s="886"/>
      <c r="J414" s="885"/>
      <c r="K414" s="172"/>
      <c r="L414" s="172"/>
      <c r="M414" s="172"/>
      <c r="N414" s="870"/>
      <c r="O414" s="172"/>
      <c r="Q414" s="172"/>
      <c r="R414" s="172"/>
      <c r="S414" s="172"/>
      <c r="T414" s="172"/>
      <c r="AN414"/>
      <c r="AO414"/>
    </row>
    <row r="415" spans="1:41" x14ac:dyDescent="0.25">
      <c r="C415" s="884"/>
      <c r="D415" s="203"/>
      <c r="H415" s="850"/>
      <c r="I415" s="886"/>
      <c r="J415" s="885"/>
      <c r="K415" s="172"/>
      <c r="L415" s="172"/>
      <c r="M415" s="172"/>
      <c r="N415" s="870"/>
      <c r="O415" s="172"/>
      <c r="Q415" s="172"/>
      <c r="R415" s="172"/>
      <c r="S415" s="172"/>
      <c r="T415" s="172"/>
      <c r="AN415"/>
      <c r="AO415"/>
    </row>
    <row r="416" spans="1:41" x14ac:dyDescent="0.25">
      <c r="C416" s="884"/>
      <c r="D416" s="203"/>
      <c r="H416" s="850"/>
      <c r="I416" s="886"/>
      <c r="J416" s="885"/>
      <c r="K416" s="172"/>
      <c r="L416" s="172"/>
      <c r="M416" s="172"/>
      <c r="N416" s="870"/>
      <c r="O416" s="172"/>
      <c r="Q416" s="172"/>
      <c r="R416" s="172"/>
      <c r="S416" s="172"/>
      <c r="T416" s="172"/>
      <c r="AN416"/>
      <c r="AO416"/>
    </row>
    <row r="417" spans="1:41" x14ac:dyDescent="0.25">
      <c r="C417" s="884"/>
      <c r="D417" s="203"/>
      <c r="H417" s="850"/>
      <c r="I417" s="886"/>
      <c r="J417" s="885"/>
      <c r="K417" s="172"/>
      <c r="L417" s="172"/>
      <c r="M417" s="172"/>
      <c r="N417" s="870"/>
      <c r="O417" s="172"/>
      <c r="Q417" s="172"/>
      <c r="R417" s="172"/>
      <c r="S417" s="172"/>
      <c r="T417" s="172"/>
      <c r="AN417"/>
      <c r="AO417"/>
    </row>
    <row r="418" spans="1:41" x14ac:dyDescent="0.25">
      <c r="C418" s="884"/>
      <c r="D418" s="203"/>
      <c r="H418" s="850"/>
      <c r="I418" s="886"/>
      <c r="J418" s="885"/>
      <c r="K418" s="172"/>
      <c r="L418" s="172"/>
      <c r="M418" s="172"/>
      <c r="N418" s="870"/>
      <c r="O418" s="172"/>
      <c r="Q418" s="172"/>
      <c r="R418" s="172"/>
      <c r="S418" s="172"/>
      <c r="T418" s="172"/>
      <c r="AN418"/>
      <c r="AO418"/>
    </row>
    <row r="419" spans="1:41" x14ac:dyDescent="0.25">
      <c r="C419" s="884"/>
      <c r="D419" s="203"/>
      <c r="H419" s="850"/>
      <c r="I419" s="886"/>
      <c r="J419" s="885"/>
      <c r="K419" s="172"/>
      <c r="L419" s="172"/>
      <c r="M419" s="172"/>
      <c r="N419" s="870"/>
      <c r="O419" s="172"/>
      <c r="Q419" s="172"/>
      <c r="R419" s="172"/>
      <c r="S419" s="172"/>
      <c r="T419" s="172"/>
      <c r="AN419"/>
      <c r="AO419"/>
    </row>
    <row r="420" spans="1:41" x14ac:dyDescent="0.25">
      <c r="A420" s="639"/>
      <c r="C420" s="884"/>
      <c r="D420" s="203"/>
      <c r="H420" s="850"/>
      <c r="I420" s="886"/>
      <c r="J420" s="885"/>
      <c r="K420" s="172"/>
      <c r="L420" s="172"/>
      <c r="M420" s="172"/>
      <c r="N420" s="870"/>
      <c r="O420" s="172"/>
      <c r="Q420" s="172"/>
      <c r="R420" s="172"/>
      <c r="S420" s="172"/>
      <c r="T420" s="172"/>
      <c r="AN420"/>
      <c r="AO420"/>
    </row>
    <row r="421" spans="1:41" x14ac:dyDescent="0.25">
      <c r="C421" s="884"/>
      <c r="D421" s="203"/>
      <c r="H421" s="850"/>
      <c r="I421" s="886"/>
      <c r="J421" s="885"/>
      <c r="K421" s="172"/>
      <c r="L421" s="172"/>
      <c r="M421" s="172"/>
      <c r="N421" s="870"/>
      <c r="O421" s="172"/>
      <c r="Q421" s="172"/>
      <c r="R421" s="172"/>
      <c r="S421" s="172"/>
      <c r="T421" s="172"/>
      <c r="AN421"/>
      <c r="AO421"/>
    </row>
    <row r="422" spans="1:41" x14ac:dyDescent="0.25">
      <c r="C422" s="884"/>
      <c r="D422" s="203"/>
      <c r="H422" s="850"/>
      <c r="I422" s="886"/>
      <c r="J422" s="850"/>
      <c r="K422" s="172"/>
      <c r="L422" s="172"/>
      <c r="M422" s="172"/>
      <c r="N422" s="850"/>
      <c r="O422" s="172"/>
      <c r="Q422" s="172"/>
      <c r="R422" s="172"/>
      <c r="S422" s="172"/>
      <c r="T422" s="172"/>
      <c r="AN422"/>
      <c r="AO422"/>
    </row>
    <row r="423" spans="1:41" x14ac:dyDescent="0.25">
      <c r="C423" s="884"/>
      <c r="D423" s="203"/>
      <c r="H423" s="850"/>
      <c r="I423" s="886"/>
      <c r="J423" s="885"/>
      <c r="K423" s="172"/>
      <c r="L423" s="172"/>
      <c r="M423" s="172"/>
      <c r="N423" s="870"/>
      <c r="O423" s="172"/>
      <c r="Q423" s="172"/>
      <c r="R423" s="172"/>
      <c r="S423" s="172"/>
      <c r="T423" s="172"/>
      <c r="AN423"/>
      <c r="AO423"/>
    </row>
    <row r="424" spans="1:41" x14ac:dyDescent="0.25">
      <c r="C424" s="884"/>
      <c r="D424" s="203"/>
      <c r="H424" s="850"/>
      <c r="I424" s="886"/>
      <c r="J424" s="885"/>
      <c r="K424" s="172"/>
      <c r="L424" s="172"/>
      <c r="M424" s="172"/>
      <c r="N424" s="870"/>
      <c r="O424" s="172"/>
      <c r="Q424" s="172"/>
      <c r="R424" s="172"/>
      <c r="S424" s="172"/>
      <c r="T424" s="172"/>
      <c r="AN424"/>
      <c r="AO424"/>
    </row>
    <row r="425" spans="1:41" x14ac:dyDescent="0.25">
      <c r="C425" s="884"/>
      <c r="D425" s="203"/>
      <c r="H425" s="850"/>
      <c r="I425" s="886"/>
      <c r="J425" s="885"/>
      <c r="K425" s="172"/>
      <c r="L425" s="172"/>
      <c r="M425" s="172"/>
      <c r="N425" s="870"/>
      <c r="O425" s="172"/>
      <c r="Q425" s="172"/>
      <c r="R425" s="172"/>
      <c r="S425" s="172"/>
      <c r="T425" s="172"/>
      <c r="AN425"/>
      <c r="AO425"/>
    </row>
    <row r="426" spans="1:41" x14ac:dyDescent="0.25">
      <c r="C426" s="884"/>
      <c r="D426" s="203"/>
      <c r="H426" s="850"/>
      <c r="I426" s="886"/>
      <c r="J426" s="885"/>
      <c r="K426" s="172"/>
      <c r="L426" s="172"/>
      <c r="M426" s="172"/>
      <c r="N426" s="870"/>
      <c r="O426" s="172"/>
      <c r="Q426" s="172"/>
      <c r="R426" s="172"/>
      <c r="S426" s="172"/>
      <c r="T426" s="172"/>
      <c r="AN426"/>
      <c r="AO426"/>
    </row>
    <row r="427" spans="1:41" x14ac:dyDescent="0.25">
      <c r="C427" s="884"/>
      <c r="D427" s="203"/>
      <c r="H427" s="850"/>
      <c r="I427" s="886"/>
      <c r="J427" s="885"/>
      <c r="K427" s="172"/>
      <c r="L427" s="172"/>
      <c r="M427" s="172"/>
      <c r="N427" s="870"/>
      <c r="O427" s="172"/>
      <c r="Q427" s="172"/>
      <c r="R427" s="172"/>
      <c r="S427" s="172"/>
      <c r="T427" s="172"/>
      <c r="AN427"/>
      <c r="AO427"/>
    </row>
    <row r="428" spans="1:41" x14ac:dyDescent="0.25">
      <c r="C428" s="884"/>
      <c r="D428" s="203"/>
      <c r="H428" s="850"/>
      <c r="I428" s="886"/>
      <c r="J428" s="885"/>
      <c r="K428" s="172"/>
      <c r="L428" s="172"/>
      <c r="M428" s="172"/>
      <c r="N428" s="870"/>
      <c r="O428" s="172"/>
      <c r="Q428" s="172"/>
      <c r="R428" s="172"/>
      <c r="S428" s="172"/>
      <c r="T428" s="172"/>
      <c r="AN428"/>
      <c r="AO428"/>
    </row>
    <row r="429" spans="1:41" x14ac:dyDescent="0.25">
      <c r="C429" s="884"/>
      <c r="D429" s="203"/>
      <c r="H429" s="850"/>
      <c r="I429" s="886"/>
      <c r="J429" s="885"/>
      <c r="K429" s="172"/>
      <c r="L429" s="172"/>
      <c r="M429" s="172"/>
      <c r="N429" s="870"/>
      <c r="O429" s="172"/>
      <c r="Q429" s="172"/>
      <c r="R429" s="172"/>
      <c r="S429" s="172"/>
      <c r="T429" s="172"/>
      <c r="AN429"/>
      <c r="AO429"/>
    </row>
    <row r="430" spans="1:41" x14ac:dyDescent="0.25">
      <c r="C430" s="884"/>
      <c r="D430" s="203"/>
      <c r="H430" s="850"/>
      <c r="I430" s="886"/>
      <c r="J430" s="885"/>
      <c r="K430" s="172"/>
      <c r="L430" s="172"/>
      <c r="M430" s="172"/>
      <c r="N430" s="870"/>
      <c r="O430" s="172"/>
      <c r="Q430" s="172"/>
      <c r="R430" s="172"/>
      <c r="S430" s="172"/>
      <c r="T430" s="172"/>
      <c r="AN430"/>
      <c r="AO430"/>
    </row>
    <row r="431" spans="1:41" x14ac:dyDescent="0.25">
      <c r="A431" s="639"/>
      <c r="B431" s="639"/>
      <c r="C431" s="884"/>
      <c r="D431" s="203"/>
      <c r="H431" s="850"/>
      <c r="I431" s="886"/>
      <c r="J431" s="885"/>
      <c r="K431" s="172"/>
      <c r="L431" s="172"/>
      <c r="M431" s="172"/>
      <c r="N431" s="870"/>
      <c r="O431" s="172"/>
      <c r="Q431" s="172"/>
      <c r="R431" s="172"/>
      <c r="S431" s="172"/>
      <c r="T431" s="172"/>
      <c r="AN431"/>
      <c r="AO431"/>
    </row>
    <row r="432" spans="1:41" x14ac:dyDescent="0.25">
      <c r="C432" s="884"/>
      <c r="D432" s="203"/>
      <c r="H432" s="850"/>
      <c r="I432" s="886"/>
      <c r="J432" s="885"/>
      <c r="K432" s="172"/>
      <c r="L432" s="172"/>
      <c r="M432" s="172"/>
      <c r="N432" s="870"/>
      <c r="O432" s="172"/>
      <c r="Q432" s="172"/>
      <c r="R432" s="172"/>
      <c r="S432" s="172"/>
      <c r="T432" s="172"/>
      <c r="AN432"/>
      <c r="AO432"/>
    </row>
    <row r="433" spans="1:41" x14ac:dyDescent="0.25">
      <c r="C433" s="884"/>
      <c r="D433" s="203"/>
      <c r="H433" s="850"/>
      <c r="I433" s="886"/>
      <c r="J433" s="885"/>
      <c r="K433" s="172"/>
      <c r="L433" s="172"/>
      <c r="M433" s="172"/>
      <c r="N433" s="870"/>
      <c r="O433" s="172"/>
      <c r="Q433" s="172"/>
      <c r="R433" s="172"/>
      <c r="S433" s="172"/>
      <c r="T433" s="172"/>
      <c r="AN433"/>
      <c r="AO433"/>
    </row>
    <row r="434" spans="1:41" x14ac:dyDescent="0.25">
      <c r="C434" s="884"/>
      <c r="D434" s="203"/>
      <c r="H434" s="850"/>
      <c r="I434" s="886"/>
      <c r="J434" s="885"/>
      <c r="K434" s="172"/>
      <c r="L434" s="172"/>
      <c r="M434" s="172"/>
      <c r="N434" s="870"/>
      <c r="O434" s="172"/>
      <c r="Q434" s="172"/>
      <c r="R434" s="172"/>
      <c r="S434" s="172"/>
      <c r="T434" s="172"/>
      <c r="AN434"/>
      <c r="AO434"/>
    </row>
    <row r="435" spans="1:41" x14ac:dyDescent="0.25">
      <c r="C435" s="884"/>
      <c r="D435" s="203"/>
      <c r="H435" s="850"/>
      <c r="I435" s="886"/>
      <c r="J435" s="885"/>
      <c r="K435" s="172"/>
      <c r="L435" s="172"/>
      <c r="M435" s="172"/>
      <c r="N435" s="870"/>
      <c r="O435" s="172"/>
      <c r="Q435" s="172"/>
      <c r="R435" s="172"/>
      <c r="S435" s="172"/>
      <c r="T435" s="172"/>
      <c r="AN435"/>
      <c r="AO435"/>
    </row>
    <row r="436" spans="1:41" x14ac:dyDescent="0.25">
      <c r="C436" s="884"/>
      <c r="D436" s="203"/>
      <c r="H436" s="850"/>
      <c r="I436" s="886"/>
      <c r="J436" s="885"/>
      <c r="K436" s="172"/>
      <c r="L436" s="172"/>
      <c r="M436" s="172"/>
      <c r="N436" s="870"/>
      <c r="O436" s="172"/>
      <c r="Q436" s="172"/>
      <c r="R436" s="172"/>
      <c r="S436" s="172"/>
      <c r="T436" s="172"/>
      <c r="AN436"/>
      <c r="AO436"/>
    </row>
    <row r="437" spans="1:41" x14ac:dyDescent="0.25">
      <c r="C437" s="884"/>
      <c r="D437" s="203"/>
      <c r="H437" s="850"/>
      <c r="I437" s="886"/>
      <c r="J437" s="885"/>
      <c r="K437" s="172"/>
      <c r="L437" s="172"/>
      <c r="M437" s="172"/>
      <c r="N437" s="870"/>
      <c r="O437" s="172"/>
      <c r="Q437" s="172"/>
      <c r="R437" s="172"/>
      <c r="S437" s="172"/>
      <c r="T437" s="172"/>
      <c r="AN437"/>
      <c r="AO437"/>
    </row>
    <row r="438" spans="1:41" x14ac:dyDescent="0.25">
      <c r="A438" s="639"/>
      <c r="B438" s="639"/>
      <c r="C438" s="884"/>
      <c r="D438" s="203"/>
      <c r="H438" s="850"/>
      <c r="I438" s="886"/>
      <c r="J438" s="885"/>
      <c r="K438" s="172"/>
      <c r="L438" s="172"/>
      <c r="M438" s="172"/>
      <c r="N438" s="870"/>
      <c r="O438" s="172"/>
      <c r="Q438" s="172"/>
      <c r="R438" s="172"/>
      <c r="S438" s="172"/>
      <c r="T438" s="172"/>
      <c r="AN438"/>
      <c r="AO438"/>
    </row>
    <row r="439" spans="1:41" x14ac:dyDescent="0.25">
      <c r="C439" s="884"/>
      <c r="D439" s="203"/>
      <c r="H439" s="850"/>
      <c r="I439" s="886"/>
      <c r="J439" s="885"/>
      <c r="K439" s="172"/>
      <c r="L439" s="172"/>
      <c r="M439" s="172"/>
      <c r="N439" s="870"/>
      <c r="O439" s="172"/>
      <c r="Q439" s="172"/>
      <c r="R439" s="172"/>
      <c r="S439" s="172"/>
      <c r="T439" s="172"/>
      <c r="AN439"/>
      <c r="AO439"/>
    </row>
    <row r="440" spans="1:41" x14ac:dyDescent="0.25">
      <c r="C440" s="884"/>
      <c r="D440" s="203"/>
      <c r="H440" s="850"/>
      <c r="I440" s="886"/>
      <c r="J440" s="850"/>
      <c r="K440" s="172"/>
      <c r="L440" s="172"/>
      <c r="M440" s="172"/>
      <c r="N440" s="850"/>
      <c r="O440" s="172"/>
      <c r="Q440" s="172"/>
      <c r="R440" s="172"/>
      <c r="S440" s="172"/>
      <c r="T440" s="172"/>
      <c r="AN440"/>
      <c r="AO440"/>
    </row>
    <row r="441" spans="1:41" x14ac:dyDescent="0.25">
      <c r="C441" s="884"/>
      <c r="D441" s="203"/>
      <c r="H441" s="850"/>
      <c r="I441" s="886"/>
      <c r="J441" s="885"/>
      <c r="K441" s="172"/>
      <c r="L441" s="172"/>
      <c r="M441" s="172"/>
      <c r="N441" s="870"/>
      <c r="O441" s="172"/>
      <c r="Q441" s="172"/>
      <c r="R441" s="172"/>
      <c r="S441" s="172"/>
      <c r="T441" s="172"/>
      <c r="AN441"/>
      <c r="AO441"/>
    </row>
    <row r="442" spans="1:41" x14ac:dyDescent="0.25">
      <c r="C442" s="884"/>
      <c r="D442" s="203"/>
      <c r="H442" s="850"/>
      <c r="I442" s="886"/>
      <c r="J442" s="885"/>
      <c r="K442" s="172"/>
      <c r="L442" s="172"/>
      <c r="M442" s="172"/>
      <c r="N442" s="870"/>
      <c r="O442" s="172"/>
      <c r="Q442" s="172"/>
      <c r="R442" s="172"/>
      <c r="S442" s="172"/>
      <c r="T442" s="172"/>
      <c r="AN442"/>
      <c r="AO442"/>
    </row>
    <row r="443" spans="1:41" x14ac:dyDescent="0.25">
      <c r="C443" s="884"/>
      <c r="D443" s="203"/>
      <c r="H443" s="850"/>
      <c r="I443" s="886"/>
      <c r="J443" s="885"/>
      <c r="K443" s="172"/>
      <c r="L443" s="172"/>
      <c r="M443" s="172"/>
      <c r="N443" s="870"/>
      <c r="O443" s="172"/>
      <c r="Q443" s="172"/>
      <c r="R443" s="172"/>
      <c r="S443" s="172"/>
      <c r="T443" s="172"/>
      <c r="AN443"/>
      <c r="AO443"/>
    </row>
    <row r="444" spans="1:41" x14ac:dyDescent="0.25">
      <c r="C444" s="884"/>
      <c r="D444" s="203"/>
      <c r="H444" s="850"/>
      <c r="I444" s="886"/>
      <c r="J444" s="885"/>
      <c r="K444" s="172"/>
      <c r="L444" s="172"/>
      <c r="M444" s="172"/>
      <c r="N444" s="870"/>
      <c r="O444" s="172"/>
      <c r="Q444" s="172"/>
      <c r="R444" s="172"/>
      <c r="S444" s="172"/>
      <c r="T444" s="172"/>
      <c r="AN444"/>
      <c r="AO444"/>
    </row>
    <row r="445" spans="1:41" x14ac:dyDescent="0.25">
      <c r="C445" s="884"/>
      <c r="D445" s="203"/>
      <c r="H445" s="850"/>
      <c r="I445" s="886"/>
      <c r="J445" s="885"/>
      <c r="K445" s="172"/>
      <c r="L445" s="172"/>
      <c r="M445" s="172"/>
      <c r="N445" s="870"/>
      <c r="O445" s="172"/>
      <c r="Q445" s="172"/>
      <c r="R445" s="172"/>
      <c r="S445" s="172"/>
      <c r="T445" s="172"/>
      <c r="AN445"/>
      <c r="AO445"/>
    </row>
    <row r="446" spans="1:41" x14ac:dyDescent="0.25">
      <c r="C446" s="884"/>
      <c r="D446" s="203"/>
      <c r="H446" s="850"/>
      <c r="I446" s="886"/>
      <c r="J446" s="885"/>
      <c r="K446" s="172"/>
      <c r="L446" s="172"/>
      <c r="M446" s="172"/>
      <c r="N446" s="870"/>
      <c r="O446" s="172"/>
      <c r="Q446" s="172"/>
      <c r="R446" s="172"/>
      <c r="S446" s="172"/>
      <c r="T446" s="172"/>
      <c r="AN446"/>
      <c r="AO446"/>
    </row>
    <row r="447" spans="1:41" x14ac:dyDescent="0.25">
      <c r="A447" s="639"/>
      <c r="C447" s="884"/>
      <c r="D447" s="203"/>
      <c r="H447" s="850"/>
      <c r="I447" s="886"/>
      <c r="J447" s="885"/>
      <c r="K447" s="172"/>
      <c r="L447" s="172"/>
      <c r="M447" s="172"/>
      <c r="N447" s="870"/>
      <c r="O447" s="172"/>
      <c r="Q447" s="172"/>
      <c r="R447" s="172"/>
      <c r="S447" s="172"/>
      <c r="T447" s="172"/>
      <c r="AN447"/>
      <c r="AO447"/>
    </row>
    <row r="448" spans="1:41" x14ac:dyDescent="0.25">
      <c r="C448" s="884"/>
      <c r="D448" s="203"/>
      <c r="H448" s="850"/>
      <c r="I448" s="886"/>
      <c r="J448" s="885"/>
      <c r="K448" s="172"/>
      <c r="L448" s="172"/>
      <c r="M448" s="172"/>
      <c r="N448" s="870"/>
      <c r="O448" s="172"/>
      <c r="Q448" s="172"/>
      <c r="R448" s="172"/>
      <c r="S448" s="172"/>
      <c r="T448" s="172"/>
      <c r="AN448"/>
      <c r="AO448"/>
    </row>
    <row r="449" spans="1:41" x14ac:dyDescent="0.25">
      <c r="C449" s="884"/>
      <c r="D449" s="203"/>
      <c r="H449" s="850"/>
      <c r="I449" s="886"/>
      <c r="J449" s="885"/>
      <c r="K449" s="172"/>
      <c r="L449" s="172"/>
      <c r="M449" s="172"/>
      <c r="N449" s="870"/>
      <c r="O449" s="172"/>
      <c r="Q449" s="172"/>
      <c r="R449" s="172"/>
      <c r="S449" s="172"/>
      <c r="T449" s="172"/>
      <c r="AN449"/>
      <c r="AO449"/>
    </row>
    <row r="450" spans="1:41" x14ac:dyDescent="0.25">
      <c r="C450" s="884"/>
      <c r="D450" s="203"/>
      <c r="H450" s="850"/>
      <c r="I450" s="886"/>
      <c r="J450" s="885"/>
      <c r="K450" s="172"/>
      <c r="L450" s="172"/>
      <c r="M450" s="172"/>
      <c r="N450" s="870"/>
      <c r="O450" s="172"/>
      <c r="Q450" s="172"/>
      <c r="R450" s="172"/>
      <c r="S450" s="172"/>
      <c r="T450" s="172"/>
      <c r="AN450"/>
      <c r="AO450"/>
    </row>
    <row r="451" spans="1:41" x14ac:dyDescent="0.25">
      <c r="C451" s="884"/>
      <c r="D451" s="203"/>
      <c r="H451" s="850"/>
      <c r="I451" s="886"/>
      <c r="J451" s="885"/>
      <c r="K451" s="172"/>
      <c r="L451" s="172"/>
      <c r="M451" s="172"/>
      <c r="N451" s="870"/>
      <c r="O451" s="172"/>
      <c r="Q451" s="172"/>
      <c r="R451" s="172"/>
      <c r="S451" s="172"/>
      <c r="T451" s="172"/>
      <c r="AN451"/>
      <c r="AO451"/>
    </row>
    <row r="452" spans="1:41" x14ac:dyDescent="0.25">
      <c r="C452" s="884"/>
      <c r="D452" s="203"/>
      <c r="H452" s="850"/>
      <c r="I452" s="886"/>
      <c r="J452" s="850"/>
      <c r="K452" s="172"/>
      <c r="L452" s="172"/>
      <c r="M452" s="172"/>
      <c r="N452" s="850"/>
      <c r="O452" s="172"/>
      <c r="Q452" s="172"/>
      <c r="R452" s="172"/>
      <c r="S452" s="172"/>
      <c r="T452" s="172"/>
      <c r="AN452"/>
      <c r="AO452"/>
    </row>
    <row r="453" spans="1:41" x14ac:dyDescent="0.25">
      <c r="C453" s="884"/>
      <c r="D453" s="203"/>
      <c r="H453" s="850"/>
      <c r="I453" s="886"/>
      <c r="J453" s="885"/>
      <c r="K453" s="172"/>
      <c r="L453" s="172"/>
      <c r="M453" s="172"/>
      <c r="N453" s="870"/>
      <c r="O453" s="172"/>
      <c r="Q453" s="172"/>
      <c r="R453" s="172"/>
      <c r="S453" s="172"/>
      <c r="T453" s="172"/>
      <c r="AN453"/>
      <c r="AO453"/>
    </row>
    <row r="454" spans="1:41" x14ac:dyDescent="0.25">
      <c r="A454" s="639"/>
      <c r="B454" s="639"/>
      <c r="C454" s="884"/>
      <c r="D454" s="203"/>
      <c r="H454" s="860"/>
      <c r="I454" s="886"/>
      <c r="J454" s="885"/>
      <c r="K454" s="172"/>
      <c r="L454" s="172"/>
      <c r="M454" s="172"/>
      <c r="N454" s="870"/>
      <c r="O454" s="172"/>
      <c r="Q454" s="172"/>
      <c r="R454" s="172"/>
      <c r="S454" s="172"/>
      <c r="T454" s="172"/>
      <c r="AN454"/>
      <c r="AO454"/>
    </row>
    <row r="455" spans="1:41" x14ac:dyDescent="0.25">
      <c r="C455" s="884"/>
      <c r="D455" s="203"/>
      <c r="H455" s="850"/>
      <c r="I455" s="886"/>
      <c r="J455" s="885"/>
      <c r="K455" s="172"/>
      <c r="L455" s="172"/>
      <c r="M455" s="172"/>
      <c r="N455" s="870"/>
      <c r="O455" s="172"/>
      <c r="Q455" s="172"/>
      <c r="R455" s="172"/>
      <c r="S455" s="172"/>
      <c r="T455" s="172"/>
      <c r="AN455"/>
      <c r="AO455"/>
    </row>
    <row r="456" spans="1:41" x14ac:dyDescent="0.25">
      <c r="C456" s="884"/>
      <c r="D456" s="203"/>
      <c r="H456" s="850"/>
      <c r="I456" s="886"/>
      <c r="J456" s="885"/>
      <c r="K456" s="172"/>
      <c r="L456" s="172"/>
      <c r="M456" s="172"/>
      <c r="N456" s="870"/>
      <c r="O456" s="172"/>
      <c r="Q456" s="172"/>
      <c r="R456" s="172"/>
      <c r="S456" s="172"/>
      <c r="T456" s="172"/>
      <c r="AN456"/>
      <c r="AO456"/>
    </row>
    <row r="457" spans="1:41" x14ac:dyDescent="0.25">
      <c r="C457" s="884"/>
      <c r="D457" s="203"/>
      <c r="H457" s="850"/>
      <c r="I457" s="886"/>
      <c r="J457" s="885"/>
      <c r="K457" s="172"/>
      <c r="L457" s="172"/>
      <c r="M457" s="172"/>
      <c r="N457" s="870"/>
      <c r="O457" s="172"/>
      <c r="Q457" s="172"/>
      <c r="R457" s="172"/>
      <c r="S457" s="172"/>
      <c r="T457" s="172"/>
      <c r="AN457"/>
      <c r="AO457"/>
    </row>
    <row r="458" spans="1:41" x14ac:dyDescent="0.25">
      <c r="C458" s="884"/>
      <c r="D458" s="203"/>
      <c r="H458" s="850"/>
      <c r="I458" s="886"/>
      <c r="J458" s="885"/>
      <c r="K458" s="172"/>
      <c r="L458" s="172"/>
      <c r="M458" s="172"/>
      <c r="N458" s="870"/>
      <c r="O458" s="172"/>
      <c r="Q458" s="172"/>
      <c r="R458" s="172"/>
      <c r="S458" s="172"/>
      <c r="T458" s="172"/>
      <c r="AN458"/>
      <c r="AO458"/>
    </row>
    <row r="459" spans="1:41" x14ac:dyDescent="0.25">
      <c r="C459" s="884"/>
      <c r="D459" s="203"/>
      <c r="H459" s="850"/>
      <c r="I459" s="886"/>
      <c r="J459" s="885"/>
      <c r="K459" s="172"/>
      <c r="L459" s="172"/>
      <c r="M459" s="172"/>
      <c r="N459" s="870"/>
      <c r="O459" s="172"/>
      <c r="Q459" s="172"/>
      <c r="R459" s="172"/>
      <c r="S459" s="172"/>
      <c r="T459" s="172"/>
      <c r="AN459"/>
      <c r="AO459"/>
    </row>
    <row r="460" spans="1:41" x14ac:dyDescent="0.25">
      <c r="C460" s="884"/>
      <c r="D460" s="203"/>
      <c r="H460" s="850"/>
      <c r="I460" s="886"/>
      <c r="J460" s="885"/>
      <c r="K460" s="172"/>
      <c r="L460" s="172"/>
      <c r="M460" s="172"/>
      <c r="N460" s="870"/>
      <c r="O460" s="172"/>
      <c r="Q460" s="172"/>
      <c r="R460" s="172"/>
      <c r="S460" s="172"/>
      <c r="T460" s="172"/>
      <c r="AN460"/>
      <c r="AO460"/>
    </row>
    <row r="461" spans="1:41" x14ac:dyDescent="0.25">
      <c r="C461" s="884"/>
      <c r="D461" s="203"/>
      <c r="H461" s="850"/>
      <c r="I461" s="886"/>
      <c r="J461" s="885"/>
      <c r="K461" s="172"/>
      <c r="L461" s="172"/>
      <c r="M461" s="172"/>
      <c r="N461" s="870"/>
      <c r="O461" s="172"/>
      <c r="Q461" s="172"/>
      <c r="R461" s="172"/>
      <c r="S461" s="172"/>
      <c r="T461" s="172"/>
      <c r="AN461"/>
      <c r="AO461"/>
    </row>
    <row r="462" spans="1:41" x14ac:dyDescent="0.25">
      <c r="C462" s="884"/>
      <c r="D462" s="203"/>
      <c r="H462" s="850"/>
      <c r="I462" s="886"/>
      <c r="J462" s="885"/>
      <c r="K462" s="172"/>
      <c r="L462" s="172"/>
      <c r="M462" s="172"/>
      <c r="N462" s="870"/>
      <c r="O462" s="172"/>
      <c r="Q462" s="172"/>
      <c r="R462" s="172"/>
      <c r="S462" s="172"/>
      <c r="T462" s="172"/>
      <c r="AN462"/>
      <c r="AO462"/>
    </row>
    <row r="463" spans="1:41" x14ac:dyDescent="0.25">
      <c r="C463" s="884"/>
      <c r="D463" s="203"/>
      <c r="H463" s="850"/>
      <c r="I463" s="886"/>
      <c r="J463" s="850"/>
      <c r="K463" s="172"/>
      <c r="L463" s="172"/>
      <c r="M463" s="172"/>
      <c r="N463" s="850"/>
      <c r="O463" s="172"/>
      <c r="Q463" s="172"/>
      <c r="R463" s="172"/>
      <c r="S463" s="172"/>
      <c r="T463" s="172"/>
      <c r="AN463"/>
      <c r="AO463"/>
    </row>
    <row r="464" spans="1:41" x14ac:dyDescent="0.25">
      <c r="C464" s="884"/>
      <c r="D464" s="203"/>
      <c r="H464" s="850"/>
      <c r="I464" s="886"/>
      <c r="J464" s="885"/>
      <c r="K464" s="172"/>
      <c r="L464" s="172"/>
      <c r="M464" s="172"/>
      <c r="N464" s="870"/>
      <c r="O464" s="172"/>
      <c r="Q464" s="172"/>
      <c r="R464" s="172"/>
      <c r="S464" s="172"/>
      <c r="T464" s="172"/>
      <c r="AN464"/>
      <c r="AO464"/>
    </row>
    <row r="465" spans="1:41" x14ac:dyDescent="0.25">
      <c r="C465" s="884"/>
      <c r="D465" s="203"/>
      <c r="H465" s="850"/>
      <c r="I465" s="886"/>
      <c r="J465" s="885"/>
      <c r="K465" s="172"/>
      <c r="L465" s="172"/>
      <c r="M465" s="172"/>
      <c r="N465" s="870"/>
      <c r="O465" s="172"/>
      <c r="Q465" s="172"/>
      <c r="R465" s="172"/>
      <c r="S465" s="172"/>
      <c r="T465" s="172"/>
      <c r="AN465"/>
      <c r="AO465"/>
    </row>
    <row r="466" spans="1:41" x14ac:dyDescent="0.25">
      <c r="C466" s="884"/>
      <c r="D466" s="203"/>
      <c r="H466" s="850"/>
      <c r="I466" s="886"/>
      <c r="J466" s="885"/>
      <c r="K466" s="172"/>
      <c r="L466" s="172"/>
      <c r="M466" s="172"/>
      <c r="N466" s="870"/>
      <c r="O466" s="172"/>
      <c r="Q466" s="172"/>
      <c r="R466" s="172"/>
      <c r="S466" s="172"/>
      <c r="T466" s="172"/>
      <c r="AN466"/>
      <c r="AO466"/>
    </row>
    <row r="467" spans="1:41" x14ac:dyDescent="0.25">
      <c r="C467" s="884"/>
      <c r="D467" s="203"/>
      <c r="H467" s="850"/>
      <c r="I467" s="886"/>
      <c r="J467" s="885"/>
      <c r="K467" s="172"/>
      <c r="L467" s="172"/>
      <c r="M467" s="172"/>
      <c r="N467" s="870"/>
      <c r="O467" s="172"/>
      <c r="Q467" s="172"/>
      <c r="R467" s="172"/>
      <c r="S467" s="172"/>
      <c r="T467" s="172"/>
      <c r="AN467"/>
      <c r="AO467"/>
    </row>
    <row r="468" spans="1:41" x14ac:dyDescent="0.25">
      <c r="C468" s="884"/>
      <c r="D468" s="203"/>
      <c r="H468" s="850"/>
      <c r="I468" s="886"/>
      <c r="J468" s="885"/>
      <c r="K468" s="172"/>
      <c r="L468" s="172"/>
      <c r="M468" s="172"/>
      <c r="N468" s="870"/>
      <c r="O468" s="172"/>
      <c r="Q468" s="172"/>
      <c r="R468" s="172"/>
      <c r="S468" s="172"/>
      <c r="T468" s="172"/>
      <c r="AN468"/>
      <c r="AO468"/>
    </row>
    <row r="469" spans="1:41" x14ac:dyDescent="0.25">
      <c r="C469" s="884"/>
      <c r="D469" s="203"/>
      <c r="H469" s="850"/>
      <c r="I469" s="886"/>
      <c r="J469" s="885"/>
      <c r="K469" s="172"/>
      <c r="L469" s="172"/>
      <c r="M469" s="172"/>
      <c r="N469" s="870"/>
      <c r="O469" s="172"/>
      <c r="Q469" s="172"/>
      <c r="R469" s="172"/>
      <c r="S469" s="172"/>
      <c r="T469" s="172"/>
      <c r="AN469"/>
      <c r="AO469"/>
    </row>
    <row r="470" spans="1:41" x14ac:dyDescent="0.25">
      <c r="C470" s="884"/>
      <c r="D470" s="203"/>
      <c r="H470" s="850"/>
      <c r="I470" s="886"/>
      <c r="J470" s="885"/>
      <c r="K470" s="172"/>
      <c r="L470" s="172"/>
      <c r="M470" s="172"/>
      <c r="N470" s="870"/>
      <c r="O470" s="172"/>
      <c r="Q470" s="172"/>
      <c r="R470" s="172"/>
      <c r="S470" s="172"/>
      <c r="T470" s="172"/>
      <c r="AN470"/>
      <c r="AO470"/>
    </row>
    <row r="471" spans="1:41" x14ac:dyDescent="0.25">
      <c r="C471" s="884"/>
      <c r="D471" s="203"/>
      <c r="H471" s="850"/>
      <c r="I471" s="886"/>
      <c r="J471" s="885"/>
      <c r="K471" s="172"/>
      <c r="L471" s="172"/>
      <c r="M471" s="172"/>
      <c r="N471" s="870"/>
      <c r="O471" s="172"/>
      <c r="Q471" s="172"/>
      <c r="R471" s="172"/>
      <c r="S471" s="172"/>
      <c r="T471" s="172"/>
      <c r="AN471"/>
      <c r="AO471"/>
    </row>
    <row r="472" spans="1:41" x14ac:dyDescent="0.25">
      <c r="C472" s="884"/>
      <c r="D472" s="203"/>
      <c r="H472" s="850"/>
      <c r="I472" s="886"/>
      <c r="J472" s="885"/>
      <c r="K472" s="172"/>
      <c r="L472" s="172"/>
      <c r="M472" s="172"/>
      <c r="N472" s="870"/>
      <c r="O472" s="172"/>
      <c r="Q472" s="172"/>
      <c r="R472" s="172"/>
      <c r="S472" s="172"/>
      <c r="T472" s="172"/>
      <c r="AN472"/>
      <c r="AO472"/>
    </row>
    <row r="473" spans="1:41" x14ac:dyDescent="0.25">
      <c r="C473" s="884"/>
      <c r="D473" s="203"/>
      <c r="H473" s="850"/>
      <c r="I473" s="886"/>
      <c r="J473" s="885"/>
      <c r="K473" s="172"/>
      <c r="L473" s="172"/>
      <c r="M473" s="172"/>
      <c r="N473" s="870"/>
      <c r="O473" s="172"/>
      <c r="Q473" s="172"/>
      <c r="R473" s="172"/>
      <c r="S473" s="172"/>
      <c r="T473" s="172"/>
      <c r="AN473"/>
      <c r="AO473"/>
    </row>
    <row r="474" spans="1:41" x14ac:dyDescent="0.25">
      <c r="A474" s="639"/>
      <c r="C474" s="884"/>
      <c r="D474" s="203"/>
      <c r="H474" s="850"/>
      <c r="I474" s="886"/>
      <c r="J474" s="885"/>
      <c r="K474" s="172"/>
      <c r="L474" s="172"/>
      <c r="M474" s="172"/>
      <c r="N474" s="870"/>
      <c r="O474" s="172"/>
      <c r="Q474" s="172"/>
      <c r="R474" s="172"/>
      <c r="S474" s="172"/>
      <c r="T474" s="172"/>
      <c r="AN474"/>
      <c r="AO474"/>
    </row>
    <row r="475" spans="1:41" x14ac:dyDescent="0.25">
      <c r="C475" s="884"/>
      <c r="D475" s="203"/>
      <c r="H475" s="850"/>
      <c r="I475" s="886"/>
      <c r="J475" s="537"/>
      <c r="K475" s="172"/>
      <c r="L475" s="172"/>
      <c r="M475" s="172"/>
      <c r="N475" s="870"/>
      <c r="O475" s="172"/>
      <c r="Q475" s="172"/>
      <c r="R475" s="172"/>
      <c r="S475" s="172"/>
      <c r="T475" s="172"/>
      <c r="AN475"/>
      <c r="AO475"/>
    </row>
    <row r="476" spans="1:41" x14ac:dyDescent="0.25">
      <c r="C476" s="884"/>
      <c r="D476" s="203"/>
      <c r="H476" s="850"/>
      <c r="I476" s="886"/>
      <c r="J476" s="885"/>
      <c r="K476" s="172"/>
      <c r="L476" s="172"/>
      <c r="M476" s="172"/>
      <c r="N476" s="870"/>
      <c r="O476" s="172"/>
      <c r="Q476" s="172"/>
      <c r="R476" s="172"/>
      <c r="S476" s="172"/>
      <c r="T476" s="172"/>
      <c r="AN476"/>
      <c r="AO476"/>
    </row>
    <row r="477" spans="1:41" x14ac:dyDescent="0.25">
      <c r="C477" s="884"/>
      <c r="D477" s="203"/>
      <c r="H477" s="850"/>
      <c r="I477" s="886"/>
      <c r="J477" s="885"/>
      <c r="K477" s="172"/>
      <c r="L477" s="172"/>
      <c r="M477" s="172"/>
      <c r="N477" s="870"/>
      <c r="O477" s="172"/>
      <c r="Q477" s="172"/>
      <c r="R477" s="172"/>
      <c r="S477" s="172"/>
      <c r="T477" s="172"/>
      <c r="AN477"/>
      <c r="AO477"/>
    </row>
    <row r="478" spans="1:41" x14ac:dyDescent="0.25">
      <c r="C478" s="884"/>
      <c r="D478" s="203"/>
      <c r="H478" s="850"/>
      <c r="I478" s="886"/>
      <c r="J478" s="885"/>
      <c r="K478" s="172"/>
      <c r="L478" s="172"/>
      <c r="M478" s="172"/>
      <c r="N478" s="870"/>
      <c r="O478" s="172"/>
      <c r="Q478" s="172"/>
      <c r="R478" s="172"/>
      <c r="S478" s="172"/>
      <c r="T478" s="172"/>
      <c r="AN478"/>
      <c r="AO478"/>
    </row>
    <row r="479" spans="1:41" x14ac:dyDescent="0.25">
      <c r="C479" s="884"/>
      <c r="D479" s="203"/>
      <c r="H479" s="850"/>
      <c r="I479" s="886"/>
      <c r="J479" s="885"/>
      <c r="K479" s="172"/>
      <c r="L479" s="172"/>
      <c r="M479" s="172"/>
      <c r="N479" s="870"/>
      <c r="O479" s="172"/>
      <c r="Q479" s="172"/>
      <c r="R479" s="172"/>
      <c r="S479" s="172"/>
      <c r="T479" s="172"/>
      <c r="AN479"/>
      <c r="AO479"/>
    </row>
    <row r="480" spans="1:41" x14ac:dyDescent="0.25">
      <c r="C480" s="884"/>
      <c r="D480" s="203"/>
      <c r="H480" s="850"/>
      <c r="I480" s="886"/>
      <c r="J480" s="885"/>
      <c r="K480" s="172"/>
      <c r="L480" s="172"/>
      <c r="M480" s="172"/>
      <c r="N480" s="870"/>
      <c r="O480" s="172"/>
      <c r="Q480" s="172"/>
      <c r="R480" s="172"/>
      <c r="S480" s="172"/>
      <c r="T480" s="172"/>
      <c r="AN480"/>
      <c r="AO480"/>
    </row>
    <row r="481" spans="1:41" x14ac:dyDescent="0.25">
      <c r="C481" s="884"/>
      <c r="D481" s="203"/>
      <c r="H481" s="850"/>
      <c r="I481" s="886"/>
      <c r="J481" s="885"/>
      <c r="K481" s="172"/>
      <c r="L481" s="172"/>
      <c r="M481" s="172"/>
      <c r="N481" s="870"/>
      <c r="O481" s="172"/>
      <c r="Q481" s="172"/>
      <c r="R481" s="172"/>
      <c r="S481" s="172"/>
      <c r="T481" s="172"/>
      <c r="AN481"/>
      <c r="AO481"/>
    </row>
    <row r="482" spans="1:41" x14ac:dyDescent="0.25">
      <c r="C482" s="884"/>
      <c r="D482" s="203"/>
      <c r="H482" s="850"/>
      <c r="I482" s="886"/>
      <c r="J482" s="885"/>
      <c r="K482" s="172"/>
      <c r="L482" s="172"/>
      <c r="M482" s="172"/>
      <c r="N482" s="870"/>
      <c r="O482" s="172"/>
      <c r="Q482" s="172"/>
      <c r="R482" s="172"/>
      <c r="S482" s="172"/>
      <c r="T482" s="172"/>
      <c r="AN482"/>
      <c r="AO482"/>
    </row>
    <row r="483" spans="1:41" x14ac:dyDescent="0.25">
      <c r="C483" s="884"/>
      <c r="D483" s="203"/>
      <c r="H483" s="850"/>
      <c r="I483" s="886"/>
      <c r="J483" s="850"/>
      <c r="K483" s="172"/>
      <c r="L483" s="172"/>
      <c r="M483" s="172"/>
      <c r="N483" s="850"/>
      <c r="O483" s="172"/>
      <c r="Q483" s="172"/>
      <c r="R483" s="172"/>
      <c r="S483" s="172"/>
      <c r="T483" s="172"/>
      <c r="AN483"/>
      <c r="AO483"/>
    </row>
    <row r="484" spans="1:41" x14ac:dyDescent="0.25">
      <c r="A484" s="639"/>
      <c r="B484" s="639"/>
      <c r="C484" s="884"/>
      <c r="D484" s="203"/>
      <c r="H484" s="850"/>
      <c r="I484" s="886"/>
      <c r="J484" s="885"/>
      <c r="K484" s="172"/>
      <c r="L484" s="172"/>
      <c r="M484" s="172"/>
      <c r="N484" s="870"/>
      <c r="O484" s="172"/>
      <c r="Q484" s="172"/>
      <c r="R484" s="172"/>
      <c r="S484" s="172"/>
      <c r="T484" s="172"/>
      <c r="AN484"/>
      <c r="AO484"/>
    </row>
    <row r="485" spans="1:41" x14ac:dyDescent="0.25">
      <c r="C485" s="884"/>
      <c r="D485" s="203"/>
      <c r="H485" s="850"/>
      <c r="I485" s="886"/>
      <c r="J485" s="885"/>
      <c r="K485" s="172"/>
      <c r="L485" s="172"/>
      <c r="M485" s="172"/>
      <c r="N485" s="870"/>
      <c r="O485" s="172"/>
      <c r="Q485" s="172"/>
      <c r="R485" s="172"/>
      <c r="S485" s="172"/>
      <c r="T485" s="172"/>
      <c r="AN485"/>
      <c r="AO485"/>
    </row>
    <row r="486" spans="1:41" x14ac:dyDescent="0.25">
      <c r="C486" s="884"/>
      <c r="D486" s="203"/>
      <c r="H486" s="877"/>
      <c r="I486" s="886"/>
      <c r="J486" s="885"/>
      <c r="K486" s="172"/>
      <c r="L486" s="172"/>
      <c r="M486" s="172"/>
      <c r="N486" s="870"/>
      <c r="O486" s="172"/>
      <c r="Q486" s="172"/>
      <c r="R486" s="172"/>
      <c r="S486" s="172"/>
      <c r="T486" s="172"/>
      <c r="AN486"/>
      <c r="AO486"/>
    </row>
    <row r="487" spans="1:41" x14ac:dyDescent="0.25">
      <c r="C487" s="884"/>
      <c r="D487" s="203"/>
      <c r="H487" s="877"/>
      <c r="I487" s="886"/>
      <c r="J487" s="885"/>
      <c r="K487" s="172"/>
      <c r="L487" s="172"/>
      <c r="M487" s="172"/>
      <c r="N487" s="870"/>
      <c r="O487" s="172"/>
      <c r="Q487" s="172"/>
      <c r="R487" s="172"/>
      <c r="S487" s="172"/>
      <c r="T487" s="172"/>
      <c r="AN487"/>
      <c r="AO487"/>
    </row>
    <row r="488" spans="1:41" x14ac:dyDescent="0.25">
      <c r="A488" s="639"/>
      <c r="B488" s="639"/>
      <c r="C488" s="884"/>
      <c r="D488" s="203"/>
      <c r="H488" s="877"/>
      <c r="I488" s="886"/>
      <c r="J488" s="885"/>
      <c r="K488" s="172"/>
      <c r="L488" s="172"/>
      <c r="M488" s="172"/>
      <c r="N488" s="870"/>
      <c r="O488" s="172"/>
      <c r="Q488" s="172"/>
      <c r="R488" s="172"/>
      <c r="S488" s="172"/>
      <c r="T488" s="172"/>
      <c r="AN488"/>
      <c r="AO488"/>
    </row>
    <row r="489" spans="1:41" x14ac:dyDescent="0.25">
      <c r="C489" s="884"/>
      <c r="D489" s="203"/>
      <c r="H489" s="877"/>
      <c r="I489" s="886"/>
      <c r="J489" s="885"/>
      <c r="K489" s="172"/>
      <c r="L489" s="172"/>
      <c r="M489" s="172"/>
      <c r="N489" s="870"/>
      <c r="O489" s="172"/>
      <c r="Q489" s="172"/>
      <c r="R489" s="172"/>
      <c r="S489" s="172"/>
      <c r="T489" s="172"/>
      <c r="AN489"/>
      <c r="AO489"/>
    </row>
    <row r="490" spans="1:41" x14ac:dyDescent="0.25">
      <c r="C490" s="884"/>
      <c r="D490" s="203"/>
      <c r="H490" s="877"/>
      <c r="I490" s="886"/>
      <c r="J490" s="885"/>
      <c r="K490" s="172"/>
      <c r="L490" s="172"/>
      <c r="M490" s="172"/>
      <c r="N490" s="870"/>
      <c r="O490" s="172"/>
      <c r="Q490" s="172"/>
      <c r="R490" s="172"/>
      <c r="S490" s="172"/>
      <c r="T490" s="172"/>
      <c r="AN490"/>
      <c r="AO490"/>
    </row>
    <row r="491" spans="1:41" x14ac:dyDescent="0.25">
      <c r="C491" s="884"/>
      <c r="D491" s="203"/>
      <c r="H491" s="877"/>
      <c r="I491" s="886"/>
      <c r="J491" s="885"/>
      <c r="K491" s="172"/>
      <c r="L491" s="172"/>
      <c r="M491" s="172"/>
      <c r="N491" s="870"/>
      <c r="O491" s="172"/>
      <c r="Q491" s="172"/>
      <c r="R491" s="172"/>
      <c r="S491" s="172"/>
      <c r="T491" s="172"/>
      <c r="AN491"/>
      <c r="AO491"/>
    </row>
    <row r="492" spans="1:41" x14ac:dyDescent="0.25">
      <c r="C492" s="884"/>
      <c r="D492" s="203"/>
      <c r="H492" s="877"/>
      <c r="I492" s="886"/>
      <c r="J492" s="885"/>
      <c r="K492" s="172"/>
      <c r="L492" s="172"/>
      <c r="M492" s="172"/>
      <c r="N492" s="870"/>
      <c r="O492" s="172"/>
      <c r="Q492" s="172"/>
      <c r="R492" s="172"/>
      <c r="S492" s="172"/>
      <c r="T492" s="172"/>
      <c r="AN492"/>
      <c r="AO492"/>
    </row>
    <row r="493" spans="1:41" x14ac:dyDescent="0.25">
      <c r="C493" s="884"/>
      <c r="D493" s="203"/>
      <c r="H493" s="877"/>
      <c r="I493" s="886"/>
      <c r="J493" s="885"/>
      <c r="K493" s="172"/>
      <c r="L493" s="172"/>
      <c r="M493" s="172"/>
      <c r="N493" s="870"/>
      <c r="O493" s="172"/>
      <c r="Q493" s="172"/>
      <c r="R493" s="172"/>
      <c r="S493" s="172"/>
      <c r="T493" s="172"/>
      <c r="AN493"/>
      <c r="AO493"/>
    </row>
    <row r="494" spans="1:41" x14ac:dyDescent="0.25">
      <c r="C494" s="884"/>
      <c r="D494" s="203"/>
      <c r="H494" s="877"/>
      <c r="I494" s="886"/>
      <c r="J494" s="885"/>
      <c r="K494" s="172"/>
      <c r="L494" s="172"/>
      <c r="M494" s="172"/>
      <c r="N494" s="870"/>
      <c r="O494" s="172"/>
      <c r="Q494" s="172"/>
      <c r="R494" s="172"/>
      <c r="S494" s="172"/>
      <c r="T494" s="172"/>
      <c r="AN494"/>
      <c r="AO494"/>
    </row>
    <row r="495" spans="1:41" x14ac:dyDescent="0.25">
      <c r="C495" s="884"/>
      <c r="D495" s="203"/>
      <c r="H495" s="877"/>
      <c r="I495" s="886"/>
      <c r="J495" s="885"/>
      <c r="K495" s="172"/>
      <c r="L495" s="172"/>
      <c r="M495" s="172"/>
      <c r="N495" s="870"/>
      <c r="O495" s="172"/>
      <c r="Q495" s="172"/>
      <c r="R495" s="172"/>
      <c r="S495" s="172"/>
      <c r="T495" s="172"/>
      <c r="AN495"/>
      <c r="AO495"/>
    </row>
    <row r="496" spans="1:41" x14ac:dyDescent="0.25">
      <c r="C496" s="884"/>
      <c r="D496" s="203"/>
      <c r="H496" s="877"/>
      <c r="I496" s="886"/>
      <c r="J496" s="885"/>
      <c r="K496" s="172"/>
      <c r="L496" s="172"/>
      <c r="M496" s="172"/>
      <c r="N496" s="870"/>
      <c r="O496" s="172"/>
      <c r="Q496" s="172"/>
      <c r="R496" s="172"/>
      <c r="S496" s="172"/>
      <c r="T496" s="172"/>
      <c r="AN496"/>
      <c r="AO496"/>
    </row>
    <row r="497" spans="1:41" x14ac:dyDescent="0.25">
      <c r="C497" s="884"/>
      <c r="D497" s="203"/>
      <c r="H497" s="877"/>
      <c r="I497" s="886"/>
      <c r="J497" s="885"/>
      <c r="K497" s="172"/>
      <c r="L497" s="172"/>
      <c r="M497" s="172"/>
      <c r="N497" s="870"/>
      <c r="O497" s="172"/>
      <c r="Q497" s="172"/>
      <c r="R497" s="172"/>
      <c r="S497" s="172"/>
      <c r="T497" s="172"/>
      <c r="AN497"/>
      <c r="AO497"/>
    </row>
    <row r="498" spans="1:41" x14ac:dyDescent="0.25">
      <c r="C498" s="884"/>
      <c r="D498" s="203"/>
      <c r="H498" s="877"/>
      <c r="I498" s="886"/>
      <c r="J498" s="885"/>
      <c r="K498" s="172"/>
      <c r="L498" s="172"/>
      <c r="M498" s="172"/>
      <c r="N498" s="870"/>
      <c r="O498" s="172"/>
      <c r="Q498" s="172"/>
      <c r="R498" s="172"/>
      <c r="S498" s="172"/>
      <c r="T498" s="172"/>
      <c r="AN498"/>
      <c r="AO498"/>
    </row>
    <row r="499" spans="1:41" x14ac:dyDescent="0.25">
      <c r="A499" s="639"/>
      <c r="C499" s="884"/>
      <c r="D499" s="203"/>
      <c r="H499" s="877"/>
      <c r="I499" s="886"/>
      <c r="J499" s="885"/>
      <c r="K499" s="172"/>
      <c r="L499" s="172"/>
      <c r="M499" s="172"/>
      <c r="N499" s="870"/>
      <c r="O499" s="172"/>
      <c r="Q499" s="172"/>
      <c r="R499" s="172"/>
      <c r="S499" s="172"/>
      <c r="T499" s="172"/>
      <c r="AN499"/>
      <c r="AO499"/>
    </row>
    <row r="500" spans="1:41" x14ac:dyDescent="0.25">
      <c r="C500" s="884"/>
      <c r="D500" s="203"/>
      <c r="H500" s="877"/>
      <c r="I500" s="886"/>
      <c r="J500" s="885"/>
      <c r="K500" s="172"/>
      <c r="L500" s="172"/>
      <c r="M500" s="172"/>
      <c r="N500" s="870"/>
      <c r="O500" s="172"/>
      <c r="Q500" s="172"/>
      <c r="R500" s="172"/>
      <c r="S500" s="172"/>
      <c r="T500" s="172"/>
      <c r="AN500"/>
      <c r="AO500"/>
    </row>
    <row r="501" spans="1:41" x14ac:dyDescent="0.25">
      <c r="C501" s="884"/>
      <c r="D501" s="203"/>
      <c r="H501" s="850"/>
      <c r="I501" s="886"/>
      <c r="J501" s="885"/>
      <c r="K501" s="172"/>
      <c r="L501" s="172"/>
      <c r="M501" s="172"/>
      <c r="N501" s="870"/>
      <c r="O501" s="172"/>
      <c r="Q501" s="172"/>
      <c r="R501" s="172"/>
      <c r="S501" s="172"/>
      <c r="T501" s="172"/>
      <c r="AN501"/>
      <c r="AO501"/>
    </row>
    <row r="502" spans="1:41" x14ac:dyDescent="0.25">
      <c r="C502" s="884"/>
      <c r="D502" s="203"/>
      <c r="H502" s="850"/>
      <c r="I502" s="886"/>
      <c r="J502" s="885"/>
      <c r="K502" s="172"/>
      <c r="L502" s="172"/>
      <c r="M502" s="172"/>
      <c r="N502" s="870"/>
      <c r="O502" s="172"/>
      <c r="Q502" s="172"/>
      <c r="R502" s="172"/>
      <c r="S502" s="172"/>
      <c r="T502" s="172"/>
      <c r="AN502"/>
      <c r="AO502"/>
    </row>
    <row r="503" spans="1:41" x14ac:dyDescent="0.25">
      <c r="C503" s="884"/>
      <c r="D503" s="203"/>
      <c r="H503" s="850"/>
      <c r="I503" s="886"/>
      <c r="J503" s="850"/>
      <c r="K503" s="172"/>
      <c r="L503" s="172"/>
      <c r="M503" s="172"/>
      <c r="N503" s="850"/>
      <c r="O503" s="172"/>
      <c r="Q503" s="172"/>
      <c r="R503" s="172"/>
      <c r="S503" s="172"/>
      <c r="T503" s="172"/>
      <c r="AN503"/>
      <c r="AO503"/>
    </row>
    <row r="504" spans="1:41" x14ac:dyDescent="0.25">
      <c r="C504" s="884"/>
      <c r="D504" s="203"/>
      <c r="H504" s="850"/>
      <c r="I504" s="886"/>
      <c r="J504" s="885"/>
      <c r="K504" s="172"/>
      <c r="L504" s="172"/>
      <c r="M504" s="172"/>
      <c r="N504" s="870"/>
      <c r="O504" s="172"/>
      <c r="Q504" s="172"/>
      <c r="R504" s="172"/>
      <c r="S504" s="172"/>
      <c r="T504" s="172"/>
      <c r="AN504"/>
      <c r="AO504"/>
    </row>
    <row r="505" spans="1:41" x14ac:dyDescent="0.25">
      <c r="C505" s="884"/>
      <c r="D505" s="203"/>
      <c r="H505" s="850"/>
      <c r="I505" s="886"/>
      <c r="J505" s="885"/>
      <c r="K505" s="172"/>
      <c r="L505" s="172"/>
      <c r="M505" s="172"/>
      <c r="N505" s="870"/>
      <c r="O505" s="172"/>
      <c r="Q505" s="172"/>
      <c r="R505" s="172"/>
      <c r="S505" s="172"/>
      <c r="T505" s="172"/>
      <c r="AN505"/>
      <c r="AO505"/>
    </row>
    <row r="506" spans="1:41" x14ac:dyDescent="0.25">
      <c r="C506" s="884"/>
      <c r="D506" s="203"/>
      <c r="H506" s="850"/>
      <c r="I506" s="886"/>
      <c r="J506" s="879"/>
      <c r="K506" s="172"/>
      <c r="L506" s="172"/>
      <c r="M506" s="172"/>
      <c r="N506" s="870"/>
      <c r="O506" s="172"/>
      <c r="Q506" s="172"/>
      <c r="R506" s="172"/>
      <c r="S506" s="172"/>
      <c r="T506" s="172"/>
      <c r="AN506"/>
      <c r="AO506"/>
    </row>
    <row r="507" spans="1:41" x14ac:dyDescent="0.25">
      <c r="C507" s="884"/>
      <c r="D507" s="203"/>
      <c r="H507" s="850"/>
      <c r="I507" s="886"/>
      <c r="J507" s="879"/>
      <c r="K507" s="172"/>
      <c r="L507" s="172"/>
      <c r="M507" s="172"/>
      <c r="N507" s="870"/>
      <c r="O507" s="172"/>
      <c r="Q507" s="172"/>
      <c r="R507" s="172"/>
      <c r="S507" s="172"/>
      <c r="T507" s="172"/>
      <c r="AN507"/>
      <c r="AO507"/>
    </row>
    <row r="508" spans="1:41" x14ac:dyDescent="0.25">
      <c r="C508" s="884"/>
      <c r="D508" s="203"/>
      <c r="H508" s="850"/>
      <c r="I508" s="886"/>
      <c r="J508" s="879"/>
      <c r="K508" s="172"/>
      <c r="L508" s="172"/>
      <c r="M508" s="172"/>
      <c r="N508" s="870"/>
      <c r="O508" s="172"/>
      <c r="Q508" s="172"/>
      <c r="R508" s="172"/>
      <c r="S508" s="172"/>
      <c r="T508" s="172"/>
      <c r="AN508"/>
      <c r="AO508"/>
    </row>
    <row r="509" spans="1:41" x14ac:dyDescent="0.25">
      <c r="C509" s="884"/>
      <c r="D509" s="203"/>
      <c r="H509" s="850"/>
      <c r="I509" s="886"/>
      <c r="J509" s="879"/>
      <c r="K509" s="172"/>
      <c r="L509" s="172"/>
      <c r="M509" s="172"/>
      <c r="N509" s="870"/>
      <c r="O509" s="172"/>
      <c r="Q509" s="172"/>
      <c r="R509" s="172"/>
      <c r="S509" s="172"/>
      <c r="T509" s="172"/>
      <c r="AN509"/>
      <c r="AO509"/>
    </row>
    <row r="510" spans="1:41" x14ac:dyDescent="0.25">
      <c r="A510" s="639"/>
      <c r="B510" s="639"/>
      <c r="C510" s="884"/>
      <c r="D510" s="203"/>
      <c r="H510" s="850"/>
      <c r="I510" s="886"/>
      <c r="J510" s="879"/>
      <c r="K510" s="172"/>
      <c r="L510" s="172"/>
      <c r="M510" s="172"/>
      <c r="N510" s="870"/>
      <c r="O510" s="172"/>
      <c r="Q510" s="172"/>
      <c r="R510" s="172"/>
      <c r="S510" s="172"/>
      <c r="T510" s="172"/>
      <c r="AN510"/>
      <c r="AO510"/>
    </row>
    <row r="511" spans="1:41" x14ac:dyDescent="0.25">
      <c r="C511" s="884"/>
      <c r="D511" s="203"/>
      <c r="H511" s="850"/>
      <c r="I511" s="886"/>
      <c r="J511" s="879"/>
      <c r="K511" s="172"/>
      <c r="L511" s="172"/>
      <c r="M511" s="172"/>
      <c r="N511" s="870"/>
      <c r="O511" s="172"/>
      <c r="Q511" s="172"/>
      <c r="R511" s="172"/>
      <c r="S511" s="172"/>
      <c r="T511" s="172"/>
      <c r="AN511"/>
      <c r="AO511"/>
    </row>
    <row r="512" spans="1:41" x14ac:dyDescent="0.25">
      <c r="C512" s="884"/>
      <c r="D512" s="203"/>
      <c r="H512" s="850"/>
      <c r="I512" s="886"/>
      <c r="J512" s="879"/>
      <c r="K512" s="172"/>
      <c r="L512" s="172"/>
      <c r="M512" s="172"/>
      <c r="N512" s="870"/>
      <c r="O512" s="172"/>
      <c r="Q512" s="172"/>
      <c r="R512" s="172"/>
      <c r="S512" s="172"/>
      <c r="T512" s="172"/>
      <c r="AN512"/>
      <c r="AO512"/>
    </row>
    <row r="513" spans="1:41" x14ac:dyDescent="0.25">
      <c r="C513" s="884"/>
      <c r="D513" s="203"/>
      <c r="H513" s="850"/>
      <c r="I513" s="886"/>
      <c r="J513" s="879"/>
      <c r="K513" s="172"/>
      <c r="L513" s="172"/>
      <c r="M513" s="172"/>
      <c r="N513" s="870"/>
      <c r="O513" s="172"/>
      <c r="Q513" s="172"/>
      <c r="R513" s="172"/>
      <c r="S513" s="172"/>
      <c r="T513" s="172"/>
      <c r="AN513"/>
      <c r="AO513"/>
    </row>
    <row r="514" spans="1:41" x14ac:dyDescent="0.25">
      <c r="C514" s="884"/>
      <c r="D514" s="203"/>
      <c r="H514" s="850"/>
      <c r="I514" s="886"/>
      <c r="J514" s="879"/>
      <c r="K514" s="172"/>
      <c r="L514" s="172"/>
      <c r="M514" s="172"/>
      <c r="N514" s="870"/>
      <c r="O514" s="172"/>
      <c r="Q514" s="172"/>
      <c r="R514" s="172"/>
      <c r="S514" s="172"/>
      <c r="T514" s="172"/>
      <c r="AN514"/>
      <c r="AO514"/>
    </row>
    <row r="515" spans="1:41" x14ac:dyDescent="0.25">
      <c r="C515" s="884"/>
      <c r="D515" s="203"/>
      <c r="H515" s="850"/>
      <c r="I515" s="886"/>
      <c r="J515" s="879"/>
      <c r="K515" s="172"/>
      <c r="L515" s="172"/>
      <c r="M515" s="172"/>
      <c r="N515" s="870"/>
      <c r="O515" s="172"/>
      <c r="Q515" s="172"/>
      <c r="R515" s="172"/>
      <c r="S515" s="172"/>
      <c r="T515" s="172"/>
      <c r="AN515"/>
      <c r="AO515"/>
    </row>
    <row r="516" spans="1:41" x14ac:dyDescent="0.25">
      <c r="C516" s="884"/>
      <c r="D516" s="203"/>
      <c r="H516" s="850"/>
      <c r="I516" s="886"/>
      <c r="J516" s="879"/>
      <c r="K516" s="172"/>
      <c r="L516" s="172"/>
      <c r="M516" s="172"/>
      <c r="N516" s="870"/>
      <c r="O516" s="172"/>
      <c r="Q516" s="172"/>
      <c r="R516" s="172"/>
      <c r="S516" s="172"/>
      <c r="T516" s="172"/>
      <c r="AN516"/>
      <c r="AO516"/>
    </row>
    <row r="517" spans="1:41" x14ac:dyDescent="0.25">
      <c r="C517" s="884"/>
      <c r="D517" s="203"/>
      <c r="H517" s="850"/>
      <c r="I517" s="886"/>
      <c r="J517" s="879"/>
      <c r="K517" s="172"/>
      <c r="L517" s="172"/>
      <c r="M517" s="172"/>
      <c r="N517" s="870"/>
      <c r="O517" s="172"/>
      <c r="Q517" s="172"/>
      <c r="R517" s="172"/>
      <c r="S517" s="172"/>
      <c r="T517" s="172"/>
      <c r="W517" s="174"/>
      <c r="X517" s="174"/>
      <c r="Y517" s="174"/>
      <c r="Z517" s="174"/>
      <c r="AN517"/>
      <c r="AO517"/>
    </row>
    <row r="518" spans="1:41" x14ac:dyDescent="0.25">
      <c r="C518" s="884"/>
      <c r="D518" s="203"/>
      <c r="H518" s="850"/>
      <c r="I518" s="886"/>
      <c r="J518" s="879"/>
      <c r="K518" s="172"/>
      <c r="L518" s="172"/>
      <c r="M518" s="172"/>
      <c r="N518" s="870"/>
      <c r="O518" s="172"/>
      <c r="Q518" s="172"/>
      <c r="R518" s="172"/>
      <c r="S518" s="172"/>
      <c r="T518" s="172"/>
      <c r="AN518"/>
      <c r="AO518"/>
    </row>
    <row r="519" spans="1:41" x14ac:dyDescent="0.25">
      <c r="C519" s="884"/>
      <c r="D519" s="203"/>
      <c r="H519" s="850"/>
      <c r="I519" s="886"/>
      <c r="J519" s="879"/>
      <c r="K519" s="172"/>
      <c r="L519" s="172"/>
      <c r="M519" s="172"/>
      <c r="N519" s="870"/>
      <c r="O519" s="172"/>
      <c r="Q519" s="172"/>
      <c r="R519" s="172"/>
      <c r="S519" s="172"/>
      <c r="T519" s="172"/>
      <c r="AN519"/>
      <c r="AO519"/>
    </row>
    <row r="520" spans="1:41" x14ac:dyDescent="0.25">
      <c r="C520" s="884"/>
      <c r="D520" s="203"/>
      <c r="H520" s="850"/>
      <c r="I520" s="886"/>
      <c r="J520" s="879"/>
      <c r="K520" s="172"/>
      <c r="L520" s="172"/>
      <c r="M520" s="172"/>
      <c r="N520" s="870"/>
      <c r="O520" s="172"/>
      <c r="Q520" s="172"/>
      <c r="R520" s="172"/>
      <c r="S520" s="172"/>
      <c r="T520" s="172"/>
      <c r="AN520"/>
      <c r="AO520"/>
    </row>
    <row r="521" spans="1:41" x14ac:dyDescent="0.25">
      <c r="C521" s="884"/>
      <c r="D521" s="203"/>
      <c r="H521" s="850"/>
      <c r="I521" s="886"/>
      <c r="J521" s="879"/>
      <c r="K521" s="172"/>
      <c r="L521" s="172"/>
      <c r="M521" s="172"/>
      <c r="N521" s="870"/>
      <c r="O521" s="172"/>
      <c r="Q521" s="172"/>
      <c r="R521" s="172"/>
      <c r="S521" s="172"/>
      <c r="T521" s="172"/>
      <c r="AN521"/>
      <c r="AO521"/>
    </row>
    <row r="522" spans="1:41" x14ac:dyDescent="0.25">
      <c r="A522" s="639"/>
      <c r="C522" s="884"/>
      <c r="D522" s="203"/>
      <c r="H522" s="850"/>
      <c r="I522" s="886"/>
      <c r="J522" s="879"/>
      <c r="K522" s="172"/>
      <c r="L522" s="172"/>
      <c r="M522" s="172"/>
      <c r="N522" s="870"/>
      <c r="O522" s="172"/>
      <c r="Q522" s="172"/>
      <c r="R522" s="172"/>
      <c r="S522" s="172"/>
      <c r="T522" s="172"/>
      <c r="V522" s="174"/>
      <c r="AN522"/>
      <c r="AO522"/>
    </row>
    <row r="523" spans="1:41" x14ac:dyDescent="0.25">
      <c r="C523" s="884"/>
      <c r="D523" s="203"/>
      <c r="H523" s="850"/>
      <c r="I523" s="886"/>
      <c r="J523" s="879"/>
      <c r="K523" s="172"/>
      <c r="L523" s="172"/>
      <c r="M523" s="172"/>
      <c r="N523" s="870"/>
      <c r="O523" s="172"/>
      <c r="Q523" s="172"/>
      <c r="R523" s="172"/>
      <c r="S523" s="172"/>
      <c r="T523" s="172"/>
      <c r="AN523"/>
      <c r="AO523"/>
    </row>
    <row r="524" spans="1:41" x14ac:dyDescent="0.25">
      <c r="C524" s="884"/>
      <c r="D524" s="203"/>
      <c r="H524" s="850"/>
      <c r="I524" s="886"/>
      <c r="J524" s="879"/>
      <c r="K524" s="172"/>
      <c r="L524" s="172"/>
      <c r="M524" s="172"/>
      <c r="N524" s="870"/>
      <c r="O524" s="172"/>
      <c r="Q524" s="172"/>
      <c r="R524" s="172"/>
      <c r="S524" s="172"/>
      <c r="T524" s="172"/>
      <c r="AN524"/>
      <c r="AO524"/>
    </row>
    <row r="525" spans="1:41" x14ac:dyDescent="0.25">
      <c r="C525" s="884"/>
      <c r="D525" s="203"/>
      <c r="H525" s="850"/>
      <c r="I525" s="886"/>
      <c r="J525" s="850"/>
      <c r="K525" s="172"/>
      <c r="L525" s="172"/>
      <c r="M525" s="172"/>
      <c r="N525" s="850"/>
      <c r="O525" s="172"/>
      <c r="Q525" s="172"/>
      <c r="R525" s="172"/>
      <c r="S525" s="172"/>
      <c r="T525" s="172"/>
      <c r="V525" s="174"/>
      <c r="AN525"/>
      <c r="AO525"/>
    </row>
    <row r="526" spans="1:41" x14ac:dyDescent="0.25">
      <c r="C526" s="884"/>
      <c r="D526" s="203"/>
      <c r="H526" s="850"/>
      <c r="I526" s="886"/>
      <c r="J526" s="885"/>
      <c r="K526" s="172"/>
      <c r="L526" s="172"/>
      <c r="M526" s="172"/>
      <c r="N526" s="870"/>
      <c r="O526" s="172"/>
      <c r="Q526" s="172"/>
      <c r="R526" s="172"/>
      <c r="S526" s="172"/>
      <c r="T526" s="172"/>
      <c r="AN526"/>
      <c r="AO526"/>
    </row>
    <row r="527" spans="1:41" x14ac:dyDescent="0.25">
      <c r="C527" s="884"/>
      <c r="D527" s="203"/>
      <c r="H527" s="850"/>
      <c r="I527" s="886"/>
      <c r="J527" s="885"/>
      <c r="K527" s="172"/>
      <c r="L527" s="172"/>
      <c r="M527" s="172"/>
      <c r="N527" s="870"/>
      <c r="O527" s="172"/>
      <c r="Q527" s="172"/>
      <c r="R527" s="172"/>
      <c r="S527" s="172"/>
      <c r="T527" s="172"/>
      <c r="AN527"/>
      <c r="AO527"/>
    </row>
    <row r="528" spans="1:41" x14ac:dyDescent="0.25">
      <c r="C528" s="884"/>
      <c r="D528" s="203"/>
      <c r="H528" s="850"/>
      <c r="I528" s="886"/>
      <c r="J528" s="885"/>
      <c r="K528" s="172"/>
      <c r="L528" s="172"/>
      <c r="M528" s="172"/>
      <c r="N528" s="870"/>
      <c r="O528" s="172"/>
      <c r="Q528" s="172"/>
      <c r="R528" s="172"/>
      <c r="S528" s="172"/>
      <c r="T528" s="172"/>
      <c r="AN528"/>
      <c r="AO528"/>
    </row>
    <row r="529" spans="1:41" x14ac:dyDescent="0.25">
      <c r="C529" s="884"/>
      <c r="D529" s="203"/>
      <c r="H529" s="850"/>
      <c r="I529" s="886"/>
      <c r="J529" s="885"/>
      <c r="K529" s="172"/>
      <c r="L529" s="172"/>
      <c r="M529" s="172"/>
      <c r="N529" s="870"/>
      <c r="O529" s="172"/>
      <c r="Q529" s="172"/>
      <c r="R529" s="172"/>
      <c r="S529" s="172"/>
      <c r="T529" s="172"/>
      <c r="AN529"/>
      <c r="AO529"/>
    </row>
    <row r="530" spans="1:41" x14ac:dyDescent="0.25">
      <c r="C530" s="884"/>
      <c r="D530" s="203"/>
      <c r="H530" s="850"/>
      <c r="I530" s="886"/>
      <c r="J530" s="885"/>
      <c r="K530" s="172"/>
      <c r="L530" s="172"/>
      <c r="M530" s="172"/>
      <c r="N530" s="870"/>
      <c r="O530" s="172"/>
      <c r="Q530" s="172"/>
      <c r="R530" s="172"/>
      <c r="S530" s="172"/>
      <c r="T530" s="172"/>
      <c r="AN530"/>
      <c r="AO530"/>
    </row>
    <row r="531" spans="1:41" x14ac:dyDescent="0.25">
      <c r="C531" s="884"/>
      <c r="D531" s="203"/>
      <c r="H531" s="850"/>
      <c r="I531" s="886"/>
      <c r="J531" s="885"/>
      <c r="K531" s="172"/>
      <c r="L531" s="172"/>
      <c r="M531" s="172"/>
      <c r="N531" s="870"/>
      <c r="O531" s="172"/>
      <c r="Q531" s="172"/>
      <c r="R531" s="172"/>
      <c r="S531" s="172"/>
      <c r="T531" s="172"/>
      <c r="AN531"/>
      <c r="AO531"/>
    </row>
    <row r="532" spans="1:41" x14ac:dyDescent="0.25">
      <c r="A532" s="639"/>
      <c r="B532" s="639"/>
      <c r="C532" s="884"/>
      <c r="D532" s="203"/>
      <c r="H532" s="850"/>
      <c r="I532" s="886"/>
      <c r="J532" s="885"/>
      <c r="K532" s="172"/>
      <c r="L532" s="172"/>
      <c r="M532" s="172"/>
      <c r="N532" s="870"/>
      <c r="O532" s="172"/>
      <c r="Q532" s="172"/>
      <c r="R532" s="172"/>
      <c r="S532" s="172"/>
      <c r="T532" s="172"/>
      <c r="AN532"/>
      <c r="AO532"/>
    </row>
    <row r="533" spans="1:41" x14ac:dyDescent="0.25">
      <c r="C533" s="884"/>
      <c r="D533" s="203"/>
      <c r="H533" s="850"/>
      <c r="I533" s="886"/>
      <c r="J533" s="885"/>
      <c r="K533" s="172"/>
      <c r="L533" s="172"/>
      <c r="M533" s="172"/>
      <c r="N533" s="870"/>
      <c r="O533" s="172"/>
      <c r="Q533" s="172"/>
      <c r="R533" s="172"/>
      <c r="S533" s="172"/>
      <c r="T533" s="172"/>
      <c r="AN533"/>
      <c r="AO533"/>
    </row>
    <row r="534" spans="1:41" x14ac:dyDescent="0.25">
      <c r="C534" s="884"/>
      <c r="D534" s="203"/>
      <c r="H534" s="850"/>
      <c r="I534" s="886"/>
      <c r="J534" s="885"/>
      <c r="K534" s="172"/>
      <c r="L534" s="172"/>
      <c r="M534" s="172"/>
      <c r="N534" s="870"/>
      <c r="O534" s="172"/>
      <c r="Q534" s="172"/>
      <c r="R534" s="172"/>
      <c r="S534" s="172"/>
      <c r="T534" s="172"/>
      <c r="AN534"/>
      <c r="AO534"/>
    </row>
    <row r="535" spans="1:41" x14ac:dyDescent="0.25">
      <c r="C535" s="884"/>
      <c r="D535" s="203"/>
      <c r="H535" s="850"/>
      <c r="I535" s="886"/>
      <c r="J535" s="885"/>
      <c r="K535" s="172"/>
      <c r="L535" s="172"/>
      <c r="M535" s="172"/>
      <c r="N535" s="870"/>
      <c r="O535" s="172"/>
      <c r="Q535" s="172"/>
      <c r="R535" s="172"/>
      <c r="S535" s="172"/>
      <c r="T535" s="172"/>
      <c r="AN535"/>
      <c r="AO535"/>
    </row>
    <row r="536" spans="1:41" x14ac:dyDescent="0.25">
      <c r="B536" s="887"/>
      <c r="C536" s="884"/>
      <c r="D536" s="203"/>
      <c r="H536" s="850"/>
      <c r="I536" s="886"/>
      <c r="J536" s="885"/>
      <c r="K536" s="172"/>
      <c r="L536" s="172"/>
      <c r="M536" s="172"/>
      <c r="N536" s="870"/>
      <c r="O536" s="172"/>
      <c r="Q536" s="172"/>
      <c r="R536" s="172"/>
      <c r="S536" s="172"/>
      <c r="T536" s="172"/>
      <c r="AN536"/>
      <c r="AO536"/>
    </row>
    <row r="537" spans="1:41" x14ac:dyDescent="0.25">
      <c r="B537" s="887"/>
      <c r="C537" s="884"/>
      <c r="D537" s="203"/>
      <c r="H537" s="850"/>
      <c r="I537" s="886"/>
      <c r="J537" s="885"/>
      <c r="K537" s="172"/>
      <c r="L537" s="172"/>
      <c r="M537" s="172"/>
      <c r="N537" s="870"/>
      <c r="O537" s="172"/>
      <c r="Q537" s="172"/>
      <c r="R537" s="172"/>
      <c r="S537" s="172"/>
      <c r="T537" s="172"/>
      <c r="AN537"/>
      <c r="AO537"/>
    </row>
    <row r="538" spans="1:41" x14ac:dyDescent="0.25">
      <c r="B538" s="887"/>
      <c r="C538" s="884"/>
      <c r="D538" s="203"/>
      <c r="H538" s="850"/>
      <c r="I538" s="886"/>
      <c r="J538" s="885"/>
      <c r="K538" s="172"/>
      <c r="L538" s="172"/>
      <c r="M538" s="172"/>
      <c r="N538" s="870"/>
      <c r="O538" s="172"/>
      <c r="Q538" s="172"/>
      <c r="R538" s="172"/>
      <c r="S538" s="172"/>
      <c r="T538" s="172"/>
      <c r="AN538"/>
      <c r="AO538"/>
    </row>
    <row r="539" spans="1:41" x14ac:dyDescent="0.25">
      <c r="B539" s="887"/>
      <c r="C539" s="884"/>
      <c r="D539" s="203"/>
      <c r="H539" s="850"/>
      <c r="I539" s="886"/>
      <c r="J539" s="885"/>
      <c r="K539" s="172"/>
      <c r="L539" s="172"/>
      <c r="M539" s="172"/>
      <c r="N539" s="870"/>
      <c r="O539" s="172"/>
      <c r="Q539" s="172"/>
      <c r="R539" s="172"/>
      <c r="S539" s="172"/>
      <c r="T539" s="172"/>
      <c r="AN539"/>
      <c r="AO539"/>
    </row>
    <row r="540" spans="1:41" x14ac:dyDescent="0.25">
      <c r="B540" s="887"/>
      <c r="C540" s="884"/>
      <c r="D540" s="203"/>
      <c r="H540" s="850"/>
      <c r="I540" s="886"/>
      <c r="J540" s="885"/>
      <c r="K540" s="172"/>
      <c r="L540" s="172"/>
      <c r="M540" s="172"/>
      <c r="N540" s="870"/>
      <c r="O540" s="172"/>
      <c r="Q540" s="172"/>
      <c r="R540" s="172"/>
      <c r="S540" s="172"/>
      <c r="T540" s="172"/>
      <c r="AN540"/>
      <c r="AO540"/>
    </row>
    <row r="541" spans="1:41" x14ac:dyDescent="0.25">
      <c r="B541" s="887"/>
      <c r="C541" s="884"/>
      <c r="D541" s="203"/>
      <c r="H541" s="850"/>
      <c r="I541" s="886"/>
      <c r="J541" s="885"/>
      <c r="K541" s="172"/>
      <c r="L541" s="172"/>
      <c r="M541" s="172"/>
      <c r="N541" s="870"/>
      <c r="O541" s="172"/>
      <c r="Q541" s="172"/>
      <c r="R541" s="172"/>
      <c r="S541" s="172"/>
      <c r="T541" s="172"/>
      <c r="AN541"/>
      <c r="AO541"/>
    </row>
    <row r="542" spans="1:41" x14ac:dyDescent="0.25">
      <c r="B542" s="887"/>
      <c r="C542" s="884"/>
      <c r="D542" s="203"/>
      <c r="H542" s="850"/>
      <c r="I542" s="886"/>
      <c r="J542" s="885"/>
      <c r="K542" s="172"/>
      <c r="L542" s="172"/>
      <c r="M542" s="172"/>
      <c r="N542" s="870"/>
      <c r="O542" s="172"/>
      <c r="Q542" s="172"/>
      <c r="R542" s="172"/>
      <c r="S542" s="172"/>
      <c r="T542" s="172"/>
      <c r="AN542"/>
      <c r="AO542"/>
    </row>
    <row r="543" spans="1:41" x14ac:dyDescent="0.25">
      <c r="B543" s="887"/>
      <c r="C543" s="884"/>
      <c r="D543" s="203"/>
      <c r="H543" s="850"/>
      <c r="I543" s="886"/>
      <c r="J543" s="885"/>
      <c r="K543" s="172"/>
      <c r="L543" s="172"/>
      <c r="M543" s="172"/>
      <c r="N543" s="870"/>
      <c r="O543" s="172"/>
      <c r="Q543" s="172"/>
      <c r="R543" s="172"/>
      <c r="S543" s="172"/>
      <c r="T543" s="172"/>
      <c r="AN543"/>
      <c r="AO543"/>
    </row>
    <row r="544" spans="1:41" x14ac:dyDescent="0.25">
      <c r="B544" s="887"/>
      <c r="C544" s="884"/>
      <c r="D544" s="203"/>
      <c r="H544" s="850"/>
      <c r="I544" s="886"/>
      <c r="J544" s="885"/>
      <c r="K544" s="172"/>
      <c r="L544" s="172"/>
      <c r="M544" s="172"/>
      <c r="N544" s="870"/>
      <c r="O544" s="172"/>
      <c r="Q544" s="172"/>
      <c r="R544" s="172"/>
      <c r="S544" s="172"/>
      <c r="T544" s="172"/>
      <c r="AN544"/>
      <c r="AO544"/>
    </row>
    <row r="545" spans="1:41" x14ac:dyDescent="0.25">
      <c r="B545" s="887"/>
      <c r="C545" s="884"/>
      <c r="D545" s="203"/>
      <c r="H545" s="850"/>
      <c r="I545" s="886"/>
      <c r="J545" s="850"/>
      <c r="K545" s="172"/>
      <c r="L545" s="172"/>
      <c r="M545" s="172"/>
      <c r="N545" s="850"/>
      <c r="O545" s="172"/>
      <c r="Q545" s="172"/>
      <c r="R545" s="172"/>
      <c r="S545" s="172"/>
      <c r="T545" s="172"/>
      <c r="AN545"/>
      <c r="AO545"/>
    </row>
    <row r="546" spans="1:41" x14ac:dyDescent="0.25">
      <c r="C546" s="884"/>
      <c r="D546" s="203"/>
      <c r="I546" s="886"/>
      <c r="J546" s="886"/>
      <c r="K546" s="172"/>
      <c r="L546" s="172"/>
      <c r="M546" s="888"/>
      <c r="O546" s="172"/>
      <c r="Q546" s="172"/>
      <c r="R546" s="172"/>
      <c r="S546" s="172"/>
      <c r="T546" s="172"/>
      <c r="AN546"/>
      <c r="AO546"/>
    </row>
    <row r="547" spans="1:41" x14ac:dyDescent="0.25">
      <c r="C547" s="884"/>
      <c r="D547" s="203"/>
      <c r="I547" s="886"/>
      <c r="J547" s="886"/>
      <c r="K547" s="172"/>
      <c r="L547" s="172"/>
      <c r="M547" s="888"/>
      <c r="O547" s="172"/>
      <c r="Q547" s="172"/>
      <c r="R547" s="172"/>
      <c r="S547" s="172"/>
      <c r="T547" s="172"/>
      <c r="AN547"/>
      <c r="AO547"/>
    </row>
    <row r="548" spans="1:41" x14ac:dyDescent="0.25">
      <c r="C548" s="884"/>
      <c r="D548" s="203"/>
      <c r="I548" s="886"/>
      <c r="J548" s="886"/>
      <c r="K548" s="172"/>
      <c r="L548" s="172"/>
      <c r="M548" s="888"/>
      <c r="O548" s="172"/>
      <c r="Q548" s="172"/>
      <c r="R548" s="172"/>
      <c r="S548" s="172"/>
      <c r="T548" s="172"/>
      <c r="AN548"/>
      <c r="AO548"/>
    </row>
    <row r="549" spans="1:41" x14ac:dyDescent="0.25">
      <c r="C549" s="884"/>
      <c r="D549" s="203"/>
      <c r="I549" s="886"/>
      <c r="J549" s="886"/>
      <c r="K549" s="172"/>
      <c r="L549" s="172"/>
      <c r="M549" s="888"/>
      <c r="O549" s="172"/>
      <c r="Q549" s="172"/>
      <c r="R549" s="172"/>
      <c r="S549" s="172"/>
      <c r="T549" s="172"/>
      <c r="AN549"/>
      <c r="AO549"/>
    </row>
    <row r="550" spans="1:41" x14ac:dyDescent="0.25">
      <c r="C550" s="884"/>
      <c r="D550" s="203"/>
      <c r="I550" s="886"/>
      <c r="J550" s="886"/>
      <c r="K550" s="172"/>
      <c r="L550" s="172"/>
      <c r="M550" s="888"/>
      <c r="O550" s="172"/>
      <c r="Q550" s="172"/>
      <c r="R550" s="172"/>
      <c r="S550" s="172"/>
      <c r="T550" s="172"/>
      <c r="AN550"/>
      <c r="AO550"/>
    </row>
    <row r="551" spans="1:41" x14ac:dyDescent="0.25">
      <c r="C551" s="884"/>
      <c r="D551" s="203"/>
      <c r="I551" s="886"/>
      <c r="J551" s="886"/>
      <c r="K551" s="172"/>
      <c r="L551" s="172"/>
      <c r="M551" s="888"/>
      <c r="O551" s="172"/>
      <c r="Q551" s="172"/>
      <c r="R551" s="172"/>
      <c r="S551" s="172"/>
      <c r="T551" s="172"/>
      <c r="AN551"/>
      <c r="AO551"/>
    </row>
    <row r="552" spans="1:41" x14ac:dyDescent="0.25">
      <c r="A552" s="639"/>
      <c r="B552" s="639"/>
      <c r="C552" s="884"/>
      <c r="D552" s="203"/>
      <c r="I552" s="886"/>
      <c r="J552" s="886"/>
      <c r="K552" s="172"/>
      <c r="L552" s="172"/>
      <c r="M552" s="888"/>
      <c r="O552" s="172"/>
      <c r="Q552" s="172"/>
      <c r="R552" s="172"/>
      <c r="S552" s="172"/>
      <c r="T552" s="172"/>
      <c r="AN552"/>
      <c r="AO552"/>
    </row>
    <row r="553" spans="1:41" x14ac:dyDescent="0.25">
      <c r="A553" s="639"/>
      <c r="B553" s="639"/>
      <c r="C553" s="884"/>
      <c r="D553" s="203"/>
      <c r="I553" s="886"/>
      <c r="J553" s="886"/>
      <c r="K553" s="172"/>
      <c r="L553" s="172"/>
      <c r="M553" s="888"/>
      <c r="O553" s="172"/>
      <c r="Q553" s="172"/>
      <c r="R553" s="172"/>
      <c r="S553" s="172"/>
      <c r="T553" s="172"/>
      <c r="AN553"/>
      <c r="AO553"/>
    </row>
    <row r="554" spans="1:41" x14ac:dyDescent="0.25">
      <c r="A554" s="639"/>
      <c r="B554" s="639"/>
      <c r="C554" s="884"/>
      <c r="D554" s="203"/>
      <c r="I554" s="886"/>
      <c r="J554" s="886"/>
      <c r="K554" s="172"/>
      <c r="L554" s="172"/>
      <c r="M554" s="888"/>
      <c r="O554" s="172"/>
      <c r="Q554" s="172"/>
      <c r="R554" s="172"/>
      <c r="S554" s="172"/>
      <c r="T554" s="172"/>
      <c r="AN554"/>
      <c r="AO554"/>
    </row>
    <row r="555" spans="1:41" x14ac:dyDescent="0.25">
      <c r="A555" s="639"/>
      <c r="B555" s="639"/>
      <c r="C555" s="884"/>
      <c r="D555" s="203"/>
      <c r="I555" s="886"/>
      <c r="J555" s="886"/>
      <c r="K555" s="172"/>
      <c r="L555" s="172"/>
      <c r="M555" s="888"/>
      <c r="O555" s="172"/>
      <c r="Q555" s="172"/>
      <c r="R555" s="172"/>
      <c r="S555" s="172"/>
      <c r="T555" s="172"/>
      <c r="AN555"/>
      <c r="AO555"/>
    </row>
    <row r="556" spans="1:41" x14ac:dyDescent="0.25">
      <c r="A556" s="639"/>
      <c r="B556" s="639"/>
      <c r="C556" s="884"/>
      <c r="D556" s="203"/>
      <c r="I556" s="886"/>
      <c r="J556" s="886"/>
      <c r="K556" s="172"/>
      <c r="L556" s="172"/>
      <c r="M556" s="888"/>
      <c r="O556" s="172"/>
      <c r="Q556" s="172"/>
      <c r="R556" s="172"/>
      <c r="S556" s="172"/>
      <c r="T556" s="172"/>
      <c r="AN556"/>
      <c r="AO556"/>
    </row>
    <row r="557" spans="1:41" x14ac:dyDescent="0.25">
      <c r="A557" s="639"/>
      <c r="B557" s="639"/>
      <c r="C557" s="884"/>
      <c r="D557" s="203"/>
      <c r="I557" s="886"/>
      <c r="J557" s="886"/>
      <c r="K557" s="172"/>
      <c r="L557" s="172"/>
      <c r="M557" s="888"/>
      <c r="O557" s="172"/>
      <c r="Q557" s="172"/>
      <c r="R557" s="172"/>
      <c r="S557" s="172"/>
      <c r="T557" s="172"/>
      <c r="AN557"/>
      <c r="AO557"/>
    </row>
    <row r="558" spans="1:41" x14ac:dyDescent="0.25">
      <c r="A558" s="639"/>
      <c r="B558" s="639"/>
      <c r="C558" s="884"/>
      <c r="D558" s="203"/>
      <c r="I558" s="886"/>
      <c r="J558" s="886"/>
      <c r="K558" s="172"/>
      <c r="L558" s="172"/>
      <c r="M558" s="888"/>
      <c r="O558" s="172"/>
      <c r="Q558" s="172"/>
      <c r="R558" s="172"/>
      <c r="S558" s="172"/>
      <c r="T558" s="172"/>
      <c r="AN558"/>
      <c r="AO558"/>
    </row>
    <row r="559" spans="1:41" x14ac:dyDescent="0.25">
      <c r="A559" s="639"/>
      <c r="B559" s="639"/>
      <c r="C559" s="884"/>
      <c r="D559" s="203"/>
      <c r="I559" s="886"/>
      <c r="J559" s="886"/>
      <c r="K559" s="172"/>
      <c r="L559" s="172"/>
      <c r="M559" s="888"/>
      <c r="O559" s="172"/>
      <c r="Q559" s="172"/>
      <c r="R559" s="172"/>
      <c r="S559" s="172"/>
      <c r="T559" s="172"/>
      <c r="AN559"/>
      <c r="AO559"/>
    </row>
    <row r="560" spans="1:41" x14ac:dyDescent="0.25">
      <c r="A560" s="639"/>
      <c r="B560" s="639"/>
      <c r="C560" s="884"/>
      <c r="D560" s="203"/>
      <c r="I560" s="886"/>
      <c r="J560" s="886"/>
      <c r="K560" s="172"/>
      <c r="L560" s="172"/>
      <c r="M560" s="888"/>
      <c r="O560" s="172"/>
      <c r="Q560" s="172"/>
      <c r="R560" s="172"/>
      <c r="S560" s="172"/>
      <c r="T560" s="172"/>
      <c r="AN560"/>
      <c r="AO560"/>
    </row>
    <row r="561" spans="1:41" x14ac:dyDescent="0.25">
      <c r="A561" s="639"/>
      <c r="B561" s="639"/>
      <c r="C561" s="884"/>
      <c r="D561" s="203"/>
      <c r="I561" s="886"/>
      <c r="J561" s="886"/>
      <c r="K561" s="172"/>
      <c r="L561" s="172"/>
      <c r="M561" s="888"/>
      <c r="O561" s="172"/>
      <c r="Q561" s="172"/>
      <c r="R561" s="172"/>
      <c r="S561" s="172"/>
      <c r="T561" s="172"/>
      <c r="AN561"/>
      <c r="AO561"/>
    </row>
    <row r="562" spans="1:41" x14ac:dyDescent="0.25">
      <c r="A562" s="639"/>
      <c r="B562" s="639"/>
      <c r="C562" s="884"/>
      <c r="D562" s="203"/>
      <c r="I562" s="886"/>
      <c r="J562" s="886"/>
      <c r="K562" s="172"/>
      <c r="L562" s="172"/>
      <c r="M562" s="888"/>
      <c r="O562" s="172"/>
      <c r="Q562" s="172"/>
      <c r="R562" s="172"/>
      <c r="S562" s="172"/>
      <c r="T562" s="172"/>
      <c r="AN562"/>
      <c r="AO562"/>
    </row>
    <row r="563" spans="1:41" x14ac:dyDescent="0.25">
      <c r="A563" s="639"/>
      <c r="B563" s="639"/>
      <c r="C563" s="884"/>
      <c r="D563" s="203"/>
      <c r="I563" s="886"/>
      <c r="J563" s="886"/>
      <c r="K563" s="172"/>
      <c r="L563" s="172"/>
      <c r="M563" s="888"/>
      <c r="O563" s="172"/>
      <c r="Q563" s="172"/>
      <c r="R563" s="172"/>
      <c r="S563" s="172"/>
      <c r="T563" s="172"/>
      <c r="AN563"/>
      <c r="AO563"/>
    </row>
    <row r="564" spans="1:41" x14ac:dyDescent="0.25">
      <c r="A564" s="639"/>
      <c r="B564" s="639"/>
      <c r="C564" s="884"/>
      <c r="D564" s="203"/>
      <c r="I564" s="886"/>
      <c r="J564" s="886"/>
      <c r="K564" s="172"/>
      <c r="L564" s="172"/>
      <c r="M564" s="888"/>
      <c r="O564" s="172"/>
      <c r="Q564" s="172"/>
      <c r="R564" s="172"/>
      <c r="S564" s="172"/>
      <c r="T564" s="172"/>
      <c r="AN564"/>
      <c r="AO564"/>
    </row>
    <row r="565" spans="1:41" x14ac:dyDescent="0.25">
      <c r="A565" s="639"/>
      <c r="B565" s="639"/>
      <c r="C565" s="884"/>
      <c r="D565" s="203"/>
      <c r="I565" s="886"/>
      <c r="J565" s="886"/>
      <c r="K565" s="172"/>
      <c r="L565" s="172"/>
      <c r="M565" s="888"/>
      <c r="O565" s="172"/>
      <c r="Q565" s="172"/>
      <c r="R565" s="172"/>
      <c r="S565" s="172"/>
      <c r="T565" s="172"/>
      <c r="AN565"/>
      <c r="AO565"/>
    </row>
    <row r="566" spans="1:41" x14ac:dyDescent="0.25">
      <c r="A566" s="639"/>
      <c r="B566" s="639"/>
      <c r="C566" s="884"/>
      <c r="D566" s="203"/>
      <c r="I566" s="886"/>
      <c r="J566" s="886"/>
      <c r="K566" s="172"/>
      <c r="L566" s="172"/>
      <c r="M566" s="888"/>
      <c r="O566" s="172"/>
      <c r="Q566" s="172"/>
      <c r="R566" s="172"/>
      <c r="S566" s="172"/>
      <c r="T566" s="172"/>
      <c r="AN566"/>
      <c r="AO566"/>
    </row>
    <row r="567" spans="1:41" x14ac:dyDescent="0.25">
      <c r="A567" s="639"/>
      <c r="B567" s="639"/>
      <c r="C567" s="884"/>
      <c r="D567" s="203"/>
      <c r="I567" s="886"/>
      <c r="J567" s="886"/>
      <c r="K567" s="172"/>
      <c r="L567" s="172"/>
      <c r="M567" s="888"/>
      <c r="O567" s="172"/>
      <c r="Q567" s="172"/>
      <c r="R567" s="172"/>
      <c r="S567" s="172"/>
      <c r="T567" s="172"/>
      <c r="AN567"/>
      <c r="AO567"/>
    </row>
    <row r="568" spans="1:41" x14ac:dyDescent="0.25">
      <c r="A568" s="639"/>
      <c r="B568" s="639"/>
      <c r="C568" s="884"/>
      <c r="D568" s="203"/>
      <c r="I568" s="886"/>
      <c r="J568" s="886"/>
      <c r="K568" s="172"/>
      <c r="L568" s="172"/>
      <c r="M568" s="888"/>
      <c r="O568" s="172"/>
      <c r="Q568" s="172"/>
      <c r="R568" s="172"/>
      <c r="S568" s="172"/>
      <c r="T568" s="172"/>
      <c r="AN568"/>
      <c r="AO568"/>
    </row>
    <row r="569" spans="1:41" x14ac:dyDescent="0.25">
      <c r="A569" s="639"/>
      <c r="B569" s="639"/>
      <c r="C569" s="884"/>
      <c r="D569" s="203"/>
      <c r="I569" s="886"/>
      <c r="J569" s="886"/>
      <c r="K569" s="172"/>
      <c r="L569" s="172"/>
      <c r="M569" s="888"/>
      <c r="O569" s="172"/>
      <c r="Q569" s="172"/>
      <c r="R569" s="172"/>
      <c r="S569" s="172"/>
      <c r="T569" s="172"/>
      <c r="AN569"/>
      <c r="AO569"/>
    </row>
    <row r="570" spans="1:41" x14ac:dyDescent="0.25">
      <c r="A570" s="639"/>
      <c r="B570" s="639"/>
      <c r="C570" s="884"/>
      <c r="D570" s="203"/>
      <c r="I570" s="886"/>
      <c r="J570" s="886"/>
      <c r="K570" s="172"/>
      <c r="L570" s="172"/>
      <c r="M570" s="888"/>
      <c r="O570" s="172"/>
      <c r="Q570" s="172"/>
      <c r="R570" s="172"/>
      <c r="S570" s="172"/>
      <c r="T570" s="172"/>
      <c r="AN570"/>
      <c r="AO570"/>
    </row>
    <row r="571" spans="1:41" x14ac:dyDescent="0.25">
      <c r="A571" s="639"/>
      <c r="B571" s="639"/>
      <c r="C571" s="884"/>
      <c r="D571" s="203"/>
      <c r="I571" s="886"/>
      <c r="J571" s="886"/>
      <c r="K571" s="172"/>
      <c r="L571" s="172"/>
      <c r="M571" s="888"/>
      <c r="O571" s="172"/>
      <c r="Q571" s="172"/>
      <c r="R571" s="172"/>
      <c r="S571" s="172"/>
      <c r="T571" s="172"/>
      <c r="AN571"/>
      <c r="AO571"/>
    </row>
    <row r="572" spans="1:41" x14ac:dyDescent="0.25">
      <c r="A572" s="639"/>
      <c r="B572" s="639"/>
      <c r="C572" s="884"/>
      <c r="D572" s="203"/>
      <c r="I572" s="886"/>
      <c r="J572" s="886"/>
      <c r="K572" s="172"/>
      <c r="L572" s="172"/>
      <c r="M572" s="888"/>
      <c r="O572" s="172"/>
      <c r="Q572" s="172"/>
      <c r="R572" s="172"/>
      <c r="S572" s="172"/>
      <c r="T572" s="172"/>
      <c r="AN572"/>
      <c r="AO572"/>
    </row>
    <row r="573" spans="1:41" x14ac:dyDescent="0.25">
      <c r="A573" s="639"/>
      <c r="B573" s="639"/>
      <c r="C573" s="884"/>
      <c r="D573" s="203"/>
      <c r="I573" s="886"/>
      <c r="J573" s="886"/>
      <c r="K573" s="172"/>
      <c r="L573" s="172"/>
      <c r="M573" s="888"/>
      <c r="O573" s="172"/>
      <c r="Q573" s="172"/>
      <c r="R573" s="172"/>
      <c r="S573" s="172"/>
      <c r="T573" s="172"/>
      <c r="AN573"/>
      <c r="AO573"/>
    </row>
    <row r="574" spans="1:41" x14ac:dyDescent="0.25">
      <c r="A574" s="639"/>
      <c r="B574" s="639"/>
      <c r="C574" s="884"/>
      <c r="D574" s="203"/>
      <c r="I574" s="886"/>
      <c r="J574" s="886"/>
      <c r="K574" s="172"/>
      <c r="L574" s="172"/>
      <c r="M574" s="888"/>
      <c r="O574" s="172"/>
      <c r="Q574" s="172"/>
      <c r="R574" s="172"/>
      <c r="S574" s="172"/>
      <c r="T574" s="172"/>
      <c r="AN574"/>
      <c r="AO574"/>
    </row>
    <row r="575" spans="1:41" x14ac:dyDescent="0.25">
      <c r="A575" s="639"/>
      <c r="B575" s="639"/>
      <c r="C575" s="884"/>
      <c r="D575" s="203"/>
      <c r="I575" s="886"/>
      <c r="J575" s="886"/>
      <c r="K575" s="172"/>
      <c r="L575" s="172"/>
      <c r="M575" s="888"/>
      <c r="O575" s="172"/>
      <c r="Q575" s="172"/>
      <c r="R575" s="172"/>
      <c r="S575" s="172"/>
      <c r="T575" s="172"/>
      <c r="AN575"/>
      <c r="AO575"/>
    </row>
    <row r="576" spans="1:41" x14ac:dyDescent="0.25">
      <c r="A576" s="639"/>
      <c r="B576" s="639"/>
      <c r="C576" s="884"/>
      <c r="D576" s="203"/>
      <c r="I576" s="886"/>
      <c r="J576" s="886"/>
      <c r="K576" s="172"/>
      <c r="L576" s="172"/>
      <c r="M576" s="888"/>
      <c r="O576" s="172"/>
      <c r="Q576" s="172"/>
      <c r="R576" s="172"/>
      <c r="S576" s="172"/>
      <c r="T576" s="172"/>
      <c r="AN576"/>
      <c r="AO576"/>
    </row>
    <row r="577" spans="1:41" x14ac:dyDescent="0.25">
      <c r="A577" s="639"/>
      <c r="B577" s="639"/>
      <c r="C577" s="884"/>
      <c r="D577" s="203"/>
      <c r="I577" s="886"/>
      <c r="J577" s="886"/>
      <c r="K577" s="172"/>
      <c r="L577" s="172"/>
      <c r="M577" s="888"/>
      <c r="O577" s="172"/>
      <c r="Q577" s="172"/>
      <c r="R577" s="172"/>
      <c r="S577" s="172"/>
      <c r="T577" s="172"/>
      <c r="AN577"/>
      <c r="AO577"/>
    </row>
    <row r="578" spans="1:41" x14ac:dyDescent="0.25">
      <c r="A578" s="639"/>
      <c r="B578" s="639"/>
      <c r="C578" s="884"/>
      <c r="D578" s="203"/>
      <c r="I578" s="886"/>
      <c r="J578" s="886"/>
      <c r="K578" s="172"/>
      <c r="L578" s="172"/>
      <c r="M578" s="888"/>
      <c r="O578" s="172"/>
      <c r="Q578" s="172"/>
      <c r="R578" s="172"/>
      <c r="S578" s="172"/>
      <c r="T578" s="172"/>
      <c r="AN578"/>
      <c r="AO578"/>
    </row>
    <row r="579" spans="1:41" x14ac:dyDescent="0.25">
      <c r="A579" s="639"/>
      <c r="B579" s="639"/>
      <c r="C579" s="884"/>
      <c r="D579" s="203"/>
      <c r="I579" s="886"/>
      <c r="J579" s="886"/>
      <c r="K579" s="172"/>
      <c r="L579" s="172"/>
      <c r="M579" s="888"/>
      <c r="O579" s="172"/>
      <c r="Q579" s="172"/>
      <c r="R579" s="172"/>
      <c r="S579" s="172"/>
      <c r="T579" s="172"/>
      <c r="AN579"/>
      <c r="AO579"/>
    </row>
    <row r="580" spans="1:41" x14ac:dyDescent="0.25">
      <c r="A580" s="639"/>
      <c r="B580" s="639"/>
      <c r="C580" s="884"/>
      <c r="D580" s="203"/>
      <c r="I580" s="886"/>
      <c r="J580" s="886"/>
      <c r="K580" s="172"/>
      <c r="L580" s="172"/>
      <c r="M580" s="888"/>
      <c r="O580" s="172"/>
      <c r="Q580" s="172"/>
      <c r="R580" s="172"/>
      <c r="S580" s="172"/>
      <c r="T580" s="172"/>
      <c r="AN580"/>
      <c r="AO580"/>
    </row>
    <row r="581" spans="1:41" x14ac:dyDescent="0.25">
      <c r="A581" s="639"/>
      <c r="B581" s="639"/>
      <c r="C581" s="884"/>
      <c r="D581" s="203"/>
      <c r="I581" s="886"/>
      <c r="J581" s="886"/>
      <c r="K581" s="172"/>
      <c r="L581" s="172"/>
      <c r="M581" s="888"/>
      <c r="O581" s="172"/>
      <c r="Q581" s="172"/>
      <c r="R581" s="172"/>
      <c r="S581" s="172"/>
      <c r="T581" s="172"/>
      <c r="AN581"/>
      <c r="AO581"/>
    </row>
    <row r="582" spans="1:41" x14ac:dyDescent="0.25">
      <c r="A582" s="639"/>
      <c r="B582" s="639"/>
      <c r="C582" s="884"/>
      <c r="D582" s="203"/>
      <c r="I582" s="886"/>
      <c r="J582" s="886"/>
      <c r="K582" s="172"/>
      <c r="L582" s="172"/>
      <c r="M582" s="888"/>
      <c r="O582" s="172"/>
      <c r="Q582" s="172"/>
      <c r="R582" s="172"/>
      <c r="S582" s="172"/>
      <c r="T582" s="172"/>
      <c r="AN582"/>
      <c r="AO582"/>
    </row>
    <row r="583" spans="1:41" x14ac:dyDescent="0.25">
      <c r="A583" s="639"/>
      <c r="B583" s="639"/>
      <c r="C583" s="884"/>
      <c r="D583" s="203"/>
      <c r="I583" s="886"/>
      <c r="J583" s="886"/>
      <c r="K583" s="172"/>
      <c r="L583" s="172"/>
      <c r="M583" s="888"/>
      <c r="O583" s="172"/>
      <c r="Q583" s="172"/>
      <c r="R583" s="172"/>
      <c r="S583" s="172"/>
      <c r="T583" s="172"/>
      <c r="AN583"/>
      <c r="AO583"/>
    </row>
    <row r="584" spans="1:41" x14ac:dyDescent="0.25">
      <c r="A584" s="639"/>
      <c r="B584" s="639"/>
      <c r="C584" s="884"/>
      <c r="D584" s="203"/>
      <c r="I584" s="886"/>
      <c r="J584" s="886"/>
      <c r="K584" s="172"/>
      <c r="L584" s="172"/>
      <c r="M584" s="888"/>
      <c r="O584" s="172"/>
      <c r="Q584" s="172"/>
      <c r="R584" s="172"/>
      <c r="S584" s="172"/>
      <c r="T584" s="172"/>
      <c r="AN584"/>
      <c r="AO584"/>
    </row>
    <row r="585" spans="1:41" x14ac:dyDescent="0.25">
      <c r="A585" s="639"/>
      <c r="B585" s="639"/>
      <c r="C585" s="884"/>
      <c r="D585" s="203"/>
      <c r="I585" s="886"/>
      <c r="J585" s="886"/>
      <c r="K585" s="172"/>
      <c r="L585" s="172"/>
      <c r="M585" s="888"/>
      <c r="O585" s="172"/>
      <c r="Q585" s="172"/>
      <c r="R585" s="172"/>
      <c r="S585" s="172"/>
      <c r="T585" s="172"/>
      <c r="AN585"/>
      <c r="AO585"/>
    </row>
    <row r="586" spans="1:41" x14ac:dyDescent="0.25">
      <c r="A586" s="639"/>
      <c r="B586" s="639"/>
      <c r="C586" s="884"/>
      <c r="D586" s="203"/>
      <c r="I586" s="886"/>
      <c r="J586" s="886"/>
      <c r="K586" s="172"/>
      <c r="L586" s="172"/>
      <c r="M586" s="888"/>
      <c r="O586" s="172"/>
      <c r="Q586" s="172"/>
      <c r="R586" s="172"/>
      <c r="S586" s="172"/>
      <c r="T586" s="172"/>
      <c r="AN586"/>
      <c r="AO586"/>
    </row>
    <row r="587" spans="1:41" x14ac:dyDescent="0.25">
      <c r="A587" s="639"/>
      <c r="B587" s="639"/>
      <c r="C587" s="884"/>
      <c r="D587" s="203"/>
      <c r="I587" s="886"/>
      <c r="J587" s="886"/>
      <c r="K587" s="172"/>
      <c r="L587" s="172"/>
      <c r="M587" s="888"/>
      <c r="O587" s="172"/>
      <c r="Q587" s="172"/>
      <c r="R587" s="172"/>
      <c r="S587" s="172"/>
      <c r="T587" s="172"/>
      <c r="AN587"/>
      <c r="AO587"/>
    </row>
    <row r="588" spans="1:41" x14ac:dyDescent="0.25">
      <c r="A588" s="639"/>
      <c r="B588" s="639"/>
      <c r="C588" s="884"/>
      <c r="D588" s="203"/>
      <c r="I588" s="886"/>
      <c r="J588" s="886"/>
      <c r="K588" s="172"/>
      <c r="L588" s="172"/>
      <c r="M588" s="888"/>
      <c r="O588" s="172"/>
      <c r="Q588" s="172"/>
      <c r="R588" s="172"/>
      <c r="S588" s="172"/>
      <c r="T588" s="172"/>
      <c r="AN588"/>
      <c r="AO588"/>
    </row>
    <row r="589" spans="1:41" x14ac:dyDescent="0.25">
      <c r="A589" s="639"/>
      <c r="B589" s="639"/>
      <c r="C589" s="884"/>
      <c r="D589" s="203"/>
      <c r="I589" s="886"/>
      <c r="J589" s="886"/>
      <c r="K589" s="172"/>
      <c r="L589" s="172"/>
      <c r="M589" s="888"/>
      <c r="O589" s="172"/>
      <c r="Q589" s="172"/>
      <c r="R589" s="172"/>
      <c r="S589" s="172"/>
      <c r="T589" s="172"/>
      <c r="AN589"/>
      <c r="AO589"/>
    </row>
    <row r="590" spans="1:41" x14ac:dyDescent="0.25">
      <c r="A590" s="639"/>
      <c r="B590" s="639"/>
      <c r="C590" s="884"/>
      <c r="D590" s="203"/>
      <c r="I590" s="886"/>
      <c r="J590" s="886"/>
      <c r="K590" s="172"/>
      <c r="L590" s="172"/>
      <c r="M590" s="888"/>
      <c r="O590" s="172"/>
      <c r="Q590" s="172"/>
      <c r="R590" s="172"/>
      <c r="S590" s="172"/>
      <c r="T590" s="172"/>
      <c r="AN590"/>
      <c r="AO590"/>
    </row>
    <row r="591" spans="1:41" x14ac:dyDescent="0.25">
      <c r="A591" s="639"/>
      <c r="B591" s="639"/>
      <c r="C591" s="884"/>
      <c r="D591" s="203"/>
      <c r="I591" s="886"/>
      <c r="J591" s="886"/>
      <c r="K591" s="172"/>
      <c r="L591" s="172"/>
      <c r="M591" s="888"/>
      <c r="O591" s="172"/>
      <c r="Q591" s="172"/>
      <c r="R591" s="172"/>
      <c r="S591" s="172"/>
      <c r="T591" s="172"/>
      <c r="AN591"/>
      <c r="AO591"/>
    </row>
    <row r="592" spans="1:41" x14ac:dyDescent="0.25">
      <c r="A592" s="639"/>
      <c r="B592" s="639"/>
      <c r="C592" s="884"/>
      <c r="D592" s="203"/>
      <c r="I592" s="886"/>
      <c r="J592" s="886"/>
      <c r="K592" s="172"/>
      <c r="L592" s="172"/>
      <c r="M592" s="888"/>
      <c r="O592" s="172"/>
      <c r="Q592" s="172"/>
      <c r="R592" s="172"/>
      <c r="S592" s="172"/>
      <c r="T592" s="172"/>
      <c r="AN592"/>
      <c r="AO592"/>
    </row>
    <row r="593" spans="1:41" x14ac:dyDescent="0.25">
      <c r="A593" s="639"/>
      <c r="B593" s="639"/>
      <c r="C593" s="884"/>
      <c r="D593" s="203"/>
      <c r="I593" s="886"/>
      <c r="J593" s="886"/>
      <c r="K593" s="172"/>
      <c r="L593" s="172"/>
      <c r="M593" s="888"/>
      <c r="O593" s="172"/>
      <c r="Q593" s="172"/>
      <c r="R593" s="172"/>
      <c r="S593" s="172"/>
      <c r="T593" s="172"/>
      <c r="AN593"/>
      <c r="AO593"/>
    </row>
    <row r="594" spans="1:41" x14ac:dyDescent="0.25">
      <c r="A594" s="639"/>
      <c r="B594" s="639"/>
      <c r="C594" s="884"/>
      <c r="D594" s="203"/>
      <c r="I594" s="886"/>
      <c r="J594" s="886"/>
      <c r="K594" s="172"/>
      <c r="L594" s="172"/>
      <c r="M594" s="888"/>
      <c r="O594" s="172"/>
      <c r="Q594" s="172"/>
      <c r="R594" s="172"/>
      <c r="S594" s="172"/>
      <c r="T594" s="172"/>
      <c r="AN594"/>
      <c r="AO594"/>
    </row>
    <row r="595" spans="1:41" x14ac:dyDescent="0.25">
      <c r="A595" s="639"/>
      <c r="B595" s="639"/>
      <c r="C595" s="884"/>
      <c r="D595" s="203"/>
      <c r="I595" s="886"/>
      <c r="J595" s="886"/>
      <c r="K595" s="172"/>
      <c r="L595" s="172"/>
      <c r="M595" s="888"/>
      <c r="O595" s="172"/>
      <c r="Q595" s="172"/>
      <c r="R595" s="172"/>
      <c r="S595" s="172"/>
      <c r="T595" s="172"/>
      <c r="AN595"/>
      <c r="AO595"/>
    </row>
    <row r="596" spans="1:41" x14ac:dyDescent="0.25">
      <c r="A596" s="639"/>
      <c r="B596" s="639"/>
      <c r="C596" s="884"/>
      <c r="D596" s="203"/>
      <c r="I596" s="886"/>
      <c r="J596" s="886"/>
      <c r="K596" s="172"/>
      <c r="L596" s="172"/>
      <c r="M596" s="888"/>
      <c r="O596" s="172"/>
      <c r="Q596" s="172"/>
      <c r="R596" s="172"/>
      <c r="S596" s="172"/>
      <c r="T596" s="172"/>
      <c r="AN596"/>
      <c r="AO596"/>
    </row>
    <row r="597" spans="1:41" x14ac:dyDescent="0.25">
      <c r="A597" s="639"/>
      <c r="B597" s="639"/>
      <c r="C597" s="884"/>
      <c r="D597" s="203"/>
      <c r="I597" s="886"/>
      <c r="J597" s="886"/>
      <c r="K597" s="172"/>
      <c r="L597" s="172"/>
      <c r="M597" s="888"/>
      <c r="O597" s="172"/>
      <c r="Q597" s="172"/>
      <c r="R597" s="172"/>
      <c r="S597" s="172"/>
      <c r="T597" s="172"/>
      <c r="AN597"/>
      <c r="AO597"/>
    </row>
    <row r="598" spans="1:41" x14ac:dyDescent="0.25">
      <c r="A598" s="639"/>
      <c r="B598" s="639"/>
      <c r="C598" s="884"/>
      <c r="D598" s="203"/>
      <c r="I598" s="886"/>
      <c r="J598" s="886"/>
      <c r="K598" s="172"/>
      <c r="L598" s="172"/>
      <c r="M598" s="888"/>
      <c r="O598" s="172"/>
      <c r="Q598" s="172"/>
      <c r="R598" s="172"/>
      <c r="S598" s="172"/>
      <c r="T598" s="172"/>
      <c r="AN598"/>
      <c r="AO598"/>
    </row>
    <row r="599" spans="1:41" x14ac:dyDescent="0.25">
      <c r="A599" s="639"/>
      <c r="B599" s="639"/>
      <c r="C599" s="884"/>
      <c r="D599" s="203"/>
      <c r="I599" s="886"/>
      <c r="J599" s="886"/>
      <c r="K599" s="172"/>
      <c r="L599" s="172"/>
      <c r="M599" s="888"/>
      <c r="O599" s="172"/>
      <c r="Q599" s="172"/>
      <c r="R599" s="172"/>
      <c r="S599" s="172"/>
      <c r="T599" s="172"/>
      <c r="AN599"/>
      <c r="AO599"/>
    </row>
    <row r="600" spans="1:41" x14ac:dyDescent="0.25">
      <c r="A600" s="639"/>
      <c r="B600" s="639"/>
      <c r="C600" s="884"/>
      <c r="D600" s="203"/>
      <c r="I600" s="886"/>
      <c r="J600" s="886"/>
      <c r="K600" s="172"/>
      <c r="L600" s="172"/>
      <c r="M600" s="888"/>
      <c r="O600" s="172"/>
      <c r="Q600" s="172"/>
      <c r="R600" s="172"/>
      <c r="S600" s="172"/>
      <c r="T600" s="172"/>
      <c r="AN600"/>
      <c r="AO600"/>
    </row>
    <row r="601" spans="1:41" x14ac:dyDescent="0.25">
      <c r="A601" s="639"/>
      <c r="B601" s="639"/>
      <c r="C601" s="884"/>
      <c r="D601" s="203"/>
      <c r="I601" s="886"/>
      <c r="J601" s="886"/>
      <c r="K601" s="172"/>
      <c r="L601" s="172"/>
      <c r="M601" s="888"/>
      <c r="O601" s="172"/>
      <c r="Q601" s="172"/>
      <c r="R601" s="172"/>
      <c r="S601" s="172"/>
      <c r="T601" s="172"/>
      <c r="AN601"/>
      <c r="AO601"/>
    </row>
    <row r="602" spans="1:41" x14ac:dyDescent="0.25">
      <c r="A602" s="639"/>
      <c r="B602" s="639"/>
      <c r="C602" s="884"/>
      <c r="D602" s="203"/>
      <c r="I602" s="886"/>
      <c r="J602" s="886"/>
      <c r="K602" s="172"/>
      <c r="L602" s="172"/>
      <c r="M602" s="888"/>
      <c r="O602" s="172"/>
      <c r="Q602" s="172"/>
      <c r="R602" s="172"/>
      <c r="S602" s="172"/>
      <c r="T602" s="172"/>
      <c r="AN602"/>
      <c r="AO602"/>
    </row>
    <row r="603" spans="1:41" x14ac:dyDescent="0.25">
      <c r="A603" s="639"/>
      <c r="B603" s="639"/>
      <c r="C603" s="884"/>
      <c r="D603" s="203"/>
      <c r="I603" s="886"/>
      <c r="J603" s="886"/>
      <c r="K603" s="172"/>
      <c r="L603" s="172"/>
      <c r="M603" s="888"/>
      <c r="O603" s="172"/>
      <c r="Q603" s="172"/>
      <c r="R603" s="172"/>
      <c r="S603" s="172"/>
      <c r="T603" s="172"/>
      <c r="AN603"/>
      <c r="AO603"/>
    </row>
    <row r="604" spans="1:41" x14ac:dyDescent="0.25">
      <c r="A604" s="639"/>
      <c r="B604" s="639"/>
      <c r="C604" s="884"/>
      <c r="D604" s="203"/>
      <c r="I604" s="886"/>
      <c r="J604" s="886"/>
      <c r="K604" s="172"/>
      <c r="L604" s="172"/>
      <c r="M604" s="888"/>
      <c r="O604" s="172"/>
      <c r="Q604" s="172"/>
      <c r="R604" s="172"/>
      <c r="S604" s="172"/>
      <c r="T604" s="172"/>
      <c r="AN604"/>
      <c r="AO604"/>
    </row>
    <row r="605" spans="1:41" x14ac:dyDescent="0.25">
      <c r="A605" s="639"/>
      <c r="B605" s="639"/>
      <c r="C605" s="884"/>
      <c r="D605" s="203"/>
      <c r="I605" s="886"/>
      <c r="J605" s="886"/>
      <c r="K605" s="172"/>
      <c r="L605" s="172"/>
      <c r="M605" s="888"/>
      <c r="O605" s="172"/>
      <c r="Q605" s="172"/>
      <c r="R605" s="172"/>
      <c r="S605" s="172"/>
      <c r="T605" s="172"/>
      <c r="AN605"/>
      <c r="AO605"/>
    </row>
    <row r="606" spans="1:41" x14ac:dyDescent="0.25">
      <c r="A606" s="639"/>
      <c r="B606" s="639"/>
      <c r="C606" s="884"/>
      <c r="D606" s="203"/>
      <c r="I606" s="886"/>
      <c r="J606" s="886"/>
      <c r="K606" s="172"/>
      <c r="L606" s="172"/>
      <c r="M606" s="888"/>
      <c r="O606" s="172"/>
      <c r="Q606" s="172"/>
      <c r="R606" s="172"/>
      <c r="S606" s="172"/>
      <c r="T606" s="172"/>
      <c r="AN606"/>
      <c r="AO606"/>
    </row>
    <row r="607" spans="1:41" x14ac:dyDescent="0.25">
      <c r="A607" s="639"/>
      <c r="B607" s="639"/>
      <c r="C607" s="884"/>
      <c r="D607" s="203"/>
      <c r="I607" s="886"/>
      <c r="J607" s="886"/>
      <c r="K607" s="172"/>
      <c r="L607" s="172"/>
      <c r="M607" s="888"/>
      <c r="O607" s="172"/>
      <c r="Q607" s="172"/>
      <c r="R607" s="172"/>
      <c r="S607" s="172"/>
      <c r="T607" s="172"/>
      <c r="AN607"/>
      <c r="AO607"/>
    </row>
    <row r="608" spans="1:41" x14ac:dyDescent="0.25">
      <c r="A608" s="639"/>
      <c r="B608" s="639"/>
      <c r="C608" s="884"/>
      <c r="D608" s="203"/>
      <c r="I608" s="886"/>
      <c r="J608" s="886"/>
      <c r="K608" s="172"/>
      <c r="L608" s="172"/>
      <c r="M608" s="888"/>
      <c r="O608" s="172"/>
      <c r="Q608" s="172"/>
      <c r="R608" s="172"/>
      <c r="S608" s="172"/>
      <c r="T608" s="172"/>
      <c r="AN608"/>
      <c r="AO608"/>
    </row>
    <row r="609" spans="1:41" x14ac:dyDescent="0.25">
      <c r="A609" s="639"/>
      <c r="B609" s="639"/>
      <c r="C609" s="884"/>
      <c r="D609" s="203"/>
      <c r="I609" s="886"/>
      <c r="J609" s="886"/>
      <c r="K609" s="172"/>
      <c r="L609" s="172"/>
      <c r="M609" s="888"/>
      <c r="O609" s="172"/>
      <c r="Q609" s="172"/>
      <c r="R609" s="172"/>
      <c r="S609" s="172"/>
      <c r="T609" s="172"/>
      <c r="AN609"/>
      <c r="AO609"/>
    </row>
    <row r="610" spans="1:41" x14ac:dyDescent="0.25">
      <c r="A610" s="639"/>
      <c r="B610" s="639"/>
      <c r="C610" s="884"/>
      <c r="D610" s="203"/>
      <c r="I610" s="886"/>
      <c r="J610" s="886"/>
      <c r="K610" s="172"/>
      <c r="L610" s="172"/>
      <c r="M610" s="888"/>
      <c r="O610" s="172"/>
      <c r="Q610" s="172"/>
      <c r="R610" s="172"/>
      <c r="S610" s="172"/>
      <c r="T610" s="172"/>
      <c r="AN610"/>
      <c r="AO610"/>
    </row>
    <row r="611" spans="1:41" x14ac:dyDescent="0.25">
      <c r="A611" s="639"/>
      <c r="B611" s="639"/>
      <c r="C611" s="884"/>
      <c r="D611" s="203"/>
      <c r="I611" s="886"/>
      <c r="J611" s="886"/>
      <c r="K611" s="172"/>
      <c r="L611" s="172"/>
      <c r="M611" s="888"/>
      <c r="O611" s="172"/>
      <c r="Q611" s="172"/>
      <c r="R611" s="172"/>
      <c r="S611" s="172"/>
      <c r="T611" s="172"/>
      <c r="AN611"/>
      <c r="AO611"/>
    </row>
    <row r="612" spans="1:41" x14ac:dyDescent="0.25">
      <c r="A612" s="639"/>
      <c r="B612" s="639"/>
      <c r="C612" s="884"/>
      <c r="D612" s="203"/>
      <c r="I612" s="886"/>
      <c r="J612" s="886"/>
      <c r="K612" s="172"/>
      <c r="L612" s="172"/>
      <c r="M612" s="888"/>
      <c r="O612" s="172"/>
      <c r="Q612" s="172"/>
      <c r="R612" s="172"/>
      <c r="S612" s="172"/>
      <c r="T612" s="172"/>
      <c r="AN612"/>
      <c r="AO612"/>
    </row>
    <row r="613" spans="1:41" x14ac:dyDescent="0.25">
      <c r="A613" s="639"/>
      <c r="B613" s="639"/>
      <c r="C613" s="884"/>
      <c r="D613" s="203"/>
      <c r="I613" s="886"/>
      <c r="J613" s="886"/>
      <c r="K613" s="172"/>
      <c r="L613" s="172"/>
      <c r="M613" s="888"/>
      <c r="O613" s="172"/>
      <c r="Q613" s="172"/>
      <c r="R613" s="172"/>
      <c r="S613" s="172"/>
      <c r="T613" s="172"/>
      <c r="AN613"/>
      <c r="AO613"/>
    </row>
    <row r="614" spans="1:41" x14ac:dyDescent="0.25">
      <c r="A614" s="639"/>
      <c r="B614" s="639"/>
      <c r="C614" s="884"/>
      <c r="D614" s="203"/>
      <c r="I614" s="886"/>
      <c r="J614" s="886"/>
      <c r="K614" s="172"/>
      <c r="L614" s="172"/>
      <c r="M614" s="888"/>
      <c r="O614" s="172"/>
      <c r="Q614" s="172"/>
      <c r="R614" s="172"/>
      <c r="S614" s="172"/>
      <c r="T614" s="172"/>
      <c r="AN614"/>
      <c r="AO614"/>
    </row>
    <row r="615" spans="1:41" x14ac:dyDescent="0.25">
      <c r="A615" s="639"/>
      <c r="B615" s="639"/>
      <c r="C615" s="884"/>
      <c r="D615" s="203"/>
      <c r="I615" s="886"/>
      <c r="J615" s="886"/>
      <c r="K615" s="172"/>
      <c r="L615" s="172"/>
      <c r="M615" s="888"/>
      <c r="O615" s="172"/>
      <c r="Q615" s="172"/>
      <c r="R615" s="172"/>
      <c r="S615" s="172"/>
      <c r="T615" s="172"/>
      <c r="AN615"/>
      <c r="AO615"/>
    </row>
    <row r="616" spans="1:41" x14ac:dyDescent="0.25">
      <c r="A616" s="639"/>
      <c r="B616" s="639"/>
      <c r="C616" s="884"/>
      <c r="D616" s="203"/>
      <c r="I616" s="886"/>
      <c r="J616" s="886"/>
      <c r="K616" s="172"/>
      <c r="L616" s="172"/>
      <c r="M616" s="888"/>
      <c r="O616" s="172"/>
      <c r="Q616" s="172"/>
      <c r="R616" s="172"/>
      <c r="S616" s="172"/>
      <c r="T616" s="172"/>
      <c r="AN616"/>
      <c r="AO616"/>
    </row>
    <row r="617" spans="1:41" x14ac:dyDescent="0.25">
      <c r="A617" s="639"/>
      <c r="B617" s="639"/>
      <c r="C617" s="884"/>
      <c r="D617" s="203"/>
      <c r="I617" s="886"/>
      <c r="J617" s="886"/>
      <c r="K617" s="172"/>
      <c r="L617" s="172"/>
      <c r="M617" s="888"/>
      <c r="O617" s="172"/>
      <c r="Q617" s="172"/>
      <c r="R617" s="172"/>
      <c r="S617" s="172"/>
      <c r="T617" s="172"/>
      <c r="AN617"/>
      <c r="AO617"/>
    </row>
    <row r="618" spans="1:41" x14ac:dyDescent="0.25">
      <c r="A618" s="639"/>
      <c r="B618" s="639"/>
      <c r="C618" s="884"/>
      <c r="D618" s="203"/>
      <c r="I618" s="886"/>
      <c r="J618" s="886"/>
      <c r="K618" s="172"/>
      <c r="L618" s="172"/>
      <c r="M618" s="888"/>
      <c r="O618" s="172"/>
      <c r="Q618" s="172"/>
      <c r="R618" s="172"/>
      <c r="S618" s="172"/>
      <c r="T618" s="172"/>
      <c r="AN618"/>
      <c r="AO618"/>
    </row>
    <row r="619" spans="1:41" x14ac:dyDescent="0.25">
      <c r="A619" s="639"/>
      <c r="B619" s="639"/>
      <c r="C619" s="884"/>
      <c r="D619" s="203"/>
      <c r="I619" s="886"/>
      <c r="J619" s="886"/>
      <c r="K619" s="172"/>
      <c r="L619" s="172"/>
      <c r="M619" s="888"/>
      <c r="O619" s="172"/>
      <c r="Q619" s="172"/>
      <c r="R619" s="172"/>
      <c r="S619" s="172"/>
      <c r="T619" s="172"/>
      <c r="AN619"/>
      <c r="AO619"/>
    </row>
    <row r="620" spans="1:41" x14ac:dyDescent="0.25">
      <c r="A620" s="639"/>
      <c r="B620" s="639"/>
      <c r="C620" s="884"/>
      <c r="D620" s="203"/>
      <c r="I620" s="886"/>
      <c r="J620" s="886"/>
      <c r="K620" s="172"/>
      <c r="L620" s="172"/>
      <c r="M620" s="888"/>
      <c r="O620" s="172"/>
      <c r="Q620" s="172"/>
      <c r="R620" s="172"/>
      <c r="S620" s="172"/>
      <c r="T620" s="172"/>
      <c r="AN620"/>
      <c r="AO620"/>
    </row>
    <row r="621" spans="1:41" x14ac:dyDescent="0.25">
      <c r="A621" s="639"/>
      <c r="B621" s="639"/>
      <c r="C621" s="884"/>
      <c r="D621" s="203"/>
      <c r="I621" s="886"/>
      <c r="J621" s="886"/>
      <c r="K621" s="172"/>
      <c r="L621" s="172"/>
      <c r="M621" s="888"/>
      <c r="O621" s="172"/>
      <c r="Q621" s="172"/>
      <c r="R621" s="172"/>
      <c r="S621" s="172"/>
      <c r="T621" s="172"/>
      <c r="AN621"/>
      <c r="AO621"/>
    </row>
    <row r="622" spans="1:41" x14ac:dyDescent="0.25">
      <c r="A622" s="639"/>
      <c r="B622" s="639"/>
      <c r="C622" s="884"/>
      <c r="D622" s="203"/>
      <c r="I622" s="886"/>
      <c r="J622" s="886"/>
      <c r="K622" s="172"/>
      <c r="L622" s="172"/>
      <c r="M622" s="888"/>
      <c r="O622" s="172"/>
      <c r="Q622" s="172"/>
      <c r="R622" s="172"/>
      <c r="S622" s="172"/>
      <c r="T622" s="172"/>
      <c r="AN622"/>
      <c r="AO622"/>
    </row>
    <row r="623" spans="1:41" x14ac:dyDescent="0.25">
      <c r="A623" s="639"/>
      <c r="B623" s="639"/>
      <c r="C623" s="884"/>
      <c r="D623" s="203"/>
      <c r="I623" s="886"/>
      <c r="J623" s="886"/>
      <c r="K623" s="172"/>
      <c r="L623" s="172"/>
      <c r="M623" s="888"/>
      <c r="O623" s="172"/>
      <c r="Q623" s="172"/>
      <c r="R623" s="172"/>
      <c r="S623" s="172"/>
      <c r="T623" s="172"/>
      <c r="AN623"/>
      <c r="AO623"/>
    </row>
    <row r="624" spans="1:41" x14ac:dyDescent="0.25">
      <c r="A624" s="639"/>
      <c r="B624" s="639"/>
      <c r="C624" s="884"/>
      <c r="D624" s="203"/>
      <c r="I624" s="886"/>
      <c r="J624" s="886"/>
      <c r="K624" s="172"/>
      <c r="L624" s="172"/>
      <c r="M624" s="888"/>
      <c r="O624" s="172"/>
      <c r="Q624" s="172"/>
      <c r="R624" s="172"/>
      <c r="S624" s="172"/>
      <c r="T624" s="172"/>
      <c r="AN624"/>
      <c r="AO624"/>
    </row>
    <row r="625" spans="1:41" x14ac:dyDescent="0.25">
      <c r="A625" s="639"/>
      <c r="B625" s="639"/>
      <c r="C625" s="884"/>
      <c r="D625" s="203"/>
      <c r="I625" s="886"/>
      <c r="J625" s="886"/>
      <c r="K625" s="172"/>
      <c r="L625" s="172"/>
      <c r="M625" s="888"/>
      <c r="O625" s="172"/>
      <c r="Q625" s="172"/>
      <c r="R625" s="172"/>
      <c r="S625" s="172"/>
      <c r="T625" s="172"/>
      <c r="AN625"/>
      <c r="AO625"/>
    </row>
    <row r="626" spans="1:41" x14ac:dyDescent="0.25">
      <c r="A626" s="639"/>
      <c r="B626" s="639"/>
      <c r="C626" s="884"/>
      <c r="D626" s="203"/>
      <c r="I626" s="886"/>
      <c r="J626" s="886"/>
      <c r="K626" s="172"/>
      <c r="L626" s="172"/>
      <c r="M626" s="888"/>
      <c r="O626" s="172"/>
      <c r="Q626" s="172"/>
      <c r="R626" s="172"/>
      <c r="S626" s="172"/>
      <c r="T626" s="172"/>
      <c r="AN626"/>
      <c r="AO626"/>
    </row>
    <row r="627" spans="1:41" x14ac:dyDescent="0.25">
      <c r="A627" s="639"/>
      <c r="B627" s="639"/>
      <c r="C627" s="884"/>
      <c r="D627" s="203"/>
      <c r="I627" s="886"/>
      <c r="J627" s="886"/>
      <c r="K627" s="172"/>
      <c r="L627" s="172"/>
      <c r="M627" s="888"/>
      <c r="O627" s="172"/>
      <c r="Q627" s="172"/>
      <c r="R627" s="172"/>
      <c r="S627" s="172"/>
      <c r="T627" s="172"/>
      <c r="AN627"/>
      <c r="AO627"/>
    </row>
    <row r="628" spans="1:41" x14ac:dyDescent="0.25">
      <c r="A628" s="639"/>
      <c r="B628" s="639"/>
      <c r="C628" s="884"/>
      <c r="D628" s="203"/>
      <c r="I628" s="886"/>
      <c r="J628" s="886"/>
      <c r="K628" s="172"/>
      <c r="L628" s="172"/>
      <c r="M628" s="888"/>
      <c r="O628" s="172"/>
      <c r="Q628" s="172"/>
      <c r="R628" s="172"/>
      <c r="S628" s="172"/>
      <c r="T628" s="172"/>
      <c r="AN628"/>
      <c r="AO628"/>
    </row>
    <row r="629" spans="1:41" x14ac:dyDescent="0.25">
      <c r="A629" s="639"/>
      <c r="B629" s="639"/>
      <c r="C629" s="884"/>
      <c r="D629" s="203"/>
      <c r="I629" s="886"/>
      <c r="J629" s="886"/>
      <c r="K629" s="172"/>
      <c r="L629" s="172"/>
      <c r="M629" s="888"/>
      <c r="O629" s="172"/>
      <c r="Q629" s="172"/>
      <c r="R629" s="172"/>
      <c r="S629" s="172"/>
      <c r="T629" s="172"/>
      <c r="AN629"/>
      <c r="AO629"/>
    </row>
    <row r="630" spans="1:41" x14ac:dyDescent="0.25">
      <c r="A630" s="639"/>
      <c r="B630" s="639"/>
      <c r="C630" s="884"/>
      <c r="D630" s="203"/>
      <c r="I630" s="886"/>
      <c r="J630" s="886"/>
      <c r="K630" s="172"/>
      <c r="L630" s="172"/>
      <c r="M630" s="888"/>
      <c r="O630" s="172"/>
      <c r="Q630" s="172"/>
      <c r="R630" s="172"/>
      <c r="S630" s="172"/>
      <c r="T630" s="172"/>
      <c r="AN630"/>
      <c r="AO630"/>
    </row>
    <row r="631" spans="1:41" x14ac:dyDescent="0.25">
      <c r="A631" s="639"/>
      <c r="B631" s="639"/>
      <c r="C631" s="884"/>
      <c r="D631" s="203"/>
      <c r="I631" s="886"/>
      <c r="J631" s="886"/>
      <c r="K631" s="172"/>
      <c r="L631" s="172"/>
      <c r="M631" s="888"/>
      <c r="O631" s="172"/>
      <c r="Q631" s="172"/>
      <c r="R631" s="172"/>
      <c r="S631" s="172"/>
      <c r="T631" s="172"/>
      <c r="AN631"/>
      <c r="AO631"/>
    </row>
    <row r="632" spans="1:41" x14ac:dyDescent="0.25">
      <c r="A632" s="639"/>
      <c r="B632" s="639"/>
      <c r="C632" s="884"/>
      <c r="D632" s="203"/>
      <c r="I632" s="886"/>
      <c r="J632" s="886"/>
      <c r="K632" s="172"/>
      <c r="L632" s="172"/>
      <c r="M632" s="888"/>
      <c r="O632" s="172"/>
      <c r="Q632" s="172"/>
      <c r="R632" s="172"/>
      <c r="S632" s="172"/>
      <c r="T632" s="172"/>
      <c r="AN632"/>
      <c r="AO632"/>
    </row>
    <row r="633" spans="1:41" x14ac:dyDescent="0.25">
      <c r="A633" s="639"/>
      <c r="B633" s="639"/>
      <c r="C633" s="884"/>
      <c r="D633" s="203"/>
      <c r="I633" s="886"/>
      <c r="J633" s="886"/>
      <c r="K633" s="172"/>
      <c r="L633" s="172"/>
      <c r="M633" s="888"/>
      <c r="O633" s="172"/>
      <c r="Q633" s="172"/>
      <c r="R633" s="172"/>
      <c r="S633" s="172"/>
      <c r="T633" s="172"/>
      <c r="AN633"/>
      <c r="AO633"/>
    </row>
    <row r="634" spans="1:41" x14ac:dyDescent="0.25">
      <c r="A634" s="639"/>
      <c r="B634" s="639"/>
      <c r="C634" s="884"/>
      <c r="D634" s="203"/>
      <c r="I634" s="886"/>
      <c r="J634" s="886"/>
      <c r="K634" s="172"/>
      <c r="L634" s="172"/>
      <c r="M634" s="888"/>
      <c r="O634" s="172"/>
      <c r="Q634" s="172"/>
      <c r="R634" s="172"/>
      <c r="S634" s="172"/>
      <c r="T634" s="172"/>
      <c r="AN634"/>
      <c r="AO634"/>
    </row>
    <row r="635" spans="1:41" x14ac:dyDescent="0.25">
      <c r="A635" s="639"/>
      <c r="B635" s="639"/>
      <c r="C635" s="884"/>
      <c r="D635" s="203"/>
      <c r="I635" s="886"/>
      <c r="J635" s="886"/>
      <c r="K635" s="172"/>
      <c r="L635" s="172"/>
      <c r="M635" s="888"/>
      <c r="O635" s="172"/>
      <c r="Q635" s="172"/>
      <c r="R635" s="172"/>
      <c r="S635" s="172"/>
      <c r="T635" s="172"/>
      <c r="AN635"/>
      <c r="AO635"/>
    </row>
    <row r="636" spans="1:41" x14ac:dyDescent="0.25">
      <c r="A636" s="639"/>
      <c r="B636" s="639"/>
      <c r="C636" s="884"/>
      <c r="D636" s="203"/>
      <c r="I636" s="886"/>
      <c r="J636" s="886"/>
      <c r="K636" s="172"/>
      <c r="L636" s="172"/>
      <c r="M636" s="888"/>
      <c r="O636" s="172"/>
      <c r="Q636" s="172"/>
      <c r="R636" s="172"/>
      <c r="S636" s="172"/>
      <c r="T636" s="172"/>
      <c r="AN636"/>
      <c r="AO636"/>
    </row>
    <row r="637" spans="1:41" x14ac:dyDescent="0.25">
      <c r="A637" s="639"/>
      <c r="B637" s="639"/>
      <c r="C637" s="884"/>
      <c r="D637" s="203"/>
      <c r="I637" s="886"/>
      <c r="J637" s="886"/>
      <c r="K637" s="172"/>
      <c r="L637" s="172"/>
      <c r="M637" s="888"/>
      <c r="O637" s="172"/>
      <c r="Q637" s="172"/>
      <c r="R637" s="172"/>
      <c r="S637" s="172"/>
      <c r="T637" s="172"/>
      <c r="AN637"/>
      <c r="AO637"/>
    </row>
    <row r="638" spans="1:41" x14ac:dyDescent="0.25">
      <c r="A638" s="639"/>
      <c r="B638" s="639"/>
      <c r="C638" s="884"/>
      <c r="D638" s="203"/>
      <c r="I638" s="886"/>
      <c r="J638" s="886"/>
      <c r="K638" s="172"/>
      <c r="L638" s="172"/>
      <c r="M638" s="888"/>
      <c r="O638" s="172"/>
      <c r="Q638" s="172"/>
      <c r="R638" s="172"/>
      <c r="S638" s="172"/>
      <c r="T638" s="172"/>
      <c r="AN638"/>
      <c r="AO638"/>
    </row>
    <row r="639" spans="1:41" x14ac:dyDescent="0.25">
      <c r="A639" s="639"/>
      <c r="B639" s="639"/>
      <c r="C639" s="884"/>
      <c r="D639" s="203"/>
      <c r="I639" s="886"/>
      <c r="J639" s="886"/>
      <c r="K639" s="172"/>
      <c r="L639" s="172"/>
      <c r="M639" s="888"/>
      <c r="O639" s="172"/>
      <c r="Q639" s="172"/>
      <c r="R639" s="172"/>
      <c r="S639" s="172"/>
      <c r="T639" s="172"/>
      <c r="AN639"/>
      <c r="AO639"/>
    </row>
    <row r="640" spans="1:41" x14ac:dyDescent="0.25">
      <c r="A640" s="639"/>
      <c r="B640" s="639"/>
      <c r="C640" s="884"/>
      <c r="D640" s="203"/>
      <c r="I640" s="886"/>
      <c r="J640" s="886"/>
      <c r="K640" s="172"/>
      <c r="L640" s="172"/>
      <c r="M640" s="888"/>
      <c r="O640" s="172"/>
      <c r="Q640" s="172"/>
      <c r="R640" s="172"/>
      <c r="S640" s="172"/>
      <c r="T640" s="172"/>
      <c r="AN640"/>
      <c r="AO640"/>
    </row>
    <row r="641" spans="1:41" x14ac:dyDescent="0.25">
      <c r="A641" s="639"/>
      <c r="B641" s="639"/>
      <c r="C641" s="884"/>
      <c r="D641" s="203"/>
      <c r="I641" s="886"/>
      <c r="J641" s="886"/>
      <c r="K641" s="172"/>
      <c r="L641" s="172"/>
      <c r="M641" s="888"/>
      <c r="O641" s="172"/>
      <c r="Q641" s="172"/>
      <c r="R641" s="172"/>
      <c r="S641" s="172"/>
      <c r="T641" s="172"/>
      <c r="AN641"/>
      <c r="AO641"/>
    </row>
    <row r="642" spans="1:41" x14ac:dyDescent="0.25">
      <c r="A642" s="639"/>
      <c r="B642" s="639"/>
      <c r="C642" s="884"/>
      <c r="D642" s="203"/>
      <c r="I642" s="886"/>
      <c r="J642" s="886"/>
      <c r="K642" s="172"/>
      <c r="L642" s="172"/>
      <c r="M642" s="888"/>
      <c r="O642" s="172"/>
      <c r="Q642" s="172"/>
      <c r="R642" s="172"/>
      <c r="S642" s="172"/>
      <c r="T642" s="172"/>
      <c r="AN642"/>
      <c r="AO642"/>
    </row>
    <row r="643" spans="1:41" x14ac:dyDescent="0.25">
      <c r="A643" s="639"/>
      <c r="B643" s="639"/>
      <c r="C643" s="884"/>
      <c r="D643" s="203"/>
      <c r="I643" s="886"/>
      <c r="J643" s="886"/>
      <c r="K643" s="172"/>
      <c r="L643" s="172"/>
      <c r="M643" s="888"/>
      <c r="O643" s="172"/>
      <c r="Q643" s="172"/>
      <c r="R643" s="172"/>
      <c r="S643" s="172"/>
      <c r="T643" s="172"/>
      <c r="AN643"/>
      <c r="AO643"/>
    </row>
    <row r="644" spans="1:41" x14ac:dyDescent="0.25">
      <c r="A644" s="639"/>
      <c r="B644" s="639"/>
      <c r="C644" s="884"/>
      <c r="D644" s="203"/>
      <c r="I644" s="886"/>
      <c r="J644" s="886"/>
      <c r="K644" s="172"/>
      <c r="L644" s="172"/>
      <c r="M644" s="888"/>
      <c r="O644" s="172"/>
      <c r="Q644" s="172"/>
      <c r="R644" s="172"/>
      <c r="S644" s="172"/>
      <c r="T644" s="172"/>
      <c r="AN644"/>
      <c r="AO644"/>
    </row>
    <row r="645" spans="1:41" x14ac:dyDescent="0.25">
      <c r="A645" s="639"/>
      <c r="B645" s="639"/>
      <c r="C645" s="884"/>
      <c r="D645" s="203"/>
      <c r="I645" s="886"/>
      <c r="J645" s="886"/>
      <c r="K645" s="172"/>
      <c r="L645" s="172"/>
      <c r="M645" s="888"/>
      <c r="O645" s="172"/>
      <c r="Q645" s="172"/>
      <c r="R645" s="172"/>
      <c r="S645" s="172"/>
      <c r="T645" s="172"/>
      <c r="AN645"/>
      <c r="AO645"/>
    </row>
    <row r="646" spans="1:41" x14ac:dyDescent="0.25">
      <c r="A646" s="639"/>
      <c r="B646" s="639"/>
      <c r="C646" s="884"/>
      <c r="D646" s="203"/>
      <c r="I646" s="886"/>
      <c r="J646" s="886"/>
      <c r="K646" s="172"/>
      <c r="L646" s="172"/>
      <c r="M646" s="888"/>
      <c r="O646" s="172"/>
      <c r="Q646" s="172"/>
      <c r="R646" s="172"/>
      <c r="S646" s="172"/>
      <c r="T646" s="172"/>
      <c r="AN646"/>
      <c r="AO646"/>
    </row>
    <row r="647" spans="1:41" x14ac:dyDescent="0.25">
      <c r="A647" s="639"/>
      <c r="B647" s="639"/>
      <c r="C647" s="884"/>
      <c r="D647" s="203"/>
      <c r="I647" s="886"/>
      <c r="J647" s="886"/>
      <c r="K647" s="172"/>
      <c r="L647" s="172"/>
      <c r="M647" s="888"/>
      <c r="O647" s="172"/>
      <c r="Q647" s="172"/>
      <c r="R647" s="172"/>
      <c r="S647" s="172"/>
      <c r="T647" s="172"/>
      <c r="AN647"/>
      <c r="AO647"/>
    </row>
    <row r="648" spans="1:41" x14ac:dyDescent="0.25">
      <c r="A648" s="639"/>
      <c r="B648" s="639"/>
      <c r="C648" s="884"/>
      <c r="D648" s="203"/>
      <c r="I648" s="886"/>
      <c r="J648" s="886"/>
      <c r="K648" s="172"/>
      <c r="L648" s="172"/>
      <c r="M648" s="888"/>
      <c r="O648" s="172"/>
      <c r="Q648" s="172"/>
      <c r="R648" s="172"/>
      <c r="S648" s="172"/>
      <c r="T648" s="172"/>
      <c r="AN648"/>
      <c r="AO648"/>
    </row>
    <row r="649" spans="1:41" x14ac:dyDescent="0.25">
      <c r="A649" s="639"/>
      <c r="B649" s="639"/>
      <c r="C649" s="884"/>
      <c r="D649" s="203"/>
      <c r="I649" s="886"/>
      <c r="J649" s="886"/>
      <c r="K649" s="172"/>
      <c r="L649" s="172"/>
      <c r="M649" s="888"/>
      <c r="O649" s="172"/>
      <c r="Q649" s="172"/>
      <c r="R649" s="172"/>
      <c r="S649" s="172"/>
      <c r="T649" s="172"/>
      <c r="AN649"/>
      <c r="AO649"/>
    </row>
    <row r="650" spans="1:41" x14ac:dyDescent="0.25">
      <c r="A650" s="639"/>
      <c r="B650" s="639"/>
      <c r="C650" s="884"/>
      <c r="D650" s="203"/>
      <c r="I650" s="886"/>
      <c r="J650" s="886"/>
      <c r="K650" s="172"/>
      <c r="L650" s="172"/>
      <c r="M650" s="888"/>
      <c r="O650" s="172"/>
      <c r="Q650" s="172"/>
      <c r="R650" s="172"/>
      <c r="S650" s="172"/>
      <c r="T650" s="172"/>
      <c r="AN650"/>
      <c r="AO650"/>
    </row>
    <row r="651" spans="1:41" x14ac:dyDescent="0.25">
      <c r="A651" s="639"/>
      <c r="B651" s="639"/>
      <c r="C651" s="884"/>
      <c r="D651" s="203"/>
      <c r="I651" s="886"/>
      <c r="J651" s="886"/>
      <c r="K651" s="172"/>
      <c r="L651" s="172"/>
      <c r="M651" s="888"/>
      <c r="O651" s="172"/>
      <c r="Q651" s="172"/>
      <c r="R651" s="172"/>
      <c r="S651" s="172"/>
      <c r="T651" s="172"/>
      <c r="AN651"/>
      <c r="AO651"/>
    </row>
    <row r="652" spans="1:41" x14ac:dyDescent="0.25">
      <c r="A652" s="639"/>
      <c r="B652" s="639"/>
      <c r="C652" s="884"/>
      <c r="D652" s="203"/>
      <c r="I652" s="886"/>
      <c r="J652" s="886"/>
      <c r="K652" s="172"/>
      <c r="L652" s="172"/>
      <c r="M652" s="888"/>
      <c r="O652" s="172"/>
      <c r="Q652" s="172"/>
      <c r="R652" s="172"/>
      <c r="S652" s="172"/>
      <c r="T652" s="172"/>
      <c r="AN652"/>
      <c r="AO652"/>
    </row>
    <row r="653" spans="1:41" x14ac:dyDescent="0.25">
      <c r="A653" s="639"/>
      <c r="B653" s="639"/>
      <c r="C653" s="884"/>
      <c r="D653" s="203"/>
      <c r="I653" s="886"/>
      <c r="J653" s="886"/>
      <c r="K653" s="172"/>
      <c r="L653" s="172"/>
      <c r="M653" s="888"/>
      <c r="O653" s="172"/>
      <c r="Q653" s="172"/>
      <c r="R653" s="172"/>
      <c r="S653" s="172"/>
      <c r="T653" s="172"/>
      <c r="AN653"/>
      <c r="AO653"/>
    </row>
    <row r="654" spans="1:41" x14ac:dyDescent="0.25">
      <c r="A654" s="639"/>
      <c r="B654" s="639"/>
      <c r="C654" s="884"/>
      <c r="D654" s="203"/>
      <c r="I654" s="886"/>
      <c r="J654" s="886"/>
      <c r="K654" s="172"/>
      <c r="L654" s="172"/>
      <c r="M654" s="888"/>
      <c r="O654" s="172"/>
      <c r="Q654" s="172"/>
      <c r="R654" s="172"/>
      <c r="S654" s="172"/>
      <c r="T654" s="172"/>
      <c r="AN654"/>
      <c r="AO654"/>
    </row>
    <row r="655" spans="1:41" x14ac:dyDescent="0.25">
      <c r="A655" s="639"/>
      <c r="B655" s="639"/>
      <c r="C655" s="884"/>
      <c r="D655" s="203"/>
      <c r="I655" s="886"/>
      <c r="J655" s="886"/>
      <c r="K655" s="172"/>
      <c r="L655" s="172"/>
      <c r="M655" s="888"/>
      <c r="O655" s="172"/>
      <c r="Q655" s="172"/>
      <c r="R655" s="172"/>
      <c r="S655" s="172"/>
      <c r="T655" s="172"/>
      <c r="AN655"/>
      <c r="AO655"/>
    </row>
    <row r="656" spans="1:41" x14ac:dyDescent="0.25">
      <c r="A656" s="639"/>
      <c r="B656" s="639"/>
      <c r="C656" s="884"/>
      <c r="D656" s="203"/>
      <c r="I656" s="886"/>
      <c r="J656" s="886"/>
      <c r="K656" s="172"/>
      <c r="L656" s="172"/>
      <c r="M656" s="888"/>
      <c r="O656" s="172"/>
      <c r="Q656" s="172"/>
      <c r="R656" s="172"/>
      <c r="S656" s="172"/>
      <c r="T656" s="172"/>
      <c r="AN656"/>
      <c r="AO656"/>
    </row>
    <row r="657" spans="1:41" x14ac:dyDescent="0.25">
      <c r="A657" s="639"/>
      <c r="B657" s="639"/>
      <c r="C657" s="884"/>
      <c r="D657" s="203"/>
      <c r="I657" s="886"/>
      <c r="J657" s="886"/>
      <c r="K657" s="172"/>
      <c r="L657" s="172"/>
      <c r="M657" s="888"/>
      <c r="O657" s="172"/>
      <c r="Q657" s="172"/>
      <c r="R657" s="172"/>
      <c r="S657" s="172"/>
      <c r="T657" s="172"/>
      <c r="AN657"/>
      <c r="AO657"/>
    </row>
    <row r="658" spans="1:41" x14ac:dyDescent="0.25">
      <c r="A658" s="639"/>
      <c r="B658" s="639"/>
      <c r="C658" s="884"/>
      <c r="D658" s="203"/>
      <c r="I658" s="886"/>
      <c r="J658" s="886"/>
      <c r="K658" s="172"/>
      <c r="L658" s="172"/>
      <c r="M658" s="888"/>
      <c r="O658" s="172"/>
      <c r="Q658" s="172"/>
      <c r="R658" s="172"/>
      <c r="S658" s="172"/>
      <c r="T658" s="172"/>
      <c r="AN658"/>
      <c r="AO658"/>
    </row>
    <row r="659" spans="1:41" x14ac:dyDescent="0.25">
      <c r="A659" s="639"/>
      <c r="B659" s="639"/>
      <c r="C659" s="884"/>
      <c r="D659" s="203"/>
      <c r="I659" s="886"/>
      <c r="J659" s="886"/>
      <c r="K659" s="172"/>
      <c r="L659" s="172"/>
      <c r="M659" s="888"/>
      <c r="O659" s="172"/>
      <c r="Q659" s="172"/>
      <c r="R659" s="172"/>
      <c r="S659" s="172"/>
      <c r="T659" s="172"/>
      <c r="AN659"/>
      <c r="AO659"/>
    </row>
    <row r="660" spans="1:41" x14ac:dyDescent="0.25">
      <c r="A660" s="639"/>
      <c r="B660" s="639"/>
      <c r="C660" s="884"/>
      <c r="D660" s="203"/>
      <c r="I660" s="886"/>
      <c r="J660" s="886"/>
      <c r="K660" s="172"/>
      <c r="L660" s="172"/>
      <c r="M660" s="888"/>
      <c r="O660" s="172"/>
      <c r="Q660" s="172"/>
      <c r="R660" s="172"/>
      <c r="S660" s="172"/>
      <c r="T660" s="172"/>
      <c r="AN660"/>
      <c r="AO660"/>
    </row>
    <row r="661" spans="1:41" x14ac:dyDescent="0.25">
      <c r="A661" s="639"/>
      <c r="B661" s="639"/>
      <c r="C661" s="884"/>
      <c r="D661" s="203"/>
      <c r="I661" s="886"/>
      <c r="J661" s="886"/>
      <c r="K661" s="172"/>
      <c r="L661" s="172"/>
      <c r="M661" s="888"/>
      <c r="O661" s="172"/>
      <c r="Q661" s="172"/>
      <c r="R661" s="172"/>
      <c r="S661" s="172"/>
      <c r="T661" s="172"/>
      <c r="AN661"/>
      <c r="AO661"/>
    </row>
    <row r="662" spans="1:41" x14ac:dyDescent="0.25">
      <c r="A662" s="639"/>
      <c r="B662" s="639"/>
      <c r="C662" s="884"/>
      <c r="D662" s="203"/>
      <c r="I662" s="886"/>
      <c r="J662" s="886"/>
      <c r="K662" s="172"/>
      <c r="L662" s="172"/>
      <c r="M662" s="888"/>
      <c r="O662" s="172"/>
      <c r="Q662" s="172"/>
      <c r="R662" s="172"/>
      <c r="S662" s="172"/>
      <c r="T662" s="172"/>
      <c r="AN662"/>
      <c r="AO662"/>
    </row>
    <row r="663" spans="1:41" x14ac:dyDescent="0.25">
      <c r="A663" s="639"/>
      <c r="B663" s="639"/>
      <c r="C663" s="884"/>
      <c r="D663" s="203"/>
      <c r="I663" s="886"/>
      <c r="J663" s="886"/>
      <c r="K663" s="172"/>
      <c r="L663" s="172"/>
      <c r="M663" s="888"/>
      <c r="O663" s="172"/>
      <c r="Q663" s="172"/>
      <c r="R663" s="172"/>
      <c r="S663" s="172"/>
      <c r="T663" s="172"/>
      <c r="AN663"/>
      <c r="AO663"/>
    </row>
    <row r="664" spans="1:41" x14ac:dyDescent="0.25">
      <c r="A664" s="639"/>
      <c r="B664" s="639"/>
      <c r="C664" s="884"/>
      <c r="D664" s="203"/>
      <c r="I664" s="886"/>
      <c r="J664" s="886"/>
      <c r="K664" s="172"/>
      <c r="L664" s="172"/>
      <c r="M664" s="888"/>
      <c r="O664" s="172"/>
      <c r="Q664" s="172"/>
      <c r="R664" s="172"/>
      <c r="S664" s="172"/>
      <c r="T664" s="172"/>
      <c r="AN664"/>
      <c r="AO664"/>
    </row>
    <row r="665" spans="1:41" x14ac:dyDescent="0.25">
      <c r="A665" s="639"/>
      <c r="B665" s="639"/>
      <c r="C665" s="884"/>
      <c r="D665" s="203"/>
      <c r="I665" s="886"/>
      <c r="J665" s="886"/>
      <c r="K665" s="172"/>
      <c r="L665" s="172"/>
      <c r="M665" s="888"/>
      <c r="O665" s="172"/>
      <c r="Q665" s="172"/>
      <c r="R665" s="172"/>
      <c r="S665" s="172"/>
      <c r="T665" s="172"/>
      <c r="AN665"/>
      <c r="AO665"/>
    </row>
    <row r="666" spans="1:41" x14ac:dyDescent="0.25">
      <c r="A666" s="639"/>
      <c r="B666" s="639"/>
      <c r="C666" s="884"/>
      <c r="D666" s="203"/>
      <c r="I666" s="886"/>
      <c r="J666" s="886"/>
      <c r="K666" s="172"/>
      <c r="L666" s="172"/>
      <c r="M666" s="888"/>
      <c r="O666" s="172"/>
      <c r="Q666" s="172"/>
      <c r="R666" s="172"/>
      <c r="S666" s="172"/>
      <c r="T666" s="172"/>
      <c r="AN666"/>
      <c r="AO666"/>
    </row>
    <row r="667" spans="1:41" x14ac:dyDescent="0.25">
      <c r="A667" s="639"/>
      <c r="B667" s="639"/>
      <c r="C667" s="884"/>
      <c r="D667" s="203"/>
      <c r="I667" s="886"/>
      <c r="J667" s="886"/>
      <c r="K667" s="172"/>
      <c r="L667" s="172"/>
      <c r="M667" s="888"/>
      <c r="O667" s="172"/>
      <c r="Q667" s="172"/>
      <c r="R667" s="172"/>
      <c r="S667" s="172"/>
      <c r="T667" s="172"/>
      <c r="AN667"/>
      <c r="AO667"/>
    </row>
    <row r="668" spans="1:41" x14ac:dyDescent="0.25">
      <c r="A668" s="639"/>
      <c r="B668" s="639"/>
      <c r="C668" s="884"/>
      <c r="D668" s="203"/>
      <c r="I668" s="886"/>
      <c r="J668" s="886"/>
      <c r="K668" s="172"/>
      <c r="L668" s="172"/>
      <c r="M668" s="888"/>
      <c r="O668" s="172"/>
      <c r="Q668" s="172"/>
      <c r="R668" s="172"/>
      <c r="S668" s="172"/>
      <c r="T668" s="172"/>
      <c r="AN668"/>
      <c r="AO668"/>
    </row>
    <row r="669" spans="1:41" x14ac:dyDescent="0.25">
      <c r="A669" s="639"/>
      <c r="B669" s="639"/>
      <c r="C669" s="884"/>
      <c r="D669" s="203"/>
      <c r="I669" s="886"/>
      <c r="J669" s="886"/>
      <c r="K669" s="172"/>
      <c r="L669" s="172"/>
      <c r="M669" s="888"/>
      <c r="O669" s="172"/>
      <c r="Q669" s="172"/>
      <c r="R669" s="172"/>
      <c r="S669" s="172"/>
      <c r="T669" s="172"/>
      <c r="AN669"/>
      <c r="AO669"/>
    </row>
    <row r="670" spans="1:41" x14ac:dyDescent="0.25">
      <c r="A670" s="639"/>
      <c r="B670" s="639"/>
      <c r="C670" s="884"/>
      <c r="D670" s="203"/>
      <c r="I670" s="886"/>
      <c r="J670" s="886"/>
      <c r="K670" s="172"/>
      <c r="L670" s="172"/>
      <c r="M670" s="888"/>
      <c r="O670" s="172"/>
      <c r="Q670" s="172"/>
      <c r="R670" s="172"/>
      <c r="S670" s="172"/>
      <c r="T670" s="172"/>
      <c r="AN670"/>
      <c r="AO670"/>
    </row>
    <row r="671" spans="1:41" x14ac:dyDescent="0.25">
      <c r="A671" s="639"/>
      <c r="B671" s="639"/>
      <c r="C671" s="884"/>
      <c r="D671" s="203"/>
      <c r="I671" s="886"/>
      <c r="J671" s="886"/>
      <c r="K671" s="172"/>
      <c r="L671" s="172"/>
      <c r="M671" s="888"/>
      <c r="O671" s="172"/>
      <c r="Q671" s="172"/>
      <c r="R671" s="172"/>
      <c r="S671" s="172"/>
      <c r="T671" s="172"/>
      <c r="AN671"/>
      <c r="AO671"/>
    </row>
    <row r="672" spans="1:41" x14ac:dyDescent="0.25">
      <c r="A672" s="639"/>
      <c r="B672" s="639"/>
      <c r="C672" s="884"/>
      <c r="D672" s="203"/>
      <c r="I672" s="886"/>
      <c r="J672" s="886"/>
      <c r="K672" s="172"/>
      <c r="L672" s="172"/>
      <c r="M672" s="888"/>
      <c r="O672" s="172"/>
      <c r="Q672" s="172"/>
      <c r="R672" s="172"/>
      <c r="S672" s="172"/>
      <c r="T672" s="172"/>
      <c r="AN672"/>
      <c r="AO672"/>
    </row>
    <row r="673" spans="1:41" x14ac:dyDescent="0.25">
      <c r="A673" s="639"/>
      <c r="B673" s="639"/>
      <c r="C673" s="884"/>
      <c r="D673" s="203"/>
      <c r="I673" s="886"/>
      <c r="J673" s="886"/>
      <c r="K673" s="172"/>
      <c r="L673" s="172"/>
      <c r="M673" s="888"/>
      <c r="O673" s="172"/>
      <c r="Q673" s="172"/>
      <c r="R673" s="172"/>
      <c r="S673" s="172"/>
      <c r="T673" s="172"/>
      <c r="AN673"/>
      <c r="AO673"/>
    </row>
    <row r="674" spans="1:41" x14ac:dyDescent="0.25">
      <c r="A674" s="639"/>
      <c r="B674" s="639"/>
      <c r="C674" s="884"/>
      <c r="D674" s="203"/>
      <c r="I674" s="886"/>
      <c r="J674" s="886"/>
      <c r="K674" s="172"/>
      <c r="L674" s="172"/>
      <c r="M674" s="888"/>
      <c r="O674" s="172"/>
      <c r="Q674" s="172"/>
      <c r="R674" s="172"/>
      <c r="S674" s="172"/>
      <c r="T674" s="172"/>
      <c r="AN674"/>
      <c r="AO674"/>
    </row>
    <row r="675" spans="1:41" x14ac:dyDescent="0.25">
      <c r="A675" s="639"/>
      <c r="B675" s="639"/>
      <c r="C675" s="884"/>
      <c r="D675" s="203"/>
      <c r="I675" s="886"/>
      <c r="J675" s="886"/>
      <c r="K675" s="172"/>
      <c r="L675" s="172"/>
      <c r="M675" s="888"/>
      <c r="O675" s="172"/>
      <c r="Q675" s="172"/>
      <c r="R675" s="172"/>
      <c r="S675" s="172"/>
      <c r="T675" s="172"/>
      <c r="AN675"/>
      <c r="AO675"/>
    </row>
    <row r="676" spans="1:41" x14ac:dyDescent="0.25">
      <c r="A676" s="639"/>
      <c r="B676" s="639"/>
      <c r="C676" s="884"/>
      <c r="D676" s="203"/>
      <c r="I676" s="886"/>
      <c r="J676" s="886"/>
      <c r="K676" s="172"/>
      <c r="L676" s="172"/>
      <c r="M676" s="888"/>
      <c r="O676" s="172"/>
      <c r="Q676" s="172"/>
      <c r="R676" s="172"/>
      <c r="S676" s="172"/>
      <c r="T676" s="172"/>
      <c r="AN676"/>
      <c r="AO676"/>
    </row>
    <row r="677" spans="1:41" x14ac:dyDescent="0.25">
      <c r="A677" s="639"/>
      <c r="B677" s="639"/>
      <c r="C677" s="884"/>
      <c r="D677" s="203"/>
      <c r="I677" s="886"/>
      <c r="J677" s="886"/>
      <c r="K677" s="172"/>
      <c r="L677" s="172"/>
      <c r="M677" s="888"/>
      <c r="O677" s="172"/>
      <c r="Q677" s="172"/>
      <c r="R677" s="172"/>
      <c r="S677" s="172"/>
      <c r="T677" s="172"/>
      <c r="AN677"/>
      <c r="AO677"/>
    </row>
    <row r="678" spans="1:41" x14ac:dyDescent="0.25">
      <c r="A678" s="639"/>
      <c r="B678" s="639"/>
      <c r="C678" s="884"/>
      <c r="D678" s="203"/>
      <c r="I678" s="886"/>
      <c r="J678" s="886"/>
      <c r="K678" s="172"/>
      <c r="L678" s="172"/>
      <c r="M678" s="888"/>
      <c r="O678" s="172"/>
      <c r="Q678" s="172"/>
      <c r="R678" s="172"/>
      <c r="S678" s="172"/>
      <c r="T678" s="172"/>
      <c r="AN678"/>
      <c r="AO678"/>
    </row>
    <row r="679" spans="1:41" x14ac:dyDescent="0.25">
      <c r="A679" s="639"/>
      <c r="B679" s="639"/>
      <c r="C679" s="884"/>
      <c r="D679" s="203"/>
      <c r="I679" s="886"/>
      <c r="J679" s="886"/>
      <c r="K679" s="172"/>
      <c r="L679" s="172"/>
      <c r="M679" s="888"/>
      <c r="O679" s="172"/>
      <c r="Q679" s="172"/>
      <c r="R679" s="172"/>
      <c r="S679" s="172"/>
      <c r="T679" s="172"/>
      <c r="AN679"/>
      <c r="AO679"/>
    </row>
    <row r="680" spans="1:41" x14ac:dyDescent="0.25">
      <c r="A680" s="639"/>
      <c r="B680" s="639"/>
      <c r="C680" s="884"/>
      <c r="D680" s="203"/>
      <c r="I680" s="886"/>
      <c r="J680" s="886"/>
      <c r="K680" s="172"/>
      <c r="L680" s="172"/>
      <c r="M680" s="888"/>
      <c r="O680" s="172"/>
      <c r="Q680" s="172"/>
      <c r="R680" s="172"/>
      <c r="S680" s="172"/>
      <c r="T680" s="172"/>
      <c r="AN680"/>
      <c r="AO680"/>
    </row>
    <row r="681" spans="1:41" x14ac:dyDescent="0.25">
      <c r="A681" s="639"/>
      <c r="B681" s="639"/>
      <c r="C681" s="884"/>
      <c r="D681" s="203"/>
      <c r="I681" s="886"/>
      <c r="J681" s="886"/>
      <c r="K681" s="172"/>
      <c r="L681" s="172"/>
      <c r="M681" s="888"/>
      <c r="O681" s="172"/>
      <c r="Q681" s="172"/>
      <c r="R681" s="172"/>
      <c r="S681" s="172"/>
      <c r="T681" s="172"/>
      <c r="AN681"/>
      <c r="AO681"/>
    </row>
    <row r="682" spans="1:41" x14ac:dyDescent="0.25">
      <c r="A682" s="639"/>
      <c r="B682" s="639"/>
      <c r="C682" s="884"/>
      <c r="D682" s="203"/>
      <c r="I682" s="886"/>
      <c r="J682" s="886"/>
      <c r="K682" s="172"/>
      <c r="L682" s="172"/>
      <c r="M682" s="888"/>
      <c r="O682" s="172"/>
      <c r="Q682" s="172"/>
      <c r="R682" s="172"/>
      <c r="S682" s="172"/>
      <c r="T682" s="172"/>
      <c r="AN682"/>
      <c r="AO682"/>
    </row>
    <row r="683" spans="1:41" x14ac:dyDescent="0.25">
      <c r="A683" s="639"/>
      <c r="B683" s="639"/>
      <c r="C683" s="884"/>
      <c r="D683" s="203"/>
      <c r="I683" s="886"/>
      <c r="J683" s="886"/>
      <c r="K683" s="172"/>
      <c r="L683" s="172"/>
      <c r="M683" s="888"/>
      <c r="O683" s="172"/>
      <c r="Q683" s="172"/>
      <c r="R683" s="172"/>
      <c r="S683" s="172"/>
      <c r="T683" s="172"/>
      <c r="AN683"/>
      <c r="AO683"/>
    </row>
    <row r="684" spans="1:41" x14ac:dyDescent="0.25">
      <c r="A684" s="639"/>
      <c r="B684" s="639"/>
      <c r="C684" s="884"/>
      <c r="D684" s="203"/>
      <c r="I684" s="886"/>
      <c r="J684" s="886"/>
      <c r="K684" s="172"/>
      <c r="L684" s="172"/>
      <c r="M684" s="888"/>
      <c r="O684" s="172"/>
      <c r="Q684" s="172"/>
      <c r="R684" s="172"/>
      <c r="S684" s="172"/>
      <c r="T684" s="172"/>
      <c r="AN684"/>
      <c r="AO684"/>
    </row>
    <row r="685" spans="1:41" x14ac:dyDescent="0.25">
      <c r="A685" s="639"/>
      <c r="B685" s="639"/>
      <c r="C685" s="884"/>
      <c r="D685" s="203"/>
      <c r="E685" s="889"/>
      <c r="I685" s="886"/>
      <c r="J685" s="886"/>
      <c r="K685" s="172"/>
      <c r="L685" s="172"/>
      <c r="M685" s="888"/>
      <c r="O685" s="172"/>
      <c r="Q685" s="172"/>
      <c r="R685" s="172"/>
      <c r="S685" s="172"/>
      <c r="T685" s="172"/>
      <c r="AN685"/>
      <c r="AO685"/>
    </row>
    <row r="686" spans="1:41" x14ac:dyDescent="0.25">
      <c r="A686" s="639"/>
      <c r="B686" s="639"/>
      <c r="C686" s="884"/>
      <c r="D686" s="203"/>
      <c r="E686" s="889"/>
      <c r="I686" s="886"/>
      <c r="J686" s="886"/>
      <c r="K686" s="172"/>
      <c r="L686" s="172"/>
      <c r="M686" s="888"/>
      <c r="O686" s="172"/>
      <c r="Q686" s="172"/>
      <c r="R686" s="172"/>
      <c r="S686" s="172"/>
      <c r="T686" s="172"/>
      <c r="AN686"/>
      <c r="AO686"/>
    </row>
    <row r="687" spans="1:41" x14ac:dyDescent="0.25">
      <c r="A687" s="639"/>
      <c r="B687" s="639"/>
      <c r="C687" s="884"/>
      <c r="D687" s="203"/>
      <c r="E687" s="570"/>
      <c r="I687" s="886"/>
      <c r="J687" s="886"/>
      <c r="K687" s="172"/>
      <c r="L687" s="172"/>
      <c r="M687" s="888"/>
      <c r="O687" s="172"/>
      <c r="Q687" s="172"/>
      <c r="R687" s="172"/>
      <c r="S687" s="172"/>
      <c r="T687" s="172"/>
      <c r="AN687"/>
      <c r="AO687"/>
    </row>
    <row r="688" spans="1:41" x14ac:dyDescent="0.25">
      <c r="A688" s="639"/>
      <c r="B688" s="639"/>
      <c r="C688" s="884"/>
      <c r="D688" s="203"/>
      <c r="E688" s="890"/>
      <c r="I688" s="886"/>
      <c r="J688" s="886"/>
      <c r="K688" s="172"/>
      <c r="L688" s="172"/>
      <c r="M688" s="888"/>
      <c r="O688" s="172"/>
      <c r="Q688" s="172"/>
      <c r="R688" s="172"/>
      <c r="S688" s="172"/>
      <c r="T688" s="172"/>
      <c r="AN688"/>
      <c r="AO688"/>
    </row>
    <row r="689" spans="1:41" x14ac:dyDescent="0.25">
      <c r="A689" s="639"/>
      <c r="B689" s="639"/>
      <c r="C689" s="884"/>
      <c r="D689" s="203"/>
      <c r="E689" s="890"/>
      <c r="I689" s="886"/>
      <c r="J689" s="886"/>
      <c r="K689" s="172"/>
      <c r="L689" s="172"/>
      <c r="M689" s="888"/>
      <c r="O689" s="172"/>
      <c r="Q689" s="172"/>
      <c r="R689" s="172"/>
      <c r="S689" s="172"/>
      <c r="T689" s="172"/>
      <c r="AN689"/>
      <c r="AO689"/>
    </row>
    <row r="690" spans="1:41" x14ac:dyDescent="0.25">
      <c r="A690" s="639"/>
      <c r="B690" s="639"/>
      <c r="C690" s="884"/>
      <c r="D690" s="203"/>
      <c r="E690" s="889"/>
      <c r="I690" s="886"/>
      <c r="J690" s="886"/>
      <c r="K690" s="172"/>
      <c r="L690" s="172"/>
      <c r="M690" s="888"/>
      <c r="O690" s="172"/>
      <c r="Q690" s="172"/>
      <c r="R690" s="172"/>
      <c r="S690" s="172"/>
      <c r="T690" s="172"/>
      <c r="AN690"/>
      <c r="AO690"/>
    </row>
    <row r="691" spans="1:41" x14ac:dyDescent="0.25">
      <c r="A691" s="639"/>
      <c r="B691" s="639"/>
      <c r="C691" s="884"/>
      <c r="D691" s="203"/>
      <c r="E691" s="889"/>
      <c r="I691" s="886"/>
      <c r="J691" s="886"/>
      <c r="K691" s="172"/>
      <c r="L691" s="172"/>
      <c r="M691" s="888"/>
      <c r="O691" s="172"/>
      <c r="Q691" s="172"/>
      <c r="R691" s="172"/>
      <c r="S691" s="172"/>
      <c r="T691" s="172"/>
      <c r="AN691"/>
      <c r="AO691"/>
    </row>
    <row r="692" spans="1:41" x14ac:dyDescent="0.25">
      <c r="A692" s="639"/>
      <c r="B692" s="639"/>
      <c r="C692" s="884"/>
      <c r="D692" s="203"/>
      <c r="E692" s="889"/>
      <c r="I692" s="886"/>
      <c r="J692" s="886"/>
      <c r="K692" s="172"/>
      <c r="L692" s="172"/>
      <c r="M692" s="888"/>
      <c r="O692" s="172"/>
      <c r="Q692" s="172"/>
      <c r="R692" s="172"/>
      <c r="S692" s="172"/>
      <c r="T692" s="172"/>
      <c r="AN692"/>
      <c r="AO692"/>
    </row>
    <row r="693" spans="1:41" x14ac:dyDescent="0.25">
      <c r="A693" s="639"/>
      <c r="B693" s="639"/>
      <c r="C693" s="884"/>
      <c r="D693" s="203"/>
      <c r="E693" s="890"/>
      <c r="I693" s="886"/>
      <c r="J693" s="886"/>
      <c r="K693" s="172"/>
      <c r="L693" s="172"/>
      <c r="M693" s="888"/>
      <c r="O693" s="172"/>
      <c r="Q693" s="172"/>
      <c r="R693" s="172"/>
      <c r="S693" s="172"/>
      <c r="T693" s="172"/>
      <c r="AN693"/>
      <c r="AO693"/>
    </row>
    <row r="694" spans="1:41" x14ac:dyDescent="0.25">
      <c r="A694" s="639"/>
      <c r="B694" s="639"/>
      <c r="C694" s="884"/>
      <c r="D694" s="203"/>
      <c r="E694" s="890"/>
      <c r="I694" s="886"/>
      <c r="J694" s="886"/>
      <c r="K694" s="173"/>
      <c r="L694" s="172"/>
      <c r="M694" s="888"/>
      <c r="O694" s="172"/>
      <c r="Q694" s="172"/>
      <c r="R694" s="172"/>
      <c r="S694" s="172"/>
      <c r="T694" s="172"/>
      <c r="AN694"/>
      <c r="AO694"/>
    </row>
    <row r="695" spans="1:41" x14ac:dyDescent="0.25">
      <c r="A695" s="639"/>
      <c r="B695" s="639"/>
      <c r="C695" s="884"/>
      <c r="D695" s="203"/>
      <c r="E695" s="889"/>
      <c r="I695" s="886"/>
      <c r="J695" s="886"/>
      <c r="K695" s="173"/>
      <c r="L695" s="172"/>
      <c r="M695" s="888"/>
      <c r="O695" s="172"/>
      <c r="Q695" s="172"/>
      <c r="R695" s="172"/>
      <c r="S695" s="172"/>
      <c r="T695" s="172"/>
      <c r="AN695"/>
      <c r="AO695"/>
    </row>
    <row r="696" spans="1:41" x14ac:dyDescent="0.25">
      <c r="A696" s="639"/>
      <c r="B696" s="639"/>
      <c r="C696" s="884"/>
      <c r="D696" s="203"/>
      <c r="E696" s="890"/>
      <c r="I696" s="886"/>
      <c r="J696" s="886"/>
      <c r="K696" s="835"/>
      <c r="L696" s="172"/>
      <c r="M696" s="888"/>
      <c r="O696" s="172"/>
      <c r="Q696" s="172"/>
      <c r="R696" s="172"/>
      <c r="S696" s="172"/>
      <c r="T696" s="172"/>
      <c r="AN696"/>
      <c r="AO696"/>
    </row>
    <row r="697" spans="1:41" x14ac:dyDescent="0.25">
      <c r="A697" s="639"/>
      <c r="B697" s="639"/>
      <c r="C697" s="884"/>
      <c r="D697" s="203"/>
      <c r="I697" s="886"/>
      <c r="J697" s="886"/>
      <c r="K697" s="172"/>
      <c r="L697" s="172"/>
      <c r="M697" s="888"/>
      <c r="O697" s="172"/>
      <c r="Q697" s="172"/>
      <c r="R697" s="172"/>
      <c r="S697" s="172"/>
      <c r="T697" s="172"/>
      <c r="AN697"/>
      <c r="AO697"/>
    </row>
    <row r="698" spans="1:41" x14ac:dyDescent="0.25">
      <c r="A698" s="639"/>
      <c r="B698" s="639"/>
      <c r="C698" s="884"/>
      <c r="D698" s="203"/>
      <c r="I698" s="886"/>
      <c r="J698" s="886"/>
      <c r="K698" s="172"/>
      <c r="L698" s="172"/>
      <c r="M698" s="888"/>
      <c r="O698" s="172"/>
      <c r="Q698" s="172"/>
      <c r="R698" s="172"/>
      <c r="S698" s="172"/>
      <c r="T698" s="172"/>
      <c r="AN698"/>
      <c r="AO698"/>
    </row>
    <row r="699" spans="1:41" x14ac:dyDescent="0.25">
      <c r="A699" s="639"/>
      <c r="B699" s="639"/>
      <c r="C699" s="884"/>
      <c r="D699" s="203"/>
      <c r="I699" s="886"/>
      <c r="J699" s="886"/>
      <c r="K699" s="173"/>
      <c r="L699" s="172"/>
      <c r="M699" s="888"/>
      <c r="O699" s="172"/>
      <c r="Q699" s="172"/>
      <c r="R699" s="172"/>
      <c r="S699" s="172"/>
      <c r="T699" s="172"/>
      <c r="AN699"/>
      <c r="AO699"/>
    </row>
    <row r="700" spans="1:41" x14ac:dyDescent="0.25">
      <c r="A700" s="639"/>
      <c r="B700" s="639"/>
      <c r="C700" s="884"/>
      <c r="D700" s="203"/>
      <c r="I700" s="886"/>
      <c r="J700" s="886"/>
      <c r="K700" s="173"/>
      <c r="L700" s="172"/>
      <c r="M700" s="888"/>
      <c r="O700" s="172"/>
      <c r="Q700" s="172"/>
      <c r="R700" s="172"/>
      <c r="S700" s="172"/>
      <c r="T700" s="172"/>
      <c r="AN700"/>
      <c r="AO700"/>
    </row>
    <row r="701" spans="1:41" x14ac:dyDescent="0.25">
      <c r="A701" s="639"/>
      <c r="B701" s="639"/>
      <c r="C701" s="884"/>
      <c r="D701" s="203"/>
      <c r="I701" s="886"/>
      <c r="J701" s="886"/>
      <c r="K701" s="173"/>
      <c r="L701" s="172"/>
      <c r="M701" s="888"/>
      <c r="O701" s="172"/>
      <c r="Q701" s="172"/>
      <c r="R701" s="172"/>
      <c r="S701" s="172"/>
      <c r="T701" s="172"/>
      <c r="AN701"/>
      <c r="AO701"/>
    </row>
    <row r="702" spans="1:41" x14ac:dyDescent="0.25">
      <c r="A702" s="639"/>
      <c r="B702" s="639"/>
      <c r="C702" s="884"/>
      <c r="D702" s="203"/>
      <c r="I702" s="886"/>
      <c r="J702" s="886"/>
      <c r="K702" s="172"/>
      <c r="L702" s="172"/>
      <c r="M702" s="888"/>
      <c r="O702" s="172"/>
      <c r="Q702" s="172"/>
      <c r="R702" s="172"/>
      <c r="S702" s="172"/>
      <c r="T702" s="172"/>
      <c r="AN702"/>
      <c r="AO702"/>
    </row>
    <row r="703" spans="1:41" x14ac:dyDescent="0.25">
      <c r="A703" s="639"/>
      <c r="B703" s="639"/>
      <c r="C703" s="884"/>
      <c r="D703" s="203"/>
      <c r="I703" s="886"/>
      <c r="J703" s="886"/>
      <c r="K703" s="172"/>
      <c r="L703" s="172"/>
      <c r="M703" s="888"/>
      <c r="O703" s="172"/>
      <c r="Q703" s="172"/>
      <c r="R703" s="172"/>
      <c r="S703" s="172"/>
      <c r="T703" s="172"/>
      <c r="AN703"/>
      <c r="AO703"/>
    </row>
    <row r="704" spans="1:41" x14ac:dyDescent="0.25">
      <c r="A704" s="639"/>
      <c r="B704" s="639"/>
      <c r="C704" s="884"/>
      <c r="D704" s="203"/>
      <c r="I704" s="886"/>
      <c r="J704" s="886"/>
      <c r="K704" s="173"/>
      <c r="L704" s="172"/>
      <c r="M704" s="888"/>
      <c r="O704" s="172"/>
      <c r="Q704" s="172"/>
      <c r="R704" s="172"/>
      <c r="S704" s="172"/>
      <c r="T704" s="172"/>
      <c r="AN704"/>
      <c r="AO704"/>
    </row>
    <row r="705" spans="1:41" x14ac:dyDescent="0.25">
      <c r="A705" s="639"/>
      <c r="B705" s="639"/>
      <c r="C705" s="884"/>
      <c r="D705" s="203"/>
      <c r="I705" s="886"/>
      <c r="J705" s="886"/>
      <c r="K705" s="172"/>
      <c r="L705" s="172"/>
      <c r="M705" s="888"/>
      <c r="O705" s="172"/>
      <c r="Q705" s="172"/>
      <c r="R705" s="172"/>
      <c r="S705" s="172"/>
      <c r="T705" s="172"/>
      <c r="AN705"/>
      <c r="AO705"/>
    </row>
    <row r="706" spans="1:41" x14ac:dyDescent="0.25">
      <c r="A706" s="639"/>
      <c r="B706" s="639"/>
      <c r="C706" s="884"/>
      <c r="D706" s="203"/>
      <c r="I706" s="886"/>
      <c r="J706" s="886"/>
      <c r="K706" s="172"/>
      <c r="L706" s="172"/>
      <c r="M706" s="888"/>
      <c r="O706" s="172"/>
      <c r="Q706" s="172"/>
      <c r="R706" s="172"/>
      <c r="S706" s="172"/>
      <c r="T706" s="172"/>
      <c r="AN706"/>
      <c r="AO706"/>
    </row>
    <row r="707" spans="1:41" x14ac:dyDescent="0.25">
      <c r="A707" s="639"/>
      <c r="B707" s="639"/>
      <c r="C707" s="884"/>
      <c r="D707" s="203"/>
      <c r="I707" s="886"/>
      <c r="J707" s="886"/>
      <c r="K707" s="172"/>
      <c r="L707" s="172"/>
      <c r="M707" s="888"/>
      <c r="O707" s="172"/>
      <c r="Q707" s="172"/>
      <c r="R707" s="172"/>
      <c r="S707" s="172"/>
      <c r="T707" s="172"/>
      <c r="AN707"/>
      <c r="AO707"/>
    </row>
    <row r="708" spans="1:41" x14ac:dyDescent="0.25">
      <c r="A708" s="639"/>
      <c r="B708" s="639"/>
      <c r="C708" s="884"/>
      <c r="D708" s="203"/>
      <c r="I708" s="886"/>
      <c r="J708" s="886"/>
      <c r="K708" s="172"/>
      <c r="L708" s="172"/>
      <c r="M708" s="888"/>
      <c r="O708" s="172"/>
      <c r="Q708" s="172"/>
      <c r="R708" s="172"/>
      <c r="S708" s="172"/>
      <c r="T708" s="172"/>
      <c r="AN708"/>
      <c r="AO708"/>
    </row>
    <row r="709" spans="1:41" x14ac:dyDescent="0.25">
      <c r="A709" s="639"/>
      <c r="B709" s="639"/>
      <c r="C709" s="884"/>
      <c r="D709" s="203"/>
      <c r="I709" s="886"/>
      <c r="J709" s="886"/>
      <c r="K709" s="172"/>
      <c r="L709" s="172"/>
      <c r="M709" s="888"/>
      <c r="O709" s="172"/>
      <c r="Q709" s="172"/>
      <c r="R709" s="172"/>
      <c r="S709" s="172"/>
      <c r="T709" s="172"/>
      <c r="AN709"/>
      <c r="AO709"/>
    </row>
    <row r="710" spans="1:41" x14ac:dyDescent="0.25">
      <c r="A710" s="639"/>
      <c r="B710" s="639"/>
      <c r="C710" s="884"/>
      <c r="D710" s="203"/>
      <c r="I710" s="886"/>
      <c r="J710" s="886"/>
      <c r="K710" s="172"/>
      <c r="L710" s="172"/>
      <c r="M710" s="888"/>
      <c r="O710" s="172"/>
      <c r="Q710" s="172"/>
      <c r="R710" s="172"/>
      <c r="S710" s="172"/>
      <c r="T710" s="172"/>
      <c r="AN710"/>
      <c r="AO710"/>
    </row>
    <row r="711" spans="1:41" x14ac:dyDescent="0.25">
      <c r="A711" s="639"/>
      <c r="B711" s="639"/>
      <c r="C711" s="884"/>
      <c r="D711" s="203"/>
      <c r="I711" s="886"/>
      <c r="J711" s="886"/>
      <c r="K711" s="172"/>
      <c r="L711" s="172"/>
      <c r="M711" s="888"/>
      <c r="O711" s="172"/>
      <c r="Q711" s="172"/>
      <c r="R711" s="172"/>
      <c r="S711" s="172"/>
      <c r="T711" s="172"/>
      <c r="AN711"/>
      <c r="AO711"/>
    </row>
    <row r="712" spans="1:41" x14ac:dyDescent="0.25">
      <c r="A712" s="639"/>
      <c r="B712" s="639"/>
      <c r="C712" s="884"/>
      <c r="D712" s="203"/>
      <c r="I712" s="886"/>
      <c r="J712" s="886"/>
      <c r="K712" s="172"/>
      <c r="L712" s="172"/>
      <c r="M712" s="888"/>
      <c r="O712" s="172"/>
      <c r="Q712" s="172"/>
      <c r="R712" s="172"/>
      <c r="S712" s="172"/>
      <c r="T712" s="172"/>
      <c r="AN712"/>
      <c r="AO712"/>
    </row>
    <row r="713" spans="1:41" x14ac:dyDescent="0.25">
      <c r="A713" s="639"/>
      <c r="B713" s="639"/>
      <c r="C713" s="884"/>
      <c r="D713" s="203"/>
      <c r="I713" s="886"/>
      <c r="J713" s="886"/>
      <c r="K713" s="172"/>
      <c r="L713" s="172"/>
      <c r="M713" s="888"/>
      <c r="O713" s="172"/>
      <c r="Q713" s="172"/>
      <c r="R713" s="172"/>
      <c r="S713" s="172"/>
      <c r="T713" s="172"/>
      <c r="AN713"/>
      <c r="AO713"/>
    </row>
    <row r="714" spans="1:41" x14ac:dyDescent="0.25">
      <c r="A714" s="639"/>
      <c r="B714" s="639"/>
      <c r="C714" s="884"/>
      <c r="D714" s="203"/>
      <c r="I714" s="886"/>
      <c r="J714" s="886"/>
      <c r="K714" s="172"/>
      <c r="L714" s="172"/>
      <c r="M714" s="888"/>
      <c r="O714" s="172"/>
      <c r="Q714" s="172"/>
      <c r="R714" s="172"/>
      <c r="S714" s="172"/>
      <c r="T714" s="172"/>
      <c r="AN714"/>
      <c r="AO714"/>
    </row>
    <row r="715" spans="1:41" x14ac:dyDescent="0.25">
      <c r="A715" s="639"/>
      <c r="B715" s="639"/>
      <c r="C715" s="884"/>
      <c r="D715" s="203"/>
      <c r="I715" s="886"/>
      <c r="J715" s="886"/>
      <c r="K715" s="172"/>
      <c r="L715" s="172"/>
      <c r="M715" s="888"/>
      <c r="O715" s="172"/>
      <c r="Q715" s="172"/>
      <c r="R715" s="172"/>
      <c r="S715" s="172"/>
      <c r="T715" s="172"/>
      <c r="AN715"/>
      <c r="AO715"/>
    </row>
    <row r="716" spans="1:41" x14ac:dyDescent="0.25">
      <c r="A716" s="639"/>
      <c r="B716" s="639"/>
      <c r="C716" s="884"/>
      <c r="D716" s="203"/>
      <c r="I716" s="886"/>
      <c r="J716" s="886"/>
      <c r="K716" s="172"/>
      <c r="L716" s="172"/>
      <c r="M716" s="888"/>
      <c r="O716" s="172"/>
      <c r="Q716" s="172"/>
      <c r="R716" s="172"/>
      <c r="S716" s="172"/>
      <c r="T716" s="172"/>
      <c r="AN716"/>
      <c r="AO716"/>
    </row>
    <row r="717" spans="1:41" x14ac:dyDescent="0.25">
      <c r="A717" s="639"/>
      <c r="B717" s="639"/>
      <c r="C717" s="884"/>
      <c r="D717" s="203"/>
      <c r="I717" s="886"/>
      <c r="J717" s="886"/>
      <c r="K717" s="172"/>
      <c r="L717" s="172"/>
      <c r="M717" s="888"/>
      <c r="O717" s="172"/>
      <c r="Q717" s="172"/>
      <c r="R717" s="172"/>
      <c r="S717" s="172"/>
      <c r="T717" s="172"/>
      <c r="AN717"/>
      <c r="AO717"/>
    </row>
    <row r="718" spans="1:41" x14ac:dyDescent="0.25">
      <c r="A718" s="639"/>
      <c r="B718" s="639"/>
      <c r="C718" s="884"/>
      <c r="D718" s="203"/>
      <c r="I718" s="886"/>
      <c r="J718" s="886"/>
      <c r="K718" s="172"/>
      <c r="L718" s="172"/>
      <c r="M718" s="888"/>
      <c r="O718" s="172"/>
      <c r="Q718" s="172"/>
      <c r="R718" s="172"/>
      <c r="S718" s="172"/>
      <c r="T718" s="172"/>
      <c r="AN718"/>
      <c r="AO718"/>
    </row>
    <row r="719" spans="1:41" x14ac:dyDescent="0.25">
      <c r="A719" s="639"/>
      <c r="B719" s="639"/>
      <c r="C719" s="884"/>
      <c r="D719" s="203"/>
      <c r="I719" s="886"/>
      <c r="J719" s="886"/>
      <c r="K719" s="172"/>
      <c r="L719" s="172"/>
      <c r="M719" s="888"/>
      <c r="O719" s="172"/>
      <c r="Q719" s="172"/>
      <c r="R719" s="172"/>
      <c r="S719" s="172"/>
      <c r="T719" s="172"/>
      <c r="AN719"/>
      <c r="AO719"/>
    </row>
    <row r="720" spans="1:41" x14ac:dyDescent="0.25">
      <c r="A720" s="639"/>
      <c r="B720" s="639"/>
      <c r="C720" s="884"/>
      <c r="D720" s="203"/>
      <c r="I720" s="886"/>
      <c r="J720" s="886"/>
      <c r="K720" s="172"/>
      <c r="L720" s="172"/>
      <c r="M720" s="888"/>
      <c r="O720" s="172"/>
      <c r="Q720" s="172"/>
      <c r="R720" s="172"/>
      <c r="S720" s="172"/>
      <c r="T720" s="172"/>
      <c r="AN720"/>
      <c r="AO720"/>
    </row>
    <row r="721" spans="1:41" x14ac:dyDescent="0.25">
      <c r="A721" s="639"/>
      <c r="B721" s="639"/>
      <c r="C721" s="884"/>
      <c r="D721" s="203"/>
      <c r="I721" s="886"/>
      <c r="J721" s="886"/>
      <c r="K721" s="172"/>
      <c r="L721" s="172"/>
      <c r="M721" s="888"/>
      <c r="O721" s="172"/>
      <c r="Q721" s="172"/>
      <c r="R721" s="172"/>
      <c r="S721" s="172"/>
      <c r="T721" s="172"/>
      <c r="AN721"/>
      <c r="AO721"/>
    </row>
    <row r="722" spans="1:41" x14ac:dyDescent="0.25">
      <c r="A722" s="639"/>
      <c r="B722" s="639"/>
      <c r="C722" s="884"/>
      <c r="D722" s="203"/>
      <c r="I722" s="886"/>
      <c r="J722" s="886"/>
      <c r="K722" s="172"/>
      <c r="L722" s="172"/>
      <c r="M722" s="888"/>
      <c r="O722" s="172"/>
      <c r="Q722" s="172"/>
      <c r="R722" s="172"/>
      <c r="S722" s="172"/>
      <c r="T722" s="172"/>
      <c r="AN722"/>
      <c r="AO722"/>
    </row>
    <row r="723" spans="1:41" x14ac:dyDescent="0.25">
      <c r="A723" s="639"/>
      <c r="B723" s="639"/>
      <c r="C723" s="884"/>
      <c r="D723" s="203"/>
      <c r="I723" s="886"/>
      <c r="J723" s="886"/>
      <c r="K723" s="172"/>
      <c r="L723" s="172"/>
      <c r="M723" s="888"/>
      <c r="O723" s="172"/>
      <c r="Q723" s="172"/>
      <c r="R723" s="172"/>
      <c r="S723" s="172"/>
      <c r="T723" s="172"/>
      <c r="AN723"/>
      <c r="AO723"/>
    </row>
    <row r="724" spans="1:41" x14ac:dyDescent="0.25">
      <c r="A724" s="639"/>
      <c r="B724" s="639"/>
      <c r="C724" s="884"/>
      <c r="D724" s="203"/>
      <c r="I724" s="886"/>
      <c r="J724" s="886"/>
      <c r="K724" s="172"/>
      <c r="L724" s="172"/>
      <c r="M724" s="888"/>
      <c r="O724" s="172"/>
      <c r="Q724" s="172"/>
      <c r="R724" s="172"/>
      <c r="S724" s="172"/>
      <c r="T724" s="172"/>
      <c r="AN724"/>
      <c r="AO724"/>
    </row>
    <row r="725" spans="1:41" x14ac:dyDescent="0.25">
      <c r="A725" s="639"/>
      <c r="B725" s="639"/>
      <c r="C725" s="884"/>
      <c r="D725" s="203"/>
      <c r="I725" s="886"/>
      <c r="J725" s="886"/>
      <c r="K725" s="172"/>
      <c r="L725" s="172"/>
      <c r="M725" s="888"/>
      <c r="O725" s="172"/>
      <c r="Q725" s="172"/>
      <c r="R725" s="172"/>
      <c r="S725" s="172"/>
      <c r="T725" s="172"/>
      <c r="AN725"/>
      <c r="AO725"/>
    </row>
    <row r="726" spans="1:41" x14ac:dyDescent="0.25">
      <c r="A726" s="639"/>
      <c r="B726" s="639"/>
      <c r="C726" s="884"/>
      <c r="D726" s="203"/>
      <c r="I726" s="886"/>
      <c r="J726" s="886"/>
      <c r="K726" s="172"/>
      <c r="L726" s="172"/>
      <c r="M726" s="888"/>
      <c r="O726" s="172"/>
      <c r="Q726" s="172"/>
      <c r="R726" s="172"/>
      <c r="S726" s="172"/>
      <c r="T726" s="172"/>
      <c r="AN726"/>
      <c r="AO726"/>
    </row>
    <row r="727" spans="1:41" x14ac:dyDescent="0.25">
      <c r="A727" s="639"/>
      <c r="B727" s="639"/>
      <c r="C727" s="884"/>
      <c r="D727" s="203"/>
      <c r="I727" s="886"/>
      <c r="J727" s="886"/>
      <c r="K727" s="172"/>
      <c r="L727" s="172"/>
      <c r="M727" s="888"/>
      <c r="O727" s="172"/>
      <c r="Q727" s="172"/>
      <c r="R727" s="172"/>
      <c r="S727" s="172"/>
      <c r="T727" s="172"/>
      <c r="AN727"/>
      <c r="AO727"/>
    </row>
    <row r="728" spans="1:41" x14ac:dyDescent="0.25">
      <c r="A728" s="639"/>
      <c r="B728" s="639"/>
      <c r="C728" s="884"/>
      <c r="D728" s="203"/>
      <c r="I728" s="886"/>
      <c r="J728" s="886"/>
      <c r="K728" s="172"/>
      <c r="L728" s="172"/>
      <c r="M728" s="888"/>
      <c r="O728" s="172"/>
      <c r="Q728" s="172"/>
      <c r="R728" s="172"/>
      <c r="S728" s="172"/>
      <c r="T728" s="172"/>
      <c r="AN728"/>
      <c r="AO728"/>
    </row>
    <row r="729" spans="1:41" x14ac:dyDescent="0.25">
      <c r="A729" s="639"/>
      <c r="B729" s="639"/>
      <c r="C729" s="884"/>
      <c r="D729" s="203"/>
      <c r="I729" s="886"/>
      <c r="J729" s="886"/>
      <c r="K729" s="172"/>
      <c r="L729" s="172"/>
      <c r="M729" s="888"/>
      <c r="O729" s="172"/>
      <c r="Q729" s="172"/>
      <c r="R729" s="172"/>
      <c r="S729" s="172"/>
      <c r="T729" s="172"/>
      <c r="AN729"/>
      <c r="AO729"/>
    </row>
    <row r="730" spans="1:41" x14ac:dyDescent="0.25">
      <c r="A730" s="639"/>
      <c r="B730" s="639"/>
      <c r="C730" s="884"/>
      <c r="D730" s="203"/>
      <c r="I730" s="886"/>
      <c r="J730" s="886"/>
      <c r="K730" s="172"/>
      <c r="L730" s="172"/>
      <c r="M730" s="888"/>
      <c r="O730" s="172"/>
      <c r="Q730" s="172"/>
      <c r="R730" s="172"/>
      <c r="S730" s="172"/>
      <c r="T730" s="172"/>
      <c r="AN730"/>
      <c r="AO730"/>
    </row>
    <row r="731" spans="1:41" x14ac:dyDescent="0.25">
      <c r="A731" s="639"/>
      <c r="B731" s="639"/>
      <c r="C731" s="884"/>
      <c r="D731" s="203"/>
      <c r="I731" s="886"/>
      <c r="J731" s="886"/>
      <c r="K731" s="172"/>
      <c r="L731" s="172"/>
      <c r="M731" s="888"/>
      <c r="O731" s="172"/>
      <c r="Q731" s="172"/>
      <c r="R731" s="172"/>
      <c r="S731" s="172"/>
      <c r="T731" s="172"/>
      <c r="AN731"/>
      <c r="AO731"/>
    </row>
    <row r="732" spans="1:41" x14ac:dyDescent="0.25">
      <c r="A732" s="639"/>
      <c r="B732" s="639"/>
      <c r="C732" s="884"/>
      <c r="D732" s="203"/>
      <c r="I732" s="886"/>
      <c r="J732" s="886"/>
      <c r="K732" s="172"/>
      <c r="L732" s="172"/>
      <c r="M732" s="888"/>
      <c r="O732" s="172"/>
      <c r="Q732" s="172"/>
      <c r="R732" s="172"/>
      <c r="S732" s="172"/>
      <c r="T732" s="172"/>
      <c r="AN732"/>
      <c r="AO732"/>
    </row>
    <row r="733" spans="1:41" x14ac:dyDescent="0.25">
      <c r="A733" s="639"/>
      <c r="B733" s="639"/>
      <c r="C733" s="884"/>
      <c r="D733" s="203"/>
      <c r="I733" s="886"/>
      <c r="J733" s="886"/>
      <c r="K733" s="172"/>
      <c r="L733" s="172"/>
      <c r="M733" s="888"/>
      <c r="O733" s="172"/>
      <c r="Q733" s="172"/>
      <c r="R733" s="172"/>
      <c r="S733" s="172"/>
      <c r="T733" s="172"/>
      <c r="AN733"/>
      <c r="AO733"/>
    </row>
    <row r="734" spans="1:41" x14ac:dyDescent="0.25">
      <c r="A734" s="639"/>
      <c r="B734" s="639"/>
      <c r="C734" s="884"/>
      <c r="D734" s="203"/>
      <c r="I734" s="886"/>
      <c r="J734" s="886"/>
      <c r="K734" s="172"/>
      <c r="L734" s="172"/>
      <c r="M734" s="888"/>
      <c r="O734" s="172"/>
      <c r="Q734" s="172"/>
      <c r="R734" s="172"/>
      <c r="S734" s="172"/>
      <c r="T734" s="172"/>
      <c r="AN734"/>
      <c r="AO734"/>
    </row>
    <row r="735" spans="1:41" x14ac:dyDescent="0.25">
      <c r="A735" s="639"/>
      <c r="B735" s="639"/>
      <c r="C735" s="884"/>
      <c r="D735" s="203"/>
      <c r="I735" s="886"/>
      <c r="J735" s="886"/>
      <c r="K735" s="172"/>
      <c r="L735" s="172"/>
      <c r="M735" s="888"/>
      <c r="O735" s="172"/>
      <c r="Q735" s="172"/>
      <c r="R735" s="172"/>
      <c r="S735" s="172"/>
      <c r="T735" s="172"/>
      <c r="AN735"/>
      <c r="AO735"/>
    </row>
    <row r="736" spans="1:41" x14ac:dyDescent="0.25">
      <c r="A736" s="639"/>
      <c r="B736" s="639"/>
      <c r="C736" s="884"/>
      <c r="D736" s="203"/>
      <c r="I736" s="886"/>
      <c r="J736" s="886"/>
      <c r="K736" s="172"/>
      <c r="L736" s="172"/>
      <c r="M736" s="888"/>
      <c r="O736" s="172"/>
      <c r="Q736" s="172"/>
      <c r="R736" s="172"/>
      <c r="S736" s="172"/>
      <c r="T736" s="172"/>
      <c r="AN736"/>
      <c r="AO736"/>
    </row>
    <row r="737" spans="1:41" x14ac:dyDescent="0.25">
      <c r="A737" s="639"/>
      <c r="B737" s="639"/>
      <c r="C737" s="884"/>
      <c r="D737" s="203"/>
      <c r="I737" s="886"/>
      <c r="J737" s="886"/>
      <c r="K737" s="172"/>
      <c r="L737" s="172"/>
      <c r="M737" s="888"/>
      <c r="O737" s="172"/>
      <c r="Q737" s="172"/>
      <c r="R737" s="172"/>
      <c r="S737" s="172"/>
      <c r="T737" s="172"/>
      <c r="AN737"/>
      <c r="AO737"/>
    </row>
    <row r="738" spans="1:41" x14ac:dyDescent="0.25">
      <c r="A738" s="639"/>
      <c r="B738" s="639"/>
      <c r="C738" s="884"/>
      <c r="D738" s="203"/>
      <c r="I738" s="886"/>
      <c r="J738" s="886"/>
      <c r="K738" s="172"/>
      <c r="L738" s="172"/>
      <c r="M738" s="888"/>
      <c r="O738" s="172"/>
      <c r="Q738" s="172"/>
      <c r="R738" s="172"/>
      <c r="S738" s="172"/>
      <c r="T738" s="172"/>
      <c r="AN738"/>
      <c r="AO738"/>
    </row>
    <row r="739" spans="1:41" x14ac:dyDescent="0.25">
      <c r="A739" s="639"/>
      <c r="B739" s="639"/>
      <c r="C739" s="884"/>
      <c r="D739" s="203"/>
      <c r="I739" s="886"/>
      <c r="J739" s="886"/>
      <c r="K739" s="172"/>
      <c r="L739" s="172"/>
      <c r="M739" s="888"/>
      <c r="O739" s="172"/>
      <c r="Q739" s="172"/>
      <c r="R739" s="172"/>
      <c r="S739" s="172"/>
      <c r="T739" s="172"/>
      <c r="AN739"/>
      <c r="AO739"/>
    </row>
    <row r="740" spans="1:41" x14ac:dyDescent="0.25">
      <c r="A740" s="639"/>
      <c r="B740" s="639"/>
      <c r="C740" s="884"/>
      <c r="D740" s="203"/>
      <c r="I740" s="886"/>
      <c r="J740" s="886"/>
      <c r="K740" s="172"/>
      <c r="L740" s="172"/>
      <c r="M740" s="888"/>
      <c r="O740" s="172"/>
      <c r="Q740" s="172"/>
      <c r="R740" s="172"/>
      <c r="S740" s="172"/>
      <c r="T740" s="172"/>
      <c r="AN740"/>
      <c r="AO740"/>
    </row>
    <row r="741" spans="1:41" x14ac:dyDescent="0.25">
      <c r="A741" s="639"/>
      <c r="B741" s="639"/>
      <c r="C741" s="884"/>
      <c r="D741" s="203"/>
      <c r="I741" s="886"/>
      <c r="J741" s="886"/>
      <c r="K741" s="172"/>
      <c r="L741" s="172"/>
      <c r="M741" s="888"/>
      <c r="O741" s="172"/>
      <c r="Q741" s="172"/>
      <c r="R741" s="172"/>
      <c r="S741" s="172"/>
      <c r="T741" s="172"/>
      <c r="AN741"/>
      <c r="AO741"/>
    </row>
    <row r="742" spans="1:41" x14ac:dyDescent="0.25">
      <c r="A742" s="639"/>
      <c r="B742" s="639"/>
      <c r="C742" s="884"/>
      <c r="D742" s="203"/>
      <c r="I742" s="886"/>
      <c r="J742" s="886"/>
      <c r="K742" s="172"/>
      <c r="L742" s="172"/>
      <c r="M742" s="888"/>
      <c r="O742" s="172"/>
      <c r="Q742" s="172"/>
      <c r="R742" s="172"/>
      <c r="S742" s="172"/>
      <c r="T742" s="172"/>
      <c r="AN742"/>
      <c r="AO742"/>
    </row>
    <row r="743" spans="1:41" x14ac:dyDescent="0.25">
      <c r="A743" s="639"/>
      <c r="B743" s="639"/>
      <c r="C743" s="884"/>
      <c r="D743" s="203"/>
      <c r="I743" s="886"/>
      <c r="J743" s="886"/>
      <c r="K743" s="172"/>
      <c r="L743" s="172"/>
      <c r="M743" s="888"/>
      <c r="O743" s="172"/>
      <c r="Q743" s="172"/>
      <c r="R743" s="172"/>
      <c r="S743" s="172"/>
      <c r="T743" s="172"/>
      <c r="AN743"/>
      <c r="AO743"/>
    </row>
    <row r="744" spans="1:41" x14ac:dyDescent="0.25">
      <c r="A744" s="639"/>
      <c r="B744" s="639"/>
      <c r="C744" s="884"/>
      <c r="D744" s="203"/>
      <c r="I744" s="886"/>
      <c r="J744" s="886"/>
      <c r="K744" s="172"/>
      <c r="L744" s="172"/>
      <c r="M744" s="888"/>
      <c r="O744" s="172"/>
      <c r="Q744" s="172"/>
      <c r="R744" s="172"/>
      <c r="S744" s="172"/>
      <c r="T744" s="172"/>
      <c r="AN744"/>
      <c r="AO744"/>
    </row>
    <row r="745" spans="1:41" x14ac:dyDescent="0.25">
      <c r="A745" s="639"/>
      <c r="B745" s="639"/>
      <c r="C745" s="884"/>
      <c r="D745" s="203"/>
      <c r="I745" s="886"/>
      <c r="J745" s="886"/>
      <c r="K745" s="172"/>
      <c r="L745" s="172"/>
      <c r="M745" s="888"/>
      <c r="O745" s="172"/>
      <c r="Q745" s="172"/>
      <c r="R745" s="172"/>
      <c r="S745" s="172"/>
      <c r="T745" s="172"/>
      <c r="AN745"/>
      <c r="AO745"/>
    </row>
    <row r="746" spans="1:41" x14ac:dyDescent="0.25">
      <c r="A746" s="639"/>
      <c r="B746" s="639"/>
      <c r="C746" s="884"/>
      <c r="D746" s="203"/>
      <c r="I746" s="886"/>
      <c r="J746" s="886"/>
      <c r="K746" s="172"/>
      <c r="L746" s="172"/>
      <c r="M746" s="888"/>
      <c r="O746" s="172"/>
      <c r="Q746" s="172"/>
      <c r="R746" s="172"/>
      <c r="S746" s="172"/>
      <c r="T746" s="172"/>
      <c r="AN746"/>
      <c r="AO746"/>
    </row>
    <row r="747" spans="1:41" x14ac:dyDescent="0.25">
      <c r="A747" s="639"/>
      <c r="B747" s="639"/>
      <c r="C747" s="884"/>
      <c r="D747" s="203"/>
      <c r="I747" s="886"/>
      <c r="J747" s="886"/>
      <c r="K747" s="172"/>
      <c r="L747" s="172"/>
      <c r="M747" s="888"/>
      <c r="O747" s="172"/>
      <c r="Q747" s="172"/>
      <c r="R747" s="172"/>
      <c r="S747" s="172"/>
      <c r="T747" s="172"/>
      <c r="AN747"/>
      <c r="AO747"/>
    </row>
    <row r="748" spans="1:41" x14ac:dyDescent="0.25">
      <c r="A748" s="639"/>
      <c r="B748" s="639"/>
      <c r="C748" s="884"/>
      <c r="D748" s="203"/>
      <c r="I748" s="886"/>
      <c r="J748" s="886"/>
      <c r="K748" s="172"/>
      <c r="L748" s="172"/>
      <c r="M748" s="888"/>
      <c r="O748" s="172"/>
      <c r="Q748" s="172"/>
      <c r="R748" s="172"/>
      <c r="S748" s="172"/>
      <c r="T748" s="172"/>
      <c r="AN748"/>
      <c r="AO748"/>
    </row>
    <row r="749" spans="1:41" x14ac:dyDescent="0.25">
      <c r="A749" s="639"/>
      <c r="B749" s="639"/>
      <c r="C749" s="884"/>
      <c r="D749" s="203"/>
      <c r="I749" s="886"/>
      <c r="J749" s="886"/>
      <c r="K749" s="172"/>
      <c r="L749" s="172"/>
      <c r="M749" s="888"/>
      <c r="O749" s="172"/>
      <c r="Q749" s="172"/>
      <c r="R749" s="172"/>
      <c r="S749" s="172"/>
      <c r="T749" s="172"/>
      <c r="AN749"/>
      <c r="AO749"/>
    </row>
    <row r="750" spans="1:41" x14ac:dyDescent="0.25">
      <c r="A750" s="639"/>
      <c r="B750" s="639"/>
      <c r="C750" s="884"/>
      <c r="D750" s="203"/>
      <c r="I750" s="886"/>
      <c r="J750" s="886"/>
      <c r="K750" s="172"/>
      <c r="L750" s="172"/>
      <c r="M750" s="888"/>
      <c r="O750" s="172"/>
      <c r="Q750" s="172"/>
      <c r="R750" s="172"/>
      <c r="S750" s="172"/>
      <c r="T750" s="172"/>
      <c r="AN750"/>
      <c r="AO750"/>
    </row>
    <row r="751" spans="1:41" x14ac:dyDescent="0.25">
      <c r="A751" s="639"/>
      <c r="B751" s="639"/>
      <c r="C751" s="884"/>
      <c r="D751" s="203"/>
      <c r="I751" s="886"/>
      <c r="J751" s="886"/>
      <c r="K751" s="172"/>
      <c r="L751" s="172"/>
      <c r="M751" s="888"/>
      <c r="O751" s="172"/>
      <c r="Q751" s="172"/>
      <c r="R751" s="172"/>
      <c r="S751" s="172"/>
      <c r="T751" s="172"/>
      <c r="AN751"/>
      <c r="AO751"/>
    </row>
    <row r="752" spans="1:41" x14ac:dyDescent="0.25">
      <c r="A752" s="639"/>
      <c r="B752" s="639"/>
      <c r="C752" s="884"/>
      <c r="D752" s="203"/>
      <c r="I752" s="886"/>
      <c r="J752" s="886"/>
      <c r="K752" s="172"/>
      <c r="L752" s="172"/>
      <c r="M752" s="888"/>
      <c r="O752" s="172"/>
      <c r="Q752" s="172"/>
      <c r="R752" s="172"/>
      <c r="S752" s="172"/>
      <c r="T752" s="172"/>
      <c r="AN752"/>
      <c r="AO752"/>
    </row>
    <row r="753" spans="1:41" x14ac:dyDescent="0.25">
      <c r="A753" s="639"/>
      <c r="B753" s="639"/>
      <c r="C753" s="884"/>
      <c r="D753" s="203"/>
      <c r="I753" s="886"/>
      <c r="J753" s="886"/>
      <c r="K753" s="172"/>
      <c r="L753" s="172"/>
      <c r="M753" s="888"/>
      <c r="O753" s="172"/>
      <c r="Q753" s="172"/>
      <c r="R753" s="172"/>
      <c r="S753" s="172"/>
      <c r="T753" s="172"/>
      <c r="AN753"/>
      <c r="AO753"/>
    </row>
    <row r="754" spans="1:41" x14ac:dyDescent="0.25">
      <c r="A754" s="639"/>
      <c r="B754" s="639"/>
      <c r="C754" s="884"/>
      <c r="D754" s="203"/>
      <c r="I754" s="886"/>
      <c r="J754" s="886"/>
      <c r="K754" s="172"/>
      <c r="L754" s="172"/>
      <c r="M754" s="888"/>
      <c r="O754" s="172"/>
      <c r="Q754" s="172"/>
      <c r="R754" s="172"/>
      <c r="S754" s="172"/>
      <c r="T754" s="172"/>
      <c r="AN754"/>
      <c r="AO754"/>
    </row>
    <row r="755" spans="1:41" x14ac:dyDescent="0.25">
      <c r="A755" s="639"/>
      <c r="B755" s="639"/>
      <c r="C755" s="884"/>
      <c r="D755" s="203"/>
      <c r="I755" s="886"/>
      <c r="J755" s="886"/>
      <c r="K755" s="172"/>
      <c r="L755" s="172"/>
      <c r="M755" s="888"/>
      <c r="O755" s="172"/>
      <c r="Q755" s="172"/>
      <c r="R755" s="172"/>
      <c r="S755" s="172"/>
      <c r="T755" s="172"/>
      <c r="AN755"/>
      <c r="AO755"/>
    </row>
    <row r="756" spans="1:41" x14ac:dyDescent="0.25">
      <c r="A756" s="639"/>
      <c r="B756" s="639"/>
      <c r="C756" s="884"/>
      <c r="D756" s="203"/>
      <c r="I756" s="886"/>
      <c r="J756" s="886"/>
      <c r="K756" s="172"/>
      <c r="L756" s="172"/>
      <c r="M756" s="888"/>
      <c r="O756" s="172"/>
      <c r="Q756" s="172"/>
      <c r="R756" s="172"/>
      <c r="S756" s="172"/>
      <c r="T756" s="172"/>
      <c r="AN756"/>
      <c r="AO756"/>
    </row>
    <row r="757" spans="1:41" x14ac:dyDescent="0.25">
      <c r="A757" s="639"/>
      <c r="B757" s="639"/>
      <c r="C757" s="884"/>
      <c r="D757" s="203"/>
      <c r="I757" s="886"/>
      <c r="J757" s="886"/>
      <c r="K757" s="172"/>
      <c r="L757" s="172"/>
      <c r="M757" s="888"/>
      <c r="O757" s="172"/>
      <c r="Q757" s="172"/>
      <c r="R757" s="172"/>
      <c r="S757" s="172"/>
      <c r="T757" s="172"/>
      <c r="AN757"/>
      <c r="AO757"/>
    </row>
    <row r="758" spans="1:41" x14ac:dyDescent="0.25">
      <c r="A758" s="639"/>
      <c r="B758" s="639"/>
      <c r="C758" s="884"/>
      <c r="D758" s="203"/>
      <c r="I758" s="886"/>
      <c r="J758" s="886"/>
      <c r="K758" s="172"/>
      <c r="L758" s="172"/>
      <c r="M758" s="888"/>
      <c r="O758" s="172"/>
      <c r="Q758" s="172"/>
      <c r="R758" s="172"/>
      <c r="S758" s="172"/>
      <c r="T758" s="172"/>
      <c r="AN758"/>
      <c r="AO758"/>
    </row>
    <row r="759" spans="1:41" x14ac:dyDescent="0.25">
      <c r="A759" s="639"/>
      <c r="B759" s="639"/>
      <c r="C759" s="884"/>
      <c r="D759" s="203"/>
      <c r="I759" s="886"/>
      <c r="J759" s="886"/>
      <c r="K759" s="172"/>
      <c r="L759" s="172"/>
      <c r="M759" s="888"/>
      <c r="O759" s="172"/>
      <c r="Q759" s="172"/>
      <c r="R759" s="172"/>
      <c r="S759" s="172"/>
      <c r="T759" s="172"/>
      <c r="AN759"/>
      <c r="AO759"/>
    </row>
    <row r="760" spans="1:41" x14ac:dyDescent="0.25">
      <c r="A760" s="639"/>
      <c r="B760" s="639"/>
      <c r="C760" s="884"/>
      <c r="D760" s="203"/>
      <c r="I760" s="886"/>
      <c r="J760" s="886"/>
      <c r="K760" s="172"/>
      <c r="L760" s="172"/>
      <c r="M760" s="888"/>
      <c r="O760" s="172"/>
      <c r="Q760" s="172"/>
      <c r="R760" s="172"/>
      <c r="S760" s="172"/>
      <c r="T760" s="172"/>
      <c r="AN760"/>
      <c r="AO760"/>
    </row>
    <row r="761" spans="1:41" x14ac:dyDescent="0.25">
      <c r="A761" s="639"/>
      <c r="B761" s="639"/>
      <c r="C761" s="884"/>
      <c r="D761" s="203"/>
      <c r="I761" s="886"/>
      <c r="J761" s="886"/>
      <c r="K761" s="172"/>
      <c r="L761" s="172"/>
      <c r="M761" s="888"/>
      <c r="O761" s="172"/>
      <c r="Q761" s="172"/>
      <c r="R761" s="172"/>
      <c r="S761" s="172"/>
      <c r="T761" s="172"/>
      <c r="AN761"/>
      <c r="AO761"/>
    </row>
    <row r="762" spans="1:41" x14ac:dyDescent="0.25">
      <c r="A762" s="639"/>
      <c r="B762" s="639"/>
      <c r="C762" s="884"/>
      <c r="D762" s="203"/>
      <c r="I762" s="886"/>
      <c r="J762" s="886"/>
      <c r="K762" s="172"/>
      <c r="L762" s="172"/>
      <c r="M762" s="888"/>
      <c r="O762" s="172"/>
      <c r="Q762" s="172"/>
      <c r="R762" s="172"/>
      <c r="S762" s="172"/>
      <c r="T762" s="172"/>
      <c r="AN762"/>
      <c r="AO762"/>
    </row>
    <row r="763" spans="1:41" x14ac:dyDescent="0.25">
      <c r="A763" s="639"/>
      <c r="B763" s="639"/>
      <c r="C763" s="884"/>
      <c r="D763" s="203"/>
      <c r="I763" s="886"/>
      <c r="J763" s="886"/>
      <c r="K763" s="172"/>
      <c r="L763" s="172"/>
      <c r="M763" s="888"/>
      <c r="O763" s="172"/>
      <c r="Q763" s="172"/>
      <c r="R763" s="172"/>
      <c r="S763" s="172"/>
      <c r="T763" s="172"/>
      <c r="AN763"/>
      <c r="AO763"/>
    </row>
    <row r="764" spans="1:41" x14ac:dyDescent="0.25">
      <c r="A764" s="639"/>
      <c r="B764" s="639"/>
      <c r="C764" s="884"/>
      <c r="D764" s="203"/>
      <c r="I764" s="886"/>
      <c r="J764" s="886"/>
      <c r="K764" s="172"/>
      <c r="L764" s="172"/>
      <c r="M764" s="888"/>
      <c r="O764" s="172"/>
      <c r="Q764" s="172"/>
      <c r="R764" s="172"/>
      <c r="S764" s="172"/>
      <c r="T764" s="172"/>
      <c r="AN764"/>
      <c r="AO764"/>
    </row>
    <row r="765" spans="1:41" x14ac:dyDescent="0.25">
      <c r="A765" s="639"/>
      <c r="B765" s="639"/>
      <c r="C765" s="884"/>
      <c r="D765" s="203"/>
      <c r="I765" s="886"/>
      <c r="J765" s="886"/>
      <c r="K765" s="172"/>
      <c r="L765" s="172"/>
      <c r="M765" s="888"/>
      <c r="O765" s="172"/>
      <c r="Q765" s="172"/>
      <c r="R765" s="172"/>
      <c r="S765" s="172"/>
      <c r="T765" s="172"/>
      <c r="AN765"/>
      <c r="AO765"/>
    </row>
    <row r="766" spans="1:41" x14ac:dyDescent="0.25">
      <c r="A766" s="639"/>
      <c r="B766" s="639"/>
      <c r="C766" s="884"/>
      <c r="D766" s="203"/>
      <c r="I766" s="886"/>
      <c r="J766" s="886"/>
      <c r="K766" s="172"/>
      <c r="L766" s="172"/>
      <c r="M766" s="888"/>
      <c r="O766" s="172"/>
      <c r="Q766" s="172"/>
      <c r="R766" s="172"/>
      <c r="S766" s="172"/>
      <c r="T766" s="172"/>
      <c r="AN766"/>
      <c r="AO766"/>
    </row>
    <row r="767" spans="1:41" x14ac:dyDescent="0.25">
      <c r="A767" s="639"/>
      <c r="B767" s="639"/>
      <c r="C767" s="884"/>
      <c r="D767" s="203"/>
      <c r="I767" s="886"/>
      <c r="J767" s="886"/>
      <c r="K767" s="172"/>
      <c r="L767" s="172"/>
      <c r="M767" s="888"/>
      <c r="O767" s="172"/>
      <c r="Q767" s="172"/>
      <c r="R767" s="172"/>
      <c r="S767" s="172"/>
      <c r="T767" s="172"/>
      <c r="AN767"/>
      <c r="AO767"/>
    </row>
    <row r="768" spans="1:41" x14ac:dyDescent="0.25">
      <c r="A768" s="639"/>
      <c r="B768" s="639"/>
      <c r="C768" s="884"/>
      <c r="D768" s="203"/>
      <c r="I768" s="886"/>
      <c r="J768" s="886"/>
      <c r="K768" s="172"/>
      <c r="L768" s="172"/>
      <c r="M768" s="888"/>
      <c r="O768" s="172"/>
      <c r="Q768" s="172"/>
      <c r="R768" s="172"/>
      <c r="S768" s="172"/>
      <c r="T768" s="172"/>
      <c r="AN768"/>
      <c r="AO768"/>
    </row>
    <row r="769" spans="1:41" x14ac:dyDescent="0.25">
      <c r="A769" s="639"/>
      <c r="B769" s="639"/>
      <c r="C769" s="884"/>
      <c r="D769" s="203"/>
      <c r="I769" s="886"/>
      <c r="J769" s="886"/>
      <c r="K769" s="172"/>
      <c r="L769" s="172"/>
      <c r="M769" s="888"/>
      <c r="O769" s="172"/>
      <c r="Q769" s="172"/>
      <c r="R769" s="172"/>
      <c r="S769" s="172"/>
      <c r="T769" s="172"/>
      <c r="AN769"/>
      <c r="AO769"/>
    </row>
    <row r="770" spans="1:41" x14ac:dyDescent="0.25">
      <c r="A770" s="639"/>
      <c r="B770" s="639"/>
      <c r="C770" s="884"/>
      <c r="D770" s="203"/>
      <c r="I770" s="886"/>
      <c r="J770" s="886"/>
      <c r="K770" s="172"/>
      <c r="L770" s="172"/>
      <c r="M770" s="888"/>
      <c r="O770" s="172"/>
      <c r="Q770" s="172"/>
      <c r="R770" s="172"/>
      <c r="S770" s="172"/>
      <c r="T770" s="172"/>
      <c r="AN770"/>
      <c r="AO770"/>
    </row>
    <row r="771" spans="1:41" x14ac:dyDescent="0.25">
      <c r="A771" s="639"/>
      <c r="B771" s="639"/>
      <c r="C771" s="884"/>
      <c r="D771" s="203"/>
      <c r="I771" s="886"/>
      <c r="J771" s="886"/>
      <c r="K771" s="172"/>
      <c r="L771" s="172"/>
      <c r="M771" s="888"/>
      <c r="O771" s="172"/>
      <c r="Q771" s="172"/>
      <c r="R771" s="172"/>
      <c r="S771" s="172"/>
      <c r="T771" s="172"/>
      <c r="AN771"/>
      <c r="AO771"/>
    </row>
    <row r="772" spans="1:41" x14ac:dyDescent="0.25">
      <c r="A772" s="639"/>
      <c r="B772" s="639"/>
      <c r="C772" s="884"/>
      <c r="D772" s="203"/>
      <c r="I772" s="886"/>
      <c r="J772" s="886"/>
      <c r="K772" s="172"/>
      <c r="L772" s="172"/>
      <c r="M772" s="888"/>
      <c r="O772" s="172"/>
      <c r="Q772" s="172"/>
      <c r="R772" s="172"/>
      <c r="S772" s="172"/>
      <c r="T772" s="172"/>
      <c r="AN772"/>
      <c r="AO772"/>
    </row>
    <row r="773" spans="1:41" x14ac:dyDescent="0.25">
      <c r="A773" s="639"/>
      <c r="B773" s="639"/>
      <c r="C773" s="884"/>
      <c r="D773" s="203"/>
      <c r="I773" s="886"/>
      <c r="J773" s="886"/>
      <c r="K773" s="172"/>
      <c r="L773" s="172"/>
      <c r="M773" s="888"/>
      <c r="O773" s="172"/>
      <c r="Q773" s="172"/>
      <c r="R773" s="172"/>
      <c r="S773" s="172"/>
      <c r="T773" s="172"/>
      <c r="AN773"/>
      <c r="AO773"/>
    </row>
    <row r="774" spans="1:41" x14ac:dyDescent="0.25">
      <c r="A774" s="639"/>
      <c r="B774" s="639"/>
      <c r="C774" s="884"/>
      <c r="D774" s="203"/>
      <c r="I774" s="886"/>
      <c r="J774" s="886"/>
      <c r="K774" s="172"/>
      <c r="L774" s="172"/>
      <c r="M774" s="888"/>
      <c r="O774" s="172"/>
      <c r="Q774" s="172"/>
      <c r="R774" s="172"/>
      <c r="S774" s="172"/>
      <c r="T774" s="172"/>
      <c r="AN774"/>
      <c r="AO774"/>
    </row>
    <row r="775" spans="1:41" x14ac:dyDescent="0.25">
      <c r="A775" s="639"/>
      <c r="B775" s="639"/>
      <c r="C775" s="884"/>
      <c r="D775" s="203"/>
      <c r="I775" s="886"/>
      <c r="J775" s="886"/>
      <c r="K775" s="172"/>
      <c r="L775" s="172"/>
      <c r="M775" s="888"/>
      <c r="O775" s="172"/>
      <c r="Q775" s="172"/>
      <c r="R775" s="172"/>
      <c r="S775" s="172"/>
      <c r="T775" s="172"/>
      <c r="AN775"/>
      <c r="AO775"/>
    </row>
    <row r="776" spans="1:41" x14ac:dyDescent="0.25">
      <c r="A776" s="639"/>
      <c r="B776" s="639"/>
      <c r="C776" s="884"/>
      <c r="D776" s="203"/>
      <c r="I776" s="886"/>
      <c r="J776" s="886"/>
      <c r="K776" s="172"/>
      <c r="L776" s="172"/>
      <c r="M776" s="888"/>
      <c r="O776" s="172"/>
      <c r="Q776" s="172"/>
      <c r="R776" s="172"/>
      <c r="S776" s="172"/>
      <c r="T776" s="172"/>
      <c r="AN776"/>
      <c r="AO776"/>
    </row>
    <row r="777" spans="1:41" x14ac:dyDescent="0.25">
      <c r="A777" s="639"/>
      <c r="B777" s="639"/>
      <c r="C777" s="884"/>
      <c r="D777" s="203"/>
      <c r="I777" s="886"/>
      <c r="J777" s="886"/>
      <c r="K777" s="172"/>
      <c r="L777" s="172"/>
      <c r="M777" s="888"/>
      <c r="O777" s="172"/>
      <c r="Q777" s="172"/>
      <c r="R777" s="172"/>
      <c r="S777" s="172"/>
      <c r="T777" s="172"/>
      <c r="AN777"/>
      <c r="AO777"/>
    </row>
    <row r="778" spans="1:41" x14ac:dyDescent="0.25">
      <c r="A778" s="639"/>
      <c r="B778" s="639"/>
      <c r="C778" s="884"/>
      <c r="D778" s="203"/>
      <c r="I778" s="886"/>
      <c r="J778" s="886"/>
      <c r="K778" s="172"/>
      <c r="L778" s="172"/>
      <c r="M778" s="888"/>
      <c r="O778" s="172"/>
      <c r="Q778" s="172"/>
      <c r="R778" s="172"/>
      <c r="S778" s="172"/>
      <c r="T778" s="172"/>
      <c r="AN778"/>
      <c r="AO778"/>
    </row>
    <row r="779" spans="1:41" x14ac:dyDescent="0.25">
      <c r="A779" s="639"/>
      <c r="B779" s="639"/>
      <c r="C779" s="884"/>
      <c r="D779" s="203"/>
      <c r="I779" s="886"/>
      <c r="J779" s="886"/>
      <c r="K779" s="172"/>
      <c r="L779" s="172"/>
      <c r="M779" s="888"/>
      <c r="O779" s="172"/>
      <c r="Q779" s="172"/>
      <c r="R779" s="172"/>
      <c r="S779" s="172"/>
      <c r="T779" s="172"/>
      <c r="AN779"/>
      <c r="AO779"/>
    </row>
    <row r="780" spans="1:41" x14ac:dyDescent="0.25">
      <c r="A780" s="639"/>
      <c r="B780" s="639"/>
      <c r="C780" s="884"/>
      <c r="D780" s="203"/>
      <c r="I780" s="886"/>
      <c r="J780" s="886"/>
      <c r="K780" s="172"/>
      <c r="L780" s="172"/>
      <c r="M780" s="888"/>
      <c r="O780" s="172"/>
      <c r="Q780" s="172"/>
      <c r="R780" s="172"/>
      <c r="S780" s="172"/>
      <c r="T780" s="172"/>
      <c r="AN780"/>
      <c r="AO780"/>
    </row>
    <row r="781" spans="1:41" x14ac:dyDescent="0.25">
      <c r="A781" s="639"/>
      <c r="B781" s="639"/>
      <c r="C781" s="884"/>
      <c r="D781" s="203"/>
      <c r="I781" s="886"/>
      <c r="J781" s="886"/>
      <c r="K781" s="172"/>
      <c r="L781" s="172"/>
      <c r="M781" s="888"/>
      <c r="O781" s="172"/>
      <c r="Q781" s="172"/>
      <c r="R781" s="172"/>
      <c r="S781" s="172"/>
      <c r="T781" s="172"/>
      <c r="AN781"/>
      <c r="AO781"/>
    </row>
    <row r="782" spans="1:41" x14ac:dyDescent="0.25">
      <c r="A782" s="639"/>
      <c r="B782" s="639"/>
      <c r="C782" s="884"/>
      <c r="D782" s="203"/>
      <c r="I782" s="886"/>
      <c r="J782" s="886"/>
      <c r="K782" s="172"/>
      <c r="L782" s="172"/>
      <c r="M782" s="888"/>
      <c r="O782" s="172"/>
      <c r="Q782" s="172"/>
      <c r="R782" s="172"/>
      <c r="S782" s="172"/>
      <c r="T782" s="172"/>
      <c r="AN782"/>
      <c r="AO782"/>
    </row>
    <row r="783" spans="1:41" x14ac:dyDescent="0.25">
      <c r="A783" s="639"/>
      <c r="B783" s="639"/>
      <c r="C783" s="884"/>
      <c r="D783" s="203"/>
      <c r="I783" s="886"/>
      <c r="J783" s="886"/>
      <c r="K783" s="172"/>
      <c r="L783" s="172"/>
      <c r="M783" s="888"/>
      <c r="O783" s="172"/>
      <c r="Q783" s="172"/>
      <c r="R783" s="172"/>
      <c r="S783" s="172"/>
      <c r="T783" s="172"/>
      <c r="AN783"/>
      <c r="AO783"/>
    </row>
    <row r="784" spans="1:41" x14ac:dyDescent="0.25">
      <c r="A784" s="639"/>
      <c r="B784" s="639"/>
      <c r="C784" s="884"/>
      <c r="D784" s="203"/>
      <c r="I784" s="886"/>
      <c r="J784" s="886"/>
      <c r="K784" s="172"/>
      <c r="L784" s="172"/>
      <c r="M784" s="888"/>
      <c r="O784" s="172"/>
      <c r="Q784" s="172"/>
      <c r="R784" s="172"/>
      <c r="S784" s="172"/>
      <c r="T784" s="172"/>
      <c r="AN784"/>
      <c r="AO784"/>
    </row>
    <row r="785" spans="1:41" x14ac:dyDescent="0.25">
      <c r="A785" s="639"/>
      <c r="B785" s="639"/>
      <c r="C785" s="884"/>
      <c r="D785" s="203"/>
      <c r="I785" s="886"/>
      <c r="J785" s="886"/>
      <c r="K785" s="172"/>
      <c r="L785" s="172"/>
      <c r="M785" s="888"/>
      <c r="O785" s="172"/>
      <c r="Q785" s="172"/>
      <c r="R785" s="172"/>
      <c r="S785" s="172"/>
      <c r="T785" s="172"/>
      <c r="AN785"/>
      <c r="AO785"/>
    </row>
    <row r="786" spans="1:41" x14ac:dyDescent="0.25">
      <c r="A786" s="639"/>
      <c r="B786" s="639"/>
      <c r="C786" s="884"/>
      <c r="D786" s="203"/>
      <c r="I786" s="886"/>
      <c r="J786" s="886"/>
      <c r="K786" s="172"/>
      <c r="L786" s="172"/>
      <c r="M786" s="888"/>
      <c r="O786" s="172"/>
      <c r="Q786" s="172"/>
      <c r="R786" s="172"/>
      <c r="S786" s="172"/>
      <c r="T786" s="172"/>
      <c r="AN786"/>
      <c r="AO786"/>
    </row>
    <row r="787" spans="1:41" x14ac:dyDescent="0.25">
      <c r="A787" s="639"/>
      <c r="B787" s="639"/>
      <c r="C787" s="884"/>
      <c r="D787" s="203"/>
      <c r="I787" s="886"/>
      <c r="J787" s="886"/>
      <c r="K787" s="172"/>
      <c r="L787" s="172"/>
      <c r="M787" s="888"/>
      <c r="O787" s="172"/>
      <c r="Q787" s="172"/>
      <c r="R787" s="172"/>
      <c r="S787" s="172"/>
      <c r="T787" s="172"/>
      <c r="AN787"/>
      <c r="AO787"/>
    </row>
    <row r="788" spans="1:41" x14ac:dyDescent="0.25">
      <c r="A788" s="639"/>
      <c r="B788" s="639"/>
      <c r="C788" s="884"/>
      <c r="D788" s="203"/>
      <c r="I788" s="886"/>
      <c r="J788" s="886"/>
      <c r="K788" s="172"/>
      <c r="L788" s="172"/>
      <c r="M788" s="888"/>
      <c r="O788" s="172"/>
      <c r="Q788" s="172"/>
      <c r="R788" s="172"/>
      <c r="S788" s="172"/>
      <c r="T788" s="172"/>
      <c r="AN788"/>
      <c r="AO788"/>
    </row>
    <row r="789" spans="1:41" x14ac:dyDescent="0.25">
      <c r="A789" s="639"/>
      <c r="B789" s="639"/>
      <c r="C789" s="884"/>
      <c r="D789" s="203"/>
      <c r="I789" s="886"/>
      <c r="J789" s="886"/>
      <c r="K789" s="172"/>
      <c r="L789" s="172"/>
      <c r="M789" s="888"/>
      <c r="O789" s="172"/>
      <c r="Q789" s="172"/>
      <c r="R789" s="172"/>
      <c r="S789" s="172"/>
      <c r="T789" s="172"/>
      <c r="AN789"/>
      <c r="AO789"/>
    </row>
    <row r="790" spans="1:41" x14ac:dyDescent="0.25">
      <c r="A790" s="639"/>
      <c r="B790" s="639"/>
      <c r="C790" s="884"/>
      <c r="D790" s="203"/>
      <c r="I790" s="886"/>
      <c r="J790" s="886"/>
      <c r="K790" s="172"/>
      <c r="L790" s="172"/>
      <c r="M790" s="888"/>
      <c r="O790" s="172"/>
      <c r="Q790" s="172"/>
      <c r="R790" s="172"/>
      <c r="S790" s="172"/>
      <c r="T790" s="172"/>
      <c r="AN790"/>
      <c r="AO790"/>
    </row>
    <row r="791" spans="1:41" x14ac:dyDescent="0.25">
      <c r="A791" s="639"/>
      <c r="B791" s="639"/>
      <c r="C791" s="884"/>
      <c r="D791" s="203"/>
      <c r="I791" s="886"/>
      <c r="J791" s="886"/>
      <c r="K791" s="172"/>
      <c r="L791" s="172"/>
      <c r="M791" s="888"/>
      <c r="O791" s="172"/>
      <c r="Q791" s="172"/>
      <c r="R791" s="172"/>
      <c r="S791" s="172"/>
      <c r="T791" s="172"/>
      <c r="AN791"/>
      <c r="AO791"/>
    </row>
    <row r="792" spans="1:41" x14ac:dyDescent="0.25">
      <c r="A792" s="639"/>
      <c r="B792" s="639"/>
      <c r="C792" s="884"/>
      <c r="D792" s="203"/>
      <c r="I792" s="886"/>
      <c r="J792" s="886"/>
      <c r="K792" s="172"/>
      <c r="L792" s="172"/>
      <c r="M792" s="888"/>
      <c r="O792" s="172"/>
      <c r="Q792" s="172"/>
      <c r="R792" s="172"/>
      <c r="S792" s="172"/>
      <c r="T792" s="172"/>
      <c r="AN792"/>
      <c r="AO792"/>
    </row>
    <row r="793" spans="1:41" x14ac:dyDescent="0.25">
      <c r="A793" s="639"/>
      <c r="B793" s="639"/>
      <c r="C793" s="884"/>
      <c r="D793" s="203"/>
      <c r="I793" s="886"/>
      <c r="J793" s="886"/>
      <c r="K793" s="172"/>
      <c r="L793" s="172"/>
      <c r="M793" s="888"/>
      <c r="O793" s="172"/>
      <c r="Q793" s="172"/>
      <c r="R793" s="172"/>
      <c r="S793" s="172"/>
      <c r="T793" s="172"/>
      <c r="AN793"/>
      <c r="AO793"/>
    </row>
    <row r="794" spans="1:41" x14ac:dyDescent="0.25">
      <c r="A794" s="639"/>
      <c r="B794" s="639"/>
      <c r="C794" s="884"/>
      <c r="D794" s="203"/>
      <c r="I794" s="886"/>
      <c r="J794" s="886"/>
      <c r="K794" s="172"/>
      <c r="L794" s="172"/>
      <c r="M794" s="888"/>
      <c r="O794" s="172"/>
      <c r="Q794" s="172"/>
      <c r="R794" s="172"/>
      <c r="S794" s="172"/>
      <c r="T794" s="172"/>
      <c r="AN794"/>
      <c r="AO794"/>
    </row>
    <row r="795" spans="1:41" x14ac:dyDescent="0.25">
      <c r="A795" s="639"/>
      <c r="B795" s="639"/>
      <c r="C795" s="884"/>
      <c r="D795" s="203"/>
      <c r="I795" s="886"/>
      <c r="J795" s="886"/>
      <c r="K795" s="172"/>
      <c r="L795" s="172"/>
      <c r="M795" s="888"/>
      <c r="O795" s="172"/>
      <c r="Q795" s="172"/>
      <c r="R795" s="172"/>
      <c r="S795" s="172"/>
      <c r="T795" s="172"/>
      <c r="AN795"/>
      <c r="AO795"/>
    </row>
    <row r="796" spans="1:41" x14ac:dyDescent="0.25">
      <c r="A796" s="639"/>
      <c r="B796" s="639"/>
      <c r="C796" s="884"/>
      <c r="D796" s="203"/>
      <c r="I796" s="886"/>
      <c r="J796" s="886"/>
      <c r="K796" s="172"/>
      <c r="L796" s="172"/>
      <c r="M796" s="888"/>
      <c r="O796" s="172"/>
      <c r="Q796" s="172"/>
      <c r="R796" s="172"/>
      <c r="S796" s="172"/>
      <c r="T796" s="172"/>
      <c r="AN796"/>
      <c r="AO796"/>
    </row>
    <row r="797" spans="1:41" x14ac:dyDescent="0.25">
      <c r="A797" s="639"/>
      <c r="B797" s="639"/>
      <c r="C797" s="884"/>
      <c r="D797" s="203"/>
      <c r="I797" s="886"/>
      <c r="J797" s="886"/>
      <c r="K797" s="172"/>
      <c r="L797" s="172"/>
      <c r="M797" s="888"/>
      <c r="O797" s="172"/>
      <c r="Q797" s="172"/>
      <c r="R797" s="172"/>
      <c r="S797" s="172"/>
      <c r="T797" s="172"/>
      <c r="AN797"/>
      <c r="AO797"/>
    </row>
    <row r="798" spans="1:41" x14ac:dyDescent="0.25">
      <c r="A798" s="639"/>
      <c r="B798" s="639"/>
      <c r="C798" s="884"/>
      <c r="D798" s="203"/>
      <c r="I798" s="886"/>
      <c r="J798" s="886"/>
      <c r="K798" s="172"/>
      <c r="L798" s="172"/>
      <c r="M798" s="888"/>
      <c r="O798" s="172"/>
      <c r="Q798" s="172"/>
      <c r="R798" s="172"/>
      <c r="S798" s="172"/>
      <c r="T798" s="172"/>
      <c r="AN798"/>
      <c r="AO798"/>
    </row>
    <row r="799" spans="1:41" x14ac:dyDescent="0.25">
      <c r="A799" s="639"/>
      <c r="B799" s="639"/>
      <c r="C799" s="884"/>
      <c r="D799" s="203"/>
      <c r="I799" s="886"/>
      <c r="J799" s="886"/>
      <c r="K799" s="172"/>
      <c r="L799" s="172"/>
      <c r="M799" s="888"/>
      <c r="O799" s="172"/>
      <c r="Q799" s="172"/>
      <c r="R799" s="172"/>
      <c r="S799" s="172"/>
      <c r="T799" s="172"/>
      <c r="AN799"/>
      <c r="AO799"/>
    </row>
    <row r="800" spans="1:41" x14ac:dyDescent="0.25">
      <c r="A800" s="639"/>
      <c r="B800" s="639"/>
      <c r="C800" s="884"/>
      <c r="D800" s="203"/>
      <c r="I800" s="886"/>
      <c r="J800" s="886"/>
      <c r="K800" s="172"/>
      <c r="L800" s="172"/>
      <c r="M800" s="888"/>
      <c r="O800" s="172"/>
      <c r="Q800" s="172"/>
      <c r="R800" s="172"/>
      <c r="S800" s="172"/>
      <c r="T800" s="172"/>
      <c r="AN800"/>
      <c r="AO800"/>
    </row>
    <row r="801" spans="1:41" x14ac:dyDescent="0.25">
      <c r="A801" s="639"/>
      <c r="B801" s="639"/>
      <c r="C801" s="884"/>
      <c r="D801" s="203"/>
      <c r="I801" s="886"/>
      <c r="J801" s="886"/>
      <c r="K801" s="172"/>
      <c r="L801" s="172"/>
      <c r="M801" s="888"/>
      <c r="O801" s="172"/>
      <c r="Q801" s="172"/>
      <c r="R801" s="172"/>
      <c r="S801" s="172"/>
      <c r="T801" s="172"/>
      <c r="AN801"/>
      <c r="AO801"/>
    </row>
    <row r="802" spans="1:41" x14ac:dyDescent="0.25">
      <c r="A802" s="639"/>
      <c r="B802" s="639"/>
      <c r="C802" s="884"/>
      <c r="D802" s="203"/>
      <c r="I802" s="886"/>
      <c r="J802" s="886"/>
      <c r="K802" s="172"/>
      <c r="L802" s="172"/>
      <c r="M802" s="888"/>
      <c r="O802" s="172"/>
      <c r="Q802" s="172"/>
      <c r="R802" s="172"/>
      <c r="S802" s="172"/>
      <c r="T802" s="172"/>
      <c r="AN802"/>
      <c r="AO802"/>
    </row>
    <row r="803" spans="1:41" x14ac:dyDescent="0.25">
      <c r="A803" s="639"/>
      <c r="B803" s="639"/>
      <c r="C803" s="884"/>
      <c r="D803" s="203"/>
      <c r="I803" s="886"/>
      <c r="J803" s="886"/>
      <c r="K803" s="172"/>
      <c r="L803" s="172"/>
      <c r="M803" s="888"/>
      <c r="O803" s="172"/>
      <c r="Q803" s="172"/>
      <c r="R803" s="172"/>
      <c r="S803" s="172"/>
      <c r="T803" s="172"/>
      <c r="AN803"/>
      <c r="AO803"/>
    </row>
    <row r="804" spans="1:41" x14ac:dyDescent="0.25">
      <c r="A804" s="639"/>
      <c r="B804" s="639"/>
      <c r="C804" s="884"/>
      <c r="D804" s="203"/>
      <c r="I804" s="886"/>
      <c r="J804" s="886"/>
      <c r="K804" s="172"/>
      <c r="L804" s="172"/>
      <c r="M804" s="888"/>
      <c r="O804" s="172"/>
      <c r="Q804" s="172"/>
      <c r="R804" s="172"/>
      <c r="S804" s="172"/>
      <c r="T804" s="172"/>
      <c r="AN804"/>
      <c r="AO804"/>
    </row>
    <row r="805" spans="1:41" x14ac:dyDescent="0.25">
      <c r="A805" s="639"/>
      <c r="B805" s="639"/>
      <c r="C805" s="884"/>
      <c r="D805" s="203"/>
      <c r="I805" s="886"/>
      <c r="J805" s="886"/>
      <c r="K805" s="172"/>
      <c r="L805" s="172"/>
      <c r="M805" s="888"/>
      <c r="O805" s="172"/>
      <c r="Q805" s="172"/>
      <c r="R805" s="172"/>
      <c r="S805" s="172"/>
      <c r="T805" s="172"/>
      <c r="AN805"/>
      <c r="AO805"/>
    </row>
    <row r="806" spans="1:41" x14ac:dyDescent="0.25">
      <c r="A806" s="639"/>
      <c r="B806" s="639"/>
      <c r="C806" s="884"/>
      <c r="D806" s="203"/>
      <c r="I806" s="886"/>
      <c r="J806" s="886"/>
      <c r="K806" s="172"/>
      <c r="L806" s="172"/>
      <c r="M806" s="888"/>
      <c r="O806" s="172"/>
      <c r="Q806" s="172"/>
      <c r="R806" s="172"/>
      <c r="S806" s="172"/>
      <c r="T806" s="172"/>
      <c r="AN806"/>
      <c r="AO806"/>
    </row>
    <row r="807" spans="1:41" x14ac:dyDescent="0.25">
      <c r="A807" s="639"/>
      <c r="B807" s="639"/>
      <c r="C807" s="884"/>
      <c r="D807" s="203"/>
      <c r="I807" s="886"/>
      <c r="J807" s="886"/>
      <c r="K807" s="172"/>
      <c r="L807" s="172"/>
      <c r="M807" s="888"/>
      <c r="O807" s="172"/>
      <c r="Q807" s="172"/>
      <c r="R807" s="172"/>
      <c r="S807" s="172"/>
      <c r="T807" s="172"/>
      <c r="AN807"/>
      <c r="AO807"/>
    </row>
    <row r="808" spans="1:41" x14ac:dyDescent="0.25">
      <c r="A808" s="639"/>
      <c r="B808" s="639"/>
      <c r="C808" s="884"/>
      <c r="D808" s="203"/>
      <c r="I808" s="886"/>
      <c r="J808" s="886"/>
      <c r="K808" s="172"/>
      <c r="L808" s="172"/>
      <c r="M808" s="888"/>
      <c r="O808" s="172"/>
      <c r="Q808" s="172"/>
      <c r="R808" s="172"/>
      <c r="S808" s="172"/>
      <c r="T808" s="172"/>
      <c r="AN808"/>
      <c r="AO808"/>
    </row>
    <row r="809" spans="1:41" x14ac:dyDescent="0.25">
      <c r="A809" s="639"/>
      <c r="B809" s="639"/>
      <c r="C809" s="884"/>
      <c r="D809" s="203"/>
      <c r="I809" s="886"/>
      <c r="J809" s="886"/>
      <c r="K809" s="172"/>
      <c r="L809" s="172"/>
      <c r="M809" s="888"/>
      <c r="O809" s="172"/>
      <c r="Q809" s="172"/>
      <c r="R809" s="172"/>
      <c r="S809" s="172"/>
      <c r="T809" s="172"/>
      <c r="AN809"/>
      <c r="AO809"/>
    </row>
    <row r="810" spans="1:41" x14ac:dyDescent="0.25">
      <c r="A810" s="639"/>
      <c r="B810" s="639"/>
      <c r="C810" s="884"/>
      <c r="D810" s="203"/>
      <c r="I810" s="886"/>
      <c r="J810" s="886"/>
      <c r="K810" s="172"/>
      <c r="L810" s="172"/>
      <c r="M810" s="888"/>
      <c r="O810" s="172"/>
      <c r="Q810" s="172"/>
      <c r="R810" s="172"/>
      <c r="S810" s="172"/>
      <c r="T810" s="172"/>
      <c r="AN810"/>
      <c r="AO810"/>
    </row>
    <row r="811" spans="1:41" x14ac:dyDescent="0.25">
      <c r="A811" s="639"/>
      <c r="B811" s="639"/>
      <c r="C811" s="884"/>
      <c r="D811" s="203"/>
      <c r="I811" s="886"/>
      <c r="J811" s="886"/>
      <c r="K811" s="172"/>
      <c r="L811" s="172"/>
      <c r="M811" s="888"/>
      <c r="O811" s="172"/>
      <c r="Q811" s="172"/>
      <c r="R811" s="172"/>
      <c r="S811" s="172"/>
      <c r="T811" s="172"/>
      <c r="AN811"/>
      <c r="AO811"/>
    </row>
    <row r="812" spans="1:41" x14ac:dyDescent="0.25">
      <c r="A812" s="639"/>
      <c r="B812" s="639"/>
      <c r="C812" s="884"/>
      <c r="D812" s="203"/>
      <c r="I812" s="886"/>
      <c r="J812" s="886"/>
      <c r="K812" s="172"/>
      <c r="L812" s="172"/>
      <c r="M812" s="888"/>
      <c r="O812" s="172"/>
      <c r="Q812" s="172"/>
      <c r="R812" s="172"/>
      <c r="S812" s="172"/>
      <c r="T812" s="172"/>
      <c r="AN812"/>
      <c r="AO812"/>
    </row>
    <row r="813" spans="1:41" x14ac:dyDescent="0.25">
      <c r="A813" s="639"/>
      <c r="B813" s="639"/>
      <c r="C813" s="884"/>
      <c r="D813" s="203"/>
      <c r="I813" s="886"/>
      <c r="J813" s="886"/>
      <c r="K813" s="172"/>
      <c r="L813" s="172"/>
      <c r="M813" s="888"/>
      <c r="O813" s="172"/>
      <c r="Q813" s="172"/>
      <c r="R813" s="172"/>
      <c r="S813" s="172"/>
      <c r="T813" s="172"/>
      <c r="AN813"/>
      <c r="AO813"/>
    </row>
    <row r="814" spans="1:41" x14ac:dyDescent="0.25">
      <c r="A814" s="639"/>
      <c r="B814" s="639"/>
      <c r="C814" s="884"/>
      <c r="D814" s="203"/>
      <c r="I814" s="886"/>
      <c r="J814" s="886"/>
      <c r="K814" s="172"/>
      <c r="L814" s="172"/>
      <c r="M814" s="888"/>
      <c r="O814" s="172"/>
      <c r="Q814" s="172"/>
      <c r="R814" s="172"/>
      <c r="S814" s="172"/>
      <c r="T814" s="172"/>
      <c r="AN814"/>
      <c r="AO814"/>
    </row>
    <row r="815" spans="1:41" x14ac:dyDescent="0.25">
      <c r="A815" s="639"/>
      <c r="B815" s="639"/>
      <c r="C815" s="884"/>
      <c r="D815" s="203"/>
      <c r="I815" s="886"/>
      <c r="J815" s="886"/>
      <c r="K815" s="172"/>
      <c r="L815" s="172"/>
      <c r="M815" s="888"/>
      <c r="O815" s="172"/>
      <c r="Q815" s="172"/>
      <c r="R815" s="172"/>
      <c r="S815" s="172"/>
      <c r="T815" s="172"/>
      <c r="AN815"/>
      <c r="AO815"/>
    </row>
    <row r="816" spans="1:41" x14ac:dyDescent="0.25">
      <c r="A816" s="639"/>
      <c r="B816" s="639"/>
      <c r="C816" s="884"/>
      <c r="D816" s="203"/>
      <c r="I816" s="886"/>
      <c r="J816" s="886"/>
      <c r="K816" s="172"/>
      <c r="L816" s="172"/>
      <c r="M816" s="888"/>
      <c r="O816" s="172"/>
      <c r="Q816" s="172"/>
      <c r="R816" s="172"/>
      <c r="S816" s="172"/>
      <c r="T816" s="172"/>
      <c r="AN816"/>
      <c r="AO816"/>
    </row>
    <row r="817" spans="1:41" x14ac:dyDescent="0.25">
      <c r="A817" s="639"/>
      <c r="B817" s="639"/>
      <c r="C817" s="884"/>
      <c r="D817" s="203"/>
      <c r="I817" s="886"/>
      <c r="J817" s="886"/>
      <c r="K817" s="172"/>
      <c r="L817" s="172"/>
      <c r="M817" s="888"/>
      <c r="O817" s="172"/>
      <c r="Q817" s="172"/>
      <c r="R817" s="172"/>
      <c r="S817" s="172"/>
      <c r="T817" s="172"/>
      <c r="AN817"/>
      <c r="AO817"/>
    </row>
    <row r="818" spans="1:41" x14ac:dyDescent="0.25">
      <c r="A818" s="639"/>
      <c r="B818" s="639"/>
      <c r="C818" s="884"/>
      <c r="D818" s="203"/>
      <c r="I818" s="886"/>
      <c r="J818" s="886"/>
      <c r="K818" s="172"/>
      <c r="L818" s="172"/>
      <c r="M818" s="888"/>
      <c r="O818" s="172"/>
      <c r="Q818" s="172"/>
      <c r="R818" s="172"/>
      <c r="S818" s="172"/>
      <c r="T818" s="172"/>
      <c r="AN818"/>
      <c r="AO818"/>
    </row>
    <row r="819" spans="1:41" x14ac:dyDescent="0.25">
      <c r="A819" s="639"/>
      <c r="B819" s="639"/>
      <c r="C819" s="884"/>
      <c r="D819" s="203"/>
      <c r="I819" s="886"/>
      <c r="J819" s="886"/>
      <c r="K819" s="172"/>
      <c r="L819" s="172"/>
      <c r="M819" s="888"/>
      <c r="O819" s="172"/>
      <c r="Q819" s="172"/>
      <c r="R819" s="172"/>
      <c r="S819" s="172"/>
      <c r="T819" s="172"/>
      <c r="AN819"/>
      <c r="AO819"/>
    </row>
    <row r="820" spans="1:41" x14ac:dyDescent="0.25">
      <c r="A820" s="639"/>
      <c r="B820" s="639"/>
      <c r="C820" s="884"/>
      <c r="D820" s="203"/>
      <c r="I820" s="886"/>
      <c r="J820" s="886"/>
      <c r="K820" s="172"/>
      <c r="L820" s="172"/>
      <c r="M820" s="888"/>
      <c r="O820" s="172"/>
      <c r="Q820" s="172"/>
      <c r="R820" s="172"/>
      <c r="S820" s="172"/>
      <c r="T820" s="172"/>
      <c r="AN820"/>
      <c r="AO820"/>
    </row>
    <row r="821" spans="1:41" x14ac:dyDescent="0.25">
      <c r="A821" s="639"/>
      <c r="B821" s="639"/>
      <c r="C821" s="884"/>
      <c r="D821" s="203"/>
      <c r="I821" s="886"/>
      <c r="J821" s="886"/>
      <c r="K821" s="172"/>
      <c r="L821" s="172"/>
      <c r="M821" s="888"/>
      <c r="O821" s="172"/>
      <c r="Q821" s="172"/>
      <c r="R821" s="172"/>
      <c r="S821" s="172"/>
      <c r="T821" s="172"/>
      <c r="AN821"/>
      <c r="AO821"/>
    </row>
    <row r="822" spans="1:41" x14ac:dyDescent="0.25">
      <c r="A822" s="639"/>
      <c r="B822" s="639"/>
      <c r="C822" s="884"/>
      <c r="D822" s="203"/>
      <c r="I822" s="886"/>
      <c r="J822" s="886"/>
      <c r="K822" s="172"/>
      <c r="L822" s="172"/>
      <c r="M822" s="888"/>
      <c r="O822" s="172"/>
      <c r="Q822" s="172"/>
      <c r="R822" s="172"/>
      <c r="S822" s="172"/>
      <c r="T822" s="172"/>
      <c r="AN822"/>
      <c r="AO822"/>
    </row>
    <row r="823" spans="1:41" x14ac:dyDescent="0.25">
      <c r="A823" s="639"/>
      <c r="B823" s="639"/>
      <c r="C823" s="884"/>
      <c r="D823" s="203"/>
      <c r="I823" s="886"/>
      <c r="J823" s="886"/>
      <c r="K823" s="172"/>
      <c r="L823" s="172"/>
      <c r="M823" s="888"/>
      <c r="O823" s="172"/>
      <c r="Q823" s="172"/>
      <c r="R823" s="172"/>
      <c r="S823" s="172"/>
      <c r="T823" s="172"/>
      <c r="AN823"/>
      <c r="AO823"/>
    </row>
    <row r="824" spans="1:41" x14ac:dyDescent="0.25">
      <c r="A824" s="639"/>
      <c r="B824" s="639"/>
      <c r="C824" s="884"/>
      <c r="D824" s="203"/>
      <c r="I824" s="886"/>
      <c r="J824" s="886"/>
      <c r="K824" s="172"/>
      <c r="L824" s="172"/>
      <c r="M824" s="888"/>
      <c r="O824" s="172"/>
      <c r="Q824" s="172"/>
      <c r="R824" s="172"/>
      <c r="S824" s="172"/>
      <c r="T824" s="172"/>
      <c r="AN824"/>
      <c r="AO824"/>
    </row>
    <row r="825" spans="1:41" x14ac:dyDescent="0.25">
      <c r="A825" s="639"/>
      <c r="B825" s="639"/>
      <c r="C825" s="884"/>
      <c r="D825" s="203"/>
      <c r="I825" s="886"/>
      <c r="J825" s="886"/>
      <c r="K825" s="172"/>
      <c r="L825" s="172"/>
      <c r="M825" s="888"/>
      <c r="O825" s="172"/>
      <c r="Q825" s="172"/>
      <c r="R825" s="172"/>
      <c r="S825" s="172"/>
      <c r="T825" s="172"/>
      <c r="AN825"/>
      <c r="AO825"/>
    </row>
    <row r="826" spans="1:41" x14ac:dyDescent="0.25">
      <c r="A826" s="639"/>
      <c r="B826" s="639"/>
      <c r="C826" s="884"/>
      <c r="D826" s="203"/>
      <c r="I826" s="886"/>
      <c r="J826" s="886"/>
      <c r="K826" s="172"/>
      <c r="L826" s="172"/>
      <c r="M826" s="888"/>
      <c r="O826" s="172"/>
      <c r="Q826" s="172"/>
      <c r="R826" s="172"/>
      <c r="S826" s="172"/>
      <c r="T826" s="172"/>
      <c r="AN826"/>
      <c r="AO826"/>
    </row>
    <row r="827" spans="1:41" x14ac:dyDescent="0.25">
      <c r="A827" s="639"/>
      <c r="B827" s="639"/>
      <c r="C827" s="884"/>
      <c r="D827" s="203"/>
      <c r="I827" s="886"/>
      <c r="J827" s="886"/>
      <c r="K827" s="172"/>
      <c r="L827" s="172"/>
      <c r="M827" s="888"/>
      <c r="O827" s="172"/>
      <c r="Q827" s="172"/>
      <c r="R827" s="172"/>
      <c r="S827" s="172"/>
      <c r="T827" s="172"/>
      <c r="AN827"/>
      <c r="AO827"/>
    </row>
    <row r="828" spans="1:41" x14ac:dyDescent="0.25">
      <c r="A828" s="639"/>
      <c r="B828" s="639"/>
      <c r="C828" s="884"/>
      <c r="D828" s="203"/>
      <c r="I828" s="886"/>
      <c r="J828" s="886"/>
      <c r="K828" s="172"/>
      <c r="L828" s="172"/>
      <c r="M828" s="888"/>
      <c r="O828" s="172"/>
      <c r="Q828" s="172"/>
      <c r="R828" s="172"/>
      <c r="S828" s="172"/>
      <c r="T828" s="172"/>
      <c r="AN828"/>
      <c r="AO828"/>
    </row>
    <row r="829" spans="1:41" x14ac:dyDescent="0.25">
      <c r="A829" s="639"/>
      <c r="B829" s="639"/>
      <c r="C829" s="884"/>
      <c r="D829" s="203"/>
      <c r="I829" s="886"/>
      <c r="J829" s="886"/>
      <c r="K829" s="172"/>
      <c r="L829" s="172"/>
      <c r="M829" s="888"/>
      <c r="O829" s="172"/>
      <c r="Q829" s="172"/>
      <c r="R829" s="172"/>
      <c r="S829" s="172"/>
      <c r="T829" s="172"/>
      <c r="AN829"/>
      <c r="AO829"/>
    </row>
    <row r="830" spans="1:41" x14ac:dyDescent="0.25">
      <c r="A830" s="639"/>
      <c r="B830" s="639"/>
      <c r="C830" s="884"/>
      <c r="D830" s="203"/>
      <c r="I830" s="886"/>
      <c r="J830" s="886"/>
      <c r="K830" s="172"/>
      <c r="L830" s="172"/>
      <c r="M830" s="888"/>
      <c r="O830" s="172"/>
      <c r="Q830" s="172"/>
      <c r="R830" s="172"/>
      <c r="S830" s="172"/>
      <c r="T830" s="172"/>
      <c r="AN830"/>
      <c r="AO830"/>
    </row>
    <row r="831" spans="1:41" x14ac:dyDescent="0.25">
      <c r="A831" s="639"/>
      <c r="B831" s="639"/>
      <c r="C831" s="884"/>
      <c r="D831" s="203"/>
      <c r="I831" s="886"/>
      <c r="J831" s="886"/>
      <c r="K831" s="172"/>
      <c r="L831" s="172"/>
      <c r="M831" s="888"/>
      <c r="O831" s="172"/>
      <c r="Q831" s="172"/>
      <c r="R831" s="172"/>
      <c r="S831" s="172"/>
      <c r="T831" s="172"/>
      <c r="AN831"/>
      <c r="AO831"/>
    </row>
    <row r="832" spans="1:41" x14ac:dyDescent="0.25">
      <c r="A832" s="639"/>
      <c r="B832" s="639"/>
      <c r="C832" s="884"/>
      <c r="D832" s="203"/>
      <c r="I832" s="886"/>
      <c r="J832" s="886"/>
      <c r="K832" s="172"/>
      <c r="L832" s="172"/>
      <c r="M832" s="888"/>
      <c r="O832" s="172"/>
      <c r="Q832" s="172"/>
      <c r="R832" s="172"/>
      <c r="S832" s="172"/>
      <c r="T832" s="172"/>
      <c r="AN832"/>
      <c r="AO832"/>
    </row>
    <row r="833" spans="1:41" x14ac:dyDescent="0.25">
      <c r="A833" s="639"/>
      <c r="B833" s="639"/>
      <c r="C833" s="884"/>
      <c r="D833" s="203"/>
      <c r="I833" s="886"/>
      <c r="J833" s="886"/>
      <c r="K833" s="172"/>
      <c r="L833" s="172"/>
      <c r="M833" s="888"/>
      <c r="O833" s="172"/>
      <c r="Q833" s="172"/>
      <c r="R833" s="172"/>
      <c r="S833" s="172"/>
      <c r="T833" s="172"/>
      <c r="AN833"/>
      <c r="AO833"/>
    </row>
    <row r="834" spans="1:41" x14ac:dyDescent="0.25">
      <c r="A834" s="639"/>
      <c r="B834" s="639"/>
      <c r="C834" s="884"/>
      <c r="D834" s="203"/>
      <c r="I834" s="886"/>
      <c r="J834" s="886"/>
      <c r="K834" s="172"/>
      <c r="L834" s="172"/>
      <c r="M834" s="888"/>
      <c r="O834" s="172"/>
      <c r="Q834" s="172"/>
      <c r="R834" s="172"/>
      <c r="S834" s="172"/>
      <c r="T834" s="172"/>
      <c r="AN834"/>
      <c r="AO834"/>
    </row>
    <row r="835" spans="1:41" x14ac:dyDescent="0.25">
      <c r="A835" s="639"/>
      <c r="B835" s="639"/>
      <c r="C835" s="884"/>
      <c r="D835" s="203"/>
      <c r="I835" s="886"/>
      <c r="J835" s="886"/>
      <c r="K835" s="172"/>
      <c r="L835" s="172"/>
      <c r="M835" s="888"/>
      <c r="O835" s="172"/>
      <c r="Q835" s="172"/>
      <c r="R835" s="172"/>
      <c r="S835" s="172"/>
      <c r="T835" s="172"/>
      <c r="AN835"/>
      <c r="AO835"/>
    </row>
    <row r="836" spans="1:41" x14ac:dyDescent="0.25">
      <c r="A836" s="639"/>
      <c r="B836" s="639"/>
      <c r="C836" s="884"/>
      <c r="D836" s="203"/>
      <c r="I836" s="886"/>
      <c r="J836" s="886"/>
      <c r="K836" s="172"/>
      <c r="L836" s="172"/>
      <c r="M836" s="888"/>
      <c r="O836" s="172"/>
      <c r="Q836" s="172"/>
      <c r="R836" s="172"/>
      <c r="S836" s="172"/>
      <c r="T836" s="172"/>
      <c r="AN836"/>
      <c r="AO836"/>
    </row>
    <row r="837" spans="1:41" x14ac:dyDescent="0.25">
      <c r="A837" s="639"/>
      <c r="B837" s="639"/>
      <c r="C837" s="884"/>
      <c r="D837" s="203"/>
      <c r="I837" s="886"/>
      <c r="J837" s="886"/>
      <c r="K837" s="172"/>
      <c r="L837" s="172"/>
      <c r="M837" s="888"/>
      <c r="O837" s="172"/>
      <c r="Q837" s="172"/>
      <c r="R837" s="172"/>
      <c r="S837" s="172"/>
      <c r="T837" s="172"/>
      <c r="AN837"/>
      <c r="AO837"/>
    </row>
    <row r="838" spans="1:41" x14ac:dyDescent="0.25">
      <c r="A838" s="639"/>
      <c r="B838" s="639"/>
      <c r="C838" s="884"/>
      <c r="D838" s="203"/>
      <c r="I838" s="886"/>
      <c r="J838" s="886"/>
      <c r="K838" s="172"/>
      <c r="L838" s="172"/>
      <c r="M838" s="888"/>
      <c r="O838" s="172"/>
      <c r="Q838" s="172"/>
      <c r="R838" s="172"/>
      <c r="S838" s="172"/>
      <c r="T838" s="172"/>
      <c r="AN838"/>
      <c r="AO838"/>
    </row>
    <row r="839" spans="1:41" x14ac:dyDescent="0.25">
      <c r="A839" s="639"/>
      <c r="B839" s="639"/>
      <c r="C839" s="884"/>
      <c r="D839" s="203"/>
      <c r="I839" s="886"/>
      <c r="J839" s="886"/>
      <c r="K839" s="172"/>
      <c r="L839" s="172"/>
      <c r="M839" s="888"/>
      <c r="O839" s="172"/>
      <c r="Q839" s="172"/>
      <c r="R839" s="172"/>
      <c r="S839" s="172"/>
      <c r="T839" s="172"/>
      <c r="AN839"/>
      <c r="AO839"/>
    </row>
    <row r="840" spans="1:41" x14ac:dyDescent="0.25">
      <c r="A840" s="639"/>
      <c r="B840" s="639"/>
      <c r="C840" s="884"/>
      <c r="D840" s="203"/>
      <c r="I840" s="886"/>
      <c r="J840" s="886"/>
      <c r="K840" s="172"/>
      <c r="L840" s="172"/>
      <c r="M840" s="888"/>
      <c r="O840" s="172"/>
      <c r="Q840" s="172"/>
      <c r="R840" s="172"/>
      <c r="S840" s="172"/>
      <c r="T840" s="172"/>
      <c r="AN840"/>
      <c r="AO840"/>
    </row>
    <row r="841" spans="1:41" x14ac:dyDescent="0.25">
      <c r="A841" s="639"/>
      <c r="B841" s="639"/>
      <c r="C841" s="884"/>
      <c r="D841" s="203"/>
      <c r="I841" s="886"/>
      <c r="J841" s="886"/>
      <c r="K841" s="172"/>
      <c r="L841" s="172"/>
      <c r="M841" s="888"/>
      <c r="O841" s="172"/>
      <c r="Q841" s="172"/>
      <c r="R841" s="172"/>
      <c r="S841" s="172"/>
      <c r="T841" s="172"/>
      <c r="AN841"/>
      <c r="AO841"/>
    </row>
    <row r="842" spans="1:41" x14ac:dyDescent="0.25">
      <c r="A842" s="639"/>
      <c r="B842" s="639"/>
      <c r="C842" s="884"/>
      <c r="D842" s="203"/>
      <c r="I842" s="886"/>
      <c r="J842" s="886"/>
      <c r="K842" s="172"/>
      <c r="L842" s="172"/>
      <c r="M842" s="888"/>
      <c r="O842" s="172"/>
      <c r="Q842" s="172"/>
      <c r="R842" s="172"/>
      <c r="S842" s="172"/>
      <c r="T842" s="172"/>
      <c r="AN842"/>
      <c r="AO842"/>
    </row>
    <row r="843" spans="1:41" x14ac:dyDescent="0.25">
      <c r="A843" s="639"/>
      <c r="B843" s="639"/>
      <c r="C843" s="884"/>
      <c r="D843" s="203"/>
      <c r="I843" s="886"/>
      <c r="J843" s="886"/>
      <c r="K843" s="172"/>
      <c r="L843" s="172"/>
      <c r="M843" s="888"/>
      <c r="O843" s="172"/>
      <c r="Q843" s="172"/>
      <c r="R843" s="172"/>
      <c r="S843" s="172"/>
      <c r="T843" s="172"/>
      <c r="AN843"/>
      <c r="AO843"/>
    </row>
    <row r="844" spans="1:41" x14ac:dyDescent="0.25">
      <c r="A844" s="639"/>
      <c r="B844" s="639"/>
      <c r="C844" s="884"/>
      <c r="D844" s="203"/>
      <c r="I844" s="886"/>
      <c r="J844" s="886"/>
      <c r="K844" s="172"/>
      <c r="L844" s="172"/>
      <c r="M844" s="888"/>
      <c r="O844" s="172"/>
      <c r="Q844" s="172"/>
      <c r="R844" s="172"/>
      <c r="S844" s="172"/>
      <c r="T844" s="172"/>
      <c r="AN844"/>
      <c r="AO844"/>
    </row>
    <row r="845" spans="1:41" x14ac:dyDescent="0.25">
      <c r="A845" s="639"/>
      <c r="B845" s="639"/>
      <c r="C845" s="884"/>
      <c r="D845" s="203"/>
      <c r="I845" s="886"/>
      <c r="J845" s="886"/>
      <c r="K845" s="172"/>
      <c r="L845" s="172"/>
      <c r="M845" s="888"/>
      <c r="O845" s="172"/>
      <c r="Q845" s="172"/>
      <c r="R845" s="172"/>
      <c r="S845" s="172"/>
      <c r="T845" s="172"/>
      <c r="AN845"/>
      <c r="AO845"/>
    </row>
    <row r="846" spans="1:41" x14ac:dyDescent="0.25">
      <c r="A846" s="639"/>
      <c r="B846" s="639"/>
      <c r="C846" s="884"/>
      <c r="D846" s="203"/>
      <c r="I846" s="886"/>
      <c r="J846" s="886"/>
      <c r="K846" s="172"/>
      <c r="L846" s="172"/>
      <c r="M846" s="888"/>
      <c r="O846" s="172"/>
      <c r="Q846" s="172"/>
      <c r="R846" s="172"/>
      <c r="S846" s="172"/>
      <c r="T846" s="172"/>
      <c r="AN846"/>
      <c r="AO846"/>
    </row>
    <row r="847" spans="1:41" x14ac:dyDescent="0.25">
      <c r="A847" s="639"/>
      <c r="B847" s="639"/>
      <c r="C847" s="884"/>
      <c r="D847" s="203"/>
      <c r="I847" s="886"/>
      <c r="J847" s="886"/>
      <c r="K847" s="172"/>
      <c r="L847" s="172"/>
      <c r="M847" s="888"/>
      <c r="O847" s="172"/>
      <c r="Q847" s="172"/>
      <c r="R847" s="172"/>
      <c r="S847" s="172"/>
      <c r="T847" s="172"/>
      <c r="AN847"/>
      <c r="AO847"/>
    </row>
    <row r="848" spans="1:41" x14ac:dyDescent="0.25">
      <c r="A848" s="639"/>
      <c r="B848" s="639"/>
      <c r="C848" s="884"/>
      <c r="D848" s="203"/>
      <c r="I848" s="886"/>
      <c r="J848" s="886"/>
      <c r="K848" s="172"/>
      <c r="L848" s="172"/>
      <c r="M848" s="888"/>
      <c r="O848" s="172"/>
      <c r="Q848" s="172"/>
      <c r="R848" s="172"/>
      <c r="S848" s="172"/>
      <c r="T848" s="172"/>
      <c r="AN848"/>
      <c r="AO848"/>
    </row>
    <row r="849" spans="1:41" x14ac:dyDescent="0.25">
      <c r="A849" s="639"/>
      <c r="B849" s="639"/>
      <c r="C849" s="884"/>
      <c r="D849" s="203"/>
      <c r="I849" s="886"/>
      <c r="J849" s="886"/>
      <c r="K849" s="172"/>
      <c r="L849" s="172"/>
      <c r="M849" s="888"/>
      <c r="O849" s="172"/>
      <c r="Q849" s="172"/>
      <c r="R849" s="172"/>
      <c r="S849" s="172"/>
      <c r="T849" s="172"/>
      <c r="AN849"/>
      <c r="AO849"/>
    </row>
    <row r="850" spans="1:41" x14ac:dyDescent="0.25">
      <c r="A850" s="639"/>
      <c r="B850" s="639"/>
      <c r="C850" s="884"/>
      <c r="D850" s="203"/>
      <c r="I850" s="886"/>
      <c r="J850" s="886"/>
      <c r="K850" s="172"/>
      <c r="L850" s="172"/>
      <c r="M850" s="888"/>
      <c r="O850" s="172"/>
      <c r="Q850" s="172"/>
      <c r="R850" s="172"/>
      <c r="S850" s="172"/>
      <c r="T850" s="172"/>
      <c r="AN850"/>
      <c r="AO850"/>
    </row>
    <row r="851" spans="1:41" x14ac:dyDescent="0.25">
      <c r="A851" s="639"/>
      <c r="B851" s="639"/>
      <c r="C851" s="884"/>
      <c r="D851" s="203"/>
      <c r="I851" s="886"/>
      <c r="J851" s="886"/>
      <c r="K851" s="172"/>
      <c r="L851" s="172"/>
      <c r="M851" s="888"/>
      <c r="O851" s="172"/>
      <c r="Q851" s="172"/>
      <c r="R851" s="172"/>
      <c r="S851" s="172"/>
      <c r="T851" s="172"/>
      <c r="AN851"/>
      <c r="AO851"/>
    </row>
    <row r="852" spans="1:41" x14ac:dyDescent="0.25">
      <c r="A852" s="639"/>
      <c r="B852" s="639"/>
      <c r="C852" s="884"/>
      <c r="D852" s="203"/>
      <c r="I852" s="886"/>
      <c r="J852" s="886"/>
      <c r="K852" s="172"/>
      <c r="L852" s="172"/>
      <c r="M852" s="888"/>
      <c r="O852" s="172"/>
      <c r="Q852" s="172"/>
      <c r="R852" s="172"/>
      <c r="S852" s="172"/>
      <c r="T852" s="172"/>
      <c r="AN852"/>
      <c r="AO852"/>
    </row>
    <row r="853" spans="1:41" x14ac:dyDescent="0.25">
      <c r="A853" s="639"/>
      <c r="B853" s="639"/>
      <c r="C853" s="884"/>
      <c r="D853" s="203"/>
      <c r="I853" s="886"/>
      <c r="J853" s="886"/>
      <c r="K853" s="172"/>
      <c r="L853" s="172"/>
      <c r="M853" s="888"/>
      <c r="O853" s="172"/>
      <c r="Q853" s="172"/>
      <c r="R853" s="172"/>
      <c r="S853" s="172"/>
      <c r="T853" s="172"/>
      <c r="AN853"/>
      <c r="AO853"/>
    </row>
    <row r="854" spans="1:41" x14ac:dyDescent="0.25">
      <c r="A854" s="639"/>
      <c r="B854" s="639"/>
      <c r="C854" s="884"/>
      <c r="D854" s="203"/>
      <c r="I854" s="886"/>
      <c r="J854" s="886"/>
      <c r="K854" s="172"/>
      <c r="L854" s="172"/>
      <c r="M854" s="888"/>
      <c r="O854" s="172"/>
      <c r="Q854" s="172"/>
      <c r="R854" s="172"/>
      <c r="S854" s="172"/>
      <c r="T854" s="172"/>
      <c r="AN854"/>
      <c r="AO854"/>
    </row>
    <row r="855" spans="1:41" x14ac:dyDescent="0.25">
      <c r="A855" s="639"/>
      <c r="B855" s="639"/>
      <c r="C855" s="884"/>
      <c r="D855" s="203"/>
      <c r="I855" s="886"/>
      <c r="J855" s="886"/>
      <c r="K855" s="172"/>
      <c r="L855" s="172"/>
      <c r="M855" s="888"/>
      <c r="O855" s="172"/>
      <c r="Q855" s="172"/>
      <c r="R855" s="172"/>
      <c r="S855" s="172"/>
      <c r="T855" s="172"/>
      <c r="AN855"/>
      <c r="AO855"/>
    </row>
    <row r="856" spans="1:41" x14ac:dyDescent="0.25">
      <c r="A856" s="639"/>
      <c r="B856" s="639"/>
      <c r="C856" s="884"/>
      <c r="D856" s="203"/>
      <c r="I856" s="886"/>
      <c r="J856" s="886"/>
      <c r="K856" s="172"/>
      <c r="L856" s="172"/>
      <c r="M856" s="888"/>
      <c r="O856" s="172"/>
      <c r="Q856" s="172"/>
      <c r="R856" s="172"/>
      <c r="S856" s="172"/>
      <c r="T856" s="172"/>
      <c r="AN856"/>
      <c r="AO856"/>
    </row>
    <row r="857" spans="1:41" x14ac:dyDescent="0.25">
      <c r="A857" s="639"/>
      <c r="B857" s="639"/>
      <c r="C857" s="884"/>
      <c r="D857" s="203"/>
      <c r="I857" s="886"/>
      <c r="J857" s="886"/>
      <c r="K857" s="172"/>
      <c r="L857" s="172"/>
      <c r="M857" s="888"/>
      <c r="O857" s="172"/>
      <c r="Q857" s="172"/>
      <c r="R857" s="172"/>
      <c r="S857" s="172"/>
      <c r="T857" s="172"/>
      <c r="AN857"/>
      <c r="AO857"/>
    </row>
    <row r="858" spans="1:41" x14ac:dyDescent="0.25">
      <c r="A858" s="639"/>
      <c r="B858" s="639"/>
      <c r="C858" s="884"/>
      <c r="D858" s="203"/>
      <c r="I858" s="886"/>
      <c r="J858" s="886"/>
      <c r="K858" s="172"/>
      <c r="L858" s="172"/>
      <c r="M858" s="888"/>
      <c r="O858" s="172"/>
      <c r="Q858" s="172"/>
      <c r="R858" s="172"/>
      <c r="S858" s="172"/>
      <c r="T858" s="172"/>
      <c r="AN858"/>
      <c r="AO858"/>
    </row>
    <row r="859" spans="1:41" x14ac:dyDescent="0.25">
      <c r="A859" s="639"/>
      <c r="B859" s="639"/>
      <c r="C859" s="884"/>
      <c r="D859" s="203"/>
      <c r="I859" s="886"/>
      <c r="J859" s="886"/>
      <c r="K859" s="172"/>
      <c r="L859" s="172"/>
      <c r="M859" s="888"/>
      <c r="O859" s="172"/>
      <c r="Q859" s="172"/>
      <c r="R859" s="172"/>
      <c r="S859" s="172"/>
      <c r="T859" s="172"/>
      <c r="AN859"/>
      <c r="AO859"/>
    </row>
    <row r="860" spans="1:41" x14ac:dyDescent="0.25">
      <c r="A860" s="639"/>
      <c r="B860" s="639"/>
      <c r="C860" s="884"/>
      <c r="D860" s="203"/>
      <c r="I860" s="886"/>
      <c r="J860" s="886"/>
      <c r="K860" s="172"/>
      <c r="L860" s="172"/>
      <c r="M860" s="888"/>
      <c r="O860" s="172"/>
      <c r="Q860" s="172"/>
      <c r="R860" s="172"/>
      <c r="S860" s="172"/>
      <c r="T860" s="172"/>
      <c r="AN860"/>
      <c r="AO860"/>
    </row>
    <row r="861" spans="1:41" x14ac:dyDescent="0.25">
      <c r="A861" s="639"/>
      <c r="B861" s="639"/>
      <c r="C861" s="884"/>
      <c r="D861" s="203"/>
      <c r="I861" s="886"/>
      <c r="J861" s="886"/>
      <c r="K861" s="172"/>
      <c r="L861" s="172"/>
      <c r="M861" s="888"/>
      <c r="O861" s="172"/>
      <c r="Q861" s="172"/>
      <c r="R861" s="172"/>
      <c r="S861" s="172"/>
      <c r="T861" s="172"/>
      <c r="AN861"/>
      <c r="AO861"/>
    </row>
    <row r="862" spans="1:41" x14ac:dyDescent="0.25">
      <c r="A862" s="639"/>
      <c r="B862" s="639"/>
      <c r="C862" s="884"/>
      <c r="D862" s="203"/>
      <c r="I862" s="886"/>
      <c r="J862" s="886"/>
      <c r="K862" s="172"/>
      <c r="L862" s="172"/>
      <c r="M862" s="888"/>
      <c r="O862" s="172"/>
      <c r="Q862" s="172"/>
      <c r="R862" s="172"/>
      <c r="S862" s="172"/>
      <c r="T862" s="172"/>
      <c r="AN862"/>
      <c r="AO862"/>
    </row>
    <row r="863" spans="1:41" x14ac:dyDescent="0.25">
      <c r="A863" s="639"/>
      <c r="B863" s="639"/>
      <c r="C863" s="884"/>
      <c r="D863" s="203"/>
      <c r="I863" s="886"/>
      <c r="J863" s="886"/>
      <c r="K863" s="172"/>
      <c r="L863" s="172"/>
      <c r="M863" s="888"/>
      <c r="O863" s="172"/>
      <c r="Q863" s="172"/>
      <c r="R863" s="172"/>
      <c r="S863" s="172"/>
      <c r="T863" s="172"/>
      <c r="AN863"/>
      <c r="AO863"/>
    </row>
    <row r="864" spans="1:41" x14ac:dyDescent="0.25">
      <c r="A864" s="639"/>
      <c r="B864" s="639"/>
      <c r="C864" s="884"/>
      <c r="D864" s="203"/>
      <c r="I864" s="886"/>
      <c r="J864" s="886"/>
      <c r="K864" s="172"/>
      <c r="L864" s="172"/>
      <c r="M864" s="888"/>
      <c r="O864" s="172"/>
      <c r="Q864" s="172"/>
      <c r="R864" s="172"/>
      <c r="S864" s="172"/>
      <c r="T864" s="172"/>
      <c r="AN864"/>
      <c r="AO864"/>
    </row>
    <row r="865" spans="1:41" x14ac:dyDescent="0.25">
      <c r="A865" s="639"/>
      <c r="B865" s="639"/>
      <c r="C865" s="884"/>
      <c r="D865" s="203"/>
      <c r="I865" s="886"/>
      <c r="J865" s="886"/>
      <c r="K865" s="172"/>
      <c r="L865" s="172"/>
      <c r="M865" s="888"/>
      <c r="O865" s="172"/>
      <c r="Q865" s="172"/>
      <c r="R865" s="172"/>
      <c r="S865" s="172"/>
      <c r="T865" s="172"/>
      <c r="AN865"/>
      <c r="AO865"/>
    </row>
    <row r="866" spans="1:41" x14ac:dyDescent="0.25">
      <c r="A866" s="639"/>
      <c r="B866" s="639"/>
      <c r="C866" s="884"/>
      <c r="D866" s="203"/>
      <c r="I866" s="886"/>
      <c r="J866" s="886"/>
      <c r="K866" s="172"/>
      <c r="L866" s="172"/>
      <c r="M866" s="888"/>
      <c r="O866" s="172"/>
      <c r="Q866" s="172"/>
      <c r="R866" s="172"/>
      <c r="S866" s="172"/>
      <c r="T866" s="172"/>
      <c r="AN866"/>
      <c r="AO866"/>
    </row>
    <row r="867" spans="1:41" x14ac:dyDescent="0.25">
      <c r="A867" s="639"/>
      <c r="B867" s="639"/>
      <c r="C867" s="884"/>
      <c r="D867" s="203"/>
      <c r="I867" s="886"/>
      <c r="J867" s="886"/>
      <c r="K867" s="172"/>
      <c r="L867" s="172"/>
      <c r="M867" s="888"/>
      <c r="O867" s="172"/>
      <c r="Q867" s="172"/>
      <c r="R867" s="172"/>
      <c r="S867" s="172"/>
      <c r="T867" s="172"/>
      <c r="AN867"/>
      <c r="AO867"/>
    </row>
    <row r="868" spans="1:41" x14ac:dyDescent="0.25">
      <c r="A868" s="639"/>
      <c r="B868" s="639"/>
      <c r="C868" s="884"/>
      <c r="D868" s="203"/>
      <c r="I868" s="886"/>
      <c r="J868" s="886"/>
      <c r="K868" s="172"/>
      <c r="L868" s="172"/>
      <c r="M868" s="888"/>
      <c r="O868" s="172"/>
      <c r="Q868" s="172"/>
      <c r="R868" s="172"/>
      <c r="S868" s="172"/>
      <c r="T868" s="172"/>
      <c r="AN868"/>
      <c r="AO868"/>
    </row>
    <row r="869" spans="1:41" x14ac:dyDescent="0.25">
      <c r="A869" s="639"/>
      <c r="B869" s="639"/>
      <c r="C869" s="884"/>
      <c r="D869" s="203"/>
      <c r="I869" s="886"/>
      <c r="J869" s="886"/>
      <c r="K869" s="172"/>
      <c r="L869" s="172"/>
      <c r="M869" s="888"/>
      <c r="O869" s="172"/>
      <c r="Q869" s="172"/>
      <c r="R869" s="172"/>
      <c r="S869" s="172"/>
      <c r="T869" s="172"/>
      <c r="AN869"/>
      <c r="AO869"/>
    </row>
    <row r="870" spans="1:41" x14ac:dyDescent="0.25">
      <c r="A870" s="639"/>
      <c r="B870" s="639"/>
      <c r="C870" s="884"/>
      <c r="D870" s="203"/>
      <c r="I870" s="886"/>
      <c r="J870" s="886"/>
      <c r="K870" s="172"/>
      <c r="L870" s="172"/>
      <c r="M870" s="888"/>
      <c r="O870" s="172"/>
      <c r="Q870" s="172"/>
      <c r="R870" s="172"/>
      <c r="S870" s="172"/>
      <c r="T870" s="172"/>
      <c r="AN870"/>
      <c r="AO870"/>
    </row>
    <row r="871" spans="1:41" x14ac:dyDescent="0.25">
      <c r="A871" s="639"/>
      <c r="B871" s="639"/>
      <c r="C871" s="884"/>
      <c r="D871" s="203"/>
      <c r="I871" s="886"/>
      <c r="J871" s="886"/>
      <c r="K871" s="172"/>
      <c r="L871" s="172"/>
      <c r="M871" s="888"/>
      <c r="O871" s="172"/>
      <c r="Q871" s="172"/>
      <c r="R871" s="172"/>
      <c r="S871" s="172"/>
      <c r="T871" s="172"/>
      <c r="AN871"/>
      <c r="AO871"/>
    </row>
    <row r="872" spans="1:41" x14ac:dyDescent="0.25">
      <c r="A872" s="639"/>
      <c r="B872" s="639"/>
      <c r="C872" s="884"/>
      <c r="D872" s="203"/>
      <c r="I872" s="886"/>
      <c r="J872" s="886"/>
      <c r="K872" s="172"/>
      <c r="L872" s="172"/>
      <c r="M872" s="888"/>
      <c r="O872" s="172"/>
      <c r="Q872" s="172"/>
      <c r="R872" s="172"/>
      <c r="S872" s="172"/>
      <c r="T872" s="172"/>
      <c r="AN872"/>
      <c r="AO872"/>
    </row>
    <row r="873" spans="1:41" x14ac:dyDescent="0.25">
      <c r="A873" s="639"/>
      <c r="B873" s="639"/>
      <c r="C873" s="884"/>
      <c r="D873" s="203"/>
      <c r="I873" s="886"/>
      <c r="J873" s="886"/>
      <c r="K873" s="172"/>
      <c r="L873" s="172"/>
      <c r="M873" s="888"/>
      <c r="O873" s="172"/>
      <c r="Q873" s="172"/>
      <c r="R873" s="172"/>
      <c r="S873" s="172"/>
      <c r="T873" s="172"/>
      <c r="AN873"/>
      <c r="AO873"/>
    </row>
    <row r="874" spans="1:41" x14ac:dyDescent="0.25">
      <c r="A874" s="639"/>
      <c r="B874" s="639"/>
      <c r="C874" s="884"/>
      <c r="D874" s="203"/>
      <c r="I874" s="886"/>
      <c r="J874" s="886"/>
      <c r="K874" s="172"/>
      <c r="L874" s="172"/>
      <c r="M874" s="888"/>
      <c r="O874" s="172"/>
      <c r="Q874" s="172"/>
      <c r="R874" s="172"/>
      <c r="S874" s="172"/>
      <c r="T874" s="172"/>
      <c r="AN874"/>
      <c r="AO874"/>
    </row>
    <row r="875" spans="1:41" x14ac:dyDescent="0.25">
      <c r="A875" s="639"/>
      <c r="B875" s="639"/>
      <c r="C875" s="884"/>
      <c r="D875" s="203"/>
      <c r="I875" s="886"/>
      <c r="J875" s="886"/>
      <c r="K875" s="172"/>
      <c r="L875" s="172"/>
      <c r="M875" s="888"/>
      <c r="O875" s="172"/>
      <c r="Q875" s="172"/>
      <c r="R875" s="172"/>
      <c r="S875" s="172"/>
      <c r="T875" s="172"/>
      <c r="AN875"/>
      <c r="AO875"/>
    </row>
    <row r="876" spans="1:41" x14ac:dyDescent="0.25">
      <c r="A876" s="639"/>
      <c r="B876" s="639"/>
      <c r="C876" s="884"/>
      <c r="D876" s="203"/>
      <c r="I876" s="886"/>
      <c r="J876" s="886"/>
      <c r="K876" s="172"/>
      <c r="L876" s="172"/>
      <c r="M876" s="888"/>
      <c r="O876" s="172"/>
      <c r="Q876" s="172"/>
      <c r="R876" s="172"/>
      <c r="S876" s="172"/>
      <c r="T876" s="172"/>
      <c r="AN876"/>
      <c r="AO876"/>
    </row>
    <row r="877" spans="1:41" x14ac:dyDescent="0.25">
      <c r="A877" s="639"/>
      <c r="B877" s="639"/>
      <c r="C877" s="884"/>
      <c r="D877" s="203"/>
      <c r="I877" s="886"/>
      <c r="J877" s="886"/>
      <c r="K877" s="172"/>
      <c r="L877" s="172"/>
      <c r="M877" s="888"/>
      <c r="O877" s="172"/>
      <c r="Q877" s="172"/>
      <c r="R877" s="172"/>
      <c r="S877" s="172"/>
      <c r="T877" s="172"/>
      <c r="AN877"/>
      <c r="AO877"/>
    </row>
    <row r="878" spans="1:41" x14ac:dyDescent="0.25">
      <c r="A878" s="639"/>
      <c r="B878" s="639"/>
      <c r="C878" s="884"/>
      <c r="D878" s="203"/>
      <c r="I878" s="886"/>
      <c r="J878" s="886"/>
      <c r="K878" s="172"/>
      <c r="L878" s="172"/>
      <c r="M878" s="888"/>
      <c r="O878" s="172"/>
      <c r="Q878" s="172"/>
      <c r="R878" s="172"/>
      <c r="S878" s="172"/>
      <c r="T878" s="172"/>
      <c r="AN878"/>
      <c r="AO878"/>
    </row>
    <row r="879" spans="1:41" x14ac:dyDescent="0.25">
      <c r="A879" s="639"/>
      <c r="B879" s="639"/>
      <c r="C879" s="884"/>
      <c r="D879" s="203"/>
      <c r="I879" s="886"/>
      <c r="J879" s="886"/>
      <c r="K879" s="172"/>
      <c r="L879" s="172"/>
      <c r="M879" s="888"/>
      <c r="O879" s="172"/>
      <c r="Q879" s="172"/>
      <c r="R879" s="172"/>
      <c r="S879" s="172"/>
      <c r="T879" s="172"/>
      <c r="AN879"/>
      <c r="AO879"/>
    </row>
    <row r="880" spans="1:41" x14ac:dyDescent="0.25">
      <c r="A880" s="639"/>
      <c r="B880" s="639"/>
      <c r="C880" s="884"/>
      <c r="D880" s="203"/>
      <c r="I880" s="886"/>
      <c r="J880" s="886"/>
      <c r="K880" s="172"/>
      <c r="L880" s="172"/>
      <c r="M880" s="888"/>
      <c r="O880" s="172"/>
      <c r="Q880" s="172"/>
      <c r="R880" s="172"/>
      <c r="S880" s="172"/>
      <c r="T880" s="172"/>
      <c r="AN880"/>
      <c r="AO880"/>
    </row>
    <row r="881" spans="1:41" x14ac:dyDescent="0.25">
      <c r="A881" s="639"/>
      <c r="B881" s="639"/>
      <c r="C881" s="884"/>
      <c r="D881" s="203"/>
      <c r="I881" s="886"/>
      <c r="J881" s="886"/>
      <c r="K881" s="172"/>
      <c r="L881" s="172"/>
      <c r="M881" s="888"/>
      <c r="O881" s="172"/>
      <c r="Q881" s="172"/>
      <c r="R881" s="172"/>
      <c r="S881" s="172"/>
      <c r="T881" s="172"/>
      <c r="AN881"/>
      <c r="AO881"/>
    </row>
    <row r="882" spans="1:41" x14ac:dyDescent="0.25">
      <c r="A882" s="639"/>
      <c r="B882" s="639"/>
      <c r="C882" s="884"/>
      <c r="D882" s="203"/>
      <c r="I882" s="886"/>
      <c r="J882" s="886"/>
      <c r="K882" s="172"/>
      <c r="L882" s="172"/>
      <c r="M882" s="888"/>
      <c r="O882" s="172"/>
      <c r="Q882" s="172"/>
      <c r="R882" s="172"/>
      <c r="S882" s="172"/>
      <c r="T882" s="172"/>
      <c r="AN882"/>
      <c r="AO882"/>
    </row>
    <row r="883" spans="1:41" x14ac:dyDescent="0.25">
      <c r="A883" s="639"/>
      <c r="B883" s="639"/>
      <c r="C883" s="884"/>
      <c r="D883" s="203"/>
      <c r="I883" s="886"/>
      <c r="J883" s="886"/>
      <c r="K883" s="172"/>
      <c r="L883" s="172"/>
      <c r="M883" s="888"/>
      <c r="O883" s="172"/>
      <c r="Q883" s="172"/>
      <c r="R883" s="172"/>
      <c r="S883" s="172"/>
      <c r="T883" s="172"/>
      <c r="AN883"/>
      <c r="AO883"/>
    </row>
    <row r="884" spans="1:41" x14ac:dyDescent="0.25">
      <c r="A884" s="639"/>
      <c r="B884" s="639"/>
      <c r="C884" s="884"/>
      <c r="D884" s="203"/>
      <c r="I884" s="886"/>
      <c r="J884" s="886"/>
      <c r="K884" s="172"/>
      <c r="L884" s="172"/>
      <c r="M884" s="888"/>
      <c r="O884" s="172"/>
      <c r="Q884" s="172"/>
      <c r="R884" s="172"/>
      <c r="S884" s="172"/>
      <c r="T884" s="172"/>
      <c r="AN884"/>
      <c r="AO884"/>
    </row>
    <row r="885" spans="1:41" x14ac:dyDescent="0.25">
      <c r="A885" s="639"/>
      <c r="B885" s="639"/>
      <c r="C885" s="884"/>
      <c r="D885" s="203"/>
      <c r="I885" s="886"/>
      <c r="J885" s="886"/>
      <c r="K885" s="172"/>
      <c r="L885" s="172"/>
      <c r="M885" s="888"/>
      <c r="O885" s="172"/>
      <c r="Q885" s="172"/>
      <c r="R885" s="172"/>
      <c r="S885" s="172"/>
      <c r="T885" s="172"/>
      <c r="AN885"/>
      <c r="AO885"/>
    </row>
    <row r="886" spans="1:41" x14ac:dyDescent="0.25">
      <c r="A886" s="639"/>
      <c r="B886" s="639"/>
      <c r="C886" s="884"/>
      <c r="D886" s="203"/>
      <c r="I886" s="886"/>
      <c r="J886" s="886"/>
      <c r="K886" s="172"/>
      <c r="L886" s="172"/>
      <c r="M886" s="888"/>
      <c r="O886" s="172"/>
      <c r="Q886" s="172"/>
      <c r="R886" s="172"/>
      <c r="S886" s="172"/>
      <c r="T886" s="172"/>
      <c r="AN886"/>
      <c r="AO886"/>
    </row>
    <row r="887" spans="1:41" x14ac:dyDescent="0.25">
      <c r="A887" s="639"/>
      <c r="B887" s="639"/>
      <c r="C887" s="884"/>
      <c r="D887" s="203"/>
      <c r="I887" s="886"/>
      <c r="J887" s="886"/>
      <c r="K887" s="172"/>
      <c r="L887" s="172"/>
      <c r="M887" s="888"/>
      <c r="O887" s="172"/>
      <c r="Q887" s="172"/>
      <c r="R887" s="172"/>
      <c r="S887" s="172"/>
      <c r="T887" s="172"/>
      <c r="AN887"/>
      <c r="AO887"/>
    </row>
    <row r="888" spans="1:41" x14ac:dyDescent="0.25">
      <c r="A888" s="639"/>
      <c r="B888" s="639"/>
      <c r="C888" s="884"/>
      <c r="D888" s="203"/>
      <c r="I888" s="886"/>
      <c r="J888" s="886"/>
      <c r="K888" s="172"/>
      <c r="L888" s="172"/>
      <c r="M888" s="888"/>
      <c r="O888" s="172"/>
      <c r="Q888" s="172"/>
      <c r="R888" s="172"/>
      <c r="S888" s="172"/>
      <c r="T888" s="172"/>
      <c r="AN888"/>
      <c r="AO888"/>
    </row>
    <row r="889" spans="1:41" x14ac:dyDescent="0.25">
      <c r="A889" s="639"/>
      <c r="B889" s="639"/>
      <c r="C889" s="884"/>
      <c r="D889" s="203"/>
      <c r="I889" s="886"/>
      <c r="J889" s="886"/>
      <c r="K889" s="172"/>
      <c r="L889" s="172"/>
      <c r="M889" s="888"/>
      <c r="O889" s="172"/>
      <c r="Q889" s="172"/>
      <c r="R889" s="172"/>
      <c r="S889" s="172"/>
      <c r="T889" s="172"/>
      <c r="AN889"/>
      <c r="AO889"/>
    </row>
    <row r="890" spans="1:41" x14ac:dyDescent="0.25">
      <c r="A890" s="639"/>
      <c r="B890" s="639"/>
      <c r="C890" s="884"/>
      <c r="D890" s="203"/>
      <c r="I890" s="886"/>
      <c r="J890" s="886"/>
      <c r="K890" s="172"/>
      <c r="L890" s="172"/>
      <c r="M890" s="888"/>
      <c r="O890" s="172"/>
      <c r="Q890" s="172"/>
      <c r="R890" s="172"/>
      <c r="S890" s="172"/>
      <c r="T890" s="172"/>
      <c r="AN890"/>
      <c r="AO890"/>
    </row>
    <row r="891" spans="1:41" x14ac:dyDescent="0.25">
      <c r="A891" s="639"/>
      <c r="B891" s="639"/>
      <c r="C891" s="884"/>
      <c r="D891" s="203"/>
      <c r="I891" s="886"/>
      <c r="J891" s="886"/>
      <c r="K891" s="172"/>
      <c r="L891" s="172"/>
      <c r="M891" s="888"/>
      <c r="O891" s="172"/>
      <c r="Q891" s="172"/>
      <c r="R891" s="172"/>
      <c r="S891" s="172"/>
      <c r="T891" s="172"/>
      <c r="AN891"/>
      <c r="AO891"/>
    </row>
    <row r="892" spans="1:41" x14ac:dyDescent="0.25">
      <c r="A892" s="639"/>
      <c r="B892" s="639"/>
      <c r="C892" s="884"/>
      <c r="D892" s="203"/>
      <c r="I892" s="886"/>
      <c r="J892" s="886"/>
      <c r="K892" s="172"/>
      <c r="L892" s="172"/>
      <c r="M892" s="888"/>
      <c r="O892" s="172"/>
      <c r="Q892" s="172"/>
      <c r="R892" s="172"/>
      <c r="S892" s="172"/>
      <c r="T892" s="172"/>
      <c r="AN892"/>
      <c r="AO892"/>
    </row>
    <row r="893" spans="1:41" x14ac:dyDescent="0.25">
      <c r="A893" s="639"/>
      <c r="B893" s="639"/>
      <c r="C893" s="884"/>
      <c r="D893" s="203"/>
      <c r="I893" s="886"/>
      <c r="J893" s="886"/>
      <c r="K893" s="172"/>
      <c r="L893" s="172"/>
      <c r="M893" s="888"/>
      <c r="O893" s="172"/>
      <c r="Q893" s="172"/>
      <c r="R893" s="172"/>
      <c r="S893" s="172"/>
      <c r="T893" s="172"/>
      <c r="AN893"/>
      <c r="AO893"/>
    </row>
    <row r="894" spans="1:41" x14ac:dyDescent="0.25">
      <c r="A894" s="639"/>
      <c r="B894" s="639"/>
      <c r="C894" s="884"/>
      <c r="D894" s="203"/>
      <c r="I894" s="886"/>
      <c r="J894" s="886"/>
      <c r="K894" s="172"/>
      <c r="L894" s="172"/>
      <c r="M894" s="888"/>
      <c r="O894" s="172"/>
      <c r="Q894" s="172"/>
      <c r="R894" s="172"/>
      <c r="S894" s="172"/>
      <c r="T894" s="172"/>
      <c r="AN894"/>
      <c r="AO894"/>
    </row>
    <row r="895" spans="1:41" x14ac:dyDescent="0.25">
      <c r="A895" s="639"/>
      <c r="B895" s="639"/>
      <c r="C895" s="884"/>
      <c r="D895" s="203"/>
      <c r="I895" s="886"/>
      <c r="J895" s="886"/>
      <c r="K895" s="172"/>
      <c r="L895" s="172"/>
      <c r="M895" s="888"/>
      <c r="O895" s="172"/>
      <c r="Q895" s="172"/>
      <c r="R895" s="172"/>
      <c r="S895" s="172"/>
      <c r="T895" s="172"/>
      <c r="AN895"/>
      <c r="AO895"/>
    </row>
    <row r="896" spans="1:41" x14ac:dyDescent="0.25">
      <c r="A896" s="639"/>
      <c r="B896" s="639"/>
      <c r="C896" s="884"/>
      <c r="D896" s="203"/>
      <c r="I896" s="886"/>
      <c r="J896" s="886"/>
      <c r="K896" s="172"/>
      <c r="L896" s="172"/>
      <c r="M896" s="888"/>
      <c r="O896" s="172"/>
      <c r="Q896" s="172"/>
      <c r="R896" s="172"/>
      <c r="S896" s="172"/>
      <c r="T896" s="172"/>
      <c r="AN896"/>
      <c r="AO896"/>
    </row>
    <row r="897" spans="1:41" x14ac:dyDescent="0.25">
      <c r="A897" s="639"/>
      <c r="B897" s="639"/>
      <c r="C897" s="884"/>
      <c r="D897" s="203"/>
      <c r="I897" s="886"/>
      <c r="J897" s="886"/>
      <c r="K897" s="172"/>
      <c r="L897" s="172"/>
      <c r="M897" s="888"/>
      <c r="O897" s="172"/>
      <c r="Q897" s="172"/>
      <c r="R897" s="172"/>
      <c r="S897" s="172"/>
      <c r="T897" s="172"/>
      <c r="AN897"/>
      <c r="AO897"/>
    </row>
    <row r="898" spans="1:41" x14ac:dyDescent="0.25">
      <c r="A898" s="639"/>
      <c r="B898" s="639"/>
      <c r="C898" s="884"/>
      <c r="D898" s="203"/>
      <c r="I898" s="886"/>
      <c r="J898" s="886"/>
      <c r="K898" s="172"/>
      <c r="L898" s="172"/>
      <c r="M898" s="888"/>
      <c r="O898" s="172"/>
      <c r="Q898" s="172"/>
      <c r="R898" s="172"/>
      <c r="S898" s="172"/>
      <c r="T898" s="172"/>
      <c r="AN898"/>
      <c r="AO898"/>
    </row>
    <row r="899" spans="1:41" x14ac:dyDescent="0.25">
      <c r="A899" s="639"/>
      <c r="B899" s="639"/>
      <c r="C899" s="884"/>
      <c r="D899" s="203"/>
      <c r="I899" s="886"/>
      <c r="J899" s="886"/>
      <c r="K899" s="172"/>
      <c r="L899" s="172"/>
      <c r="M899" s="888"/>
      <c r="O899" s="172"/>
      <c r="Q899" s="172"/>
      <c r="R899" s="172"/>
      <c r="S899" s="172"/>
      <c r="T899" s="172"/>
      <c r="AN899"/>
      <c r="AO899"/>
    </row>
    <row r="900" spans="1:41" x14ac:dyDescent="0.25">
      <c r="A900" s="639"/>
      <c r="B900" s="639"/>
      <c r="C900" s="884"/>
      <c r="D900" s="203"/>
      <c r="I900" s="886"/>
      <c r="J900" s="886"/>
      <c r="K900" s="172"/>
      <c r="L900" s="172"/>
      <c r="M900" s="888"/>
      <c r="O900" s="172"/>
      <c r="Q900" s="172"/>
      <c r="R900" s="172"/>
      <c r="S900" s="172"/>
      <c r="T900" s="172"/>
      <c r="AN900"/>
      <c r="AO900"/>
    </row>
    <row r="901" spans="1:41" x14ac:dyDescent="0.25">
      <c r="A901" s="639"/>
      <c r="B901" s="639"/>
      <c r="C901" s="884"/>
      <c r="D901" s="203"/>
      <c r="I901" s="886"/>
      <c r="J901" s="886"/>
      <c r="K901" s="172"/>
      <c r="L901" s="172"/>
      <c r="M901" s="888"/>
      <c r="O901" s="172"/>
      <c r="Q901" s="172"/>
      <c r="R901" s="172"/>
      <c r="S901" s="172"/>
      <c r="T901" s="172"/>
      <c r="AN901"/>
      <c r="AO901"/>
    </row>
    <row r="902" spans="1:41" x14ac:dyDescent="0.25">
      <c r="A902" s="639"/>
      <c r="B902" s="639"/>
      <c r="C902" s="884"/>
      <c r="D902" s="203"/>
      <c r="I902" s="886"/>
      <c r="J902" s="886"/>
      <c r="K902" s="172"/>
      <c r="L902" s="172"/>
      <c r="M902" s="888"/>
      <c r="O902" s="172"/>
      <c r="Q902" s="172"/>
      <c r="R902" s="172"/>
      <c r="S902" s="172"/>
      <c r="T902" s="172"/>
      <c r="AN902"/>
      <c r="AO902"/>
    </row>
    <row r="903" spans="1:41" x14ac:dyDescent="0.25">
      <c r="A903" s="639"/>
      <c r="B903" s="639"/>
      <c r="C903" s="884"/>
      <c r="D903" s="203"/>
      <c r="I903" s="886"/>
      <c r="J903" s="886"/>
      <c r="K903" s="172"/>
      <c r="L903" s="172"/>
      <c r="M903" s="888"/>
      <c r="O903" s="172"/>
      <c r="Q903" s="172"/>
      <c r="R903" s="172"/>
      <c r="S903" s="172"/>
      <c r="T903" s="172"/>
      <c r="AN903"/>
      <c r="AO903"/>
    </row>
    <row r="904" spans="1:41" x14ac:dyDescent="0.25">
      <c r="A904" s="639"/>
      <c r="B904" s="639"/>
      <c r="C904" s="884"/>
      <c r="D904" s="203"/>
      <c r="I904" s="886"/>
      <c r="J904" s="886"/>
      <c r="K904" s="172"/>
      <c r="L904" s="172"/>
      <c r="M904" s="888"/>
      <c r="O904" s="172"/>
      <c r="Q904" s="172"/>
      <c r="R904" s="172"/>
      <c r="S904" s="172"/>
      <c r="T904" s="172"/>
      <c r="AN904"/>
      <c r="AO904"/>
    </row>
    <row r="905" spans="1:41" x14ac:dyDescent="0.25">
      <c r="A905" s="639"/>
      <c r="B905" s="639"/>
      <c r="C905" s="884"/>
      <c r="D905" s="203"/>
      <c r="I905" s="886"/>
      <c r="J905" s="886"/>
      <c r="K905" s="172"/>
      <c r="L905" s="172"/>
      <c r="M905" s="888"/>
      <c r="O905" s="172"/>
      <c r="Q905" s="172"/>
      <c r="R905" s="172"/>
      <c r="S905" s="172"/>
      <c r="T905" s="172"/>
      <c r="AN905"/>
      <c r="AO905"/>
    </row>
    <row r="906" spans="1:41" x14ac:dyDescent="0.25">
      <c r="A906" s="639"/>
      <c r="B906" s="639"/>
      <c r="C906" s="884"/>
      <c r="D906" s="203"/>
      <c r="I906" s="886"/>
      <c r="J906" s="886"/>
      <c r="K906" s="172"/>
      <c r="L906" s="172"/>
      <c r="M906" s="888"/>
      <c r="O906" s="172"/>
      <c r="Q906" s="172"/>
      <c r="R906" s="172"/>
      <c r="S906" s="172"/>
      <c r="T906" s="172"/>
      <c r="AN906"/>
      <c r="AO906"/>
    </row>
    <row r="907" spans="1:41" x14ac:dyDescent="0.25">
      <c r="A907" s="639"/>
      <c r="B907" s="639"/>
      <c r="C907" s="884"/>
      <c r="D907" s="203"/>
      <c r="I907" s="886"/>
      <c r="J907" s="886"/>
      <c r="K907" s="172"/>
      <c r="L907" s="172"/>
      <c r="M907" s="888"/>
      <c r="O907" s="172"/>
      <c r="Q907" s="172"/>
      <c r="R907" s="172"/>
      <c r="S907" s="172"/>
      <c r="T907" s="172"/>
      <c r="AN907"/>
      <c r="AO907"/>
    </row>
    <row r="908" spans="1:41" x14ac:dyDescent="0.25">
      <c r="A908" s="639"/>
      <c r="B908" s="639"/>
      <c r="C908" s="884"/>
      <c r="D908" s="203"/>
      <c r="I908" s="886"/>
      <c r="J908" s="886"/>
      <c r="K908" s="172"/>
      <c r="L908" s="172"/>
      <c r="M908" s="888"/>
      <c r="O908" s="172"/>
      <c r="Q908" s="172"/>
      <c r="R908" s="172"/>
      <c r="S908" s="172"/>
      <c r="T908" s="172"/>
      <c r="AN908"/>
      <c r="AO908"/>
    </row>
    <row r="909" spans="1:41" x14ac:dyDescent="0.25">
      <c r="A909" s="639"/>
      <c r="B909" s="639"/>
      <c r="C909" s="884"/>
      <c r="D909" s="203"/>
      <c r="I909" s="886"/>
      <c r="J909" s="886"/>
      <c r="K909" s="172"/>
      <c r="L909" s="172"/>
      <c r="M909" s="888"/>
      <c r="O909" s="172"/>
      <c r="Q909" s="172"/>
      <c r="R909" s="172"/>
      <c r="S909" s="172"/>
      <c r="T909" s="172"/>
      <c r="AN909"/>
      <c r="AO909"/>
    </row>
    <row r="910" spans="1:41" x14ac:dyDescent="0.25">
      <c r="A910" s="639"/>
      <c r="B910" s="639"/>
      <c r="C910" s="884"/>
      <c r="D910" s="203"/>
      <c r="I910" s="886"/>
      <c r="J910" s="886"/>
      <c r="K910" s="172"/>
      <c r="L910" s="172"/>
      <c r="M910" s="888"/>
      <c r="O910" s="172"/>
      <c r="Q910" s="172"/>
      <c r="R910" s="172"/>
      <c r="S910" s="172"/>
      <c r="T910" s="172"/>
      <c r="AN910"/>
      <c r="AO910"/>
    </row>
    <row r="911" spans="1:41" x14ac:dyDescent="0.25">
      <c r="A911" s="639"/>
      <c r="B911" s="639"/>
      <c r="C911" s="884"/>
      <c r="D911" s="203"/>
      <c r="I911" s="886"/>
      <c r="J911" s="886"/>
      <c r="K911" s="172"/>
      <c r="L911" s="172"/>
      <c r="M911" s="888"/>
      <c r="O911" s="172"/>
      <c r="Q911" s="172"/>
      <c r="R911" s="172"/>
      <c r="S911" s="172"/>
      <c r="T911" s="172"/>
      <c r="AN911"/>
      <c r="AO911"/>
    </row>
    <row r="912" spans="1:41" x14ac:dyDescent="0.25">
      <c r="A912" s="639"/>
      <c r="B912" s="639"/>
      <c r="C912" s="884"/>
      <c r="D912" s="203"/>
      <c r="I912" s="886"/>
      <c r="J912" s="886"/>
      <c r="K912" s="172"/>
      <c r="L912" s="172"/>
      <c r="M912" s="888"/>
      <c r="O912" s="172"/>
      <c r="Q912" s="172"/>
      <c r="R912" s="172"/>
      <c r="S912" s="172"/>
      <c r="T912" s="172"/>
      <c r="AN912"/>
      <c r="AO912"/>
    </row>
    <row r="913" spans="1:41" x14ac:dyDescent="0.25">
      <c r="A913" s="639"/>
      <c r="B913" s="639"/>
      <c r="C913" s="884"/>
      <c r="D913" s="203"/>
      <c r="I913" s="886"/>
      <c r="J913" s="886"/>
      <c r="K913" s="172"/>
      <c r="L913" s="172"/>
      <c r="M913" s="888"/>
      <c r="O913" s="172"/>
      <c r="Q913" s="172"/>
      <c r="R913" s="172"/>
      <c r="S913" s="172"/>
      <c r="T913" s="172"/>
      <c r="AN913"/>
      <c r="AO913"/>
    </row>
    <row r="914" spans="1:41" x14ac:dyDescent="0.25">
      <c r="A914" s="639"/>
      <c r="B914" s="639"/>
      <c r="C914" s="884"/>
      <c r="D914" s="203"/>
      <c r="I914" s="886"/>
      <c r="J914" s="886"/>
      <c r="K914" s="172"/>
      <c r="L914" s="172"/>
      <c r="M914" s="888"/>
      <c r="O914" s="172"/>
      <c r="Q914" s="172"/>
      <c r="R914" s="172"/>
      <c r="S914" s="172"/>
      <c r="T914" s="172"/>
      <c r="AN914"/>
      <c r="AO914"/>
    </row>
    <row r="915" spans="1:41" x14ac:dyDescent="0.25">
      <c r="A915" s="639"/>
      <c r="B915" s="639"/>
      <c r="C915" s="884"/>
      <c r="D915" s="203"/>
      <c r="I915" s="886"/>
      <c r="J915" s="886"/>
      <c r="K915" s="172"/>
      <c r="L915" s="172"/>
      <c r="M915" s="888"/>
      <c r="O915" s="172"/>
      <c r="Q915" s="172"/>
      <c r="R915" s="172"/>
      <c r="S915" s="172"/>
      <c r="T915" s="172"/>
      <c r="AN915"/>
      <c r="AO915"/>
    </row>
    <row r="916" spans="1:41" x14ac:dyDescent="0.25">
      <c r="A916" s="639"/>
      <c r="B916" s="639"/>
      <c r="C916" s="884"/>
      <c r="D916" s="203"/>
      <c r="I916" s="886"/>
      <c r="J916" s="886"/>
      <c r="K916" s="172"/>
      <c r="L916" s="172"/>
      <c r="M916" s="888"/>
      <c r="O916" s="172"/>
      <c r="Q916" s="172"/>
      <c r="R916" s="172"/>
      <c r="S916" s="172"/>
      <c r="T916" s="172"/>
      <c r="AN916"/>
      <c r="AO916"/>
    </row>
    <row r="917" spans="1:41" x14ac:dyDescent="0.25">
      <c r="A917" s="639"/>
      <c r="B917" s="639"/>
      <c r="C917" s="884"/>
      <c r="D917" s="203"/>
      <c r="I917" s="886"/>
      <c r="J917" s="886"/>
      <c r="K917" s="172"/>
      <c r="L917" s="172"/>
      <c r="M917" s="888"/>
      <c r="O917" s="172"/>
      <c r="Q917" s="172"/>
      <c r="R917" s="172"/>
      <c r="S917" s="172"/>
      <c r="T917" s="172"/>
      <c r="AN917"/>
      <c r="AO917"/>
    </row>
    <row r="918" spans="1:41" x14ac:dyDescent="0.25">
      <c r="A918" s="639"/>
      <c r="B918" s="639"/>
      <c r="C918" s="884"/>
      <c r="D918" s="203"/>
      <c r="I918" s="886"/>
      <c r="J918" s="886"/>
      <c r="K918" s="172"/>
      <c r="L918" s="172"/>
      <c r="M918" s="888"/>
      <c r="O918" s="172"/>
      <c r="Q918" s="172"/>
      <c r="R918" s="172"/>
      <c r="S918" s="172"/>
      <c r="T918" s="172"/>
      <c r="AN918"/>
      <c r="AO918"/>
    </row>
    <row r="919" spans="1:41" x14ac:dyDescent="0.25">
      <c r="A919" s="639"/>
      <c r="B919" s="639"/>
      <c r="C919" s="884"/>
      <c r="D919" s="203"/>
      <c r="I919" s="886"/>
      <c r="J919" s="886"/>
      <c r="K919" s="172"/>
      <c r="L919" s="172"/>
      <c r="M919" s="888"/>
      <c r="O919" s="172"/>
      <c r="Q919" s="172"/>
      <c r="R919" s="172"/>
      <c r="S919" s="172"/>
      <c r="T919" s="172"/>
      <c r="AN919"/>
      <c r="AO919"/>
    </row>
    <row r="920" spans="1:41" x14ac:dyDescent="0.25">
      <c r="A920" s="639"/>
      <c r="B920" s="639"/>
      <c r="C920" s="884"/>
      <c r="D920" s="203"/>
      <c r="I920" s="886"/>
      <c r="J920" s="886"/>
      <c r="K920" s="172"/>
      <c r="L920" s="172"/>
      <c r="M920" s="888"/>
      <c r="O920" s="172"/>
      <c r="Q920" s="172"/>
      <c r="R920" s="172"/>
      <c r="S920" s="172"/>
      <c r="T920" s="172"/>
      <c r="AN920"/>
      <c r="AO920"/>
    </row>
    <row r="921" spans="1:41" x14ac:dyDescent="0.25">
      <c r="A921" s="639"/>
      <c r="B921" s="639"/>
      <c r="C921" s="884"/>
      <c r="D921" s="203"/>
      <c r="I921" s="886"/>
      <c r="J921" s="886"/>
      <c r="K921" s="172"/>
      <c r="L921" s="172"/>
      <c r="M921" s="888"/>
      <c r="O921" s="172"/>
      <c r="Q921" s="172"/>
      <c r="R921" s="172"/>
      <c r="S921" s="172"/>
      <c r="T921" s="172"/>
      <c r="AN921"/>
      <c r="AO921"/>
    </row>
    <row r="922" spans="1:41" x14ac:dyDescent="0.25">
      <c r="A922" s="639"/>
      <c r="B922" s="639"/>
      <c r="C922" s="884"/>
      <c r="D922" s="203"/>
      <c r="I922" s="886"/>
      <c r="J922" s="886"/>
      <c r="K922" s="172"/>
      <c r="L922" s="172"/>
      <c r="M922" s="888"/>
      <c r="O922" s="172"/>
      <c r="Q922" s="172"/>
      <c r="R922" s="172"/>
      <c r="S922" s="172"/>
      <c r="T922" s="172"/>
      <c r="AN922"/>
      <c r="AO922"/>
    </row>
    <row r="923" spans="1:41" x14ac:dyDescent="0.25">
      <c r="A923" s="639"/>
      <c r="B923" s="639"/>
      <c r="C923" s="884"/>
      <c r="D923" s="203"/>
      <c r="I923" s="886"/>
      <c r="J923" s="886"/>
      <c r="K923" s="172"/>
      <c r="L923" s="172"/>
      <c r="M923" s="888"/>
      <c r="O923" s="172"/>
      <c r="Q923" s="172"/>
      <c r="R923" s="172"/>
      <c r="S923" s="172"/>
      <c r="T923" s="172"/>
      <c r="AN923"/>
      <c r="AO923"/>
    </row>
    <row r="924" spans="1:41" x14ac:dyDescent="0.25">
      <c r="A924" s="639"/>
      <c r="B924" s="639"/>
      <c r="C924" s="884"/>
      <c r="D924" s="203"/>
      <c r="I924" s="886"/>
      <c r="J924" s="886"/>
      <c r="K924" s="172"/>
      <c r="L924" s="172"/>
      <c r="M924" s="888"/>
      <c r="O924" s="172"/>
      <c r="Q924" s="172"/>
      <c r="R924" s="172"/>
      <c r="S924" s="172"/>
      <c r="T924" s="172"/>
      <c r="AN924"/>
      <c r="AO924"/>
    </row>
    <row r="925" spans="1:41" x14ac:dyDescent="0.25">
      <c r="A925" s="639"/>
      <c r="B925" s="639"/>
      <c r="C925" s="884"/>
      <c r="D925" s="203"/>
      <c r="I925" s="886"/>
      <c r="J925" s="886"/>
      <c r="K925" s="172"/>
      <c r="L925" s="172"/>
      <c r="M925" s="888"/>
      <c r="O925" s="172"/>
      <c r="Q925" s="172"/>
      <c r="R925" s="172"/>
      <c r="S925" s="172"/>
      <c r="T925" s="172"/>
      <c r="AN925"/>
      <c r="AO925"/>
    </row>
    <row r="926" spans="1:41" x14ac:dyDescent="0.25">
      <c r="A926" s="639"/>
      <c r="B926" s="639"/>
      <c r="C926" s="884"/>
      <c r="D926" s="203"/>
      <c r="I926" s="886"/>
      <c r="J926" s="886"/>
      <c r="K926" s="172"/>
      <c r="L926" s="172"/>
      <c r="M926" s="888"/>
      <c r="O926" s="172"/>
      <c r="Q926" s="172"/>
      <c r="R926" s="172"/>
      <c r="S926" s="172"/>
      <c r="T926" s="172"/>
      <c r="AN926"/>
      <c r="AO926"/>
    </row>
    <row r="927" spans="1:41" x14ac:dyDescent="0.25">
      <c r="A927" s="639"/>
      <c r="B927" s="639"/>
      <c r="C927" s="884"/>
      <c r="D927" s="203"/>
      <c r="I927" s="886"/>
      <c r="J927" s="886"/>
      <c r="K927" s="172"/>
      <c r="L927" s="172"/>
      <c r="M927" s="888"/>
      <c r="O927" s="172"/>
      <c r="Q927" s="172"/>
      <c r="R927" s="172"/>
      <c r="S927" s="172"/>
      <c r="T927" s="172"/>
      <c r="AN927"/>
      <c r="AO927"/>
    </row>
    <row r="928" spans="1:41" x14ac:dyDescent="0.25">
      <c r="A928" s="639"/>
      <c r="B928" s="639"/>
      <c r="C928" s="884"/>
      <c r="D928" s="203"/>
      <c r="I928" s="886"/>
      <c r="J928" s="886"/>
      <c r="K928" s="172"/>
      <c r="L928" s="172"/>
      <c r="M928" s="888"/>
      <c r="O928" s="172"/>
      <c r="Q928" s="172"/>
      <c r="R928" s="172"/>
      <c r="S928" s="172"/>
      <c r="T928" s="172"/>
      <c r="AN928"/>
      <c r="AO928"/>
    </row>
    <row r="929" spans="1:41" x14ac:dyDescent="0.25">
      <c r="A929" s="639"/>
      <c r="B929" s="639"/>
      <c r="C929" s="884"/>
      <c r="D929" s="203"/>
      <c r="I929" s="886"/>
      <c r="J929" s="886"/>
      <c r="K929" s="172"/>
      <c r="L929" s="172"/>
      <c r="M929" s="888"/>
      <c r="O929" s="172"/>
      <c r="Q929" s="172"/>
      <c r="R929" s="172"/>
      <c r="S929" s="172"/>
      <c r="T929" s="172"/>
      <c r="AN929"/>
      <c r="AO929"/>
    </row>
    <row r="930" spans="1:41" x14ac:dyDescent="0.25">
      <c r="A930" s="639"/>
      <c r="B930" s="639"/>
      <c r="C930" s="884"/>
      <c r="D930" s="203"/>
      <c r="I930" s="886"/>
      <c r="J930" s="886"/>
      <c r="K930" s="172"/>
      <c r="L930" s="172"/>
      <c r="M930" s="888"/>
      <c r="O930" s="172"/>
      <c r="Q930" s="172"/>
      <c r="R930" s="172"/>
      <c r="S930" s="172"/>
      <c r="T930" s="172"/>
      <c r="AN930"/>
      <c r="AO930"/>
    </row>
    <row r="931" spans="1:41" x14ac:dyDescent="0.25">
      <c r="A931" s="639"/>
      <c r="B931" s="639"/>
      <c r="C931" s="884"/>
      <c r="D931" s="203"/>
      <c r="I931" s="886"/>
      <c r="J931" s="886"/>
      <c r="K931" s="172"/>
      <c r="L931" s="172"/>
      <c r="M931" s="888"/>
      <c r="O931" s="172"/>
      <c r="Q931" s="172"/>
      <c r="R931" s="172"/>
      <c r="S931" s="172"/>
      <c r="T931" s="172"/>
      <c r="AN931"/>
      <c r="AO931"/>
    </row>
    <row r="932" spans="1:41" x14ac:dyDescent="0.25">
      <c r="A932" s="639"/>
      <c r="B932" s="639"/>
      <c r="C932" s="884"/>
      <c r="D932" s="203"/>
      <c r="I932" s="886"/>
      <c r="J932" s="886"/>
      <c r="K932" s="172"/>
      <c r="L932" s="172"/>
      <c r="M932" s="888"/>
      <c r="O932" s="172"/>
      <c r="Q932" s="172"/>
      <c r="R932" s="172"/>
      <c r="S932" s="172"/>
      <c r="T932" s="172"/>
      <c r="AN932"/>
      <c r="AO932"/>
    </row>
    <row r="933" spans="1:41" x14ac:dyDescent="0.25">
      <c r="A933" s="639"/>
      <c r="B933" s="639"/>
      <c r="C933" s="884"/>
      <c r="D933" s="203"/>
      <c r="I933" s="886"/>
      <c r="J933" s="886"/>
      <c r="K933" s="172"/>
      <c r="L933" s="172"/>
      <c r="M933" s="888"/>
      <c r="O933" s="172"/>
      <c r="Q933" s="172"/>
      <c r="R933" s="172"/>
      <c r="S933" s="172"/>
      <c r="T933" s="172"/>
      <c r="AN933"/>
      <c r="AO933"/>
    </row>
    <row r="934" spans="1:41" x14ac:dyDescent="0.25">
      <c r="A934" s="639"/>
      <c r="B934" s="639"/>
      <c r="C934" s="884"/>
      <c r="D934" s="203"/>
      <c r="I934" s="886"/>
      <c r="J934" s="886"/>
      <c r="K934" s="172"/>
      <c r="L934" s="172"/>
      <c r="M934" s="888"/>
      <c r="O934" s="172"/>
      <c r="Q934" s="172"/>
      <c r="R934" s="172"/>
      <c r="S934" s="172"/>
      <c r="T934" s="172"/>
      <c r="AN934"/>
      <c r="AO934"/>
    </row>
    <row r="935" spans="1:41" x14ac:dyDescent="0.25">
      <c r="A935" s="639"/>
      <c r="B935" s="639"/>
      <c r="C935" s="884"/>
      <c r="D935" s="203"/>
      <c r="I935" s="886"/>
      <c r="J935" s="886"/>
      <c r="K935" s="172"/>
      <c r="L935" s="172"/>
      <c r="M935" s="888"/>
      <c r="O935" s="172"/>
      <c r="Q935" s="172"/>
      <c r="R935" s="172"/>
      <c r="S935" s="172"/>
      <c r="T935" s="172"/>
      <c r="AN935"/>
      <c r="AO935"/>
    </row>
    <row r="936" spans="1:41" x14ac:dyDescent="0.25">
      <c r="A936" s="639"/>
      <c r="B936" s="639"/>
      <c r="C936" s="884"/>
      <c r="D936" s="203"/>
      <c r="I936" s="886"/>
      <c r="J936" s="886"/>
      <c r="K936" s="172"/>
      <c r="L936" s="172"/>
      <c r="M936" s="888"/>
      <c r="O936" s="172"/>
      <c r="Q936" s="172"/>
      <c r="R936" s="172"/>
      <c r="S936" s="172"/>
      <c r="T936" s="172"/>
      <c r="AN936"/>
      <c r="AO936"/>
    </row>
    <row r="937" spans="1:41" x14ac:dyDescent="0.25">
      <c r="A937" s="639"/>
      <c r="B937" s="639"/>
      <c r="C937" s="884"/>
      <c r="D937" s="203"/>
      <c r="I937" s="886"/>
      <c r="J937" s="886"/>
      <c r="K937" s="172"/>
      <c r="L937" s="172"/>
      <c r="M937" s="888"/>
      <c r="O937" s="172"/>
      <c r="Q937" s="172"/>
      <c r="R937" s="172"/>
      <c r="S937" s="172"/>
      <c r="T937" s="172"/>
      <c r="AN937"/>
      <c r="AO937"/>
    </row>
    <row r="938" spans="1:41" x14ac:dyDescent="0.25">
      <c r="A938" s="639"/>
      <c r="B938" s="639"/>
      <c r="C938" s="884"/>
      <c r="D938" s="203"/>
      <c r="I938" s="886"/>
      <c r="J938" s="886"/>
      <c r="K938" s="172"/>
      <c r="L938" s="172"/>
      <c r="M938" s="888"/>
      <c r="O938" s="172"/>
      <c r="Q938" s="172"/>
      <c r="R938" s="172"/>
      <c r="S938" s="172"/>
      <c r="T938" s="172"/>
      <c r="AN938"/>
      <c r="AO938"/>
    </row>
    <row r="939" spans="1:41" x14ac:dyDescent="0.25">
      <c r="A939" s="639"/>
      <c r="B939" s="639"/>
      <c r="C939" s="884"/>
      <c r="D939" s="203"/>
      <c r="I939" s="886"/>
      <c r="J939" s="886"/>
      <c r="K939" s="172"/>
      <c r="L939" s="172"/>
      <c r="M939" s="888"/>
      <c r="O939" s="172"/>
      <c r="Q939" s="172"/>
      <c r="R939" s="172"/>
      <c r="S939" s="172"/>
      <c r="T939" s="172"/>
      <c r="AN939"/>
      <c r="AO939"/>
    </row>
    <row r="940" spans="1:41" x14ac:dyDescent="0.25">
      <c r="A940" s="639"/>
      <c r="B940" s="639"/>
      <c r="C940" s="884"/>
      <c r="D940" s="203"/>
      <c r="I940" s="886"/>
      <c r="J940" s="886"/>
      <c r="K940" s="172"/>
      <c r="L940" s="172"/>
      <c r="M940" s="888"/>
      <c r="O940" s="172"/>
      <c r="Q940" s="172"/>
      <c r="R940" s="172"/>
      <c r="S940" s="172"/>
      <c r="T940" s="172"/>
      <c r="AN940"/>
      <c r="AO940"/>
    </row>
    <row r="941" spans="1:41" x14ac:dyDescent="0.25">
      <c r="A941" s="639"/>
      <c r="B941" s="639"/>
      <c r="C941" s="884"/>
      <c r="D941" s="203"/>
      <c r="I941" s="886"/>
      <c r="J941" s="886"/>
      <c r="K941" s="172"/>
      <c r="L941" s="172"/>
      <c r="M941" s="888"/>
      <c r="O941" s="172"/>
      <c r="Q941" s="172"/>
      <c r="R941" s="172"/>
      <c r="S941" s="172"/>
      <c r="T941" s="172"/>
      <c r="AN941"/>
      <c r="AO941"/>
    </row>
    <row r="942" spans="1:41" x14ac:dyDescent="0.25">
      <c r="A942" s="639"/>
      <c r="B942" s="639"/>
      <c r="C942" s="884"/>
      <c r="D942" s="203"/>
      <c r="I942" s="886"/>
      <c r="J942" s="886"/>
      <c r="K942" s="172"/>
      <c r="L942" s="172"/>
      <c r="M942" s="888"/>
      <c r="O942" s="172"/>
      <c r="Q942" s="172"/>
      <c r="R942" s="172"/>
      <c r="S942" s="172"/>
      <c r="T942" s="172"/>
      <c r="AN942"/>
      <c r="AO942"/>
    </row>
    <row r="943" spans="1:41" x14ac:dyDescent="0.25">
      <c r="A943" s="639"/>
      <c r="B943" s="639"/>
      <c r="C943" s="884"/>
      <c r="D943" s="203"/>
      <c r="I943" s="886"/>
      <c r="J943" s="886"/>
      <c r="K943" s="172"/>
      <c r="L943" s="172"/>
      <c r="M943" s="888"/>
      <c r="O943" s="172"/>
      <c r="Q943" s="172"/>
      <c r="R943" s="172"/>
      <c r="S943" s="172"/>
      <c r="T943" s="172"/>
      <c r="AN943"/>
      <c r="AO943"/>
    </row>
    <row r="944" spans="1:41" x14ac:dyDescent="0.25">
      <c r="A944" s="639"/>
      <c r="B944" s="639"/>
      <c r="C944" s="884"/>
      <c r="D944" s="203"/>
      <c r="I944" s="886"/>
      <c r="J944" s="886"/>
      <c r="K944" s="172"/>
      <c r="L944" s="172"/>
      <c r="M944" s="888"/>
      <c r="O944" s="172"/>
      <c r="Q944" s="172"/>
      <c r="R944" s="172"/>
      <c r="S944" s="172"/>
      <c r="T944" s="172"/>
      <c r="AN944"/>
      <c r="AO944"/>
    </row>
    <row r="945" spans="1:41" x14ac:dyDescent="0.25">
      <c r="A945" s="639"/>
      <c r="B945" s="639"/>
      <c r="C945" s="884"/>
      <c r="D945" s="203"/>
      <c r="I945" s="886"/>
      <c r="J945" s="886"/>
      <c r="K945" s="172"/>
      <c r="L945" s="172"/>
      <c r="M945" s="888"/>
      <c r="O945" s="172"/>
      <c r="Q945" s="172"/>
      <c r="R945" s="172"/>
      <c r="S945" s="172"/>
      <c r="T945" s="172"/>
      <c r="AN945"/>
      <c r="AO945"/>
    </row>
    <row r="946" spans="1:41" x14ac:dyDescent="0.25">
      <c r="A946" s="639"/>
      <c r="B946" s="639"/>
      <c r="C946" s="884"/>
      <c r="D946" s="203"/>
      <c r="I946" s="886"/>
      <c r="J946" s="886"/>
      <c r="K946" s="172"/>
      <c r="L946" s="172"/>
      <c r="M946" s="888"/>
      <c r="O946" s="172"/>
      <c r="Q946" s="172"/>
      <c r="R946" s="172"/>
      <c r="S946" s="172"/>
      <c r="T946" s="172"/>
      <c r="AN946"/>
      <c r="AO946"/>
    </row>
    <row r="947" spans="1:41" x14ac:dyDescent="0.25">
      <c r="A947" s="639"/>
      <c r="B947" s="639"/>
      <c r="C947" s="884"/>
      <c r="D947" s="203"/>
      <c r="I947" s="886"/>
      <c r="J947" s="886"/>
      <c r="K947" s="172"/>
      <c r="L947" s="172"/>
      <c r="M947" s="888"/>
      <c r="O947" s="172"/>
      <c r="Q947" s="172"/>
      <c r="R947" s="172"/>
      <c r="S947" s="172"/>
      <c r="T947" s="172"/>
      <c r="AN947"/>
      <c r="AO947"/>
    </row>
    <row r="948" spans="1:41" x14ac:dyDescent="0.25">
      <c r="A948" s="639"/>
      <c r="B948" s="639"/>
      <c r="C948" s="884"/>
      <c r="D948" s="203"/>
      <c r="I948" s="886"/>
      <c r="J948" s="886"/>
      <c r="K948" s="172"/>
      <c r="L948" s="172"/>
      <c r="M948" s="888"/>
      <c r="O948" s="172"/>
      <c r="Q948" s="172"/>
      <c r="R948" s="172"/>
      <c r="S948" s="172"/>
      <c r="T948" s="172"/>
      <c r="AN948"/>
      <c r="AO948"/>
    </row>
    <row r="949" spans="1:41" x14ac:dyDescent="0.25">
      <c r="A949" s="639"/>
      <c r="B949" s="639"/>
      <c r="C949" s="884"/>
      <c r="D949" s="203"/>
      <c r="I949" s="886"/>
      <c r="J949" s="886"/>
      <c r="K949" s="172"/>
      <c r="L949" s="172"/>
      <c r="M949" s="888"/>
      <c r="O949" s="172"/>
      <c r="Q949" s="172"/>
      <c r="R949" s="172"/>
      <c r="S949" s="172"/>
      <c r="T949" s="172"/>
      <c r="AN949"/>
      <c r="AO949"/>
    </row>
    <row r="950" spans="1:41" x14ac:dyDescent="0.25">
      <c r="A950" s="639"/>
      <c r="B950" s="639"/>
      <c r="C950" s="884"/>
      <c r="D950" s="203"/>
      <c r="I950" s="886"/>
      <c r="J950" s="886"/>
      <c r="K950" s="172"/>
      <c r="L950" s="172"/>
      <c r="M950" s="888"/>
      <c r="O950" s="172"/>
      <c r="Q950" s="172"/>
      <c r="R950" s="172"/>
      <c r="S950" s="172"/>
      <c r="T950" s="172"/>
      <c r="AN950"/>
      <c r="AO950"/>
    </row>
    <row r="951" spans="1:41" x14ac:dyDescent="0.25">
      <c r="A951" s="639"/>
      <c r="B951" s="639"/>
      <c r="C951" s="884"/>
      <c r="D951" s="203"/>
      <c r="I951" s="886"/>
      <c r="J951" s="886"/>
      <c r="K951" s="172"/>
      <c r="L951" s="172"/>
      <c r="M951" s="888"/>
      <c r="O951" s="172"/>
      <c r="Q951" s="172"/>
      <c r="R951" s="172"/>
      <c r="S951" s="172"/>
      <c r="T951" s="172"/>
      <c r="AN951"/>
      <c r="AO951"/>
    </row>
    <row r="952" spans="1:41" x14ac:dyDescent="0.25">
      <c r="A952" s="639"/>
      <c r="B952" s="639"/>
      <c r="C952" s="884"/>
      <c r="D952" s="203"/>
      <c r="I952" s="886"/>
      <c r="J952" s="886"/>
      <c r="K952" s="172"/>
      <c r="L952" s="172"/>
      <c r="M952" s="888"/>
      <c r="O952" s="172"/>
      <c r="Q952" s="172"/>
      <c r="R952" s="172"/>
      <c r="S952" s="172"/>
      <c r="T952" s="172"/>
      <c r="AN952"/>
      <c r="AO952"/>
    </row>
    <row r="953" spans="1:41" x14ac:dyDescent="0.25">
      <c r="A953" s="639"/>
      <c r="B953" s="639"/>
      <c r="C953" s="884"/>
      <c r="D953" s="203"/>
      <c r="I953" s="886"/>
      <c r="J953" s="886"/>
      <c r="K953" s="172"/>
      <c r="L953" s="172"/>
      <c r="M953" s="888"/>
      <c r="O953" s="172"/>
      <c r="Q953" s="172"/>
      <c r="R953" s="172"/>
      <c r="S953" s="172"/>
      <c r="T953" s="172"/>
      <c r="AN953"/>
      <c r="AO953"/>
    </row>
    <row r="954" spans="1:41" x14ac:dyDescent="0.25">
      <c r="A954" s="639"/>
      <c r="B954" s="639"/>
      <c r="C954" s="884"/>
      <c r="D954" s="203"/>
      <c r="I954" s="886"/>
      <c r="J954" s="886"/>
      <c r="K954" s="172"/>
      <c r="L954" s="172"/>
      <c r="M954" s="888"/>
      <c r="O954" s="172"/>
      <c r="Q954" s="172"/>
      <c r="R954" s="172"/>
      <c r="S954" s="172"/>
      <c r="T954" s="172"/>
      <c r="AN954"/>
      <c r="AO954"/>
    </row>
    <row r="955" spans="1:41" x14ac:dyDescent="0.25">
      <c r="A955" s="639"/>
      <c r="B955" s="639"/>
      <c r="C955" s="884"/>
      <c r="D955" s="203"/>
      <c r="I955" s="886"/>
      <c r="J955" s="886"/>
      <c r="K955" s="172"/>
      <c r="L955" s="172"/>
      <c r="M955" s="888"/>
      <c r="O955" s="172"/>
      <c r="Q955" s="172"/>
      <c r="R955" s="172"/>
      <c r="S955" s="172"/>
      <c r="T955" s="172"/>
      <c r="AN955"/>
      <c r="AO955"/>
    </row>
    <row r="956" spans="1:41" x14ac:dyDescent="0.25">
      <c r="A956" s="639"/>
      <c r="B956" s="639"/>
      <c r="C956" s="884"/>
      <c r="D956" s="203"/>
      <c r="I956" s="886"/>
      <c r="J956" s="886"/>
      <c r="K956" s="172"/>
      <c r="L956" s="172"/>
      <c r="M956" s="888"/>
      <c r="O956" s="172"/>
      <c r="Q956" s="172"/>
      <c r="R956" s="172"/>
      <c r="S956" s="172"/>
      <c r="T956" s="172"/>
      <c r="AN956"/>
      <c r="AO956"/>
    </row>
    <row r="957" spans="1:41" x14ac:dyDescent="0.25">
      <c r="A957" s="639"/>
      <c r="B957" s="639"/>
      <c r="C957" s="884"/>
      <c r="D957" s="203"/>
      <c r="I957" s="886"/>
      <c r="J957" s="886"/>
      <c r="K957" s="172"/>
      <c r="L957" s="172"/>
      <c r="M957" s="888"/>
      <c r="O957" s="172"/>
      <c r="Q957" s="172"/>
      <c r="R957" s="172"/>
      <c r="S957" s="172"/>
      <c r="T957" s="172"/>
      <c r="AN957"/>
      <c r="AO957"/>
    </row>
    <row r="958" spans="1:41" x14ac:dyDescent="0.25">
      <c r="A958" s="639"/>
      <c r="B958" s="639"/>
      <c r="C958" s="884"/>
      <c r="D958" s="203"/>
      <c r="I958" s="886"/>
      <c r="J958" s="886"/>
      <c r="K958" s="172"/>
      <c r="L958" s="172"/>
      <c r="M958" s="888"/>
      <c r="O958" s="172"/>
      <c r="Q958" s="172"/>
      <c r="R958" s="172"/>
      <c r="S958" s="172"/>
      <c r="T958" s="172"/>
      <c r="AN958"/>
      <c r="AO958"/>
    </row>
    <row r="959" spans="1:41" x14ac:dyDescent="0.25">
      <c r="A959" s="639"/>
      <c r="B959" s="639"/>
      <c r="C959" s="884"/>
      <c r="D959" s="203"/>
      <c r="I959" s="886"/>
      <c r="J959" s="886"/>
      <c r="K959" s="172"/>
      <c r="L959" s="172"/>
      <c r="M959" s="888"/>
      <c r="O959" s="172"/>
      <c r="Q959" s="172"/>
      <c r="R959" s="172"/>
      <c r="S959" s="172"/>
      <c r="T959" s="172"/>
      <c r="AN959"/>
      <c r="AO959"/>
    </row>
    <row r="960" spans="1:41" x14ac:dyDescent="0.25">
      <c r="A960" s="639"/>
      <c r="B960" s="639"/>
      <c r="C960" s="884"/>
      <c r="D960" s="203"/>
      <c r="I960" s="886"/>
      <c r="J960" s="886"/>
      <c r="K960" s="172"/>
      <c r="L960" s="172"/>
      <c r="M960" s="888"/>
      <c r="O960" s="172"/>
      <c r="Q960" s="172"/>
      <c r="R960" s="172"/>
      <c r="S960" s="172"/>
      <c r="T960" s="172"/>
      <c r="AN960"/>
      <c r="AO960"/>
    </row>
    <row r="961" spans="1:41" x14ac:dyDescent="0.25">
      <c r="A961" s="639"/>
      <c r="B961" s="639"/>
      <c r="C961" s="884"/>
      <c r="D961" s="203"/>
      <c r="I961" s="886"/>
      <c r="J961" s="886"/>
      <c r="K961" s="172"/>
      <c r="L961" s="172"/>
      <c r="M961" s="888"/>
      <c r="O961" s="172"/>
      <c r="Q961" s="172"/>
      <c r="R961" s="172"/>
      <c r="S961" s="172"/>
      <c r="T961" s="172"/>
      <c r="AN961"/>
      <c r="AO961"/>
    </row>
    <row r="962" spans="1:41" x14ac:dyDescent="0.25">
      <c r="A962" s="639"/>
      <c r="B962" s="639"/>
      <c r="C962" s="884"/>
      <c r="D962" s="203"/>
      <c r="I962" s="886"/>
      <c r="J962" s="886"/>
      <c r="K962" s="172"/>
      <c r="L962" s="172"/>
      <c r="M962" s="888"/>
      <c r="O962" s="172"/>
      <c r="Q962" s="172"/>
      <c r="R962" s="172"/>
      <c r="S962" s="172"/>
      <c r="T962" s="172"/>
      <c r="AN962"/>
      <c r="AO962"/>
    </row>
    <row r="963" spans="1:41" x14ac:dyDescent="0.25">
      <c r="A963" s="639"/>
      <c r="B963" s="639"/>
      <c r="C963" s="884"/>
      <c r="D963" s="203"/>
      <c r="I963" s="886"/>
      <c r="J963" s="886"/>
      <c r="K963" s="172"/>
      <c r="L963" s="172"/>
      <c r="M963" s="888"/>
      <c r="O963" s="172"/>
      <c r="Q963" s="172"/>
      <c r="R963" s="172"/>
      <c r="S963" s="172"/>
      <c r="T963" s="172"/>
      <c r="AN963"/>
      <c r="AO963"/>
    </row>
    <row r="964" spans="1:41" x14ac:dyDescent="0.25">
      <c r="A964" s="639"/>
      <c r="B964" s="639"/>
      <c r="C964" s="884"/>
      <c r="D964" s="203"/>
      <c r="I964" s="886"/>
      <c r="J964" s="886"/>
      <c r="K964" s="172"/>
      <c r="L964" s="172"/>
      <c r="M964" s="888"/>
      <c r="O964" s="172"/>
      <c r="Q964" s="172"/>
      <c r="R964" s="172"/>
      <c r="S964" s="172"/>
      <c r="T964" s="172"/>
      <c r="AN964"/>
      <c r="AO964"/>
    </row>
    <row r="965" spans="1:41" x14ac:dyDescent="0.25">
      <c r="A965" s="639"/>
      <c r="B965" s="639"/>
      <c r="C965" s="884"/>
      <c r="D965" s="203"/>
      <c r="I965" s="886"/>
      <c r="J965" s="886"/>
      <c r="K965" s="172"/>
      <c r="L965" s="172"/>
      <c r="M965" s="888"/>
      <c r="O965" s="172"/>
      <c r="Q965" s="172"/>
      <c r="R965" s="172"/>
      <c r="S965" s="172"/>
      <c r="T965" s="172"/>
      <c r="AN965"/>
      <c r="AO965"/>
    </row>
    <row r="966" spans="1:41" x14ac:dyDescent="0.25">
      <c r="A966" s="639"/>
      <c r="B966" s="639"/>
      <c r="C966" s="884"/>
      <c r="D966" s="203"/>
      <c r="I966" s="886"/>
      <c r="J966" s="886"/>
      <c r="K966" s="172"/>
      <c r="L966" s="172"/>
      <c r="M966" s="888"/>
      <c r="O966" s="172"/>
      <c r="Q966" s="172"/>
      <c r="R966" s="172"/>
      <c r="S966" s="172"/>
      <c r="T966" s="172"/>
      <c r="AN966"/>
      <c r="AO966"/>
    </row>
    <row r="967" spans="1:41" x14ac:dyDescent="0.25">
      <c r="A967" s="639"/>
      <c r="B967" s="639"/>
      <c r="C967" s="884"/>
      <c r="D967" s="203"/>
      <c r="I967" s="886"/>
      <c r="J967" s="886"/>
      <c r="K967" s="172"/>
      <c r="L967" s="172"/>
      <c r="M967" s="888"/>
      <c r="O967" s="172"/>
      <c r="Q967" s="172"/>
      <c r="R967" s="172"/>
      <c r="S967" s="172"/>
      <c r="T967" s="172"/>
      <c r="AN967"/>
      <c r="AO967"/>
    </row>
    <row r="968" spans="1:41" x14ac:dyDescent="0.25">
      <c r="A968" s="639"/>
      <c r="B968" s="639"/>
      <c r="C968" s="884"/>
      <c r="D968" s="203"/>
      <c r="I968" s="886"/>
      <c r="J968" s="886"/>
      <c r="K968" s="172"/>
      <c r="L968" s="172"/>
      <c r="M968" s="888"/>
      <c r="O968" s="172"/>
      <c r="Q968" s="172"/>
      <c r="R968" s="172"/>
      <c r="S968" s="172"/>
      <c r="T968" s="172"/>
      <c r="AN968"/>
      <c r="AO968"/>
    </row>
    <row r="969" spans="1:41" x14ac:dyDescent="0.25">
      <c r="A969" s="639"/>
      <c r="B969" s="639"/>
      <c r="C969" s="884"/>
      <c r="D969" s="203"/>
      <c r="I969" s="886"/>
      <c r="J969" s="886"/>
      <c r="K969" s="172"/>
      <c r="L969" s="172"/>
      <c r="M969" s="888"/>
      <c r="O969" s="172"/>
      <c r="Q969" s="172"/>
      <c r="R969" s="172"/>
      <c r="S969" s="172"/>
      <c r="T969" s="172"/>
      <c r="AN969"/>
      <c r="AO969"/>
    </row>
    <row r="970" spans="1:41" x14ac:dyDescent="0.25">
      <c r="A970" s="639"/>
      <c r="B970" s="639"/>
      <c r="C970" s="884"/>
      <c r="D970" s="203"/>
      <c r="I970" s="886"/>
      <c r="J970" s="886"/>
      <c r="K970" s="172"/>
      <c r="L970" s="172"/>
      <c r="M970" s="888"/>
      <c r="O970" s="172"/>
      <c r="Q970" s="172"/>
      <c r="R970" s="172"/>
      <c r="S970" s="172"/>
      <c r="T970" s="172"/>
      <c r="AN970"/>
      <c r="AO970"/>
    </row>
    <row r="971" spans="1:41" x14ac:dyDescent="0.25">
      <c r="A971" s="639"/>
      <c r="B971" s="639"/>
      <c r="C971" s="884"/>
      <c r="D971" s="203"/>
      <c r="I971" s="886"/>
      <c r="J971" s="886"/>
      <c r="K971" s="172"/>
      <c r="L971" s="172"/>
      <c r="M971" s="888"/>
      <c r="O971" s="172"/>
      <c r="Q971" s="172"/>
      <c r="R971" s="172"/>
      <c r="S971" s="172"/>
      <c r="T971" s="172"/>
      <c r="AN971"/>
      <c r="AO971"/>
    </row>
    <row r="972" spans="1:41" x14ac:dyDescent="0.25">
      <c r="A972" s="639"/>
      <c r="B972" s="639"/>
      <c r="C972" s="884"/>
      <c r="D972" s="203"/>
      <c r="I972" s="886"/>
      <c r="J972" s="886"/>
      <c r="K972" s="172"/>
      <c r="L972" s="172"/>
      <c r="M972" s="888"/>
      <c r="O972" s="172"/>
      <c r="Q972" s="172"/>
      <c r="R972" s="172"/>
      <c r="S972" s="172"/>
      <c r="T972" s="172"/>
      <c r="AN972"/>
      <c r="AO972"/>
    </row>
    <row r="973" spans="1:41" x14ac:dyDescent="0.25">
      <c r="A973" s="639"/>
      <c r="B973" s="639"/>
      <c r="C973" s="884"/>
      <c r="D973" s="203"/>
      <c r="I973" s="886"/>
      <c r="J973" s="886"/>
      <c r="K973" s="172"/>
      <c r="L973" s="172"/>
      <c r="M973" s="888"/>
      <c r="O973" s="172"/>
      <c r="Q973" s="172"/>
      <c r="R973" s="172"/>
      <c r="S973" s="172"/>
      <c r="T973" s="172"/>
      <c r="AN973"/>
      <c r="AO973"/>
    </row>
    <row r="974" spans="1:41" x14ac:dyDescent="0.25">
      <c r="A974" s="639"/>
      <c r="B974" s="639"/>
      <c r="C974" s="884"/>
      <c r="D974" s="203"/>
      <c r="I974" s="886"/>
      <c r="J974" s="886"/>
      <c r="K974" s="172"/>
      <c r="L974" s="172"/>
      <c r="M974" s="888"/>
      <c r="O974" s="172"/>
      <c r="Q974" s="172"/>
      <c r="R974" s="172"/>
      <c r="S974" s="172"/>
      <c r="T974" s="172"/>
      <c r="AN974"/>
      <c r="AO974"/>
    </row>
    <row r="975" spans="1:41" x14ac:dyDescent="0.25">
      <c r="A975" s="639"/>
      <c r="B975" s="639"/>
      <c r="C975" s="884"/>
      <c r="D975" s="203"/>
      <c r="I975" s="886"/>
      <c r="J975" s="886"/>
      <c r="K975" s="172"/>
      <c r="L975" s="172"/>
      <c r="M975" s="888"/>
      <c r="O975" s="172"/>
      <c r="Q975" s="172"/>
      <c r="R975" s="172"/>
      <c r="S975" s="172"/>
      <c r="T975" s="172"/>
      <c r="AN975"/>
      <c r="AO975"/>
    </row>
    <row r="976" spans="1:41" x14ac:dyDescent="0.25">
      <c r="A976" s="639"/>
      <c r="B976" s="639"/>
      <c r="C976" s="884"/>
      <c r="D976" s="203"/>
      <c r="I976" s="886"/>
      <c r="J976" s="886"/>
      <c r="K976" s="172"/>
      <c r="L976" s="172"/>
      <c r="M976" s="888"/>
      <c r="O976" s="172"/>
      <c r="Q976" s="172"/>
      <c r="R976" s="172"/>
      <c r="S976" s="172"/>
      <c r="T976" s="172"/>
      <c r="AN976"/>
      <c r="AO976"/>
    </row>
    <row r="977" spans="1:41" x14ac:dyDescent="0.25">
      <c r="A977" s="639"/>
      <c r="B977" s="639"/>
      <c r="C977" s="884"/>
      <c r="D977" s="203"/>
      <c r="I977" s="886"/>
      <c r="J977" s="886"/>
      <c r="K977" s="172"/>
      <c r="L977" s="172"/>
      <c r="M977" s="888"/>
      <c r="O977" s="172"/>
      <c r="Q977" s="172"/>
      <c r="R977" s="172"/>
      <c r="S977" s="172"/>
      <c r="T977" s="172"/>
      <c r="AN977"/>
      <c r="AO977"/>
    </row>
    <row r="978" spans="1:41" x14ac:dyDescent="0.25">
      <c r="A978" s="639"/>
      <c r="B978" s="639"/>
      <c r="C978" s="884"/>
      <c r="D978" s="203"/>
      <c r="I978" s="886"/>
      <c r="J978" s="886"/>
      <c r="K978" s="172"/>
      <c r="L978" s="172"/>
      <c r="M978" s="888"/>
      <c r="O978" s="172"/>
      <c r="Q978" s="172"/>
      <c r="R978" s="172"/>
      <c r="S978" s="172"/>
      <c r="T978" s="172"/>
      <c r="AN978"/>
      <c r="AO978"/>
    </row>
    <row r="979" spans="1:41" x14ac:dyDescent="0.25">
      <c r="A979" s="639"/>
      <c r="B979" s="639"/>
      <c r="C979" s="884"/>
      <c r="D979" s="203"/>
      <c r="I979" s="886"/>
      <c r="J979" s="886"/>
      <c r="K979" s="172"/>
      <c r="L979" s="172"/>
      <c r="M979" s="888"/>
      <c r="O979" s="172"/>
      <c r="Q979" s="172"/>
      <c r="R979" s="172"/>
      <c r="S979" s="172"/>
      <c r="T979" s="172"/>
      <c r="AN979"/>
      <c r="AO979"/>
    </row>
    <row r="980" spans="1:41" x14ac:dyDescent="0.25">
      <c r="A980" s="639"/>
      <c r="B980" s="639"/>
      <c r="C980" s="884"/>
      <c r="D980" s="203"/>
      <c r="I980" s="886"/>
      <c r="J980" s="886"/>
      <c r="K980" s="172"/>
      <c r="L980" s="172"/>
      <c r="M980" s="888"/>
      <c r="O980" s="172"/>
      <c r="Q980" s="172"/>
      <c r="R980" s="172"/>
      <c r="S980" s="172"/>
      <c r="T980" s="172"/>
      <c r="AN980"/>
      <c r="AO980"/>
    </row>
    <row r="981" spans="1:41" x14ac:dyDescent="0.25">
      <c r="A981" s="639"/>
      <c r="B981" s="639"/>
      <c r="C981" s="884"/>
      <c r="D981" s="203"/>
      <c r="I981" s="886"/>
      <c r="J981" s="886"/>
      <c r="K981" s="172"/>
      <c r="L981" s="172"/>
      <c r="M981" s="888"/>
      <c r="O981" s="172"/>
      <c r="Q981" s="172"/>
      <c r="R981" s="172"/>
      <c r="S981" s="172"/>
      <c r="T981" s="172"/>
      <c r="AN981"/>
      <c r="AO981"/>
    </row>
    <row r="982" spans="1:41" x14ac:dyDescent="0.25">
      <c r="A982" s="639"/>
      <c r="B982" s="639"/>
      <c r="C982" s="884"/>
      <c r="D982" s="203"/>
      <c r="I982" s="886"/>
      <c r="J982" s="886"/>
      <c r="K982" s="172"/>
      <c r="L982" s="172"/>
      <c r="M982" s="888"/>
      <c r="O982" s="172"/>
      <c r="Q982" s="172"/>
      <c r="R982" s="172"/>
      <c r="S982" s="172"/>
      <c r="T982" s="172"/>
      <c r="AN982"/>
      <c r="AO982"/>
    </row>
    <row r="983" spans="1:41" x14ac:dyDescent="0.25">
      <c r="A983" s="639"/>
      <c r="B983" s="639"/>
      <c r="C983" s="884"/>
      <c r="D983" s="203"/>
      <c r="I983" s="886"/>
      <c r="J983" s="886"/>
      <c r="K983" s="172"/>
      <c r="L983" s="172"/>
      <c r="M983" s="888"/>
      <c r="O983" s="172"/>
      <c r="Q983" s="172"/>
      <c r="R983" s="172"/>
      <c r="S983" s="172"/>
      <c r="T983" s="172"/>
      <c r="AN983"/>
      <c r="AO983"/>
    </row>
    <row r="984" spans="1:41" x14ac:dyDescent="0.25">
      <c r="A984" s="639"/>
      <c r="B984" s="639"/>
      <c r="C984" s="884"/>
      <c r="D984" s="203"/>
      <c r="I984" s="886"/>
      <c r="J984" s="886"/>
      <c r="K984" s="172"/>
      <c r="L984" s="172"/>
      <c r="M984" s="888"/>
      <c r="O984" s="172"/>
      <c r="Q984" s="172"/>
      <c r="R984" s="172"/>
      <c r="S984" s="172"/>
      <c r="T984" s="172"/>
      <c r="AN984"/>
      <c r="AO984"/>
    </row>
    <row r="985" spans="1:41" x14ac:dyDescent="0.25">
      <c r="A985" s="639"/>
      <c r="B985" s="639"/>
      <c r="C985" s="884"/>
      <c r="D985" s="203"/>
      <c r="I985" s="886"/>
      <c r="J985" s="886"/>
      <c r="K985" s="172"/>
      <c r="L985" s="172"/>
      <c r="M985" s="888"/>
      <c r="O985" s="172"/>
      <c r="Q985" s="172"/>
      <c r="R985" s="172"/>
      <c r="S985" s="172"/>
      <c r="T985" s="172"/>
      <c r="AN985"/>
      <c r="AO985"/>
    </row>
    <row r="986" spans="1:41" x14ac:dyDescent="0.25">
      <c r="A986" s="639"/>
      <c r="B986" s="639"/>
      <c r="C986" s="884"/>
      <c r="D986" s="203"/>
      <c r="I986" s="886"/>
      <c r="J986" s="886"/>
      <c r="K986" s="172"/>
      <c r="L986" s="172"/>
      <c r="M986" s="888"/>
      <c r="O986" s="172"/>
      <c r="Q986" s="172"/>
      <c r="R986" s="172"/>
      <c r="S986" s="172"/>
      <c r="T986" s="172"/>
      <c r="AN986"/>
      <c r="AO986"/>
    </row>
    <row r="987" spans="1:41" x14ac:dyDescent="0.25">
      <c r="A987" s="639"/>
      <c r="B987" s="639"/>
      <c r="C987" s="884"/>
      <c r="D987" s="203"/>
      <c r="I987" s="886"/>
      <c r="J987" s="886"/>
      <c r="K987" s="172"/>
      <c r="L987" s="172"/>
      <c r="M987" s="888"/>
      <c r="O987" s="172"/>
      <c r="Q987" s="172"/>
      <c r="R987" s="172"/>
      <c r="S987" s="172"/>
      <c r="T987" s="172"/>
      <c r="AN987"/>
      <c r="AO987"/>
    </row>
    <row r="988" spans="1:41" x14ac:dyDescent="0.25">
      <c r="A988" s="639"/>
      <c r="B988" s="639"/>
      <c r="C988" s="884"/>
      <c r="D988" s="203"/>
      <c r="I988" s="886"/>
      <c r="J988" s="886"/>
      <c r="K988" s="172"/>
      <c r="L988" s="172"/>
      <c r="M988" s="888"/>
      <c r="O988" s="172"/>
      <c r="Q988" s="172"/>
      <c r="R988" s="172"/>
      <c r="S988" s="172"/>
      <c r="T988" s="172"/>
      <c r="AN988"/>
      <c r="AO988"/>
    </row>
    <row r="989" spans="1:41" x14ac:dyDescent="0.25">
      <c r="A989" s="639"/>
      <c r="B989" s="639"/>
      <c r="C989" s="884"/>
      <c r="D989" s="203"/>
      <c r="I989" s="886"/>
      <c r="J989" s="886"/>
      <c r="K989" s="172"/>
      <c r="L989" s="172"/>
      <c r="M989" s="888"/>
      <c r="O989" s="172"/>
      <c r="Q989" s="172"/>
      <c r="R989" s="172"/>
      <c r="S989" s="172"/>
      <c r="T989" s="172"/>
      <c r="AN989"/>
      <c r="AO989"/>
    </row>
    <row r="990" spans="1:41" x14ac:dyDescent="0.25">
      <c r="A990" s="639"/>
      <c r="B990" s="639"/>
      <c r="C990" s="884"/>
      <c r="D990" s="203"/>
      <c r="I990" s="886"/>
      <c r="J990" s="886"/>
      <c r="K990" s="172"/>
      <c r="L990" s="172"/>
      <c r="M990" s="888"/>
      <c r="O990" s="172"/>
      <c r="Q990" s="172"/>
      <c r="R990" s="172"/>
      <c r="S990" s="172"/>
      <c r="T990" s="172"/>
      <c r="AN990"/>
      <c r="AO990"/>
    </row>
    <row r="991" spans="1:41" x14ac:dyDescent="0.25">
      <c r="A991" s="639"/>
      <c r="B991" s="639"/>
      <c r="C991" s="884"/>
      <c r="D991" s="203"/>
      <c r="I991" s="886"/>
      <c r="J991" s="886"/>
      <c r="K991" s="172"/>
      <c r="L991" s="172"/>
      <c r="M991" s="888"/>
      <c r="O991" s="172"/>
      <c r="Q991" s="172"/>
      <c r="R991" s="172"/>
      <c r="S991" s="172"/>
      <c r="T991" s="172"/>
      <c r="AN991"/>
      <c r="AO991"/>
    </row>
    <row r="992" spans="1:41" x14ac:dyDescent="0.25">
      <c r="A992" s="639"/>
      <c r="B992" s="639"/>
      <c r="C992" s="884"/>
      <c r="D992" s="203"/>
      <c r="I992" s="886"/>
      <c r="J992" s="886"/>
      <c r="K992" s="172"/>
      <c r="L992" s="172"/>
      <c r="M992" s="888"/>
      <c r="O992" s="172"/>
      <c r="Q992" s="172"/>
      <c r="R992" s="172"/>
      <c r="S992" s="172"/>
      <c r="T992" s="172"/>
      <c r="AN992"/>
      <c r="AO992"/>
    </row>
    <row r="993" spans="1:41" x14ac:dyDescent="0.25">
      <c r="A993" s="639"/>
      <c r="B993" s="639"/>
      <c r="C993" s="884"/>
      <c r="D993" s="203"/>
      <c r="I993" s="886"/>
      <c r="J993" s="886"/>
      <c r="K993" s="172"/>
      <c r="L993" s="172"/>
      <c r="M993" s="888"/>
      <c r="O993" s="172"/>
      <c r="Q993" s="172"/>
      <c r="R993" s="172"/>
      <c r="S993" s="172"/>
      <c r="T993" s="172"/>
      <c r="AN993"/>
      <c r="AO993"/>
    </row>
    <row r="994" spans="1:41" x14ac:dyDescent="0.25">
      <c r="A994" s="639"/>
      <c r="B994" s="639"/>
      <c r="C994" s="884"/>
      <c r="D994" s="203"/>
      <c r="I994" s="886"/>
      <c r="J994" s="886"/>
      <c r="K994" s="172"/>
      <c r="L994" s="172"/>
      <c r="M994" s="888"/>
      <c r="O994" s="172"/>
      <c r="Q994" s="172"/>
      <c r="R994" s="172"/>
      <c r="S994" s="172"/>
      <c r="T994" s="172"/>
      <c r="AN994"/>
      <c r="AO994"/>
    </row>
    <row r="995" spans="1:41" x14ac:dyDescent="0.25">
      <c r="A995" s="639"/>
      <c r="B995" s="639"/>
      <c r="C995" s="884"/>
      <c r="D995" s="203"/>
      <c r="I995" s="886"/>
      <c r="J995" s="886"/>
      <c r="K995" s="172"/>
      <c r="L995" s="172"/>
      <c r="M995" s="888"/>
      <c r="O995" s="172"/>
      <c r="Q995" s="172"/>
      <c r="R995" s="172"/>
      <c r="S995" s="172"/>
      <c r="T995" s="172"/>
      <c r="AN995"/>
      <c r="AO995"/>
    </row>
    <row r="996" spans="1:41" x14ac:dyDescent="0.25">
      <c r="A996" s="639"/>
      <c r="B996" s="639"/>
      <c r="C996" s="884"/>
      <c r="D996" s="203"/>
      <c r="I996" s="886"/>
      <c r="J996" s="886"/>
      <c r="K996" s="172"/>
      <c r="L996" s="172"/>
      <c r="M996" s="888"/>
      <c r="O996" s="172"/>
      <c r="Q996" s="172"/>
      <c r="R996" s="172"/>
      <c r="S996" s="172"/>
      <c r="T996" s="172"/>
      <c r="AN996"/>
      <c r="AO996"/>
    </row>
    <row r="997" spans="1:41" x14ac:dyDescent="0.25">
      <c r="A997" s="639"/>
      <c r="B997" s="639"/>
      <c r="C997" s="884"/>
      <c r="D997" s="203"/>
      <c r="I997" s="886"/>
      <c r="J997" s="886"/>
      <c r="K997" s="172"/>
      <c r="L997" s="172"/>
      <c r="M997" s="888"/>
      <c r="O997" s="172"/>
      <c r="Q997" s="172"/>
      <c r="R997" s="172"/>
      <c r="S997" s="172"/>
      <c r="T997" s="172"/>
      <c r="AN997"/>
      <c r="AO997"/>
    </row>
    <row r="998" spans="1:41" x14ac:dyDescent="0.25">
      <c r="A998" s="639"/>
      <c r="B998" s="639"/>
      <c r="C998" s="884"/>
      <c r="D998" s="203"/>
      <c r="I998" s="886"/>
      <c r="J998" s="886"/>
      <c r="K998" s="172"/>
      <c r="L998" s="172"/>
      <c r="M998" s="888"/>
      <c r="O998" s="172"/>
      <c r="Q998" s="172"/>
      <c r="R998" s="172"/>
      <c r="S998" s="172"/>
      <c r="T998" s="172"/>
      <c r="AN998"/>
      <c r="AO998"/>
    </row>
    <row r="999" spans="1:41" x14ac:dyDescent="0.25">
      <c r="A999" s="639"/>
      <c r="B999" s="639"/>
      <c r="C999" s="884"/>
      <c r="D999" s="203"/>
      <c r="I999" s="886"/>
      <c r="J999" s="886"/>
      <c r="K999" s="172"/>
      <c r="L999" s="172"/>
      <c r="M999" s="888"/>
      <c r="O999" s="172"/>
      <c r="Q999" s="172"/>
      <c r="R999" s="172"/>
      <c r="S999" s="172"/>
      <c r="T999" s="172"/>
      <c r="AN999"/>
      <c r="AO999"/>
    </row>
    <row r="1000" spans="1:41" x14ac:dyDescent="0.25">
      <c r="A1000" s="639"/>
      <c r="B1000" s="639"/>
      <c r="C1000" s="884"/>
      <c r="D1000" s="203"/>
      <c r="I1000" s="886"/>
      <c r="J1000" s="886"/>
      <c r="K1000" s="172"/>
      <c r="L1000" s="172"/>
      <c r="M1000" s="888"/>
      <c r="O1000" s="172"/>
      <c r="Q1000" s="172"/>
      <c r="R1000" s="172"/>
      <c r="S1000" s="172"/>
      <c r="T1000" s="172"/>
      <c r="AN1000"/>
      <c r="AO1000"/>
    </row>
    <row r="1001" spans="1:41" x14ac:dyDescent="0.25">
      <c r="A1001" s="639"/>
      <c r="B1001" s="639"/>
      <c r="C1001" s="884"/>
      <c r="D1001" s="203"/>
      <c r="I1001" s="886"/>
      <c r="J1001" s="886"/>
      <c r="K1001" s="172"/>
      <c r="L1001" s="172"/>
      <c r="M1001" s="888"/>
      <c r="O1001" s="172"/>
      <c r="Q1001" s="172"/>
      <c r="R1001" s="172"/>
      <c r="S1001" s="172"/>
      <c r="T1001" s="172"/>
      <c r="AN1001"/>
      <c r="AO1001"/>
    </row>
    <row r="1002" spans="1:41" x14ac:dyDescent="0.25">
      <c r="A1002" s="639"/>
      <c r="B1002" s="639"/>
      <c r="C1002" s="884"/>
      <c r="D1002" s="203"/>
      <c r="I1002" s="886"/>
      <c r="J1002" s="886"/>
      <c r="K1002" s="172"/>
      <c r="L1002" s="172"/>
      <c r="M1002" s="888"/>
      <c r="O1002" s="172"/>
      <c r="Q1002" s="172"/>
      <c r="R1002" s="172"/>
      <c r="S1002" s="172"/>
      <c r="T1002" s="172"/>
      <c r="AN1002"/>
      <c r="AO1002"/>
    </row>
    <row r="1003" spans="1:41" x14ac:dyDescent="0.25">
      <c r="A1003" s="639"/>
      <c r="B1003" s="639"/>
      <c r="C1003" s="884"/>
      <c r="D1003" s="203"/>
      <c r="I1003" s="886"/>
      <c r="J1003" s="886"/>
      <c r="K1003" s="172"/>
      <c r="L1003" s="172"/>
      <c r="M1003" s="888"/>
      <c r="O1003" s="172"/>
      <c r="Q1003" s="172"/>
      <c r="R1003" s="172"/>
      <c r="S1003" s="172"/>
      <c r="T1003" s="172"/>
      <c r="AN1003"/>
      <c r="AO1003"/>
    </row>
    <row r="1004" spans="1:41" x14ac:dyDescent="0.25">
      <c r="A1004" s="639"/>
      <c r="B1004" s="639"/>
      <c r="C1004" s="884"/>
      <c r="D1004" s="203"/>
      <c r="I1004" s="886"/>
      <c r="J1004" s="886"/>
      <c r="K1004" s="172"/>
      <c r="L1004" s="172"/>
      <c r="M1004" s="888"/>
      <c r="O1004" s="172"/>
      <c r="Q1004" s="172"/>
      <c r="R1004" s="172"/>
      <c r="S1004" s="172"/>
      <c r="T1004" s="172"/>
      <c r="AN1004"/>
      <c r="AO1004"/>
    </row>
    <row r="1005" spans="1:41" x14ac:dyDescent="0.25">
      <c r="A1005" s="639"/>
      <c r="B1005" s="639"/>
      <c r="C1005" s="884"/>
      <c r="D1005" s="203"/>
      <c r="I1005" s="886"/>
      <c r="J1005" s="886"/>
      <c r="K1005" s="172"/>
      <c r="L1005" s="172"/>
      <c r="M1005" s="888"/>
      <c r="O1005" s="172"/>
      <c r="Q1005" s="172"/>
      <c r="R1005" s="172"/>
      <c r="S1005" s="172"/>
      <c r="T1005" s="172"/>
      <c r="AN1005"/>
      <c r="AO1005"/>
    </row>
    <row r="1006" spans="1:41" x14ac:dyDescent="0.25">
      <c r="A1006" s="639"/>
      <c r="B1006" s="639"/>
      <c r="C1006" s="884"/>
      <c r="D1006" s="203"/>
      <c r="I1006" s="886"/>
      <c r="J1006" s="886"/>
      <c r="K1006" s="172"/>
      <c r="L1006" s="172"/>
      <c r="M1006" s="888"/>
      <c r="O1006" s="172"/>
      <c r="Q1006" s="172"/>
      <c r="R1006" s="172"/>
      <c r="S1006" s="172"/>
      <c r="T1006" s="172"/>
      <c r="AN1006"/>
      <c r="AO1006"/>
    </row>
    <row r="1007" spans="1:41" x14ac:dyDescent="0.25">
      <c r="A1007" s="639"/>
      <c r="B1007" s="639"/>
      <c r="C1007" s="884"/>
      <c r="D1007" s="203"/>
      <c r="I1007" s="886"/>
      <c r="J1007" s="886"/>
      <c r="K1007" s="172"/>
      <c r="L1007" s="172"/>
      <c r="M1007" s="888"/>
      <c r="O1007" s="172"/>
      <c r="Q1007" s="172"/>
      <c r="R1007" s="172"/>
      <c r="S1007" s="172"/>
      <c r="T1007" s="172"/>
      <c r="AN1007"/>
      <c r="AO1007"/>
    </row>
    <row r="1008" spans="1:41" x14ac:dyDescent="0.25">
      <c r="A1008" s="639"/>
      <c r="B1008" s="639"/>
      <c r="C1008" s="884"/>
      <c r="D1008" s="203"/>
      <c r="I1008" s="886"/>
      <c r="J1008" s="886"/>
      <c r="K1008" s="172"/>
      <c r="L1008" s="172"/>
      <c r="M1008" s="888"/>
      <c r="O1008" s="172"/>
      <c r="Q1008" s="172"/>
      <c r="R1008" s="172"/>
      <c r="S1008" s="172"/>
      <c r="T1008" s="172"/>
      <c r="AN1008"/>
      <c r="AO1008"/>
    </row>
    <row r="1009" spans="1:41" x14ac:dyDescent="0.25">
      <c r="A1009" s="639"/>
      <c r="B1009" s="639"/>
      <c r="C1009" s="884"/>
      <c r="D1009" s="203"/>
      <c r="I1009" s="886"/>
      <c r="J1009" s="886"/>
      <c r="K1009" s="172"/>
      <c r="L1009" s="172"/>
      <c r="M1009" s="888"/>
      <c r="O1009" s="172"/>
      <c r="Q1009" s="172"/>
      <c r="R1009" s="172"/>
      <c r="S1009" s="172"/>
      <c r="T1009" s="172"/>
      <c r="AN1009"/>
      <c r="AO1009"/>
    </row>
    <row r="1010" spans="1:41" x14ac:dyDescent="0.25">
      <c r="A1010" s="639"/>
      <c r="B1010" s="639"/>
      <c r="C1010" s="884"/>
      <c r="D1010" s="203"/>
      <c r="I1010" s="886"/>
      <c r="J1010" s="886"/>
      <c r="K1010" s="172"/>
      <c r="L1010" s="172"/>
      <c r="M1010" s="888"/>
      <c r="O1010" s="172"/>
      <c r="Q1010" s="172"/>
      <c r="R1010" s="172"/>
      <c r="S1010" s="172"/>
      <c r="T1010" s="172"/>
      <c r="AN1010"/>
      <c r="AO1010"/>
    </row>
    <row r="1011" spans="1:41" x14ac:dyDescent="0.25">
      <c r="A1011" s="639"/>
      <c r="B1011" s="639"/>
      <c r="C1011" s="884"/>
      <c r="D1011" s="203"/>
      <c r="I1011" s="886"/>
      <c r="J1011" s="886"/>
      <c r="K1011" s="172"/>
      <c r="L1011" s="172"/>
      <c r="M1011" s="888"/>
      <c r="O1011" s="172"/>
      <c r="Q1011" s="172"/>
      <c r="R1011" s="172"/>
      <c r="S1011" s="172"/>
      <c r="T1011" s="172"/>
      <c r="AN1011"/>
      <c r="AO1011"/>
    </row>
    <row r="1012" spans="1:41" x14ac:dyDescent="0.25">
      <c r="A1012" s="639"/>
      <c r="B1012" s="639"/>
      <c r="C1012" s="884"/>
      <c r="D1012" s="203"/>
      <c r="I1012" s="886"/>
      <c r="J1012" s="886"/>
      <c r="K1012" s="172"/>
      <c r="L1012" s="172"/>
      <c r="M1012" s="888"/>
      <c r="O1012" s="172"/>
      <c r="Q1012" s="172"/>
      <c r="R1012" s="172"/>
      <c r="S1012" s="172"/>
      <c r="T1012" s="172"/>
      <c r="AN1012"/>
      <c r="AO1012"/>
    </row>
    <row r="1013" spans="1:41" x14ac:dyDescent="0.25">
      <c r="A1013" s="639"/>
      <c r="B1013" s="639"/>
      <c r="C1013" s="884"/>
      <c r="D1013" s="203"/>
      <c r="I1013" s="886"/>
      <c r="J1013" s="886"/>
      <c r="K1013" s="172"/>
      <c r="L1013" s="172"/>
      <c r="M1013" s="888"/>
      <c r="O1013" s="172"/>
      <c r="Q1013" s="172"/>
      <c r="R1013" s="172"/>
      <c r="S1013" s="172"/>
      <c r="T1013" s="172"/>
      <c r="AN1013"/>
      <c r="AO1013"/>
    </row>
    <row r="1014" spans="1:41" x14ac:dyDescent="0.25">
      <c r="A1014" s="639"/>
      <c r="B1014" s="639"/>
      <c r="C1014" s="884"/>
      <c r="D1014" s="203"/>
      <c r="I1014" s="886"/>
      <c r="J1014" s="886"/>
      <c r="K1014" s="172"/>
      <c r="L1014" s="172"/>
      <c r="M1014" s="888"/>
      <c r="O1014" s="172"/>
      <c r="Q1014" s="172"/>
      <c r="R1014" s="172"/>
      <c r="S1014" s="172"/>
      <c r="T1014" s="172"/>
      <c r="AN1014"/>
      <c r="AO1014"/>
    </row>
    <row r="1015" spans="1:41" x14ac:dyDescent="0.25">
      <c r="A1015" s="639"/>
      <c r="B1015" s="639"/>
      <c r="C1015" s="884"/>
      <c r="D1015" s="203"/>
      <c r="I1015" s="886"/>
      <c r="J1015" s="886"/>
      <c r="K1015" s="172"/>
      <c r="L1015" s="172"/>
      <c r="M1015" s="888"/>
      <c r="O1015" s="172"/>
      <c r="Q1015" s="172"/>
      <c r="R1015" s="172"/>
      <c r="S1015" s="172"/>
      <c r="T1015" s="172"/>
      <c r="AN1015"/>
      <c r="AO1015"/>
    </row>
    <row r="1016" spans="1:41" x14ac:dyDescent="0.25">
      <c r="A1016" s="639"/>
      <c r="B1016" s="639"/>
      <c r="C1016" s="884"/>
      <c r="D1016" s="203"/>
      <c r="I1016" s="886"/>
      <c r="J1016" s="886"/>
      <c r="K1016" s="172"/>
      <c r="L1016" s="172"/>
      <c r="M1016" s="888"/>
      <c r="O1016" s="172"/>
      <c r="Q1016" s="172"/>
      <c r="R1016" s="172"/>
      <c r="S1016" s="172"/>
      <c r="T1016" s="172"/>
      <c r="AN1016"/>
      <c r="AO1016"/>
    </row>
    <row r="1017" spans="1:41" x14ac:dyDescent="0.25">
      <c r="A1017" s="639"/>
      <c r="B1017" s="639"/>
      <c r="C1017" s="884"/>
      <c r="D1017" s="203"/>
      <c r="I1017" s="886"/>
      <c r="J1017" s="886"/>
      <c r="K1017" s="172"/>
      <c r="L1017" s="172"/>
      <c r="M1017" s="888"/>
      <c r="O1017" s="172"/>
      <c r="Q1017" s="172"/>
      <c r="R1017" s="172"/>
      <c r="S1017" s="172"/>
      <c r="T1017" s="172"/>
      <c r="AN1017"/>
      <c r="AO1017"/>
    </row>
    <row r="1018" spans="1:41" x14ac:dyDescent="0.25">
      <c r="A1018" s="639"/>
      <c r="B1018" s="639"/>
      <c r="C1018" s="884"/>
      <c r="D1018" s="203"/>
      <c r="I1018" s="886"/>
      <c r="J1018" s="886"/>
      <c r="K1018" s="172"/>
      <c r="L1018" s="172"/>
      <c r="M1018" s="888"/>
      <c r="O1018" s="172"/>
      <c r="Q1018" s="172"/>
      <c r="R1018" s="172"/>
      <c r="S1018" s="172"/>
      <c r="T1018" s="172"/>
      <c r="AN1018"/>
      <c r="AO1018"/>
    </row>
    <row r="1019" spans="1:41" x14ac:dyDescent="0.25">
      <c r="A1019" s="639"/>
      <c r="B1019" s="639"/>
      <c r="C1019" s="884"/>
      <c r="D1019" s="203"/>
      <c r="I1019" s="886"/>
      <c r="J1019" s="886"/>
      <c r="K1019" s="172"/>
      <c r="L1019" s="172"/>
      <c r="M1019" s="888"/>
      <c r="O1019" s="172"/>
      <c r="Q1019" s="172"/>
      <c r="R1019" s="172"/>
      <c r="S1019" s="172"/>
      <c r="T1019" s="172"/>
      <c r="AN1019"/>
      <c r="AO1019"/>
    </row>
    <row r="1020" spans="1:41" x14ac:dyDescent="0.25">
      <c r="A1020" s="639"/>
      <c r="B1020" s="639"/>
      <c r="C1020" s="884"/>
      <c r="D1020" s="203"/>
      <c r="I1020" s="886"/>
      <c r="J1020" s="886"/>
      <c r="K1020" s="172"/>
      <c r="L1020" s="172"/>
      <c r="M1020" s="888"/>
      <c r="O1020" s="172"/>
      <c r="Q1020" s="172"/>
      <c r="R1020" s="172"/>
      <c r="S1020" s="172"/>
      <c r="T1020" s="172"/>
      <c r="AN1020"/>
      <c r="AO1020"/>
    </row>
    <row r="1021" spans="1:41" x14ac:dyDescent="0.25">
      <c r="A1021" s="639"/>
      <c r="B1021" s="639"/>
      <c r="C1021" s="884"/>
      <c r="D1021" s="203"/>
      <c r="I1021" s="886"/>
      <c r="J1021" s="886"/>
      <c r="K1021" s="172"/>
      <c r="L1021" s="172"/>
      <c r="M1021" s="888"/>
      <c r="O1021" s="172"/>
      <c r="Q1021" s="172"/>
      <c r="R1021" s="172"/>
      <c r="S1021" s="172"/>
      <c r="T1021" s="172"/>
      <c r="AN1021"/>
      <c r="AO1021"/>
    </row>
    <row r="1022" spans="1:41" x14ac:dyDescent="0.25">
      <c r="A1022" s="639"/>
      <c r="B1022" s="639"/>
      <c r="C1022" s="884"/>
      <c r="D1022" s="203"/>
      <c r="I1022" s="886"/>
      <c r="J1022" s="886"/>
      <c r="K1022" s="172"/>
      <c r="L1022" s="172"/>
      <c r="M1022" s="888"/>
      <c r="O1022" s="172"/>
      <c r="Q1022" s="172"/>
      <c r="R1022" s="172"/>
      <c r="S1022" s="172"/>
      <c r="T1022" s="172"/>
      <c r="AN1022"/>
      <c r="AO1022"/>
    </row>
    <row r="1023" spans="1:41" x14ac:dyDescent="0.25">
      <c r="A1023" s="639"/>
      <c r="B1023" s="639"/>
      <c r="C1023" s="884"/>
      <c r="D1023" s="203"/>
      <c r="I1023" s="886"/>
      <c r="J1023" s="886"/>
      <c r="K1023" s="172"/>
      <c r="L1023" s="172"/>
      <c r="M1023" s="888"/>
      <c r="O1023" s="172"/>
      <c r="Q1023" s="172"/>
      <c r="R1023" s="172"/>
      <c r="S1023" s="172"/>
      <c r="T1023" s="172"/>
      <c r="AN1023"/>
      <c r="AO1023"/>
    </row>
    <row r="1024" spans="1:41" x14ac:dyDescent="0.25">
      <c r="A1024" s="639"/>
      <c r="B1024" s="639"/>
      <c r="C1024" s="884"/>
      <c r="D1024" s="203"/>
      <c r="I1024" s="886"/>
      <c r="J1024" s="886"/>
      <c r="K1024" s="172"/>
      <c r="L1024" s="172"/>
      <c r="M1024" s="888"/>
      <c r="O1024" s="172"/>
      <c r="Q1024" s="172"/>
      <c r="R1024" s="172"/>
      <c r="S1024" s="172"/>
      <c r="T1024" s="172"/>
      <c r="AN1024"/>
      <c r="AO1024"/>
    </row>
    <row r="1025" spans="1:41" x14ac:dyDescent="0.25">
      <c r="A1025" s="639"/>
      <c r="B1025" s="639"/>
      <c r="C1025" s="884"/>
      <c r="D1025" s="203"/>
      <c r="I1025" s="886"/>
      <c r="J1025" s="886"/>
      <c r="K1025" s="172"/>
      <c r="L1025" s="172"/>
      <c r="M1025" s="888"/>
      <c r="O1025" s="172"/>
      <c r="Q1025" s="172"/>
      <c r="R1025" s="172"/>
      <c r="S1025" s="172"/>
      <c r="T1025" s="172"/>
      <c r="AN1025"/>
      <c r="AO1025"/>
    </row>
    <row r="1026" spans="1:41" x14ac:dyDescent="0.25">
      <c r="A1026" s="639"/>
      <c r="B1026" s="639"/>
      <c r="C1026" s="884"/>
      <c r="D1026" s="203"/>
      <c r="I1026" s="886"/>
      <c r="J1026" s="886"/>
      <c r="K1026" s="172"/>
      <c r="L1026" s="172"/>
      <c r="M1026" s="888"/>
      <c r="O1026" s="172"/>
      <c r="Q1026" s="172"/>
      <c r="R1026" s="172"/>
      <c r="S1026" s="172"/>
      <c r="T1026" s="172"/>
      <c r="AN1026"/>
      <c r="AO1026"/>
    </row>
    <row r="1027" spans="1:41" x14ac:dyDescent="0.25">
      <c r="A1027" s="639"/>
      <c r="B1027" s="639"/>
      <c r="C1027" s="884"/>
      <c r="D1027" s="203"/>
      <c r="I1027" s="886"/>
      <c r="J1027" s="886"/>
      <c r="K1027" s="172"/>
      <c r="L1027" s="172"/>
      <c r="M1027" s="888"/>
      <c r="O1027" s="172"/>
      <c r="Q1027" s="172"/>
      <c r="R1027" s="172"/>
      <c r="S1027" s="172"/>
      <c r="T1027" s="172"/>
      <c r="AN1027"/>
      <c r="AO1027"/>
    </row>
    <row r="1028" spans="1:41" x14ac:dyDescent="0.25">
      <c r="A1028" s="639"/>
      <c r="B1028" s="639"/>
      <c r="C1028" s="884"/>
      <c r="D1028" s="203"/>
      <c r="I1028" s="886"/>
      <c r="J1028" s="886"/>
      <c r="K1028" s="172"/>
      <c r="L1028" s="172"/>
      <c r="M1028" s="888"/>
      <c r="O1028" s="172"/>
      <c r="Q1028" s="172"/>
      <c r="R1028" s="172"/>
      <c r="S1028" s="172"/>
      <c r="T1028" s="172"/>
      <c r="AN1028"/>
      <c r="AO1028"/>
    </row>
    <row r="1029" spans="1:41" x14ac:dyDescent="0.25">
      <c r="A1029" s="639"/>
      <c r="B1029" s="639"/>
      <c r="C1029" s="884"/>
      <c r="D1029" s="203"/>
      <c r="I1029" s="886"/>
      <c r="J1029" s="886"/>
      <c r="K1029" s="172"/>
      <c r="L1029" s="172"/>
      <c r="M1029" s="888"/>
      <c r="O1029" s="172"/>
      <c r="Q1029" s="172"/>
      <c r="R1029" s="172"/>
      <c r="S1029" s="172"/>
      <c r="T1029" s="172"/>
      <c r="AN1029"/>
      <c r="AO1029"/>
    </row>
    <row r="1030" spans="1:41" x14ac:dyDescent="0.25">
      <c r="A1030" s="639"/>
      <c r="B1030" s="639"/>
      <c r="C1030" s="884"/>
      <c r="D1030" s="203"/>
      <c r="I1030" s="886"/>
      <c r="J1030" s="886"/>
      <c r="K1030" s="172"/>
      <c r="L1030" s="172"/>
      <c r="M1030" s="888"/>
      <c r="O1030" s="172"/>
      <c r="Q1030" s="172"/>
      <c r="R1030" s="172"/>
      <c r="S1030" s="172"/>
      <c r="T1030" s="172"/>
      <c r="AN1030"/>
      <c r="AO1030"/>
    </row>
    <row r="1031" spans="1:41" x14ac:dyDescent="0.25">
      <c r="A1031" s="639"/>
      <c r="B1031" s="639"/>
      <c r="C1031" s="884"/>
      <c r="D1031" s="203"/>
      <c r="I1031" s="886"/>
      <c r="J1031" s="886"/>
      <c r="K1031" s="172"/>
      <c r="L1031" s="172"/>
      <c r="M1031" s="888"/>
      <c r="O1031" s="172"/>
      <c r="Q1031" s="172"/>
      <c r="R1031" s="172"/>
      <c r="S1031" s="172"/>
      <c r="T1031" s="172"/>
      <c r="AN1031"/>
      <c r="AO1031"/>
    </row>
    <row r="1032" spans="1:41" x14ac:dyDescent="0.25">
      <c r="A1032" s="639"/>
      <c r="B1032" s="639"/>
      <c r="D1032" s="203"/>
      <c r="I1032" s="886"/>
      <c r="J1032" s="886"/>
      <c r="K1032" s="172"/>
      <c r="L1032" s="172"/>
      <c r="M1032" s="888"/>
      <c r="O1032" s="172"/>
      <c r="Q1032" s="172"/>
      <c r="R1032" s="172"/>
      <c r="S1032" s="172"/>
      <c r="T1032" s="172"/>
      <c r="AN1032"/>
      <c r="AO1032"/>
    </row>
    <row r="1033" spans="1:41" x14ac:dyDescent="0.25">
      <c r="A1033" s="639"/>
      <c r="B1033" s="639"/>
      <c r="D1033" s="203"/>
      <c r="I1033" s="886"/>
      <c r="J1033" s="886"/>
      <c r="K1033" s="172"/>
      <c r="L1033" s="172"/>
      <c r="M1033" s="888"/>
      <c r="O1033" s="172"/>
      <c r="Q1033" s="172"/>
      <c r="R1033" s="172"/>
      <c r="S1033" s="172"/>
      <c r="T1033" s="172"/>
      <c r="AN1033"/>
      <c r="AO1033"/>
    </row>
    <row r="1034" spans="1:41" x14ac:dyDescent="0.25">
      <c r="A1034" s="639"/>
      <c r="B1034" s="639"/>
      <c r="D1034" s="203"/>
      <c r="I1034" s="886"/>
      <c r="J1034" s="886"/>
      <c r="K1034" s="172"/>
      <c r="L1034" s="172"/>
      <c r="M1034" s="888"/>
      <c r="O1034" s="172"/>
      <c r="Q1034" s="172"/>
      <c r="R1034" s="172"/>
      <c r="S1034" s="172"/>
      <c r="T1034" s="172"/>
      <c r="AN1034"/>
      <c r="AO1034"/>
    </row>
    <row r="1035" spans="1:41" x14ac:dyDescent="0.25">
      <c r="A1035" s="639"/>
      <c r="B1035" s="639"/>
      <c r="D1035" s="203"/>
      <c r="I1035" s="886"/>
      <c r="J1035" s="886"/>
      <c r="K1035" s="172"/>
      <c r="L1035" s="172"/>
      <c r="M1035" s="888"/>
      <c r="O1035" s="172"/>
      <c r="Q1035" s="172"/>
      <c r="R1035" s="172"/>
      <c r="S1035" s="172"/>
      <c r="T1035" s="172"/>
      <c r="AN1035"/>
      <c r="AO1035"/>
    </row>
    <row r="1036" spans="1:41" x14ac:dyDescent="0.25">
      <c r="A1036" s="639"/>
      <c r="B1036" s="639"/>
      <c r="D1036" s="203"/>
      <c r="I1036" s="886"/>
      <c r="J1036" s="886"/>
      <c r="L1036" s="172"/>
      <c r="M1036" s="888"/>
      <c r="O1036" s="172"/>
      <c r="Q1036" s="172"/>
      <c r="R1036" s="172"/>
      <c r="S1036" s="172"/>
      <c r="T1036" s="172"/>
      <c r="AN1036"/>
      <c r="AO1036"/>
    </row>
    <row r="1037" spans="1:41" x14ac:dyDescent="0.25">
      <c r="A1037" s="639"/>
      <c r="B1037" s="639"/>
      <c r="D1037" s="203"/>
      <c r="I1037" s="886"/>
      <c r="J1037" s="886"/>
      <c r="L1037" s="172"/>
      <c r="M1037" s="888"/>
      <c r="O1037" s="172"/>
      <c r="Q1037" s="172"/>
      <c r="R1037" s="172"/>
      <c r="S1037" s="172"/>
      <c r="T1037" s="172"/>
      <c r="AN1037"/>
      <c r="AO1037"/>
    </row>
    <row r="1038" spans="1:41" x14ac:dyDescent="0.25">
      <c r="A1038" s="639"/>
      <c r="B1038" s="639"/>
      <c r="D1038" s="203"/>
      <c r="I1038" s="886"/>
      <c r="J1038" s="886"/>
      <c r="L1038" s="172"/>
      <c r="M1038" s="888"/>
      <c r="O1038" s="172"/>
      <c r="Q1038" s="172"/>
      <c r="R1038" s="172"/>
      <c r="S1038" s="172"/>
      <c r="T1038" s="172"/>
      <c r="AN1038"/>
      <c r="AO1038"/>
    </row>
    <row r="1039" spans="1:41" x14ac:dyDescent="0.25">
      <c r="A1039" s="639"/>
      <c r="B1039" s="639"/>
      <c r="D1039" s="203"/>
      <c r="I1039" s="886"/>
      <c r="J1039" s="886"/>
      <c r="L1039" s="172"/>
      <c r="M1039" s="888"/>
      <c r="O1039" s="172"/>
      <c r="Q1039" s="172"/>
      <c r="R1039" s="172"/>
      <c r="S1039" s="172"/>
      <c r="T1039" s="172"/>
      <c r="AN1039"/>
      <c r="AO1039"/>
    </row>
    <row r="1040" spans="1:41" x14ac:dyDescent="0.25">
      <c r="A1040" s="639"/>
      <c r="B1040" s="639"/>
      <c r="D1040" s="203"/>
      <c r="I1040" s="886"/>
      <c r="J1040" s="886"/>
      <c r="L1040" s="172"/>
      <c r="M1040" s="888"/>
      <c r="O1040" s="172"/>
      <c r="Q1040" s="172"/>
      <c r="R1040" s="172"/>
      <c r="S1040" s="172"/>
      <c r="T1040" s="172"/>
      <c r="AN1040"/>
      <c r="AO1040"/>
    </row>
    <row r="1041" spans="1:41" x14ac:dyDescent="0.25">
      <c r="A1041" s="639"/>
      <c r="B1041" s="639"/>
      <c r="D1041" s="203"/>
      <c r="I1041" s="886"/>
      <c r="J1041" s="886"/>
      <c r="L1041" s="172"/>
      <c r="M1041" s="888"/>
      <c r="O1041" s="172"/>
      <c r="Q1041" s="172"/>
      <c r="R1041" s="172"/>
      <c r="S1041" s="172"/>
      <c r="T1041" s="172"/>
      <c r="AN1041"/>
      <c r="AO1041"/>
    </row>
    <row r="1042" spans="1:41" x14ac:dyDescent="0.25">
      <c r="A1042" s="639"/>
      <c r="B1042" s="639"/>
      <c r="D1042" s="203"/>
      <c r="I1042" s="886"/>
      <c r="J1042" s="886"/>
      <c r="L1042" s="172"/>
      <c r="M1042" s="888"/>
      <c r="O1042" s="172"/>
      <c r="Q1042" s="172"/>
      <c r="R1042" s="172"/>
      <c r="S1042" s="172"/>
      <c r="T1042" s="172"/>
      <c r="AN1042"/>
      <c r="AO1042"/>
    </row>
    <row r="1043" spans="1:41" x14ac:dyDescent="0.25">
      <c r="A1043" s="639"/>
      <c r="B1043" s="639"/>
      <c r="D1043" s="203"/>
      <c r="I1043" s="886"/>
      <c r="J1043" s="886"/>
      <c r="L1043" s="172"/>
      <c r="M1043" s="888"/>
      <c r="O1043" s="172"/>
      <c r="Q1043" s="172"/>
      <c r="R1043" s="172"/>
      <c r="S1043" s="172"/>
      <c r="T1043" s="172"/>
      <c r="AN1043"/>
      <c r="AO1043"/>
    </row>
    <row r="1044" spans="1:41" x14ac:dyDescent="0.25">
      <c r="A1044" s="639"/>
      <c r="B1044" s="639"/>
      <c r="D1044" s="203"/>
      <c r="I1044" s="886"/>
      <c r="J1044" s="886"/>
      <c r="L1044" s="172"/>
      <c r="M1044" s="888"/>
      <c r="O1044" s="172"/>
      <c r="Q1044" s="172"/>
      <c r="R1044" s="172"/>
      <c r="S1044" s="172"/>
      <c r="T1044" s="172"/>
      <c r="AN1044"/>
      <c r="AO1044"/>
    </row>
    <row r="1045" spans="1:41" x14ac:dyDescent="0.25">
      <c r="A1045" s="639"/>
      <c r="B1045" s="639"/>
      <c r="D1045" s="203"/>
      <c r="I1045" s="886"/>
      <c r="J1045" s="886"/>
      <c r="L1045" s="172"/>
      <c r="M1045" s="888"/>
      <c r="O1045" s="172"/>
      <c r="Q1045" s="172"/>
      <c r="R1045" s="172"/>
      <c r="S1045" s="172"/>
      <c r="T1045" s="172"/>
      <c r="AN1045"/>
      <c r="AO1045"/>
    </row>
    <row r="1046" spans="1:41" x14ac:dyDescent="0.25">
      <c r="A1046" s="639"/>
      <c r="B1046" s="639"/>
      <c r="D1046" s="203"/>
      <c r="I1046" s="886"/>
      <c r="J1046" s="886"/>
      <c r="L1046" s="172"/>
      <c r="M1046" s="888"/>
      <c r="O1046" s="172"/>
      <c r="Q1046" s="172"/>
      <c r="R1046" s="172"/>
      <c r="S1046" s="172"/>
      <c r="T1046" s="172"/>
      <c r="AN1046"/>
      <c r="AO1046"/>
    </row>
    <row r="1047" spans="1:41" x14ac:dyDescent="0.25">
      <c r="A1047" s="639"/>
      <c r="B1047" s="639"/>
      <c r="D1047" s="203"/>
      <c r="I1047" s="886"/>
      <c r="J1047" s="886"/>
      <c r="L1047" s="172"/>
      <c r="M1047" s="888"/>
      <c r="O1047" s="172"/>
      <c r="Q1047" s="172"/>
      <c r="R1047" s="172"/>
      <c r="S1047" s="172"/>
      <c r="T1047" s="172"/>
      <c r="AN1047"/>
      <c r="AO1047"/>
    </row>
    <row r="1048" spans="1:41" x14ac:dyDescent="0.25">
      <c r="A1048" s="639"/>
      <c r="B1048" s="639"/>
      <c r="D1048" s="203"/>
      <c r="I1048" s="886"/>
      <c r="J1048" s="886"/>
      <c r="L1048" s="172"/>
      <c r="M1048" s="888"/>
      <c r="O1048" s="172"/>
      <c r="Q1048" s="172"/>
      <c r="R1048" s="172"/>
      <c r="S1048" s="172"/>
      <c r="T1048" s="172"/>
      <c r="AN1048"/>
      <c r="AO1048"/>
    </row>
    <row r="1049" spans="1:41" x14ac:dyDescent="0.25">
      <c r="A1049" s="639"/>
      <c r="B1049" s="639"/>
      <c r="D1049" s="203"/>
      <c r="I1049" s="886"/>
      <c r="J1049" s="886"/>
      <c r="L1049" s="172"/>
      <c r="M1049" s="888"/>
      <c r="O1049" s="172"/>
      <c r="Q1049" s="172"/>
      <c r="R1049" s="172"/>
      <c r="S1049" s="172"/>
      <c r="T1049" s="172"/>
      <c r="AN1049"/>
      <c r="AO1049"/>
    </row>
    <row r="1050" spans="1:41" x14ac:dyDescent="0.25">
      <c r="A1050" s="639"/>
      <c r="B1050" s="639"/>
      <c r="D1050" s="203"/>
      <c r="I1050" s="886"/>
      <c r="J1050" s="886"/>
      <c r="L1050" s="172"/>
      <c r="M1050" s="888"/>
      <c r="O1050" s="172"/>
      <c r="Q1050" s="172"/>
      <c r="R1050" s="172"/>
      <c r="S1050" s="172"/>
      <c r="T1050" s="172"/>
      <c r="AN1050"/>
      <c r="AO1050"/>
    </row>
    <row r="1051" spans="1:41" x14ac:dyDescent="0.25">
      <c r="A1051" s="639"/>
      <c r="B1051" s="639"/>
      <c r="D1051" s="203"/>
      <c r="I1051" s="886"/>
      <c r="J1051" s="886"/>
      <c r="L1051" s="172"/>
      <c r="M1051" s="888"/>
      <c r="O1051" s="172"/>
      <c r="Q1051" s="172"/>
      <c r="R1051" s="172"/>
      <c r="S1051" s="172"/>
      <c r="T1051" s="172"/>
      <c r="AN1051"/>
      <c r="AO1051"/>
    </row>
    <row r="1052" spans="1:41" x14ac:dyDescent="0.25">
      <c r="A1052" s="639"/>
      <c r="B1052" s="639"/>
      <c r="D1052" s="203"/>
      <c r="I1052" s="886"/>
      <c r="J1052" s="886"/>
      <c r="L1052" s="172"/>
      <c r="M1052" s="888"/>
      <c r="O1052" s="172"/>
      <c r="Q1052" s="172"/>
      <c r="R1052" s="172"/>
      <c r="S1052" s="172"/>
      <c r="T1052" s="172"/>
      <c r="AN1052"/>
      <c r="AO1052"/>
    </row>
    <row r="1053" spans="1:41" x14ac:dyDescent="0.25">
      <c r="A1053" s="639"/>
      <c r="B1053" s="639"/>
      <c r="D1053" s="203"/>
      <c r="I1053" s="886"/>
      <c r="J1053" s="886"/>
      <c r="L1053" s="172"/>
      <c r="M1053" s="888"/>
      <c r="O1053" s="172"/>
      <c r="Q1053" s="172"/>
      <c r="R1053" s="172"/>
      <c r="S1053" s="172"/>
      <c r="T1053" s="172"/>
      <c r="AN1053"/>
      <c r="AO1053"/>
    </row>
    <row r="1054" spans="1:41" x14ac:dyDescent="0.25">
      <c r="A1054" s="639"/>
      <c r="B1054" s="639"/>
      <c r="D1054" s="203"/>
      <c r="I1054" s="886"/>
      <c r="J1054" s="886"/>
      <c r="L1054" s="172"/>
      <c r="M1054" s="888"/>
      <c r="O1054" s="172"/>
      <c r="Q1054" s="172"/>
      <c r="R1054" s="172"/>
      <c r="S1054" s="172"/>
      <c r="T1054" s="172"/>
      <c r="AN1054"/>
      <c r="AO1054"/>
    </row>
    <row r="1055" spans="1:41" x14ac:dyDescent="0.25">
      <c r="A1055" s="639"/>
      <c r="B1055" s="639"/>
      <c r="D1055" s="203"/>
      <c r="I1055" s="886"/>
      <c r="J1055" s="886"/>
      <c r="L1055" s="172"/>
      <c r="M1055" s="888"/>
      <c r="O1055" s="172"/>
      <c r="Q1055" s="172"/>
      <c r="R1055" s="172"/>
      <c r="S1055" s="172"/>
      <c r="T1055" s="172"/>
      <c r="AN1055"/>
      <c r="AO1055"/>
    </row>
    <row r="1056" spans="1:41" x14ac:dyDescent="0.25">
      <c r="A1056" s="639"/>
      <c r="B1056" s="639"/>
      <c r="D1056" s="203"/>
      <c r="I1056" s="886"/>
      <c r="J1056" s="886"/>
      <c r="L1056" s="172"/>
      <c r="M1056" s="888"/>
      <c r="O1056" s="172"/>
      <c r="Q1056" s="172"/>
      <c r="R1056" s="172"/>
      <c r="S1056" s="172"/>
      <c r="T1056" s="172"/>
      <c r="AN1056"/>
      <c r="AO1056"/>
    </row>
    <row r="1057" spans="1:41" x14ac:dyDescent="0.25">
      <c r="A1057" s="639"/>
      <c r="B1057" s="639"/>
      <c r="D1057" s="203"/>
      <c r="I1057" s="886"/>
      <c r="J1057" s="886"/>
      <c r="L1057" s="172"/>
      <c r="M1057" s="888"/>
      <c r="O1057" s="172"/>
      <c r="Q1057" s="172"/>
      <c r="R1057" s="172"/>
      <c r="S1057" s="172"/>
      <c r="T1057" s="172"/>
      <c r="AN1057"/>
      <c r="AO1057"/>
    </row>
    <row r="1058" spans="1:41" x14ac:dyDescent="0.25">
      <c r="A1058" s="639"/>
      <c r="B1058" s="639"/>
      <c r="D1058" s="203"/>
      <c r="I1058" s="886"/>
      <c r="J1058" s="886"/>
      <c r="L1058" s="172"/>
      <c r="M1058" s="888"/>
      <c r="O1058" s="172"/>
      <c r="Q1058" s="172"/>
      <c r="R1058" s="172"/>
      <c r="S1058" s="172"/>
      <c r="T1058" s="172"/>
      <c r="AN1058"/>
      <c r="AO1058"/>
    </row>
    <row r="1059" spans="1:41" x14ac:dyDescent="0.25">
      <c r="A1059" s="639"/>
      <c r="B1059" s="639"/>
      <c r="D1059" s="203"/>
      <c r="I1059" s="886"/>
      <c r="J1059" s="886"/>
      <c r="L1059" s="172"/>
      <c r="M1059" s="888"/>
      <c r="O1059" s="172"/>
      <c r="Q1059" s="172"/>
      <c r="R1059" s="172"/>
      <c r="S1059" s="172"/>
      <c r="T1059" s="172"/>
      <c r="AN1059"/>
      <c r="AO1059"/>
    </row>
    <row r="1060" spans="1:41" x14ac:dyDescent="0.25">
      <c r="A1060" s="639"/>
      <c r="B1060" s="639"/>
      <c r="D1060" s="203"/>
      <c r="I1060" s="886"/>
      <c r="J1060" s="886"/>
      <c r="L1060" s="172"/>
      <c r="M1060" s="888"/>
      <c r="O1060" s="172"/>
      <c r="Q1060" s="172"/>
      <c r="R1060" s="172"/>
      <c r="S1060" s="172"/>
      <c r="T1060" s="172"/>
      <c r="AN1060"/>
      <c r="AO1060"/>
    </row>
    <row r="1061" spans="1:41" x14ac:dyDescent="0.25">
      <c r="A1061" s="639"/>
      <c r="B1061" s="639"/>
      <c r="D1061" s="203"/>
      <c r="I1061" s="886"/>
      <c r="J1061" s="886"/>
      <c r="L1061" s="172"/>
      <c r="M1061" s="888"/>
      <c r="O1061" s="172"/>
      <c r="Q1061" s="172"/>
      <c r="R1061" s="172"/>
      <c r="S1061" s="172"/>
      <c r="T1061" s="172"/>
      <c r="AN1061"/>
      <c r="AO1061"/>
    </row>
    <row r="1062" spans="1:41" x14ac:dyDescent="0.25">
      <c r="A1062" s="639"/>
      <c r="B1062" s="639"/>
      <c r="D1062" s="203"/>
      <c r="I1062" s="886"/>
      <c r="J1062" s="886"/>
      <c r="L1062" s="172"/>
      <c r="M1062" s="888"/>
      <c r="O1062" s="172"/>
      <c r="Q1062" s="172"/>
      <c r="R1062" s="172"/>
      <c r="S1062" s="172"/>
      <c r="T1062" s="172"/>
      <c r="AN1062"/>
      <c r="AO1062"/>
    </row>
    <row r="1063" spans="1:41" x14ac:dyDescent="0.25">
      <c r="A1063" s="639"/>
      <c r="B1063" s="639"/>
      <c r="D1063" s="203"/>
      <c r="I1063" s="886"/>
      <c r="J1063" s="886"/>
      <c r="L1063" s="172"/>
      <c r="M1063" s="888"/>
      <c r="O1063" s="172"/>
      <c r="Q1063" s="172"/>
      <c r="R1063" s="172"/>
      <c r="S1063" s="172"/>
      <c r="T1063" s="172"/>
      <c r="AN1063"/>
      <c r="AO1063"/>
    </row>
    <row r="1064" spans="1:41" x14ac:dyDescent="0.25">
      <c r="A1064" s="639"/>
      <c r="B1064" s="639"/>
      <c r="D1064" s="203"/>
      <c r="I1064" s="886"/>
      <c r="J1064" s="886"/>
      <c r="L1064" s="172"/>
      <c r="M1064" s="888"/>
      <c r="O1064" s="172"/>
      <c r="Q1064" s="172"/>
      <c r="R1064" s="172"/>
      <c r="S1064" s="172"/>
      <c r="T1064" s="172"/>
      <c r="AN1064"/>
      <c r="AO1064"/>
    </row>
    <row r="1065" spans="1:41" x14ac:dyDescent="0.25">
      <c r="A1065" s="639"/>
      <c r="B1065" s="639"/>
      <c r="D1065" s="203"/>
      <c r="I1065" s="886"/>
      <c r="J1065" s="886"/>
      <c r="L1065" s="172"/>
      <c r="M1065" s="888"/>
      <c r="O1065" s="172"/>
      <c r="Q1065" s="172"/>
      <c r="R1065" s="172"/>
      <c r="S1065" s="172"/>
      <c r="T1065" s="172"/>
      <c r="AN1065"/>
      <c r="AO1065"/>
    </row>
    <row r="1066" spans="1:41" x14ac:dyDescent="0.25">
      <c r="A1066" s="639"/>
      <c r="B1066" s="639"/>
      <c r="D1066" s="203"/>
      <c r="I1066" s="886"/>
      <c r="J1066" s="886"/>
      <c r="L1066" s="172"/>
      <c r="M1066" s="888"/>
      <c r="O1066" s="172"/>
      <c r="Q1066" s="172"/>
      <c r="R1066" s="172"/>
      <c r="S1066" s="172"/>
      <c r="T1066" s="172"/>
      <c r="AN1066"/>
      <c r="AO1066"/>
    </row>
    <row r="1067" spans="1:41" x14ac:dyDescent="0.25">
      <c r="A1067" s="639"/>
      <c r="B1067" s="639"/>
      <c r="D1067" s="203"/>
      <c r="I1067" s="886"/>
      <c r="J1067" s="886"/>
      <c r="L1067" s="172"/>
      <c r="M1067" s="888"/>
      <c r="O1067" s="172"/>
      <c r="Q1067" s="172"/>
      <c r="R1067" s="172"/>
      <c r="S1067" s="172"/>
      <c r="T1067" s="172"/>
      <c r="AN1067"/>
      <c r="AO1067"/>
    </row>
    <row r="1068" spans="1:41" x14ac:dyDescent="0.25">
      <c r="A1068" s="639"/>
      <c r="B1068" s="639"/>
      <c r="D1068" s="203"/>
      <c r="I1068" s="886"/>
      <c r="J1068" s="886"/>
      <c r="L1068" s="172"/>
      <c r="M1068" s="888"/>
      <c r="O1068" s="172"/>
      <c r="Q1068" s="172"/>
      <c r="R1068" s="172"/>
      <c r="S1068" s="172"/>
      <c r="T1068" s="172"/>
      <c r="AN1068"/>
      <c r="AO1068"/>
    </row>
    <row r="1069" spans="1:41" x14ac:dyDescent="0.25">
      <c r="A1069" s="639"/>
      <c r="B1069" s="639"/>
      <c r="D1069" s="203"/>
      <c r="I1069" s="886"/>
      <c r="J1069" s="886"/>
      <c r="L1069" s="172"/>
      <c r="M1069" s="888"/>
      <c r="O1069" s="172"/>
      <c r="Q1069" s="172"/>
      <c r="R1069" s="172"/>
      <c r="S1069" s="172"/>
      <c r="T1069" s="172"/>
      <c r="AN1069"/>
      <c r="AO1069"/>
    </row>
    <row r="1070" spans="1:41" x14ac:dyDescent="0.25">
      <c r="A1070" s="639"/>
      <c r="B1070" s="639"/>
      <c r="D1070" s="203"/>
      <c r="I1070" s="886"/>
      <c r="J1070" s="886"/>
      <c r="L1070" s="172"/>
      <c r="M1070" s="888"/>
      <c r="O1070" s="172"/>
      <c r="Q1070" s="172"/>
      <c r="R1070" s="172"/>
      <c r="S1070" s="172"/>
      <c r="T1070" s="172"/>
      <c r="AN1070"/>
      <c r="AO1070"/>
    </row>
    <row r="1071" spans="1:41" x14ac:dyDescent="0.25">
      <c r="A1071" s="639"/>
      <c r="B1071" s="639"/>
      <c r="D1071" s="203"/>
      <c r="I1071" s="886"/>
      <c r="J1071" s="886"/>
      <c r="L1071" s="172"/>
      <c r="M1071" s="888"/>
      <c r="O1071" s="172"/>
      <c r="Q1071" s="172"/>
      <c r="R1071" s="172"/>
      <c r="S1071" s="172"/>
      <c r="T1071" s="172"/>
      <c r="AN1071"/>
      <c r="AO1071"/>
    </row>
    <row r="1072" spans="1:41" x14ac:dyDescent="0.25">
      <c r="A1072" s="639"/>
      <c r="B1072" s="639"/>
      <c r="D1072" s="203"/>
      <c r="I1072" s="886"/>
      <c r="J1072" s="886"/>
      <c r="L1072" s="172"/>
      <c r="M1072" s="888"/>
      <c r="O1072" s="172"/>
      <c r="Q1072" s="172"/>
      <c r="R1072" s="172"/>
      <c r="S1072" s="172"/>
      <c r="T1072" s="172"/>
      <c r="AN1072"/>
      <c r="AO1072"/>
    </row>
    <row r="1073" spans="1:41" x14ac:dyDescent="0.25">
      <c r="A1073" s="639"/>
      <c r="B1073" s="639"/>
      <c r="D1073" s="203"/>
      <c r="I1073" s="886"/>
      <c r="J1073" s="886"/>
      <c r="L1073" s="172"/>
      <c r="M1073" s="888"/>
      <c r="O1073" s="172"/>
      <c r="Q1073" s="172"/>
      <c r="R1073" s="172"/>
      <c r="S1073" s="172"/>
      <c r="T1073" s="172"/>
      <c r="AN1073"/>
      <c r="AO1073"/>
    </row>
    <row r="1074" spans="1:41" x14ac:dyDescent="0.25">
      <c r="A1074" s="639"/>
      <c r="B1074" s="639"/>
      <c r="D1074" s="203"/>
      <c r="I1074" s="886"/>
      <c r="J1074" s="886"/>
      <c r="L1074" s="172"/>
      <c r="M1074" s="888"/>
      <c r="O1074" s="172"/>
      <c r="Q1074" s="172"/>
      <c r="R1074" s="172"/>
      <c r="S1074" s="172"/>
      <c r="T1074" s="172"/>
      <c r="AN1074"/>
      <c r="AO1074"/>
    </row>
    <row r="1075" spans="1:41" x14ac:dyDescent="0.25">
      <c r="A1075" s="639"/>
      <c r="B1075" s="639"/>
      <c r="D1075" s="203"/>
      <c r="I1075" s="886"/>
      <c r="J1075" s="886"/>
      <c r="L1075" s="172"/>
      <c r="M1075" s="888"/>
      <c r="O1075" s="172"/>
      <c r="Q1075" s="172"/>
      <c r="R1075" s="172"/>
      <c r="S1075" s="172"/>
      <c r="T1075" s="172"/>
      <c r="AN1075"/>
      <c r="AO1075"/>
    </row>
    <row r="1076" spans="1:41" x14ac:dyDescent="0.25">
      <c r="A1076" s="639"/>
      <c r="B1076" s="639"/>
      <c r="D1076" s="203"/>
      <c r="I1076" s="886"/>
      <c r="J1076" s="886"/>
      <c r="L1076" s="172"/>
      <c r="M1076" s="888"/>
      <c r="O1076" s="172"/>
      <c r="Q1076" s="172"/>
      <c r="R1076" s="172"/>
      <c r="S1076" s="172"/>
      <c r="T1076" s="172"/>
      <c r="AN1076"/>
      <c r="AO1076"/>
    </row>
    <row r="1077" spans="1:41" x14ac:dyDescent="0.25">
      <c r="A1077" s="639"/>
      <c r="B1077" s="639"/>
      <c r="D1077" s="203"/>
      <c r="I1077" s="886"/>
      <c r="J1077" s="886"/>
      <c r="L1077" s="172"/>
      <c r="M1077" s="888"/>
      <c r="O1077" s="172"/>
      <c r="Q1077" s="172"/>
      <c r="R1077" s="172"/>
      <c r="S1077" s="172"/>
      <c r="T1077" s="172"/>
      <c r="AN1077"/>
      <c r="AO1077"/>
    </row>
    <row r="1078" spans="1:41" x14ac:dyDescent="0.25">
      <c r="A1078" s="639"/>
      <c r="B1078" s="639"/>
      <c r="D1078" s="203"/>
      <c r="I1078" s="886"/>
      <c r="J1078" s="886"/>
      <c r="L1078" s="172"/>
      <c r="M1078" s="888"/>
      <c r="O1078" s="172"/>
      <c r="Q1078" s="172"/>
      <c r="R1078" s="172"/>
      <c r="S1078" s="172"/>
      <c r="T1078" s="172"/>
      <c r="AN1078"/>
      <c r="AO1078"/>
    </row>
    <row r="1079" spans="1:41" x14ac:dyDescent="0.25">
      <c r="A1079" s="639"/>
      <c r="B1079" s="639"/>
      <c r="D1079" s="203"/>
      <c r="I1079" s="886"/>
      <c r="J1079" s="886"/>
      <c r="L1079" s="172"/>
      <c r="M1079" s="888"/>
      <c r="O1079" s="172"/>
      <c r="Q1079" s="172"/>
      <c r="R1079" s="172"/>
      <c r="S1079" s="172"/>
      <c r="T1079" s="172"/>
      <c r="AN1079"/>
      <c r="AO1079"/>
    </row>
    <row r="1080" spans="1:41" x14ac:dyDescent="0.25">
      <c r="A1080" s="639"/>
      <c r="B1080" s="639"/>
      <c r="D1080" s="203"/>
      <c r="I1080" s="886"/>
      <c r="J1080" s="886"/>
      <c r="L1080" s="172"/>
      <c r="M1080" s="888"/>
      <c r="O1080" s="172"/>
      <c r="Q1080" s="172"/>
      <c r="R1080" s="172"/>
      <c r="S1080" s="172"/>
      <c r="T1080" s="172"/>
      <c r="AN1080"/>
      <c r="AO1080"/>
    </row>
    <row r="1081" spans="1:41" x14ac:dyDescent="0.25">
      <c r="A1081" s="639"/>
      <c r="B1081" s="639"/>
      <c r="D1081" s="203"/>
      <c r="I1081" s="886"/>
      <c r="J1081" s="886"/>
      <c r="L1081" s="172"/>
      <c r="M1081" s="888"/>
      <c r="O1081" s="172"/>
      <c r="Q1081" s="172"/>
      <c r="R1081" s="172"/>
      <c r="S1081" s="172"/>
      <c r="T1081" s="172"/>
      <c r="AN1081"/>
      <c r="AO1081"/>
    </row>
    <row r="1082" spans="1:41" x14ac:dyDescent="0.25">
      <c r="A1082" s="639"/>
      <c r="B1082" s="639"/>
      <c r="D1082" s="203"/>
      <c r="I1082" s="886"/>
      <c r="J1082" s="886"/>
      <c r="L1082" s="172"/>
      <c r="M1082" s="888"/>
      <c r="O1082" s="172"/>
      <c r="Q1082" s="172"/>
      <c r="R1082" s="172"/>
      <c r="S1082" s="172"/>
      <c r="T1082" s="172"/>
      <c r="AN1082"/>
      <c r="AO1082"/>
    </row>
    <row r="1083" spans="1:41" x14ac:dyDescent="0.25">
      <c r="A1083" s="639"/>
      <c r="B1083" s="639"/>
      <c r="D1083" s="203"/>
      <c r="I1083" s="886"/>
      <c r="J1083" s="886"/>
      <c r="L1083" s="172"/>
      <c r="M1083" s="888"/>
      <c r="O1083" s="172"/>
      <c r="Q1083" s="172"/>
      <c r="R1083" s="172"/>
      <c r="S1083" s="172"/>
      <c r="T1083" s="172"/>
      <c r="AN1083"/>
      <c r="AO1083"/>
    </row>
    <row r="1084" spans="1:41" x14ac:dyDescent="0.25">
      <c r="A1084" s="639"/>
      <c r="B1084" s="639"/>
      <c r="D1084" s="203"/>
      <c r="I1084" s="886"/>
      <c r="J1084" s="886"/>
      <c r="L1084" s="172"/>
      <c r="M1084" s="888"/>
      <c r="O1084" s="172"/>
      <c r="Q1084" s="172"/>
      <c r="R1084" s="172"/>
      <c r="S1084" s="172"/>
      <c r="T1084" s="172"/>
      <c r="AN1084"/>
      <c r="AO1084"/>
    </row>
    <row r="1085" spans="1:41" x14ac:dyDescent="0.25">
      <c r="A1085" s="639"/>
      <c r="B1085" s="639"/>
      <c r="D1085" s="203"/>
      <c r="I1085" s="886"/>
      <c r="J1085" s="886"/>
      <c r="L1085" s="172"/>
      <c r="M1085" s="888"/>
      <c r="O1085" s="172"/>
      <c r="Q1085" s="172"/>
      <c r="R1085" s="172"/>
      <c r="S1085" s="172"/>
      <c r="T1085" s="172"/>
      <c r="AN1085"/>
      <c r="AO1085"/>
    </row>
    <row r="1086" spans="1:41" x14ac:dyDescent="0.25">
      <c r="A1086" s="639"/>
      <c r="B1086" s="639"/>
      <c r="D1086" s="203"/>
      <c r="I1086" s="886"/>
      <c r="J1086" s="886"/>
      <c r="L1086" s="172"/>
      <c r="M1086" s="888"/>
      <c r="O1086" s="172"/>
      <c r="Q1086" s="172"/>
      <c r="R1086" s="172"/>
      <c r="S1086" s="172"/>
      <c r="T1086" s="172"/>
      <c r="AN1086"/>
      <c r="AO1086"/>
    </row>
    <row r="1087" spans="1:41" x14ac:dyDescent="0.25">
      <c r="A1087" s="639"/>
      <c r="B1087" s="639"/>
      <c r="D1087" s="203"/>
      <c r="I1087" s="886"/>
      <c r="J1087" s="886"/>
      <c r="L1087" s="172"/>
      <c r="M1087" s="888"/>
      <c r="O1087" s="172"/>
      <c r="Q1087" s="172"/>
      <c r="R1087" s="172"/>
      <c r="S1087" s="172"/>
      <c r="T1087" s="172"/>
      <c r="AN1087"/>
      <c r="AO1087"/>
    </row>
    <row r="1088" spans="1:41" x14ac:dyDescent="0.25">
      <c r="A1088" s="639"/>
      <c r="B1088" s="639"/>
      <c r="D1088" s="203"/>
      <c r="I1088" s="886"/>
      <c r="J1088" s="886"/>
      <c r="L1088" s="172"/>
      <c r="M1088" s="888"/>
      <c r="O1088" s="172"/>
      <c r="Q1088" s="172"/>
      <c r="R1088" s="172"/>
      <c r="S1088" s="172"/>
      <c r="T1088" s="172"/>
      <c r="AN1088"/>
      <c r="AO1088"/>
    </row>
    <row r="1089" spans="1:41" x14ac:dyDescent="0.25">
      <c r="A1089" s="639"/>
      <c r="B1089" s="639"/>
      <c r="D1089" s="203"/>
      <c r="I1089" s="886"/>
      <c r="J1089" s="886"/>
      <c r="L1089" s="172"/>
      <c r="M1089" s="888"/>
      <c r="O1089" s="172"/>
      <c r="Q1089" s="172"/>
      <c r="R1089" s="172"/>
      <c r="S1089" s="172"/>
      <c r="T1089" s="172"/>
      <c r="AN1089"/>
      <c r="AO1089"/>
    </row>
    <row r="1090" spans="1:41" x14ac:dyDescent="0.25">
      <c r="A1090" s="639"/>
      <c r="B1090" s="639"/>
      <c r="D1090" s="203"/>
      <c r="I1090" s="886"/>
      <c r="J1090" s="886"/>
      <c r="L1090" s="172"/>
      <c r="M1090" s="888"/>
      <c r="O1090" s="172"/>
      <c r="Q1090" s="172"/>
      <c r="R1090" s="172"/>
      <c r="S1090" s="172"/>
      <c r="T1090" s="172"/>
      <c r="AN1090"/>
      <c r="AO1090"/>
    </row>
    <row r="1091" spans="1:41" x14ac:dyDescent="0.25">
      <c r="A1091" s="639"/>
      <c r="B1091" s="639"/>
      <c r="D1091" s="203"/>
      <c r="I1091" s="886"/>
      <c r="J1091" s="886"/>
      <c r="L1091" s="172"/>
      <c r="M1091" s="888"/>
      <c r="O1091" s="172"/>
      <c r="Q1091" s="172"/>
      <c r="R1091" s="172"/>
      <c r="S1091" s="172"/>
      <c r="T1091" s="172"/>
      <c r="AN1091"/>
      <c r="AO1091"/>
    </row>
    <row r="1092" spans="1:41" x14ac:dyDescent="0.25">
      <c r="A1092" s="639"/>
      <c r="B1092" s="639"/>
      <c r="D1092" s="203"/>
      <c r="I1092" s="886"/>
      <c r="J1092" s="886"/>
      <c r="L1092" s="172"/>
      <c r="M1092" s="888"/>
      <c r="O1092" s="172"/>
      <c r="Q1092" s="172"/>
      <c r="R1092" s="172"/>
      <c r="S1092" s="172"/>
      <c r="T1092" s="172"/>
      <c r="AN1092"/>
      <c r="AO1092"/>
    </row>
    <row r="1093" spans="1:41" x14ac:dyDescent="0.25">
      <c r="A1093" s="639"/>
      <c r="B1093" s="639"/>
      <c r="D1093" s="203"/>
      <c r="I1093" s="886"/>
      <c r="J1093" s="886"/>
      <c r="L1093" s="172"/>
      <c r="M1093" s="888"/>
      <c r="O1093" s="172"/>
      <c r="Q1093" s="172"/>
      <c r="R1093" s="172"/>
      <c r="S1093" s="172"/>
      <c r="T1093" s="172"/>
      <c r="AN1093"/>
      <c r="AO1093"/>
    </row>
    <row r="1094" spans="1:41" x14ac:dyDescent="0.25">
      <c r="A1094" s="639"/>
      <c r="B1094" s="639"/>
      <c r="D1094" s="203"/>
      <c r="I1094" s="886"/>
      <c r="J1094" s="886"/>
      <c r="L1094" s="172"/>
      <c r="M1094" s="888"/>
      <c r="O1094" s="172"/>
      <c r="Q1094" s="172"/>
      <c r="R1094" s="172"/>
      <c r="S1094" s="172"/>
      <c r="T1094" s="172"/>
      <c r="AN1094"/>
      <c r="AO1094"/>
    </row>
    <row r="1095" spans="1:41" x14ac:dyDescent="0.25">
      <c r="A1095" s="639"/>
      <c r="B1095" s="639"/>
      <c r="D1095" s="203"/>
      <c r="I1095" s="886"/>
      <c r="J1095" s="886"/>
      <c r="L1095" s="172"/>
      <c r="M1095" s="888"/>
      <c r="O1095" s="172"/>
      <c r="Q1095" s="172"/>
      <c r="R1095" s="172"/>
      <c r="S1095" s="172"/>
      <c r="T1095" s="172"/>
      <c r="AN1095"/>
      <c r="AO1095"/>
    </row>
    <row r="1096" spans="1:41" x14ac:dyDescent="0.25">
      <c r="A1096" s="639"/>
      <c r="B1096" s="639"/>
      <c r="D1096" s="203"/>
      <c r="I1096" s="886"/>
      <c r="J1096" s="886"/>
      <c r="L1096" s="172"/>
      <c r="M1096" s="888"/>
      <c r="O1096" s="172"/>
      <c r="Q1096" s="172"/>
      <c r="R1096" s="172"/>
      <c r="S1096" s="172"/>
      <c r="T1096" s="172"/>
      <c r="AN1096"/>
      <c r="AO1096"/>
    </row>
    <row r="1097" spans="1:41" x14ac:dyDescent="0.25">
      <c r="A1097" s="639"/>
      <c r="B1097" s="639"/>
      <c r="D1097" s="203"/>
      <c r="I1097" s="886"/>
      <c r="J1097" s="886"/>
      <c r="L1097" s="172"/>
      <c r="M1097" s="888"/>
      <c r="O1097" s="172"/>
      <c r="Q1097" s="172"/>
      <c r="R1097" s="172"/>
      <c r="S1097" s="172"/>
      <c r="T1097" s="172"/>
      <c r="AN1097"/>
      <c r="AO1097"/>
    </row>
    <row r="1098" spans="1:41" x14ac:dyDescent="0.25">
      <c r="A1098" s="639"/>
      <c r="B1098" s="639"/>
      <c r="D1098" s="203"/>
      <c r="I1098" s="886"/>
      <c r="J1098" s="886"/>
      <c r="L1098" s="172"/>
      <c r="M1098" s="888"/>
      <c r="O1098" s="172"/>
      <c r="Q1098" s="172"/>
      <c r="R1098" s="172"/>
      <c r="S1098" s="172"/>
      <c r="T1098" s="172"/>
      <c r="AN1098"/>
      <c r="AO1098"/>
    </row>
    <row r="1099" spans="1:41" x14ac:dyDescent="0.25">
      <c r="A1099" s="639"/>
      <c r="B1099" s="639"/>
      <c r="D1099" s="203"/>
      <c r="I1099" s="886"/>
      <c r="J1099" s="886"/>
      <c r="L1099" s="172"/>
      <c r="M1099" s="888"/>
      <c r="O1099" s="172"/>
      <c r="Q1099" s="172"/>
      <c r="R1099" s="172"/>
      <c r="S1099" s="172"/>
      <c r="T1099" s="172"/>
      <c r="AN1099"/>
      <c r="AO1099"/>
    </row>
    <row r="1100" spans="1:41" x14ac:dyDescent="0.25">
      <c r="A1100" s="639"/>
      <c r="B1100" s="639"/>
      <c r="D1100" s="203"/>
      <c r="I1100" s="886"/>
      <c r="J1100" s="886"/>
      <c r="L1100" s="172"/>
      <c r="M1100" s="888"/>
      <c r="O1100" s="172"/>
      <c r="Q1100" s="172"/>
      <c r="R1100" s="172"/>
      <c r="S1100" s="172"/>
      <c r="T1100" s="172"/>
      <c r="AN1100"/>
      <c r="AO1100"/>
    </row>
    <row r="1101" spans="1:41" x14ac:dyDescent="0.25">
      <c r="A1101" s="639"/>
      <c r="B1101" s="639"/>
      <c r="D1101" s="203"/>
      <c r="I1101" s="886"/>
      <c r="J1101" s="886"/>
      <c r="L1101" s="172"/>
      <c r="M1101" s="888"/>
      <c r="O1101" s="172"/>
      <c r="Q1101" s="172"/>
      <c r="R1101" s="172"/>
      <c r="S1101" s="172"/>
      <c r="T1101" s="172"/>
      <c r="AN1101"/>
      <c r="AO1101"/>
    </row>
    <row r="1102" spans="1:41" x14ac:dyDescent="0.25">
      <c r="A1102" s="639"/>
      <c r="B1102" s="639"/>
      <c r="D1102" s="203"/>
      <c r="I1102" s="886"/>
      <c r="J1102" s="886"/>
      <c r="L1102" s="172"/>
      <c r="M1102" s="888"/>
      <c r="O1102" s="172"/>
      <c r="Q1102" s="172"/>
      <c r="R1102" s="172"/>
      <c r="S1102" s="172"/>
      <c r="T1102" s="172"/>
      <c r="AN1102"/>
      <c r="AO1102"/>
    </row>
    <row r="1103" spans="1:41" x14ac:dyDescent="0.25">
      <c r="A1103" s="639"/>
      <c r="B1103" s="639"/>
      <c r="D1103" s="203"/>
      <c r="I1103" s="886"/>
      <c r="J1103" s="886"/>
      <c r="L1103" s="172"/>
      <c r="M1103" s="888"/>
      <c r="O1103" s="172"/>
      <c r="Q1103" s="172"/>
      <c r="R1103" s="172"/>
      <c r="S1103" s="172"/>
      <c r="T1103" s="172"/>
      <c r="AN1103"/>
      <c r="AO1103"/>
    </row>
    <row r="1104" spans="1:41" x14ac:dyDescent="0.25">
      <c r="A1104" s="639"/>
      <c r="B1104" s="639"/>
      <c r="D1104" s="203"/>
      <c r="I1104" s="886"/>
      <c r="J1104" s="886"/>
      <c r="L1104" s="172"/>
      <c r="M1104" s="888"/>
      <c r="O1104" s="172"/>
      <c r="Q1104" s="172"/>
      <c r="R1104" s="172"/>
      <c r="S1104" s="172"/>
      <c r="T1104" s="172"/>
      <c r="AN1104"/>
      <c r="AO1104"/>
    </row>
    <row r="1105" spans="1:41" x14ac:dyDescent="0.25">
      <c r="A1105" s="639"/>
      <c r="B1105" s="639"/>
      <c r="D1105" s="203"/>
      <c r="I1105" s="886"/>
      <c r="J1105" s="886"/>
      <c r="L1105" s="172"/>
      <c r="M1105" s="888"/>
      <c r="O1105" s="172"/>
      <c r="Q1105" s="172"/>
      <c r="R1105" s="172"/>
      <c r="S1105" s="172"/>
      <c r="T1105" s="172"/>
      <c r="AN1105"/>
      <c r="AO1105"/>
    </row>
    <row r="1106" spans="1:41" x14ac:dyDescent="0.25">
      <c r="A1106" s="639"/>
      <c r="B1106" s="639"/>
      <c r="D1106" s="203"/>
      <c r="I1106" s="886"/>
      <c r="J1106" s="886"/>
      <c r="L1106" s="172"/>
      <c r="M1106" s="888"/>
      <c r="O1106" s="172"/>
      <c r="Q1106" s="172"/>
      <c r="R1106" s="172"/>
      <c r="S1106" s="172"/>
      <c r="T1106" s="172"/>
      <c r="AN1106"/>
      <c r="AO1106"/>
    </row>
    <row r="1107" spans="1:41" x14ac:dyDescent="0.25">
      <c r="A1107" s="639"/>
      <c r="B1107" s="639"/>
      <c r="D1107" s="203"/>
      <c r="I1107" s="886"/>
      <c r="J1107" s="886"/>
      <c r="L1107" s="172"/>
      <c r="M1107" s="888"/>
      <c r="O1107" s="172"/>
      <c r="Q1107" s="172"/>
      <c r="R1107" s="172"/>
      <c r="S1107" s="172"/>
      <c r="T1107" s="172"/>
      <c r="AN1107"/>
      <c r="AO1107"/>
    </row>
    <row r="1108" spans="1:41" x14ac:dyDescent="0.25">
      <c r="A1108" s="639"/>
      <c r="B1108" s="639"/>
      <c r="D1108" s="203"/>
      <c r="I1108" s="886"/>
      <c r="J1108" s="886"/>
      <c r="L1108" s="172"/>
      <c r="M1108" s="888"/>
      <c r="O1108" s="172"/>
      <c r="Q1108" s="172"/>
      <c r="R1108" s="172"/>
      <c r="S1108" s="172"/>
      <c r="T1108" s="172"/>
      <c r="AN1108"/>
      <c r="AO1108"/>
    </row>
    <row r="1109" spans="1:41" x14ac:dyDescent="0.25">
      <c r="A1109" s="639"/>
      <c r="B1109" s="639"/>
      <c r="D1109" s="203"/>
      <c r="I1109" s="886"/>
      <c r="J1109" s="886"/>
      <c r="L1109" s="172"/>
      <c r="M1109" s="888"/>
      <c r="O1109" s="172"/>
      <c r="Q1109" s="172"/>
      <c r="R1109" s="172"/>
      <c r="S1109" s="172"/>
      <c r="T1109" s="172"/>
      <c r="AN1109"/>
      <c r="AO1109"/>
    </row>
    <row r="1110" spans="1:41" x14ac:dyDescent="0.25">
      <c r="A1110" s="639"/>
      <c r="B1110" s="639"/>
      <c r="D1110" s="203"/>
      <c r="I1110" s="886"/>
      <c r="J1110" s="886"/>
      <c r="L1110" s="172"/>
      <c r="M1110" s="888"/>
      <c r="O1110" s="172"/>
      <c r="Q1110" s="172"/>
      <c r="R1110" s="172"/>
      <c r="S1110" s="172"/>
      <c r="T1110" s="172"/>
      <c r="AN1110"/>
      <c r="AO1110"/>
    </row>
    <row r="1111" spans="1:41" x14ac:dyDescent="0.25">
      <c r="A1111" s="639"/>
      <c r="B1111" s="639"/>
      <c r="D1111" s="203"/>
      <c r="I1111" s="886"/>
      <c r="J1111" s="886"/>
      <c r="L1111" s="172"/>
      <c r="M1111" s="888"/>
      <c r="O1111" s="172"/>
      <c r="Q1111" s="172"/>
      <c r="R1111" s="172"/>
      <c r="S1111" s="172"/>
      <c r="T1111" s="172"/>
      <c r="AN1111"/>
      <c r="AO1111"/>
    </row>
    <row r="1112" spans="1:41" x14ac:dyDescent="0.25">
      <c r="A1112" s="639"/>
      <c r="B1112" s="639"/>
      <c r="D1112" s="203"/>
      <c r="I1112" s="886"/>
      <c r="J1112" s="886"/>
      <c r="L1112" s="172"/>
      <c r="M1112" s="888"/>
      <c r="O1112" s="172"/>
      <c r="Q1112" s="172"/>
      <c r="R1112" s="172"/>
      <c r="S1112" s="172"/>
      <c r="T1112" s="172"/>
      <c r="AN1112"/>
      <c r="AO1112"/>
    </row>
    <row r="1113" spans="1:41" x14ac:dyDescent="0.25">
      <c r="A1113" s="639"/>
      <c r="B1113" s="639"/>
      <c r="D1113" s="203"/>
      <c r="I1113" s="886"/>
      <c r="J1113" s="886"/>
      <c r="L1113" s="172"/>
      <c r="M1113" s="888"/>
      <c r="O1113" s="172"/>
      <c r="Q1113" s="172"/>
      <c r="R1113" s="172"/>
      <c r="S1113" s="172"/>
      <c r="T1113" s="172"/>
      <c r="AN1113"/>
      <c r="AO1113"/>
    </row>
    <row r="1114" spans="1:41" x14ac:dyDescent="0.25">
      <c r="A1114" s="639"/>
      <c r="B1114" s="639"/>
      <c r="D1114" s="203"/>
      <c r="I1114" s="886"/>
      <c r="J1114" s="886"/>
      <c r="L1114" s="172"/>
      <c r="M1114" s="888"/>
      <c r="O1114" s="172"/>
      <c r="Q1114" s="172"/>
      <c r="R1114" s="172"/>
      <c r="S1114" s="172"/>
      <c r="T1114" s="172"/>
      <c r="AN1114"/>
      <c r="AO1114"/>
    </row>
    <row r="1115" spans="1:41" x14ac:dyDescent="0.25">
      <c r="A1115" s="639"/>
      <c r="B1115" s="639"/>
      <c r="D1115" s="203"/>
      <c r="I1115" s="886"/>
      <c r="J1115" s="886"/>
      <c r="L1115" s="172"/>
      <c r="M1115" s="888"/>
      <c r="O1115" s="172"/>
      <c r="Q1115" s="172"/>
      <c r="R1115" s="172"/>
      <c r="S1115" s="172"/>
      <c r="T1115" s="172"/>
      <c r="AN1115"/>
      <c r="AO1115"/>
    </row>
    <row r="1116" spans="1:41" x14ac:dyDescent="0.25">
      <c r="A1116" s="639"/>
      <c r="B1116" s="639"/>
      <c r="D1116" s="203"/>
      <c r="I1116" s="886"/>
      <c r="J1116" s="886"/>
      <c r="L1116" s="172"/>
      <c r="M1116" s="888"/>
      <c r="O1116" s="172"/>
      <c r="Q1116" s="172"/>
      <c r="R1116" s="172"/>
      <c r="S1116" s="172"/>
      <c r="T1116" s="172"/>
      <c r="AN1116"/>
      <c r="AO1116"/>
    </row>
    <row r="1117" spans="1:41" x14ac:dyDescent="0.25">
      <c r="A1117" s="639"/>
      <c r="B1117" s="639"/>
      <c r="D1117" s="203"/>
      <c r="I1117" s="886"/>
      <c r="J1117" s="886"/>
      <c r="L1117" s="172"/>
      <c r="M1117" s="888"/>
      <c r="O1117" s="172"/>
      <c r="Q1117" s="172"/>
      <c r="R1117" s="172"/>
      <c r="S1117" s="172"/>
      <c r="T1117" s="172"/>
      <c r="AN1117"/>
      <c r="AO1117"/>
    </row>
    <row r="1118" spans="1:41" x14ac:dyDescent="0.25">
      <c r="A1118" s="639"/>
      <c r="B1118" s="639"/>
      <c r="D1118" s="203"/>
      <c r="I1118" s="886"/>
      <c r="J1118" s="886"/>
      <c r="L1118" s="172"/>
      <c r="M1118" s="888"/>
      <c r="O1118" s="172"/>
      <c r="Q1118" s="172"/>
      <c r="R1118" s="172"/>
      <c r="S1118" s="172"/>
      <c r="T1118" s="172"/>
      <c r="AN1118"/>
      <c r="AO1118"/>
    </row>
    <row r="1119" spans="1:41" x14ac:dyDescent="0.25">
      <c r="A1119" s="639"/>
      <c r="B1119" s="639"/>
      <c r="D1119" s="203"/>
      <c r="I1119" s="886"/>
      <c r="J1119" s="886"/>
      <c r="L1119" s="172"/>
      <c r="M1119" s="888"/>
      <c r="O1119" s="172"/>
      <c r="Q1119" s="172"/>
      <c r="R1119" s="172"/>
      <c r="S1119" s="172"/>
      <c r="T1119" s="172"/>
      <c r="AN1119"/>
      <c r="AO1119"/>
    </row>
    <row r="1120" spans="1:41" x14ac:dyDescent="0.25">
      <c r="A1120" s="639"/>
      <c r="B1120" s="639"/>
      <c r="D1120" s="203"/>
      <c r="I1120" s="886"/>
      <c r="J1120" s="886"/>
      <c r="L1120" s="172"/>
      <c r="M1120" s="888"/>
      <c r="O1120" s="172"/>
      <c r="Q1120" s="172"/>
      <c r="R1120" s="172"/>
      <c r="S1120" s="172"/>
      <c r="T1120" s="172"/>
      <c r="AN1120"/>
      <c r="AO1120"/>
    </row>
    <row r="1121" spans="1:41" x14ac:dyDescent="0.25">
      <c r="A1121" s="639"/>
      <c r="B1121" s="639"/>
      <c r="D1121" s="203"/>
      <c r="I1121" s="886"/>
      <c r="J1121" s="886"/>
      <c r="L1121" s="172"/>
      <c r="M1121" s="888"/>
      <c r="O1121" s="172"/>
      <c r="Q1121" s="172"/>
      <c r="R1121" s="172"/>
      <c r="S1121" s="172"/>
      <c r="T1121" s="172"/>
      <c r="AN1121"/>
      <c r="AO1121"/>
    </row>
    <row r="1122" spans="1:41" x14ac:dyDescent="0.25">
      <c r="A1122" s="639"/>
      <c r="B1122" s="639"/>
      <c r="D1122" s="203"/>
      <c r="I1122" s="886"/>
      <c r="J1122" s="886"/>
      <c r="L1122" s="172"/>
      <c r="M1122" s="888"/>
      <c r="O1122" s="172"/>
      <c r="Q1122" s="172"/>
      <c r="R1122" s="172"/>
      <c r="S1122" s="172"/>
      <c r="T1122" s="172"/>
      <c r="AN1122"/>
      <c r="AO1122"/>
    </row>
    <row r="1123" spans="1:41" x14ac:dyDescent="0.25">
      <c r="A1123" s="639"/>
      <c r="B1123" s="639"/>
      <c r="D1123" s="203"/>
      <c r="I1123" s="886"/>
      <c r="J1123" s="886"/>
      <c r="L1123" s="172"/>
      <c r="M1123" s="888"/>
      <c r="O1123" s="172"/>
      <c r="Q1123" s="172"/>
      <c r="R1123" s="172"/>
      <c r="S1123" s="172"/>
      <c r="T1123" s="172"/>
      <c r="AN1123"/>
      <c r="AO1123"/>
    </row>
    <row r="1124" spans="1:41" x14ac:dyDescent="0.25">
      <c r="A1124" s="639"/>
      <c r="B1124" s="639"/>
      <c r="D1124" s="203"/>
      <c r="I1124" s="886"/>
      <c r="J1124" s="886"/>
      <c r="L1124" s="172"/>
      <c r="M1124" s="888"/>
      <c r="O1124" s="172"/>
      <c r="Q1124" s="172"/>
      <c r="R1124" s="172"/>
      <c r="S1124" s="172"/>
      <c r="T1124" s="172"/>
      <c r="AN1124"/>
      <c r="AO1124"/>
    </row>
    <row r="1125" spans="1:41" x14ac:dyDescent="0.25">
      <c r="A1125" s="639"/>
      <c r="B1125" s="639"/>
      <c r="D1125" s="203"/>
      <c r="I1125" s="886"/>
      <c r="J1125" s="886"/>
      <c r="L1125" s="172"/>
      <c r="M1125" s="888"/>
      <c r="O1125" s="172"/>
      <c r="Q1125" s="172"/>
      <c r="R1125" s="172"/>
      <c r="S1125" s="172"/>
      <c r="T1125" s="172"/>
      <c r="AN1125"/>
      <c r="AO1125"/>
    </row>
    <row r="1126" spans="1:41" x14ac:dyDescent="0.25">
      <c r="A1126" s="639"/>
      <c r="B1126" s="639"/>
      <c r="D1126" s="203"/>
      <c r="I1126" s="886"/>
      <c r="J1126" s="886"/>
      <c r="L1126" s="172"/>
      <c r="M1126" s="888"/>
      <c r="O1126" s="172"/>
      <c r="Q1126" s="172"/>
      <c r="R1126" s="172"/>
      <c r="S1126" s="172"/>
      <c r="T1126" s="172"/>
      <c r="AN1126"/>
      <c r="AO1126"/>
    </row>
    <row r="1127" spans="1:41" x14ac:dyDescent="0.25">
      <c r="A1127" s="639"/>
      <c r="B1127" s="639"/>
      <c r="D1127" s="203"/>
      <c r="I1127" s="886"/>
      <c r="J1127" s="886"/>
      <c r="L1127" s="172"/>
      <c r="M1127" s="888"/>
      <c r="O1127" s="172"/>
      <c r="Q1127" s="172"/>
      <c r="R1127" s="172"/>
      <c r="S1127" s="172"/>
      <c r="T1127" s="172"/>
      <c r="AN1127"/>
      <c r="AO1127"/>
    </row>
    <row r="1128" spans="1:41" x14ac:dyDescent="0.25">
      <c r="A1128" s="639"/>
      <c r="B1128" s="639"/>
      <c r="D1128" s="203"/>
      <c r="I1128" s="886"/>
      <c r="J1128" s="886"/>
      <c r="L1128" s="172"/>
      <c r="M1128" s="888"/>
      <c r="O1128" s="172"/>
      <c r="Q1128" s="172"/>
      <c r="R1128" s="172"/>
      <c r="S1128" s="172"/>
      <c r="T1128" s="172"/>
      <c r="AN1128"/>
      <c r="AO1128"/>
    </row>
    <row r="1129" spans="1:41" x14ac:dyDescent="0.25">
      <c r="A1129" s="639"/>
      <c r="B1129" s="639"/>
      <c r="D1129" s="203"/>
      <c r="I1129" s="886"/>
      <c r="J1129" s="886"/>
      <c r="L1129" s="172"/>
      <c r="M1129" s="888"/>
      <c r="O1129" s="172"/>
      <c r="Q1129" s="172"/>
      <c r="R1129" s="172"/>
      <c r="S1129" s="172"/>
      <c r="T1129" s="172"/>
      <c r="AN1129"/>
      <c r="AO1129"/>
    </row>
    <row r="1130" spans="1:41" x14ac:dyDescent="0.25">
      <c r="A1130" s="639"/>
      <c r="B1130" s="639"/>
      <c r="D1130" s="203"/>
      <c r="I1130" s="886"/>
      <c r="J1130" s="886"/>
      <c r="L1130" s="172"/>
      <c r="M1130" s="888"/>
      <c r="O1130" s="172"/>
      <c r="Q1130" s="172"/>
      <c r="R1130" s="172"/>
      <c r="S1130" s="172"/>
      <c r="T1130" s="172"/>
      <c r="AN1130"/>
      <c r="AO1130"/>
    </row>
    <row r="1131" spans="1:41" x14ac:dyDescent="0.25">
      <c r="A1131" s="639"/>
      <c r="B1131" s="639"/>
      <c r="D1131" s="203"/>
      <c r="I1131" s="886"/>
      <c r="J1131" s="886"/>
      <c r="L1131" s="172"/>
      <c r="M1131" s="888"/>
      <c r="O1131" s="172"/>
      <c r="Q1131" s="172"/>
      <c r="R1131" s="172"/>
      <c r="S1131" s="172"/>
      <c r="T1131" s="172"/>
      <c r="AN1131"/>
      <c r="AO1131"/>
    </row>
    <row r="1132" spans="1:41" x14ac:dyDescent="0.25">
      <c r="A1132" s="639"/>
      <c r="B1132" s="639"/>
      <c r="D1132" s="203"/>
      <c r="I1132" s="886"/>
      <c r="J1132" s="886"/>
      <c r="L1132" s="172"/>
      <c r="M1132" s="888"/>
      <c r="O1132" s="172"/>
      <c r="Q1132" s="172"/>
      <c r="R1132" s="172"/>
      <c r="S1132" s="172"/>
      <c r="T1132" s="172"/>
      <c r="AN1132"/>
      <c r="AO1132"/>
    </row>
    <row r="1133" spans="1:41" x14ac:dyDescent="0.25">
      <c r="A1133" s="639"/>
      <c r="B1133" s="639"/>
      <c r="D1133" s="203"/>
      <c r="I1133" s="886"/>
      <c r="J1133" s="886"/>
      <c r="L1133" s="172"/>
      <c r="M1133" s="888"/>
      <c r="O1133" s="172"/>
      <c r="Q1133" s="172"/>
      <c r="R1133" s="172"/>
      <c r="S1133" s="172"/>
      <c r="T1133" s="172"/>
      <c r="AN1133"/>
      <c r="AO1133"/>
    </row>
    <row r="1134" spans="1:41" x14ac:dyDescent="0.25">
      <c r="A1134" s="639"/>
      <c r="B1134" s="639"/>
      <c r="D1134" s="203"/>
      <c r="I1134" s="886"/>
      <c r="J1134" s="886"/>
      <c r="L1134" s="172"/>
      <c r="M1134" s="888"/>
      <c r="O1134" s="172"/>
      <c r="Q1134" s="172"/>
      <c r="R1134" s="172"/>
      <c r="S1134" s="172"/>
      <c r="T1134" s="172"/>
      <c r="AN1134"/>
      <c r="AO1134"/>
    </row>
    <row r="1135" spans="1:41" x14ac:dyDescent="0.25">
      <c r="A1135" s="639"/>
      <c r="B1135" s="639"/>
      <c r="D1135" s="203"/>
      <c r="I1135" s="886"/>
      <c r="J1135" s="886"/>
      <c r="L1135" s="172"/>
      <c r="M1135" s="888"/>
      <c r="O1135" s="172"/>
      <c r="Q1135" s="172"/>
      <c r="R1135" s="172"/>
      <c r="S1135" s="172"/>
      <c r="T1135" s="172"/>
      <c r="AN1135"/>
      <c r="AO1135"/>
    </row>
    <row r="1136" spans="1:41" x14ac:dyDescent="0.25">
      <c r="A1136" s="639"/>
      <c r="B1136" s="639"/>
      <c r="D1136" s="203"/>
      <c r="I1136" s="886"/>
      <c r="J1136" s="886"/>
      <c r="L1136" s="172"/>
      <c r="M1136" s="888"/>
      <c r="O1136" s="172"/>
      <c r="Q1136" s="172"/>
      <c r="R1136" s="172"/>
      <c r="S1136" s="172"/>
      <c r="T1136" s="172"/>
      <c r="AN1136"/>
      <c r="AO1136"/>
    </row>
    <row r="1137" spans="1:41" x14ac:dyDescent="0.25">
      <c r="A1137" s="639"/>
      <c r="B1137" s="639"/>
      <c r="D1137" s="203"/>
      <c r="I1137" s="886"/>
      <c r="J1137" s="886"/>
      <c r="L1137" s="172"/>
      <c r="M1137" s="888"/>
      <c r="O1137" s="172"/>
      <c r="Q1137" s="172"/>
      <c r="R1137" s="172"/>
      <c r="S1137" s="172"/>
      <c r="T1137" s="172"/>
      <c r="AN1137"/>
      <c r="AO1137"/>
    </row>
    <row r="1138" spans="1:41" x14ac:dyDescent="0.25">
      <c r="A1138" s="639"/>
      <c r="B1138" s="639"/>
      <c r="D1138" s="203"/>
      <c r="I1138" s="886"/>
      <c r="J1138" s="886"/>
      <c r="L1138" s="172"/>
      <c r="M1138" s="888"/>
      <c r="O1138" s="172"/>
      <c r="Q1138" s="172"/>
      <c r="R1138" s="172"/>
      <c r="S1138" s="172"/>
      <c r="T1138" s="172"/>
      <c r="AN1138"/>
      <c r="AO1138"/>
    </row>
    <row r="1139" spans="1:41" x14ac:dyDescent="0.25">
      <c r="A1139" s="639"/>
      <c r="B1139" s="639"/>
      <c r="D1139" s="203"/>
      <c r="I1139" s="886"/>
      <c r="J1139" s="886"/>
      <c r="L1139" s="172"/>
      <c r="M1139" s="888"/>
      <c r="O1139" s="172"/>
      <c r="Q1139" s="172"/>
      <c r="R1139" s="172"/>
      <c r="S1139" s="172"/>
      <c r="T1139" s="172"/>
      <c r="AN1139"/>
      <c r="AO1139"/>
    </row>
    <row r="1140" spans="1:41" x14ac:dyDescent="0.25">
      <c r="A1140" s="639"/>
      <c r="B1140" s="639"/>
      <c r="D1140" s="203"/>
      <c r="I1140" s="886"/>
      <c r="J1140" s="886"/>
      <c r="L1140" s="172"/>
      <c r="M1140" s="888"/>
      <c r="O1140" s="172"/>
      <c r="Q1140" s="172"/>
      <c r="R1140" s="172"/>
      <c r="S1140" s="172"/>
      <c r="T1140" s="172"/>
      <c r="AN1140"/>
      <c r="AO1140"/>
    </row>
    <row r="1141" spans="1:41" x14ac:dyDescent="0.25">
      <c r="A1141" s="639"/>
      <c r="B1141" s="639"/>
      <c r="D1141" s="203"/>
      <c r="I1141" s="886"/>
      <c r="J1141" s="886"/>
      <c r="L1141" s="172"/>
      <c r="M1141" s="888"/>
      <c r="O1141" s="172"/>
      <c r="Q1141" s="172"/>
      <c r="R1141" s="172"/>
      <c r="S1141" s="172"/>
      <c r="T1141" s="172"/>
      <c r="AN1141"/>
      <c r="AO1141"/>
    </row>
    <row r="1142" spans="1:41" x14ac:dyDescent="0.25">
      <c r="A1142" s="639"/>
      <c r="B1142" s="639"/>
      <c r="D1142" s="203"/>
      <c r="I1142" s="886"/>
      <c r="J1142" s="886"/>
      <c r="L1142" s="172"/>
      <c r="M1142" s="888"/>
      <c r="O1142" s="172"/>
      <c r="Q1142" s="172"/>
      <c r="R1142" s="172"/>
      <c r="S1142" s="172"/>
      <c r="T1142" s="172"/>
      <c r="AN1142"/>
      <c r="AO1142"/>
    </row>
    <row r="1143" spans="1:41" x14ac:dyDescent="0.25">
      <c r="A1143" s="639"/>
      <c r="B1143" s="639"/>
      <c r="D1143" s="203"/>
      <c r="I1143" s="886"/>
      <c r="J1143" s="886"/>
      <c r="L1143" s="172"/>
      <c r="M1143" s="888"/>
      <c r="O1143" s="172"/>
      <c r="Q1143" s="172"/>
      <c r="R1143" s="172"/>
      <c r="S1143" s="172"/>
      <c r="T1143" s="172"/>
      <c r="AN1143"/>
      <c r="AO1143"/>
    </row>
    <row r="1144" spans="1:41" x14ac:dyDescent="0.25">
      <c r="A1144" s="639"/>
      <c r="B1144" s="639"/>
      <c r="D1144" s="203"/>
      <c r="I1144" s="886"/>
      <c r="J1144" s="886"/>
      <c r="L1144" s="172"/>
      <c r="M1144" s="888"/>
      <c r="O1144" s="172"/>
      <c r="Q1144" s="172"/>
      <c r="R1144" s="172"/>
      <c r="S1144" s="172"/>
      <c r="T1144" s="172"/>
      <c r="AN1144"/>
      <c r="AO1144"/>
    </row>
    <row r="1145" spans="1:41" x14ac:dyDescent="0.25">
      <c r="A1145" s="639"/>
      <c r="B1145" s="639"/>
      <c r="D1145" s="203"/>
      <c r="I1145" s="886"/>
      <c r="J1145" s="886"/>
      <c r="L1145" s="172"/>
      <c r="M1145" s="888"/>
      <c r="O1145" s="172"/>
      <c r="Q1145" s="172"/>
      <c r="R1145" s="172"/>
      <c r="S1145" s="172"/>
      <c r="T1145" s="172"/>
      <c r="AN1145"/>
      <c r="AO1145"/>
    </row>
    <row r="1146" spans="1:41" x14ac:dyDescent="0.25">
      <c r="A1146" s="639"/>
      <c r="B1146" s="639"/>
      <c r="D1146" s="203"/>
      <c r="I1146" s="886"/>
      <c r="L1146" s="172"/>
      <c r="M1146" s="888"/>
      <c r="O1146" s="172"/>
      <c r="Q1146" s="172"/>
      <c r="R1146" s="172"/>
      <c r="S1146" s="172"/>
      <c r="T1146" s="172"/>
      <c r="AN1146"/>
      <c r="AO1146"/>
    </row>
    <row r="1147" spans="1:41" x14ac:dyDescent="0.25">
      <c r="A1147" s="639"/>
      <c r="B1147" s="639"/>
      <c r="D1147" s="203"/>
      <c r="I1147" s="886"/>
      <c r="L1147" s="172"/>
      <c r="M1147" s="888"/>
      <c r="O1147" s="172"/>
      <c r="Q1147" s="172"/>
      <c r="R1147" s="172"/>
      <c r="S1147" s="172"/>
      <c r="T1147" s="172"/>
      <c r="AN1147"/>
      <c r="AO1147"/>
    </row>
    <row r="1148" spans="1:41" x14ac:dyDescent="0.25">
      <c r="A1148" s="639"/>
      <c r="B1148" s="639"/>
      <c r="D1148" s="203"/>
      <c r="I1148" s="886"/>
      <c r="L1148" s="172"/>
      <c r="M1148" s="888"/>
      <c r="O1148" s="172"/>
      <c r="Q1148" s="172"/>
      <c r="R1148" s="172"/>
      <c r="S1148" s="172"/>
      <c r="T1148" s="172"/>
      <c r="AN1148"/>
      <c r="AO1148"/>
    </row>
    <row r="1149" spans="1:41" x14ac:dyDescent="0.25">
      <c r="A1149" s="639"/>
      <c r="B1149" s="639"/>
      <c r="D1149" s="203"/>
      <c r="I1149" s="886"/>
      <c r="L1149" s="172"/>
      <c r="M1149" s="888"/>
      <c r="O1149" s="172"/>
      <c r="Q1149" s="172"/>
      <c r="R1149" s="172"/>
      <c r="S1149" s="172"/>
      <c r="T1149" s="172"/>
      <c r="AN1149"/>
      <c r="AO1149"/>
    </row>
    <row r="1150" spans="1:41" x14ac:dyDescent="0.25">
      <c r="A1150" s="639"/>
      <c r="B1150" s="639"/>
      <c r="D1150" s="203"/>
      <c r="I1150" s="886"/>
      <c r="L1150" s="172"/>
      <c r="M1150" s="888"/>
      <c r="O1150" s="172"/>
      <c r="Q1150" s="172"/>
      <c r="R1150" s="172"/>
      <c r="S1150" s="172"/>
      <c r="T1150" s="172"/>
      <c r="AN1150"/>
      <c r="AO1150"/>
    </row>
    <row r="1151" spans="1:41" x14ac:dyDescent="0.25">
      <c r="A1151" s="639"/>
      <c r="B1151" s="639"/>
      <c r="D1151" s="203"/>
      <c r="I1151" s="886"/>
      <c r="L1151" s="172"/>
      <c r="M1151" s="888"/>
      <c r="O1151" s="172"/>
      <c r="Q1151" s="172"/>
      <c r="R1151" s="172"/>
      <c r="S1151" s="172"/>
      <c r="T1151" s="172"/>
      <c r="AN1151"/>
      <c r="AO1151"/>
    </row>
    <row r="1152" spans="1:41" x14ac:dyDescent="0.25">
      <c r="A1152" s="639"/>
      <c r="B1152" s="639"/>
      <c r="D1152" s="203"/>
      <c r="I1152" s="886"/>
      <c r="L1152" s="172"/>
      <c r="M1152" s="888"/>
      <c r="O1152" s="172"/>
      <c r="Q1152" s="172"/>
      <c r="R1152" s="172"/>
      <c r="S1152" s="172"/>
      <c r="T1152" s="172"/>
      <c r="AN1152"/>
      <c r="AO1152"/>
    </row>
    <row r="1153" spans="1:41" x14ac:dyDescent="0.25">
      <c r="A1153" s="639"/>
      <c r="B1153" s="639"/>
      <c r="D1153" s="203"/>
      <c r="I1153" s="886"/>
      <c r="L1153" s="172"/>
      <c r="M1153" s="888"/>
      <c r="O1153" s="172"/>
      <c r="Q1153" s="172"/>
      <c r="R1153" s="172"/>
      <c r="S1153" s="172"/>
      <c r="T1153" s="172"/>
      <c r="AN1153"/>
      <c r="AO1153"/>
    </row>
    <row r="1154" spans="1:41" x14ac:dyDescent="0.25">
      <c r="A1154" s="639"/>
      <c r="B1154" s="639"/>
      <c r="D1154" s="203"/>
      <c r="I1154" s="886"/>
      <c r="L1154" s="172"/>
      <c r="M1154" s="888"/>
      <c r="O1154" s="172"/>
      <c r="Q1154" s="172"/>
      <c r="R1154" s="172"/>
      <c r="S1154" s="172"/>
      <c r="T1154" s="172"/>
      <c r="AN1154"/>
      <c r="AO1154"/>
    </row>
    <row r="1155" spans="1:41" x14ac:dyDescent="0.25">
      <c r="A1155" s="639"/>
      <c r="B1155" s="639"/>
      <c r="D1155" s="203"/>
      <c r="I1155" s="886"/>
      <c r="L1155" s="172"/>
      <c r="M1155" s="888"/>
      <c r="O1155" s="172"/>
      <c r="Q1155" s="172"/>
      <c r="R1155" s="172"/>
      <c r="S1155" s="172"/>
      <c r="T1155" s="172"/>
      <c r="AN1155"/>
      <c r="AO1155"/>
    </row>
    <row r="1156" spans="1:41" x14ac:dyDescent="0.25">
      <c r="A1156" s="639"/>
      <c r="B1156" s="639"/>
      <c r="D1156" s="203"/>
      <c r="I1156" s="886"/>
      <c r="L1156" s="172"/>
      <c r="M1156" s="888"/>
      <c r="O1156" s="172"/>
      <c r="Q1156" s="172"/>
      <c r="R1156" s="172"/>
      <c r="S1156" s="172"/>
      <c r="T1156" s="172"/>
      <c r="AN1156"/>
      <c r="AO1156"/>
    </row>
    <row r="1157" spans="1:41" x14ac:dyDescent="0.25">
      <c r="A1157" s="639"/>
      <c r="B1157" s="639"/>
      <c r="D1157" s="203"/>
      <c r="I1157" s="886"/>
      <c r="L1157" s="172"/>
      <c r="M1157" s="888"/>
      <c r="O1157" s="172"/>
      <c r="Q1157" s="172"/>
      <c r="R1157" s="172"/>
      <c r="S1157" s="172"/>
      <c r="T1157" s="172"/>
      <c r="AN1157"/>
      <c r="AO1157"/>
    </row>
    <row r="1158" spans="1:41" x14ac:dyDescent="0.25">
      <c r="A1158" s="639"/>
      <c r="B1158" s="639"/>
      <c r="D1158" s="203"/>
      <c r="I1158" s="886"/>
      <c r="L1158" s="172"/>
      <c r="M1158" s="888"/>
      <c r="O1158" s="172"/>
      <c r="Q1158" s="172"/>
      <c r="R1158" s="172"/>
      <c r="S1158" s="172"/>
      <c r="T1158" s="172"/>
      <c r="AN1158"/>
      <c r="AO1158"/>
    </row>
    <row r="1159" spans="1:41" x14ac:dyDescent="0.25">
      <c r="A1159" s="639"/>
      <c r="B1159" s="639"/>
      <c r="D1159" s="203"/>
      <c r="I1159" s="886"/>
      <c r="L1159" s="172"/>
      <c r="M1159" s="888"/>
      <c r="O1159" s="172"/>
      <c r="Q1159" s="172"/>
      <c r="R1159" s="172"/>
      <c r="S1159" s="172"/>
      <c r="T1159" s="172"/>
      <c r="AN1159"/>
      <c r="AO1159"/>
    </row>
    <row r="1160" spans="1:41" x14ac:dyDescent="0.25">
      <c r="A1160" s="639"/>
      <c r="B1160" s="639"/>
      <c r="D1160" s="203"/>
      <c r="I1160" s="886"/>
      <c r="L1160" s="172"/>
      <c r="M1160" s="888"/>
      <c r="O1160" s="172"/>
      <c r="Q1160" s="172"/>
      <c r="R1160" s="172"/>
      <c r="S1160" s="172"/>
      <c r="T1160" s="172"/>
      <c r="AN1160"/>
      <c r="AO1160"/>
    </row>
    <row r="1161" spans="1:41" x14ac:dyDescent="0.25">
      <c r="A1161" s="639"/>
      <c r="B1161" s="639"/>
      <c r="D1161" s="203"/>
      <c r="I1161" s="886"/>
      <c r="L1161" s="172"/>
      <c r="M1161" s="888"/>
      <c r="O1161" s="172"/>
      <c r="Q1161" s="172"/>
      <c r="R1161" s="172"/>
      <c r="S1161" s="172"/>
      <c r="T1161" s="172"/>
      <c r="AN1161"/>
      <c r="AO1161"/>
    </row>
    <row r="1162" spans="1:41" x14ac:dyDescent="0.25">
      <c r="A1162" s="639"/>
      <c r="B1162" s="639"/>
      <c r="D1162" s="203"/>
      <c r="I1162" s="886"/>
      <c r="L1162" s="172"/>
      <c r="M1162" s="888"/>
      <c r="O1162" s="172"/>
      <c r="Q1162" s="172"/>
      <c r="R1162" s="172"/>
      <c r="S1162" s="172"/>
      <c r="T1162" s="172"/>
      <c r="AN1162"/>
      <c r="AO1162"/>
    </row>
    <row r="1163" spans="1:41" x14ac:dyDescent="0.25">
      <c r="A1163" s="639"/>
      <c r="B1163" s="639"/>
      <c r="D1163" s="203"/>
      <c r="I1163" s="886"/>
      <c r="L1163" s="172"/>
      <c r="M1163" s="888"/>
      <c r="O1163" s="172"/>
      <c r="Q1163" s="172"/>
      <c r="R1163" s="172"/>
      <c r="S1163" s="172"/>
      <c r="T1163" s="172"/>
      <c r="AN1163"/>
      <c r="AO1163"/>
    </row>
    <row r="1164" spans="1:41" x14ac:dyDescent="0.25">
      <c r="A1164" s="639"/>
      <c r="B1164" s="639"/>
      <c r="D1164" s="203"/>
      <c r="I1164" s="886"/>
      <c r="L1164" s="172"/>
      <c r="M1164" s="888"/>
      <c r="O1164" s="172"/>
      <c r="Q1164" s="172"/>
      <c r="R1164" s="172"/>
      <c r="S1164" s="172"/>
      <c r="T1164" s="172"/>
      <c r="AN1164"/>
      <c r="AO1164"/>
    </row>
    <row r="1165" spans="1:41" x14ac:dyDescent="0.25">
      <c r="A1165" s="639"/>
      <c r="B1165" s="639"/>
      <c r="D1165" s="203"/>
      <c r="L1165" s="172"/>
      <c r="M1165" s="888"/>
      <c r="O1165" s="172"/>
      <c r="Q1165" s="172"/>
      <c r="R1165" s="172"/>
      <c r="S1165" s="172"/>
      <c r="T1165" s="172"/>
      <c r="AN1165"/>
      <c r="AO1165"/>
    </row>
    <row r="1166" spans="1:41" x14ac:dyDescent="0.25">
      <c r="A1166" s="639"/>
      <c r="B1166" s="639"/>
      <c r="D1166" s="203"/>
      <c r="L1166" s="172"/>
      <c r="M1166" s="888"/>
      <c r="O1166" s="172"/>
      <c r="Q1166" s="172"/>
      <c r="R1166" s="172"/>
      <c r="S1166" s="172"/>
      <c r="T1166" s="172"/>
      <c r="AN1166"/>
      <c r="AO1166"/>
    </row>
    <row r="1167" spans="1:41" x14ac:dyDescent="0.25">
      <c r="A1167" s="639"/>
      <c r="B1167" s="639"/>
      <c r="D1167" s="203"/>
      <c r="L1167" s="172"/>
      <c r="M1167" s="888"/>
      <c r="O1167" s="172"/>
      <c r="Q1167" s="172"/>
      <c r="R1167" s="172"/>
      <c r="S1167" s="172"/>
      <c r="T1167" s="172"/>
      <c r="AN1167"/>
      <c r="AO1167"/>
    </row>
    <row r="1168" spans="1:41" x14ac:dyDescent="0.25">
      <c r="A1168" s="639"/>
      <c r="B1168" s="639"/>
      <c r="D1168" s="203"/>
      <c r="L1168" s="172"/>
      <c r="M1168" s="888"/>
      <c r="O1168" s="172"/>
      <c r="Q1168" s="172"/>
      <c r="R1168" s="172"/>
      <c r="S1168" s="172"/>
      <c r="T1168" s="172"/>
      <c r="AN1168"/>
      <c r="AO1168"/>
    </row>
    <row r="1169" spans="1:41" x14ac:dyDescent="0.25">
      <c r="A1169" s="639"/>
      <c r="B1169" s="639"/>
      <c r="D1169" s="203"/>
      <c r="L1169" s="172"/>
      <c r="M1169" s="888"/>
      <c r="O1169" s="172"/>
      <c r="Q1169" s="172"/>
      <c r="R1169" s="172"/>
      <c r="S1169" s="172"/>
      <c r="T1169" s="172"/>
      <c r="AN1169"/>
      <c r="AO1169"/>
    </row>
    <row r="1170" spans="1:41" x14ac:dyDescent="0.25">
      <c r="A1170" s="639"/>
      <c r="B1170" s="639"/>
      <c r="D1170" s="203"/>
      <c r="L1170" s="172"/>
      <c r="M1170" s="888"/>
      <c r="O1170" s="172"/>
      <c r="Q1170" s="172"/>
      <c r="R1170" s="172"/>
      <c r="S1170" s="172"/>
      <c r="T1170" s="172"/>
      <c r="AN1170"/>
      <c r="AO1170"/>
    </row>
    <row r="1171" spans="1:41" x14ac:dyDescent="0.25">
      <c r="A1171" s="639"/>
      <c r="B1171" s="639"/>
      <c r="D1171" s="203"/>
      <c r="L1171" s="172"/>
      <c r="M1171" s="888"/>
      <c r="O1171" s="172"/>
      <c r="Q1171" s="172"/>
      <c r="R1171" s="172"/>
      <c r="S1171" s="172"/>
      <c r="T1171" s="172"/>
      <c r="AN1171"/>
      <c r="AO1171"/>
    </row>
    <row r="1172" spans="1:41" x14ac:dyDescent="0.25">
      <c r="A1172" s="639"/>
      <c r="B1172" s="639"/>
      <c r="D1172" s="203"/>
      <c r="L1172" s="172"/>
      <c r="M1172" s="888"/>
      <c r="O1172" s="172"/>
      <c r="Q1172" s="172"/>
      <c r="R1172" s="172"/>
      <c r="S1172" s="172"/>
      <c r="T1172" s="172"/>
      <c r="AN1172"/>
      <c r="AO1172"/>
    </row>
    <row r="1173" spans="1:41" x14ac:dyDescent="0.25">
      <c r="A1173" s="639"/>
      <c r="B1173" s="639"/>
      <c r="D1173" s="203"/>
      <c r="L1173" s="172"/>
      <c r="M1173" s="888"/>
      <c r="O1173" s="172"/>
      <c r="Q1173" s="172"/>
      <c r="R1173" s="172"/>
      <c r="S1173" s="172"/>
      <c r="T1173" s="172"/>
      <c r="AN1173"/>
      <c r="AO1173"/>
    </row>
    <row r="1174" spans="1:41" x14ac:dyDescent="0.25">
      <c r="A1174" s="639"/>
      <c r="B1174" s="639"/>
      <c r="D1174" s="203"/>
      <c r="L1174" s="172"/>
      <c r="M1174" s="888"/>
      <c r="O1174" s="172"/>
      <c r="Q1174" s="172"/>
      <c r="R1174" s="172"/>
      <c r="S1174" s="172"/>
      <c r="T1174" s="172"/>
      <c r="AN1174"/>
      <c r="AO1174"/>
    </row>
    <row r="1175" spans="1:41" x14ac:dyDescent="0.25">
      <c r="A1175" s="639"/>
      <c r="B1175" s="639"/>
      <c r="D1175" s="203"/>
      <c r="L1175" s="172"/>
      <c r="M1175" s="888"/>
      <c r="O1175" s="172"/>
      <c r="Q1175" s="172"/>
      <c r="R1175" s="172"/>
      <c r="S1175" s="172"/>
      <c r="T1175" s="172"/>
      <c r="AN1175"/>
      <c r="AO1175"/>
    </row>
    <row r="1176" spans="1:41" x14ac:dyDescent="0.25">
      <c r="A1176" s="639"/>
      <c r="B1176" s="639"/>
      <c r="D1176" s="203"/>
      <c r="L1176" s="172"/>
      <c r="M1176" s="888"/>
      <c r="O1176" s="172"/>
      <c r="Q1176" s="172"/>
      <c r="R1176" s="172"/>
      <c r="S1176" s="172"/>
      <c r="T1176" s="172"/>
      <c r="AN1176"/>
      <c r="AO1176"/>
    </row>
    <row r="1177" spans="1:41" x14ac:dyDescent="0.25">
      <c r="A1177" s="639"/>
      <c r="B1177" s="639"/>
      <c r="D1177" s="203"/>
      <c r="L1177" s="172"/>
      <c r="M1177" s="888"/>
      <c r="O1177" s="172"/>
      <c r="Q1177" s="172"/>
      <c r="R1177" s="172"/>
      <c r="S1177" s="172"/>
      <c r="T1177" s="172"/>
      <c r="AN1177"/>
      <c r="AO1177"/>
    </row>
    <row r="1178" spans="1:41" x14ac:dyDescent="0.25">
      <c r="A1178" s="639"/>
      <c r="B1178" s="639"/>
      <c r="D1178" s="203"/>
      <c r="L1178" s="172"/>
      <c r="M1178" s="888"/>
      <c r="O1178" s="172"/>
      <c r="Q1178" s="172"/>
      <c r="R1178" s="172"/>
      <c r="S1178" s="172"/>
      <c r="T1178" s="172"/>
      <c r="AN1178"/>
      <c r="AO1178"/>
    </row>
    <row r="1179" spans="1:41" x14ac:dyDescent="0.25">
      <c r="A1179" s="639"/>
      <c r="B1179" s="639"/>
      <c r="D1179" s="203"/>
      <c r="L1179" s="172"/>
      <c r="M1179" s="888"/>
      <c r="O1179" s="172"/>
      <c r="Q1179" s="172"/>
      <c r="R1179" s="172"/>
      <c r="S1179" s="172"/>
      <c r="T1179" s="172"/>
      <c r="AN1179"/>
      <c r="AO1179"/>
    </row>
    <row r="1180" spans="1:41" x14ac:dyDescent="0.25">
      <c r="A1180" s="639"/>
      <c r="B1180" s="639"/>
      <c r="D1180" s="203"/>
      <c r="L1180" s="172"/>
      <c r="M1180" s="888"/>
      <c r="O1180" s="172"/>
      <c r="Q1180" s="172"/>
      <c r="R1180" s="172"/>
      <c r="S1180" s="172"/>
      <c r="T1180" s="172"/>
      <c r="AN1180"/>
      <c r="AO1180"/>
    </row>
    <row r="1181" spans="1:41" x14ac:dyDescent="0.25">
      <c r="A1181" s="639"/>
      <c r="B1181" s="639"/>
      <c r="D1181" s="203"/>
      <c r="L1181" s="172"/>
      <c r="M1181" s="888"/>
      <c r="O1181" s="172"/>
      <c r="Q1181" s="172"/>
      <c r="R1181" s="172"/>
      <c r="S1181" s="172"/>
      <c r="T1181" s="172"/>
      <c r="AN1181"/>
      <c r="AO1181"/>
    </row>
    <row r="1182" spans="1:41" x14ac:dyDescent="0.25">
      <c r="A1182" s="639"/>
      <c r="B1182" s="639"/>
      <c r="D1182" s="203"/>
      <c r="L1182" s="172"/>
      <c r="M1182" s="888"/>
      <c r="O1182" s="172"/>
      <c r="Q1182" s="172"/>
      <c r="R1182" s="172"/>
      <c r="S1182" s="172"/>
      <c r="T1182" s="172"/>
      <c r="AN1182"/>
      <c r="AO1182"/>
    </row>
    <row r="1183" spans="1:41" x14ac:dyDescent="0.25">
      <c r="A1183" s="639"/>
      <c r="B1183" s="639"/>
      <c r="D1183" s="203"/>
      <c r="L1183" s="172"/>
      <c r="M1183" s="888"/>
      <c r="O1183" s="172"/>
      <c r="Q1183" s="172"/>
      <c r="R1183" s="172"/>
      <c r="S1183" s="172"/>
      <c r="T1183" s="172"/>
      <c r="AN1183"/>
      <c r="AO1183"/>
    </row>
    <row r="1184" spans="1:41" x14ac:dyDescent="0.25">
      <c r="A1184" s="639"/>
      <c r="B1184" s="639"/>
      <c r="D1184" s="203"/>
      <c r="L1184" s="172"/>
      <c r="M1184" s="888"/>
      <c r="O1184" s="172"/>
      <c r="Q1184" s="172"/>
      <c r="R1184" s="172"/>
      <c r="S1184" s="172"/>
      <c r="T1184" s="172"/>
      <c r="AN1184"/>
      <c r="AO1184"/>
    </row>
    <row r="1185" spans="1:41" x14ac:dyDescent="0.25">
      <c r="A1185" s="639"/>
      <c r="B1185" s="639"/>
      <c r="D1185" s="203"/>
      <c r="L1185" s="172"/>
      <c r="M1185" s="888"/>
      <c r="O1185" s="172"/>
      <c r="Q1185" s="172"/>
      <c r="R1185" s="172"/>
      <c r="S1185" s="172"/>
      <c r="T1185" s="172"/>
      <c r="AN1185"/>
      <c r="AO1185"/>
    </row>
    <row r="1186" spans="1:41" x14ac:dyDescent="0.25">
      <c r="A1186" s="639"/>
      <c r="B1186" s="639"/>
      <c r="D1186" s="203"/>
      <c r="L1186" s="172"/>
      <c r="M1186" s="888"/>
      <c r="O1186" s="172"/>
      <c r="Q1186" s="172"/>
      <c r="R1186" s="172"/>
      <c r="S1186" s="172"/>
      <c r="T1186" s="172"/>
      <c r="AN1186"/>
      <c r="AO1186"/>
    </row>
    <row r="1187" spans="1:41" x14ac:dyDescent="0.25">
      <c r="A1187" s="639"/>
      <c r="B1187" s="639"/>
      <c r="D1187" s="203"/>
      <c r="L1187" s="172"/>
      <c r="M1187" s="888"/>
      <c r="O1187" s="172"/>
      <c r="Q1187" s="172"/>
      <c r="R1187" s="172"/>
      <c r="S1187" s="172"/>
      <c r="T1187" s="172"/>
      <c r="AN1187"/>
      <c r="AO1187"/>
    </row>
    <row r="1188" spans="1:41" x14ac:dyDescent="0.25">
      <c r="A1188" s="639"/>
      <c r="B1188" s="639"/>
      <c r="D1188" s="203"/>
      <c r="L1188" s="172"/>
      <c r="M1188" s="888"/>
      <c r="O1188" s="172"/>
      <c r="Q1188" s="172"/>
      <c r="R1188" s="172"/>
      <c r="S1188" s="172"/>
      <c r="T1188" s="172"/>
      <c r="AN1188"/>
      <c r="AO1188"/>
    </row>
    <row r="1189" spans="1:41" x14ac:dyDescent="0.25">
      <c r="A1189" s="639"/>
      <c r="B1189" s="639"/>
      <c r="D1189" s="203"/>
      <c r="L1189" s="172"/>
      <c r="M1189" s="888"/>
      <c r="O1189" s="172"/>
      <c r="Q1189" s="172"/>
      <c r="R1189" s="172"/>
      <c r="S1189" s="172"/>
      <c r="T1189" s="172"/>
      <c r="AN1189"/>
      <c r="AO1189"/>
    </row>
    <row r="1190" spans="1:41" x14ac:dyDescent="0.25">
      <c r="A1190" s="639"/>
      <c r="B1190" s="639"/>
      <c r="D1190" s="203"/>
      <c r="L1190" s="172"/>
      <c r="M1190" s="888"/>
      <c r="O1190" s="172"/>
      <c r="Q1190" s="172"/>
      <c r="R1190" s="172"/>
      <c r="S1190" s="172"/>
      <c r="T1190" s="172"/>
      <c r="AN1190"/>
      <c r="AO1190"/>
    </row>
    <row r="1191" spans="1:41" x14ac:dyDescent="0.25">
      <c r="A1191" s="639"/>
      <c r="B1191" s="639"/>
      <c r="D1191" s="203"/>
      <c r="L1191" s="172"/>
      <c r="M1191" s="888"/>
      <c r="O1191" s="172"/>
      <c r="Q1191" s="172"/>
      <c r="R1191" s="172"/>
      <c r="S1191" s="172"/>
      <c r="T1191" s="172"/>
      <c r="AN1191"/>
      <c r="AO1191"/>
    </row>
    <row r="1192" spans="1:41" x14ac:dyDescent="0.25">
      <c r="A1192" s="639"/>
      <c r="B1192" s="639"/>
      <c r="D1192" s="203"/>
      <c r="L1192" s="172"/>
      <c r="M1192" s="888"/>
      <c r="O1192" s="172"/>
      <c r="Q1192" s="172"/>
      <c r="R1192" s="172"/>
      <c r="S1192" s="172"/>
      <c r="T1192" s="172"/>
      <c r="AO1192"/>
    </row>
    <row r="1193" spans="1:41" x14ac:dyDescent="0.25">
      <c r="A1193" s="639"/>
      <c r="B1193" s="639"/>
      <c r="D1193" s="203"/>
      <c r="L1193" s="172"/>
      <c r="M1193" s="888"/>
      <c r="O1193" s="172"/>
      <c r="Q1193" s="172"/>
      <c r="R1193" s="172"/>
      <c r="S1193" s="172"/>
      <c r="T1193" s="172"/>
      <c r="AO1193"/>
    </row>
    <row r="1194" spans="1:41" x14ac:dyDescent="0.25">
      <c r="A1194" s="639"/>
      <c r="B1194" s="639"/>
      <c r="D1194" s="203"/>
      <c r="L1194" s="172"/>
      <c r="M1194" s="888"/>
      <c r="O1194" s="172"/>
      <c r="Q1194" s="172"/>
      <c r="R1194" s="172"/>
      <c r="S1194" s="172"/>
      <c r="T1194" s="172"/>
      <c r="AO1194"/>
    </row>
    <row r="1195" spans="1:41" x14ac:dyDescent="0.25">
      <c r="A1195" s="639"/>
      <c r="B1195" s="639"/>
      <c r="D1195" s="203"/>
      <c r="L1195" s="172"/>
      <c r="M1195" s="888"/>
      <c r="O1195" s="172"/>
      <c r="Q1195" s="172"/>
      <c r="R1195" s="172"/>
      <c r="S1195" s="172"/>
      <c r="T1195" s="172"/>
      <c r="AO1195"/>
    </row>
    <row r="1196" spans="1:41" x14ac:dyDescent="0.25">
      <c r="A1196" s="639"/>
      <c r="B1196" s="639"/>
      <c r="D1196" s="203"/>
      <c r="L1196" s="172"/>
      <c r="M1196" s="888"/>
      <c r="O1196" s="172"/>
      <c r="Q1196" s="172"/>
      <c r="R1196" s="172"/>
      <c r="S1196" s="172"/>
      <c r="T1196" s="172"/>
      <c r="AO1196"/>
    </row>
    <row r="1197" spans="1:41" x14ac:dyDescent="0.25">
      <c r="A1197" s="639"/>
      <c r="B1197" s="639"/>
      <c r="D1197" s="203"/>
      <c r="L1197" s="172"/>
      <c r="M1197" s="888"/>
      <c r="O1197" s="172"/>
      <c r="Q1197" s="172"/>
      <c r="R1197" s="172"/>
      <c r="S1197" s="172"/>
      <c r="T1197" s="172"/>
      <c r="AO1197"/>
    </row>
    <row r="1198" spans="1:41" x14ac:dyDescent="0.25">
      <c r="A1198" s="639"/>
      <c r="B1198" s="639"/>
      <c r="D1198" s="203"/>
      <c r="L1198" s="172"/>
      <c r="M1198" s="888"/>
      <c r="AO1198"/>
    </row>
    <row r="1199" spans="1:41" x14ac:dyDescent="0.25">
      <c r="A1199" s="639"/>
      <c r="B1199" s="639"/>
      <c r="D1199" s="203"/>
      <c r="L1199" s="172"/>
      <c r="M1199" s="888"/>
      <c r="AO1199"/>
    </row>
    <row r="1200" spans="1:41" x14ac:dyDescent="0.25">
      <c r="A1200" s="639"/>
      <c r="B1200" s="639"/>
      <c r="D1200" s="203"/>
      <c r="L1200" s="172"/>
      <c r="M1200" s="888"/>
      <c r="AO1200"/>
    </row>
    <row r="1201" spans="1:41" x14ac:dyDescent="0.25">
      <c r="A1201" s="639"/>
      <c r="B1201" s="639"/>
      <c r="D1201" s="203"/>
      <c r="L1201" s="172"/>
      <c r="M1201" s="888"/>
      <c r="AO1201"/>
    </row>
    <row r="1202" spans="1:41" x14ac:dyDescent="0.25">
      <c r="A1202" s="639"/>
      <c r="B1202" s="639"/>
      <c r="D1202" s="203"/>
      <c r="L1202" s="172"/>
      <c r="M1202" s="888"/>
      <c r="AO1202"/>
    </row>
    <row r="1203" spans="1:41" x14ac:dyDescent="0.25">
      <c r="A1203" s="639"/>
      <c r="B1203" s="639"/>
      <c r="D1203" s="203"/>
      <c r="L1203" s="172"/>
      <c r="M1203" s="888"/>
    </row>
    <row r="1204" spans="1:41" x14ac:dyDescent="0.25">
      <c r="A1204" s="639"/>
      <c r="B1204" s="639"/>
      <c r="D1204" s="203"/>
      <c r="L1204" s="172"/>
      <c r="M1204" s="888"/>
    </row>
    <row r="1205" spans="1:41" x14ac:dyDescent="0.25">
      <c r="A1205" s="639"/>
      <c r="B1205" s="639"/>
      <c r="D1205" s="203"/>
      <c r="L1205" s="172"/>
      <c r="M1205" s="888"/>
    </row>
    <row r="1206" spans="1:41" x14ac:dyDescent="0.25">
      <c r="A1206" s="639"/>
      <c r="B1206" s="639"/>
      <c r="D1206" s="203"/>
      <c r="L1206" s="172"/>
      <c r="M1206" s="888"/>
    </row>
    <row r="1207" spans="1:41" x14ac:dyDescent="0.25">
      <c r="A1207" s="639"/>
      <c r="B1207" s="639"/>
      <c r="D1207" s="203"/>
      <c r="L1207" s="172"/>
      <c r="M1207" s="888"/>
    </row>
    <row r="1208" spans="1:41" x14ac:dyDescent="0.25">
      <c r="A1208" s="639"/>
      <c r="B1208" s="639"/>
      <c r="D1208" s="203"/>
      <c r="L1208" s="172"/>
      <c r="M1208" s="888"/>
    </row>
    <row r="1209" spans="1:41" x14ac:dyDescent="0.25">
      <c r="A1209" s="639"/>
      <c r="B1209" s="639"/>
      <c r="D1209" s="203"/>
      <c r="L1209" s="172"/>
      <c r="M1209" s="888"/>
    </row>
    <row r="1210" spans="1:41" x14ac:dyDescent="0.25">
      <c r="A1210" s="639"/>
      <c r="B1210" s="639"/>
      <c r="D1210" s="203"/>
      <c r="L1210" s="172"/>
      <c r="M1210" s="888"/>
    </row>
    <row r="1211" spans="1:41" x14ac:dyDescent="0.25">
      <c r="A1211" s="639"/>
      <c r="B1211" s="639"/>
      <c r="D1211" s="203"/>
      <c r="L1211" s="172"/>
      <c r="M1211" s="888"/>
    </row>
    <row r="1212" spans="1:41" x14ac:dyDescent="0.25">
      <c r="A1212" s="639"/>
      <c r="B1212" s="639"/>
      <c r="D1212" s="203"/>
      <c r="L1212" s="172"/>
      <c r="M1212" s="888"/>
    </row>
    <row r="1213" spans="1:41" x14ac:dyDescent="0.25">
      <c r="A1213" s="639"/>
      <c r="B1213" s="639"/>
      <c r="D1213" s="203"/>
      <c r="L1213" s="172"/>
      <c r="M1213" s="888"/>
    </row>
    <row r="1214" spans="1:41" x14ac:dyDescent="0.25">
      <c r="A1214" s="639"/>
      <c r="B1214" s="639"/>
      <c r="D1214" s="203"/>
      <c r="L1214" s="172"/>
      <c r="M1214" s="888"/>
    </row>
    <row r="1215" spans="1:41" x14ac:dyDescent="0.25">
      <c r="A1215" s="639"/>
      <c r="B1215" s="639"/>
      <c r="D1215" s="203"/>
      <c r="L1215" s="172"/>
      <c r="M1215" s="888"/>
    </row>
    <row r="1216" spans="1:41" x14ac:dyDescent="0.25">
      <c r="A1216" s="639"/>
      <c r="B1216" s="639"/>
      <c r="D1216" s="203"/>
      <c r="L1216" s="172"/>
      <c r="M1216" s="888"/>
    </row>
    <row r="1217" spans="1:13" x14ac:dyDescent="0.25">
      <c r="A1217" s="639"/>
      <c r="B1217" s="639"/>
      <c r="D1217" s="203"/>
      <c r="L1217" s="172"/>
      <c r="M1217" s="888"/>
    </row>
    <row r="1218" spans="1:13" x14ac:dyDescent="0.25">
      <c r="A1218" s="639"/>
      <c r="B1218" s="639"/>
      <c r="D1218" s="203"/>
      <c r="L1218" s="172"/>
      <c r="M1218" s="888"/>
    </row>
    <row r="1219" spans="1:13" x14ac:dyDescent="0.25">
      <c r="A1219" s="639"/>
      <c r="B1219" s="639"/>
      <c r="D1219" s="203"/>
      <c r="L1219" s="172"/>
      <c r="M1219" s="888"/>
    </row>
    <row r="1220" spans="1:13" x14ac:dyDescent="0.25">
      <c r="A1220" s="639"/>
      <c r="B1220" s="639"/>
      <c r="D1220" s="203"/>
      <c r="L1220" s="172"/>
      <c r="M1220" s="888"/>
    </row>
    <row r="1221" spans="1:13" x14ac:dyDescent="0.25">
      <c r="A1221" s="639"/>
      <c r="B1221" s="639"/>
      <c r="D1221" s="203"/>
      <c r="L1221" s="172"/>
      <c r="M1221" s="888"/>
    </row>
    <row r="1222" spans="1:13" x14ac:dyDescent="0.25">
      <c r="A1222" s="639"/>
      <c r="B1222" s="639"/>
      <c r="D1222" s="203"/>
      <c r="L1222" s="172"/>
      <c r="M1222" s="888"/>
    </row>
    <row r="1223" spans="1:13" x14ac:dyDescent="0.25">
      <c r="A1223" s="639"/>
      <c r="B1223" s="639"/>
      <c r="D1223" s="203"/>
      <c r="L1223" s="172"/>
      <c r="M1223" s="888"/>
    </row>
    <row r="1224" spans="1:13" x14ac:dyDescent="0.25">
      <c r="A1224" s="639"/>
      <c r="B1224" s="639"/>
      <c r="D1224" s="203"/>
      <c r="M1224" s="888"/>
    </row>
    <row r="1225" spans="1:13" x14ac:dyDescent="0.25">
      <c r="A1225" s="639"/>
      <c r="B1225" s="639"/>
      <c r="M1225" s="888"/>
    </row>
    <row r="1226" spans="1:13" x14ac:dyDescent="0.25">
      <c r="A1226" s="639"/>
      <c r="B1226" s="639"/>
      <c r="M1226" s="888"/>
    </row>
    <row r="1227" spans="1:13" x14ac:dyDescent="0.25">
      <c r="A1227" s="639"/>
      <c r="B1227" s="639"/>
      <c r="M1227" s="888"/>
    </row>
    <row r="1228" spans="1:13" x14ac:dyDescent="0.25">
      <c r="A1228" s="639"/>
      <c r="B1228" s="639"/>
      <c r="M1228" s="888"/>
    </row>
    <row r="1229" spans="1:13" x14ac:dyDescent="0.25">
      <c r="A1229" s="639"/>
      <c r="B1229" s="639"/>
      <c r="M1229" s="888"/>
    </row>
    <row r="1230" spans="1:13" x14ac:dyDescent="0.25">
      <c r="A1230" s="639"/>
      <c r="B1230" s="639"/>
      <c r="M1230" s="888"/>
    </row>
    <row r="1231" spans="1:13" x14ac:dyDescent="0.25">
      <c r="A1231" s="639"/>
      <c r="B1231" s="639"/>
      <c r="M1231" s="888"/>
    </row>
    <row r="1232" spans="1:13" x14ac:dyDescent="0.25">
      <c r="M1232" s="888"/>
    </row>
    <row r="1233" spans="13:13" x14ac:dyDescent="0.25">
      <c r="M1233" s="888"/>
    </row>
    <row r="1234" spans="13:13" x14ac:dyDescent="0.25">
      <c r="M1234" s="888"/>
    </row>
    <row r="1235" spans="13:13" x14ac:dyDescent="0.25">
      <c r="M1235" s="888"/>
    </row>
    <row r="1236" spans="13:13" x14ac:dyDescent="0.25">
      <c r="M1236" s="888"/>
    </row>
    <row r="1237" spans="13:13" x14ac:dyDescent="0.25">
      <c r="M1237" s="888"/>
    </row>
    <row r="1238" spans="13:13" x14ac:dyDescent="0.25">
      <c r="M1238" s="888"/>
    </row>
    <row r="1239" spans="13:13" x14ac:dyDescent="0.25">
      <c r="M1239" s="888"/>
    </row>
    <row r="1240" spans="13:13" x14ac:dyDescent="0.25">
      <c r="M1240" s="888"/>
    </row>
    <row r="1241" spans="13:13" x14ac:dyDescent="0.25">
      <c r="M1241" s="888"/>
    </row>
    <row r="1242" spans="13:13" x14ac:dyDescent="0.25">
      <c r="M1242" s="888"/>
    </row>
    <row r="1243" spans="13:13" x14ac:dyDescent="0.25">
      <c r="M1243" s="888"/>
    </row>
    <row r="1244" spans="13:13" x14ac:dyDescent="0.25">
      <c r="M1244" s="888"/>
    </row>
    <row r="1245" spans="13:13" x14ac:dyDescent="0.25">
      <c r="M1245" s="888"/>
    </row>
    <row r="1246" spans="13:13" x14ac:dyDescent="0.25">
      <c r="M1246" s="888"/>
    </row>
    <row r="1247" spans="13:13" x14ac:dyDescent="0.25">
      <c r="M1247" s="888"/>
    </row>
    <row r="1248" spans="13:13" x14ac:dyDescent="0.25">
      <c r="M1248" s="888"/>
    </row>
    <row r="1249" spans="13:13" x14ac:dyDescent="0.25">
      <c r="M1249" s="888"/>
    </row>
    <row r="1250" spans="13:13" x14ac:dyDescent="0.25">
      <c r="M1250" s="888"/>
    </row>
    <row r="1251" spans="13:13" x14ac:dyDescent="0.25">
      <c r="M1251" s="888"/>
    </row>
    <row r="1252" spans="13:13" x14ac:dyDescent="0.25">
      <c r="M1252" s="888"/>
    </row>
    <row r="1253" spans="13:13" x14ac:dyDescent="0.25">
      <c r="M1253" s="888"/>
    </row>
    <row r="1254" spans="13:13" x14ac:dyDescent="0.25">
      <c r="M1254" s="888"/>
    </row>
    <row r="1255" spans="13:13" x14ac:dyDescent="0.25">
      <c r="M1255" s="888"/>
    </row>
    <row r="1256" spans="13:13" x14ac:dyDescent="0.25">
      <c r="M1256" s="888"/>
    </row>
    <row r="1257" spans="13:13" x14ac:dyDescent="0.25">
      <c r="M1257" s="888"/>
    </row>
    <row r="1258" spans="13:13" x14ac:dyDescent="0.25">
      <c r="M1258" s="888"/>
    </row>
    <row r="1259" spans="13:13" x14ac:dyDescent="0.25">
      <c r="M1259" s="888"/>
    </row>
    <row r="1260" spans="13:13" x14ac:dyDescent="0.25">
      <c r="M1260" s="888"/>
    </row>
    <row r="1261" spans="13:13" x14ac:dyDescent="0.25">
      <c r="M1261" s="888"/>
    </row>
    <row r="1262" spans="13:13" x14ac:dyDescent="0.25">
      <c r="M1262" s="888"/>
    </row>
    <row r="1263" spans="13:13" x14ac:dyDescent="0.25">
      <c r="M1263" s="888"/>
    </row>
    <row r="1264" spans="13:13" x14ac:dyDescent="0.25">
      <c r="M1264" s="888"/>
    </row>
  </sheetData>
  <autoFilter ref="A1:M545" xr:uid="{00000000-0009-0000-0000-000006000000}"/>
  <dataConsolidate/>
  <mergeCells count="4">
    <mergeCell ref="O5:Q5"/>
    <mergeCell ref="O26:P26"/>
    <mergeCell ref="O2:S2"/>
    <mergeCell ref="O32:P32"/>
  </mergeCells>
  <conditionalFormatting sqref="P3 R3 T3">
    <cfRule type="cellIs" dxfId="776" priority="1" operator="lessThan">
      <formula>0</formula>
    </cfRule>
    <cfRule type="cellIs" dxfId="775" priority="2" operator="greaterThan">
      <formula>0</formula>
    </cfRule>
    <cfRule type="cellIs" dxfId="774" priority="3" operator="equal">
      <formula>0</formula>
    </cfRule>
  </conditionalFormatting>
  <dataValidations count="5">
    <dataValidation type="list" allowBlank="1" showInputMessage="1" showErrorMessage="1" sqref="E1:E1048576" xr:uid="{48C4D281-A80F-49B0-83A0-88AEEFDC7B15}">
      <formula1>$AP$5:$AP$20</formula1>
    </dataValidation>
    <dataValidation type="list" allowBlank="1" showInputMessage="1" showErrorMessage="1" sqref="K1:K5" xr:uid="{CCF13493-547D-4BC7-B330-F289EECD53C8}">
      <formula1>$AS$5:$AS$8</formula1>
    </dataValidation>
    <dataValidation type="list" allowBlank="1" showInputMessage="1" showErrorMessage="1" sqref="K6:K1048576" xr:uid="{4144EF8A-2043-4F69-8D37-9E185B09A734}">
      <formula1>$AS$6:$AS$9</formula1>
    </dataValidation>
    <dataValidation type="list" allowBlank="1" showInputMessage="1" showErrorMessage="1" sqref="O39" xr:uid="{88AAE8A5-B4E0-4086-859B-EE0DE91FB85C}">
      <formula1>$AM:$AM</formula1>
    </dataValidation>
    <dataValidation type="list" allowBlank="1" showInputMessage="1" showErrorMessage="1" sqref="U163" xr:uid="{209B7DDB-1149-463A-B537-8E3B76862A7D}">
      <formula1>$AO:$AO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33BD833-5539-4D34-9153-A79590143DBA}">
          <x14:formula1>
            <xm:f>'hide this'!$D$1:$D$6</xm:f>
          </x14:formula1>
          <xm:sqref>B1:B5 B15:B16 B26:B27 B39:B40 B51:B52 B62:B63 B73:B74 B88:B89 B100:B101 B111:B112 A182:B182 B124:B181 A208 B183:B1048576</xm:sqref>
        </x14:dataValidation>
        <x14:dataValidation type="list" allowBlank="1" showInputMessage="1" showErrorMessage="1" xr:uid="{47201544-39AE-4F6A-868F-4D61E6F85197}">
          <x14:formula1>
            <xm:f>'hide this'!$D$1:$D$15</xm:f>
          </x14:formula1>
          <xm:sqref>A14:B14 B6:B13 A25:B25 B17:B24 A38:B38 B28:B37 A50:B50 B41:B49 A61:B61 B53:B60 A72:B72 B64:B71 A87:B87 B75:B86 A99:B99 B90:B98 A110:B110 B102:B109 A123:B123 B113:B122</xm:sqref>
        </x14:dataValidation>
        <x14:dataValidation type="list" allowBlank="1" showInputMessage="1" showErrorMessage="1" xr:uid="{C70D355A-EFEB-44DA-8D16-40050BE809F6}">
          <x14:formula1>
            <xm:f>'hide this'!$C$1:$C$4</xm:f>
          </x14:formula1>
          <xm:sqref>A1:A13 A15:A24 A26:A37 A39:A49 A51:A60 A62:A71 A73:A86 A88:A98 A100:A109 A111:A122 A124:A181 A183:A207 A209:A1048576</xm:sqref>
        </x14:dataValidation>
        <x14:dataValidation type="list" allowBlank="1" showInputMessage="1" showErrorMessage="1" xr:uid="{D47D833D-E69A-4B36-B799-93F51922B231}">
          <x14:formula1>
            <xm:f>'hide this'!$F$1:$F$9</xm:f>
          </x14:formula1>
          <xm:sqref>C1:C54 C56:C1048576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FAFCB-CC8A-4383-947B-5FABCDD02F86}">
  <sheetPr codeName="Sheet7"/>
  <dimension ref="A1:V1268"/>
  <sheetViews>
    <sheetView workbookViewId="0"/>
  </sheetViews>
  <sheetFormatPr defaultColWidth="8.85546875" defaultRowHeight="15" x14ac:dyDescent="0.25"/>
  <cols>
    <col min="1" max="1" width="30.7109375" style="172" bestFit="1" customWidth="1"/>
  </cols>
  <sheetData>
    <row r="1" spans="1:22" x14ac:dyDescent="0.25">
      <c r="A1" s="275" t="s">
        <v>395</v>
      </c>
      <c r="B1" s="387" t="s">
        <v>113</v>
      </c>
      <c r="C1" s="629" t="s">
        <v>19</v>
      </c>
      <c r="D1" s="201" t="s">
        <v>20</v>
      </c>
      <c r="F1" t="s">
        <v>525</v>
      </c>
      <c r="H1" s="7" t="s">
        <v>34</v>
      </c>
      <c r="L1" t="s">
        <v>519</v>
      </c>
      <c r="N1" t="s">
        <v>284</v>
      </c>
      <c r="Q1" s="567" t="s">
        <v>20</v>
      </c>
      <c r="S1" t="s">
        <v>72</v>
      </c>
      <c r="V1" s="471" t="s">
        <v>449</v>
      </c>
    </row>
    <row r="2" spans="1:22" x14ac:dyDescent="0.25">
      <c r="A2" s="387" t="s">
        <v>110</v>
      </c>
      <c r="B2" s="579" t="s">
        <v>114</v>
      </c>
      <c r="C2" s="629" t="s">
        <v>20</v>
      </c>
      <c r="D2" s="201" t="s">
        <v>523</v>
      </c>
      <c r="F2" t="s">
        <v>291</v>
      </c>
      <c r="H2" s="7" t="s">
        <v>35</v>
      </c>
      <c r="N2" t="s">
        <v>428</v>
      </c>
      <c r="Q2" s="568" t="s">
        <v>15</v>
      </c>
      <c r="S2" t="s">
        <v>73</v>
      </c>
      <c r="V2" t="s">
        <v>388</v>
      </c>
    </row>
    <row r="3" spans="1:22" x14ac:dyDescent="0.25">
      <c r="A3" s="387" t="s">
        <v>356</v>
      </c>
      <c r="C3" s="629" t="s">
        <v>523</v>
      </c>
      <c r="D3" s="201" t="s">
        <v>15</v>
      </c>
      <c r="F3" t="s">
        <v>19</v>
      </c>
      <c r="H3" s="7" t="s">
        <v>36</v>
      </c>
      <c r="N3" t="s">
        <v>421</v>
      </c>
      <c r="S3" t="s">
        <v>74</v>
      </c>
      <c r="V3" s="5" t="s">
        <v>387</v>
      </c>
    </row>
    <row r="4" spans="1:22" x14ac:dyDescent="0.25">
      <c r="A4" s="387" t="s">
        <v>358</v>
      </c>
      <c r="C4" s="629" t="s">
        <v>15</v>
      </c>
      <c r="D4" s="201" t="s">
        <v>19</v>
      </c>
      <c r="F4" s="201" t="s">
        <v>519</v>
      </c>
      <c r="H4" s="7" t="s">
        <v>37</v>
      </c>
      <c r="N4" t="s">
        <v>16</v>
      </c>
      <c r="S4" t="s">
        <v>75</v>
      </c>
      <c r="V4" s="5" t="s">
        <v>31</v>
      </c>
    </row>
    <row r="5" spans="1:22" x14ac:dyDescent="0.25">
      <c r="A5" s="387" t="s">
        <v>109</v>
      </c>
      <c r="C5" s="201" t="s">
        <v>519</v>
      </c>
      <c r="D5" s="201" t="s">
        <v>524</v>
      </c>
      <c r="F5" s="201" t="s">
        <v>524</v>
      </c>
      <c r="H5" s="7" t="s">
        <v>38</v>
      </c>
      <c r="N5" t="s">
        <v>248</v>
      </c>
      <c r="S5" t="s">
        <v>467</v>
      </c>
      <c r="V5" s="399" t="s">
        <v>430</v>
      </c>
    </row>
    <row r="6" spans="1:22" x14ac:dyDescent="0.25">
      <c r="A6" s="387" t="s">
        <v>357</v>
      </c>
      <c r="C6" s="201" t="s">
        <v>524</v>
      </c>
      <c r="D6" s="201" t="s">
        <v>519</v>
      </c>
      <c r="H6" s="7" t="s">
        <v>39</v>
      </c>
      <c r="N6" t="s">
        <v>447</v>
      </c>
      <c r="S6" t="s">
        <v>76</v>
      </c>
      <c r="V6" s="399" t="s">
        <v>431</v>
      </c>
    </row>
    <row r="7" spans="1:22" x14ac:dyDescent="0.25">
      <c r="A7" s="387" t="s">
        <v>111</v>
      </c>
      <c r="H7" s="8" t="s">
        <v>40</v>
      </c>
      <c r="S7" t="s">
        <v>468</v>
      </c>
      <c r="V7" s="399" t="s">
        <v>432</v>
      </c>
    </row>
    <row r="8" spans="1:22" x14ac:dyDescent="0.25">
      <c r="A8" s="387" t="s">
        <v>373</v>
      </c>
      <c r="H8" s="8" t="s">
        <v>41</v>
      </c>
      <c r="S8" t="s">
        <v>59</v>
      </c>
      <c r="V8" t="s">
        <v>287</v>
      </c>
    </row>
    <row r="9" spans="1:22" x14ac:dyDescent="0.25">
      <c r="A9" s="387" t="s">
        <v>469</v>
      </c>
      <c r="H9" s="371" t="s">
        <v>390</v>
      </c>
      <c r="S9" t="s">
        <v>25</v>
      </c>
      <c r="V9" s="399" t="s">
        <v>441</v>
      </c>
    </row>
    <row r="10" spans="1:22" x14ac:dyDescent="0.25">
      <c r="A10"/>
      <c r="H10" s="8" t="s">
        <v>391</v>
      </c>
      <c r="S10" t="s">
        <v>466</v>
      </c>
      <c r="V10" s="399" t="s">
        <v>438</v>
      </c>
    </row>
    <row r="11" spans="1:22" x14ac:dyDescent="0.25">
      <c r="A11"/>
      <c r="H11" s="8" t="s">
        <v>374</v>
      </c>
      <c r="S11" t="s">
        <v>82</v>
      </c>
      <c r="V11" s="399" t="s">
        <v>439</v>
      </c>
    </row>
    <row r="12" spans="1:22" x14ac:dyDescent="0.25">
      <c r="A12" t="s">
        <v>526</v>
      </c>
      <c r="H12" s="398" t="s">
        <v>18</v>
      </c>
      <c r="S12" t="s">
        <v>84</v>
      </c>
      <c r="V12" s="399" t="s">
        <v>440</v>
      </c>
    </row>
    <row r="13" spans="1:22" x14ac:dyDescent="0.25">
      <c r="H13" s="27" t="s">
        <v>42</v>
      </c>
      <c r="S13" t="s">
        <v>86</v>
      </c>
      <c r="V13" s="5" t="s">
        <v>32</v>
      </c>
    </row>
    <row r="14" spans="1:22" x14ac:dyDescent="0.25">
      <c r="H14" s="398" t="s">
        <v>43</v>
      </c>
      <c r="S14" t="s">
        <v>386</v>
      </c>
      <c r="V14" s="5" t="s">
        <v>33</v>
      </c>
    </row>
    <row r="15" spans="1:22" x14ac:dyDescent="0.25">
      <c r="H15" s="398" t="s">
        <v>44</v>
      </c>
      <c r="S15" t="s">
        <v>480</v>
      </c>
      <c r="V15" s="5" t="s">
        <v>60</v>
      </c>
    </row>
    <row r="16" spans="1:22" x14ac:dyDescent="0.25">
      <c r="H16" s="27" t="s">
        <v>45</v>
      </c>
      <c r="V16" s="5" t="s">
        <v>59</v>
      </c>
    </row>
    <row r="17" spans="1:22" x14ac:dyDescent="0.25">
      <c r="A17" s="629"/>
      <c r="H17" s="27" t="s">
        <v>46</v>
      </c>
      <c r="V17" s="5" t="s">
        <v>58</v>
      </c>
    </row>
    <row r="18" spans="1:22" x14ac:dyDescent="0.25">
      <c r="A18" s="629" t="s">
        <v>527</v>
      </c>
      <c r="V18" s="5" t="s">
        <v>446</v>
      </c>
    </row>
    <row r="19" spans="1:22" x14ac:dyDescent="0.25">
      <c r="V19" s="5" t="s">
        <v>16</v>
      </c>
    </row>
    <row r="25" spans="1:22" x14ac:dyDescent="0.25">
      <c r="A25"/>
    </row>
    <row r="26" spans="1:22" x14ac:dyDescent="0.25">
      <c r="A26"/>
    </row>
    <row r="27" spans="1:22" x14ac:dyDescent="0.25">
      <c r="A27" t="s">
        <v>528</v>
      </c>
    </row>
    <row r="31" spans="1:22" x14ac:dyDescent="0.25">
      <c r="A31"/>
    </row>
    <row r="32" spans="1:22" x14ac:dyDescent="0.25">
      <c r="A32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</sheetData>
  <dataValidations count="3">
    <dataValidation type="list" allowBlank="1" showInputMessage="1" showErrorMessage="1" sqref="A1269:A1048576 A1:A9" xr:uid="{3C35A3FB-F62D-4E13-AAC0-7E9A8235906A}">
      <formula1>$AP$4:$AP$24</formula1>
    </dataValidation>
    <dataValidation type="list" allowBlank="1" showInputMessage="1" showErrorMessage="1" sqref="B1:B2" xr:uid="{E527F5E2-4812-42E4-B2D3-DFAE12A57613}">
      <formula1>$AS$6:$AS$9</formula1>
    </dataValidation>
    <dataValidation type="list" allowBlank="1" showInputMessage="1" showErrorMessage="1" sqref="V2 V8" xr:uid="{375C6F5B-A4AF-4C10-BFBF-6C47E7A99C2B}">
      <formula1>#REF!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4" filterMode="1">
    <tabColor rgb="FF92D050"/>
    <pageSetUpPr fitToPage="1"/>
  </sheetPr>
  <dimension ref="A1:R1080"/>
  <sheetViews>
    <sheetView zoomScale="85" zoomScaleNormal="85" workbookViewId="0">
      <selection activeCell="J20" sqref="J20"/>
    </sheetView>
  </sheetViews>
  <sheetFormatPr defaultColWidth="9.28515625" defaultRowHeight="15" x14ac:dyDescent="0.25"/>
  <cols>
    <col min="1" max="1" width="13.85546875" style="119" bestFit="1" customWidth="1"/>
    <col min="2" max="2" width="9.140625" style="310" bestFit="1" customWidth="1"/>
    <col min="3" max="3" width="18.42578125" style="323" customWidth="1"/>
    <col min="4" max="4" width="42.42578125" style="9" bestFit="1" customWidth="1"/>
    <col min="5" max="5" width="10" style="10" bestFit="1" customWidth="1"/>
    <col min="6" max="16" width="17.7109375" style="648" customWidth="1"/>
    <col min="17" max="17" width="15.28515625" style="9" bestFit="1" customWidth="1"/>
    <col min="18" max="18" width="12" style="9" bestFit="1" customWidth="1"/>
    <col min="19" max="16384" width="9.28515625" style="9"/>
  </cols>
  <sheetData>
    <row r="1" spans="1:18" ht="15.75" thickBot="1" x14ac:dyDescent="0.3">
      <c r="A1" s="289" t="s">
        <v>153</v>
      </c>
      <c r="B1" s="307"/>
      <c r="C1" s="323">
        <v>1</v>
      </c>
      <c r="D1" s="22" t="s">
        <v>64</v>
      </c>
      <c r="E1" s="394"/>
      <c r="F1" s="644"/>
      <c r="G1" s="645"/>
      <c r="H1" s="646"/>
      <c r="I1" s="647"/>
      <c r="J1" s="586"/>
      <c r="K1" s="586"/>
      <c r="L1" s="586" t="s">
        <v>509</v>
      </c>
      <c r="M1" s="586" t="s">
        <v>508</v>
      </c>
      <c r="N1" s="586"/>
    </row>
    <row r="2" spans="1:18" ht="15.75" thickBot="1" x14ac:dyDescent="0.3">
      <c r="A2" s="62"/>
      <c r="B2" s="307"/>
      <c r="C2" s="323">
        <v>1</v>
      </c>
      <c r="D2" s="21" t="s">
        <v>63</v>
      </c>
      <c r="E2" s="395"/>
      <c r="F2" s="649" t="s">
        <v>450</v>
      </c>
      <c r="G2" s="472">
        <f ca="1">SUMIF('TB Tagging'!C:C,'TB Tagging'!$V$4,'TB Tagging'!B:B)</f>
        <v>56813253.810048603</v>
      </c>
      <c r="H2" s="650"/>
      <c r="I2" s="647" t="s">
        <v>497</v>
      </c>
      <c r="J2" s="586">
        <f>'Schedule 4b'!F18*GETPIVOTDATA("Unique Billed Hours",'HHA-CDPAP'!$A$3,"HHA/CDPAP","CDPAP")</f>
        <v>137820.10668570126</v>
      </c>
      <c r="K2" s="651">
        <f ca="1">J5/(K5+J5)</f>
        <v>0.20077548516655233</v>
      </c>
      <c r="L2" s="586">
        <f ca="1">IFERROR(M2*GETPIVOTDATA("Unique Visit Count",'County allocation'!$K$5,"Nursing override","Nursing Override"),0)</f>
        <v>1067584.9262722917</v>
      </c>
      <c r="M2" s="586">
        <f ca="1">+SUMIF('TB Tagging'!$C:$C,L3,'TB Tagging'!$B:$B)</f>
        <v>1305193.3383514741</v>
      </c>
      <c r="N2" s="586"/>
    </row>
    <row r="3" spans="1:18" ht="75" x14ac:dyDescent="0.25">
      <c r="A3" s="100"/>
      <c r="B3" s="308"/>
      <c r="C3" s="323">
        <v>1</v>
      </c>
      <c r="D3" s="20" t="s">
        <v>62</v>
      </c>
      <c r="E3" s="19">
        <f>IFERROR(+GETPIVOTDATA("Unique Billed Hours",'HHA-CDPAP'!$A$3,"HHA/CDPAP","HHA"),0)</f>
        <v>0.64953982701210444</v>
      </c>
      <c r="F3" s="652" t="s">
        <v>61</v>
      </c>
      <c r="G3" s="652" t="s">
        <v>387</v>
      </c>
      <c r="H3" s="652" t="s">
        <v>388</v>
      </c>
      <c r="I3" s="652" t="s">
        <v>392</v>
      </c>
      <c r="J3" s="652" t="s">
        <v>31</v>
      </c>
      <c r="K3" s="652" t="s">
        <v>32</v>
      </c>
      <c r="L3" s="653" t="s">
        <v>33</v>
      </c>
      <c r="M3" s="653" t="s">
        <v>60</v>
      </c>
      <c r="N3" s="653" t="s">
        <v>59</v>
      </c>
      <c r="O3" s="653" t="s">
        <v>58</v>
      </c>
      <c r="P3" s="653" t="s">
        <v>16</v>
      </c>
    </row>
    <row r="4" spans="1:18" x14ac:dyDescent="0.25">
      <c r="A4" s="60" t="s">
        <v>303</v>
      </c>
      <c r="B4" s="309">
        <f>IFERROR(+GETPIVOTDATA("Unique Billed Hours",'County allocation'!$A$3,"County",A4,"HHA/CDPAP","HHA"),0)</f>
        <v>1.0414062357525667E-2</v>
      </c>
      <c r="C4" s="323">
        <v>1</v>
      </c>
      <c r="D4" s="18"/>
      <c r="E4" s="16"/>
      <c r="F4" s="654" t="s">
        <v>57</v>
      </c>
      <c r="G4" s="654" t="s">
        <v>56</v>
      </c>
      <c r="H4" s="654" t="s">
        <v>55</v>
      </c>
      <c r="I4" s="654" t="s">
        <v>54</v>
      </c>
      <c r="J4" s="654" t="s">
        <v>53</v>
      </c>
      <c r="K4" s="654" t="s">
        <v>52</v>
      </c>
      <c r="L4" s="654" t="s">
        <v>51</v>
      </c>
      <c r="M4" s="654" t="s">
        <v>50</v>
      </c>
      <c r="N4" s="654" t="s">
        <v>49</v>
      </c>
      <c r="O4" s="654" t="s">
        <v>47</v>
      </c>
      <c r="P4" s="655" t="s">
        <v>77</v>
      </c>
    </row>
    <row r="5" spans="1:18" x14ac:dyDescent="0.25">
      <c r="A5" s="60" t="s">
        <v>304</v>
      </c>
      <c r="B5" s="309">
        <f>IFERROR(+GETPIVOTDATA("Unique Billed Hours",'County allocation'!$A$3,"County",A5,"HHA/CDPAP","HHA"),0)</f>
        <v>0</v>
      </c>
      <c r="C5" s="323">
        <v>1</v>
      </c>
      <c r="D5" s="17" t="s">
        <v>26</v>
      </c>
      <c r="E5" s="16"/>
      <c r="F5" s="656">
        <f ca="1">+G5+H5+I5</f>
        <v>160399597.7158902</v>
      </c>
      <c r="G5" s="656">
        <f ca="1">+SUMIF('TB Tagging'!$C:$C,G3,'TB Tagging'!$B:$B)*$E$3</f>
        <v>6423047.0745492876</v>
      </c>
      <c r="H5" s="656">
        <f>+SUMIF('TB Tagging'!$C:$C,H3,'TB Tagging'!$B:$B)*$E$3</f>
        <v>5530124.9443754954</v>
      </c>
      <c r="I5" s="656">
        <f ca="1">SUM(J5:P5)</f>
        <v>148446425.69696543</v>
      </c>
      <c r="J5" s="656">
        <f ca="1">J2+SUMIF('TB Tagging'!$C:$C,J3,'TB Tagging'!$B:$B)*$E$3</f>
        <v>29638150.596918046</v>
      </c>
      <c r="K5" s="656">
        <f ca="1">+SUMIF('TB Tagging'!$C:$C,K3,'TB Tagging'!$B:$B)*$E$3</f>
        <v>117980223.09213997</v>
      </c>
      <c r="L5" s="656">
        <f ca="1">M2*GETPIVOTDATA("Unique Visit Count",'County allocation'!$K$5,"Nursing override","Nursing")</f>
        <v>237608.41207918242</v>
      </c>
      <c r="M5" s="656">
        <f>+SUMIF('TB Tagging'!$C:$C,M3,'TB Tagging'!$B:$B)*$E$3</f>
        <v>544812.77344080817</v>
      </c>
      <c r="N5" s="656">
        <f>+SUMIF('TB Tagging'!$C:$C,N3,'TB Tagging'!$B:$B)*$E$3</f>
        <v>45630.822387427346</v>
      </c>
      <c r="O5" s="656">
        <f>+SUMIF('TB Tagging'!$C:$C,O3,'TB Tagging'!$B:$B)*$E$3</f>
        <v>0</v>
      </c>
      <c r="P5" s="656">
        <f>+SUMIF('TB Tagging'!$C:$C,P3,'TB Tagging'!$B:$B)*$E$3</f>
        <v>0</v>
      </c>
      <c r="Q5" s="44"/>
      <c r="R5" s="15"/>
    </row>
    <row r="6" spans="1:18" x14ac:dyDescent="0.25">
      <c r="A6" s="60" t="s">
        <v>305</v>
      </c>
      <c r="B6" s="309">
        <f>IFERROR(+GETPIVOTDATA("Unique Billed Hours",'County allocation'!$A$3,"County",A6,"HHA/CDPAP","HHA"),0)</f>
        <v>0.11142587660428063</v>
      </c>
      <c r="C6" s="323">
        <v>1</v>
      </c>
      <c r="D6" s="14" t="s">
        <v>34</v>
      </c>
      <c r="E6" s="12" t="s">
        <v>57</v>
      </c>
      <c r="F6" s="657">
        <f ca="1">+H6+G6+I6</f>
        <v>98833.618692769989</v>
      </c>
      <c r="G6" s="658">
        <f t="shared" ref="G6:G13" ca="1" si="0">SUMIF($D$22:$D$1048576,$D6,G$22:G$1048576)</f>
        <v>3315.5630316426946</v>
      </c>
      <c r="H6" s="658">
        <f t="shared" ref="H6:H13" si="1">SUMIF($D$22:$D$1048576,$D6,H$22:H$1048576)</f>
        <v>5671.5970398377049</v>
      </c>
      <c r="I6" s="657">
        <f ca="1">SUM(J6:P6)</f>
        <v>89846.458621289596</v>
      </c>
      <c r="J6" s="658">
        <f t="shared" ref="J6:P9" ca="1" si="2">SUMIF($D$22:$D$1048576,$D6,J$22:J$1048576)</f>
        <v>11808.532072987688</v>
      </c>
      <c r="K6" s="658">
        <f t="shared" ca="1" si="2"/>
        <v>76337.48220888857</v>
      </c>
      <c r="L6" s="658">
        <f t="shared" ca="1" si="2"/>
        <v>1094.8959686307869</v>
      </c>
      <c r="M6" s="658">
        <f t="shared" si="2"/>
        <v>558.7502170733685</v>
      </c>
      <c r="N6" s="658">
        <f t="shared" si="2"/>
        <v>46.798153709186899</v>
      </c>
      <c r="O6" s="658">
        <f t="shared" si="2"/>
        <v>0</v>
      </c>
      <c r="P6" s="658">
        <f t="shared" si="2"/>
        <v>0</v>
      </c>
    </row>
    <row r="7" spans="1:18" x14ac:dyDescent="0.25">
      <c r="A7" s="60" t="s">
        <v>306</v>
      </c>
      <c r="B7" s="309">
        <f>IFERROR(+GETPIVOTDATA("Unique Billed Hours",'County allocation'!$A$3,"County",A7,"HHA/CDPAP","HHA"),0)</f>
        <v>0</v>
      </c>
      <c r="C7" s="323">
        <v>1</v>
      </c>
      <c r="D7" s="14" t="s">
        <v>35</v>
      </c>
      <c r="E7" s="12" t="s">
        <v>56</v>
      </c>
      <c r="F7" s="657">
        <f t="shared" ref="F7:F17" ca="1" si="3">+H7+G7+I7</f>
        <v>84997789.297249913</v>
      </c>
      <c r="G7" s="658">
        <f t="shared" ca="1" si="0"/>
        <v>2851413.6352869631</v>
      </c>
      <c r="H7" s="658">
        <f t="shared" si="1"/>
        <v>4877623.7938791234</v>
      </c>
      <c r="I7" s="657">
        <f t="shared" ref="I7:I18" ca="1" si="4">SUM(J7:P7)</f>
        <v>77268751.868083835</v>
      </c>
      <c r="J7" s="658">
        <f t="shared" ca="1" si="2"/>
        <v>10155442.392225681</v>
      </c>
      <c r="K7" s="658">
        <f t="shared" ca="1" si="2"/>
        <v>65650912.251261428</v>
      </c>
      <c r="L7" s="658">
        <f t="shared" ca="1" si="2"/>
        <v>941620.25103403255</v>
      </c>
      <c r="M7" s="658">
        <f t="shared" si="2"/>
        <v>480530.14600455022</v>
      </c>
      <c r="N7" s="658">
        <f t="shared" si="2"/>
        <v>40246.82755812892</v>
      </c>
      <c r="O7" s="658">
        <f t="shared" si="2"/>
        <v>0</v>
      </c>
      <c r="P7" s="658">
        <f t="shared" si="2"/>
        <v>0</v>
      </c>
    </row>
    <row r="8" spans="1:18" x14ac:dyDescent="0.25">
      <c r="A8" s="60" t="s">
        <v>307</v>
      </c>
      <c r="B8" s="309">
        <f>IFERROR(+GETPIVOTDATA("Unique Billed Hours",'County allocation'!$A$3,"County",A8,"HHA/CDPAP","HHA"),0)</f>
        <v>0</v>
      </c>
      <c r="C8" s="323">
        <v>1</v>
      </c>
      <c r="D8" s="14" t="s">
        <v>36</v>
      </c>
      <c r="E8" s="12" t="s">
        <v>55</v>
      </c>
      <c r="F8" s="657">
        <f t="shared" ca="1" si="3"/>
        <v>60923.890951930276</v>
      </c>
      <c r="G8" s="658">
        <f t="shared" ca="1" si="0"/>
        <v>2043.808607392695</v>
      </c>
      <c r="H8" s="658">
        <f t="shared" si="1"/>
        <v>3496.1358710590243</v>
      </c>
      <c r="I8" s="657">
        <f t="shared" ca="1" si="4"/>
        <v>55383.946473478558</v>
      </c>
      <c r="J8" s="658">
        <f t="shared" ca="1" si="2"/>
        <v>7279.1194922593786</v>
      </c>
      <c r="K8" s="658">
        <f t="shared" ca="1" si="2"/>
        <v>47056.624083516072</v>
      </c>
      <c r="L8" s="658">
        <f t="shared" ca="1" si="2"/>
        <v>674.92543001918682</v>
      </c>
      <c r="M8" s="658">
        <f t="shared" si="2"/>
        <v>344.42973701250804</v>
      </c>
      <c r="N8" s="658">
        <f t="shared" si="2"/>
        <v>28.847730671413153</v>
      </c>
      <c r="O8" s="658">
        <f t="shared" si="2"/>
        <v>0</v>
      </c>
      <c r="P8" s="658">
        <f t="shared" si="2"/>
        <v>0</v>
      </c>
    </row>
    <row r="9" spans="1:18" x14ac:dyDescent="0.25">
      <c r="A9" s="60" t="s">
        <v>308</v>
      </c>
      <c r="B9" s="309">
        <f>IFERROR(+GETPIVOTDATA("Unique Billed Hours",'County allocation'!$A$3,"County",A9,"HHA/CDPAP","HHA"),0)</f>
        <v>0</v>
      </c>
      <c r="C9" s="323">
        <v>1</v>
      </c>
      <c r="D9" s="14" t="s">
        <v>37</v>
      </c>
      <c r="E9" s="12" t="s">
        <v>54</v>
      </c>
      <c r="F9" s="657">
        <f t="shared" ca="1" si="3"/>
        <v>9122656.0530036911</v>
      </c>
      <c r="G9" s="658">
        <f t="shared" ca="1" si="0"/>
        <v>306036.9696039788</v>
      </c>
      <c r="H9" s="658">
        <f t="shared" si="1"/>
        <v>523506.37111153553</v>
      </c>
      <c r="I9" s="657">
        <f t="shared" ca="1" si="4"/>
        <v>8293112.7122881766</v>
      </c>
      <c r="J9" s="658">
        <f t="shared" ca="1" si="2"/>
        <v>1089964.9129270399</v>
      </c>
      <c r="K9" s="658">
        <f t="shared" ca="1" si="2"/>
        <v>7046191.4008104913</v>
      </c>
      <c r="L9" s="658">
        <f t="shared" ca="1" si="2"/>
        <v>101062.36590090238</v>
      </c>
      <c r="M9" s="658">
        <f t="shared" si="2"/>
        <v>51574.414832939554</v>
      </c>
      <c r="N9" s="658">
        <f t="shared" si="2"/>
        <v>4319.6178168040879</v>
      </c>
      <c r="O9" s="658">
        <f t="shared" si="2"/>
        <v>0</v>
      </c>
      <c r="P9" s="658">
        <f t="shared" si="2"/>
        <v>0</v>
      </c>
    </row>
    <row r="10" spans="1:18" x14ac:dyDescent="0.25">
      <c r="A10" s="60" t="s">
        <v>309</v>
      </c>
      <c r="B10" s="309">
        <f>IFERROR(+GETPIVOTDATA("Unique Billed Hours",'County allocation'!$A$3,"County",A10,"HHA/CDPAP","HHA"),0)</f>
        <v>0</v>
      </c>
      <c r="C10" s="323">
        <v>1</v>
      </c>
      <c r="D10" s="14" t="s">
        <v>38</v>
      </c>
      <c r="E10" s="12" t="s">
        <v>53</v>
      </c>
      <c r="F10" s="657">
        <f t="shared" ca="1" si="3"/>
        <v>129558.65561327609</v>
      </c>
      <c r="G10" s="658">
        <f t="shared" ca="1" si="0"/>
        <v>0</v>
      </c>
      <c r="H10" s="658">
        <f t="shared" si="1"/>
        <v>0</v>
      </c>
      <c r="I10" s="657">
        <f t="shared" ca="1" si="4"/>
        <v>129558.65561327609</v>
      </c>
      <c r="J10" s="658">
        <f t="shared" ref="J10:J12" ca="1" si="5">SUMIF($D$22:$D$1048576,$D10,J$22:J$1048576)</f>
        <v>4969.2012795830542</v>
      </c>
      <c r="K10" s="658">
        <f t="shared" ref="K10:P13" ca="1" si="6">SUMIF($D$22:$D$1048576,$D10,K$22:K$1048576)</f>
        <v>0</v>
      </c>
      <c r="L10" s="658">
        <f t="shared" ca="1" si="6"/>
        <v>124589.45433369304</v>
      </c>
      <c r="M10" s="658">
        <f t="shared" si="6"/>
        <v>0</v>
      </c>
      <c r="N10" s="658">
        <f t="shared" si="6"/>
        <v>0</v>
      </c>
      <c r="O10" s="658">
        <f t="shared" si="6"/>
        <v>0</v>
      </c>
      <c r="P10" s="658">
        <f t="shared" si="6"/>
        <v>0</v>
      </c>
    </row>
    <row r="11" spans="1:18" x14ac:dyDescent="0.25">
      <c r="A11" s="60" t="s">
        <v>310</v>
      </c>
      <c r="B11" s="309">
        <f>IFERROR(+GETPIVOTDATA("Unique Billed Hours",'County allocation'!$A$3,"County",A11,"HHA/CDPAP","HHA"),0)</f>
        <v>0</v>
      </c>
      <c r="C11" s="323">
        <v>1</v>
      </c>
      <c r="D11" s="14" t="s">
        <v>39</v>
      </c>
      <c r="E11" s="12" t="s">
        <v>52</v>
      </c>
      <c r="F11" s="657">
        <f t="shared" ca="1" si="3"/>
        <v>134013.73039735889</v>
      </c>
      <c r="G11" s="658">
        <f t="shared" ca="1" si="0"/>
        <v>0</v>
      </c>
      <c r="H11" s="658">
        <f t="shared" si="1"/>
        <v>0</v>
      </c>
      <c r="I11" s="657">
        <f t="shared" ca="1" si="4"/>
        <v>134013.73039735889</v>
      </c>
      <c r="J11" s="658">
        <f t="shared" ca="1" si="5"/>
        <v>20994.772651869513</v>
      </c>
      <c r="K11" s="658">
        <f t="shared" ca="1" si="6"/>
        <v>0</v>
      </c>
      <c r="L11" s="658">
        <f t="shared" ca="1" si="6"/>
        <v>113018.95774548937</v>
      </c>
      <c r="M11" s="658">
        <f t="shared" si="6"/>
        <v>0</v>
      </c>
      <c r="N11" s="658">
        <f t="shared" si="6"/>
        <v>0</v>
      </c>
      <c r="O11" s="658">
        <f t="shared" si="6"/>
        <v>0</v>
      </c>
      <c r="P11" s="658">
        <f t="shared" si="6"/>
        <v>0</v>
      </c>
    </row>
    <row r="12" spans="1:18" x14ac:dyDescent="0.25">
      <c r="A12" s="60" t="s">
        <v>360</v>
      </c>
      <c r="B12" s="309">
        <f>IFERROR(+GETPIVOTDATA("Unique Billed Hours",'County allocation'!$A$3,"County",A12,"HHA/CDPAP","HHA"),0)</f>
        <v>0</v>
      </c>
      <c r="C12" s="323">
        <v>1</v>
      </c>
      <c r="D12" s="13" t="s">
        <v>40</v>
      </c>
      <c r="E12" s="12" t="s">
        <v>51</v>
      </c>
      <c r="F12" s="657">
        <f t="shared" ca="1" si="3"/>
        <v>0</v>
      </c>
      <c r="G12" s="658">
        <f t="shared" ca="1" si="0"/>
        <v>0</v>
      </c>
      <c r="H12" s="658">
        <f t="shared" si="1"/>
        <v>0</v>
      </c>
      <c r="I12" s="657">
        <f t="shared" ca="1" si="4"/>
        <v>0</v>
      </c>
      <c r="J12" s="658">
        <f t="shared" ca="1" si="5"/>
        <v>0</v>
      </c>
      <c r="K12" s="658">
        <f t="shared" ca="1" si="6"/>
        <v>0</v>
      </c>
      <c r="L12" s="658">
        <f t="shared" ca="1" si="6"/>
        <v>0</v>
      </c>
      <c r="M12" s="658" t="s">
        <v>153</v>
      </c>
      <c r="N12" s="658">
        <f t="shared" si="6"/>
        <v>0</v>
      </c>
      <c r="O12" s="658">
        <f t="shared" si="6"/>
        <v>0</v>
      </c>
      <c r="P12" s="658">
        <f t="shared" si="6"/>
        <v>0</v>
      </c>
    </row>
    <row r="13" spans="1:18" x14ac:dyDescent="0.25">
      <c r="A13" s="60" t="s">
        <v>311</v>
      </c>
      <c r="B13" s="309">
        <f>IFERROR(+GETPIVOTDATA("Unique Billed Hours",'County allocation'!$A$3,"County",A13,"HHA/CDPAP","HHA"),0)</f>
        <v>0</v>
      </c>
      <c r="C13" s="323">
        <v>1</v>
      </c>
      <c r="D13" s="13" t="s">
        <v>41</v>
      </c>
      <c r="E13" s="12" t="s">
        <v>50</v>
      </c>
      <c r="F13" s="657">
        <f t="shared" ca="1" si="3"/>
        <v>2088113.9010935586</v>
      </c>
      <c r="G13" s="658">
        <f t="shared" ca="1" si="0"/>
        <v>70049.780104140547</v>
      </c>
      <c r="H13" s="658">
        <f t="shared" si="1"/>
        <v>119827.04647393971</v>
      </c>
      <c r="I13" s="657">
        <f t="shared" ca="1" si="4"/>
        <v>1898237.0745154785</v>
      </c>
      <c r="J13" s="658">
        <f ca="1">SUMIF($D$22:$D$1048576,$D13,J$22:J$1048576)</f>
        <v>249485.55258068783</v>
      </c>
      <c r="K13" s="658">
        <f t="shared" ca="1" si="6"/>
        <v>1612825.2702187374</v>
      </c>
      <c r="L13" s="658">
        <f t="shared" ca="1" si="6"/>
        <v>23132.487938706734</v>
      </c>
      <c r="M13" s="658">
        <f t="shared" si="6"/>
        <v>11805.032649232486</v>
      </c>
      <c r="N13" s="658">
        <f t="shared" si="6"/>
        <v>988.73112811374517</v>
      </c>
      <c r="O13" s="658">
        <f t="shared" si="6"/>
        <v>0</v>
      </c>
      <c r="P13" s="658">
        <f t="shared" si="6"/>
        <v>0</v>
      </c>
    </row>
    <row r="14" spans="1:18" ht="15.75" thickBot="1" x14ac:dyDescent="0.3">
      <c r="A14" s="60" t="s">
        <v>312</v>
      </c>
      <c r="B14" s="309">
        <f>IFERROR(+GETPIVOTDATA("Unique Billed Hours",'County allocation'!$A$3,"County",A14,"HHA/CDPAP","HHA"),0)</f>
        <v>1.1018389345949667E-4</v>
      </c>
      <c r="C14" s="323">
        <v>1</v>
      </c>
      <c r="D14" s="52" t="s">
        <v>389</v>
      </c>
      <c r="E14" s="48" t="s">
        <v>49</v>
      </c>
      <c r="F14" s="657">
        <f t="shared" ca="1" si="3"/>
        <v>96631889.147002488</v>
      </c>
      <c r="G14" s="657">
        <f t="shared" ref="G14" ca="1" si="7">SUM(G6:G13)</f>
        <v>3232859.756634118</v>
      </c>
      <c r="H14" s="657">
        <f t="shared" ref="H14:P14" si="8">SUM(H6:H13)</f>
        <v>5530124.9443754954</v>
      </c>
      <c r="I14" s="657">
        <f t="shared" ca="1" si="4"/>
        <v>87868904.445992872</v>
      </c>
      <c r="J14" s="657">
        <f t="shared" ca="1" si="8"/>
        <v>11539944.483230108</v>
      </c>
      <c r="K14" s="657">
        <f t="shared" ca="1" si="8"/>
        <v>74433323.02858305</v>
      </c>
      <c r="L14" s="657">
        <f t="shared" ca="1" si="8"/>
        <v>1305193.3383514741</v>
      </c>
      <c r="M14" s="657">
        <f t="shared" si="8"/>
        <v>544812.77344080817</v>
      </c>
      <c r="N14" s="657">
        <f t="shared" si="8"/>
        <v>45630.822387427346</v>
      </c>
      <c r="O14" s="657">
        <f t="shared" si="8"/>
        <v>0</v>
      </c>
      <c r="P14" s="657">
        <f t="shared" si="8"/>
        <v>0</v>
      </c>
    </row>
    <row r="15" spans="1:18" x14ac:dyDescent="0.25">
      <c r="A15" s="60" t="s">
        <v>313</v>
      </c>
      <c r="B15" s="309">
        <f>IFERROR(+GETPIVOTDATA("Unique Billed Hours",'County allocation'!$A$3,"County",A15,"HHA/CDPAP","HHA"),0)</f>
        <v>0</v>
      </c>
      <c r="C15" s="323">
        <v>1</v>
      </c>
      <c r="D15" s="8" t="s">
        <v>390</v>
      </c>
      <c r="E15" s="370" t="s">
        <v>47</v>
      </c>
      <c r="F15" s="657">
        <f t="shared" ca="1" si="3"/>
        <v>77737396.334709138</v>
      </c>
      <c r="G15" s="658">
        <f ca="1">SUMIF($D$22:$D$1048576,$D15,$G$22:$G$1048576)</f>
        <v>77737396.334709138</v>
      </c>
      <c r="H15" s="659"/>
      <c r="I15" s="657">
        <f t="shared" si="4"/>
        <v>0</v>
      </c>
      <c r="J15" s="659"/>
      <c r="K15" s="659"/>
      <c r="L15" s="659"/>
      <c r="M15" s="659"/>
      <c r="N15" s="659"/>
      <c r="O15" s="659"/>
      <c r="P15" s="659"/>
    </row>
    <row r="16" spans="1:18" x14ac:dyDescent="0.25">
      <c r="A16" s="60" t="s">
        <v>314</v>
      </c>
      <c r="B16" s="309">
        <f>IFERROR(+GETPIVOTDATA("Unique Billed Hours",'County allocation'!$A$3,"County",A16,"HHA/CDPAP","HHA"),0)</f>
        <v>0</v>
      </c>
      <c r="C16" s="323">
        <v>1</v>
      </c>
      <c r="D16" s="8" t="s">
        <v>391</v>
      </c>
      <c r="E16" s="370" t="s">
        <v>77</v>
      </c>
      <c r="F16" s="657">
        <f t="shared" ca="1" si="3"/>
        <v>43546900.063556932</v>
      </c>
      <c r="G16" s="659"/>
      <c r="H16" s="659"/>
      <c r="I16" s="657">
        <f t="shared" ca="1" si="4"/>
        <v>43546900.063556932</v>
      </c>
      <c r="J16" s="659"/>
      <c r="K16" s="658">
        <f t="shared" ref="K16" ca="1" si="9">SUMIF($D$22:$D$1048576,$D16,K$22:K$1048576)</f>
        <v>43546900.063556932</v>
      </c>
      <c r="L16" s="659"/>
      <c r="M16" s="659"/>
      <c r="N16" s="659"/>
      <c r="O16" s="659"/>
      <c r="P16" s="659"/>
    </row>
    <row r="17" spans="1:18" ht="15.75" thickBot="1" x14ac:dyDescent="0.3">
      <c r="A17" s="60" t="s">
        <v>315</v>
      </c>
      <c r="B17" s="309">
        <f>IFERROR(+GETPIVOTDATA("Unique Billed Hours",'County allocation'!$A$3,"County",A17,"HHA/CDPAP","HHA"),0)</f>
        <v>0</v>
      </c>
      <c r="C17" s="323">
        <v>1</v>
      </c>
      <c r="D17" s="8" t="s">
        <v>374</v>
      </c>
      <c r="E17" s="370" t="s">
        <v>78</v>
      </c>
      <c r="F17" s="657">
        <f t="shared" ca="1" si="3"/>
        <v>364250.90694257524</v>
      </c>
      <c r="G17" s="658">
        <f ca="1">SUMIF($D$22:$D$1048576,$D$17,$G$22:$G$1048576)</f>
        <v>364250.90694257524</v>
      </c>
      <c r="H17" s="660"/>
      <c r="I17" s="657">
        <f t="shared" si="4"/>
        <v>0</v>
      </c>
      <c r="J17" s="659"/>
      <c r="K17" s="659"/>
      <c r="L17" s="659"/>
      <c r="M17" s="659"/>
      <c r="N17" s="659"/>
      <c r="O17" s="659"/>
      <c r="P17" s="659"/>
    </row>
    <row r="18" spans="1:18" ht="15.75" thickBot="1" x14ac:dyDescent="0.3">
      <c r="A18" s="60" t="s">
        <v>316</v>
      </c>
      <c r="B18" s="309">
        <f>IFERROR(+GETPIVOTDATA("Unique Billed Hours",'County allocation'!$A$3,"County",A18,"HHA/CDPAP","HHA"),0)</f>
        <v>0</v>
      </c>
      <c r="C18" s="323">
        <v>1</v>
      </c>
      <c r="D18" s="52" t="s">
        <v>48</v>
      </c>
      <c r="E18" s="53" t="s">
        <v>79</v>
      </c>
      <c r="F18" s="661">
        <f ca="1">+H18+G18+I18</f>
        <v>218280436.45221114</v>
      </c>
      <c r="G18" s="662">
        <f t="shared" ref="G18" ca="1" si="10">SUM(G14:G17)</f>
        <v>81334506.99828583</v>
      </c>
      <c r="H18" s="662">
        <f t="shared" ref="H18:P18" si="11">SUM(H14:H17)</f>
        <v>5530124.9443754954</v>
      </c>
      <c r="I18" s="661">
        <f t="shared" ca="1" si="4"/>
        <v>131415804.50954981</v>
      </c>
      <c r="J18" s="662">
        <f t="shared" ca="1" si="11"/>
        <v>11539944.483230108</v>
      </c>
      <c r="K18" s="662">
        <f t="shared" ca="1" si="11"/>
        <v>117980223.09213999</v>
      </c>
      <c r="L18" s="662">
        <f t="shared" ca="1" si="11"/>
        <v>1305193.3383514741</v>
      </c>
      <c r="M18" s="662">
        <f t="shared" si="11"/>
        <v>544812.77344080817</v>
      </c>
      <c r="N18" s="662">
        <f t="shared" si="11"/>
        <v>45630.822387427346</v>
      </c>
      <c r="O18" s="662">
        <f t="shared" si="11"/>
        <v>0</v>
      </c>
      <c r="P18" s="662">
        <f t="shared" si="11"/>
        <v>0</v>
      </c>
    </row>
    <row r="19" spans="1:18" x14ac:dyDescent="0.25">
      <c r="A19" s="60" t="s">
        <v>317</v>
      </c>
      <c r="B19" s="309">
        <f>IFERROR(+GETPIVOTDATA("Unique Billed Hours",'County allocation'!$A$3,"County",A19,"HHA/CDPAP","HHA"),0)</f>
        <v>0</v>
      </c>
      <c r="C19" s="323">
        <v>1</v>
      </c>
      <c r="D19" s="544">
        <f ca="1">-G19/G5</f>
        <v>-2.8176978782236173</v>
      </c>
      <c r="F19" s="648">
        <f ca="1">F18-F5-G2</f>
        <v>1067584.9262723401</v>
      </c>
      <c r="G19" s="648">
        <f ca="1">G18-G5-G2</f>
        <v>18098206.11368794</v>
      </c>
      <c r="H19" s="648">
        <f t="shared" ref="H19:P19" si="12">H18-H5</f>
        <v>0</v>
      </c>
      <c r="I19" s="648">
        <f t="shared" ca="1" si="12"/>
        <v>-17030621.187415615</v>
      </c>
      <c r="J19" s="648">
        <f t="shared" ca="1" si="12"/>
        <v>-18098206.11368794</v>
      </c>
      <c r="K19" s="648">
        <f t="shared" ca="1" si="12"/>
        <v>0</v>
      </c>
      <c r="L19" s="648">
        <f ca="1">L18-L5</f>
        <v>1067584.9262722917</v>
      </c>
      <c r="M19" s="648">
        <f t="shared" si="12"/>
        <v>0</v>
      </c>
      <c r="N19" s="648">
        <f t="shared" si="12"/>
        <v>0</v>
      </c>
      <c r="O19" s="648">
        <f t="shared" si="12"/>
        <v>0</v>
      </c>
      <c r="P19" s="648">
        <f t="shared" si="12"/>
        <v>0</v>
      </c>
    </row>
    <row r="20" spans="1:18" ht="15.75" thickBot="1" x14ac:dyDescent="0.3">
      <c r="A20" s="60" t="s">
        <v>318</v>
      </c>
      <c r="B20" s="309">
        <f>IFERROR(+GETPIVOTDATA("Unique Billed Hours",'County allocation'!$A$3,"County",A20,"HHA/CDPAP","HHA"),0)</f>
        <v>0</v>
      </c>
      <c r="C20" s="323">
        <v>1</v>
      </c>
      <c r="F20" s="799">
        <f ca="1">F19/F5</f>
        <v>6.6557830660106346E-3</v>
      </c>
      <c r="G20" s="648">
        <f ca="1">G19/G5</f>
        <v>2.8176978782236173</v>
      </c>
      <c r="I20" s="648">
        <f ca="1">I19-L2</f>
        <v>-18098206.113687906</v>
      </c>
      <c r="L20" s="648">
        <f ca="1">L19-L2</f>
        <v>0</v>
      </c>
    </row>
    <row r="21" spans="1:18" ht="15.75" hidden="1" thickBot="1" x14ac:dyDescent="0.3">
      <c r="A21" s="119" t="s">
        <v>319</v>
      </c>
      <c r="B21" s="309">
        <f>IFERROR(+GETPIVOTDATA("Unique Billed Hours",'County allocation'!$A$3,"County",A21,"HHA/CDPAP","HHA"),0)</f>
        <v>0</v>
      </c>
    </row>
    <row r="22" spans="1:18" s="54" customFormat="1" ht="75" x14ac:dyDescent="0.25">
      <c r="A22" s="119" t="s">
        <v>320</v>
      </c>
      <c r="B22" s="309">
        <f>IFERROR(+GETPIVOTDATA("Unique Billed Hours",'County allocation'!$A$3,"County",A22,"HHA/CDPAP","HHA"),0)</f>
        <v>0</v>
      </c>
      <c r="C22" s="322">
        <f ca="1">IF(F37&gt;0,1,0)</f>
        <v>1</v>
      </c>
      <c r="D22" s="45" t="str">
        <f>A4</f>
        <v>Albany</v>
      </c>
      <c r="E22" s="28">
        <f>+SUMIF(A:A,D22,B:B)</f>
        <v>1.0414062357525667E-2</v>
      </c>
      <c r="F22" s="652" t="s">
        <v>61</v>
      </c>
      <c r="G22" s="652" t="s">
        <v>387</v>
      </c>
      <c r="H22" s="652" t="s">
        <v>388</v>
      </c>
      <c r="I22" s="652" t="s">
        <v>392</v>
      </c>
      <c r="J22" s="652" t="s">
        <v>31</v>
      </c>
      <c r="K22" s="652" t="s">
        <v>32</v>
      </c>
      <c r="L22" s="653" t="s">
        <v>33</v>
      </c>
      <c r="M22" s="653" t="s">
        <v>60</v>
      </c>
      <c r="N22" s="653" t="s">
        <v>59</v>
      </c>
      <c r="O22" s="653" t="s">
        <v>58</v>
      </c>
      <c r="P22" s="653" t="s">
        <v>16</v>
      </c>
    </row>
    <row r="23" spans="1:18" s="54" customFormat="1" x14ac:dyDescent="0.25">
      <c r="A23" s="119" t="s">
        <v>321</v>
      </c>
      <c r="B23" s="309">
        <f>IFERROR(+GETPIVOTDATA("Unique Billed Hours",'County allocation'!$A$3,"County",A23,"HHA/CDPAP","HHA"),0)</f>
        <v>0</v>
      </c>
      <c r="C23" s="322">
        <f ca="1">C22</f>
        <v>1</v>
      </c>
      <c r="D23" s="56"/>
      <c r="E23" s="57"/>
      <c r="F23" s="654" t="s">
        <v>57</v>
      </c>
      <c r="G23" s="654" t="s">
        <v>56</v>
      </c>
      <c r="H23" s="654" t="s">
        <v>55</v>
      </c>
      <c r="I23" s="654" t="s">
        <v>54</v>
      </c>
      <c r="J23" s="654" t="s">
        <v>53</v>
      </c>
      <c r="K23" s="654" t="s">
        <v>52</v>
      </c>
      <c r="L23" s="654" t="s">
        <v>51</v>
      </c>
      <c r="M23" s="654" t="s">
        <v>50</v>
      </c>
      <c r="N23" s="654" t="s">
        <v>49</v>
      </c>
      <c r="O23" s="654" t="s">
        <v>47</v>
      </c>
      <c r="P23" s="655" t="s">
        <v>77</v>
      </c>
    </row>
    <row r="24" spans="1:18" s="54" customFormat="1" x14ac:dyDescent="0.25">
      <c r="A24" s="119" t="s">
        <v>322</v>
      </c>
      <c r="B24" s="309">
        <f>IFERROR(+GETPIVOTDATA("Unique Billed Hours",'County allocation'!$A$3,"County",A24,"HHA/CDPAP","HHA"),0)</f>
        <v>0</v>
      </c>
      <c r="C24" s="322">
        <f t="shared" ref="C24:C36" ca="1" si="13">C23</f>
        <v>1</v>
      </c>
      <c r="D24" s="59" t="s">
        <v>26</v>
      </c>
      <c r="E24" s="57"/>
      <c r="F24" s="656"/>
      <c r="G24" s="656"/>
      <c r="H24" s="656"/>
      <c r="I24" s="656"/>
      <c r="J24" s="656"/>
      <c r="K24" s="656"/>
      <c r="L24" s="656"/>
      <c r="M24" s="656"/>
      <c r="N24" s="656"/>
      <c r="O24" s="656"/>
      <c r="P24" s="663"/>
    </row>
    <row r="25" spans="1:18" s="54" customFormat="1" x14ac:dyDescent="0.25">
      <c r="A25" s="119" t="s">
        <v>323</v>
      </c>
      <c r="B25" s="309">
        <f>IFERROR(+GETPIVOTDATA("Unique Billed Hours",'County allocation'!$A$3,"County",A25,"HHA/CDPAP","HHA"),0)</f>
        <v>0</v>
      </c>
      <c r="C25" s="322">
        <f t="shared" ca="1" si="13"/>
        <v>1</v>
      </c>
      <c r="D25" s="7" t="s">
        <v>34</v>
      </c>
      <c r="E25" s="48" t="s">
        <v>57</v>
      </c>
      <c r="F25" s="657">
        <f ca="1">+H25+G25+I25</f>
        <v>20958.712909352642</v>
      </c>
      <c r="G25" s="658">
        <f ca="1">+IFERROR(G$5*GETPIVOTDATA("Unique Billed Hours",'County allocation'!$A$3,"County",$D22,"HHA/CDPAP","HHA","Level of Service",$D25),0)</f>
        <v>703.10016603839597</v>
      </c>
      <c r="H25" s="658">
        <f>+IFERROR(H$5*GETPIVOTDATA("Unique Billed Hours",'County allocation'!$S$3,"County",$D22,"HHA/CDPAP","HHA","Level of Service",$D25),0)</f>
        <v>1202.722066314348</v>
      </c>
      <c r="I25" s="664">
        <f ca="1">SUM(J25:P25)</f>
        <v>19052.890676999898</v>
      </c>
      <c r="J25" s="658">
        <f ca="1">+IFERROR(J$5*GETPIVOTDATA("Unique Billed Hours",'County allocation'!$AC$3,"County",$D22,"HHA/CDPAP","HHA","Level of Service",$D25),0)</f>
        <v>2504.1239698808736</v>
      </c>
      <c r="K25" s="658">
        <f ca="1">+IFERROR(K$5*GETPIVOTDATA("Unique Billed Hours",'County allocation'!$X$3,"County",$D22,"HHA/CDPAP","HHA","Level of Service",$D25),0)</f>
        <v>16188.169521672597</v>
      </c>
      <c r="L25" s="658">
        <f ca="1">+IFERROR(L$2*GETPIVOTDATA("Unique Billed Hours",'County allocation'!$O$3,"County",$D22,"HHA/CDPAP","HHA","Level of Service",$D25),0)</f>
        <v>232.18425648740234</v>
      </c>
      <c r="M25" s="658">
        <f>+IFERROR(M$5*GETPIVOTDATA("Unique Billed Hours",'County allocation'!$S$3,"County",$D22,"HHA/CDPAP","HHA","Level of Service",$D25),0)</f>
        <v>118.48888609535321</v>
      </c>
      <c r="N25" s="658">
        <f>+IFERROR(N$5*GETPIVOTDATA("Unique Billed Hours",'County allocation'!$S$3,"County",$D22,"HHA/CDPAP","HHA","Level of Service",$D25),0)</f>
        <v>9.9240428636693743</v>
      </c>
      <c r="O25" s="658">
        <f>+IFERROR(O$5*GETPIVOTDATA("Unique Billed Hours",'County allocation'!$K$19,"County",$D22,"HHA/CDPAP","HHA","Level of Service",$D25),0)</f>
        <v>0</v>
      </c>
      <c r="P25" s="658">
        <f>+IFERROR(P$5*GETPIVOTDATA("Unique Billed Hours",'County allocation'!$S$3,"County",$D22,"HHA/CDPAP","HHA","Level of Service",$D25),0)</f>
        <v>0</v>
      </c>
    </row>
    <row r="26" spans="1:18" s="54" customFormat="1" x14ac:dyDescent="0.25">
      <c r="A26" s="119" t="s">
        <v>324</v>
      </c>
      <c r="B26" s="309">
        <f>IFERROR(+GETPIVOTDATA("Unique Billed Hours",'County allocation'!$A$3,"County",A26,"HHA/CDPAP","HHA"),0)</f>
        <v>0</v>
      </c>
      <c r="C26" s="322">
        <f t="shared" ca="1" si="13"/>
        <v>1</v>
      </c>
      <c r="D26" s="7" t="s">
        <v>35</v>
      </c>
      <c r="E26" s="48" t="s">
        <v>56</v>
      </c>
      <c r="F26" s="657">
        <f t="shared" ref="F26:F37" ca="1" si="14">+H26+G26+I26</f>
        <v>1955730.8613669826</v>
      </c>
      <c r="G26" s="658">
        <f ca="1">+IFERROR(G$5*GETPIVOTDATA("Unique Billed Hours",'County allocation'!$A$3,"County",$D22,"HHA/CDPAP","HHA","Level of Service",$D26),0)</f>
        <v>65608.737487879131</v>
      </c>
      <c r="H26" s="658">
        <f>+IFERROR(H$5*GETPIVOTDATA("Unique Billed Hours",'County allocation'!$S$3,"County",$D22,"HHA/CDPAP","HHA","Level of Service",$D26),0)</f>
        <v>112230.20578178675</v>
      </c>
      <c r="I26" s="664">
        <f t="shared" ref="I26:I36" ca="1" si="15">SUM(J26:P26)</f>
        <v>1777891.9180973168</v>
      </c>
      <c r="J26" s="658">
        <f ca="1">+IFERROR(J$5*GETPIVOTDATA("Unique Billed Hours",'County allocation'!$AC$3,"County",$D22,"HHA/CDPAP","HHA","Level of Service",$D26),0)</f>
        <v>233668.57257725071</v>
      </c>
      <c r="K26" s="658">
        <f ca="1">+IFERROR(K$5*GETPIVOTDATA("Unique Billed Hours",'County allocation'!$X$3,"County",$D22,"HHA/CDPAP","HHA","Level of Service",$D26),0)</f>
        <v>1510574.7599819272</v>
      </c>
      <c r="L26" s="658">
        <f ca="1">+IFERROR(L$2*GETPIVOTDATA("Unique Billed Hours",'County allocation'!$O$3,"County",$D22,"HHA/CDPAP","HHA","Level of Service",$D26),0)</f>
        <v>21665.925665374529</v>
      </c>
      <c r="M26" s="658">
        <f>+IFERROR(M$5*GETPIVOTDATA("Unique Billed Hours",'County allocation'!$S$3,"County",$D22,"HHA/CDPAP","HHA","Level of Service",$D26),0)</f>
        <v>11056.612696969141</v>
      </c>
      <c r="N26" s="658">
        <f>+IFERROR(N$5*GETPIVOTDATA("Unique Billed Hours",'County allocation'!$S$3,"County",$D22,"HHA/CDPAP","HHA","Level of Service",$D26),0)</f>
        <v>926.0471757951309</v>
      </c>
      <c r="O26" s="658">
        <f>+IFERROR(O$5*GETPIVOTDATA("Unique Billed Hours",'County allocation'!$K$19,"County",$D22,"HHA/CDPAP","HHA","Level of Service",$D26),0)</f>
        <v>0</v>
      </c>
      <c r="P26" s="658">
        <f>+IFERROR(P$5*GETPIVOTDATA("Unique Billed Hours",'County allocation'!$S$3,"County",$D22,"HHA/CDPAP","HHA","Level of Service",$D26),0)</f>
        <v>0</v>
      </c>
      <c r="R26" s="61"/>
    </row>
    <row r="27" spans="1:18" s="54" customFormat="1" x14ac:dyDescent="0.25">
      <c r="A27" s="119" t="s">
        <v>365</v>
      </c>
      <c r="B27" s="309">
        <f>IFERROR(+GETPIVOTDATA("Unique Billed Hours",'County allocation'!$A$3,"County",A27,"HHA/CDPAP","HHA"),0)</f>
        <v>0.29256738892740358</v>
      </c>
      <c r="C27" s="322">
        <f t="shared" ca="1" si="13"/>
        <v>1</v>
      </c>
      <c r="D27" s="7" t="s">
        <v>36</v>
      </c>
      <c r="E27" s="48" t="s">
        <v>55</v>
      </c>
      <c r="F27" s="657">
        <f t="shared" ca="1" si="14"/>
        <v>0</v>
      </c>
      <c r="G27" s="658">
        <f ca="1">+IFERROR(G$5*GETPIVOTDATA("Unique Billed Hours",'County allocation'!$A$3,"County",$D22,"HHA/CDPAP","HHA","Level of Service",$D27),0)</f>
        <v>0</v>
      </c>
      <c r="H27" s="658">
        <f>+IFERROR(H$5*GETPIVOTDATA("Unique Billed Hours",'County allocation'!$S$3,"County",$D22,"HHA/CDPAP","HHA","Level of Service",$D27),0)</f>
        <v>0</v>
      </c>
      <c r="I27" s="664">
        <f t="shared" ca="1" si="15"/>
        <v>0</v>
      </c>
      <c r="J27" s="658">
        <f ca="1">+IFERROR(J$5*GETPIVOTDATA("Unique Billed Hours",'County allocation'!$AC$3,"County",$D22,"HHA/CDPAP","HHA","Level of Service",$D27),0)</f>
        <v>0</v>
      </c>
      <c r="K27" s="658">
        <f ca="1">+IFERROR(K$5*GETPIVOTDATA("Unique Billed Hours",'County allocation'!$X$3,"County",$D22,"HHA/CDPAP","HHA","Level of Service",$D27),0)</f>
        <v>0</v>
      </c>
      <c r="L27" s="658">
        <f ca="1">+IFERROR(L$2*GETPIVOTDATA("Unique Billed Hours",'County allocation'!$O$3,"County",$D22,"HHA/CDPAP","HHA","Level of Service",$D27),0)</f>
        <v>0</v>
      </c>
      <c r="M27" s="658">
        <f>+IFERROR(M$5*GETPIVOTDATA("Unique Billed Hours",'County allocation'!$S$3,"County",$D22,"HHA/CDPAP","HHA","Level of Service",$D27),0)</f>
        <v>0</v>
      </c>
      <c r="N27" s="658">
        <f>+IFERROR(N$5*GETPIVOTDATA("Unique Billed Hours",'County allocation'!$S$3,"County",$D22,"HHA/CDPAP","HHA","Level of Service",$D27),0)</f>
        <v>0</v>
      </c>
      <c r="O27" s="658">
        <f>+IFERROR(O$5*GETPIVOTDATA("Unique Billed Hours",'County allocation'!$K$19,"County",$D22,"HHA/CDPAP","HHA","Level of Service",$D27),0)</f>
        <v>0</v>
      </c>
      <c r="P27" s="658">
        <f>+IFERROR(P$5*GETPIVOTDATA("Unique Billed Hours",'County allocation'!$S$3,"County",$D22,"HHA/CDPAP","HHA","Level of Service",$D27),0)</f>
        <v>0</v>
      </c>
    </row>
    <row r="28" spans="1:18" s="54" customFormat="1" x14ac:dyDescent="0.25">
      <c r="A28" s="119" t="s">
        <v>325</v>
      </c>
      <c r="B28" s="309">
        <f>IFERROR(+GETPIVOTDATA("Unique Billed Hours",'County allocation'!$A$3,"County",A28,"HHA/CDPAP","HHA"),0)</f>
        <v>0</v>
      </c>
      <c r="C28" s="322">
        <f t="shared" ca="1" si="13"/>
        <v>1</v>
      </c>
      <c r="D28" s="7" t="s">
        <v>37</v>
      </c>
      <c r="E28" s="48" t="s">
        <v>54</v>
      </c>
      <c r="F28" s="657">
        <f t="shared" ca="1" si="14"/>
        <v>0</v>
      </c>
      <c r="G28" s="658">
        <f ca="1">+IFERROR(G$5*GETPIVOTDATA("Unique Billed Hours",'County allocation'!$A$3,"County",$D22,"HHA/CDPAP","HHA","Level of Service",$D28),0)</f>
        <v>0</v>
      </c>
      <c r="H28" s="658">
        <f>+IFERROR(H$5*GETPIVOTDATA("Unique Billed Hours",'County allocation'!$S$3,"County",$D22,"HHA/CDPAP","HHA","Level of Service",$D28),0)</f>
        <v>0</v>
      </c>
      <c r="I28" s="664">
        <f t="shared" ca="1" si="15"/>
        <v>0</v>
      </c>
      <c r="J28" s="658">
        <f ca="1">+IFERROR(J$5*GETPIVOTDATA("Unique Billed Hours",'County allocation'!$AC$3,"County",$D22,"HHA/CDPAP","HHA","Level of Service",$D28),0)</f>
        <v>0</v>
      </c>
      <c r="K28" s="658">
        <f ca="1">+IFERROR(K$5*GETPIVOTDATA("Unique Billed Hours",'County allocation'!$X$3,"County",$D22,"HHA/CDPAP","HHA","Level of Service",$D28),0)</f>
        <v>0</v>
      </c>
      <c r="L28" s="658">
        <f ca="1">+IFERROR(L$2*GETPIVOTDATA("Unique Billed Hours",'County allocation'!$O$3,"County",$D22,"HHA/CDPAP","HHA","Level of Service",$D28),0)</f>
        <v>0</v>
      </c>
      <c r="M28" s="658">
        <f>+IFERROR(M$5*GETPIVOTDATA("Unique Billed Hours",'County allocation'!$S$3,"County",$D22,"HHA/CDPAP","HHA","Level of Service",$D28),0)</f>
        <v>0</v>
      </c>
      <c r="N28" s="658">
        <f>+IFERROR(N$5*GETPIVOTDATA("Unique Billed Hours",'County allocation'!$S$3,"County",$D22,"HHA/CDPAP","HHA","Level of Service",$D28),0)</f>
        <v>0</v>
      </c>
      <c r="O28" s="658">
        <f>+IFERROR(O$5*GETPIVOTDATA("Unique Billed Hours",'County allocation'!$K$19,"County",$D22,"HHA/CDPAP","HHA","Level of Service",$D28),0)</f>
        <v>0</v>
      </c>
      <c r="P28" s="658">
        <f>+IFERROR(P$5*GETPIVOTDATA("Unique Billed Hours",'County allocation'!$S$3,"County",$D22,"HHA/CDPAP","HHA","Level of Service",$D28),0)</f>
        <v>0</v>
      </c>
    </row>
    <row r="29" spans="1:18" s="54" customFormat="1" x14ac:dyDescent="0.25">
      <c r="A29" s="119" t="s">
        <v>326</v>
      </c>
      <c r="B29" s="309">
        <f>IFERROR(+GETPIVOTDATA("Unique Billed Hours",'County allocation'!$A$3,"County",A29,"HHA/CDPAP","HHA"),0)</f>
        <v>0</v>
      </c>
      <c r="C29" s="322">
        <f t="shared" ca="1" si="13"/>
        <v>1</v>
      </c>
      <c r="D29" s="7" t="s">
        <v>38</v>
      </c>
      <c r="E29" s="48" t="s">
        <v>53</v>
      </c>
      <c r="F29" s="657">
        <f t="shared" ca="1" si="14"/>
        <v>421.45237051857742</v>
      </c>
      <c r="G29" s="658">
        <f ca="1">+IFERROR(G$5*GETPIVOTDATA("Unique Billed Hours",'County allocation'!$A$3,"County",$D22,"HHA/CDPAP","HHA","Level of Service",$D29),0)</f>
        <v>0</v>
      </c>
      <c r="H29" s="658">
        <f>+IFERROR(H$5*GETPIVOTDATA("Unique Billed Hours",'County allocation'!$S$3,"County",$D22,"HHA/CDPAP","HHA","Level of Service",$D29),0)</f>
        <v>0</v>
      </c>
      <c r="I29" s="664">
        <f t="shared" ca="1" si="15"/>
        <v>421.45237051857742</v>
      </c>
      <c r="J29" s="658">
        <f ca="1">+IFERROR(J$5*GETPIVOTDATA("Unique Billed Hours",'County allocation'!$AC$3,"County",$D22,"HHA/CDPAP","HHA","Level of Service",$D29),0)</f>
        <v>8.2203495113036471</v>
      </c>
      <c r="K29" s="658">
        <f ca="1">+IFERROR(K$5*GETPIVOTDATA("Unique Billed Hours",'County allocation'!$X$3,"County",$D22,"HHA/CDPAP","HHA","Level of Service",$D29),0)</f>
        <v>0</v>
      </c>
      <c r="L29" s="658">
        <f ca="1">+IFERROR(L$5*GETPIVOTDATA("Unique Billed Hours",'County allocation'!$K$19,"County",$D22,"HHA/CDPAP","HHA","Level of Service",$D29),0)</f>
        <v>413.23202100727377</v>
      </c>
      <c r="M29" s="658">
        <f>+IFERROR(M$5*GETPIVOTDATA("Unique Billed Hours",'County allocation'!$S$3,"County",$D22,"HHA/CDPAP","HHA","Level of Service",$D29),0)</f>
        <v>0</v>
      </c>
      <c r="N29" s="658">
        <f>+IFERROR(N$5*GETPIVOTDATA("Unique Billed Hours",'County allocation'!$S$3,"County",$D22,"HHA/CDPAP","HHA","Level of Service",$D29),0)</f>
        <v>0</v>
      </c>
      <c r="O29" s="658">
        <f>+IFERROR(O$5*GETPIVOTDATA("Unique Billed Hours",'County allocation'!$K$19,"County",$D22,"HHA/CDPAP","HHA","Level of Service",$D29),0)</f>
        <v>0</v>
      </c>
      <c r="P29" s="658">
        <f>+IFERROR(P$5*GETPIVOTDATA("Unique Billed Hours",'County allocation'!$S$3,"County",$D22,"HHA/CDPAP","HHA","Level of Service",$D29),0)</f>
        <v>0</v>
      </c>
    </row>
    <row r="30" spans="1:18" s="54" customFormat="1" x14ac:dyDescent="0.25">
      <c r="A30" s="119" t="s">
        <v>327</v>
      </c>
      <c r="B30" s="309">
        <f>IFERROR(+GETPIVOTDATA("Unique Billed Hours",'County allocation'!$A$3,"County",A30,"HHA/CDPAP","HHA"),0)</f>
        <v>0</v>
      </c>
      <c r="C30" s="322">
        <f t="shared" ca="1" si="13"/>
        <v>1</v>
      </c>
      <c r="D30" s="7" t="s">
        <v>39</v>
      </c>
      <c r="E30" s="48" t="s">
        <v>52</v>
      </c>
      <c r="F30" s="657">
        <f t="shared" ca="1" si="14"/>
        <v>5371.6973569660277</v>
      </c>
      <c r="G30" s="658">
        <f ca="1">+IFERROR(G$5*GETPIVOTDATA("Unique Billed Hours",'County allocation'!$A$3,"County",$D22,"HHA/CDPAP","HHA","Level of Service",$D30),0)</f>
        <v>0</v>
      </c>
      <c r="H30" s="658">
        <f>+IFERROR(H$5*GETPIVOTDATA("Unique Billed Hours",'County allocation'!$S$3,"County",$D22,"HHA/CDPAP","HHA","Level of Service",$D30),0)</f>
        <v>0</v>
      </c>
      <c r="I30" s="664">
        <f t="shared" ca="1" si="15"/>
        <v>5371.6973569660277</v>
      </c>
      <c r="J30" s="658">
        <f ca="1">+IFERROR(J$5*GETPIVOTDATA("Unique Billed Hours",'County allocation'!$AC$3,"County",$D22,"HHA/CDPAP","HHA","Level of Service",$D30),0)</f>
        <v>826.14512588601656</v>
      </c>
      <c r="K30" s="658">
        <f ca="1">+IFERROR(K$5*GETPIVOTDATA("Unique Billed Hours",'County allocation'!$X$3,"County",$D22,"HHA/CDPAP","HHA","Level of Service",$D30),0)</f>
        <v>0</v>
      </c>
      <c r="L30" s="658">
        <f ca="1">+IFERROR(L$5*GETPIVOTDATA("Unique Billed Hours",'County allocation'!$K$19,"County",$D22,"HHA/CDPAP","HHA","Level of Service",$D30),0)</f>
        <v>4545.5522310800116</v>
      </c>
      <c r="M30" s="658">
        <f>+IFERROR(M$5*GETPIVOTDATA("Unique Billed Hours",'County allocation'!$S$3,"County",$D22,"HHA/CDPAP","HHA","Level of Service",$D30),0)</f>
        <v>0</v>
      </c>
      <c r="N30" s="658">
        <f>+IFERROR(N$5*GETPIVOTDATA("Unique Billed Hours",'County allocation'!$S$3,"County",$D22,"HHA/CDPAP","HHA","Level of Service",$D30),0)</f>
        <v>0</v>
      </c>
      <c r="O30" s="658">
        <f>+IFERROR(O$5*GETPIVOTDATA("Unique Billed Hours",'County allocation'!$K$19,"County",$D22,"HHA/CDPAP","HHA","Level of Service",$D30),0)</f>
        <v>0</v>
      </c>
      <c r="P30" s="658">
        <f>+IFERROR(P$5*GETPIVOTDATA("Unique Billed Hours",'County allocation'!$S$3,"County",$D22,"HHA/CDPAP","HHA","Level of Service",$D30),0)</f>
        <v>0</v>
      </c>
    </row>
    <row r="31" spans="1:18" s="54" customFormat="1" x14ac:dyDescent="0.25">
      <c r="A31" s="119" t="s">
        <v>285</v>
      </c>
      <c r="B31" s="309">
        <f>IFERROR(+GETPIVOTDATA("Unique Billed Hours",'County allocation'!$A$3,"County",A31,"HHA/CDPAP","HHA"),0)</f>
        <v>0</v>
      </c>
      <c r="C31" s="322">
        <f t="shared" ca="1" si="13"/>
        <v>1</v>
      </c>
      <c r="D31" s="8" t="s">
        <v>40</v>
      </c>
      <c r="E31" s="48" t="s">
        <v>51</v>
      </c>
      <c r="F31" s="657">
        <f t="shared" ca="1" si="14"/>
        <v>0</v>
      </c>
      <c r="G31" s="658">
        <f ca="1">+IFERROR(G$5*GETPIVOTDATA("Unique Billed Hours",'County allocation'!$A$3,"County",$D22,"HHA/CDPAP","HHA","Level of Service",$D31),0)</f>
        <v>0</v>
      </c>
      <c r="H31" s="658">
        <f>+IFERROR(H$5*GETPIVOTDATA("Unique Billed Hours",'County allocation'!$S$3,"County",$D22,"HHA/CDPAP","HHA","Level of Service",$D31),0)</f>
        <v>0</v>
      </c>
      <c r="I31" s="664">
        <f t="shared" ca="1" si="15"/>
        <v>0</v>
      </c>
      <c r="J31" s="658">
        <f ca="1">+IFERROR(J$5*GETPIVOTDATA("Unique Billed Hours",'County allocation'!$AC$3,"County",$D22,"HHA/CDPAP","HHA","Level of Service",$D31),0)</f>
        <v>0</v>
      </c>
      <c r="K31" s="658">
        <f ca="1">+IFERROR(K$5*GETPIVOTDATA("Unique Billed Hours",'County allocation'!$X$3,"County",$D22,"HHA/CDPAP","HHA","Level of Service",$D31),0)</f>
        <v>0</v>
      </c>
      <c r="L31" s="658">
        <f ca="1">+IFERROR(L$2*GETPIVOTDATA("Unique Billed Hours",'County allocation'!$O$3,"County",$D22,"HHA/CDPAP","HHA","Level of Service",$D31),0)</f>
        <v>0</v>
      </c>
      <c r="M31" s="658">
        <f>+IFERROR(M$5*GETPIVOTDATA("Unique Billed Hours",'County allocation'!$S$3,"County",$D22,"HHA/CDPAP","HHA","Level of Service",$D31),0)</f>
        <v>0</v>
      </c>
      <c r="N31" s="658">
        <f>+IFERROR(N$5*GETPIVOTDATA("Unique Billed Hours",'County allocation'!$S$3,"County",$D22,"HHA/CDPAP","HHA","Level of Service",$D31),0)</f>
        <v>0</v>
      </c>
      <c r="O31" s="658">
        <f>+IFERROR(O$5*GETPIVOTDATA("Unique Billed Hours",'County allocation'!$K$19,"County",$D22,"HHA/CDPAP","HHA","Level of Service",$D31),0)</f>
        <v>0</v>
      </c>
      <c r="P31" s="658">
        <f>+IFERROR(P$5*GETPIVOTDATA("Unique Billed Hours",'County allocation'!$S$3,"County",$D22,"HHA/CDPAP","HHA","Level of Service",$D31),0)</f>
        <v>0</v>
      </c>
    </row>
    <row r="32" spans="1:18" s="54" customFormat="1" x14ac:dyDescent="0.25">
      <c r="A32" s="119" t="s">
        <v>328</v>
      </c>
      <c r="B32" s="309">
        <f>IFERROR(+GETPIVOTDATA("Unique Billed Hours",'County allocation'!$A$3,"County",A32,"HHA/CDPAP","HHA"),0)</f>
        <v>1.7109272327241044E-4</v>
      </c>
      <c r="C32" s="322">
        <f t="shared" ca="1" si="13"/>
        <v>1</v>
      </c>
      <c r="D32" s="8" t="s">
        <v>41</v>
      </c>
      <c r="E32" s="48" t="s">
        <v>50</v>
      </c>
      <c r="F32" s="657">
        <f t="shared" ca="1" si="14"/>
        <v>0</v>
      </c>
      <c r="G32" s="658">
        <f ca="1">+IFERROR(G$5*GETPIVOTDATA("Unique Billed Hours",'County allocation'!$A$3,"County",$D22,"HHA/CDPAP","HHA","Level of Service",$D32),0)</f>
        <v>0</v>
      </c>
      <c r="H32" s="658">
        <f>+IFERROR(H$5*GETPIVOTDATA("Unique Billed Hours",'County allocation'!$S$3,"County",$D22,"HHA/CDPAP","HHA","Level of Service",$D32),0)</f>
        <v>0</v>
      </c>
      <c r="I32" s="664">
        <f t="shared" ca="1" si="15"/>
        <v>0</v>
      </c>
      <c r="J32" s="658">
        <f ca="1">+IFERROR(J$5*GETPIVOTDATA("Unique Billed Hours",'County allocation'!$AC$3,"County",$D22,"HHA/CDPAP","HHA","Level of Service",$D32),0)</f>
        <v>0</v>
      </c>
      <c r="K32" s="658">
        <f ca="1">+IFERROR(K$5*GETPIVOTDATA("Unique Billed Hours",'County allocation'!$X$3,"County",$D22,"HHA/CDPAP","HHA","Level of Service",$D32),0)</f>
        <v>0</v>
      </c>
      <c r="L32" s="658">
        <f ca="1">+IFERROR(L$2*GETPIVOTDATA("Unique Billed Hours",'County allocation'!$O$3,"County",$D22,"HHA/CDPAP","HHA","Level of Service",$D32),0)</f>
        <v>0</v>
      </c>
      <c r="M32" s="658">
        <f>+IFERROR(M$5*GETPIVOTDATA("Unique Billed Hours",'County allocation'!$S$3,"County",$D22,"HHA/CDPAP","HHA","Level of Service",$D32),0)</f>
        <v>0</v>
      </c>
      <c r="N32" s="658">
        <f>+IFERROR(N$5*GETPIVOTDATA("Unique Billed Hours",'County allocation'!$S$3,"County",$D22,"HHA/CDPAP","HHA","Level of Service",$D32),0)</f>
        <v>0</v>
      </c>
      <c r="O32" s="658">
        <f>+IFERROR(O$5*GETPIVOTDATA("Unique Billed Hours",'County allocation'!$K$19,"County",$D22,"HHA/CDPAP","HHA","Level of Service",$D32),0)</f>
        <v>0</v>
      </c>
      <c r="P32" s="658">
        <f>+IFERROR(P$5*GETPIVOTDATA("Unique Billed Hours",'County allocation'!$S$3,"County",$D22,"HHA/CDPAP","HHA","Level of Service",$D32),0)</f>
        <v>0</v>
      </c>
    </row>
    <row r="33" spans="1:18" s="54" customFormat="1" ht="15.75" thickBot="1" x14ac:dyDescent="0.3">
      <c r="A33" s="119" t="s">
        <v>329</v>
      </c>
      <c r="B33" s="309">
        <f>IFERROR(+GETPIVOTDATA("Unique Billed Hours",'County allocation'!$A$3,"County",A33,"HHA/CDPAP","HHA"),0)</f>
        <v>0.12769760760357801</v>
      </c>
      <c r="C33" s="322">
        <f t="shared" ca="1" si="13"/>
        <v>1</v>
      </c>
      <c r="D33" s="52" t="s">
        <v>389</v>
      </c>
      <c r="E33" s="53" t="s">
        <v>49</v>
      </c>
      <c r="F33" s="657">
        <f t="shared" ca="1" si="14"/>
        <v>1982482.72400382</v>
      </c>
      <c r="G33" s="661">
        <f ca="1">SUM(G25:G32)</f>
        <v>66311.837653917522</v>
      </c>
      <c r="H33" s="661">
        <f>SUM(H25:H32)</f>
        <v>113432.9278481011</v>
      </c>
      <c r="I33" s="664">
        <f t="shared" ca="1" si="15"/>
        <v>1802737.9585018014</v>
      </c>
      <c r="J33" s="661">
        <f ca="1">SUM(J25:J32)</f>
        <v>237007.0620225289</v>
      </c>
      <c r="K33" s="661">
        <f t="shared" ref="K33:P33" ca="1" si="16">SUM(K25:K32)</f>
        <v>1526762.9295035999</v>
      </c>
      <c r="L33" s="661">
        <f t="shared" ref="L33" ca="1" si="17">SUM(L25:L32)</f>
        <v>26856.894173949215</v>
      </c>
      <c r="M33" s="661">
        <f t="shared" si="16"/>
        <v>11175.101583064494</v>
      </c>
      <c r="N33" s="661">
        <f t="shared" si="16"/>
        <v>935.97121865880024</v>
      </c>
      <c r="O33" s="661">
        <f t="shared" si="16"/>
        <v>0</v>
      </c>
      <c r="P33" s="661">
        <f t="shared" si="16"/>
        <v>0</v>
      </c>
    </row>
    <row r="34" spans="1:18" s="54" customFormat="1" x14ac:dyDescent="0.25">
      <c r="A34" s="119" t="s">
        <v>366</v>
      </c>
      <c r="B34" s="309">
        <f>IFERROR(+GETPIVOTDATA("Unique Billed Hours",'County allocation'!$A$3,"County",A34,"HHA/CDPAP","HHA"),0)</f>
        <v>0.11860817754043497</v>
      </c>
      <c r="C34" s="322">
        <f t="shared" ca="1" si="13"/>
        <v>1</v>
      </c>
      <c r="D34" s="371" t="s">
        <v>390</v>
      </c>
      <c r="E34" s="325" t="s">
        <v>47</v>
      </c>
      <c r="F34" s="657">
        <f t="shared" ca="1" si="14"/>
        <v>4926.3102611030217</v>
      </c>
      <c r="G34" s="665">
        <f ca="1">+IFERROR((G$5*GETPIVOTDATA("Unique Billed Hours",'County allocation'!$A$3,"County",$D22,"HHA/CDPAP","HHA","Level of Service",$D34))+($G$2*GETPIVOTDATA("Unique Billed Hours",'County allocation'!$F$7,"County",$D22,"HHA/CDPAP","HHA","Level of Service",$D34)),0)++IFERROR(J$5*GETPIVOTDATA("Unique Billed Hours",'County allocation'!$AC$3,"County",$D22,"HHA/CDPAP","HHA","Level of Service",$D34),0)+ +IFERROR(J$5*GETPIVOTDATA("Unique Billed Hours",'County allocation'!$AC$3,"County",$D22,"HHA/CDPAP","HHA","Level of Service",$D35),0)</f>
        <v>4926.3102611030217</v>
      </c>
      <c r="H34" s="665">
        <f>+IFERROR(H$5*GETPIVOTDATA("Unique Billed Hours",'County allocation'!$S$3,"County",$D22,"HHA/CDPAP","HHA","Level of Service",$D34),0)</f>
        <v>0</v>
      </c>
      <c r="I34" s="664">
        <f t="shared" ca="1" si="15"/>
        <v>0</v>
      </c>
      <c r="J34" s="901"/>
      <c r="K34" s="665">
        <f ca="1">+IFERROR(K$5*GETPIVOTDATA("Unique Billed Hours",'County allocation'!$X$3,"County",$D22,"HHA/CDPAP","HHA","Level of Service",$D34),0)</f>
        <v>0</v>
      </c>
      <c r="L34" s="665">
        <f ca="1">+IFERROR(L$5*GETPIVOTDATA("Unique Billed Hours",'County allocation'!$K$19,"County",$D22,"HHA/CDPAP","HHA","Level of Service",$D34),0)</f>
        <v>0</v>
      </c>
      <c r="M34" s="665">
        <f>+IFERROR(M$5*GETPIVOTDATA("Unique Billed Hours",'County allocation'!$S$3,"County",$D22,"HHA/CDPAP","HHA","Level of Service",$D34),0)</f>
        <v>0</v>
      </c>
      <c r="N34" s="665">
        <f>+IFERROR(N$5*GETPIVOTDATA("Unique Billed Hours",'County allocation'!$S$3,"County",$D22,"HHA/CDPAP","HHA","Level of Service",$D34),0)</f>
        <v>0</v>
      </c>
      <c r="O34" s="665">
        <f>+IFERROR(O$5*GETPIVOTDATA("Unique Billed Hours",'County allocation'!$S$3,"County",$D22,"HHA/CDPAP","HHA","Level of Service",$D34),0)</f>
        <v>0</v>
      </c>
      <c r="P34" s="665">
        <f>+IFERROR(P$5*GETPIVOTDATA("Unique Billed Hours",'County allocation'!$S$3,"County",$D22,"HHA/CDPAP","HHA","Level of Service",$D34),0)</f>
        <v>0</v>
      </c>
    </row>
    <row r="35" spans="1:18" s="54" customFormat="1" x14ac:dyDescent="0.25">
      <c r="A35" s="119" t="s">
        <v>330</v>
      </c>
      <c r="B35" s="309">
        <f>IFERROR(+GETPIVOTDATA("Unique Billed Hours",'County allocation'!$A$3,"County",A35,"HHA/CDPAP","HHA"),0)</f>
        <v>0</v>
      </c>
      <c r="C35" s="322">
        <f t="shared" ca="1" si="13"/>
        <v>1</v>
      </c>
      <c r="D35" s="8" t="s">
        <v>391</v>
      </c>
      <c r="E35" s="370" t="s">
        <v>77</v>
      </c>
      <c r="F35" s="657">
        <f t="shared" ca="1" si="14"/>
        <v>0</v>
      </c>
      <c r="G35" s="656"/>
      <c r="H35" s="658">
        <f>+IFERROR(H$5*GETPIVOTDATA("Unique Billed Hours",'County allocation'!$S$3,"County",$D22,"HHA/CDPAP","HHA","Level of Service",$D35),0)</f>
        <v>0</v>
      </c>
      <c r="I35" s="664">
        <f t="shared" ca="1" si="15"/>
        <v>0</v>
      </c>
      <c r="J35" s="901"/>
      <c r="K35" s="665">
        <f ca="1">+IFERROR(K$5*GETPIVOTDATA("Unique Billed Hours",'County allocation'!$X$3,"County",$D22,"HHA/CDPAP","HHA","Level of Service",$D35),0)</f>
        <v>0</v>
      </c>
      <c r="L35" s="665">
        <f ca="1">+IFERROR(L$5*GETPIVOTDATA("Unique Billed Hours",'County allocation'!$K$19,"County",$D22,"HHA/CDPAP","HHA","Level of Service",$D35),0)</f>
        <v>0</v>
      </c>
      <c r="M35" s="665">
        <f>+IFERROR(M$5*GETPIVOTDATA("Unique Billed Hours",'County allocation'!$S$3,"County",$D22,"HHA/CDPAP","HHA","Level of Service",$D35),0)</f>
        <v>0</v>
      </c>
      <c r="N35" s="665">
        <f>+IFERROR(N$5*GETPIVOTDATA("Unique Billed Hours",'County allocation'!$S$3,"County",$D22,"HHA/CDPAP","HHA","Level of Service",$D35),0)</f>
        <v>0</v>
      </c>
      <c r="O35" s="665">
        <f>+IFERROR(O$5*GETPIVOTDATA("Unique Billed Hours",'County allocation'!$S$3,"County",$D22,"HHA/CDPAP","HHA","Level of Service",$D35),0)</f>
        <v>0</v>
      </c>
      <c r="P35" s="665">
        <f>+IFERROR(P$5*GETPIVOTDATA("Unique Billed Hours",'County allocation'!$S$3,"County",$D22,"HHA/CDPAP","HHA","Level of Service",$D35),0)</f>
        <v>0</v>
      </c>
    </row>
    <row r="36" spans="1:18" s="54" customFormat="1" x14ac:dyDescent="0.25">
      <c r="A36" s="119" t="s">
        <v>331</v>
      </c>
      <c r="B36" s="309">
        <f>IFERROR(+GETPIVOTDATA("Unique Billed Hours",'County allocation'!$A$3,"County",A36,"HHA/CDPAP","HHA"),0)</f>
        <v>0</v>
      </c>
      <c r="C36" s="322">
        <f t="shared" ca="1" si="13"/>
        <v>1</v>
      </c>
      <c r="D36" s="8" t="s">
        <v>374</v>
      </c>
      <c r="E36" s="370" t="s">
        <v>78</v>
      </c>
      <c r="F36" s="657">
        <f t="shared" ca="1" si="14"/>
        <v>1652.9641012370139</v>
      </c>
      <c r="G36" s="658">
        <f ca="1">+IFERROR(G$5*GETPIVOTDATA("Unique Billed Hours",'County allocation'!$A$3,"County",$D22,"HHA/CDPAP","HHA","Level of Service",$D36),0)++IFERROR(J$5*GETPIVOTDATA("Unique Billed Hours",'County allocation'!$AC$3,"County",$D22,"HHA/CDPAP","HHA","Level of Service",$D36),0)</f>
        <v>1652.9641012370139</v>
      </c>
      <c r="H36" s="658">
        <f>+IFERROR(H$5*GETPIVOTDATA("Unique Billed Hours",'County allocation'!$S$3,"County",$D22,"HHA/CDPAP","HHA","Level of Service",$D36),0)</f>
        <v>0</v>
      </c>
      <c r="I36" s="664">
        <f t="shared" ca="1" si="15"/>
        <v>0</v>
      </c>
      <c r="J36" s="901"/>
      <c r="K36" s="665">
        <f ca="1">+IFERROR(K$5*GETPIVOTDATA("Unique Billed Hours",'County allocation'!$X$3,"County",$D22,"HHA/CDPAP","HHA","Level of Service",$D36),0)</f>
        <v>0</v>
      </c>
      <c r="L36" s="665">
        <f ca="1">+IFERROR(L$5*GETPIVOTDATA("Unique Billed Hours",'County allocation'!$K$19,"County",$D22,"HHA/CDPAP","HHA","Level of Service",$D36),0)</f>
        <v>0</v>
      </c>
      <c r="M36" s="665">
        <f>+IFERROR(M$5*GETPIVOTDATA("Unique Billed Hours",'County allocation'!$S$3,"County",$D22,"HHA/CDPAP","HHA","Level of Service",$D36),0)</f>
        <v>0</v>
      </c>
      <c r="N36" s="665">
        <f>+IFERROR(N$5*GETPIVOTDATA("Unique Billed Hours",'County allocation'!$S$3,"County",$D22,"HHA/CDPAP","HHA","Level of Service",$D36),0)</f>
        <v>0</v>
      </c>
      <c r="O36" s="665">
        <f>+IFERROR(O$5*GETPIVOTDATA("Unique Billed Hours",'County allocation'!$S$3,"County",$D22,"HHA/CDPAP","HHA","Level of Service",$D36),0)</f>
        <v>0</v>
      </c>
      <c r="P36" s="665">
        <f>+IFERROR(P$5*GETPIVOTDATA("Unique Billed Hours",'County allocation'!$S$3,"County",$D22,"HHA/CDPAP","HHA","Level of Service",$D36),0)</f>
        <v>0</v>
      </c>
    </row>
    <row r="37" spans="1:18" s="54" customFormat="1" ht="15.75" thickBot="1" x14ac:dyDescent="0.3">
      <c r="A37" s="119" t="s">
        <v>332</v>
      </c>
      <c r="B37" s="309">
        <f>IFERROR(+GETPIVOTDATA("Unique Billed Hours",'County allocation'!$A$3,"County",A37,"HHA/CDPAP","HHA"),0)</f>
        <v>0</v>
      </c>
      <c r="C37" s="322">
        <f ca="1">C36</f>
        <v>1</v>
      </c>
      <c r="D37" s="52" t="s">
        <v>48</v>
      </c>
      <c r="E37" s="53" t="s">
        <v>79</v>
      </c>
      <c r="F37" s="657">
        <f t="shared" ca="1" si="14"/>
        <v>1989061.9983661601</v>
      </c>
      <c r="G37" s="661">
        <f t="shared" ref="G37" ca="1" si="18">SUM(G33:G36)</f>
        <v>72891.112016257553</v>
      </c>
      <c r="H37" s="661">
        <f t="shared" ref="H37:P37" si="19">SUM(H33:H36)</f>
        <v>113432.9278481011</v>
      </c>
      <c r="I37" s="661">
        <f t="shared" ca="1" si="19"/>
        <v>1802737.9585018014</v>
      </c>
      <c r="J37" s="661">
        <f t="shared" ca="1" si="19"/>
        <v>237007.0620225289</v>
      </c>
      <c r="K37" s="661">
        <f t="shared" ca="1" si="19"/>
        <v>1526762.9295035999</v>
      </c>
      <c r="L37" s="661">
        <f t="shared" ref="L37" ca="1" si="20">SUM(L33:L36)</f>
        <v>26856.894173949215</v>
      </c>
      <c r="M37" s="661">
        <f t="shared" si="19"/>
        <v>11175.101583064494</v>
      </c>
      <c r="N37" s="661">
        <f t="shared" si="19"/>
        <v>935.97121865880024</v>
      </c>
      <c r="O37" s="661">
        <f t="shared" si="19"/>
        <v>0</v>
      </c>
      <c r="P37" s="661">
        <f t="shared" si="19"/>
        <v>0</v>
      </c>
    </row>
    <row r="38" spans="1:18" s="54" customFormat="1" ht="15.75" hidden="1" thickBot="1" x14ac:dyDescent="0.3">
      <c r="A38" s="119" t="s">
        <v>333</v>
      </c>
      <c r="B38" s="309">
        <f>IFERROR(+GETPIVOTDATA("Unique Billed Hours",'County allocation'!$A$3,"County",A38,"HHA/CDPAP","HHA"),0)</f>
        <v>0</v>
      </c>
      <c r="C38" s="322"/>
      <c r="E38" s="55"/>
      <c r="F38" s="666"/>
      <c r="G38" s="666"/>
      <c r="H38" s="666"/>
      <c r="I38" s="666"/>
      <c r="J38" s="666"/>
      <c r="K38" s="666"/>
      <c r="L38" s="666"/>
      <c r="M38" s="666"/>
      <c r="N38" s="666"/>
      <c r="O38" s="666"/>
      <c r="P38" s="666"/>
    </row>
    <row r="39" spans="1:18" ht="15.75" hidden="1" thickBot="1" x14ac:dyDescent="0.3">
      <c r="A39" s="119" t="s">
        <v>334</v>
      </c>
      <c r="B39" s="309">
        <f>IFERROR(+GETPIVOTDATA("Unique Billed Hours",'County allocation'!$A$3,"County",A39,"HHA/CDPAP","HHA"),0)</f>
        <v>1.886556675621223E-6</v>
      </c>
      <c r="C39" s="322"/>
      <c r="D39" s="272"/>
      <c r="E39" s="324"/>
      <c r="F39" s="667"/>
      <c r="G39" s="667"/>
      <c r="H39" s="667"/>
      <c r="I39" s="667"/>
      <c r="J39" s="667"/>
      <c r="K39" s="667"/>
      <c r="L39" s="667"/>
      <c r="M39" s="667"/>
      <c r="N39" s="667"/>
      <c r="O39" s="667"/>
      <c r="P39" s="667"/>
    </row>
    <row r="40" spans="1:18" s="54" customFormat="1" ht="75.75" hidden="1" thickBot="1" x14ac:dyDescent="0.3">
      <c r="A40" s="119" t="s">
        <v>335</v>
      </c>
      <c r="B40" s="309">
        <f>IFERROR(+GETPIVOTDATA("Unique Billed Hours",'County allocation'!$A$3,"County",A40,"HHA/CDPAP","HHA"),0)</f>
        <v>0</v>
      </c>
      <c r="C40" s="322">
        <f ca="1">IF(F55&gt;0,1,0)</f>
        <v>0</v>
      </c>
      <c r="D40" s="45" t="str">
        <f>A5</f>
        <v>Allegany</v>
      </c>
      <c r="E40" s="28">
        <f>+SUMIF(A:A,D40,B:B)</f>
        <v>0</v>
      </c>
      <c r="F40" s="652" t="s">
        <v>61</v>
      </c>
      <c r="G40" s="652" t="s">
        <v>387</v>
      </c>
      <c r="H40" s="652" t="s">
        <v>388</v>
      </c>
      <c r="I40" s="652" t="s">
        <v>392</v>
      </c>
      <c r="J40" s="652" t="s">
        <v>31</v>
      </c>
      <c r="K40" s="652" t="s">
        <v>32</v>
      </c>
      <c r="L40" s="653" t="s">
        <v>33</v>
      </c>
      <c r="M40" s="653" t="s">
        <v>60</v>
      </c>
      <c r="N40" s="653" t="s">
        <v>59</v>
      </c>
      <c r="O40" s="653" t="s">
        <v>58</v>
      </c>
      <c r="P40" s="653" t="s">
        <v>16</v>
      </c>
    </row>
    <row r="41" spans="1:18" s="54" customFormat="1" ht="15.75" hidden="1" thickBot="1" x14ac:dyDescent="0.3">
      <c r="A41" s="119" t="s">
        <v>336</v>
      </c>
      <c r="B41" s="309">
        <f>IFERROR(+GETPIVOTDATA("Unique Billed Hours",'County allocation'!$A$3,"County",A41,"HHA/CDPAP","HHA"),0)</f>
        <v>0</v>
      </c>
      <c r="C41" s="322">
        <f ca="1">C40</f>
        <v>0</v>
      </c>
      <c r="D41" s="56"/>
      <c r="E41" s="57"/>
      <c r="F41" s="654" t="s">
        <v>57</v>
      </c>
      <c r="G41" s="654" t="s">
        <v>56</v>
      </c>
      <c r="H41" s="654" t="s">
        <v>55</v>
      </c>
      <c r="I41" s="654" t="s">
        <v>54</v>
      </c>
      <c r="J41" s="654" t="s">
        <v>53</v>
      </c>
      <c r="K41" s="654" t="s">
        <v>52</v>
      </c>
      <c r="L41" s="654" t="s">
        <v>51</v>
      </c>
      <c r="M41" s="654" t="s">
        <v>50</v>
      </c>
      <c r="N41" s="654" t="s">
        <v>49</v>
      </c>
      <c r="O41" s="654" t="s">
        <v>47</v>
      </c>
      <c r="P41" s="655" t="s">
        <v>77</v>
      </c>
    </row>
    <row r="42" spans="1:18" s="54" customFormat="1" ht="15.75" hidden="1" thickBot="1" x14ac:dyDescent="0.3">
      <c r="A42" s="119" t="s">
        <v>337</v>
      </c>
      <c r="B42" s="309">
        <f>IFERROR(+GETPIVOTDATA("Unique Billed Hours",'County allocation'!$A$3,"County",A42,"HHA/CDPAP","HHA"),0)</f>
        <v>0</v>
      </c>
      <c r="C42" s="322">
        <f t="shared" ref="C42:C54" ca="1" si="21">C41</f>
        <v>0</v>
      </c>
      <c r="D42" s="59" t="s">
        <v>26</v>
      </c>
      <c r="E42" s="57"/>
      <c r="F42" s="656"/>
      <c r="G42" s="656"/>
      <c r="H42" s="656"/>
      <c r="I42" s="656"/>
      <c r="J42" s="656"/>
      <c r="K42" s="656"/>
      <c r="L42" s="656"/>
      <c r="M42" s="656"/>
      <c r="N42" s="656"/>
      <c r="O42" s="656"/>
      <c r="P42" s="663"/>
    </row>
    <row r="43" spans="1:18" s="54" customFormat="1" ht="15.75" hidden="1" thickBot="1" x14ac:dyDescent="0.3">
      <c r="A43" s="119" t="s">
        <v>338</v>
      </c>
      <c r="B43" s="309">
        <f>IFERROR(+GETPIVOTDATA("Unique Billed Hours",'County allocation'!$A$3,"County",A43,"HHA/CDPAP","HHA"),0)</f>
        <v>0</v>
      </c>
      <c r="C43" s="322">
        <f t="shared" ca="1" si="21"/>
        <v>0</v>
      </c>
      <c r="D43" s="7" t="s">
        <v>34</v>
      </c>
      <c r="E43" s="48" t="s">
        <v>57</v>
      </c>
      <c r="F43" s="657">
        <f ca="1">+H43+G43+I43</f>
        <v>0</v>
      </c>
      <c r="G43" s="658">
        <f ca="1">+IFERROR(G$5*GETPIVOTDATA("Unique Billed Hours",'County allocation'!$A$3,"County",$D40,"HHA/CDPAP","HHA","Level of Service",$D43),0)</f>
        <v>0</v>
      </c>
      <c r="H43" s="658">
        <f>+IFERROR(H$5*GETPIVOTDATA("Unique Billed Hours",'County allocation'!$S$3,"County",$D40,"HHA/CDPAP","HHA","Level of Service",$D43),0)</f>
        <v>0</v>
      </c>
      <c r="I43" s="664">
        <f ca="1">SUM(J43:P43)</f>
        <v>0</v>
      </c>
      <c r="J43" s="658">
        <f ca="1">+IFERROR(J$5*GETPIVOTDATA("Unique Billed Hours",'County allocation'!$S$3,"County",$D40,"HHA/CDPAP","HHA","Level of Service",$D43),0)</f>
        <v>0</v>
      </c>
      <c r="K43" s="658">
        <f ca="1">+IFERROR(K$5*GETPIVOTDATA("Unique Billed Hours",'County allocation'!$X$3,"County",$D40,"HHA/CDPAP","HHA","Level of Service",$D43),0)</f>
        <v>0</v>
      </c>
      <c r="L43" s="658">
        <f ca="1">+IFERROR(L$2*GETPIVOTDATA("Unique Billed Hours",'County allocation'!$O$3,"County",$D40,"HHA/CDPAP","HHA","Level of Service",$D43),0)</f>
        <v>0</v>
      </c>
      <c r="M43" s="658">
        <f>+IFERROR(M$5*GETPIVOTDATA("Unique Billed Hours",'County allocation'!$S$3,"County",$D40,"HHA/CDPAP","HHA","Level of Service",$D43),0)</f>
        <v>0</v>
      </c>
      <c r="N43" s="658">
        <f>+IFERROR(N$5*GETPIVOTDATA("Unique Billed Hours",'County allocation'!$S$3,"County",$D40,"HHA/CDPAP","HHA","Level of Service",$D43),0)</f>
        <v>0</v>
      </c>
      <c r="O43" s="658">
        <f>+IFERROR(O$5*GETPIVOTDATA("Unique Billed Hours",'County allocation'!$K$19,"County",$D40,"HHA/CDPAP","HHA","Level of Service",$D43),0)</f>
        <v>0</v>
      </c>
      <c r="P43" s="658">
        <f>+IFERROR(P$5*GETPIVOTDATA("Unique Billed Hours",'County allocation'!$S$3,"County",$D40,"HHA/CDPAP","HHA","Level of Service",$D43),0)</f>
        <v>0</v>
      </c>
    </row>
    <row r="44" spans="1:18" s="54" customFormat="1" ht="15.75" hidden="1" thickBot="1" x14ac:dyDescent="0.3">
      <c r="A44" s="119" t="s">
        <v>339</v>
      </c>
      <c r="B44" s="309">
        <f>IFERROR(+GETPIVOTDATA("Unique Billed Hours",'County allocation'!$A$3,"County",A44,"HHA/CDPAP","HHA"),0)</f>
        <v>0.18616689504483311</v>
      </c>
      <c r="C44" s="322">
        <f t="shared" ca="1" si="21"/>
        <v>0</v>
      </c>
      <c r="D44" s="7" t="s">
        <v>35</v>
      </c>
      <c r="E44" s="48" t="s">
        <v>56</v>
      </c>
      <c r="F44" s="657">
        <f t="shared" ref="F44:F55" ca="1" si="22">+H44+G44+I44</f>
        <v>0</v>
      </c>
      <c r="G44" s="658">
        <f ca="1">+IFERROR(G$5*GETPIVOTDATA("Unique Billed Hours",'County allocation'!$A$3,"County",$D40,"HHA/CDPAP","HHA","Level of Service",$D44),0)</f>
        <v>0</v>
      </c>
      <c r="H44" s="658">
        <f>+IFERROR(H$5*GETPIVOTDATA("Unique Billed Hours",'County allocation'!$S$3,"County",$D40,"HHA/CDPAP","HHA","Level of Service",$D44),0)</f>
        <v>0</v>
      </c>
      <c r="I44" s="664">
        <f t="shared" ref="I44:I54" ca="1" si="23">SUM(J44:P44)</f>
        <v>0</v>
      </c>
      <c r="J44" s="658">
        <f ca="1">+IFERROR(J$5*GETPIVOTDATA("Unique Billed Hours",'County allocation'!$S$3,"County",$D40,"HHA/CDPAP","HHA","Level of Service",$D44),0)</f>
        <v>0</v>
      </c>
      <c r="K44" s="658">
        <f ca="1">+IFERROR(K$5*GETPIVOTDATA("Unique Billed Hours",'County allocation'!$X$3,"County",$D40,"HHA/CDPAP","HHA","Level of Service",$D44),0)</f>
        <v>0</v>
      </c>
      <c r="L44" s="658">
        <f ca="1">+IFERROR(L$2*GETPIVOTDATA("Unique Billed Hours",'County allocation'!$O$3,"County",$D40,"HHA/CDPAP","HHA","Level of Service",$D44),0)</f>
        <v>0</v>
      </c>
      <c r="M44" s="658">
        <f>+IFERROR(M$5*GETPIVOTDATA("Unique Billed Hours",'County allocation'!$S$3,"County",$D40,"HHA/CDPAP","HHA","Level of Service",$D44),0)</f>
        <v>0</v>
      </c>
      <c r="N44" s="658">
        <f>+IFERROR(N$5*GETPIVOTDATA("Unique Billed Hours",'County allocation'!$S$3,"County",$D40,"HHA/CDPAP","HHA","Level of Service",$D44),0)</f>
        <v>0</v>
      </c>
      <c r="O44" s="658">
        <f>+IFERROR(O$5*GETPIVOTDATA("Unique Billed Hours",'County allocation'!$K$19,"County",$D40,"HHA/CDPAP","HHA","Level of Service",$D44),0)</f>
        <v>0</v>
      </c>
      <c r="P44" s="658">
        <f>+IFERROR(P$5*GETPIVOTDATA("Unique Billed Hours",'County allocation'!$S$3,"County",$D40,"HHA/CDPAP","HHA","Level of Service",$D44),0)</f>
        <v>0</v>
      </c>
      <c r="R44" s="61"/>
    </row>
    <row r="45" spans="1:18" s="54" customFormat="1" ht="15.75" hidden="1" thickBot="1" x14ac:dyDescent="0.3">
      <c r="A45" s="119" t="s">
        <v>340</v>
      </c>
      <c r="B45" s="309">
        <f>IFERROR(+GETPIVOTDATA("Unique Billed Hours",'County allocation'!$A$3,"County",A45,"HHA/CDPAP","HHA"),0)</f>
        <v>1.5563194213553365E-3</v>
      </c>
      <c r="C45" s="322">
        <f t="shared" ca="1" si="21"/>
        <v>0</v>
      </c>
      <c r="D45" s="7" t="s">
        <v>36</v>
      </c>
      <c r="E45" s="48" t="s">
        <v>55</v>
      </c>
      <c r="F45" s="657">
        <f t="shared" ca="1" si="22"/>
        <v>0</v>
      </c>
      <c r="G45" s="658">
        <f ca="1">+IFERROR(G$5*GETPIVOTDATA("Unique Billed Hours",'County allocation'!$A$3,"County",$D40,"HHA/CDPAP","HHA","Level of Service",$D45),0)</f>
        <v>0</v>
      </c>
      <c r="H45" s="658">
        <f>+IFERROR(H$5*GETPIVOTDATA("Unique Billed Hours",'County allocation'!$S$3,"County",$D40,"HHA/CDPAP","HHA","Level of Service",$D45),0)</f>
        <v>0</v>
      </c>
      <c r="I45" s="664">
        <f t="shared" ca="1" si="23"/>
        <v>0</v>
      </c>
      <c r="J45" s="658">
        <f ca="1">+IFERROR(J$5*GETPIVOTDATA("Unique Billed Hours",'County allocation'!$S$3,"County",$D40,"HHA/CDPAP","HHA","Level of Service",$D45),0)</f>
        <v>0</v>
      </c>
      <c r="K45" s="658">
        <f ca="1">+IFERROR(K$5*GETPIVOTDATA("Unique Billed Hours",'County allocation'!$X$3,"County",$D40,"HHA/CDPAP","HHA","Level of Service",$D45),0)</f>
        <v>0</v>
      </c>
      <c r="L45" s="658">
        <f ca="1">+IFERROR(L$2*GETPIVOTDATA("Unique Billed Hours",'County allocation'!$O$3,"County",$D40,"HHA/CDPAP","HHA","Level of Service",$D45),0)</f>
        <v>0</v>
      </c>
      <c r="M45" s="658">
        <f>+IFERROR(M$5*GETPIVOTDATA("Unique Billed Hours",'County allocation'!$S$3,"County",$D40,"HHA/CDPAP","HHA","Level of Service",$D45),0)</f>
        <v>0</v>
      </c>
      <c r="N45" s="658">
        <f>+IFERROR(N$5*GETPIVOTDATA("Unique Billed Hours",'County allocation'!$S$3,"County",$D40,"HHA/CDPAP","HHA","Level of Service",$D45),0)</f>
        <v>0</v>
      </c>
      <c r="O45" s="658">
        <f>+IFERROR(O$5*GETPIVOTDATA("Unique Billed Hours",'County allocation'!$K$19,"County",$D40,"HHA/CDPAP","HHA","Level of Service",$D45),0)</f>
        <v>0</v>
      </c>
      <c r="P45" s="658">
        <f>+IFERROR(P$5*GETPIVOTDATA("Unique Billed Hours",'County allocation'!$S$3,"County",$D40,"HHA/CDPAP","HHA","Level of Service",$D45),0)</f>
        <v>0</v>
      </c>
    </row>
    <row r="46" spans="1:18" s="54" customFormat="1" ht="15.75" hidden="1" thickBot="1" x14ac:dyDescent="0.3">
      <c r="A46" s="119" t="s">
        <v>367</v>
      </c>
      <c r="B46" s="309">
        <f>IFERROR(+GETPIVOTDATA("Unique Billed Hours",'County allocation'!$A$3,"County",A46,"HHA/CDPAP","HHA"),0)</f>
        <v>0.11418343852982973</v>
      </c>
      <c r="C46" s="322">
        <f t="shared" ca="1" si="21"/>
        <v>0</v>
      </c>
      <c r="D46" s="7" t="s">
        <v>37</v>
      </c>
      <c r="E46" s="48" t="s">
        <v>54</v>
      </c>
      <c r="F46" s="657">
        <f t="shared" ca="1" si="22"/>
        <v>0</v>
      </c>
      <c r="G46" s="658">
        <f ca="1">+IFERROR(G$5*GETPIVOTDATA("Unique Billed Hours",'County allocation'!$A$3,"County",$D40,"HHA/CDPAP","HHA","Level of Service",$D46),0)</f>
        <v>0</v>
      </c>
      <c r="H46" s="658">
        <f>+IFERROR(H$5*GETPIVOTDATA("Unique Billed Hours",'County allocation'!$S$3,"County",$D40,"HHA/CDPAP","HHA","Level of Service",$D46),0)</f>
        <v>0</v>
      </c>
      <c r="I46" s="664">
        <f t="shared" ca="1" si="23"/>
        <v>0</v>
      </c>
      <c r="J46" s="658">
        <f ca="1">+IFERROR(J$5*GETPIVOTDATA("Unique Billed Hours",'County allocation'!$S$3,"County",$D40,"HHA/CDPAP","HHA","Level of Service",$D46),0)</f>
        <v>0</v>
      </c>
      <c r="K46" s="658">
        <f ca="1">+IFERROR(K$5*GETPIVOTDATA("Unique Billed Hours",'County allocation'!$X$3,"County",$D40,"HHA/CDPAP","HHA","Level of Service",$D46),0)</f>
        <v>0</v>
      </c>
      <c r="L46" s="658">
        <f ca="1">+IFERROR(L$2*GETPIVOTDATA("Unique Billed Hours",'County allocation'!$O$3,"County",$D40,"HHA/CDPAP","HHA","Level of Service",$D46),0)</f>
        <v>0</v>
      </c>
      <c r="M46" s="658">
        <f>+IFERROR(M$5*GETPIVOTDATA("Unique Billed Hours",'County allocation'!$S$3,"County",$D40,"HHA/CDPAP","HHA","Level of Service",$D46),0)</f>
        <v>0</v>
      </c>
      <c r="N46" s="658">
        <f>+IFERROR(N$5*GETPIVOTDATA("Unique Billed Hours",'County allocation'!$S$3,"County",$D40,"HHA/CDPAP","HHA","Level of Service",$D46),0)</f>
        <v>0</v>
      </c>
      <c r="O46" s="658">
        <f>+IFERROR(O$5*GETPIVOTDATA("Unique Billed Hours",'County allocation'!$K$19,"County",$D40,"HHA/CDPAP","HHA","Level of Service",$D46),0)</f>
        <v>0</v>
      </c>
      <c r="P46" s="658">
        <f>+IFERROR(P$5*GETPIVOTDATA("Unique Billed Hours",'County allocation'!$S$3,"County",$D40,"HHA/CDPAP","HHA","Level of Service",$D46),0)</f>
        <v>0</v>
      </c>
    </row>
    <row r="47" spans="1:18" s="54" customFormat="1" ht="15.75" hidden="1" thickBot="1" x14ac:dyDescent="0.3">
      <c r="A47" s="119" t="s">
        <v>341</v>
      </c>
      <c r="B47" s="309">
        <f>IFERROR(+GETPIVOTDATA("Unique Billed Hours",'County allocation'!$A$3,"County",A47,"HHA/CDPAP","HHA"),0)</f>
        <v>0</v>
      </c>
      <c r="C47" s="322">
        <f t="shared" ca="1" si="21"/>
        <v>0</v>
      </c>
      <c r="D47" s="7" t="s">
        <v>38</v>
      </c>
      <c r="E47" s="48" t="s">
        <v>53</v>
      </c>
      <c r="F47" s="657">
        <f t="shared" ca="1" si="22"/>
        <v>0</v>
      </c>
      <c r="G47" s="658">
        <f ca="1">+IFERROR(G$5*GETPIVOTDATA("Unique Billed Hours",'County allocation'!$A$3,"County",$D40,"HHA/CDPAP","HHA","Level of Service",$D47),0)</f>
        <v>0</v>
      </c>
      <c r="H47" s="658">
        <f>+IFERROR(H$5*GETPIVOTDATA("Unique Billed Hours",'County allocation'!$S$3,"County",$D40,"HHA/CDPAP","HHA","Level of Service",$D47),0)</f>
        <v>0</v>
      </c>
      <c r="I47" s="664">
        <f t="shared" ca="1" si="23"/>
        <v>0</v>
      </c>
      <c r="J47" s="658">
        <f ca="1">+IFERROR(J$5*GETPIVOTDATA("Unique Billed Hours",'County allocation'!$S$3,"County",$D40,"HHA/CDPAP","HHA","Level of Service",$D47),0)</f>
        <v>0</v>
      </c>
      <c r="K47" s="658">
        <f ca="1">+IFERROR(K$5*GETPIVOTDATA("Unique Billed Hours",'County allocation'!$X$3,"County",$D40,"HHA/CDPAP","HHA","Level of Service",$D47),0)</f>
        <v>0</v>
      </c>
      <c r="L47" s="658">
        <f ca="1">+IFERROR(L$5*GETPIVOTDATA("Unique Billed Hours",'County allocation'!$K$19,"County",$D40,"HHA/CDPAP","HHA","Level of Service",$D47),0)</f>
        <v>0</v>
      </c>
      <c r="M47" s="658">
        <f>+IFERROR(M$5*GETPIVOTDATA("Unique Billed Hours",'County allocation'!$S$3,"County",$D40,"HHA/CDPAP","HHA","Level of Service",$D47),0)</f>
        <v>0</v>
      </c>
      <c r="N47" s="658">
        <f>+IFERROR(N$5*GETPIVOTDATA("Unique Billed Hours",'County allocation'!$S$3,"County",$D40,"HHA/CDPAP","HHA","Level of Service",$D47),0)</f>
        <v>0</v>
      </c>
      <c r="O47" s="658">
        <f>+IFERROR(O$5*GETPIVOTDATA("Unique Billed Hours",'County allocation'!$K$19,"County",$D40,"HHA/CDPAP","HHA","Level of Service",$D47),0)</f>
        <v>0</v>
      </c>
      <c r="P47" s="658">
        <f>+IFERROR(P$5*GETPIVOTDATA("Unique Billed Hours",'County allocation'!$S$3,"County",$D40,"HHA/CDPAP","HHA","Level of Service",$D47),0)</f>
        <v>0</v>
      </c>
    </row>
    <row r="48" spans="1:18" s="54" customFormat="1" ht="15.75" hidden="1" thickBot="1" x14ac:dyDescent="0.3">
      <c r="A48" s="119" t="s">
        <v>342</v>
      </c>
      <c r="B48" s="309">
        <f>IFERROR(+GETPIVOTDATA("Unique Billed Hours",'County allocation'!$A$3,"County",A48,"HHA/CDPAP","HHA"),0)</f>
        <v>0</v>
      </c>
      <c r="C48" s="322">
        <f t="shared" ca="1" si="21"/>
        <v>0</v>
      </c>
      <c r="D48" s="7" t="s">
        <v>39</v>
      </c>
      <c r="E48" s="48" t="s">
        <v>52</v>
      </c>
      <c r="F48" s="657">
        <f t="shared" ca="1" si="22"/>
        <v>0</v>
      </c>
      <c r="G48" s="658">
        <f ca="1">+IFERROR(G$5*GETPIVOTDATA("Unique Billed Hours",'County allocation'!$A$3,"County",$D40,"HHA/CDPAP","HHA","Level of Service",$D48),0)</f>
        <v>0</v>
      </c>
      <c r="H48" s="658">
        <f>+IFERROR(H$5*GETPIVOTDATA("Unique Billed Hours",'County allocation'!$S$3,"County",$D40,"HHA/CDPAP","HHA","Level of Service",$D48),0)</f>
        <v>0</v>
      </c>
      <c r="I48" s="664">
        <f t="shared" ca="1" si="23"/>
        <v>0</v>
      </c>
      <c r="J48" s="658">
        <f ca="1">+IFERROR(J$5*GETPIVOTDATA("Unique Billed Hours",'County allocation'!$S$3,"County",$D40,"HHA/CDPAP","HHA","Level of Service",$D48),0)</f>
        <v>0</v>
      </c>
      <c r="K48" s="658">
        <f ca="1">+IFERROR(K$5*GETPIVOTDATA("Unique Billed Hours",'County allocation'!$X$3,"County",$D40,"HHA/CDPAP","HHA","Level of Service",$D48),0)</f>
        <v>0</v>
      </c>
      <c r="L48" s="658">
        <f ca="1">+IFERROR(L$5*GETPIVOTDATA("Unique Billed Hours",'County allocation'!$K$19,"County",$D40,"HHA/CDPAP","HHA","Level of Service",$D48),0)</f>
        <v>0</v>
      </c>
      <c r="M48" s="658">
        <f>+IFERROR(M$5*GETPIVOTDATA("Unique Billed Hours",'County allocation'!$S$3,"County",$D40,"HHA/CDPAP","HHA","Level of Service",$D48),0)</f>
        <v>0</v>
      </c>
      <c r="N48" s="658">
        <f>+IFERROR(N$5*GETPIVOTDATA("Unique Billed Hours",'County allocation'!$S$3,"County",$D40,"HHA/CDPAP","HHA","Level of Service",$D48),0)</f>
        <v>0</v>
      </c>
      <c r="O48" s="658">
        <f>+IFERROR(O$5*GETPIVOTDATA("Unique Billed Hours",'County allocation'!$K$19,"County",$D40,"HHA/CDPAP","HHA","Level of Service",$D48),0)</f>
        <v>0</v>
      </c>
      <c r="P48" s="658">
        <f>+IFERROR(P$5*GETPIVOTDATA("Unique Billed Hours",'County allocation'!$S$3,"County",$D40,"HHA/CDPAP","HHA","Level of Service",$D48),0)</f>
        <v>0</v>
      </c>
    </row>
    <row r="49" spans="1:18" s="54" customFormat="1" ht="15.75" hidden="1" thickBot="1" x14ac:dyDescent="0.3">
      <c r="A49" s="119" t="s">
        <v>343</v>
      </c>
      <c r="B49" s="309">
        <f>IFERROR(+GETPIVOTDATA("Unique Billed Hours",'County allocation'!$A$3,"County",A49,"HHA/CDPAP","HHA"),0)</f>
        <v>2.3438220793789384E-4</v>
      </c>
      <c r="C49" s="322">
        <f t="shared" ca="1" si="21"/>
        <v>0</v>
      </c>
      <c r="D49" s="8" t="s">
        <v>40</v>
      </c>
      <c r="E49" s="48" t="s">
        <v>51</v>
      </c>
      <c r="F49" s="657">
        <f t="shared" ca="1" si="22"/>
        <v>0</v>
      </c>
      <c r="G49" s="658">
        <f ca="1">+IFERROR(G$5*GETPIVOTDATA("Unique Billed Hours",'County allocation'!$A$3,"County",$D40,"HHA/CDPAP","HHA","Level of Service",$D49),0)</f>
        <v>0</v>
      </c>
      <c r="H49" s="658">
        <f>+IFERROR(H$5*GETPIVOTDATA("Unique Billed Hours",'County allocation'!$S$3,"County",$D40,"HHA/CDPAP","HHA","Level of Service",$D49),0)</f>
        <v>0</v>
      </c>
      <c r="I49" s="664">
        <f t="shared" ca="1" si="23"/>
        <v>0</v>
      </c>
      <c r="J49" s="658">
        <f ca="1">+IFERROR(J$5*GETPIVOTDATA("Unique Billed Hours",'County allocation'!$S$3,"County",$D40,"HHA/CDPAP","HHA","Level of Service",$D49),0)</f>
        <v>0</v>
      </c>
      <c r="K49" s="658">
        <f ca="1">+IFERROR(K$5*GETPIVOTDATA("Unique Billed Hours",'County allocation'!$X$3,"County",$D40,"HHA/CDPAP","HHA","Level of Service",$D49),0)</f>
        <v>0</v>
      </c>
      <c r="L49" s="658">
        <f ca="1">+IFERROR(L$2*GETPIVOTDATA("Unique Billed Hours",'County allocation'!$O$3,"County",$D40,"HHA/CDPAP","HHA","Level of Service",$D49),0)</f>
        <v>0</v>
      </c>
      <c r="M49" s="658">
        <f>+IFERROR(M$5*GETPIVOTDATA("Unique Billed Hours",'County allocation'!$S$3,"County",$D40,"HHA/CDPAP","HHA","Level of Service",$D49),0)</f>
        <v>0</v>
      </c>
      <c r="N49" s="658">
        <f>+IFERROR(N$5*GETPIVOTDATA("Unique Billed Hours",'County allocation'!$S$3,"County",$D40,"HHA/CDPAP","HHA","Level of Service",$D49),0)</f>
        <v>0</v>
      </c>
      <c r="O49" s="658">
        <f>+IFERROR(O$5*GETPIVOTDATA("Unique Billed Hours",'County allocation'!$K$19,"County",$D40,"HHA/CDPAP","HHA","Level of Service",$D49),0)</f>
        <v>0</v>
      </c>
      <c r="P49" s="658">
        <f>+IFERROR(P$5*GETPIVOTDATA("Unique Billed Hours",'County allocation'!$S$3,"County",$D40,"HHA/CDPAP","HHA","Level of Service",$D49),0)</f>
        <v>0</v>
      </c>
    </row>
    <row r="50" spans="1:18" s="54" customFormat="1" ht="15.75" hidden="1" thickBot="1" x14ac:dyDescent="0.3">
      <c r="A50" s="119" t="s">
        <v>344</v>
      </c>
      <c r="B50" s="309">
        <f>IFERROR(+GETPIVOTDATA("Unique Billed Hours",'County allocation'!$A$3,"County",A50,"HHA/CDPAP","HHA"),0)</f>
        <v>4.4993927533405302E-3</v>
      </c>
      <c r="C50" s="322">
        <f t="shared" ca="1" si="21"/>
        <v>0</v>
      </c>
      <c r="D50" s="8" t="s">
        <v>41</v>
      </c>
      <c r="E50" s="48" t="s">
        <v>50</v>
      </c>
      <c r="F50" s="657">
        <f t="shared" ca="1" si="22"/>
        <v>0</v>
      </c>
      <c r="G50" s="658">
        <f ca="1">+IFERROR(G$5*GETPIVOTDATA("Unique Billed Hours",'County allocation'!$A$3,"County",$D40,"HHA/CDPAP","HHA","Level of Service",$D50),0)</f>
        <v>0</v>
      </c>
      <c r="H50" s="658">
        <f>+IFERROR(H$5*GETPIVOTDATA("Unique Billed Hours",'County allocation'!$S$3,"County",$D40,"HHA/CDPAP","HHA","Level of Service",$D50),0)</f>
        <v>0</v>
      </c>
      <c r="I50" s="664">
        <f t="shared" ca="1" si="23"/>
        <v>0</v>
      </c>
      <c r="J50" s="658">
        <f ca="1">+IFERROR(J$5*GETPIVOTDATA("Unique Billed Hours",'County allocation'!$S$3,"County",$D40,"HHA/CDPAP","HHA","Level of Service",$D50),0)</f>
        <v>0</v>
      </c>
      <c r="K50" s="658">
        <f ca="1">+IFERROR(K$5*GETPIVOTDATA("Unique Billed Hours",'County allocation'!$X$3,"County",$D40,"HHA/CDPAP","HHA","Level of Service",$D50),0)</f>
        <v>0</v>
      </c>
      <c r="L50" s="658">
        <f ca="1">+IFERROR(L$2*GETPIVOTDATA("Unique Billed Hours",'County allocation'!$O$3,"County",$D40,"HHA/CDPAP","HHA","Level of Service",$D50),0)</f>
        <v>0</v>
      </c>
      <c r="M50" s="658">
        <f>+IFERROR(M$5*GETPIVOTDATA("Unique Billed Hours",'County allocation'!$S$3,"County",$D40,"HHA/CDPAP","HHA","Level of Service",$D50),0)</f>
        <v>0</v>
      </c>
      <c r="N50" s="658">
        <f>+IFERROR(N$5*GETPIVOTDATA("Unique Billed Hours",'County allocation'!$S$3,"County",$D40,"HHA/CDPAP","HHA","Level of Service",$D50),0)</f>
        <v>0</v>
      </c>
      <c r="O50" s="658">
        <f>+IFERROR(O$5*GETPIVOTDATA("Unique Billed Hours",'County allocation'!$K$19,"County",$D40,"HHA/CDPAP","HHA","Level of Service",$D50),0)</f>
        <v>0</v>
      </c>
      <c r="P50" s="658">
        <f>+IFERROR(P$5*GETPIVOTDATA("Unique Billed Hours",'County allocation'!$S$3,"County",$D40,"HHA/CDPAP","HHA","Level of Service",$D50),0)</f>
        <v>0</v>
      </c>
    </row>
    <row r="51" spans="1:18" s="54" customFormat="1" ht="15.75" hidden="1" thickBot="1" x14ac:dyDescent="0.3">
      <c r="A51" s="119" t="s">
        <v>345</v>
      </c>
      <c r="B51" s="309">
        <f>IFERROR(+GETPIVOTDATA("Unique Billed Hours",'County allocation'!$A$3,"County",A51,"HHA/CDPAP","HHA"),0)</f>
        <v>0</v>
      </c>
      <c r="C51" s="322">
        <f t="shared" ca="1" si="21"/>
        <v>0</v>
      </c>
      <c r="D51" s="52" t="s">
        <v>389</v>
      </c>
      <c r="E51" s="53" t="s">
        <v>49</v>
      </c>
      <c r="F51" s="657">
        <f t="shared" ca="1" si="22"/>
        <v>0</v>
      </c>
      <c r="G51" s="661">
        <f ca="1">SUM(G43:G50)</f>
        <v>0</v>
      </c>
      <c r="H51" s="661">
        <f>SUM(H43:H50)</f>
        <v>0</v>
      </c>
      <c r="I51" s="664">
        <f t="shared" ca="1" si="23"/>
        <v>0</v>
      </c>
      <c r="J51" s="661">
        <f ca="1">SUM(J43:J50)</f>
        <v>0</v>
      </c>
      <c r="K51" s="661">
        <f t="shared" ref="K51:P51" ca="1" si="24">SUM(K43:K50)</f>
        <v>0</v>
      </c>
      <c r="L51" s="661">
        <f t="shared" ref="L51" ca="1" si="25">SUM(L43:L50)</f>
        <v>0</v>
      </c>
      <c r="M51" s="661">
        <f t="shared" si="24"/>
        <v>0</v>
      </c>
      <c r="N51" s="661">
        <f t="shared" si="24"/>
        <v>0</v>
      </c>
      <c r="O51" s="661">
        <f t="shared" si="24"/>
        <v>0</v>
      </c>
      <c r="P51" s="661">
        <f t="shared" si="24"/>
        <v>0</v>
      </c>
    </row>
    <row r="52" spans="1:18" s="54" customFormat="1" ht="15.75" hidden="1" thickBot="1" x14ac:dyDescent="0.3">
      <c r="A52" s="119" t="s">
        <v>346</v>
      </c>
      <c r="B52" s="309">
        <f>IFERROR(+GETPIVOTDATA("Unique Billed Hours",'County allocation'!$A$3,"County",A52,"HHA/CDPAP","HHA"),0)</f>
        <v>0</v>
      </c>
      <c r="C52" s="322">
        <f t="shared" ca="1" si="21"/>
        <v>0</v>
      </c>
      <c r="D52" s="371" t="s">
        <v>390</v>
      </c>
      <c r="E52" s="325" t="s">
        <v>47</v>
      </c>
      <c r="F52" s="657">
        <f t="shared" ca="1" si="22"/>
        <v>0</v>
      </c>
      <c r="G52" s="665">
        <f ca="1">+IFERROR((G$5*GETPIVOTDATA("Unique Billed Hours",'County allocation'!$A$3,"County",$D40,"HHA/CDPAP","HHA","Level of Service",$D52))+($G$2*GETPIVOTDATA("Unique Billed Hours",'County allocation'!$F$7,"County",$D40,"HHA/CDPAP","HHA","Level of Service",$D52)),0)++IFERROR(J$5*GETPIVOTDATA("Unique Billed Hours",'County allocation'!$AC$3,"County",$D40,"HHA/CDPAP","HHA","Level of Service",$D52),0)+ +IFERROR(J$5*GETPIVOTDATA("Unique Billed Hours",'County allocation'!$AC$3,"County",$D40,"HHA/CDPAP","HHA","Level of Service",$D53),0)</f>
        <v>0</v>
      </c>
      <c r="H52" s="665">
        <f>+IFERROR(H$5*GETPIVOTDATA("Unique Billed Hours",'County allocation'!$S$3,"County",$D40,"HHA/CDPAP","HHA","Level of Service",$D52),0)</f>
        <v>0</v>
      </c>
      <c r="I52" s="664">
        <f t="shared" ca="1" si="23"/>
        <v>0</v>
      </c>
      <c r="J52" s="901"/>
      <c r="K52" s="665">
        <f ca="1">+IFERROR(K$5*GETPIVOTDATA("Unique Billed Hours",'County allocation'!$X$3,"County",$D40,"HHA/CDPAP","HHA","Level of Service",$D52),0)</f>
        <v>0</v>
      </c>
      <c r="L52" s="665">
        <f ca="1">+IFERROR(L$5*GETPIVOTDATA("Unique Billed Hours",'County allocation'!$K$19,"County",$D40,"HHA/CDPAP","HHA","Level of Service",$D52),0)</f>
        <v>0</v>
      </c>
      <c r="M52" s="665">
        <f>+IFERROR(M$5*GETPIVOTDATA("Unique Billed Hours",'County allocation'!$S$3,"County",$D40,"HHA/CDPAP","HHA","Level of Service",$D52),0)</f>
        <v>0</v>
      </c>
      <c r="N52" s="665">
        <f>+IFERROR(N$5*GETPIVOTDATA("Unique Billed Hours",'County allocation'!$S$3,"County",$D40,"HHA/CDPAP","HHA","Level of Service",$D52),0)</f>
        <v>0</v>
      </c>
      <c r="O52" s="665">
        <f>+IFERROR(O$5*GETPIVOTDATA("Unique Billed Hours",'County allocation'!$S$3,"County",$D40,"HHA/CDPAP","HHA","Level of Service",$D52),0)</f>
        <v>0</v>
      </c>
      <c r="P52" s="665">
        <f>+IFERROR(P$5*GETPIVOTDATA("Unique Billed Hours",'County allocation'!$S$3,"County",$D40,"HHA/CDPAP","HHA","Level of Service",$D52),0)</f>
        <v>0</v>
      </c>
    </row>
    <row r="53" spans="1:18" s="54" customFormat="1" ht="15.75" hidden="1" thickBot="1" x14ac:dyDescent="0.3">
      <c r="A53" s="119" t="s">
        <v>347</v>
      </c>
      <c r="B53" s="309">
        <f>IFERROR(+GETPIVOTDATA("Unique Billed Hours",'County allocation'!$A$3,"County",A53,"HHA/CDPAP","HHA"),0)</f>
        <v>0</v>
      </c>
      <c r="C53" s="322">
        <f t="shared" ca="1" si="21"/>
        <v>0</v>
      </c>
      <c r="D53" s="8" t="s">
        <v>391</v>
      </c>
      <c r="E53" s="370" t="s">
        <v>77</v>
      </c>
      <c r="F53" s="657">
        <f t="shared" ca="1" si="22"/>
        <v>0</v>
      </c>
      <c r="G53" s="656"/>
      <c r="H53" s="658">
        <f>+IFERROR(H$5*GETPIVOTDATA("Unique Billed Hours",'County allocation'!$S$3,"County",$D40,"HHA/CDPAP","HHA","Level of Service",$D53),0)</f>
        <v>0</v>
      </c>
      <c r="I53" s="664">
        <f t="shared" ca="1" si="23"/>
        <v>0</v>
      </c>
      <c r="J53" s="901"/>
      <c r="K53" s="665">
        <f ca="1">+IFERROR(K$5*GETPIVOTDATA("Unique Billed Hours",'County allocation'!$X$3,"County",$D40,"HHA/CDPAP","HHA","Level of Service",$D53),0)</f>
        <v>0</v>
      </c>
      <c r="L53" s="665">
        <f ca="1">+IFERROR(L$5*GETPIVOTDATA("Unique Billed Hours",'County allocation'!$K$19,"County",$D40,"HHA/CDPAP","HHA","Level of Service",$D53),0)</f>
        <v>0</v>
      </c>
      <c r="M53" s="665">
        <f>+IFERROR(M$5*GETPIVOTDATA("Unique Billed Hours",'County allocation'!$S$3,"County",$D40,"HHA/CDPAP","HHA","Level of Service",$D53),0)</f>
        <v>0</v>
      </c>
      <c r="N53" s="665">
        <f>+IFERROR(N$5*GETPIVOTDATA("Unique Billed Hours",'County allocation'!$S$3,"County",$D40,"HHA/CDPAP","HHA","Level of Service",$D53),0)</f>
        <v>0</v>
      </c>
      <c r="O53" s="665">
        <f>+IFERROR(O$5*GETPIVOTDATA("Unique Billed Hours",'County allocation'!$S$3,"County",$D40,"HHA/CDPAP","HHA","Level of Service",$D53),0)</f>
        <v>0</v>
      </c>
      <c r="P53" s="665">
        <f>+IFERROR(P$5*GETPIVOTDATA("Unique Billed Hours",'County allocation'!$S$3,"County",$D40,"HHA/CDPAP","HHA","Level of Service",$D53),0)</f>
        <v>0</v>
      </c>
    </row>
    <row r="54" spans="1:18" s="54" customFormat="1" ht="15.75" hidden="1" thickBot="1" x14ac:dyDescent="0.3">
      <c r="A54" s="119" t="s">
        <v>348</v>
      </c>
      <c r="B54" s="309">
        <f>IFERROR(+GETPIVOTDATA("Unique Billed Hours",'County allocation'!$A$3,"County",A54,"HHA/CDPAP","HHA"),0)</f>
        <v>0</v>
      </c>
      <c r="C54" s="322">
        <f t="shared" ca="1" si="21"/>
        <v>0</v>
      </c>
      <c r="D54" s="8" t="s">
        <v>374</v>
      </c>
      <c r="E54" s="370" t="s">
        <v>78</v>
      </c>
      <c r="F54" s="657">
        <f t="shared" ca="1" si="22"/>
        <v>0</v>
      </c>
      <c r="G54" s="658">
        <f ca="1">+IFERROR(G$5*GETPIVOTDATA("Unique Billed Hours",'County allocation'!$A$3,"County",$D40,"HHA/CDPAP","HHA","Level of Service",$D54),0)++IFERROR(J$5*GETPIVOTDATA("Unique Billed Hours",'County allocation'!$AC$3,"County",$D40,"HHA/CDPAP","HHA","Level of Service",$D54),0)</f>
        <v>0</v>
      </c>
      <c r="H54" s="658">
        <f>+IFERROR(H$5*GETPIVOTDATA("Unique Billed Hours",'County allocation'!$S$3,"County",$D40,"HHA/CDPAP","HHA","Level of Service",$D54),0)</f>
        <v>0</v>
      </c>
      <c r="I54" s="664">
        <f t="shared" ca="1" si="23"/>
        <v>0</v>
      </c>
      <c r="J54" s="901"/>
      <c r="K54" s="665">
        <f ca="1">+IFERROR(K$5*GETPIVOTDATA("Unique Billed Hours",'County allocation'!$X$3,"County",$D40,"HHA/CDPAP","HHA","Level of Service",$D54),0)</f>
        <v>0</v>
      </c>
      <c r="L54" s="665">
        <f ca="1">+IFERROR(L$5*GETPIVOTDATA("Unique Billed Hours",'County allocation'!$K$19,"County",$D40,"HHA/CDPAP","HHA","Level of Service",$D54),0)</f>
        <v>0</v>
      </c>
      <c r="M54" s="665">
        <f>+IFERROR(M$5*GETPIVOTDATA("Unique Billed Hours",'County allocation'!$S$3,"County",$D40,"HHA/CDPAP","HHA","Level of Service",$D54),0)</f>
        <v>0</v>
      </c>
      <c r="N54" s="665">
        <f>+IFERROR(N$5*GETPIVOTDATA("Unique Billed Hours",'County allocation'!$S$3,"County",$D40,"HHA/CDPAP","HHA","Level of Service",$D54),0)</f>
        <v>0</v>
      </c>
      <c r="O54" s="665">
        <f>+IFERROR(O$5*GETPIVOTDATA("Unique Billed Hours",'County allocation'!$S$3,"County",$D40,"HHA/CDPAP","HHA","Level of Service",$D54),0)</f>
        <v>0</v>
      </c>
      <c r="P54" s="665">
        <f>+IFERROR(P$5*GETPIVOTDATA("Unique Billed Hours",'County allocation'!$S$3,"County",$D40,"HHA/CDPAP","HHA","Level of Service",$D54),0)</f>
        <v>0</v>
      </c>
    </row>
    <row r="55" spans="1:18" s="54" customFormat="1" ht="15.75" hidden="1" thickBot="1" x14ac:dyDescent="0.3">
      <c r="A55" s="119" t="s">
        <v>349</v>
      </c>
      <c r="B55" s="309">
        <f>IFERROR(+GETPIVOTDATA("Unique Billed Hours",'County allocation'!$A$3,"County",A55,"HHA/CDPAP","HHA"),0)</f>
        <v>1.3789830938469415E-5</v>
      </c>
      <c r="C55" s="322">
        <f ca="1">C54</f>
        <v>0</v>
      </c>
      <c r="D55" s="52" t="s">
        <v>48</v>
      </c>
      <c r="E55" s="53" t="s">
        <v>79</v>
      </c>
      <c r="F55" s="657">
        <f t="shared" ca="1" si="22"/>
        <v>0</v>
      </c>
      <c r="G55" s="661">
        <f t="shared" ref="G55" ca="1" si="26">SUM(G51:G54)</f>
        <v>0</v>
      </c>
      <c r="H55" s="661">
        <f t="shared" ref="H55:P55" si="27">SUM(H51:H54)</f>
        <v>0</v>
      </c>
      <c r="I55" s="661">
        <f t="shared" ca="1" si="27"/>
        <v>0</v>
      </c>
      <c r="J55" s="661">
        <f t="shared" ca="1" si="27"/>
        <v>0</v>
      </c>
      <c r="K55" s="661">
        <f t="shared" ca="1" si="27"/>
        <v>0</v>
      </c>
      <c r="L55" s="661">
        <f t="shared" ref="L55" ca="1" si="28">SUM(L51:L54)</f>
        <v>0</v>
      </c>
      <c r="M55" s="661">
        <f t="shared" si="27"/>
        <v>0</v>
      </c>
      <c r="N55" s="661">
        <f t="shared" si="27"/>
        <v>0</v>
      </c>
      <c r="O55" s="661">
        <f t="shared" si="27"/>
        <v>0</v>
      </c>
      <c r="P55" s="661">
        <f t="shared" si="27"/>
        <v>0</v>
      </c>
    </row>
    <row r="56" spans="1:18" s="54" customFormat="1" ht="15.75" hidden="1" thickBot="1" x14ac:dyDescent="0.3">
      <c r="A56" s="119" t="s">
        <v>350</v>
      </c>
      <c r="B56" s="309">
        <f>IFERROR(+GETPIVOTDATA("Unique Billed Hours",'County allocation'!$A$3,"County",A56,"HHA/CDPAP","HHA"),0)</f>
        <v>0</v>
      </c>
      <c r="C56" s="322"/>
      <c r="E56" s="55"/>
      <c r="F56" s="666"/>
      <c r="G56" s="666"/>
      <c r="H56" s="666"/>
      <c r="I56" s="666"/>
      <c r="J56" s="666"/>
      <c r="K56" s="666"/>
      <c r="L56" s="666"/>
      <c r="M56" s="666"/>
      <c r="N56" s="666"/>
      <c r="O56" s="666"/>
      <c r="P56" s="666"/>
    </row>
    <row r="57" spans="1:18" s="54" customFormat="1" ht="75" x14ac:dyDescent="0.25">
      <c r="A57" s="119" t="s">
        <v>351</v>
      </c>
      <c r="B57" s="309">
        <f>IFERROR(+GETPIVOTDATA("Unique Billed Hours",'County allocation'!$A$3,"County",A57,"HHA/CDPAP","HHA"),0)</f>
        <v>0</v>
      </c>
      <c r="C57" s="322">
        <f ca="1">IF(F72&gt;0,1,0)</f>
        <v>1</v>
      </c>
      <c r="D57" s="45" t="str">
        <f>A6</f>
        <v>Bronx</v>
      </c>
      <c r="E57" s="28">
        <f>+SUMIF(A:A,D57,B:B)</f>
        <v>0.11142587660428063</v>
      </c>
      <c r="F57" s="652" t="s">
        <v>61</v>
      </c>
      <c r="G57" s="652" t="s">
        <v>387</v>
      </c>
      <c r="H57" s="652" t="s">
        <v>388</v>
      </c>
      <c r="I57" s="652" t="s">
        <v>392</v>
      </c>
      <c r="J57" s="652" t="s">
        <v>31</v>
      </c>
      <c r="K57" s="652" t="s">
        <v>32</v>
      </c>
      <c r="L57" s="653" t="s">
        <v>33</v>
      </c>
      <c r="M57" s="653" t="s">
        <v>60</v>
      </c>
      <c r="N57" s="653" t="s">
        <v>59</v>
      </c>
      <c r="O57" s="653" t="s">
        <v>58</v>
      </c>
      <c r="P57" s="653" t="s">
        <v>16</v>
      </c>
    </row>
    <row r="58" spans="1:18" s="54" customFormat="1" x14ac:dyDescent="0.25">
      <c r="A58" s="119" t="s">
        <v>352</v>
      </c>
      <c r="B58" s="309">
        <f>IFERROR(+GETPIVOTDATA("Unique Billed Hours",'County allocation'!$A$3,"County",A58,"HHA/CDPAP","HHA"),0)</f>
        <v>0</v>
      </c>
      <c r="C58" s="322">
        <f ca="1">C57</f>
        <v>1</v>
      </c>
      <c r="D58" s="56"/>
      <c r="E58" s="57"/>
      <c r="F58" s="654" t="s">
        <v>57</v>
      </c>
      <c r="G58" s="654" t="s">
        <v>56</v>
      </c>
      <c r="H58" s="654" t="s">
        <v>55</v>
      </c>
      <c r="I58" s="654" t="s">
        <v>54</v>
      </c>
      <c r="J58" s="654" t="s">
        <v>53</v>
      </c>
      <c r="K58" s="654" t="s">
        <v>52</v>
      </c>
      <c r="L58" s="654" t="s">
        <v>51</v>
      </c>
      <c r="M58" s="654" t="s">
        <v>50</v>
      </c>
      <c r="N58" s="654" t="s">
        <v>49</v>
      </c>
      <c r="O58" s="654" t="s">
        <v>47</v>
      </c>
      <c r="P58" s="655" t="s">
        <v>77</v>
      </c>
    </row>
    <row r="59" spans="1:18" s="54" customFormat="1" x14ac:dyDescent="0.25">
      <c r="A59" s="119" t="s">
        <v>353</v>
      </c>
      <c r="B59" s="309">
        <f>IFERROR(+GETPIVOTDATA("Unique Billed Hours",'County allocation'!$A$3,"County",A59,"HHA/CDPAP","HHA"),0)</f>
        <v>0</v>
      </c>
      <c r="C59" s="322">
        <f t="shared" ref="C59:C71" ca="1" si="29">C58</f>
        <v>1</v>
      </c>
      <c r="D59" s="59" t="s">
        <v>26</v>
      </c>
      <c r="E59" s="57"/>
      <c r="F59" s="656"/>
      <c r="G59" s="656"/>
      <c r="H59" s="656"/>
      <c r="I59" s="656"/>
      <c r="J59" s="656"/>
      <c r="K59" s="656"/>
      <c r="L59" s="656"/>
      <c r="M59" s="656"/>
      <c r="N59" s="656"/>
      <c r="O59" s="656"/>
      <c r="P59" s="663"/>
    </row>
    <row r="60" spans="1:18" s="54" customFormat="1" x14ac:dyDescent="0.25">
      <c r="A60" s="119" t="s">
        <v>354</v>
      </c>
      <c r="B60" s="309">
        <f>IFERROR(+GETPIVOTDATA("Unique Billed Hours",'County allocation'!$A$3,"County",A60,"HHA/CDPAP","HHA"),0)</f>
        <v>0</v>
      </c>
      <c r="C60" s="322">
        <f t="shared" ca="1" si="29"/>
        <v>1</v>
      </c>
      <c r="D60" s="7" t="s">
        <v>34</v>
      </c>
      <c r="E60" s="48" t="s">
        <v>57</v>
      </c>
      <c r="F60" s="657">
        <f ca="1">+H60+G60+I60</f>
        <v>13476.529802607958</v>
      </c>
      <c r="G60" s="658">
        <f ca="1">+IFERROR(G$5*GETPIVOTDATA("Unique Billed Hours",'County allocation'!$A$3,"County",$D57,"HHA/CDPAP","HHA","Level of Service",$D60),0)</f>
        <v>452.09600335747501</v>
      </c>
      <c r="H60" s="658">
        <f>+IFERROR(H$5*GETPIVOTDATA("Unique Billed Hours",'County allocation'!$S$3,"County",$D57,"HHA/CDPAP","HHA","Level of Service",$D60),0)</f>
        <v>773.35473037118732</v>
      </c>
      <c r="I60" s="664">
        <f ca="1">SUM(J60:P60)</f>
        <v>12251.079068879295</v>
      </c>
      <c r="J60" s="658">
        <f ca="1">+IFERROR(J$5*GETPIVOTDATA("Unique Billed Hours",'County allocation'!$AC$3,"County",$D57,"HHA/CDPAP","HHA","Level of Service",$D60),0)</f>
        <v>1610.1609605266017</v>
      </c>
      <c r="K60" s="658">
        <f ca="1">+IFERROR(K$5*GETPIVOTDATA("Unique Billed Hours",'County allocation'!$X$3,"County",$D57,"HHA/CDPAP","HHA","Level of Service",$D60),0)</f>
        <v>10409.052786401708</v>
      </c>
      <c r="L60" s="658">
        <f ca="1">+IFERROR(L$2*GETPIVOTDATA("Unique Billed Hours",'County allocation'!$O$3,"County",$D57,"HHA/CDPAP","HHA","Level of Service",$D60),0)</f>
        <v>149.29533439300758</v>
      </c>
      <c r="M60" s="658">
        <f>+IFERROR(M$5*GETPIVOTDATA("Unique Billed Hours",'County allocation'!$S$3,"County",$D57,"HHA/CDPAP","HHA","Level of Service",$D60),0)</f>
        <v>76.188791346499173</v>
      </c>
      <c r="N60" s="658">
        <f>+IFERROR(N$5*GETPIVOTDATA("Unique Billed Hours",'County allocation'!$S$3,"County",$D57,"HHA/CDPAP","HHA","Level of Service",$D60),0)</f>
        <v>6.3811962114771887</v>
      </c>
      <c r="O60" s="658">
        <f>+IFERROR(O$5*GETPIVOTDATA("Unique Billed Hours",'County allocation'!$K$19,"County",$D57,"HHA/CDPAP","HHA","Level of Service",$D60),0)</f>
        <v>0</v>
      </c>
      <c r="P60" s="658">
        <f>+IFERROR(P$5*GETPIVOTDATA("Unique Billed Hours",'County allocation'!$S$3,"County",$D57,"HHA/CDPAP","HHA","Level of Service",$D60),0)</f>
        <v>0</v>
      </c>
    </row>
    <row r="61" spans="1:18" s="54" customFormat="1" x14ac:dyDescent="0.25">
      <c r="A61" s="119" t="s">
        <v>355</v>
      </c>
      <c r="B61" s="309">
        <f>IFERROR(+GETPIVOTDATA("Unique Billed Hours",'County allocation'!$A$3,"County",A61,"HHA/CDPAP","HHA"),0)</f>
        <v>0</v>
      </c>
      <c r="C61" s="322">
        <f t="shared" ca="1" si="29"/>
        <v>1</v>
      </c>
      <c r="D61" s="7" t="s">
        <v>35</v>
      </c>
      <c r="E61" s="48" t="s">
        <v>56</v>
      </c>
      <c r="F61" s="657">
        <f t="shared" ref="F61:F72" ca="1" si="30">+H61+G61+I61</f>
        <v>10743339.914976927</v>
      </c>
      <c r="G61" s="658">
        <f ca="1">+IFERROR(G$5*GETPIVOTDATA("Unique Billed Hours",'County allocation'!$A$3,"County",$D57,"HHA/CDPAP","HHA","Level of Service",$D61),0)</f>
        <v>360405.91379332542</v>
      </c>
      <c r="H61" s="658">
        <f>+IFERROR(H$5*GETPIVOTDATA("Unique Billed Hours",'County allocation'!$S$3,"County",$D57,"HHA/CDPAP","HHA","Level of Service",$D61),0)</f>
        <v>616509.80370519159</v>
      </c>
      <c r="I61" s="664">
        <f t="shared" ref="I61:I71" ca="1" si="31">SUM(J61:P61)</f>
        <v>9766424.1974784099</v>
      </c>
      <c r="J61" s="658">
        <f ca="1">+IFERROR(J$5*GETPIVOTDATA("Unique Billed Hours",'County allocation'!$AC$3,"County",$D57,"HHA/CDPAP","HHA","Level of Service",$D61),0)</f>
        <v>1283602.43847162</v>
      </c>
      <c r="K61" s="658">
        <f ca="1">+IFERROR(K$5*GETPIVOTDATA("Unique Billed Hours",'County allocation'!$X$3,"County",$D57,"HHA/CDPAP","HHA","Level of Service",$D61),0)</f>
        <v>8297981.2989847343</v>
      </c>
      <c r="L61" s="658">
        <f ca="1">+IFERROR(L$2*GETPIVOTDATA("Unique Billed Hours",'County allocation'!$O$3,"County",$D57,"HHA/CDPAP","HHA","Level of Service",$D61),0)</f>
        <v>119016.58279966375</v>
      </c>
      <c r="M61" s="658">
        <f>+IFERROR(M$5*GETPIVOTDATA("Unique Billed Hours",'County allocation'!$S$3,"County",$D57,"HHA/CDPAP","HHA","Level of Service",$D61),0)</f>
        <v>60736.85845953416</v>
      </c>
      <c r="N61" s="658">
        <f>+IFERROR(N$5*GETPIVOTDATA("Unique Billed Hours",'County allocation'!$S$3,"County",$D57,"HHA/CDPAP","HHA","Level of Service",$D61),0)</f>
        <v>5087.0187628565709</v>
      </c>
      <c r="O61" s="658">
        <f>+IFERROR(O$5*GETPIVOTDATA("Unique Billed Hours",'County allocation'!$K$19,"County",$D57,"HHA/CDPAP","HHA","Level of Service",$D61),0)</f>
        <v>0</v>
      </c>
      <c r="P61" s="658">
        <f>+IFERROR(P$5*GETPIVOTDATA("Unique Billed Hours",'County allocation'!$S$3,"County",$D57,"HHA/CDPAP","HHA","Level of Service",$D61),0)</f>
        <v>0</v>
      </c>
      <c r="R61" s="61"/>
    </row>
    <row r="62" spans="1:18" s="54" customFormat="1" x14ac:dyDescent="0.25">
      <c r="A62" s="119" t="s">
        <v>361</v>
      </c>
      <c r="B62" s="309">
        <f>IFERROR(+GETPIVOTDATA("Unique Billed Hours",'County allocation'!$A$3,"County",A62,"HHA/CDPAP","HHA"),0)</f>
        <v>0</v>
      </c>
      <c r="C62" s="322">
        <f t="shared" ca="1" si="29"/>
        <v>1</v>
      </c>
      <c r="D62" s="7" t="s">
        <v>36</v>
      </c>
      <c r="E62" s="48" t="s">
        <v>55</v>
      </c>
      <c r="F62" s="657">
        <f t="shared" ca="1" si="30"/>
        <v>0</v>
      </c>
      <c r="G62" s="658">
        <f ca="1">+IFERROR(G$5*GETPIVOTDATA("Unique Billed Hours",'County allocation'!$A$3,"County",$D57,"HHA/CDPAP","HHA","Level of Service",$D62),0)</f>
        <v>0</v>
      </c>
      <c r="H62" s="658">
        <f>+IFERROR(H$5*GETPIVOTDATA("Unique Billed Hours",'County allocation'!$S$3,"County",$D57,"HHA/CDPAP","HHA","Level of Service",$D62),0)</f>
        <v>0</v>
      </c>
      <c r="I62" s="664">
        <f t="shared" ca="1" si="31"/>
        <v>0</v>
      </c>
      <c r="J62" s="658">
        <f ca="1">+IFERROR(J$5*GETPIVOTDATA("Unique Billed Hours",'County allocation'!$AC$3,"County",$D57,"HHA/CDPAP","HHA","Level of Service",$D62),0)</f>
        <v>0</v>
      </c>
      <c r="K62" s="658">
        <f ca="1">+IFERROR(K$5*GETPIVOTDATA("Unique Billed Hours",'County allocation'!$X$3,"County",$D57,"HHA/CDPAP","HHA","Level of Service",$D62),0)</f>
        <v>0</v>
      </c>
      <c r="L62" s="658">
        <f ca="1">+IFERROR(L$2*GETPIVOTDATA("Unique Billed Hours",'County allocation'!$O$3,"County",$D57,"HHA/CDPAP","HHA","Level of Service",$D62),0)</f>
        <v>0</v>
      </c>
      <c r="M62" s="658">
        <f>+IFERROR(M$5*GETPIVOTDATA("Unique Billed Hours",'County allocation'!$S$3,"County",$D57,"HHA/CDPAP","HHA","Level of Service",$D62),0)</f>
        <v>0</v>
      </c>
      <c r="N62" s="658">
        <f>+IFERROR(N$5*GETPIVOTDATA("Unique Billed Hours",'County allocation'!$S$3,"County",$D57,"HHA/CDPAP","HHA","Level of Service",$D62),0)</f>
        <v>0</v>
      </c>
      <c r="O62" s="658">
        <f>+IFERROR(O$5*GETPIVOTDATA("Unique Billed Hours",'County allocation'!$K$19,"County",$D57,"HHA/CDPAP","HHA","Level of Service",$D62),0)</f>
        <v>0</v>
      </c>
      <c r="P62" s="658">
        <f>+IFERROR(P$5*GETPIVOTDATA("Unique Billed Hours",'County allocation'!$S$3,"County",$D57,"HHA/CDPAP","HHA","Level of Service",$D62),0)</f>
        <v>0</v>
      </c>
    </row>
    <row r="63" spans="1:18" s="54" customFormat="1" x14ac:dyDescent="0.25">
      <c r="A63" s="119" t="s">
        <v>362</v>
      </c>
      <c r="B63" s="309">
        <f>IFERROR(+GETPIVOTDATA("Unique Billed Hours",'County allocation'!$A$3,"County",A63,"HHA/CDPAP","HHA"),0)</f>
        <v>3.234950600513449E-2</v>
      </c>
      <c r="C63" s="322">
        <f t="shared" ca="1" si="29"/>
        <v>1</v>
      </c>
      <c r="D63" s="7" t="s">
        <v>37</v>
      </c>
      <c r="E63" s="48" t="s">
        <v>54</v>
      </c>
      <c r="F63" s="657">
        <f t="shared" ca="1" si="30"/>
        <v>725376.15167272836</v>
      </c>
      <c r="G63" s="658">
        <f ca="1">+IFERROR(G$5*GETPIVOTDATA("Unique Billed Hours",'County allocation'!$A$3,"County",$D57,"HHA/CDPAP","HHA","Level of Service",$D63),0)</f>
        <v>24334.13229558575</v>
      </c>
      <c r="H63" s="658">
        <f>+IFERROR(H$5*GETPIVOTDATA("Unique Billed Hours",'County allocation'!$S$3,"County",$D57,"HHA/CDPAP","HHA","Level of Service",$D63),0)</f>
        <v>41625.929405505696</v>
      </c>
      <c r="I63" s="664">
        <f t="shared" ca="1" si="31"/>
        <v>659416.08997163689</v>
      </c>
      <c r="J63" s="658">
        <f ca="1">+IFERROR(J$5*GETPIVOTDATA("Unique Billed Hours",'County allocation'!$AC$3,"County",$D57,"HHA/CDPAP","HHA","Level of Service",$D63),0)</f>
        <v>86667.144897674341</v>
      </c>
      <c r="K63" s="658">
        <f ca="1">+IFERROR(K$5*GETPIVOTDATA("Unique Billed Hours",'County allocation'!$X$3,"County",$D57,"HHA/CDPAP","HHA","Level of Service",$D63),0)</f>
        <v>560268.7608272275</v>
      </c>
      <c r="L63" s="658">
        <f ca="1">+IFERROR(L$2*GETPIVOTDATA("Unique Billed Hours",'County allocation'!$O$3,"County",$D57,"HHA/CDPAP","HHA","Level of Service",$D63),0)</f>
        <v>8035.8428104938303</v>
      </c>
      <c r="M63" s="658">
        <f>+IFERROR(M$5*GETPIVOTDATA("Unique Billed Hours",'County allocation'!$S$3,"County",$D57,"HHA/CDPAP","HHA","Level of Service",$D63),0)</f>
        <v>4100.8726339049945</v>
      </c>
      <c r="N63" s="658">
        <f>+IFERROR(N$5*GETPIVOTDATA("Unique Billed Hours",'County allocation'!$S$3,"County",$D57,"HHA/CDPAP","HHA","Level of Service",$D63),0)</f>
        <v>343.46880233620425</v>
      </c>
      <c r="O63" s="658">
        <f>+IFERROR(O$5*GETPIVOTDATA("Unique Billed Hours",'County allocation'!$K$19,"County",$D57,"HHA/CDPAP","HHA","Level of Service",$D63),0)</f>
        <v>0</v>
      </c>
      <c r="P63" s="658">
        <f>+IFERROR(P$5*GETPIVOTDATA("Unique Billed Hours",'County allocation'!$S$3,"County",$D57,"HHA/CDPAP","HHA","Level of Service",$D63),0)</f>
        <v>0</v>
      </c>
    </row>
    <row r="64" spans="1:18" s="54" customFormat="1" x14ac:dyDescent="0.25">
      <c r="A64" s="119" t="s">
        <v>363</v>
      </c>
      <c r="B64" s="309">
        <f>IFERROR(+GETPIVOTDATA("Unique Billed Hours",'County allocation'!$A$3,"County",A64,"HHA/CDPAP","HHA"),0)</f>
        <v>0</v>
      </c>
      <c r="C64" s="322">
        <f t="shared" ca="1" si="29"/>
        <v>1</v>
      </c>
      <c r="D64" s="7" t="s">
        <v>38</v>
      </c>
      <c r="E64" s="48" t="s">
        <v>53</v>
      </c>
      <c r="F64" s="657">
        <f t="shared" ca="1" si="30"/>
        <v>36463.850399368246</v>
      </c>
      <c r="G64" s="658">
        <f ca="1">+IFERROR(G$5*GETPIVOTDATA("Unique Billed Hours",'County allocation'!$A$3,"County",$D57,"HHA/CDPAP","HHA","Level of Service",$D64),0)</f>
        <v>0</v>
      </c>
      <c r="H64" s="658">
        <f>+IFERROR(H$5*GETPIVOTDATA("Unique Billed Hours",'County allocation'!$S$3,"County",$D57,"HHA/CDPAP","HHA","Level of Service",$D64),0)</f>
        <v>0</v>
      </c>
      <c r="I64" s="664">
        <f t="shared" ca="1" si="31"/>
        <v>36463.850399368246</v>
      </c>
      <c r="J64" s="658">
        <f ca="1">+IFERROR(J$5*GETPIVOTDATA("Unique Billed Hours",'County allocation'!$AC$3,"County",$D57,"HHA/CDPAP","HHA","Level of Service",$D64),0)</f>
        <v>719.28058223906908</v>
      </c>
      <c r="K64" s="658">
        <f ca="1">+IFERROR(K$5*GETPIVOTDATA("Unique Billed Hours",'County allocation'!$X$3,"County",$D57,"HHA/CDPAP","HHA","Level of Service",$D64),0)</f>
        <v>0</v>
      </c>
      <c r="L64" s="658">
        <f ca="1">+IFERROR(L$5*GETPIVOTDATA("Unique Billed Hours",'County allocation'!$K$19,"County",$D57,"HHA/CDPAP","HHA","Level of Service",$D64),0)</f>
        <v>35744.569817129181</v>
      </c>
      <c r="M64" s="658">
        <f>+IFERROR(M$5*GETPIVOTDATA("Unique Billed Hours",'County allocation'!$S$3,"County",$D57,"HHA/CDPAP","HHA","Level of Service",$D64),0)</f>
        <v>0</v>
      </c>
      <c r="N64" s="658">
        <f>+IFERROR(N$5*GETPIVOTDATA("Unique Billed Hours",'County allocation'!$S$3,"County",$D57,"HHA/CDPAP","HHA","Level of Service",$D64),0)</f>
        <v>0</v>
      </c>
      <c r="O64" s="658">
        <f>+IFERROR(O$5*GETPIVOTDATA("Unique Billed Hours",'County allocation'!$K$19,"County",$D57,"HHA/CDPAP","HHA","Level of Service",$D64),0)</f>
        <v>0</v>
      </c>
      <c r="P64" s="658">
        <f>+IFERROR(P$5*GETPIVOTDATA("Unique Billed Hours",'County allocation'!$S$3,"County",$D57,"HHA/CDPAP","HHA","Level of Service",$D64),0)</f>
        <v>0</v>
      </c>
    </row>
    <row r="65" spans="1:18" s="54" customFormat="1" x14ac:dyDescent="0.25">
      <c r="A65" s="119" t="s">
        <v>364</v>
      </c>
      <c r="B65" s="309">
        <f>IFERROR(+GETPIVOTDATA("Unique Billed Hours",'County allocation'!$A$3,"County",A65,"HHA/CDPAP","HHA"),0)</f>
        <v>0</v>
      </c>
      <c r="C65" s="322">
        <f t="shared" ca="1" si="29"/>
        <v>1</v>
      </c>
      <c r="D65" s="7" t="s">
        <v>39</v>
      </c>
      <c r="E65" s="48" t="s">
        <v>52</v>
      </c>
      <c r="F65" s="657">
        <f t="shared" ca="1" si="30"/>
        <v>6821.4817729900769</v>
      </c>
      <c r="G65" s="658">
        <f ca="1">+IFERROR(G$5*GETPIVOTDATA("Unique Billed Hours",'County allocation'!$A$3,"County",$D57,"HHA/CDPAP","HHA","Level of Service",$D65),0)</f>
        <v>0</v>
      </c>
      <c r="H65" s="658">
        <f>+IFERROR(H$5*GETPIVOTDATA("Unique Billed Hours",'County allocation'!$S$3,"County",$D57,"HHA/CDPAP","HHA","Level of Service",$D65),0)</f>
        <v>0</v>
      </c>
      <c r="I65" s="664">
        <f t="shared" ca="1" si="31"/>
        <v>6821.4817729900769</v>
      </c>
      <c r="J65" s="658">
        <f ca="1">+IFERROR(J$5*GETPIVOTDATA("Unique Billed Hours",'County allocation'!$AC$3,"County",$D57,"HHA/CDPAP","HHA","Level of Service",$D65),0)</f>
        <v>2482.5455524137014</v>
      </c>
      <c r="K65" s="658">
        <f ca="1">+IFERROR(K$5*GETPIVOTDATA("Unique Billed Hours",'County allocation'!$X$3,"County",$D57,"HHA/CDPAP","HHA","Level of Service",$D65),0)</f>
        <v>0</v>
      </c>
      <c r="L65" s="658">
        <f ca="1">+IFERROR(L$5*GETPIVOTDATA("Unique Billed Hours",'County allocation'!$K$19,"County",$D57,"HHA/CDPAP","HHA","Level of Service",$D65),0)</f>
        <v>4338.9362205763755</v>
      </c>
      <c r="M65" s="658">
        <f>+IFERROR(M$5*GETPIVOTDATA("Unique Billed Hours",'County allocation'!$S$3,"County",$D57,"HHA/CDPAP","HHA","Level of Service",$D65),0)</f>
        <v>0</v>
      </c>
      <c r="N65" s="658">
        <f>+IFERROR(N$5*GETPIVOTDATA("Unique Billed Hours",'County allocation'!$S$3,"County",$D57,"HHA/CDPAP","HHA","Level of Service",$D65),0)</f>
        <v>0</v>
      </c>
      <c r="O65" s="658">
        <f>+IFERROR(O$5*GETPIVOTDATA("Unique Billed Hours",'County allocation'!$K$19,"County",$D57,"HHA/CDPAP","HHA","Level of Service",$D65),0)</f>
        <v>0</v>
      </c>
      <c r="P65" s="658">
        <f>+IFERROR(P$5*GETPIVOTDATA("Unique Billed Hours",'County allocation'!$S$3,"County",$D57,"HHA/CDPAP","HHA","Level of Service",$D65),0)</f>
        <v>0</v>
      </c>
    </row>
    <row r="66" spans="1:18" s="54" customFormat="1" x14ac:dyDescent="0.25">
      <c r="A66" s="119"/>
      <c r="B66" s="309"/>
      <c r="C66" s="322">
        <f t="shared" ca="1" si="29"/>
        <v>1</v>
      </c>
      <c r="D66" s="8" t="s">
        <v>40</v>
      </c>
      <c r="E66" s="48" t="s">
        <v>51</v>
      </c>
      <c r="F66" s="657">
        <f t="shared" ca="1" si="30"/>
        <v>0</v>
      </c>
      <c r="G66" s="658">
        <f ca="1">+IFERROR(G$5*GETPIVOTDATA("Unique Billed Hours",'County allocation'!$A$3,"County",$D57,"HHA/CDPAP","HHA","Level of Service",$D66),0)</f>
        <v>0</v>
      </c>
      <c r="H66" s="658">
        <f>+IFERROR(H$5*GETPIVOTDATA("Unique Billed Hours",'County allocation'!$S$3,"County",$D57,"HHA/CDPAP","HHA","Level of Service",$D66),0)</f>
        <v>0</v>
      </c>
      <c r="I66" s="664">
        <f t="shared" ca="1" si="31"/>
        <v>0</v>
      </c>
      <c r="J66" s="658">
        <f ca="1">+IFERROR(J$5*GETPIVOTDATA("Unique Billed Hours",'County allocation'!$AC$3,"County",$D57,"HHA/CDPAP","HHA","Level of Service",$D66),0)</f>
        <v>0</v>
      </c>
      <c r="K66" s="658">
        <f ca="1">+IFERROR(K$5*GETPIVOTDATA("Unique Billed Hours",'County allocation'!$X$3,"County",$D57,"HHA/CDPAP","HHA","Level of Service",$D66),0)</f>
        <v>0</v>
      </c>
      <c r="L66" s="658">
        <f ca="1">+IFERROR(L$2*GETPIVOTDATA("Unique Billed Hours",'County allocation'!$O$3,"County",$D57,"HHA/CDPAP","HHA","Level of Service",$D66),0)</f>
        <v>0</v>
      </c>
      <c r="M66" s="658">
        <f>+IFERROR(M$5*GETPIVOTDATA("Unique Billed Hours",'County allocation'!$S$3,"County",$D57,"HHA/CDPAP","HHA","Level of Service",$D66),0)</f>
        <v>0</v>
      </c>
      <c r="N66" s="658">
        <f>+IFERROR(N$5*GETPIVOTDATA("Unique Billed Hours",'County allocation'!$S$3,"County",$D57,"HHA/CDPAP","HHA","Level of Service",$D66),0)</f>
        <v>0</v>
      </c>
      <c r="O66" s="658">
        <f>+IFERROR(O$5*GETPIVOTDATA("Unique Billed Hours",'County allocation'!$K$19,"County",$D57,"HHA/CDPAP","HHA","Level of Service",$D66),0)</f>
        <v>0</v>
      </c>
      <c r="P66" s="658">
        <f>+IFERROR(P$5*GETPIVOTDATA("Unique Billed Hours",'County allocation'!$S$3,"County",$D57,"HHA/CDPAP","HHA","Level of Service",$D66),0)</f>
        <v>0</v>
      </c>
    </row>
    <row r="67" spans="1:18" s="54" customFormat="1" x14ac:dyDescent="0.25">
      <c r="A67" s="902"/>
      <c r="B67" s="309"/>
      <c r="C67" s="322">
        <f t="shared" ca="1" si="29"/>
        <v>1</v>
      </c>
      <c r="D67" s="8" t="s">
        <v>41</v>
      </c>
      <c r="E67" s="48" t="s">
        <v>50</v>
      </c>
      <c r="F67" s="657">
        <f t="shared" ca="1" si="30"/>
        <v>473303.98286964017</v>
      </c>
      <c r="G67" s="658">
        <f ca="1">+IFERROR(G$5*GETPIVOTDATA("Unique Billed Hours",'County allocation'!$A$3,"County",$D57,"HHA/CDPAP","HHA","Level of Service",$D67),0)</f>
        <v>15877.888608025067</v>
      </c>
      <c r="H67" s="658">
        <f>+IFERROR(H$5*GETPIVOTDATA("Unique Billed Hours",'County allocation'!$S$3,"County",$D57,"HHA/CDPAP","HHA","Level of Service",$D67),0)</f>
        <v>27160.691915282652</v>
      </c>
      <c r="I67" s="664">
        <f t="shared" ca="1" si="31"/>
        <v>430265.40234633244</v>
      </c>
      <c r="J67" s="658">
        <f ca="1">+IFERROR(J$5*GETPIVOTDATA("Unique Billed Hours",'County allocation'!$AC$3,"County",$D57,"HHA/CDPAP","HHA","Level of Service",$D67),0)</f>
        <v>56549.839375635609</v>
      </c>
      <c r="K67" s="658">
        <f ca="1">+IFERROR(K$5*GETPIVOTDATA("Unique Billed Hours",'County allocation'!$X$3,"County",$D57,"HHA/CDPAP","HHA","Level of Service",$D67),0)</f>
        <v>365572.31081482547</v>
      </c>
      <c r="L67" s="658">
        <f ca="1">+IFERROR(L$2*GETPIVOTDATA("Unique Billed Hours",'County allocation'!$O$3,"County",$D57,"HHA/CDPAP","HHA","Level of Service",$D67),0)</f>
        <v>5243.3436075205991</v>
      </c>
      <c r="M67" s="658">
        <f>+IFERROR(M$5*GETPIVOTDATA("Unique Billed Hours",'County allocation'!$S$3,"County",$D57,"HHA/CDPAP","HHA","Level of Service",$D67),0)</f>
        <v>2675.7970280556701</v>
      </c>
      <c r="N67" s="658">
        <f>+IFERROR(N$5*GETPIVOTDATA("Unique Billed Hours",'County allocation'!$S$3,"County",$D57,"HHA/CDPAP","HHA","Level of Service",$D67),0)</f>
        <v>224.11152029510887</v>
      </c>
      <c r="O67" s="658">
        <f>+IFERROR(O$5*GETPIVOTDATA("Unique Billed Hours",'County allocation'!$K$19,"County",$D57,"HHA/CDPAP","HHA","Level of Service",$D67),0)</f>
        <v>0</v>
      </c>
      <c r="P67" s="658">
        <f>+IFERROR(P$5*GETPIVOTDATA("Unique Billed Hours",'County allocation'!$S$3,"County",$D57,"HHA/CDPAP","HHA","Level of Service",$D67),0)</f>
        <v>0</v>
      </c>
    </row>
    <row r="68" spans="1:18" s="54" customFormat="1" ht="15.75" thickBot="1" x14ac:dyDescent="0.3">
      <c r="A68" s="119"/>
      <c r="B68" s="309"/>
      <c r="C68" s="322">
        <f t="shared" ca="1" si="29"/>
        <v>1</v>
      </c>
      <c r="D68" s="52" t="s">
        <v>389</v>
      </c>
      <c r="E68" s="53" t="s">
        <v>49</v>
      </c>
      <c r="F68" s="657">
        <f t="shared" ca="1" si="30"/>
        <v>11998781.911494261</v>
      </c>
      <c r="G68" s="661">
        <f ca="1">SUM(G60:G67)</f>
        <v>401070.03070029372</v>
      </c>
      <c r="H68" s="661">
        <f>SUM(H60:H67)</f>
        <v>686069.77975635102</v>
      </c>
      <c r="I68" s="664">
        <f t="shared" ca="1" si="31"/>
        <v>10911642.101037616</v>
      </c>
      <c r="J68" s="661">
        <f ca="1">SUM(J60:J67)</f>
        <v>1431631.4098401095</v>
      </c>
      <c r="K68" s="661">
        <f t="shared" ref="K68:P68" ca="1" si="32">SUM(K60:K67)</f>
        <v>9234231.4234131891</v>
      </c>
      <c r="L68" s="661">
        <f t="shared" ca="1" si="32"/>
        <v>172528.57058977676</v>
      </c>
      <c r="M68" s="661">
        <f t="shared" si="32"/>
        <v>67589.716912841322</v>
      </c>
      <c r="N68" s="661">
        <f t="shared" si="32"/>
        <v>5660.9802816993606</v>
      </c>
      <c r="O68" s="661">
        <f t="shared" si="32"/>
        <v>0</v>
      </c>
      <c r="P68" s="661">
        <f t="shared" si="32"/>
        <v>0</v>
      </c>
    </row>
    <row r="69" spans="1:18" s="54" customFormat="1" x14ac:dyDescent="0.25">
      <c r="A69" s="119"/>
      <c r="B69" s="309"/>
      <c r="C69" s="322">
        <f t="shared" ca="1" si="29"/>
        <v>1</v>
      </c>
      <c r="D69" s="371" t="s">
        <v>390</v>
      </c>
      <c r="E69" s="325" t="s">
        <v>47</v>
      </c>
      <c r="F69" s="657">
        <f t="shared" ca="1" si="30"/>
        <v>8449274.5529069323</v>
      </c>
      <c r="G69" s="665">
        <f ca="1">+IFERROR((G$5*GETPIVOTDATA("Unique Billed Hours",'County allocation'!$A$3,"County",$D57,"HHA/CDPAP","HHA","Level of Service",$D69))+($G$2*GETPIVOTDATA("Unique Billed Hours",'County allocation'!$F$7,"County",$D57,"HHA/CDPAP","HHA","Level of Service",$D69)),0)++IFERROR(J$5*GETPIVOTDATA("Unique Billed Hours",'County allocation'!$AC$3,"County",$D57,"HHA/CDPAP","HHA","Level of Service",$D69),0)+ +IFERROR(J$5*GETPIVOTDATA("Unique Billed Hours",'County allocation'!$AC$3,"County",$D57,"HHA/CDPAP","HHA","Level of Service",$D70),0)</f>
        <v>8449274.5529069323</v>
      </c>
      <c r="H69" s="665">
        <f>+IFERROR(H$5*GETPIVOTDATA("Unique Billed Hours",'County allocation'!$S$3,"County",$D57,"HHA/CDPAP","HHA","Level of Service",$D69),0)</f>
        <v>0</v>
      </c>
      <c r="I69" s="664">
        <f t="shared" ca="1" si="31"/>
        <v>0</v>
      </c>
      <c r="J69" s="901"/>
      <c r="K69" s="665">
        <f ca="1">+IFERROR(K$5*GETPIVOTDATA("Unique Billed Hours",'County allocation'!$X$3,"County",$D57,"HHA/CDPAP","HHA","Level of Service",$D69),0)</f>
        <v>0</v>
      </c>
      <c r="L69" s="665">
        <f ca="1">+IFERROR(L$5*GETPIVOTDATA("Unique Billed Hours",'County allocation'!$K$19,"County",$D57,"HHA/CDPAP","HHA","Level of Service",$D69),0)</f>
        <v>0</v>
      </c>
      <c r="M69" s="665">
        <f>+IFERROR(M$5*GETPIVOTDATA("Unique Billed Hours",'County allocation'!$S$3,"County",$D57,"HHA/CDPAP","HHA","Level of Service",$D69),0)</f>
        <v>0</v>
      </c>
      <c r="N69" s="665">
        <f>+IFERROR(N$5*GETPIVOTDATA("Unique Billed Hours",'County allocation'!$S$3,"County",$D57,"HHA/CDPAP","HHA","Level of Service",$D69),0)</f>
        <v>0</v>
      </c>
      <c r="O69" s="665">
        <f>+IFERROR(O$5*GETPIVOTDATA("Unique Billed Hours",'County allocation'!$S$3,"County",$D57,"HHA/CDPAP","HHA","Level of Service",$D69),0)</f>
        <v>0</v>
      </c>
      <c r="P69" s="665">
        <f>+IFERROR(P$5*GETPIVOTDATA("Unique Billed Hours",'County allocation'!$S$3,"County",$D57,"HHA/CDPAP","HHA","Level of Service",$D69),0)</f>
        <v>0</v>
      </c>
    </row>
    <row r="70" spans="1:18" s="54" customFormat="1" x14ac:dyDescent="0.25">
      <c r="A70" s="119"/>
      <c r="B70" s="309"/>
      <c r="C70" s="322">
        <f t="shared" ca="1" si="29"/>
        <v>1</v>
      </c>
      <c r="D70" s="8" t="s">
        <v>391</v>
      </c>
      <c r="E70" s="370" t="s">
        <v>77</v>
      </c>
      <c r="F70" s="657">
        <f t="shared" ca="1" si="30"/>
        <v>8413264.7138590179</v>
      </c>
      <c r="G70" s="656"/>
      <c r="H70" s="658">
        <f>+IFERROR(H$5*GETPIVOTDATA("Unique Billed Hours",'County allocation'!$S$3,"County",$D57,"HHA/CDPAP","HHA","Level of Service",$D70),0)</f>
        <v>0</v>
      </c>
      <c r="I70" s="664">
        <f t="shared" ca="1" si="31"/>
        <v>8413264.7138590179</v>
      </c>
      <c r="J70" s="901"/>
      <c r="K70" s="665">
        <f ca="1">+IFERROR(K$5*GETPIVOTDATA("Unique Billed Hours",'County allocation'!$X$3,"County",$D57,"HHA/CDPAP","HHA","Level of Service",$D70),0)</f>
        <v>8413264.7138590179</v>
      </c>
      <c r="L70" s="665">
        <f ca="1">+IFERROR(L$5*GETPIVOTDATA("Unique Billed Hours",'County allocation'!$K$19,"County",$D57,"HHA/CDPAP","HHA","Level of Service",$D70),0)</f>
        <v>0</v>
      </c>
      <c r="M70" s="665">
        <f>+IFERROR(M$5*GETPIVOTDATA("Unique Billed Hours",'County allocation'!$S$3,"County",$D57,"HHA/CDPAP","HHA","Level of Service",$D70),0)</f>
        <v>0</v>
      </c>
      <c r="N70" s="665">
        <f>+IFERROR(N$5*GETPIVOTDATA("Unique Billed Hours",'County allocation'!$S$3,"County",$D57,"HHA/CDPAP","HHA","Level of Service",$D70),0)</f>
        <v>0</v>
      </c>
      <c r="O70" s="665">
        <f>+IFERROR(O$5*GETPIVOTDATA("Unique Billed Hours",'County allocation'!$S$3,"County",$D57,"HHA/CDPAP","HHA","Level of Service",$D70),0)</f>
        <v>0</v>
      </c>
      <c r="P70" s="665">
        <f>+IFERROR(P$5*GETPIVOTDATA("Unique Billed Hours",'County allocation'!$S$3,"County",$D57,"HHA/CDPAP","HHA","Level of Service",$D70),0)</f>
        <v>0</v>
      </c>
    </row>
    <row r="71" spans="1:18" s="54" customFormat="1" x14ac:dyDescent="0.25">
      <c r="A71" s="119"/>
      <c r="B71" s="309"/>
      <c r="C71" s="322">
        <f t="shared" ca="1" si="29"/>
        <v>1</v>
      </c>
      <c r="D71" s="8" t="s">
        <v>374</v>
      </c>
      <c r="E71" s="370" t="s">
        <v>78</v>
      </c>
      <c r="F71" s="657">
        <f t="shared" ca="1" si="30"/>
        <v>6840.8498393550935</v>
      </c>
      <c r="G71" s="658">
        <f ca="1">+IFERROR(G$5*GETPIVOTDATA("Unique Billed Hours",'County allocation'!$A$3,"County",$D57,"HHA/CDPAP","HHA","Level of Service",$D71),0)++IFERROR(J$5*GETPIVOTDATA("Unique Billed Hours",'County allocation'!$AC$3,"County",$D57,"HHA/CDPAP","HHA","Level of Service",$D71),0)</f>
        <v>6840.8498393550935</v>
      </c>
      <c r="H71" s="658">
        <f>+IFERROR(H$5*GETPIVOTDATA("Unique Billed Hours",'County allocation'!$S$3,"County",$D57,"HHA/CDPAP","HHA","Level of Service",$D71),0)</f>
        <v>0</v>
      </c>
      <c r="I71" s="664">
        <f t="shared" ca="1" si="31"/>
        <v>0</v>
      </c>
      <c r="J71" s="901"/>
      <c r="K71" s="665">
        <f ca="1">+IFERROR(K$5*GETPIVOTDATA("Unique Billed Hours",'County allocation'!$X$3,"County",$D57,"HHA/CDPAP","HHA","Level of Service",$D71),0)</f>
        <v>0</v>
      </c>
      <c r="L71" s="665">
        <f ca="1">+IFERROR(L$5*GETPIVOTDATA("Unique Billed Hours",'County allocation'!$K$19,"County",$D57,"HHA/CDPAP","HHA","Level of Service",$D71),0)</f>
        <v>0</v>
      </c>
      <c r="M71" s="665">
        <f>+IFERROR(M$5*GETPIVOTDATA("Unique Billed Hours",'County allocation'!$S$3,"County",$D57,"HHA/CDPAP","HHA","Level of Service",$D71),0)</f>
        <v>0</v>
      </c>
      <c r="N71" s="665">
        <f>+IFERROR(N$5*GETPIVOTDATA("Unique Billed Hours",'County allocation'!$S$3,"County",$D57,"HHA/CDPAP","HHA","Level of Service",$D71),0)</f>
        <v>0</v>
      </c>
      <c r="O71" s="665">
        <f>+IFERROR(O$5*GETPIVOTDATA("Unique Billed Hours",'County allocation'!$S$3,"County",$D57,"HHA/CDPAP","HHA","Level of Service",$D71),0)</f>
        <v>0</v>
      </c>
      <c r="P71" s="665">
        <f>+IFERROR(P$5*GETPIVOTDATA("Unique Billed Hours",'County allocation'!$S$3,"County",$D57,"HHA/CDPAP","HHA","Level of Service",$D71),0)</f>
        <v>0</v>
      </c>
    </row>
    <row r="72" spans="1:18" s="54" customFormat="1" ht="15.75" thickBot="1" x14ac:dyDescent="0.3">
      <c r="A72" s="302"/>
      <c r="B72" s="309"/>
      <c r="C72" s="322">
        <f ca="1">C71</f>
        <v>1</v>
      </c>
      <c r="D72" s="52" t="s">
        <v>48</v>
      </c>
      <c r="E72" s="53" t="s">
        <v>79</v>
      </c>
      <c r="F72" s="657">
        <f t="shared" ca="1" si="30"/>
        <v>28868162.028099567</v>
      </c>
      <c r="G72" s="661">
        <f t="shared" ref="G72" ca="1" si="33">SUM(G68:G71)</f>
        <v>8857185.4334465824</v>
      </c>
      <c r="H72" s="661">
        <f t="shared" ref="H72:P72" si="34">SUM(H68:H71)</f>
        <v>686069.77975635102</v>
      </c>
      <c r="I72" s="661">
        <f t="shared" ca="1" si="34"/>
        <v>19324906.814896636</v>
      </c>
      <c r="J72" s="661">
        <f t="shared" ca="1" si="34"/>
        <v>1431631.4098401095</v>
      </c>
      <c r="K72" s="661">
        <f t="shared" ca="1" si="34"/>
        <v>17647496.137272209</v>
      </c>
      <c r="L72" s="661">
        <f t="shared" ca="1" si="34"/>
        <v>172528.57058977676</v>
      </c>
      <c r="M72" s="661">
        <f t="shared" si="34"/>
        <v>67589.716912841322</v>
      </c>
      <c r="N72" s="661">
        <f t="shared" si="34"/>
        <v>5660.9802816993606</v>
      </c>
      <c r="O72" s="661">
        <f t="shared" si="34"/>
        <v>0</v>
      </c>
      <c r="P72" s="661">
        <f t="shared" si="34"/>
        <v>0</v>
      </c>
    </row>
    <row r="73" spans="1:18" s="54" customFormat="1" ht="15.75" hidden="1" thickBot="1" x14ac:dyDescent="0.3">
      <c r="A73" s="119"/>
      <c r="B73" s="309"/>
      <c r="C73" s="322"/>
      <c r="E73" s="55"/>
      <c r="F73" s="666"/>
      <c r="G73" s="666"/>
      <c r="H73" s="666"/>
      <c r="I73" s="666"/>
      <c r="J73" s="666"/>
      <c r="K73" s="666"/>
      <c r="L73" s="666"/>
      <c r="M73" s="666"/>
      <c r="N73" s="666"/>
      <c r="O73" s="666"/>
      <c r="P73" s="666"/>
    </row>
    <row r="74" spans="1:18" s="54" customFormat="1" ht="75.75" hidden="1" thickBot="1" x14ac:dyDescent="0.3">
      <c r="A74" s="119"/>
      <c r="B74" s="309"/>
      <c r="C74" s="322">
        <f ca="1">IF(F89&gt;0,1,0)</f>
        <v>0</v>
      </c>
      <c r="D74" s="45" t="str">
        <f>A7</f>
        <v>Broome</v>
      </c>
      <c r="E74" s="28">
        <f>+SUMIF(A:A,D74,B:B)</f>
        <v>0</v>
      </c>
      <c r="F74" s="652" t="s">
        <v>61</v>
      </c>
      <c r="G74" s="652" t="s">
        <v>387</v>
      </c>
      <c r="H74" s="652" t="s">
        <v>388</v>
      </c>
      <c r="I74" s="652" t="s">
        <v>392</v>
      </c>
      <c r="J74" s="652" t="s">
        <v>31</v>
      </c>
      <c r="K74" s="652" t="s">
        <v>32</v>
      </c>
      <c r="L74" s="653" t="s">
        <v>33</v>
      </c>
      <c r="M74" s="653" t="s">
        <v>60</v>
      </c>
      <c r="N74" s="653" t="s">
        <v>59</v>
      </c>
      <c r="O74" s="653" t="s">
        <v>58</v>
      </c>
      <c r="P74" s="653" t="s">
        <v>16</v>
      </c>
    </row>
    <row r="75" spans="1:18" s="54" customFormat="1" ht="15.75" hidden="1" thickBot="1" x14ac:dyDescent="0.3">
      <c r="A75" s="119"/>
      <c r="B75" s="309"/>
      <c r="C75" s="322">
        <f ca="1">C74</f>
        <v>0</v>
      </c>
      <c r="D75" s="56"/>
      <c r="E75" s="57"/>
      <c r="F75" s="654" t="s">
        <v>57</v>
      </c>
      <c r="G75" s="654" t="s">
        <v>56</v>
      </c>
      <c r="H75" s="654" t="s">
        <v>55</v>
      </c>
      <c r="I75" s="654" t="s">
        <v>54</v>
      </c>
      <c r="J75" s="654" t="s">
        <v>53</v>
      </c>
      <c r="K75" s="654" t="s">
        <v>52</v>
      </c>
      <c r="L75" s="654" t="s">
        <v>51</v>
      </c>
      <c r="M75" s="654" t="s">
        <v>50</v>
      </c>
      <c r="N75" s="654" t="s">
        <v>49</v>
      </c>
      <c r="O75" s="654" t="s">
        <v>47</v>
      </c>
      <c r="P75" s="655" t="s">
        <v>77</v>
      </c>
    </row>
    <row r="76" spans="1:18" s="54" customFormat="1" ht="15.75" hidden="1" thickBot="1" x14ac:dyDescent="0.3">
      <c r="A76" s="119"/>
      <c r="B76" s="309"/>
      <c r="C76" s="322">
        <f t="shared" ref="C76:C88" ca="1" si="35">C75</f>
        <v>0</v>
      </c>
      <c r="D76" s="59" t="s">
        <v>26</v>
      </c>
      <c r="E76" s="57"/>
      <c r="F76" s="656"/>
      <c r="G76" s="656"/>
      <c r="H76" s="656"/>
      <c r="I76" s="656"/>
      <c r="J76" s="656"/>
      <c r="K76" s="656"/>
      <c r="L76" s="656"/>
      <c r="M76" s="656"/>
      <c r="N76" s="656"/>
      <c r="O76" s="656"/>
      <c r="P76" s="663"/>
    </row>
    <row r="77" spans="1:18" s="54" customFormat="1" ht="15.75" hidden="1" thickBot="1" x14ac:dyDescent="0.3">
      <c r="A77" s="119"/>
      <c r="B77" s="309"/>
      <c r="C77" s="322">
        <f t="shared" ca="1" si="35"/>
        <v>0</v>
      </c>
      <c r="D77" s="7" t="s">
        <v>34</v>
      </c>
      <c r="E77" s="48" t="s">
        <v>57</v>
      </c>
      <c r="F77" s="657">
        <f ca="1">+H77+G77+I77</f>
        <v>0</v>
      </c>
      <c r="G77" s="658">
        <f ca="1">+IFERROR(G$5*GETPIVOTDATA("Unique Billed Hours",'County allocation'!$A$3,"County",$D74,"HHA/CDPAP","HHA","Level of Service",$D77),0)</f>
        <v>0</v>
      </c>
      <c r="H77" s="658">
        <f>+IFERROR(H$5*GETPIVOTDATA("Unique Billed Hours",'County allocation'!$S$3,"County",$D74,"HHA/CDPAP","HHA","Level of Service",$D77),0)</f>
        <v>0</v>
      </c>
      <c r="I77" s="664">
        <f ca="1">SUM(J77:P77)</f>
        <v>0</v>
      </c>
      <c r="J77" s="658">
        <f ca="1">+IFERROR(J$5*GETPIVOTDATA("Unique Billed Hours",'County allocation'!$S$3,"County",$D74,"HHA/CDPAP","HHA","Level of Service",$D77),0)</f>
        <v>0</v>
      </c>
      <c r="K77" s="658">
        <f ca="1">+IFERROR(K$5*GETPIVOTDATA("Unique Billed Hours",'County allocation'!$X$3,"County",$D74,"HHA/CDPAP","HHA","Level of Service",$D77),0)</f>
        <v>0</v>
      </c>
      <c r="L77" s="658">
        <f ca="1">+IFERROR(L$2*GETPIVOTDATA("Unique Billed Hours",'County allocation'!$O$3,"County",$D74,"HHA/CDPAP","HHA","Level of Service",$D77),0)</f>
        <v>0</v>
      </c>
      <c r="M77" s="658">
        <f>+IFERROR(M$5*GETPIVOTDATA("Unique Billed Hours",'County allocation'!$S$3,"County",$D74,"HHA/CDPAP","HHA","Level of Service",$D77),0)</f>
        <v>0</v>
      </c>
      <c r="N77" s="658">
        <f>+IFERROR(N$5*GETPIVOTDATA("Unique Billed Hours",'County allocation'!$S$3,"County",$D74,"HHA/CDPAP","HHA","Level of Service",$D77),0)</f>
        <v>0</v>
      </c>
      <c r="O77" s="658">
        <f>+IFERROR(O$5*GETPIVOTDATA("Unique Billed Hours",'County allocation'!$K$19,"County",$D74,"HHA/CDPAP","HHA","Level of Service",$D77),0)</f>
        <v>0</v>
      </c>
      <c r="P77" s="658">
        <f>+IFERROR(P$5*GETPIVOTDATA("Unique Billed Hours",'County allocation'!$S$3,"County",$D74,"HHA/CDPAP","HHA","Level of Service",$D77),0)</f>
        <v>0</v>
      </c>
    </row>
    <row r="78" spans="1:18" s="54" customFormat="1" ht="15.75" hidden="1" thickBot="1" x14ac:dyDescent="0.3">
      <c r="A78" s="119"/>
      <c r="B78" s="309"/>
      <c r="C78" s="322">
        <f t="shared" ca="1" si="35"/>
        <v>0</v>
      </c>
      <c r="D78" s="7" t="s">
        <v>35</v>
      </c>
      <c r="E78" s="48" t="s">
        <v>56</v>
      </c>
      <c r="F78" s="657">
        <f t="shared" ref="F78:F89" ca="1" si="36">+H78+G78+I78</f>
        <v>0</v>
      </c>
      <c r="G78" s="658">
        <f ca="1">+IFERROR(G$5*GETPIVOTDATA("Unique Billed Hours",'County allocation'!$A$3,"County",$D74,"HHA/CDPAP","HHA","Level of Service",$D78),0)</f>
        <v>0</v>
      </c>
      <c r="H78" s="658">
        <f>+IFERROR(H$5*GETPIVOTDATA("Unique Billed Hours",'County allocation'!$S$3,"County",$D74,"HHA/CDPAP","HHA","Level of Service",$D78),0)</f>
        <v>0</v>
      </c>
      <c r="I78" s="664">
        <f t="shared" ref="I78:I88" ca="1" si="37">SUM(J78:P78)</f>
        <v>0</v>
      </c>
      <c r="J78" s="658">
        <f ca="1">+IFERROR(J$5*GETPIVOTDATA("Unique Billed Hours",'County allocation'!$S$3,"County",$D74,"HHA/CDPAP","HHA","Level of Service",$D78),0)</f>
        <v>0</v>
      </c>
      <c r="K78" s="658">
        <f ca="1">+IFERROR(K$5*GETPIVOTDATA("Unique Billed Hours",'County allocation'!$X$3,"County",$D74,"HHA/CDPAP","HHA","Level of Service",$D78),0)</f>
        <v>0</v>
      </c>
      <c r="L78" s="658">
        <f ca="1">+IFERROR(L$2*GETPIVOTDATA("Unique Billed Hours",'County allocation'!$O$3,"County",$D74,"HHA/CDPAP","HHA","Level of Service",$D78),0)</f>
        <v>0</v>
      </c>
      <c r="M78" s="658">
        <f>+IFERROR(M$5*GETPIVOTDATA("Unique Billed Hours",'County allocation'!$S$3,"County",$D74,"HHA/CDPAP","HHA","Level of Service",$D78),0)</f>
        <v>0</v>
      </c>
      <c r="N78" s="658">
        <f>+IFERROR(N$5*GETPIVOTDATA("Unique Billed Hours",'County allocation'!$S$3,"County",$D74,"HHA/CDPAP","HHA","Level of Service",$D78),0)</f>
        <v>0</v>
      </c>
      <c r="O78" s="658">
        <f>+IFERROR(O$5*GETPIVOTDATA("Unique Billed Hours",'County allocation'!$K$19,"County",$D74,"HHA/CDPAP","HHA","Level of Service",$D78),0)</f>
        <v>0</v>
      </c>
      <c r="P78" s="658">
        <f>+IFERROR(P$5*GETPIVOTDATA("Unique Billed Hours",'County allocation'!$S$3,"County",$D74,"HHA/CDPAP","HHA","Level of Service",$D78),0)</f>
        <v>0</v>
      </c>
      <c r="R78" s="61"/>
    </row>
    <row r="79" spans="1:18" s="54" customFormat="1" ht="15.75" hidden="1" thickBot="1" x14ac:dyDescent="0.3">
      <c r="A79" s="302"/>
      <c r="B79" s="309"/>
      <c r="C79" s="322">
        <f t="shared" ca="1" si="35"/>
        <v>0</v>
      </c>
      <c r="D79" s="7" t="s">
        <v>36</v>
      </c>
      <c r="E79" s="48" t="s">
        <v>55</v>
      </c>
      <c r="F79" s="657">
        <f t="shared" ca="1" si="36"/>
        <v>0</v>
      </c>
      <c r="G79" s="658">
        <f ca="1">+IFERROR(G$5*GETPIVOTDATA("Unique Billed Hours",'County allocation'!$A$3,"County",$D74,"HHA/CDPAP","HHA","Level of Service",$D79),0)</f>
        <v>0</v>
      </c>
      <c r="H79" s="658">
        <f>+IFERROR(H$5*GETPIVOTDATA("Unique Billed Hours",'County allocation'!$S$3,"County",$D74,"HHA/CDPAP","HHA","Level of Service",$D79),0)</f>
        <v>0</v>
      </c>
      <c r="I79" s="664">
        <f t="shared" ca="1" si="37"/>
        <v>0</v>
      </c>
      <c r="J79" s="658">
        <f ca="1">+IFERROR(J$5*GETPIVOTDATA("Unique Billed Hours",'County allocation'!$S$3,"County",$D74,"HHA/CDPAP","HHA","Level of Service",$D79),0)</f>
        <v>0</v>
      </c>
      <c r="K79" s="658">
        <f ca="1">+IFERROR(K$5*GETPIVOTDATA("Unique Billed Hours",'County allocation'!$X$3,"County",$D74,"HHA/CDPAP","HHA","Level of Service",$D79),0)</f>
        <v>0</v>
      </c>
      <c r="L79" s="658">
        <f ca="1">+IFERROR(L$2*GETPIVOTDATA("Unique Billed Hours",'County allocation'!$O$3,"County",$D74,"HHA/CDPAP","HHA","Level of Service",$D79),0)</f>
        <v>0</v>
      </c>
      <c r="M79" s="658">
        <f>+IFERROR(M$5*GETPIVOTDATA("Unique Billed Hours",'County allocation'!$S$3,"County",$D74,"HHA/CDPAP","HHA","Level of Service",$D79),0)</f>
        <v>0</v>
      </c>
      <c r="N79" s="658">
        <f>+IFERROR(N$5*GETPIVOTDATA("Unique Billed Hours",'County allocation'!$S$3,"County",$D74,"HHA/CDPAP","HHA","Level of Service",$D79),0)</f>
        <v>0</v>
      </c>
      <c r="O79" s="658">
        <f>+IFERROR(O$5*GETPIVOTDATA("Unique Billed Hours",'County allocation'!$K$19,"County",$D74,"HHA/CDPAP","HHA","Level of Service",$D79),0)</f>
        <v>0</v>
      </c>
      <c r="P79" s="658">
        <f>+IFERROR(P$5*GETPIVOTDATA("Unique Billed Hours",'County allocation'!$S$3,"County",$D74,"HHA/CDPAP","HHA","Level of Service",$D79),0)</f>
        <v>0</v>
      </c>
    </row>
    <row r="80" spans="1:18" s="54" customFormat="1" ht="15.75" hidden="1" thickBot="1" x14ac:dyDescent="0.3">
      <c r="A80" s="119"/>
      <c r="B80" s="309"/>
      <c r="C80" s="322">
        <f t="shared" ca="1" si="35"/>
        <v>0</v>
      </c>
      <c r="D80" s="7" t="s">
        <v>37</v>
      </c>
      <c r="E80" s="48" t="s">
        <v>54</v>
      </c>
      <c r="F80" s="657">
        <f t="shared" ca="1" si="36"/>
        <v>0</v>
      </c>
      <c r="G80" s="658">
        <f ca="1">+IFERROR(G$5*GETPIVOTDATA("Unique Billed Hours",'County allocation'!$A$3,"County",$D74,"HHA/CDPAP","HHA","Level of Service",$D80),0)</f>
        <v>0</v>
      </c>
      <c r="H80" s="658">
        <f>+IFERROR(H$5*GETPIVOTDATA("Unique Billed Hours",'County allocation'!$S$3,"County",$D74,"HHA/CDPAP","HHA","Level of Service",$D80),0)</f>
        <v>0</v>
      </c>
      <c r="I80" s="664">
        <f t="shared" ca="1" si="37"/>
        <v>0</v>
      </c>
      <c r="J80" s="658">
        <f ca="1">+IFERROR(J$5*GETPIVOTDATA("Unique Billed Hours",'County allocation'!$S$3,"County",$D74,"HHA/CDPAP","HHA","Level of Service",$D80),0)</f>
        <v>0</v>
      </c>
      <c r="K80" s="658">
        <f ca="1">+IFERROR(K$5*GETPIVOTDATA("Unique Billed Hours",'County allocation'!$X$3,"County",$D74,"HHA/CDPAP","HHA","Level of Service",$D80),0)</f>
        <v>0</v>
      </c>
      <c r="L80" s="658">
        <f ca="1">+IFERROR(L$2*GETPIVOTDATA("Unique Billed Hours",'County allocation'!$O$3,"County",$D74,"HHA/CDPAP","HHA","Level of Service",$D80),0)</f>
        <v>0</v>
      </c>
      <c r="M80" s="658">
        <f>+IFERROR(M$5*GETPIVOTDATA("Unique Billed Hours",'County allocation'!$S$3,"County",$D74,"HHA/CDPAP","HHA","Level of Service",$D80),0)</f>
        <v>0</v>
      </c>
      <c r="N80" s="658">
        <f>+IFERROR(N$5*GETPIVOTDATA("Unique Billed Hours",'County allocation'!$S$3,"County",$D74,"HHA/CDPAP","HHA","Level of Service",$D80),0)</f>
        <v>0</v>
      </c>
      <c r="O80" s="658">
        <f>+IFERROR(O$5*GETPIVOTDATA("Unique Billed Hours",'County allocation'!$K$19,"County",$D74,"HHA/CDPAP","HHA","Level of Service",$D80),0)</f>
        <v>0</v>
      </c>
      <c r="P80" s="658">
        <f>+IFERROR(P$5*GETPIVOTDATA("Unique Billed Hours",'County allocation'!$S$3,"County",$D74,"HHA/CDPAP","HHA","Level of Service",$D80),0)</f>
        <v>0</v>
      </c>
    </row>
    <row r="81" spans="1:18" s="54" customFormat="1" ht="15.75" hidden="1" thickBot="1" x14ac:dyDescent="0.3">
      <c r="A81" s="119"/>
      <c r="B81" s="309"/>
      <c r="C81" s="322">
        <f t="shared" ca="1" si="35"/>
        <v>0</v>
      </c>
      <c r="D81" s="7" t="s">
        <v>38</v>
      </c>
      <c r="E81" s="48" t="s">
        <v>53</v>
      </c>
      <c r="F81" s="657">
        <f t="shared" ca="1" si="36"/>
        <v>0</v>
      </c>
      <c r="G81" s="658">
        <f ca="1">+IFERROR(G$5*GETPIVOTDATA("Unique Billed Hours",'County allocation'!$A$3,"County",$D74,"HHA/CDPAP","HHA","Level of Service",$D81),0)</f>
        <v>0</v>
      </c>
      <c r="H81" s="658">
        <f>+IFERROR(H$5*GETPIVOTDATA("Unique Billed Hours",'County allocation'!$S$3,"County",$D74,"HHA/CDPAP","HHA","Level of Service",$D81),0)</f>
        <v>0</v>
      </c>
      <c r="I81" s="664">
        <f t="shared" ca="1" si="37"/>
        <v>0</v>
      </c>
      <c r="J81" s="658">
        <f ca="1">+IFERROR(J$5*GETPIVOTDATA("Unique Billed Hours",'County allocation'!$S$3,"County",$D74,"HHA/CDPAP","HHA","Level of Service",$D81),0)</f>
        <v>0</v>
      </c>
      <c r="K81" s="658">
        <f ca="1">+IFERROR(K$5*GETPIVOTDATA("Unique Billed Hours",'County allocation'!$X$3,"County",$D74,"HHA/CDPAP","HHA","Level of Service",$D81),0)</f>
        <v>0</v>
      </c>
      <c r="L81" s="658">
        <f ca="1">+IFERROR(L$5*GETPIVOTDATA("Unique Billed Hours",'County allocation'!$K$19,"County",$D74,"HHA/CDPAP","HHA","Level of Service",$D81),0)</f>
        <v>0</v>
      </c>
      <c r="M81" s="658">
        <f>+IFERROR(M$5*GETPIVOTDATA("Unique Billed Hours",'County allocation'!$S$3,"County",$D74,"HHA/CDPAP","HHA","Level of Service",$D81),0)</f>
        <v>0</v>
      </c>
      <c r="N81" s="658">
        <f>+IFERROR(N$5*GETPIVOTDATA("Unique Billed Hours",'County allocation'!$S$3,"County",$D74,"HHA/CDPAP","HHA","Level of Service",$D81),0)</f>
        <v>0</v>
      </c>
      <c r="O81" s="658">
        <f>+IFERROR(O$5*GETPIVOTDATA("Unique Billed Hours",'County allocation'!$K$19,"County",$D74,"HHA/CDPAP","HHA","Level of Service",$D81),0)</f>
        <v>0</v>
      </c>
      <c r="P81" s="658">
        <f>+IFERROR(P$5*GETPIVOTDATA("Unique Billed Hours",'County allocation'!$S$3,"County",$D74,"HHA/CDPAP","HHA","Level of Service",$D81),0)</f>
        <v>0</v>
      </c>
    </row>
    <row r="82" spans="1:18" s="54" customFormat="1" ht="15.75" hidden="1" thickBot="1" x14ac:dyDescent="0.3">
      <c r="A82" s="119"/>
      <c r="B82" s="309"/>
      <c r="C82" s="322">
        <f t="shared" ca="1" si="35"/>
        <v>0</v>
      </c>
      <c r="D82" s="7" t="s">
        <v>39</v>
      </c>
      <c r="E82" s="48" t="s">
        <v>52</v>
      </c>
      <c r="F82" s="657">
        <f t="shared" ca="1" si="36"/>
        <v>0</v>
      </c>
      <c r="G82" s="658">
        <f ca="1">+IFERROR(G$5*GETPIVOTDATA("Unique Billed Hours",'County allocation'!$A$3,"County",$D74,"HHA/CDPAP","HHA","Level of Service",$D82),0)</f>
        <v>0</v>
      </c>
      <c r="H82" s="658">
        <f>+IFERROR(H$5*GETPIVOTDATA("Unique Billed Hours",'County allocation'!$S$3,"County",$D74,"HHA/CDPAP","HHA","Level of Service",$D82),0)</f>
        <v>0</v>
      </c>
      <c r="I82" s="664">
        <f t="shared" ca="1" si="37"/>
        <v>0</v>
      </c>
      <c r="J82" s="658">
        <f ca="1">+IFERROR(J$5*GETPIVOTDATA("Unique Billed Hours",'County allocation'!$S$3,"County",$D74,"HHA/CDPAP","HHA","Level of Service",$D82),0)</f>
        <v>0</v>
      </c>
      <c r="K82" s="658">
        <f ca="1">+IFERROR(K$5*GETPIVOTDATA("Unique Billed Hours",'County allocation'!$X$3,"County",$D74,"HHA/CDPAP","HHA","Level of Service",$D82),0)</f>
        <v>0</v>
      </c>
      <c r="L82" s="658">
        <f ca="1">+IFERROR(L$5*GETPIVOTDATA("Unique Billed Hours",'County allocation'!$K$19,"County",$D74,"HHA/CDPAP","HHA","Level of Service",$D82),0)</f>
        <v>0</v>
      </c>
      <c r="M82" s="658">
        <f>+IFERROR(M$5*GETPIVOTDATA("Unique Billed Hours",'County allocation'!$S$3,"County",$D74,"HHA/CDPAP","HHA","Level of Service",$D82),0)</f>
        <v>0</v>
      </c>
      <c r="N82" s="658">
        <f>+IFERROR(N$5*GETPIVOTDATA("Unique Billed Hours",'County allocation'!$S$3,"County",$D74,"HHA/CDPAP","HHA","Level of Service",$D82),0)</f>
        <v>0</v>
      </c>
      <c r="O82" s="658">
        <f>+IFERROR(O$5*GETPIVOTDATA("Unique Billed Hours",'County allocation'!$K$19,"County",$D74,"HHA/CDPAP","HHA","Level of Service",$D82),0)</f>
        <v>0</v>
      </c>
      <c r="P82" s="658">
        <f>+IFERROR(P$5*GETPIVOTDATA("Unique Billed Hours",'County allocation'!$S$3,"County",$D74,"HHA/CDPAP","HHA","Level of Service",$D82),0)</f>
        <v>0</v>
      </c>
    </row>
    <row r="83" spans="1:18" s="54" customFormat="1" ht="15.75" hidden="1" thickBot="1" x14ac:dyDescent="0.3">
      <c r="A83" s="119"/>
      <c r="B83" s="309"/>
      <c r="C83" s="322">
        <f t="shared" ca="1" si="35"/>
        <v>0</v>
      </c>
      <c r="D83" s="8" t="s">
        <v>40</v>
      </c>
      <c r="E83" s="48" t="s">
        <v>51</v>
      </c>
      <c r="F83" s="657">
        <f t="shared" ca="1" si="36"/>
        <v>0</v>
      </c>
      <c r="G83" s="658">
        <f ca="1">+IFERROR(G$5*GETPIVOTDATA("Unique Billed Hours",'County allocation'!$A$3,"County",$D74,"HHA/CDPAP","HHA","Level of Service",$D83),0)</f>
        <v>0</v>
      </c>
      <c r="H83" s="658">
        <f>+IFERROR(H$5*GETPIVOTDATA("Unique Billed Hours",'County allocation'!$S$3,"County",$D74,"HHA/CDPAP","HHA","Level of Service",$D83),0)</f>
        <v>0</v>
      </c>
      <c r="I83" s="664">
        <f t="shared" ca="1" si="37"/>
        <v>0</v>
      </c>
      <c r="J83" s="658">
        <f ca="1">+IFERROR(J$5*GETPIVOTDATA("Unique Billed Hours",'County allocation'!$S$3,"County",$D74,"HHA/CDPAP","HHA","Level of Service",$D83),0)</f>
        <v>0</v>
      </c>
      <c r="K83" s="658">
        <f ca="1">+IFERROR(K$5*GETPIVOTDATA("Unique Billed Hours",'County allocation'!$X$3,"County",$D74,"HHA/CDPAP","HHA","Level of Service",$D83),0)</f>
        <v>0</v>
      </c>
      <c r="L83" s="658">
        <f ca="1">+IFERROR(L$2*GETPIVOTDATA("Unique Billed Hours",'County allocation'!$O$3,"County",$D74,"HHA/CDPAP","HHA","Level of Service",$D83),0)</f>
        <v>0</v>
      </c>
      <c r="M83" s="658">
        <f>+IFERROR(M$5*GETPIVOTDATA("Unique Billed Hours",'County allocation'!$S$3,"County",$D74,"HHA/CDPAP","HHA","Level of Service",$D83),0)</f>
        <v>0</v>
      </c>
      <c r="N83" s="658">
        <f>+IFERROR(N$5*GETPIVOTDATA("Unique Billed Hours",'County allocation'!$S$3,"County",$D74,"HHA/CDPAP","HHA","Level of Service",$D83),0)</f>
        <v>0</v>
      </c>
      <c r="O83" s="658">
        <f>+IFERROR(O$5*GETPIVOTDATA("Unique Billed Hours",'County allocation'!$K$19,"County",$D74,"HHA/CDPAP","HHA","Level of Service",$D83),0)</f>
        <v>0</v>
      </c>
      <c r="P83" s="658">
        <f>+IFERROR(P$5*GETPIVOTDATA("Unique Billed Hours",'County allocation'!$S$3,"County",$D74,"HHA/CDPAP","HHA","Level of Service",$D83),0)</f>
        <v>0</v>
      </c>
    </row>
    <row r="84" spans="1:18" s="54" customFormat="1" ht="15.75" hidden="1" thickBot="1" x14ac:dyDescent="0.3">
      <c r="A84" s="119"/>
      <c r="B84" s="309"/>
      <c r="C84" s="322">
        <f t="shared" ca="1" si="35"/>
        <v>0</v>
      </c>
      <c r="D84" s="8" t="s">
        <v>41</v>
      </c>
      <c r="E84" s="48" t="s">
        <v>50</v>
      </c>
      <c r="F84" s="657">
        <f t="shared" ca="1" si="36"/>
        <v>0</v>
      </c>
      <c r="G84" s="658">
        <f ca="1">+IFERROR(G$5*GETPIVOTDATA("Unique Billed Hours",'County allocation'!$A$3,"County",$D74,"HHA/CDPAP","HHA","Level of Service",$D84),0)</f>
        <v>0</v>
      </c>
      <c r="H84" s="658">
        <f>+IFERROR(H$5*GETPIVOTDATA("Unique Billed Hours",'County allocation'!$S$3,"County",$D74,"HHA/CDPAP","HHA","Level of Service",$D84),0)</f>
        <v>0</v>
      </c>
      <c r="I84" s="664">
        <f t="shared" ca="1" si="37"/>
        <v>0</v>
      </c>
      <c r="J84" s="658">
        <f ca="1">+IFERROR(J$5*GETPIVOTDATA("Unique Billed Hours",'County allocation'!$S$3,"County",$D74,"HHA/CDPAP","HHA","Level of Service",$D84),0)</f>
        <v>0</v>
      </c>
      <c r="K84" s="658">
        <f ca="1">+IFERROR(K$5*GETPIVOTDATA("Unique Billed Hours",'County allocation'!$X$3,"County",$D74,"HHA/CDPAP","HHA","Level of Service",$D84),0)</f>
        <v>0</v>
      </c>
      <c r="L84" s="658">
        <f ca="1">+IFERROR(L$2*GETPIVOTDATA("Unique Billed Hours",'County allocation'!$O$3,"County",$D74,"HHA/CDPAP","HHA","Level of Service",$D84),0)</f>
        <v>0</v>
      </c>
      <c r="M84" s="658">
        <f>+IFERROR(M$5*GETPIVOTDATA("Unique Billed Hours",'County allocation'!$S$3,"County",$D74,"HHA/CDPAP","HHA","Level of Service",$D84),0)</f>
        <v>0</v>
      </c>
      <c r="N84" s="658">
        <f>+IFERROR(N$5*GETPIVOTDATA("Unique Billed Hours",'County allocation'!$S$3,"County",$D74,"HHA/CDPAP","HHA","Level of Service",$D84),0)</f>
        <v>0</v>
      </c>
      <c r="O84" s="658">
        <f>+IFERROR(O$5*GETPIVOTDATA("Unique Billed Hours",'County allocation'!$K$19,"County",$D74,"HHA/CDPAP","HHA","Level of Service",$D84),0)</f>
        <v>0</v>
      </c>
      <c r="P84" s="658">
        <f>+IFERROR(P$5*GETPIVOTDATA("Unique Billed Hours",'County allocation'!$S$3,"County",$D74,"HHA/CDPAP","HHA","Level of Service",$D84),0)</f>
        <v>0</v>
      </c>
    </row>
    <row r="85" spans="1:18" s="54" customFormat="1" ht="15.75" hidden="1" thickBot="1" x14ac:dyDescent="0.3">
      <c r="A85" s="119"/>
      <c r="B85" s="309"/>
      <c r="C85" s="322">
        <f t="shared" ca="1" si="35"/>
        <v>0</v>
      </c>
      <c r="D85" s="52" t="s">
        <v>389</v>
      </c>
      <c r="E85" s="53" t="s">
        <v>49</v>
      </c>
      <c r="F85" s="657">
        <f t="shared" ca="1" si="36"/>
        <v>0</v>
      </c>
      <c r="G85" s="661">
        <f ca="1">SUM(G77:G84)</f>
        <v>0</v>
      </c>
      <c r="H85" s="661">
        <f>SUM(H77:H84)</f>
        <v>0</v>
      </c>
      <c r="I85" s="664">
        <f t="shared" ca="1" si="37"/>
        <v>0</v>
      </c>
      <c r="J85" s="661">
        <f ca="1">SUM(J77:J84)</f>
        <v>0</v>
      </c>
      <c r="K85" s="661">
        <f t="shared" ref="K85:P85" ca="1" si="38">SUM(K77:K84)</f>
        <v>0</v>
      </c>
      <c r="L85" s="661">
        <f t="shared" ca="1" si="38"/>
        <v>0</v>
      </c>
      <c r="M85" s="661">
        <f t="shared" si="38"/>
        <v>0</v>
      </c>
      <c r="N85" s="661">
        <f t="shared" si="38"/>
        <v>0</v>
      </c>
      <c r="O85" s="661">
        <f t="shared" si="38"/>
        <v>0</v>
      </c>
      <c r="P85" s="661">
        <f t="shared" si="38"/>
        <v>0</v>
      </c>
    </row>
    <row r="86" spans="1:18" s="54" customFormat="1" ht="15.75" hidden="1" thickBot="1" x14ac:dyDescent="0.3">
      <c r="A86" s="119"/>
      <c r="B86" s="309"/>
      <c r="C86" s="322">
        <f t="shared" ca="1" si="35"/>
        <v>0</v>
      </c>
      <c r="D86" s="371" t="s">
        <v>390</v>
      </c>
      <c r="E86" s="325" t="s">
        <v>47</v>
      </c>
      <c r="F86" s="657">
        <f t="shared" ca="1" si="36"/>
        <v>0</v>
      </c>
      <c r="G86" s="665">
        <f ca="1">+IFERROR((G$5*GETPIVOTDATA("Unique Billed Hours",'County allocation'!$A$3,"County",$D74,"HHA/CDPAP","HHA","Level of Service",$D86))+($G$2*GETPIVOTDATA("Unique Billed Hours",'County allocation'!$F$7,"County",$D74,"HHA/CDPAP","HHA","Level of Service",$D86)),0)++IFERROR(J$5*GETPIVOTDATA("Unique Billed Hours",'County allocation'!$AC$3,"County",$D74,"HHA/CDPAP","HHA","Level of Service",$D86),0)+ +IFERROR(J$5*GETPIVOTDATA("Unique Billed Hours",'County allocation'!$AC$3,"County",$D74,"HHA/CDPAP","HHA","Level of Service",$D87),0)</f>
        <v>0</v>
      </c>
      <c r="H86" s="665">
        <f>+IFERROR(H$5*GETPIVOTDATA("Unique Billed Hours",'County allocation'!$S$3,"County",$D74,"HHA/CDPAP","HHA","Level of Service",$D86),0)</f>
        <v>0</v>
      </c>
      <c r="I86" s="664">
        <f t="shared" ca="1" si="37"/>
        <v>0</v>
      </c>
      <c r="J86" s="901"/>
      <c r="K86" s="665">
        <f ca="1">+IFERROR(K$5*GETPIVOTDATA("Unique Billed Hours",'County allocation'!$X$3,"County",$D74,"HHA/CDPAP","HHA","Level of Service",$D86),0)</f>
        <v>0</v>
      </c>
      <c r="L86" s="665">
        <f ca="1">+IFERROR(L$5*GETPIVOTDATA("Unique Billed Hours",'County allocation'!$K$19,"County",$D74,"HHA/CDPAP","HHA","Level of Service",$D86),0)</f>
        <v>0</v>
      </c>
      <c r="M86" s="665">
        <f>+IFERROR(M$5*GETPIVOTDATA("Unique Billed Hours",'County allocation'!$S$3,"County",$D74,"HHA/CDPAP","HHA","Level of Service",$D86),0)</f>
        <v>0</v>
      </c>
      <c r="N86" s="665">
        <f>+IFERROR(N$5*GETPIVOTDATA("Unique Billed Hours",'County allocation'!$S$3,"County",$D74,"HHA/CDPAP","HHA","Level of Service",$D86),0)</f>
        <v>0</v>
      </c>
      <c r="O86" s="665">
        <f>+IFERROR(O$5*GETPIVOTDATA("Unique Billed Hours",'County allocation'!$S$3,"County",$D74,"HHA/CDPAP","HHA","Level of Service",$D86),0)</f>
        <v>0</v>
      </c>
      <c r="P86" s="665">
        <f>+IFERROR(P$5*GETPIVOTDATA("Unique Billed Hours",'County allocation'!$S$3,"County",$D74,"HHA/CDPAP","HHA","Level of Service",$D86),0)</f>
        <v>0</v>
      </c>
    </row>
    <row r="87" spans="1:18" s="54" customFormat="1" ht="15.75" hidden="1" thickBot="1" x14ac:dyDescent="0.3">
      <c r="A87" s="119"/>
      <c r="B87" s="309"/>
      <c r="C87" s="322">
        <f t="shared" ca="1" si="35"/>
        <v>0</v>
      </c>
      <c r="D87" s="8" t="s">
        <v>391</v>
      </c>
      <c r="E87" s="370" t="s">
        <v>77</v>
      </c>
      <c r="F87" s="657">
        <f t="shared" ca="1" si="36"/>
        <v>0</v>
      </c>
      <c r="G87" s="656"/>
      <c r="H87" s="658">
        <f>+IFERROR(H$5*GETPIVOTDATA("Unique Billed Hours",'County allocation'!$S$3,"County",$D74,"HHA/CDPAP","HHA","Level of Service",$D87),0)</f>
        <v>0</v>
      </c>
      <c r="I87" s="664">
        <f t="shared" ca="1" si="37"/>
        <v>0</v>
      </c>
      <c r="J87" s="901"/>
      <c r="K87" s="665">
        <f ca="1">+IFERROR(K$5*GETPIVOTDATA("Unique Billed Hours",'County allocation'!$X$3,"County",$D74,"HHA/CDPAP","HHA","Level of Service",$D87),0)</f>
        <v>0</v>
      </c>
      <c r="L87" s="665">
        <f ca="1">+IFERROR(L$5*GETPIVOTDATA("Unique Billed Hours",'County allocation'!$K$19,"County",$D74,"HHA/CDPAP","HHA","Level of Service",$D87),0)</f>
        <v>0</v>
      </c>
      <c r="M87" s="665">
        <f>+IFERROR(M$5*GETPIVOTDATA("Unique Billed Hours",'County allocation'!$S$3,"County",$D74,"HHA/CDPAP","HHA","Level of Service",$D87),0)</f>
        <v>0</v>
      </c>
      <c r="N87" s="665">
        <f>+IFERROR(N$5*GETPIVOTDATA("Unique Billed Hours",'County allocation'!$S$3,"County",$D74,"HHA/CDPAP","HHA","Level of Service",$D87),0)</f>
        <v>0</v>
      </c>
      <c r="O87" s="665">
        <f>+IFERROR(O$5*GETPIVOTDATA("Unique Billed Hours",'County allocation'!$S$3,"County",$D74,"HHA/CDPAP","HHA","Level of Service",$D87),0)</f>
        <v>0</v>
      </c>
      <c r="P87" s="665">
        <f>+IFERROR(P$5*GETPIVOTDATA("Unique Billed Hours",'County allocation'!$S$3,"County",$D74,"HHA/CDPAP","HHA","Level of Service",$D87),0)</f>
        <v>0</v>
      </c>
    </row>
    <row r="88" spans="1:18" s="54" customFormat="1" ht="15.75" hidden="1" thickBot="1" x14ac:dyDescent="0.3">
      <c r="A88" s="119"/>
      <c r="B88" s="309"/>
      <c r="C88" s="322">
        <f t="shared" ca="1" si="35"/>
        <v>0</v>
      </c>
      <c r="D88" s="8" t="s">
        <v>374</v>
      </c>
      <c r="E88" s="370" t="s">
        <v>78</v>
      </c>
      <c r="F88" s="657">
        <f t="shared" ca="1" si="36"/>
        <v>0</v>
      </c>
      <c r="G88" s="658">
        <f ca="1">+IFERROR(G$5*GETPIVOTDATA("Unique Billed Hours",'County allocation'!$A$3,"County",$D74,"HHA/CDPAP","HHA","Level of Service",$D88),0)++IFERROR(J$5*GETPIVOTDATA("Unique Billed Hours",'County allocation'!$AC$3,"County",$D74,"HHA/CDPAP","HHA","Level of Service",$D88),0)</f>
        <v>0</v>
      </c>
      <c r="H88" s="658">
        <f>+IFERROR(H$5*GETPIVOTDATA("Unique Billed Hours",'County allocation'!$S$3,"County",$D74,"HHA/CDPAP","HHA","Level of Service",$D88),0)</f>
        <v>0</v>
      </c>
      <c r="I88" s="664">
        <f t="shared" ca="1" si="37"/>
        <v>0</v>
      </c>
      <c r="J88" s="901"/>
      <c r="K88" s="665">
        <f ca="1">+IFERROR(K$5*GETPIVOTDATA("Unique Billed Hours",'County allocation'!$X$3,"County",$D74,"HHA/CDPAP","HHA","Level of Service",$D88),0)</f>
        <v>0</v>
      </c>
      <c r="L88" s="665">
        <f ca="1">+IFERROR(L$5*GETPIVOTDATA("Unique Billed Hours",'County allocation'!$K$19,"County",$D74,"HHA/CDPAP","HHA","Level of Service",$D88),0)</f>
        <v>0</v>
      </c>
      <c r="M88" s="665">
        <f>+IFERROR(M$5*GETPIVOTDATA("Unique Billed Hours",'County allocation'!$S$3,"County",$D74,"HHA/CDPAP","HHA","Level of Service",$D88),0)</f>
        <v>0</v>
      </c>
      <c r="N88" s="665">
        <f>+IFERROR(N$5*GETPIVOTDATA("Unique Billed Hours",'County allocation'!$S$3,"County",$D74,"HHA/CDPAP","HHA","Level of Service",$D88),0)</f>
        <v>0</v>
      </c>
      <c r="O88" s="665">
        <f>+IFERROR(O$5*GETPIVOTDATA("Unique Billed Hours",'County allocation'!$S$3,"County",$D74,"HHA/CDPAP","HHA","Level of Service",$D88),0)</f>
        <v>0</v>
      </c>
      <c r="P88" s="665">
        <f>+IFERROR(P$5*GETPIVOTDATA("Unique Billed Hours",'County allocation'!$S$3,"County",$D74,"HHA/CDPAP","HHA","Level of Service",$D88),0)</f>
        <v>0</v>
      </c>
    </row>
    <row r="89" spans="1:18" s="54" customFormat="1" ht="15.75" hidden="1" thickBot="1" x14ac:dyDescent="0.3">
      <c r="A89" s="302"/>
      <c r="B89" s="309"/>
      <c r="C89" s="322">
        <f ca="1">C88</f>
        <v>0</v>
      </c>
      <c r="D89" s="52" t="s">
        <v>48</v>
      </c>
      <c r="E89" s="53" t="s">
        <v>79</v>
      </c>
      <c r="F89" s="657">
        <f t="shared" ca="1" si="36"/>
        <v>0</v>
      </c>
      <c r="G89" s="661">
        <f t="shared" ref="G89" ca="1" si="39">SUM(G85:G88)</f>
        <v>0</v>
      </c>
      <c r="H89" s="661">
        <f t="shared" ref="H89:P89" si="40">SUM(H85:H88)</f>
        <v>0</v>
      </c>
      <c r="I89" s="661">
        <f t="shared" ca="1" si="40"/>
        <v>0</v>
      </c>
      <c r="J89" s="661">
        <f t="shared" ca="1" si="40"/>
        <v>0</v>
      </c>
      <c r="K89" s="661">
        <f t="shared" ca="1" si="40"/>
        <v>0</v>
      </c>
      <c r="L89" s="661">
        <f t="shared" ca="1" si="40"/>
        <v>0</v>
      </c>
      <c r="M89" s="661">
        <f t="shared" si="40"/>
        <v>0</v>
      </c>
      <c r="N89" s="661">
        <f t="shared" si="40"/>
        <v>0</v>
      </c>
      <c r="O89" s="661">
        <f t="shared" si="40"/>
        <v>0</v>
      </c>
      <c r="P89" s="661">
        <f t="shared" si="40"/>
        <v>0</v>
      </c>
    </row>
    <row r="90" spans="1:18" s="54" customFormat="1" ht="15.75" hidden="1" thickBot="1" x14ac:dyDescent="0.3">
      <c r="A90" s="119"/>
      <c r="B90" s="309"/>
      <c r="C90" s="322"/>
      <c r="E90" s="55"/>
      <c r="F90" s="666"/>
      <c r="G90" s="666"/>
      <c r="H90" s="666"/>
      <c r="I90" s="666"/>
      <c r="J90" s="666"/>
      <c r="K90" s="666"/>
      <c r="L90" s="666"/>
      <c r="M90" s="666"/>
      <c r="N90" s="666"/>
      <c r="O90" s="666"/>
      <c r="P90" s="666"/>
    </row>
    <row r="91" spans="1:18" s="54" customFormat="1" ht="75.75" hidden="1" thickBot="1" x14ac:dyDescent="0.3">
      <c r="A91" s="119"/>
      <c r="B91" s="309"/>
      <c r="C91" s="322">
        <f ca="1">IF(F106&gt;0,1,0)</f>
        <v>0</v>
      </c>
      <c r="D91" s="45" t="str">
        <f>A8</f>
        <v>Cattaraugus</v>
      </c>
      <c r="E91" s="28">
        <f>+SUMIF(A:A,D91,B:B)</f>
        <v>0</v>
      </c>
      <c r="F91" s="652" t="s">
        <v>61</v>
      </c>
      <c r="G91" s="652" t="s">
        <v>387</v>
      </c>
      <c r="H91" s="652" t="s">
        <v>388</v>
      </c>
      <c r="I91" s="652" t="s">
        <v>392</v>
      </c>
      <c r="J91" s="652" t="s">
        <v>31</v>
      </c>
      <c r="K91" s="652" t="s">
        <v>32</v>
      </c>
      <c r="L91" s="653" t="s">
        <v>33</v>
      </c>
      <c r="M91" s="653" t="s">
        <v>60</v>
      </c>
      <c r="N91" s="653" t="s">
        <v>59</v>
      </c>
      <c r="O91" s="653" t="s">
        <v>58</v>
      </c>
      <c r="P91" s="653" t="s">
        <v>16</v>
      </c>
    </row>
    <row r="92" spans="1:18" s="54" customFormat="1" ht="15.75" hidden="1" thickBot="1" x14ac:dyDescent="0.3">
      <c r="A92" s="119"/>
      <c r="B92" s="309"/>
      <c r="C92" s="322">
        <f ca="1">C91</f>
        <v>0</v>
      </c>
      <c r="D92" s="56"/>
      <c r="E92" s="57"/>
      <c r="F92" s="654" t="s">
        <v>57</v>
      </c>
      <c r="G92" s="654" t="s">
        <v>56</v>
      </c>
      <c r="H92" s="654" t="s">
        <v>55</v>
      </c>
      <c r="I92" s="654" t="s">
        <v>54</v>
      </c>
      <c r="J92" s="654" t="s">
        <v>53</v>
      </c>
      <c r="K92" s="654" t="s">
        <v>52</v>
      </c>
      <c r="L92" s="654" t="s">
        <v>51</v>
      </c>
      <c r="M92" s="654" t="s">
        <v>50</v>
      </c>
      <c r="N92" s="654" t="s">
        <v>49</v>
      </c>
      <c r="O92" s="654" t="s">
        <v>47</v>
      </c>
      <c r="P92" s="655" t="s">
        <v>77</v>
      </c>
    </row>
    <row r="93" spans="1:18" s="54" customFormat="1" ht="15.75" hidden="1" thickBot="1" x14ac:dyDescent="0.3">
      <c r="A93" s="119"/>
      <c r="B93" s="309"/>
      <c r="C93" s="322">
        <f t="shared" ref="C93:C105" ca="1" si="41">C92</f>
        <v>0</v>
      </c>
      <c r="D93" s="59" t="s">
        <v>26</v>
      </c>
      <c r="E93" s="57"/>
      <c r="F93" s="656"/>
      <c r="G93" s="656"/>
      <c r="H93" s="656"/>
      <c r="I93" s="656"/>
      <c r="J93" s="656"/>
      <c r="K93" s="656"/>
      <c r="L93" s="656"/>
      <c r="M93" s="656"/>
      <c r="N93" s="656"/>
      <c r="O93" s="656"/>
      <c r="P93" s="663"/>
    </row>
    <row r="94" spans="1:18" s="54" customFormat="1" ht="15.75" hidden="1" thickBot="1" x14ac:dyDescent="0.3">
      <c r="A94" s="119"/>
      <c r="B94" s="309"/>
      <c r="C94" s="322">
        <f t="shared" ca="1" si="41"/>
        <v>0</v>
      </c>
      <c r="D94" s="7" t="s">
        <v>34</v>
      </c>
      <c r="E94" s="48" t="s">
        <v>57</v>
      </c>
      <c r="F94" s="657">
        <f ca="1">+H94+G94+I94</f>
        <v>0</v>
      </c>
      <c r="G94" s="658">
        <f ca="1">+IFERROR(G$5*GETPIVOTDATA("Unique Billed Hours",'County allocation'!$A$3,"County",$D91,"HHA/CDPAP","HHA","Level of Service",$D94),0)</f>
        <v>0</v>
      </c>
      <c r="H94" s="658">
        <f>+IFERROR(H$5*GETPIVOTDATA("Unique Billed Hours",'County allocation'!$S$3,"County",$D91,"HHA/CDPAP","HHA","Level of Service",$D94),0)</f>
        <v>0</v>
      </c>
      <c r="I94" s="664">
        <f ca="1">SUM(J94:P94)</f>
        <v>0</v>
      </c>
      <c r="J94" s="658">
        <f ca="1">+IFERROR(J$5*GETPIVOTDATA("Unique Billed Hours",'County allocation'!$S$3,"County",$D91,"HHA/CDPAP","HHA","Level of Service",$D94),0)</f>
        <v>0</v>
      </c>
      <c r="K94" s="658">
        <f ca="1">+IFERROR(K$5*GETPIVOTDATA("Unique Billed Hours",'County allocation'!$X$3,"County",$D91,"HHA/CDPAP","HHA","Level of Service",$D94),0)</f>
        <v>0</v>
      </c>
      <c r="L94" s="658">
        <f ca="1">+IFERROR(L$2*GETPIVOTDATA("Unique Billed Hours",'County allocation'!$O$3,"County",$D91,"HHA/CDPAP","HHA","Level of Service",$D94),0)</f>
        <v>0</v>
      </c>
      <c r="M94" s="658">
        <f>+IFERROR(M$5*GETPIVOTDATA("Unique Billed Hours",'County allocation'!$S$3,"County",$D91,"HHA/CDPAP","HHA","Level of Service",$D94),0)</f>
        <v>0</v>
      </c>
      <c r="N94" s="658">
        <f>+IFERROR(N$5*GETPIVOTDATA("Unique Billed Hours",'County allocation'!$S$3,"County",$D91,"HHA/CDPAP","HHA","Level of Service",$D94),0)</f>
        <v>0</v>
      </c>
      <c r="O94" s="658">
        <f>+IFERROR(O$5*GETPIVOTDATA("Unique Billed Hours",'County allocation'!$K$19,"County",$D91,"HHA/CDPAP","HHA","Level of Service",$D94),0)</f>
        <v>0</v>
      </c>
      <c r="P94" s="658">
        <f>+IFERROR(P$5*GETPIVOTDATA("Unique Billed Hours",'County allocation'!$S$3,"County",$D91,"HHA/CDPAP","HHA","Level of Service",$D94),0)</f>
        <v>0</v>
      </c>
    </row>
    <row r="95" spans="1:18" s="54" customFormat="1" ht="15.75" hidden="1" thickBot="1" x14ac:dyDescent="0.3">
      <c r="A95" s="119"/>
      <c r="B95" s="309"/>
      <c r="C95" s="322">
        <f t="shared" ca="1" si="41"/>
        <v>0</v>
      </c>
      <c r="D95" s="7" t="s">
        <v>35</v>
      </c>
      <c r="E95" s="48" t="s">
        <v>56</v>
      </c>
      <c r="F95" s="657">
        <f t="shared" ref="F95:F106" ca="1" si="42">+H95+G95+I95</f>
        <v>0</v>
      </c>
      <c r="G95" s="658">
        <f ca="1">+IFERROR(G$5*GETPIVOTDATA("Unique Billed Hours",'County allocation'!$A$3,"County",$D91,"HHA/CDPAP","HHA","Level of Service",$D95),0)</f>
        <v>0</v>
      </c>
      <c r="H95" s="658">
        <f>+IFERROR(H$5*GETPIVOTDATA("Unique Billed Hours",'County allocation'!$S$3,"County",$D91,"HHA/CDPAP","HHA","Level of Service",$D95),0)</f>
        <v>0</v>
      </c>
      <c r="I95" s="664">
        <f t="shared" ref="I95:I105" ca="1" si="43">SUM(J95:P95)</f>
        <v>0</v>
      </c>
      <c r="J95" s="658">
        <f ca="1">+IFERROR(J$5*GETPIVOTDATA("Unique Billed Hours",'County allocation'!$S$3,"County",$D91,"HHA/CDPAP","HHA","Level of Service",$D95),0)</f>
        <v>0</v>
      </c>
      <c r="K95" s="658">
        <f ca="1">+IFERROR(K$5*GETPIVOTDATA("Unique Billed Hours",'County allocation'!$X$3,"County",$D91,"HHA/CDPAP","HHA","Level of Service",$D95),0)</f>
        <v>0</v>
      </c>
      <c r="L95" s="658">
        <f ca="1">+IFERROR(L$2*GETPIVOTDATA("Unique Billed Hours",'County allocation'!$O$3,"County",$D91,"HHA/CDPAP","HHA","Level of Service",$D95),0)</f>
        <v>0</v>
      </c>
      <c r="M95" s="658">
        <f>+IFERROR(M$5*GETPIVOTDATA("Unique Billed Hours",'County allocation'!$S$3,"County",$D91,"HHA/CDPAP","HHA","Level of Service",$D95),0)</f>
        <v>0</v>
      </c>
      <c r="N95" s="658">
        <f>+IFERROR(N$5*GETPIVOTDATA("Unique Billed Hours",'County allocation'!$S$3,"County",$D91,"HHA/CDPAP","HHA","Level of Service",$D95),0)</f>
        <v>0</v>
      </c>
      <c r="O95" s="658">
        <f>+IFERROR(O$5*GETPIVOTDATA("Unique Billed Hours",'County allocation'!$K$19,"County",$D91,"HHA/CDPAP","HHA","Level of Service",$D95),0)</f>
        <v>0</v>
      </c>
      <c r="P95" s="658">
        <f>+IFERROR(P$5*GETPIVOTDATA("Unique Billed Hours",'County allocation'!$S$3,"County",$D91,"HHA/CDPAP","HHA","Level of Service",$D95),0)</f>
        <v>0</v>
      </c>
      <c r="R95" s="61"/>
    </row>
    <row r="96" spans="1:18" s="54" customFormat="1" ht="15.75" hidden="1" thickBot="1" x14ac:dyDescent="0.3">
      <c r="A96" s="302"/>
      <c r="B96" s="309"/>
      <c r="C96" s="322">
        <f t="shared" ca="1" si="41"/>
        <v>0</v>
      </c>
      <c r="D96" s="7" t="s">
        <v>36</v>
      </c>
      <c r="E96" s="48" t="s">
        <v>55</v>
      </c>
      <c r="F96" s="657">
        <f t="shared" ca="1" si="42"/>
        <v>0</v>
      </c>
      <c r="G96" s="658">
        <f ca="1">+IFERROR(G$5*GETPIVOTDATA("Unique Billed Hours",'County allocation'!$A$3,"County",$D91,"HHA/CDPAP","HHA","Level of Service",$D96),0)</f>
        <v>0</v>
      </c>
      <c r="H96" s="658">
        <f>+IFERROR(H$5*GETPIVOTDATA("Unique Billed Hours",'County allocation'!$S$3,"County",$D91,"HHA/CDPAP","HHA","Level of Service",$D96),0)</f>
        <v>0</v>
      </c>
      <c r="I96" s="664">
        <f t="shared" ca="1" si="43"/>
        <v>0</v>
      </c>
      <c r="J96" s="658">
        <f ca="1">+IFERROR(J$5*GETPIVOTDATA("Unique Billed Hours",'County allocation'!$S$3,"County",$D91,"HHA/CDPAP","HHA","Level of Service",$D96),0)</f>
        <v>0</v>
      </c>
      <c r="K96" s="658">
        <f ca="1">+IFERROR(K$5*GETPIVOTDATA("Unique Billed Hours",'County allocation'!$X$3,"County",$D91,"HHA/CDPAP","HHA","Level of Service",$D96),0)</f>
        <v>0</v>
      </c>
      <c r="L96" s="658">
        <f ca="1">+IFERROR(L$2*GETPIVOTDATA("Unique Billed Hours",'County allocation'!$O$3,"County",$D91,"HHA/CDPAP","HHA","Level of Service",$D96),0)</f>
        <v>0</v>
      </c>
      <c r="M96" s="658">
        <f>+IFERROR(M$5*GETPIVOTDATA("Unique Billed Hours",'County allocation'!$S$3,"County",$D91,"HHA/CDPAP","HHA","Level of Service",$D96),0)</f>
        <v>0</v>
      </c>
      <c r="N96" s="658">
        <f>+IFERROR(N$5*GETPIVOTDATA("Unique Billed Hours",'County allocation'!$S$3,"County",$D91,"HHA/CDPAP","HHA","Level of Service",$D96),0)</f>
        <v>0</v>
      </c>
      <c r="O96" s="658">
        <f>+IFERROR(O$5*GETPIVOTDATA("Unique Billed Hours",'County allocation'!$K$19,"County",$D91,"HHA/CDPAP","HHA","Level of Service",$D96),0)</f>
        <v>0</v>
      </c>
      <c r="P96" s="658">
        <f>+IFERROR(P$5*GETPIVOTDATA("Unique Billed Hours",'County allocation'!$S$3,"County",$D91,"HHA/CDPAP","HHA","Level of Service",$D96),0)</f>
        <v>0</v>
      </c>
    </row>
    <row r="97" spans="1:18" s="54" customFormat="1" ht="15.75" hidden="1" thickBot="1" x14ac:dyDescent="0.3">
      <c r="A97" s="119"/>
      <c r="B97" s="309"/>
      <c r="C97" s="322">
        <f t="shared" ca="1" si="41"/>
        <v>0</v>
      </c>
      <c r="D97" s="7" t="s">
        <v>37</v>
      </c>
      <c r="E97" s="48" t="s">
        <v>54</v>
      </c>
      <c r="F97" s="657">
        <f t="shared" ca="1" si="42"/>
        <v>0</v>
      </c>
      <c r="G97" s="658">
        <f ca="1">+IFERROR(G$5*GETPIVOTDATA("Unique Billed Hours",'County allocation'!$A$3,"County",$D91,"HHA/CDPAP","HHA","Level of Service",$D97),0)</f>
        <v>0</v>
      </c>
      <c r="H97" s="658">
        <f>+IFERROR(H$5*GETPIVOTDATA("Unique Billed Hours",'County allocation'!$S$3,"County",$D91,"HHA/CDPAP","HHA","Level of Service",$D97),0)</f>
        <v>0</v>
      </c>
      <c r="I97" s="664">
        <f t="shared" ca="1" si="43"/>
        <v>0</v>
      </c>
      <c r="J97" s="658">
        <f ca="1">+IFERROR(J$5*GETPIVOTDATA("Unique Billed Hours",'County allocation'!$S$3,"County",$D91,"HHA/CDPAP","HHA","Level of Service",$D97),0)</f>
        <v>0</v>
      </c>
      <c r="K97" s="658">
        <f ca="1">+IFERROR(K$5*GETPIVOTDATA("Unique Billed Hours",'County allocation'!$X$3,"County",$D91,"HHA/CDPAP","HHA","Level of Service",$D97),0)</f>
        <v>0</v>
      </c>
      <c r="L97" s="658">
        <f ca="1">+IFERROR(L$2*GETPIVOTDATA("Unique Billed Hours",'County allocation'!$O$3,"County",$D91,"HHA/CDPAP","HHA","Level of Service",$D97),0)</f>
        <v>0</v>
      </c>
      <c r="M97" s="658">
        <f>+IFERROR(M$5*GETPIVOTDATA("Unique Billed Hours",'County allocation'!$S$3,"County",$D91,"HHA/CDPAP","HHA","Level of Service",$D97),0)</f>
        <v>0</v>
      </c>
      <c r="N97" s="658">
        <f>+IFERROR(N$5*GETPIVOTDATA("Unique Billed Hours",'County allocation'!$S$3,"County",$D91,"HHA/CDPAP","HHA","Level of Service",$D97),0)</f>
        <v>0</v>
      </c>
      <c r="O97" s="658">
        <f>+IFERROR(O$5*GETPIVOTDATA("Unique Billed Hours",'County allocation'!$K$19,"County",$D91,"HHA/CDPAP","HHA","Level of Service",$D97),0)</f>
        <v>0</v>
      </c>
      <c r="P97" s="658">
        <f>+IFERROR(P$5*GETPIVOTDATA("Unique Billed Hours",'County allocation'!$S$3,"County",$D91,"HHA/CDPAP","HHA","Level of Service",$D97),0)</f>
        <v>0</v>
      </c>
    </row>
    <row r="98" spans="1:18" s="54" customFormat="1" ht="15.75" hidden="1" thickBot="1" x14ac:dyDescent="0.3">
      <c r="A98" s="119"/>
      <c r="B98" s="309"/>
      <c r="C98" s="322">
        <f t="shared" ca="1" si="41"/>
        <v>0</v>
      </c>
      <c r="D98" s="7" t="s">
        <v>38</v>
      </c>
      <c r="E98" s="48" t="s">
        <v>53</v>
      </c>
      <c r="F98" s="657">
        <f t="shared" ca="1" si="42"/>
        <v>0</v>
      </c>
      <c r="G98" s="658">
        <f ca="1">+IFERROR(G$5*GETPIVOTDATA("Unique Billed Hours",'County allocation'!$A$3,"County",$D91,"HHA/CDPAP","HHA","Level of Service",$D98),0)</f>
        <v>0</v>
      </c>
      <c r="H98" s="658">
        <f>+IFERROR(H$5*GETPIVOTDATA("Unique Billed Hours",'County allocation'!$S$3,"County",$D91,"HHA/CDPAP","HHA","Level of Service",$D98),0)</f>
        <v>0</v>
      </c>
      <c r="I98" s="664">
        <f t="shared" ca="1" si="43"/>
        <v>0</v>
      </c>
      <c r="J98" s="658">
        <f ca="1">+IFERROR(J$5*GETPIVOTDATA("Unique Billed Hours",'County allocation'!$S$3,"County",$D91,"HHA/CDPAP","HHA","Level of Service",$D98),0)</f>
        <v>0</v>
      </c>
      <c r="K98" s="658">
        <f ca="1">+IFERROR(K$5*GETPIVOTDATA("Unique Billed Hours",'County allocation'!$X$3,"County",$D91,"HHA/CDPAP","HHA","Level of Service",$D98),0)</f>
        <v>0</v>
      </c>
      <c r="L98" s="658">
        <f ca="1">+IFERROR(L$5*GETPIVOTDATA("Unique Billed Hours",'County allocation'!$K$19,"County",$D91,"HHA/CDPAP","HHA","Level of Service",$D98),0)</f>
        <v>0</v>
      </c>
      <c r="M98" s="658">
        <f>+IFERROR(M$5*GETPIVOTDATA("Unique Billed Hours",'County allocation'!$S$3,"County",$D91,"HHA/CDPAP","HHA","Level of Service",$D98),0)</f>
        <v>0</v>
      </c>
      <c r="N98" s="658">
        <f>+IFERROR(N$5*GETPIVOTDATA("Unique Billed Hours",'County allocation'!$S$3,"County",$D91,"HHA/CDPAP","HHA","Level of Service",$D98),0)</f>
        <v>0</v>
      </c>
      <c r="O98" s="658">
        <f>+IFERROR(O$5*GETPIVOTDATA("Unique Billed Hours",'County allocation'!$K$19,"County",$D91,"HHA/CDPAP","HHA","Level of Service",$D98),0)</f>
        <v>0</v>
      </c>
      <c r="P98" s="658">
        <f>+IFERROR(P$5*GETPIVOTDATA("Unique Billed Hours",'County allocation'!$S$3,"County",$D91,"HHA/CDPAP","HHA","Level of Service",$D98),0)</f>
        <v>0</v>
      </c>
    </row>
    <row r="99" spans="1:18" s="54" customFormat="1" ht="15.75" hidden="1" thickBot="1" x14ac:dyDescent="0.3">
      <c r="A99" s="119"/>
      <c r="B99" s="309"/>
      <c r="C99" s="322">
        <f t="shared" ca="1" si="41"/>
        <v>0</v>
      </c>
      <c r="D99" s="7" t="s">
        <v>39</v>
      </c>
      <c r="E99" s="48" t="s">
        <v>52</v>
      </c>
      <c r="F99" s="657">
        <f t="shared" ca="1" si="42"/>
        <v>0</v>
      </c>
      <c r="G99" s="658">
        <f ca="1">+IFERROR(G$5*GETPIVOTDATA("Unique Billed Hours",'County allocation'!$A$3,"County",$D91,"HHA/CDPAP","HHA","Level of Service",$D99),0)</f>
        <v>0</v>
      </c>
      <c r="H99" s="658">
        <f>+IFERROR(H$5*GETPIVOTDATA("Unique Billed Hours",'County allocation'!$S$3,"County",$D91,"HHA/CDPAP","HHA","Level of Service",$D99),0)</f>
        <v>0</v>
      </c>
      <c r="I99" s="664">
        <f t="shared" ca="1" si="43"/>
        <v>0</v>
      </c>
      <c r="J99" s="658">
        <f ca="1">+IFERROR(J$5*GETPIVOTDATA("Unique Billed Hours",'County allocation'!$S$3,"County",$D91,"HHA/CDPAP","HHA","Level of Service",$D99),0)</f>
        <v>0</v>
      </c>
      <c r="K99" s="658">
        <f ca="1">+IFERROR(K$5*GETPIVOTDATA("Unique Billed Hours",'County allocation'!$X$3,"County",$D91,"HHA/CDPAP","HHA","Level of Service",$D99),0)</f>
        <v>0</v>
      </c>
      <c r="L99" s="658">
        <f ca="1">+IFERROR(L$5*GETPIVOTDATA("Unique Billed Hours",'County allocation'!$K$19,"County",$D91,"HHA/CDPAP","HHA","Level of Service",$D99),0)</f>
        <v>0</v>
      </c>
      <c r="M99" s="658">
        <f>+IFERROR(M$5*GETPIVOTDATA("Unique Billed Hours",'County allocation'!$S$3,"County",$D91,"HHA/CDPAP","HHA","Level of Service",$D99),0)</f>
        <v>0</v>
      </c>
      <c r="N99" s="658">
        <f>+IFERROR(N$5*GETPIVOTDATA("Unique Billed Hours",'County allocation'!$S$3,"County",$D91,"HHA/CDPAP","HHA","Level of Service",$D99),0)</f>
        <v>0</v>
      </c>
      <c r="O99" s="658">
        <f>+IFERROR(O$5*GETPIVOTDATA("Unique Billed Hours",'County allocation'!$K$19,"County",$D91,"HHA/CDPAP","HHA","Level of Service",$D99),0)</f>
        <v>0</v>
      </c>
      <c r="P99" s="658">
        <f>+IFERROR(P$5*GETPIVOTDATA("Unique Billed Hours",'County allocation'!$S$3,"County",$D91,"HHA/CDPAP","HHA","Level of Service",$D99),0)</f>
        <v>0</v>
      </c>
    </row>
    <row r="100" spans="1:18" s="54" customFormat="1" ht="15.75" hidden="1" thickBot="1" x14ac:dyDescent="0.3">
      <c r="A100" s="119"/>
      <c r="B100" s="309"/>
      <c r="C100" s="322">
        <f t="shared" ca="1" si="41"/>
        <v>0</v>
      </c>
      <c r="D100" s="8" t="s">
        <v>40</v>
      </c>
      <c r="E100" s="48" t="s">
        <v>51</v>
      </c>
      <c r="F100" s="657">
        <f t="shared" ca="1" si="42"/>
        <v>0</v>
      </c>
      <c r="G100" s="658">
        <f ca="1">+IFERROR(G$5*GETPIVOTDATA("Unique Billed Hours",'County allocation'!$A$3,"County",$D91,"HHA/CDPAP","HHA","Level of Service",$D100),0)</f>
        <v>0</v>
      </c>
      <c r="H100" s="658">
        <f>+IFERROR(H$5*GETPIVOTDATA("Unique Billed Hours",'County allocation'!$S$3,"County",$D91,"HHA/CDPAP","HHA","Level of Service",$D100),0)</f>
        <v>0</v>
      </c>
      <c r="I100" s="664">
        <f t="shared" ca="1" si="43"/>
        <v>0</v>
      </c>
      <c r="J100" s="658">
        <f ca="1">+IFERROR(J$5*GETPIVOTDATA("Unique Billed Hours",'County allocation'!$S$3,"County",$D91,"HHA/CDPAP","HHA","Level of Service",$D100),0)</f>
        <v>0</v>
      </c>
      <c r="K100" s="658">
        <f ca="1">+IFERROR(K$5*GETPIVOTDATA("Unique Billed Hours",'County allocation'!$X$3,"County",$D91,"HHA/CDPAP","HHA","Level of Service",$D100),0)</f>
        <v>0</v>
      </c>
      <c r="L100" s="658">
        <f ca="1">+IFERROR(L$2*GETPIVOTDATA("Unique Billed Hours",'County allocation'!$O$3,"County",$D91,"HHA/CDPAP","HHA","Level of Service",$D100),0)</f>
        <v>0</v>
      </c>
      <c r="M100" s="658">
        <f>+IFERROR(M$5*GETPIVOTDATA("Unique Billed Hours",'County allocation'!$S$3,"County",$D91,"HHA/CDPAP","HHA","Level of Service",$D100),0)</f>
        <v>0</v>
      </c>
      <c r="N100" s="658">
        <f>+IFERROR(N$5*GETPIVOTDATA("Unique Billed Hours",'County allocation'!$S$3,"County",$D91,"HHA/CDPAP","HHA","Level of Service",$D100),0)</f>
        <v>0</v>
      </c>
      <c r="O100" s="658">
        <f>+IFERROR(O$5*GETPIVOTDATA("Unique Billed Hours",'County allocation'!$K$19,"County",$D91,"HHA/CDPAP","HHA","Level of Service",$D100),0)</f>
        <v>0</v>
      </c>
      <c r="P100" s="658">
        <f>+IFERROR(P$5*GETPIVOTDATA("Unique Billed Hours",'County allocation'!$S$3,"County",$D91,"HHA/CDPAP","HHA","Level of Service",$D100),0)</f>
        <v>0</v>
      </c>
    </row>
    <row r="101" spans="1:18" s="54" customFormat="1" ht="15.75" hidden="1" thickBot="1" x14ac:dyDescent="0.3">
      <c r="A101" s="119"/>
      <c r="B101" s="309"/>
      <c r="C101" s="322">
        <f t="shared" ca="1" si="41"/>
        <v>0</v>
      </c>
      <c r="D101" s="8" t="s">
        <v>41</v>
      </c>
      <c r="E101" s="48" t="s">
        <v>50</v>
      </c>
      <c r="F101" s="657">
        <f t="shared" ca="1" si="42"/>
        <v>0</v>
      </c>
      <c r="G101" s="658">
        <f ca="1">+IFERROR(G$5*GETPIVOTDATA("Unique Billed Hours",'County allocation'!$A$3,"County",$D91,"HHA/CDPAP","HHA","Level of Service",$D101),0)</f>
        <v>0</v>
      </c>
      <c r="H101" s="658">
        <f>+IFERROR(H$5*GETPIVOTDATA("Unique Billed Hours",'County allocation'!$S$3,"County",$D91,"HHA/CDPAP","HHA","Level of Service",$D101),0)</f>
        <v>0</v>
      </c>
      <c r="I101" s="664">
        <f t="shared" ca="1" si="43"/>
        <v>0</v>
      </c>
      <c r="J101" s="658">
        <f ca="1">+IFERROR(J$5*GETPIVOTDATA("Unique Billed Hours",'County allocation'!$S$3,"County",$D91,"HHA/CDPAP","HHA","Level of Service",$D101),0)</f>
        <v>0</v>
      </c>
      <c r="K101" s="658">
        <f ca="1">+IFERROR(K$5*GETPIVOTDATA("Unique Billed Hours",'County allocation'!$X$3,"County",$D91,"HHA/CDPAP","HHA","Level of Service",$D101),0)</f>
        <v>0</v>
      </c>
      <c r="L101" s="658">
        <f ca="1">+IFERROR(L$2*GETPIVOTDATA("Unique Billed Hours",'County allocation'!$O$3,"County",$D91,"HHA/CDPAP","HHA","Level of Service",$D101),0)</f>
        <v>0</v>
      </c>
      <c r="M101" s="658">
        <f>+IFERROR(M$5*GETPIVOTDATA("Unique Billed Hours",'County allocation'!$S$3,"County",$D91,"HHA/CDPAP","HHA","Level of Service",$D101),0)</f>
        <v>0</v>
      </c>
      <c r="N101" s="658">
        <f>+IFERROR(N$5*GETPIVOTDATA("Unique Billed Hours",'County allocation'!$S$3,"County",$D91,"HHA/CDPAP","HHA","Level of Service",$D101),0)</f>
        <v>0</v>
      </c>
      <c r="O101" s="658">
        <f>+IFERROR(O$5*GETPIVOTDATA("Unique Billed Hours",'County allocation'!$K$19,"County",$D91,"HHA/CDPAP","HHA","Level of Service",$D101),0)</f>
        <v>0</v>
      </c>
      <c r="P101" s="658">
        <f>+IFERROR(P$5*GETPIVOTDATA("Unique Billed Hours",'County allocation'!$S$3,"County",$D91,"HHA/CDPAP","HHA","Level of Service",$D101),0)</f>
        <v>0</v>
      </c>
    </row>
    <row r="102" spans="1:18" s="54" customFormat="1" ht="15.75" hidden="1" thickBot="1" x14ac:dyDescent="0.3">
      <c r="A102" s="119"/>
      <c r="B102" s="309"/>
      <c r="C102" s="322">
        <f t="shared" ca="1" si="41"/>
        <v>0</v>
      </c>
      <c r="D102" s="52" t="s">
        <v>389</v>
      </c>
      <c r="E102" s="53" t="s">
        <v>49</v>
      </c>
      <c r="F102" s="657">
        <f t="shared" ca="1" si="42"/>
        <v>0</v>
      </c>
      <c r="G102" s="661">
        <f ca="1">SUM(G94:G101)</f>
        <v>0</v>
      </c>
      <c r="H102" s="661">
        <f>SUM(H94:H101)</f>
        <v>0</v>
      </c>
      <c r="I102" s="664">
        <f t="shared" ca="1" si="43"/>
        <v>0</v>
      </c>
      <c r="J102" s="661">
        <f ca="1">SUM(J94:J101)</f>
        <v>0</v>
      </c>
      <c r="K102" s="661">
        <f t="shared" ref="K102:P102" ca="1" si="44">SUM(K94:K101)</f>
        <v>0</v>
      </c>
      <c r="L102" s="661">
        <f t="shared" ca="1" si="44"/>
        <v>0</v>
      </c>
      <c r="M102" s="661">
        <f t="shared" si="44"/>
        <v>0</v>
      </c>
      <c r="N102" s="661">
        <f t="shared" si="44"/>
        <v>0</v>
      </c>
      <c r="O102" s="661">
        <f t="shared" si="44"/>
        <v>0</v>
      </c>
      <c r="P102" s="661">
        <f t="shared" si="44"/>
        <v>0</v>
      </c>
    </row>
    <row r="103" spans="1:18" s="54" customFormat="1" ht="15.75" hidden="1" thickBot="1" x14ac:dyDescent="0.3">
      <c r="A103" s="119"/>
      <c r="B103" s="309"/>
      <c r="C103" s="322">
        <f t="shared" ca="1" si="41"/>
        <v>0</v>
      </c>
      <c r="D103" s="371" t="s">
        <v>390</v>
      </c>
      <c r="E103" s="325" t="s">
        <v>47</v>
      </c>
      <c r="F103" s="657">
        <f t="shared" ca="1" si="42"/>
        <v>0</v>
      </c>
      <c r="G103" s="665">
        <f ca="1">+IFERROR((G$5*GETPIVOTDATA("Unique Billed Hours",'County allocation'!$A$3,"County",$D91,"HHA/CDPAP","HHA","Level of Service",$D103))+($G$2*GETPIVOTDATA("Unique Billed Hours",'County allocation'!$F$7,"County",$D91,"HHA/CDPAP","HHA","Level of Service",$D103)),0)++IFERROR(J$5*GETPIVOTDATA("Unique Billed Hours",'County allocation'!$AC$3,"County",$D91,"HHA/CDPAP","HHA","Level of Service",$D103),0)+ +IFERROR(J$5*GETPIVOTDATA("Unique Billed Hours",'County allocation'!$AC$3,"County",$D91,"HHA/CDPAP","HHA","Level of Service",$D104),0)</f>
        <v>0</v>
      </c>
      <c r="H103" s="665">
        <f>+IFERROR(H$5*GETPIVOTDATA("Unique Billed Hours",'County allocation'!$S$3,"County",$D91,"HHA/CDPAP","HHA","Level of Service",$D103),0)</f>
        <v>0</v>
      </c>
      <c r="I103" s="664">
        <f t="shared" ca="1" si="43"/>
        <v>0</v>
      </c>
      <c r="J103" s="901"/>
      <c r="K103" s="665">
        <f ca="1">+IFERROR(K$5*GETPIVOTDATA("Unique Billed Hours",'County allocation'!$X$3,"County",$D91,"HHA/CDPAP","HHA","Level of Service",$D103),0)</f>
        <v>0</v>
      </c>
      <c r="L103" s="665">
        <f ca="1">+IFERROR(L$5*GETPIVOTDATA("Unique Billed Hours",'County allocation'!$K$19,"County",$D91,"HHA/CDPAP","HHA","Level of Service",$D103),0)</f>
        <v>0</v>
      </c>
      <c r="M103" s="665">
        <f>+IFERROR(M$5*GETPIVOTDATA("Unique Billed Hours",'County allocation'!$S$3,"County",$D91,"HHA/CDPAP","HHA","Level of Service",$D103),0)</f>
        <v>0</v>
      </c>
      <c r="N103" s="665">
        <f>+IFERROR(N$5*GETPIVOTDATA("Unique Billed Hours",'County allocation'!$S$3,"County",$D91,"HHA/CDPAP","HHA","Level of Service",$D103),0)</f>
        <v>0</v>
      </c>
      <c r="O103" s="665">
        <f>+IFERROR(O$5*GETPIVOTDATA("Unique Billed Hours",'County allocation'!$S$3,"County",$D91,"HHA/CDPAP","HHA","Level of Service",$D103),0)</f>
        <v>0</v>
      </c>
      <c r="P103" s="665">
        <f>+IFERROR(P$5*GETPIVOTDATA("Unique Billed Hours",'County allocation'!$S$3,"County",$D91,"HHA/CDPAP","HHA","Level of Service",$D103),0)</f>
        <v>0</v>
      </c>
    </row>
    <row r="104" spans="1:18" s="54" customFormat="1" ht="15.75" hidden="1" thickBot="1" x14ac:dyDescent="0.3">
      <c r="A104" s="119"/>
      <c r="B104" s="309"/>
      <c r="C104" s="322">
        <f t="shared" ca="1" si="41"/>
        <v>0</v>
      </c>
      <c r="D104" s="8" t="s">
        <v>391</v>
      </c>
      <c r="E104" s="370" t="s">
        <v>77</v>
      </c>
      <c r="F104" s="657">
        <f t="shared" ca="1" si="42"/>
        <v>0</v>
      </c>
      <c r="G104" s="656"/>
      <c r="H104" s="658">
        <f>+IFERROR(H$5*GETPIVOTDATA("Unique Billed Hours",'County allocation'!$S$3,"County",$D91,"HHA/CDPAP","HHA","Level of Service",$D104),0)</f>
        <v>0</v>
      </c>
      <c r="I104" s="664">
        <f t="shared" ca="1" si="43"/>
        <v>0</v>
      </c>
      <c r="J104" s="901"/>
      <c r="K104" s="665">
        <f ca="1">+IFERROR(K$5*GETPIVOTDATA("Unique Billed Hours",'County allocation'!$X$3,"County",$D91,"HHA/CDPAP","HHA","Level of Service",$D104),0)</f>
        <v>0</v>
      </c>
      <c r="L104" s="665">
        <f ca="1">+IFERROR(L$5*GETPIVOTDATA("Unique Billed Hours",'County allocation'!$K$19,"County",$D91,"HHA/CDPAP","HHA","Level of Service",$D104),0)</f>
        <v>0</v>
      </c>
      <c r="M104" s="665">
        <f>+IFERROR(M$5*GETPIVOTDATA("Unique Billed Hours",'County allocation'!$S$3,"County",$D91,"HHA/CDPAP","HHA","Level of Service",$D104),0)</f>
        <v>0</v>
      </c>
      <c r="N104" s="665">
        <f>+IFERROR(N$5*GETPIVOTDATA("Unique Billed Hours",'County allocation'!$S$3,"County",$D91,"HHA/CDPAP","HHA","Level of Service",$D104),0)</f>
        <v>0</v>
      </c>
      <c r="O104" s="665">
        <f>+IFERROR(O$5*GETPIVOTDATA("Unique Billed Hours",'County allocation'!$S$3,"County",$D91,"HHA/CDPAP","HHA","Level of Service",$D104),0)</f>
        <v>0</v>
      </c>
      <c r="P104" s="665">
        <f>+IFERROR(P$5*GETPIVOTDATA("Unique Billed Hours",'County allocation'!$S$3,"County",$D91,"HHA/CDPAP","HHA","Level of Service",$D104),0)</f>
        <v>0</v>
      </c>
    </row>
    <row r="105" spans="1:18" s="54" customFormat="1" ht="15.75" hidden="1" thickBot="1" x14ac:dyDescent="0.3">
      <c r="A105" s="119"/>
      <c r="B105" s="309"/>
      <c r="C105" s="322">
        <f t="shared" ca="1" si="41"/>
        <v>0</v>
      </c>
      <c r="D105" s="8" t="s">
        <v>374</v>
      </c>
      <c r="E105" s="370" t="s">
        <v>78</v>
      </c>
      <c r="F105" s="657">
        <f t="shared" ca="1" si="42"/>
        <v>0</v>
      </c>
      <c r="G105" s="658">
        <f ca="1">+IFERROR(G$5*GETPIVOTDATA("Unique Billed Hours",'County allocation'!$A$3,"County",$D91,"HHA/CDPAP","HHA","Level of Service",$D105),0)++IFERROR(J$5*GETPIVOTDATA("Unique Billed Hours",'County allocation'!$AC$3,"County",$D91,"HHA/CDPAP","HHA","Level of Service",$D105),0)</f>
        <v>0</v>
      </c>
      <c r="H105" s="658">
        <f>+IFERROR(H$5*GETPIVOTDATA("Unique Billed Hours",'County allocation'!$S$3,"County",$D91,"HHA/CDPAP","HHA","Level of Service",$D105),0)</f>
        <v>0</v>
      </c>
      <c r="I105" s="664">
        <f t="shared" ca="1" si="43"/>
        <v>0</v>
      </c>
      <c r="J105" s="901"/>
      <c r="K105" s="665">
        <f ca="1">+IFERROR(K$5*GETPIVOTDATA("Unique Billed Hours",'County allocation'!$X$3,"County",$D91,"HHA/CDPAP","HHA","Level of Service",$D105),0)</f>
        <v>0</v>
      </c>
      <c r="L105" s="665">
        <f ca="1">+IFERROR(L$5*GETPIVOTDATA("Unique Billed Hours",'County allocation'!$K$19,"County",$D91,"HHA/CDPAP","HHA","Level of Service",$D105),0)</f>
        <v>0</v>
      </c>
      <c r="M105" s="665">
        <f>+IFERROR(M$5*GETPIVOTDATA("Unique Billed Hours",'County allocation'!$S$3,"County",$D91,"HHA/CDPAP","HHA","Level of Service",$D105),0)</f>
        <v>0</v>
      </c>
      <c r="N105" s="665">
        <f>+IFERROR(N$5*GETPIVOTDATA("Unique Billed Hours",'County allocation'!$S$3,"County",$D91,"HHA/CDPAP","HHA","Level of Service",$D105),0)</f>
        <v>0</v>
      </c>
      <c r="O105" s="665">
        <f>+IFERROR(O$5*GETPIVOTDATA("Unique Billed Hours",'County allocation'!$S$3,"County",$D91,"HHA/CDPAP","HHA","Level of Service",$D105),0)</f>
        <v>0</v>
      </c>
      <c r="P105" s="665">
        <f>+IFERROR(P$5*GETPIVOTDATA("Unique Billed Hours",'County allocation'!$S$3,"County",$D91,"HHA/CDPAP","HHA","Level of Service",$D105),0)</f>
        <v>0</v>
      </c>
    </row>
    <row r="106" spans="1:18" s="54" customFormat="1" ht="15.75" hidden="1" thickBot="1" x14ac:dyDescent="0.3">
      <c r="A106" s="302"/>
      <c r="B106" s="309"/>
      <c r="C106" s="322">
        <f ca="1">C105</f>
        <v>0</v>
      </c>
      <c r="D106" s="52" t="s">
        <v>48</v>
      </c>
      <c r="E106" s="53" t="s">
        <v>79</v>
      </c>
      <c r="F106" s="657">
        <f t="shared" ca="1" si="42"/>
        <v>0</v>
      </c>
      <c r="G106" s="661">
        <f t="shared" ref="G106" ca="1" si="45">SUM(G102:G105)</f>
        <v>0</v>
      </c>
      <c r="H106" s="661">
        <f t="shared" ref="H106:P106" si="46">SUM(H102:H105)</f>
        <v>0</v>
      </c>
      <c r="I106" s="661">
        <f t="shared" ca="1" si="46"/>
        <v>0</v>
      </c>
      <c r="J106" s="661">
        <f t="shared" ca="1" si="46"/>
        <v>0</v>
      </c>
      <c r="K106" s="661">
        <f t="shared" ca="1" si="46"/>
        <v>0</v>
      </c>
      <c r="L106" s="661">
        <f t="shared" ca="1" si="46"/>
        <v>0</v>
      </c>
      <c r="M106" s="661">
        <f t="shared" si="46"/>
        <v>0</v>
      </c>
      <c r="N106" s="661">
        <f t="shared" si="46"/>
        <v>0</v>
      </c>
      <c r="O106" s="661">
        <f t="shared" si="46"/>
        <v>0</v>
      </c>
      <c r="P106" s="661">
        <f t="shared" si="46"/>
        <v>0</v>
      </c>
    </row>
    <row r="107" spans="1:18" s="54" customFormat="1" ht="15.75" hidden="1" thickBot="1" x14ac:dyDescent="0.3">
      <c r="A107" s="119"/>
      <c r="B107" s="309"/>
      <c r="C107" s="322"/>
      <c r="E107" s="55"/>
      <c r="F107" s="666"/>
      <c r="G107" s="666"/>
      <c r="H107" s="666"/>
      <c r="I107" s="666"/>
      <c r="J107" s="666"/>
      <c r="K107" s="666"/>
      <c r="L107" s="666"/>
      <c r="M107" s="666"/>
      <c r="N107" s="666"/>
      <c r="O107" s="666"/>
      <c r="P107" s="666"/>
    </row>
    <row r="108" spans="1:18" s="54" customFormat="1" ht="75.75" hidden="1" thickBot="1" x14ac:dyDescent="0.3">
      <c r="A108" s="119"/>
      <c r="B108" s="309"/>
      <c r="C108" s="322">
        <f ca="1">IF(F123&gt;0,1,0)</f>
        <v>0</v>
      </c>
      <c r="D108" s="45" t="str">
        <f>A9</f>
        <v>Cayuga</v>
      </c>
      <c r="E108" s="28">
        <f>+SUMIF(A:A,D108,B:B)</f>
        <v>0</v>
      </c>
      <c r="F108" s="652" t="s">
        <v>61</v>
      </c>
      <c r="G108" s="652" t="s">
        <v>387</v>
      </c>
      <c r="H108" s="652" t="s">
        <v>388</v>
      </c>
      <c r="I108" s="652" t="s">
        <v>392</v>
      </c>
      <c r="J108" s="652" t="s">
        <v>31</v>
      </c>
      <c r="K108" s="652" t="s">
        <v>32</v>
      </c>
      <c r="L108" s="653" t="s">
        <v>33</v>
      </c>
      <c r="M108" s="653" t="s">
        <v>60</v>
      </c>
      <c r="N108" s="653" t="s">
        <v>59</v>
      </c>
      <c r="O108" s="653" t="s">
        <v>58</v>
      </c>
      <c r="P108" s="653" t="s">
        <v>16</v>
      </c>
    </row>
    <row r="109" spans="1:18" s="54" customFormat="1" ht="15.75" hidden="1" thickBot="1" x14ac:dyDescent="0.3">
      <c r="A109" s="119"/>
      <c r="B109" s="309"/>
      <c r="C109" s="322">
        <f ca="1">C108</f>
        <v>0</v>
      </c>
      <c r="D109" s="56"/>
      <c r="E109" s="57"/>
      <c r="F109" s="654" t="s">
        <v>57</v>
      </c>
      <c r="G109" s="654" t="s">
        <v>56</v>
      </c>
      <c r="H109" s="654" t="s">
        <v>55</v>
      </c>
      <c r="I109" s="654" t="s">
        <v>54</v>
      </c>
      <c r="J109" s="654" t="s">
        <v>53</v>
      </c>
      <c r="K109" s="654" t="s">
        <v>52</v>
      </c>
      <c r="L109" s="654" t="s">
        <v>51</v>
      </c>
      <c r="M109" s="654" t="s">
        <v>50</v>
      </c>
      <c r="N109" s="654" t="s">
        <v>49</v>
      </c>
      <c r="O109" s="654" t="s">
        <v>47</v>
      </c>
      <c r="P109" s="655" t="s">
        <v>77</v>
      </c>
    </row>
    <row r="110" spans="1:18" s="54" customFormat="1" ht="15.75" hidden="1" thickBot="1" x14ac:dyDescent="0.3">
      <c r="A110" s="119"/>
      <c r="B110" s="309"/>
      <c r="C110" s="322">
        <f t="shared" ref="C110:C122" ca="1" si="47">C109</f>
        <v>0</v>
      </c>
      <c r="D110" s="59" t="s">
        <v>26</v>
      </c>
      <c r="E110" s="57"/>
      <c r="F110" s="656"/>
      <c r="G110" s="656"/>
      <c r="H110" s="656"/>
      <c r="I110" s="656"/>
      <c r="J110" s="656"/>
      <c r="K110" s="656"/>
      <c r="L110" s="656"/>
      <c r="M110" s="656"/>
      <c r="N110" s="656"/>
      <c r="O110" s="656"/>
      <c r="P110" s="663"/>
    </row>
    <row r="111" spans="1:18" s="54" customFormat="1" ht="15.75" hidden="1" thickBot="1" x14ac:dyDescent="0.3">
      <c r="A111" s="119"/>
      <c r="B111" s="309"/>
      <c r="C111" s="322">
        <f t="shared" ca="1" si="47"/>
        <v>0</v>
      </c>
      <c r="D111" s="7" t="s">
        <v>34</v>
      </c>
      <c r="E111" s="48" t="s">
        <v>57</v>
      </c>
      <c r="F111" s="657">
        <f ca="1">+H111+G111+I111</f>
        <v>0</v>
      </c>
      <c r="G111" s="658">
        <f ca="1">+IFERROR(G$5*GETPIVOTDATA("Unique Billed Hours",'County allocation'!$A$3,"County",$D108,"HHA/CDPAP","HHA","Level of Service",$D111),0)</f>
        <v>0</v>
      </c>
      <c r="H111" s="658">
        <f>+IFERROR(H$5*GETPIVOTDATA("Unique Billed Hours",'County allocation'!$S$3,"County",$D108,"HHA/CDPAP","HHA","Level of Service",$D111),0)</f>
        <v>0</v>
      </c>
      <c r="I111" s="664">
        <f ca="1">SUM(J111:P111)</f>
        <v>0</v>
      </c>
      <c r="J111" s="658">
        <f ca="1">+IFERROR(J$5*GETPIVOTDATA("Unique Billed Hours",'County allocation'!$S$3,"County",$D108,"HHA/CDPAP","HHA","Level of Service",$D111),0)</f>
        <v>0</v>
      </c>
      <c r="K111" s="658">
        <f ca="1">+IFERROR(K$5*GETPIVOTDATA("Unique Billed Hours",'County allocation'!$X$3,"County",$D108,"HHA/CDPAP","HHA","Level of Service",$D111),0)</f>
        <v>0</v>
      </c>
      <c r="L111" s="658">
        <f ca="1">+IFERROR(L$2*GETPIVOTDATA("Unique Billed Hours",'County allocation'!$O$3,"County",$D108,"HHA/CDPAP","HHA","Level of Service",$D111),0)</f>
        <v>0</v>
      </c>
      <c r="M111" s="658">
        <f>+IFERROR(M$5*GETPIVOTDATA("Unique Billed Hours",'County allocation'!$S$3,"County",$D108,"HHA/CDPAP","HHA","Level of Service",$D111),0)</f>
        <v>0</v>
      </c>
      <c r="N111" s="658">
        <f>+IFERROR(N$5*GETPIVOTDATA("Unique Billed Hours",'County allocation'!$S$3,"County",$D108,"HHA/CDPAP","HHA","Level of Service",$D111),0)</f>
        <v>0</v>
      </c>
      <c r="O111" s="658">
        <f>+IFERROR(O$5*GETPIVOTDATA("Unique Billed Hours",'County allocation'!$K$19,"County",$D108,"HHA/CDPAP","HHA","Level of Service",$D111),0)</f>
        <v>0</v>
      </c>
      <c r="P111" s="658">
        <f>+IFERROR(P$5*GETPIVOTDATA("Unique Billed Hours",'County allocation'!$S$3,"County",$D108,"HHA/CDPAP","HHA","Level of Service",$D111),0)</f>
        <v>0</v>
      </c>
    </row>
    <row r="112" spans="1:18" s="54" customFormat="1" ht="15.75" hidden="1" thickBot="1" x14ac:dyDescent="0.3">
      <c r="A112" s="119"/>
      <c r="B112" s="309"/>
      <c r="C112" s="322">
        <f t="shared" ca="1" si="47"/>
        <v>0</v>
      </c>
      <c r="D112" s="7" t="s">
        <v>35</v>
      </c>
      <c r="E112" s="48" t="s">
        <v>56</v>
      </c>
      <c r="F112" s="657">
        <f t="shared" ref="F112:F123" ca="1" si="48">+H112+G112+I112</f>
        <v>0</v>
      </c>
      <c r="G112" s="658">
        <f ca="1">+IFERROR(G$5*GETPIVOTDATA("Unique Billed Hours",'County allocation'!$A$3,"County",$D108,"HHA/CDPAP","HHA","Level of Service",$D112),0)</f>
        <v>0</v>
      </c>
      <c r="H112" s="658">
        <f>+IFERROR(H$5*GETPIVOTDATA("Unique Billed Hours",'County allocation'!$S$3,"County",$D108,"HHA/CDPAP","HHA","Level of Service",$D112),0)</f>
        <v>0</v>
      </c>
      <c r="I112" s="664">
        <f t="shared" ref="I112:I122" ca="1" si="49">SUM(J112:P112)</f>
        <v>0</v>
      </c>
      <c r="J112" s="658">
        <f ca="1">+IFERROR(J$5*GETPIVOTDATA("Unique Billed Hours",'County allocation'!$S$3,"County",$D108,"HHA/CDPAP","HHA","Level of Service",$D112),0)</f>
        <v>0</v>
      </c>
      <c r="K112" s="658">
        <f ca="1">+IFERROR(K$5*GETPIVOTDATA("Unique Billed Hours",'County allocation'!$X$3,"County",$D108,"HHA/CDPAP","HHA","Level of Service",$D112),0)</f>
        <v>0</v>
      </c>
      <c r="L112" s="658">
        <f ca="1">+IFERROR(L$2*GETPIVOTDATA("Unique Billed Hours",'County allocation'!$O$3,"County",$D108,"HHA/CDPAP","HHA","Level of Service",$D112),0)</f>
        <v>0</v>
      </c>
      <c r="M112" s="658">
        <f>+IFERROR(M$5*GETPIVOTDATA("Unique Billed Hours",'County allocation'!$S$3,"County",$D108,"HHA/CDPAP","HHA","Level of Service",$D112),0)</f>
        <v>0</v>
      </c>
      <c r="N112" s="658">
        <f>+IFERROR(N$5*GETPIVOTDATA("Unique Billed Hours",'County allocation'!$S$3,"County",$D108,"HHA/CDPAP","HHA","Level of Service",$D112),0)</f>
        <v>0</v>
      </c>
      <c r="O112" s="658">
        <f>+IFERROR(O$5*GETPIVOTDATA("Unique Billed Hours",'County allocation'!$K$19,"County",$D108,"HHA/CDPAP","HHA","Level of Service",$D112),0)</f>
        <v>0</v>
      </c>
      <c r="P112" s="658">
        <f>+IFERROR(P$5*GETPIVOTDATA("Unique Billed Hours",'County allocation'!$S$3,"County",$D108,"HHA/CDPAP","HHA","Level of Service",$D112),0)</f>
        <v>0</v>
      </c>
      <c r="R112" s="61"/>
    </row>
    <row r="113" spans="1:16" s="54" customFormat="1" ht="15.75" hidden="1" thickBot="1" x14ac:dyDescent="0.3">
      <c r="A113" s="302"/>
      <c r="B113" s="309"/>
      <c r="C113" s="322">
        <f t="shared" ca="1" si="47"/>
        <v>0</v>
      </c>
      <c r="D113" s="7" t="s">
        <v>36</v>
      </c>
      <c r="E113" s="48" t="s">
        <v>55</v>
      </c>
      <c r="F113" s="657">
        <f t="shared" ca="1" si="48"/>
        <v>0</v>
      </c>
      <c r="G113" s="658">
        <f ca="1">+IFERROR(G$5*GETPIVOTDATA("Unique Billed Hours",'County allocation'!$A$3,"County",$D108,"HHA/CDPAP","HHA","Level of Service",$D113),0)</f>
        <v>0</v>
      </c>
      <c r="H113" s="658">
        <f>+IFERROR(H$5*GETPIVOTDATA("Unique Billed Hours",'County allocation'!$S$3,"County",$D108,"HHA/CDPAP","HHA","Level of Service",$D113),0)</f>
        <v>0</v>
      </c>
      <c r="I113" s="664">
        <f t="shared" ca="1" si="49"/>
        <v>0</v>
      </c>
      <c r="J113" s="658">
        <f ca="1">+IFERROR(J$5*GETPIVOTDATA("Unique Billed Hours",'County allocation'!$S$3,"County",$D108,"HHA/CDPAP","HHA","Level of Service",$D113),0)</f>
        <v>0</v>
      </c>
      <c r="K113" s="658">
        <f ca="1">+IFERROR(K$5*GETPIVOTDATA("Unique Billed Hours",'County allocation'!$X$3,"County",$D108,"HHA/CDPAP","HHA","Level of Service",$D113),0)</f>
        <v>0</v>
      </c>
      <c r="L113" s="658">
        <f ca="1">+IFERROR(L$2*GETPIVOTDATA("Unique Billed Hours",'County allocation'!$O$3,"County",$D108,"HHA/CDPAP","HHA","Level of Service",$D113),0)</f>
        <v>0</v>
      </c>
      <c r="M113" s="658">
        <f>+IFERROR(M$5*GETPIVOTDATA("Unique Billed Hours",'County allocation'!$S$3,"County",$D108,"HHA/CDPAP","HHA","Level of Service",$D113),0)</f>
        <v>0</v>
      </c>
      <c r="N113" s="658">
        <f>+IFERROR(N$5*GETPIVOTDATA("Unique Billed Hours",'County allocation'!$S$3,"County",$D108,"HHA/CDPAP","HHA","Level of Service",$D113),0)</f>
        <v>0</v>
      </c>
      <c r="O113" s="658">
        <f>+IFERROR(O$5*GETPIVOTDATA("Unique Billed Hours",'County allocation'!$K$19,"County",$D108,"HHA/CDPAP","HHA","Level of Service",$D113),0)</f>
        <v>0</v>
      </c>
      <c r="P113" s="658">
        <f>+IFERROR(P$5*GETPIVOTDATA("Unique Billed Hours",'County allocation'!$S$3,"County",$D108,"HHA/CDPAP","HHA","Level of Service",$D113),0)</f>
        <v>0</v>
      </c>
    </row>
    <row r="114" spans="1:16" s="54" customFormat="1" ht="15.75" hidden="1" thickBot="1" x14ac:dyDescent="0.3">
      <c r="A114" s="119"/>
      <c r="B114" s="309"/>
      <c r="C114" s="322">
        <f t="shared" ca="1" si="47"/>
        <v>0</v>
      </c>
      <c r="D114" s="7" t="s">
        <v>37</v>
      </c>
      <c r="E114" s="48" t="s">
        <v>54</v>
      </c>
      <c r="F114" s="657">
        <f t="shared" ca="1" si="48"/>
        <v>0</v>
      </c>
      <c r="G114" s="658">
        <f ca="1">+IFERROR(G$5*GETPIVOTDATA("Unique Billed Hours",'County allocation'!$A$3,"County",$D108,"HHA/CDPAP","HHA","Level of Service",$D114),0)</f>
        <v>0</v>
      </c>
      <c r="H114" s="658">
        <f>+IFERROR(H$5*GETPIVOTDATA("Unique Billed Hours",'County allocation'!$S$3,"County",$D108,"HHA/CDPAP","HHA","Level of Service",$D114),0)</f>
        <v>0</v>
      </c>
      <c r="I114" s="664">
        <f t="shared" ca="1" si="49"/>
        <v>0</v>
      </c>
      <c r="J114" s="658">
        <f ca="1">+IFERROR(J$5*GETPIVOTDATA("Unique Billed Hours",'County allocation'!$S$3,"County",$D108,"HHA/CDPAP","HHA","Level of Service",$D114),0)</f>
        <v>0</v>
      </c>
      <c r="K114" s="658">
        <f ca="1">+IFERROR(K$5*GETPIVOTDATA("Unique Billed Hours",'County allocation'!$X$3,"County",$D108,"HHA/CDPAP","HHA","Level of Service",$D114),0)</f>
        <v>0</v>
      </c>
      <c r="L114" s="658">
        <f ca="1">+IFERROR(L$2*GETPIVOTDATA("Unique Billed Hours",'County allocation'!$O$3,"County",$D108,"HHA/CDPAP","HHA","Level of Service",$D114),0)</f>
        <v>0</v>
      </c>
      <c r="M114" s="658">
        <f>+IFERROR(M$5*GETPIVOTDATA("Unique Billed Hours",'County allocation'!$S$3,"County",$D108,"HHA/CDPAP","HHA","Level of Service",$D114),0)</f>
        <v>0</v>
      </c>
      <c r="N114" s="658">
        <f>+IFERROR(N$5*GETPIVOTDATA("Unique Billed Hours",'County allocation'!$S$3,"County",$D108,"HHA/CDPAP","HHA","Level of Service",$D114),0)</f>
        <v>0</v>
      </c>
      <c r="O114" s="658">
        <f>+IFERROR(O$5*GETPIVOTDATA("Unique Billed Hours",'County allocation'!$K$19,"County",$D108,"HHA/CDPAP","HHA","Level of Service",$D114),0)</f>
        <v>0</v>
      </c>
      <c r="P114" s="658">
        <f>+IFERROR(P$5*GETPIVOTDATA("Unique Billed Hours",'County allocation'!$S$3,"County",$D108,"HHA/CDPAP","HHA","Level of Service",$D114),0)</f>
        <v>0</v>
      </c>
    </row>
    <row r="115" spans="1:16" s="54" customFormat="1" ht="15.75" hidden="1" thickBot="1" x14ac:dyDescent="0.3">
      <c r="A115" s="119"/>
      <c r="B115" s="309"/>
      <c r="C115" s="322">
        <f t="shared" ca="1" si="47"/>
        <v>0</v>
      </c>
      <c r="D115" s="7" t="s">
        <v>38</v>
      </c>
      <c r="E115" s="48" t="s">
        <v>53</v>
      </c>
      <c r="F115" s="657">
        <f t="shared" ca="1" si="48"/>
        <v>0</v>
      </c>
      <c r="G115" s="658">
        <f ca="1">+IFERROR(G$5*GETPIVOTDATA("Unique Billed Hours",'County allocation'!$A$3,"County",$D108,"HHA/CDPAP","HHA","Level of Service",$D115),0)</f>
        <v>0</v>
      </c>
      <c r="H115" s="658">
        <f>+IFERROR(H$5*GETPIVOTDATA("Unique Billed Hours",'County allocation'!$S$3,"County",$D108,"HHA/CDPAP","HHA","Level of Service",$D115),0)</f>
        <v>0</v>
      </c>
      <c r="I115" s="664">
        <f t="shared" ca="1" si="49"/>
        <v>0</v>
      </c>
      <c r="J115" s="658">
        <f ca="1">+IFERROR(J$5*GETPIVOTDATA("Unique Billed Hours",'County allocation'!$S$3,"County",$D108,"HHA/CDPAP","HHA","Level of Service",$D115),0)</f>
        <v>0</v>
      </c>
      <c r="K115" s="658">
        <f ca="1">+IFERROR(K$5*GETPIVOTDATA("Unique Billed Hours",'County allocation'!$X$3,"County",$D108,"HHA/CDPAP","HHA","Level of Service",$D115),0)</f>
        <v>0</v>
      </c>
      <c r="L115" s="658">
        <f ca="1">+IFERROR(L$5*GETPIVOTDATA("Unique Billed Hours",'County allocation'!$K$19,"County",$D108,"HHA/CDPAP","HHA","Level of Service",$D115),0)</f>
        <v>0</v>
      </c>
      <c r="M115" s="658">
        <f>+IFERROR(M$5*GETPIVOTDATA("Unique Billed Hours",'County allocation'!$S$3,"County",$D108,"HHA/CDPAP","HHA","Level of Service",$D115),0)</f>
        <v>0</v>
      </c>
      <c r="N115" s="658">
        <f>+IFERROR(N$5*GETPIVOTDATA("Unique Billed Hours",'County allocation'!$S$3,"County",$D108,"HHA/CDPAP","HHA","Level of Service",$D115),0)</f>
        <v>0</v>
      </c>
      <c r="O115" s="658">
        <f>+IFERROR(O$5*GETPIVOTDATA("Unique Billed Hours",'County allocation'!$K$19,"County",$D108,"HHA/CDPAP","HHA","Level of Service",$D115),0)</f>
        <v>0</v>
      </c>
      <c r="P115" s="658">
        <f>+IFERROR(P$5*GETPIVOTDATA("Unique Billed Hours",'County allocation'!$S$3,"County",$D108,"HHA/CDPAP","HHA","Level of Service",$D115),0)</f>
        <v>0</v>
      </c>
    </row>
    <row r="116" spans="1:16" s="54" customFormat="1" ht="15.75" hidden="1" thickBot="1" x14ac:dyDescent="0.3">
      <c r="A116" s="119"/>
      <c r="B116" s="309"/>
      <c r="C116" s="322">
        <f t="shared" ca="1" si="47"/>
        <v>0</v>
      </c>
      <c r="D116" s="7" t="s">
        <v>39</v>
      </c>
      <c r="E116" s="48" t="s">
        <v>52</v>
      </c>
      <c r="F116" s="657">
        <f t="shared" ca="1" si="48"/>
        <v>0</v>
      </c>
      <c r="G116" s="658">
        <f ca="1">+IFERROR(G$5*GETPIVOTDATA("Unique Billed Hours",'County allocation'!$A$3,"County",$D108,"HHA/CDPAP","HHA","Level of Service",$D116),0)</f>
        <v>0</v>
      </c>
      <c r="H116" s="658">
        <f>+IFERROR(H$5*GETPIVOTDATA("Unique Billed Hours",'County allocation'!$S$3,"County",$D108,"HHA/CDPAP","HHA","Level of Service",$D116),0)</f>
        <v>0</v>
      </c>
      <c r="I116" s="664">
        <f t="shared" ca="1" si="49"/>
        <v>0</v>
      </c>
      <c r="J116" s="658">
        <f ca="1">+IFERROR(J$5*GETPIVOTDATA("Unique Billed Hours",'County allocation'!$S$3,"County",$D108,"HHA/CDPAP","HHA","Level of Service",$D116),0)</f>
        <v>0</v>
      </c>
      <c r="K116" s="658">
        <f ca="1">+IFERROR(K$5*GETPIVOTDATA("Unique Billed Hours",'County allocation'!$X$3,"County",$D108,"HHA/CDPAP","HHA","Level of Service",$D116),0)</f>
        <v>0</v>
      </c>
      <c r="L116" s="658">
        <f ca="1">+IFERROR(L$5*GETPIVOTDATA("Unique Billed Hours",'County allocation'!$K$19,"County",$D108,"HHA/CDPAP","HHA","Level of Service",$D116),0)</f>
        <v>0</v>
      </c>
      <c r="M116" s="658">
        <f>+IFERROR(M$5*GETPIVOTDATA("Unique Billed Hours",'County allocation'!$S$3,"County",$D108,"HHA/CDPAP","HHA","Level of Service",$D116),0)</f>
        <v>0</v>
      </c>
      <c r="N116" s="658">
        <f>+IFERROR(N$5*GETPIVOTDATA("Unique Billed Hours",'County allocation'!$S$3,"County",$D108,"HHA/CDPAP","HHA","Level of Service",$D116),0)</f>
        <v>0</v>
      </c>
      <c r="O116" s="658">
        <f>+IFERROR(O$5*GETPIVOTDATA("Unique Billed Hours",'County allocation'!$K$19,"County",$D108,"HHA/CDPAP","HHA","Level of Service",$D116),0)</f>
        <v>0</v>
      </c>
      <c r="P116" s="658">
        <f>+IFERROR(P$5*GETPIVOTDATA("Unique Billed Hours",'County allocation'!$S$3,"County",$D108,"HHA/CDPAP","HHA","Level of Service",$D116),0)</f>
        <v>0</v>
      </c>
    </row>
    <row r="117" spans="1:16" s="54" customFormat="1" ht="15.75" hidden="1" thickBot="1" x14ac:dyDescent="0.3">
      <c r="A117" s="119"/>
      <c r="B117" s="309"/>
      <c r="C117" s="322">
        <f t="shared" ca="1" si="47"/>
        <v>0</v>
      </c>
      <c r="D117" s="8" t="s">
        <v>40</v>
      </c>
      <c r="E117" s="48" t="s">
        <v>51</v>
      </c>
      <c r="F117" s="657">
        <f t="shared" ca="1" si="48"/>
        <v>0</v>
      </c>
      <c r="G117" s="658">
        <f ca="1">+IFERROR(G$5*GETPIVOTDATA("Unique Billed Hours",'County allocation'!$A$3,"County",$D108,"HHA/CDPAP","HHA","Level of Service",$D117),0)</f>
        <v>0</v>
      </c>
      <c r="H117" s="658">
        <f>+IFERROR(H$5*GETPIVOTDATA("Unique Billed Hours",'County allocation'!$S$3,"County",$D108,"HHA/CDPAP","HHA","Level of Service",$D117),0)</f>
        <v>0</v>
      </c>
      <c r="I117" s="664">
        <f t="shared" ca="1" si="49"/>
        <v>0</v>
      </c>
      <c r="J117" s="658">
        <f ca="1">+IFERROR(J$5*GETPIVOTDATA("Unique Billed Hours",'County allocation'!$S$3,"County",$D108,"HHA/CDPAP","HHA","Level of Service",$D117),0)</f>
        <v>0</v>
      </c>
      <c r="K117" s="658">
        <f ca="1">+IFERROR(K$5*GETPIVOTDATA("Unique Billed Hours",'County allocation'!$X$3,"County",$D108,"HHA/CDPAP","HHA","Level of Service",$D117),0)</f>
        <v>0</v>
      </c>
      <c r="L117" s="658">
        <f ca="1">+IFERROR(L$2*GETPIVOTDATA("Unique Billed Hours",'County allocation'!$O$3,"County",$D108,"HHA/CDPAP","HHA","Level of Service",$D117),0)</f>
        <v>0</v>
      </c>
      <c r="M117" s="658">
        <f>+IFERROR(M$5*GETPIVOTDATA("Unique Billed Hours",'County allocation'!$S$3,"County",$D108,"HHA/CDPAP","HHA","Level of Service",$D117),0)</f>
        <v>0</v>
      </c>
      <c r="N117" s="658">
        <f>+IFERROR(N$5*GETPIVOTDATA("Unique Billed Hours",'County allocation'!$S$3,"County",$D108,"HHA/CDPAP","HHA","Level of Service",$D117),0)</f>
        <v>0</v>
      </c>
      <c r="O117" s="658">
        <f>+IFERROR(O$5*GETPIVOTDATA("Unique Billed Hours",'County allocation'!$K$19,"County",$D108,"HHA/CDPAP","HHA","Level of Service",$D117),0)</f>
        <v>0</v>
      </c>
      <c r="P117" s="658">
        <f>+IFERROR(P$5*GETPIVOTDATA("Unique Billed Hours",'County allocation'!$S$3,"County",$D108,"HHA/CDPAP","HHA","Level of Service",$D117),0)</f>
        <v>0</v>
      </c>
    </row>
    <row r="118" spans="1:16" s="54" customFormat="1" ht="15.75" hidden="1" thickBot="1" x14ac:dyDescent="0.3">
      <c r="A118" s="119"/>
      <c r="B118" s="309"/>
      <c r="C118" s="322">
        <f t="shared" ca="1" si="47"/>
        <v>0</v>
      </c>
      <c r="D118" s="8" t="s">
        <v>41</v>
      </c>
      <c r="E118" s="48" t="s">
        <v>50</v>
      </c>
      <c r="F118" s="657">
        <f t="shared" ca="1" si="48"/>
        <v>0</v>
      </c>
      <c r="G118" s="658">
        <f ca="1">+IFERROR(G$5*GETPIVOTDATA("Unique Billed Hours",'County allocation'!$A$3,"County",$D108,"HHA/CDPAP","HHA","Level of Service",$D118),0)</f>
        <v>0</v>
      </c>
      <c r="H118" s="658">
        <f>+IFERROR(H$5*GETPIVOTDATA("Unique Billed Hours",'County allocation'!$S$3,"County",$D108,"HHA/CDPAP","HHA","Level of Service",$D118),0)</f>
        <v>0</v>
      </c>
      <c r="I118" s="664">
        <f t="shared" ca="1" si="49"/>
        <v>0</v>
      </c>
      <c r="J118" s="658">
        <f ca="1">+IFERROR(J$5*GETPIVOTDATA("Unique Billed Hours",'County allocation'!$S$3,"County",$D108,"HHA/CDPAP","HHA","Level of Service",$D118),0)</f>
        <v>0</v>
      </c>
      <c r="K118" s="658">
        <f ca="1">+IFERROR(K$5*GETPIVOTDATA("Unique Billed Hours",'County allocation'!$X$3,"County",$D108,"HHA/CDPAP","HHA","Level of Service",$D118),0)</f>
        <v>0</v>
      </c>
      <c r="L118" s="658">
        <f ca="1">+IFERROR(L$2*GETPIVOTDATA("Unique Billed Hours",'County allocation'!$O$3,"County",$D108,"HHA/CDPAP","HHA","Level of Service",$D118),0)</f>
        <v>0</v>
      </c>
      <c r="M118" s="658">
        <f>+IFERROR(M$5*GETPIVOTDATA("Unique Billed Hours",'County allocation'!$S$3,"County",$D108,"HHA/CDPAP","HHA","Level of Service",$D118),0)</f>
        <v>0</v>
      </c>
      <c r="N118" s="658">
        <f>+IFERROR(N$5*GETPIVOTDATA("Unique Billed Hours",'County allocation'!$S$3,"County",$D108,"HHA/CDPAP","HHA","Level of Service",$D118),0)</f>
        <v>0</v>
      </c>
      <c r="O118" s="658">
        <f>+IFERROR(O$5*GETPIVOTDATA("Unique Billed Hours",'County allocation'!$K$19,"County",$D108,"HHA/CDPAP","HHA","Level of Service",$D118),0)</f>
        <v>0</v>
      </c>
      <c r="P118" s="658">
        <f>+IFERROR(P$5*GETPIVOTDATA("Unique Billed Hours",'County allocation'!$S$3,"County",$D108,"HHA/CDPAP","HHA","Level of Service",$D118),0)</f>
        <v>0</v>
      </c>
    </row>
    <row r="119" spans="1:16" s="54" customFormat="1" ht="15.75" hidden="1" thickBot="1" x14ac:dyDescent="0.3">
      <c r="A119" s="119"/>
      <c r="B119" s="309"/>
      <c r="C119" s="322">
        <f t="shared" ca="1" si="47"/>
        <v>0</v>
      </c>
      <c r="D119" s="52" t="s">
        <v>389</v>
      </c>
      <c r="E119" s="53" t="s">
        <v>49</v>
      </c>
      <c r="F119" s="657">
        <f t="shared" ca="1" si="48"/>
        <v>0</v>
      </c>
      <c r="G119" s="661">
        <f ca="1">SUM(G111:G118)</f>
        <v>0</v>
      </c>
      <c r="H119" s="661">
        <f>SUM(H111:H118)</f>
        <v>0</v>
      </c>
      <c r="I119" s="664">
        <f t="shared" ca="1" si="49"/>
        <v>0</v>
      </c>
      <c r="J119" s="661">
        <f ca="1">SUM(J111:J118)</f>
        <v>0</v>
      </c>
      <c r="K119" s="661">
        <f t="shared" ref="K119:P119" ca="1" si="50">SUM(K111:K118)</f>
        <v>0</v>
      </c>
      <c r="L119" s="661">
        <f t="shared" ca="1" si="50"/>
        <v>0</v>
      </c>
      <c r="M119" s="661">
        <f t="shared" si="50"/>
        <v>0</v>
      </c>
      <c r="N119" s="661">
        <f t="shared" si="50"/>
        <v>0</v>
      </c>
      <c r="O119" s="661">
        <f t="shared" si="50"/>
        <v>0</v>
      </c>
      <c r="P119" s="661">
        <f t="shared" si="50"/>
        <v>0</v>
      </c>
    </row>
    <row r="120" spans="1:16" s="54" customFormat="1" ht="15.75" hidden="1" thickBot="1" x14ac:dyDescent="0.3">
      <c r="A120" s="119"/>
      <c r="B120" s="309"/>
      <c r="C120" s="322">
        <f t="shared" ca="1" si="47"/>
        <v>0</v>
      </c>
      <c r="D120" s="371" t="s">
        <v>390</v>
      </c>
      <c r="E120" s="325" t="s">
        <v>47</v>
      </c>
      <c r="F120" s="657">
        <f t="shared" ca="1" si="48"/>
        <v>0</v>
      </c>
      <c r="G120" s="665">
        <f ca="1">+IFERROR((G$5*GETPIVOTDATA("Unique Billed Hours",'County allocation'!$A$3,"County",$D108,"HHA/CDPAP","HHA","Level of Service",$D120))+($G$2*GETPIVOTDATA("Unique Billed Hours",'County allocation'!$F$7,"County",$D108,"HHA/CDPAP","HHA","Level of Service",$D120)),0)++IFERROR(J$5*GETPIVOTDATA("Unique Billed Hours",'County allocation'!$AC$3,"County",$D108,"HHA/CDPAP","HHA","Level of Service",$D120),0)+ +IFERROR(J$5*GETPIVOTDATA("Unique Billed Hours",'County allocation'!$AC$3,"County",$D108,"HHA/CDPAP","HHA","Level of Service",$D121),0)</f>
        <v>0</v>
      </c>
      <c r="H120" s="665">
        <f>+IFERROR(H$5*GETPIVOTDATA("Unique Billed Hours",'County allocation'!$S$3,"County",$D108,"HHA/CDPAP","HHA","Level of Service",$D120),0)</f>
        <v>0</v>
      </c>
      <c r="I120" s="664">
        <f t="shared" ca="1" si="49"/>
        <v>0</v>
      </c>
      <c r="J120" s="901"/>
      <c r="K120" s="665">
        <f ca="1">+IFERROR(K$5*GETPIVOTDATA("Unique Billed Hours",'County allocation'!$X$3,"County",$D108,"HHA/CDPAP","HHA","Level of Service",$D120),0)</f>
        <v>0</v>
      </c>
      <c r="L120" s="665">
        <f ca="1">+IFERROR(L$5*GETPIVOTDATA("Unique Billed Hours",'County allocation'!$K$19,"County",$D108,"HHA/CDPAP","HHA","Level of Service",$D120),0)</f>
        <v>0</v>
      </c>
      <c r="M120" s="665">
        <f>+IFERROR(M$5*GETPIVOTDATA("Unique Billed Hours",'County allocation'!$S$3,"County",$D108,"HHA/CDPAP","HHA","Level of Service",$D120),0)</f>
        <v>0</v>
      </c>
      <c r="N120" s="665">
        <f>+IFERROR(N$5*GETPIVOTDATA("Unique Billed Hours",'County allocation'!$S$3,"County",$D108,"HHA/CDPAP","HHA","Level of Service",$D120),0)</f>
        <v>0</v>
      </c>
      <c r="O120" s="665">
        <f>+IFERROR(O$5*GETPIVOTDATA("Unique Billed Hours",'County allocation'!$S$3,"County",$D108,"HHA/CDPAP","HHA","Level of Service",$D120),0)</f>
        <v>0</v>
      </c>
      <c r="P120" s="665">
        <f>+IFERROR(P$5*GETPIVOTDATA("Unique Billed Hours",'County allocation'!$S$3,"County",$D108,"HHA/CDPAP","HHA","Level of Service",$D120),0)</f>
        <v>0</v>
      </c>
    </row>
    <row r="121" spans="1:16" s="54" customFormat="1" ht="15.75" hidden="1" thickBot="1" x14ac:dyDescent="0.3">
      <c r="A121" s="119"/>
      <c r="B121" s="309"/>
      <c r="C121" s="322">
        <f t="shared" ca="1" si="47"/>
        <v>0</v>
      </c>
      <c r="D121" s="8" t="s">
        <v>391</v>
      </c>
      <c r="E121" s="370" t="s">
        <v>77</v>
      </c>
      <c r="F121" s="657">
        <f t="shared" ca="1" si="48"/>
        <v>0</v>
      </c>
      <c r="G121" s="656"/>
      <c r="H121" s="658">
        <f>+IFERROR(H$5*GETPIVOTDATA("Unique Billed Hours",'County allocation'!$S$3,"County",$D108,"HHA/CDPAP","HHA","Level of Service",$D121),0)</f>
        <v>0</v>
      </c>
      <c r="I121" s="664">
        <f t="shared" ca="1" si="49"/>
        <v>0</v>
      </c>
      <c r="J121" s="901"/>
      <c r="K121" s="665">
        <f ca="1">+IFERROR(K$5*GETPIVOTDATA("Unique Billed Hours",'County allocation'!$X$3,"County",$D108,"HHA/CDPAP","HHA","Level of Service",$D121),0)</f>
        <v>0</v>
      </c>
      <c r="L121" s="665">
        <f ca="1">+IFERROR(L$5*GETPIVOTDATA("Unique Billed Hours",'County allocation'!$K$19,"County",$D108,"HHA/CDPAP","HHA","Level of Service",$D121),0)</f>
        <v>0</v>
      </c>
      <c r="M121" s="665">
        <f>+IFERROR(M$5*GETPIVOTDATA("Unique Billed Hours",'County allocation'!$S$3,"County",$D108,"HHA/CDPAP","HHA","Level of Service",$D121),0)</f>
        <v>0</v>
      </c>
      <c r="N121" s="665">
        <f>+IFERROR(N$5*GETPIVOTDATA("Unique Billed Hours",'County allocation'!$S$3,"County",$D108,"HHA/CDPAP","HHA","Level of Service",$D121),0)</f>
        <v>0</v>
      </c>
      <c r="O121" s="665">
        <f>+IFERROR(O$5*GETPIVOTDATA("Unique Billed Hours",'County allocation'!$S$3,"County",$D108,"HHA/CDPAP","HHA","Level of Service",$D121),0)</f>
        <v>0</v>
      </c>
      <c r="P121" s="665">
        <f>+IFERROR(P$5*GETPIVOTDATA("Unique Billed Hours",'County allocation'!$S$3,"County",$D108,"HHA/CDPAP","HHA","Level of Service",$D121),0)</f>
        <v>0</v>
      </c>
    </row>
    <row r="122" spans="1:16" s="54" customFormat="1" ht="15.75" hidden="1" thickBot="1" x14ac:dyDescent="0.3">
      <c r="A122" s="119"/>
      <c r="B122" s="309"/>
      <c r="C122" s="322">
        <f t="shared" ca="1" si="47"/>
        <v>0</v>
      </c>
      <c r="D122" s="8" t="s">
        <v>374</v>
      </c>
      <c r="E122" s="370" t="s">
        <v>78</v>
      </c>
      <c r="F122" s="657">
        <f t="shared" ca="1" si="48"/>
        <v>0</v>
      </c>
      <c r="G122" s="658">
        <f ca="1">+IFERROR(G$5*GETPIVOTDATA("Unique Billed Hours",'County allocation'!$A$3,"County",$D108,"HHA/CDPAP","HHA","Level of Service",$D122),0)++IFERROR(J$5*GETPIVOTDATA("Unique Billed Hours",'County allocation'!$AC$3,"County",$D108,"HHA/CDPAP","HHA","Level of Service",$D122),0)</f>
        <v>0</v>
      </c>
      <c r="H122" s="658">
        <f>+IFERROR(H$5*GETPIVOTDATA("Unique Billed Hours",'County allocation'!$S$3,"County",$D108,"HHA/CDPAP","HHA","Level of Service",$D122),0)</f>
        <v>0</v>
      </c>
      <c r="I122" s="664">
        <f t="shared" ca="1" si="49"/>
        <v>0</v>
      </c>
      <c r="J122" s="901"/>
      <c r="K122" s="665">
        <f ca="1">+IFERROR(K$5*GETPIVOTDATA("Unique Billed Hours",'County allocation'!$X$3,"County",$D108,"HHA/CDPAP","HHA","Level of Service",$D122),0)</f>
        <v>0</v>
      </c>
      <c r="L122" s="665">
        <f ca="1">+IFERROR(L$5*GETPIVOTDATA("Unique Billed Hours",'County allocation'!$K$19,"County",$D108,"HHA/CDPAP","HHA","Level of Service",$D122),0)</f>
        <v>0</v>
      </c>
      <c r="M122" s="665">
        <f>+IFERROR(M$5*GETPIVOTDATA("Unique Billed Hours",'County allocation'!$S$3,"County",$D108,"HHA/CDPAP","HHA","Level of Service",$D122),0)</f>
        <v>0</v>
      </c>
      <c r="N122" s="665">
        <f>+IFERROR(N$5*GETPIVOTDATA("Unique Billed Hours",'County allocation'!$S$3,"County",$D108,"HHA/CDPAP","HHA","Level of Service",$D122),0)</f>
        <v>0</v>
      </c>
      <c r="O122" s="665">
        <f>+IFERROR(O$5*GETPIVOTDATA("Unique Billed Hours",'County allocation'!$S$3,"County",$D108,"HHA/CDPAP","HHA","Level of Service",$D122),0)</f>
        <v>0</v>
      </c>
      <c r="P122" s="665">
        <f>+IFERROR(P$5*GETPIVOTDATA("Unique Billed Hours",'County allocation'!$S$3,"County",$D108,"HHA/CDPAP","HHA","Level of Service",$D122),0)</f>
        <v>0</v>
      </c>
    </row>
    <row r="123" spans="1:16" s="54" customFormat="1" ht="15.75" hidden="1" thickBot="1" x14ac:dyDescent="0.3">
      <c r="A123" s="302"/>
      <c r="B123" s="309"/>
      <c r="C123" s="322">
        <f ca="1">C122</f>
        <v>0</v>
      </c>
      <c r="D123" s="52" t="s">
        <v>48</v>
      </c>
      <c r="E123" s="53" t="s">
        <v>79</v>
      </c>
      <c r="F123" s="657">
        <f t="shared" ca="1" si="48"/>
        <v>0</v>
      </c>
      <c r="G123" s="661">
        <f t="shared" ref="G123" ca="1" si="51">SUM(G119:G122)</f>
        <v>0</v>
      </c>
      <c r="H123" s="661">
        <f t="shared" ref="H123:P123" si="52">SUM(H119:H122)</f>
        <v>0</v>
      </c>
      <c r="I123" s="661">
        <f t="shared" ca="1" si="52"/>
        <v>0</v>
      </c>
      <c r="J123" s="661">
        <f t="shared" ca="1" si="52"/>
        <v>0</v>
      </c>
      <c r="K123" s="661">
        <f t="shared" ca="1" si="52"/>
        <v>0</v>
      </c>
      <c r="L123" s="661">
        <f t="shared" ca="1" si="52"/>
        <v>0</v>
      </c>
      <c r="M123" s="661">
        <f t="shared" si="52"/>
        <v>0</v>
      </c>
      <c r="N123" s="661">
        <f t="shared" si="52"/>
        <v>0</v>
      </c>
      <c r="O123" s="661">
        <f t="shared" si="52"/>
        <v>0</v>
      </c>
      <c r="P123" s="661">
        <f t="shared" si="52"/>
        <v>0</v>
      </c>
    </row>
    <row r="124" spans="1:16" s="54" customFormat="1" ht="15.75" hidden="1" thickBot="1" x14ac:dyDescent="0.3">
      <c r="A124" s="119"/>
      <c r="B124" s="309"/>
      <c r="C124" s="322"/>
      <c r="E124" s="55"/>
      <c r="F124" s="666"/>
      <c r="G124" s="666"/>
      <c r="H124" s="666"/>
      <c r="I124" s="666"/>
      <c r="J124" s="666"/>
      <c r="K124" s="666"/>
      <c r="L124" s="666"/>
      <c r="M124" s="666"/>
      <c r="N124" s="666"/>
      <c r="O124" s="666"/>
      <c r="P124" s="666"/>
    </row>
    <row r="125" spans="1:16" s="54" customFormat="1" ht="75.75" hidden="1" thickBot="1" x14ac:dyDescent="0.3">
      <c r="A125" s="119"/>
      <c r="B125" s="309"/>
      <c r="C125" s="322">
        <f ca="1">IF(F140&gt;0,1,0)</f>
        <v>0</v>
      </c>
      <c r="D125" s="45" t="str">
        <f>A10</f>
        <v>Chautauqua</v>
      </c>
      <c r="E125" s="28">
        <f>+SUMIF(A:A,D125,B:B)</f>
        <v>0</v>
      </c>
      <c r="F125" s="652" t="s">
        <v>61</v>
      </c>
      <c r="G125" s="652" t="s">
        <v>387</v>
      </c>
      <c r="H125" s="652" t="s">
        <v>388</v>
      </c>
      <c r="I125" s="652" t="s">
        <v>392</v>
      </c>
      <c r="J125" s="652" t="s">
        <v>31</v>
      </c>
      <c r="K125" s="652" t="s">
        <v>32</v>
      </c>
      <c r="L125" s="653" t="s">
        <v>33</v>
      </c>
      <c r="M125" s="653" t="s">
        <v>60</v>
      </c>
      <c r="N125" s="653" t="s">
        <v>59</v>
      </c>
      <c r="O125" s="653" t="s">
        <v>58</v>
      </c>
      <c r="P125" s="653" t="s">
        <v>16</v>
      </c>
    </row>
    <row r="126" spans="1:16" s="54" customFormat="1" ht="15.75" hidden="1" thickBot="1" x14ac:dyDescent="0.3">
      <c r="A126" s="119"/>
      <c r="B126" s="309"/>
      <c r="C126" s="322">
        <f ca="1">C125</f>
        <v>0</v>
      </c>
      <c r="D126" s="56"/>
      <c r="E126" s="57"/>
      <c r="F126" s="654" t="s">
        <v>57</v>
      </c>
      <c r="G126" s="654" t="s">
        <v>56</v>
      </c>
      <c r="H126" s="654" t="s">
        <v>55</v>
      </c>
      <c r="I126" s="654" t="s">
        <v>54</v>
      </c>
      <c r="J126" s="654" t="s">
        <v>53</v>
      </c>
      <c r="K126" s="654" t="s">
        <v>52</v>
      </c>
      <c r="L126" s="654" t="s">
        <v>51</v>
      </c>
      <c r="M126" s="654" t="s">
        <v>50</v>
      </c>
      <c r="N126" s="654" t="s">
        <v>49</v>
      </c>
      <c r="O126" s="654" t="s">
        <v>47</v>
      </c>
      <c r="P126" s="655" t="s">
        <v>77</v>
      </c>
    </row>
    <row r="127" spans="1:16" s="54" customFormat="1" ht="15.75" hidden="1" thickBot="1" x14ac:dyDescent="0.3">
      <c r="A127" s="119"/>
      <c r="B127" s="309"/>
      <c r="C127" s="322">
        <f t="shared" ref="C127:C139" ca="1" si="53">C126</f>
        <v>0</v>
      </c>
      <c r="D127" s="59" t="s">
        <v>26</v>
      </c>
      <c r="E127" s="57"/>
      <c r="F127" s="656"/>
      <c r="G127" s="656"/>
      <c r="H127" s="656"/>
      <c r="I127" s="656"/>
      <c r="J127" s="656"/>
      <c r="K127" s="656"/>
      <c r="L127" s="656"/>
      <c r="M127" s="656"/>
      <c r="N127" s="656"/>
      <c r="O127" s="656"/>
      <c r="P127" s="663"/>
    </row>
    <row r="128" spans="1:16" s="54" customFormat="1" ht="15.75" hidden="1" thickBot="1" x14ac:dyDescent="0.3">
      <c r="A128" s="119"/>
      <c r="B128" s="309"/>
      <c r="C128" s="322">
        <f t="shared" ca="1" si="53"/>
        <v>0</v>
      </c>
      <c r="D128" s="7" t="s">
        <v>34</v>
      </c>
      <c r="E128" s="48" t="s">
        <v>57</v>
      </c>
      <c r="F128" s="657">
        <f ca="1">+H128+G128+I128</f>
        <v>0</v>
      </c>
      <c r="G128" s="658">
        <f ca="1">+IFERROR(G$5*GETPIVOTDATA("Unique Billed Hours",'County allocation'!$A$3,"County",$D125,"HHA/CDPAP","HHA","Level of Service",$D128),0)</f>
        <v>0</v>
      </c>
      <c r="H128" s="658">
        <f>+IFERROR(H$5*GETPIVOTDATA("Unique Billed Hours",'County allocation'!$S$3,"County",$D125,"HHA/CDPAP","HHA","Level of Service",$D128),0)</f>
        <v>0</v>
      </c>
      <c r="I128" s="664">
        <f ca="1">SUM(J128:P128)</f>
        <v>0</v>
      </c>
      <c r="J128" s="658">
        <f ca="1">+IFERROR(J$5*GETPIVOTDATA("Unique Billed Hours",'County allocation'!$S$3,"County",$D125,"HHA/CDPAP","HHA","Level of Service",$D128),0)</f>
        <v>0</v>
      </c>
      <c r="K128" s="658">
        <f ca="1">+IFERROR(K$5*GETPIVOTDATA("Unique Billed Hours",'County allocation'!$X$3,"County",$D125,"HHA/CDPAP","HHA","Level of Service",$D128),0)</f>
        <v>0</v>
      </c>
      <c r="L128" s="658">
        <f ca="1">+IFERROR(L$2*GETPIVOTDATA("Unique Billed Hours",'County allocation'!$O$3,"County",$D125,"HHA/CDPAP","HHA","Level of Service",$D128),0)</f>
        <v>0</v>
      </c>
      <c r="M128" s="658">
        <f>+IFERROR(M$5*GETPIVOTDATA("Unique Billed Hours",'County allocation'!$S$3,"County",$D125,"HHA/CDPAP","HHA","Level of Service",$D128),0)</f>
        <v>0</v>
      </c>
      <c r="N128" s="658">
        <f>+IFERROR(N$5*GETPIVOTDATA("Unique Billed Hours",'County allocation'!$S$3,"County",$D125,"HHA/CDPAP","HHA","Level of Service",$D128),0)</f>
        <v>0</v>
      </c>
      <c r="O128" s="658">
        <f>+IFERROR(O$5*GETPIVOTDATA("Unique Billed Hours",'County allocation'!$K$19,"County",$D125,"HHA/CDPAP","HHA","Level of Service",$D128),0)</f>
        <v>0</v>
      </c>
      <c r="P128" s="658">
        <f>+IFERROR(P$5*GETPIVOTDATA("Unique Billed Hours",'County allocation'!$S$3,"County",$D125,"HHA/CDPAP","HHA","Level of Service",$D128),0)</f>
        <v>0</v>
      </c>
    </row>
    <row r="129" spans="1:18" s="54" customFormat="1" ht="15.75" hidden="1" thickBot="1" x14ac:dyDescent="0.3">
      <c r="A129" s="119"/>
      <c r="B129" s="309"/>
      <c r="C129" s="322">
        <f t="shared" ca="1" si="53"/>
        <v>0</v>
      </c>
      <c r="D129" s="7" t="s">
        <v>35</v>
      </c>
      <c r="E129" s="48" t="s">
        <v>56</v>
      </c>
      <c r="F129" s="657">
        <f t="shared" ref="F129:F140" ca="1" si="54">+H129+G129+I129</f>
        <v>0</v>
      </c>
      <c r="G129" s="658">
        <f ca="1">+IFERROR(G$5*GETPIVOTDATA("Unique Billed Hours",'County allocation'!$A$3,"County",$D125,"HHA/CDPAP","HHA","Level of Service",$D129),0)</f>
        <v>0</v>
      </c>
      <c r="H129" s="658">
        <f>+IFERROR(H$5*GETPIVOTDATA("Unique Billed Hours",'County allocation'!$S$3,"County",$D125,"HHA/CDPAP","HHA","Level of Service",$D129),0)</f>
        <v>0</v>
      </c>
      <c r="I129" s="664">
        <f t="shared" ref="I129:I139" ca="1" si="55">SUM(J129:P129)</f>
        <v>0</v>
      </c>
      <c r="J129" s="658">
        <f ca="1">+IFERROR(J$5*GETPIVOTDATA("Unique Billed Hours",'County allocation'!$S$3,"County",$D125,"HHA/CDPAP","HHA","Level of Service",$D129),0)</f>
        <v>0</v>
      </c>
      <c r="K129" s="658">
        <f ca="1">+IFERROR(K$5*GETPIVOTDATA("Unique Billed Hours",'County allocation'!$X$3,"County",$D125,"HHA/CDPAP","HHA","Level of Service",$D129),0)</f>
        <v>0</v>
      </c>
      <c r="L129" s="658">
        <f ca="1">+IFERROR(L$2*GETPIVOTDATA("Unique Billed Hours",'County allocation'!$O$3,"County",$D125,"HHA/CDPAP","HHA","Level of Service",$D129),0)</f>
        <v>0</v>
      </c>
      <c r="M129" s="658">
        <f>+IFERROR(M$5*GETPIVOTDATA("Unique Billed Hours",'County allocation'!$S$3,"County",$D125,"HHA/CDPAP","HHA","Level of Service",$D129),0)</f>
        <v>0</v>
      </c>
      <c r="N129" s="658">
        <f>+IFERROR(N$5*GETPIVOTDATA("Unique Billed Hours",'County allocation'!$S$3,"County",$D125,"HHA/CDPAP","HHA","Level of Service",$D129),0)</f>
        <v>0</v>
      </c>
      <c r="O129" s="658">
        <f>+IFERROR(O$5*GETPIVOTDATA("Unique Billed Hours",'County allocation'!$K$19,"County",$D125,"HHA/CDPAP","HHA","Level of Service",$D129),0)</f>
        <v>0</v>
      </c>
      <c r="P129" s="658">
        <f>+IFERROR(P$5*GETPIVOTDATA("Unique Billed Hours",'County allocation'!$S$3,"County",$D125,"HHA/CDPAP","HHA","Level of Service",$D129),0)</f>
        <v>0</v>
      </c>
      <c r="R129" s="61"/>
    </row>
    <row r="130" spans="1:18" s="54" customFormat="1" ht="15.75" hidden="1" thickBot="1" x14ac:dyDescent="0.3">
      <c r="A130" s="302"/>
      <c r="B130" s="309"/>
      <c r="C130" s="322">
        <f t="shared" ca="1" si="53"/>
        <v>0</v>
      </c>
      <c r="D130" s="7" t="s">
        <v>36</v>
      </c>
      <c r="E130" s="48" t="s">
        <v>55</v>
      </c>
      <c r="F130" s="657">
        <f t="shared" ca="1" si="54"/>
        <v>0</v>
      </c>
      <c r="G130" s="658">
        <f ca="1">+IFERROR(G$5*GETPIVOTDATA("Unique Billed Hours",'County allocation'!$A$3,"County",$D125,"HHA/CDPAP","HHA","Level of Service",$D130),0)</f>
        <v>0</v>
      </c>
      <c r="H130" s="658">
        <f>+IFERROR(H$5*GETPIVOTDATA("Unique Billed Hours",'County allocation'!$S$3,"County",$D125,"HHA/CDPAP","HHA","Level of Service",$D130),0)</f>
        <v>0</v>
      </c>
      <c r="I130" s="664">
        <f t="shared" ca="1" si="55"/>
        <v>0</v>
      </c>
      <c r="J130" s="658">
        <f ca="1">+IFERROR(J$5*GETPIVOTDATA("Unique Billed Hours",'County allocation'!$S$3,"County",$D125,"HHA/CDPAP","HHA","Level of Service",$D130),0)</f>
        <v>0</v>
      </c>
      <c r="K130" s="658">
        <f ca="1">+IFERROR(K$5*GETPIVOTDATA("Unique Billed Hours",'County allocation'!$X$3,"County",$D125,"HHA/CDPAP","HHA","Level of Service",$D130),0)</f>
        <v>0</v>
      </c>
      <c r="L130" s="658">
        <f ca="1">+IFERROR(L$2*GETPIVOTDATA("Unique Billed Hours",'County allocation'!$O$3,"County",$D125,"HHA/CDPAP","HHA","Level of Service",$D130),0)</f>
        <v>0</v>
      </c>
      <c r="M130" s="658">
        <f>+IFERROR(M$5*GETPIVOTDATA("Unique Billed Hours",'County allocation'!$S$3,"County",$D125,"HHA/CDPAP","HHA","Level of Service",$D130),0)</f>
        <v>0</v>
      </c>
      <c r="N130" s="658">
        <f>+IFERROR(N$5*GETPIVOTDATA("Unique Billed Hours",'County allocation'!$S$3,"County",$D125,"HHA/CDPAP","HHA","Level of Service",$D130),0)</f>
        <v>0</v>
      </c>
      <c r="O130" s="658">
        <f>+IFERROR(O$5*GETPIVOTDATA("Unique Billed Hours",'County allocation'!$K$19,"County",$D125,"HHA/CDPAP","HHA","Level of Service",$D130),0)</f>
        <v>0</v>
      </c>
      <c r="P130" s="658">
        <f>+IFERROR(P$5*GETPIVOTDATA("Unique Billed Hours",'County allocation'!$S$3,"County",$D125,"HHA/CDPAP","HHA","Level of Service",$D130),0)</f>
        <v>0</v>
      </c>
    </row>
    <row r="131" spans="1:18" s="54" customFormat="1" ht="15.75" hidden="1" thickBot="1" x14ac:dyDescent="0.3">
      <c r="A131" s="119"/>
      <c r="B131" s="309"/>
      <c r="C131" s="322">
        <f t="shared" ca="1" si="53"/>
        <v>0</v>
      </c>
      <c r="D131" s="7" t="s">
        <v>37</v>
      </c>
      <c r="E131" s="48" t="s">
        <v>54</v>
      </c>
      <c r="F131" s="657">
        <f t="shared" ca="1" si="54"/>
        <v>0</v>
      </c>
      <c r="G131" s="658">
        <f ca="1">+IFERROR(G$5*GETPIVOTDATA("Unique Billed Hours",'County allocation'!$A$3,"County",$D125,"HHA/CDPAP","HHA","Level of Service",$D131),0)</f>
        <v>0</v>
      </c>
      <c r="H131" s="658">
        <f>+IFERROR(H$5*GETPIVOTDATA("Unique Billed Hours",'County allocation'!$S$3,"County",$D125,"HHA/CDPAP","HHA","Level of Service",$D131),0)</f>
        <v>0</v>
      </c>
      <c r="I131" s="664">
        <f t="shared" ca="1" si="55"/>
        <v>0</v>
      </c>
      <c r="J131" s="658">
        <f ca="1">+IFERROR(J$5*GETPIVOTDATA("Unique Billed Hours",'County allocation'!$S$3,"County",$D125,"HHA/CDPAP","HHA","Level of Service",$D131),0)</f>
        <v>0</v>
      </c>
      <c r="K131" s="658">
        <f ca="1">+IFERROR(K$5*GETPIVOTDATA("Unique Billed Hours",'County allocation'!$X$3,"County",$D125,"HHA/CDPAP","HHA","Level of Service",$D131),0)</f>
        <v>0</v>
      </c>
      <c r="L131" s="658">
        <f ca="1">+IFERROR(L$2*GETPIVOTDATA("Unique Billed Hours",'County allocation'!$O$3,"County",$D125,"HHA/CDPAP","HHA","Level of Service",$D131),0)</f>
        <v>0</v>
      </c>
      <c r="M131" s="658">
        <f>+IFERROR(M$5*GETPIVOTDATA("Unique Billed Hours",'County allocation'!$S$3,"County",$D125,"HHA/CDPAP","HHA","Level of Service",$D131),0)</f>
        <v>0</v>
      </c>
      <c r="N131" s="658">
        <f>+IFERROR(N$5*GETPIVOTDATA("Unique Billed Hours",'County allocation'!$S$3,"County",$D125,"HHA/CDPAP","HHA","Level of Service",$D131),0)</f>
        <v>0</v>
      </c>
      <c r="O131" s="658">
        <f>+IFERROR(O$5*GETPIVOTDATA("Unique Billed Hours",'County allocation'!$K$19,"County",$D125,"HHA/CDPAP","HHA","Level of Service",$D131),0)</f>
        <v>0</v>
      </c>
      <c r="P131" s="658">
        <f>+IFERROR(P$5*GETPIVOTDATA("Unique Billed Hours",'County allocation'!$S$3,"County",$D125,"HHA/CDPAP","HHA","Level of Service",$D131),0)</f>
        <v>0</v>
      </c>
    </row>
    <row r="132" spans="1:18" s="54" customFormat="1" ht="15.75" hidden="1" thickBot="1" x14ac:dyDescent="0.3">
      <c r="A132" s="119"/>
      <c r="B132" s="309"/>
      <c r="C132" s="322">
        <f t="shared" ca="1" si="53"/>
        <v>0</v>
      </c>
      <c r="D132" s="7" t="s">
        <v>38</v>
      </c>
      <c r="E132" s="48" t="s">
        <v>53</v>
      </c>
      <c r="F132" s="657">
        <f t="shared" ca="1" si="54"/>
        <v>0</v>
      </c>
      <c r="G132" s="658">
        <f ca="1">+IFERROR(G$5*GETPIVOTDATA("Unique Billed Hours",'County allocation'!$A$3,"County",$D125,"HHA/CDPAP","HHA","Level of Service",$D132),0)</f>
        <v>0</v>
      </c>
      <c r="H132" s="658">
        <f>+IFERROR(H$5*GETPIVOTDATA("Unique Billed Hours",'County allocation'!$S$3,"County",$D125,"HHA/CDPAP","HHA","Level of Service",$D132),0)</f>
        <v>0</v>
      </c>
      <c r="I132" s="664">
        <f t="shared" ca="1" si="55"/>
        <v>0</v>
      </c>
      <c r="J132" s="658">
        <f ca="1">+IFERROR(J$5*GETPIVOTDATA("Unique Billed Hours",'County allocation'!$S$3,"County",$D125,"HHA/CDPAP","HHA","Level of Service",$D132),0)</f>
        <v>0</v>
      </c>
      <c r="K132" s="658">
        <f ca="1">+IFERROR(K$5*GETPIVOTDATA("Unique Billed Hours",'County allocation'!$X$3,"County",$D125,"HHA/CDPAP","HHA","Level of Service",$D132),0)</f>
        <v>0</v>
      </c>
      <c r="L132" s="658">
        <f ca="1">+IFERROR(L$5*GETPIVOTDATA("Unique Billed Hours",'County allocation'!$K$19,"County",$D125,"HHA/CDPAP","HHA","Level of Service",$D132),0)</f>
        <v>0</v>
      </c>
      <c r="M132" s="658">
        <f>+IFERROR(M$5*GETPIVOTDATA("Unique Billed Hours",'County allocation'!$S$3,"County",$D125,"HHA/CDPAP","HHA","Level of Service",$D132),0)</f>
        <v>0</v>
      </c>
      <c r="N132" s="658">
        <f>+IFERROR(N$5*GETPIVOTDATA("Unique Billed Hours",'County allocation'!$S$3,"County",$D125,"HHA/CDPAP","HHA","Level of Service",$D132),0)</f>
        <v>0</v>
      </c>
      <c r="O132" s="658">
        <f>+IFERROR(O$5*GETPIVOTDATA("Unique Billed Hours",'County allocation'!$K$19,"County",$D125,"HHA/CDPAP","HHA","Level of Service",$D132),0)</f>
        <v>0</v>
      </c>
      <c r="P132" s="658">
        <f>+IFERROR(P$5*GETPIVOTDATA("Unique Billed Hours",'County allocation'!$S$3,"County",$D125,"HHA/CDPAP","HHA","Level of Service",$D132),0)</f>
        <v>0</v>
      </c>
    </row>
    <row r="133" spans="1:18" s="54" customFormat="1" ht="15.75" hidden="1" thickBot="1" x14ac:dyDescent="0.3">
      <c r="A133" s="119"/>
      <c r="B133" s="309"/>
      <c r="C133" s="322">
        <f t="shared" ca="1" si="53"/>
        <v>0</v>
      </c>
      <c r="D133" s="7" t="s">
        <v>39</v>
      </c>
      <c r="E133" s="48" t="s">
        <v>52</v>
      </c>
      <c r="F133" s="657">
        <f t="shared" ca="1" si="54"/>
        <v>0</v>
      </c>
      <c r="G133" s="658">
        <f ca="1">+IFERROR(G$5*GETPIVOTDATA("Unique Billed Hours",'County allocation'!$A$3,"County",$D125,"HHA/CDPAP","HHA","Level of Service",$D133),0)</f>
        <v>0</v>
      </c>
      <c r="H133" s="658">
        <f>+IFERROR(H$5*GETPIVOTDATA("Unique Billed Hours",'County allocation'!$S$3,"County",$D125,"HHA/CDPAP","HHA","Level of Service",$D133),0)</f>
        <v>0</v>
      </c>
      <c r="I133" s="664">
        <f t="shared" ca="1" si="55"/>
        <v>0</v>
      </c>
      <c r="J133" s="658">
        <f ca="1">+IFERROR(J$5*GETPIVOTDATA("Unique Billed Hours",'County allocation'!$S$3,"County",$D125,"HHA/CDPAP","HHA","Level of Service",$D133),0)</f>
        <v>0</v>
      </c>
      <c r="K133" s="658">
        <f ca="1">+IFERROR(K$5*GETPIVOTDATA("Unique Billed Hours",'County allocation'!$X$3,"County",$D125,"HHA/CDPAP","HHA","Level of Service",$D133),0)</f>
        <v>0</v>
      </c>
      <c r="L133" s="658">
        <f ca="1">+IFERROR(L$5*GETPIVOTDATA("Unique Billed Hours",'County allocation'!$K$19,"County",$D125,"HHA/CDPAP","HHA","Level of Service",$D133),0)</f>
        <v>0</v>
      </c>
      <c r="M133" s="658">
        <f>+IFERROR(M$5*GETPIVOTDATA("Unique Billed Hours",'County allocation'!$S$3,"County",$D125,"HHA/CDPAP","HHA","Level of Service",$D133),0)</f>
        <v>0</v>
      </c>
      <c r="N133" s="658">
        <f>+IFERROR(N$5*GETPIVOTDATA("Unique Billed Hours",'County allocation'!$S$3,"County",$D125,"HHA/CDPAP","HHA","Level of Service",$D133),0)</f>
        <v>0</v>
      </c>
      <c r="O133" s="658">
        <f>+IFERROR(O$5*GETPIVOTDATA("Unique Billed Hours",'County allocation'!$K$19,"County",$D125,"HHA/CDPAP","HHA","Level of Service",$D133),0)</f>
        <v>0</v>
      </c>
      <c r="P133" s="658">
        <f>+IFERROR(P$5*GETPIVOTDATA("Unique Billed Hours",'County allocation'!$S$3,"County",$D125,"HHA/CDPAP","HHA","Level of Service",$D133),0)</f>
        <v>0</v>
      </c>
    </row>
    <row r="134" spans="1:18" s="54" customFormat="1" ht="15.75" hidden="1" thickBot="1" x14ac:dyDescent="0.3">
      <c r="A134" s="119"/>
      <c r="B134" s="309"/>
      <c r="C134" s="322">
        <f t="shared" ca="1" si="53"/>
        <v>0</v>
      </c>
      <c r="D134" s="8" t="s">
        <v>40</v>
      </c>
      <c r="E134" s="48" t="s">
        <v>51</v>
      </c>
      <c r="F134" s="657">
        <f t="shared" ca="1" si="54"/>
        <v>0</v>
      </c>
      <c r="G134" s="658">
        <f ca="1">+IFERROR(G$5*GETPIVOTDATA("Unique Billed Hours",'County allocation'!$A$3,"County",$D125,"HHA/CDPAP","HHA","Level of Service",$D134),0)</f>
        <v>0</v>
      </c>
      <c r="H134" s="658">
        <f>+IFERROR(H$5*GETPIVOTDATA("Unique Billed Hours",'County allocation'!$S$3,"County",$D125,"HHA/CDPAP","HHA","Level of Service",$D134),0)</f>
        <v>0</v>
      </c>
      <c r="I134" s="664">
        <f t="shared" ca="1" si="55"/>
        <v>0</v>
      </c>
      <c r="J134" s="658">
        <f ca="1">+IFERROR(J$5*GETPIVOTDATA("Unique Billed Hours",'County allocation'!$S$3,"County",$D125,"HHA/CDPAP","HHA","Level of Service",$D134),0)</f>
        <v>0</v>
      </c>
      <c r="K134" s="658">
        <f ca="1">+IFERROR(K$5*GETPIVOTDATA("Unique Billed Hours",'County allocation'!$X$3,"County",$D125,"HHA/CDPAP","HHA","Level of Service",$D134),0)</f>
        <v>0</v>
      </c>
      <c r="L134" s="658">
        <f ca="1">+IFERROR(L$2*GETPIVOTDATA("Unique Billed Hours",'County allocation'!$O$3,"County",$D125,"HHA/CDPAP","HHA","Level of Service",$D134),0)</f>
        <v>0</v>
      </c>
      <c r="M134" s="658">
        <f>+IFERROR(M$5*GETPIVOTDATA("Unique Billed Hours",'County allocation'!$S$3,"County",$D125,"HHA/CDPAP","HHA","Level of Service",$D134),0)</f>
        <v>0</v>
      </c>
      <c r="N134" s="658">
        <f>+IFERROR(N$5*GETPIVOTDATA("Unique Billed Hours",'County allocation'!$S$3,"County",$D125,"HHA/CDPAP","HHA","Level of Service",$D134),0)</f>
        <v>0</v>
      </c>
      <c r="O134" s="658">
        <f>+IFERROR(O$5*GETPIVOTDATA("Unique Billed Hours",'County allocation'!$K$19,"County",$D125,"HHA/CDPAP","HHA","Level of Service",$D134),0)</f>
        <v>0</v>
      </c>
      <c r="P134" s="658">
        <f>+IFERROR(P$5*GETPIVOTDATA("Unique Billed Hours",'County allocation'!$S$3,"County",$D125,"HHA/CDPAP","HHA","Level of Service",$D134),0)</f>
        <v>0</v>
      </c>
    </row>
    <row r="135" spans="1:18" s="54" customFormat="1" ht="15.75" hidden="1" thickBot="1" x14ac:dyDescent="0.3">
      <c r="A135" s="119"/>
      <c r="B135" s="309"/>
      <c r="C135" s="322">
        <f t="shared" ca="1" si="53"/>
        <v>0</v>
      </c>
      <c r="D135" s="8" t="s">
        <v>41</v>
      </c>
      <c r="E135" s="48" t="s">
        <v>50</v>
      </c>
      <c r="F135" s="657">
        <f t="shared" ca="1" si="54"/>
        <v>0</v>
      </c>
      <c r="G135" s="658">
        <f ca="1">+IFERROR(G$5*GETPIVOTDATA("Unique Billed Hours",'County allocation'!$A$3,"County",$D125,"HHA/CDPAP","HHA","Level of Service",$D135),0)</f>
        <v>0</v>
      </c>
      <c r="H135" s="658">
        <f>+IFERROR(H$5*GETPIVOTDATA("Unique Billed Hours",'County allocation'!$S$3,"County",$D125,"HHA/CDPAP","HHA","Level of Service",$D135),0)</f>
        <v>0</v>
      </c>
      <c r="I135" s="664">
        <f t="shared" ca="1" si="55"/>
        <v>0</v>
      </c>
      <c r="J135" s="658">
        <f ca="1">+IFERROR(J$5*GETPIVOTDATA("Unique Billed Hours",'County allocation'!$S$3,"County",$D125,"HHA/CDPAP","HHA","Level of Service",$D135),0)</f>
        <v>0</v>
      </c>
      <c r="K135" s="658">
        <f ca="1">+IFERROR(K$5*GETPIVOTDATA("Unique Billed Hours",'County allocation'!$X$3,"County",$D125,"HHA/CDPAP","HHA","Level of Service",$D135),0)</f>
        <v>0</v>
      </c>
      <c r="L135" s="658">
        <f ca="1">+IFERROR(L$2*GETPIVOTDATA("Unique Billed Hours",'County allocation'!$O$3,"County",$D125,"HHA/CDPAP","HHA","Level of Service",$D135),0)</f>
        <v>0</v>
      </c>
      <c r="M135" s="658">
        <f>+IFERROR(M$5*GETPIVOTDATA("Unique Billed Hours",'County allocation'!$S$3,"County",$D125,"HHA/CDPAP","HHA","Level of Service",$D135),0)</f>
        <v>0</v>
      </c>
      <c r="N135" s="658">
        <f>+IFERROR(N$5*GETPIVOTDATA("Unique Billed Hours",'County allocation'!$S$3,"County",$D125,"HHA/CDPAP","HHA","Level of Service",$D135),0)</f>
        <v>0</v>
      </c>
      <c r="O135" s="658">
        <f>+IFERROR(O$5*GETPIVOTDATA("Unique Billed Hours",'County allocation'!$K$19,"County",$D125,"HHA/CDPAP","HHA","Level of Service",$D135),0)</f>
        <v>0</v>
      </c>
      <c r="P135" s="658">
        <f>+IFERROR(P$5*GETPIVOTDATA("Unique Billed Hours",'County allocation'!$S$3,"County",$D125,"HHA/CDPAP","HHA","Level of Service",$D135),0)</f>
        <v>0</v>
      </c>
    </row>
    <row r="136" spans="1:18" s="54" customFormat="1" ht="15.75" hidden="1" thickBot="1" x14ac:dyDescent="0.3">
      <c r="A136" s="119"/>
      <c r="B136" s="309"/>
      <c r="C136" s="322">
        <f t="shared" ca="1" si="53"/>
        <v>0</v>
      </c>
      <c r="D136" s="52" t="s">
        <v>389</v>
      </c>
      <c r="E136" s="53" t="s">
        <v>49</v>
      </c>
      <c r="F136" s="657">
        <f t="shared" ca="1" si="54"/>
        <v>0</v>
      </c>
      <c r="G136" s="661">
        <f ca="1">SUM(G128:G135)</f>
        <v>0</v>
      </c>
      <c r="H136" s="661">
        <f>SUM(H128:H135)</f>
        <v>0</v>
      </c>
      <c r="I136" s="664">
        <f t="shared" ca="1" si="55"/>
        <v>0</v>
      </c>
      <c r="J136" s="661">
        <f ca="1">SUM(J128:J135)</f>
        <v>0</v>
      </c>
      <c r="K136" s="661">
        <f t="shared" ref="K136:P136" ca="1" si="56">SUM(K128:K135)</f>
        <v>0</v>
      </c>
      <c r="L136" s="661">
        <f t="shared" ca="1" si="56"/>
        <v>0</v>
      </c>
      <c r="M136" s="661">
        <f t="shared" si="56"/>
        <v>0</v>
      </c>
      <c r="N136" s="661">
        <f t="shared" si="56"/>
        <v>0</v>
      </c>
      <c r="O136" s="661">
        <f t="shared" si="56"/>
        <v>0</v>
      </c>
      <c r="P136" s="661">
        <f t="shared" si="56"/>
        <v>0</v>
      </c>
    </row>
    <row r="137" spans="1:18" s="54" customFormat="1" ht="15.75" hidden="1" thickBot="1" x14ac:dyDescent="0.3">
      <c r="A137" s="119"/>
      <c r="B137" s="309"/>
      <c r="C137" s="322">
        <f t="shared" ca="1" si="53"/>
        <v>0</v>
      </c>
      <c r="D137" s="371" t="s">
        <v>390</v>
      </c>
      <c r="E137" s="325" t="s">
        <v>47</v>
      </c>
      <c r="F137" s="657">
        <f t="shared" ca="1" si="54"/>
        <v>0</v>
      </c>
      <c r="G137" s="665">
        <f ca="1">+IFERROR((G$5*GETPIVOTDATA("Unique Billed Hours",'County allocation'!$A$3,"County",$D125,"HHA/CDPAP","HHA","Level of Service",$D137))+($G$2*GETPIVOTDATA("Unique Billed Hours",'County allocation'!$F$7,"County",$D125,"HHA/CDPAP","HHA","Level of Service",$D137)),0)++IFERROR(J$5*GETPIVOTDATA("Unique Billed Hours",'County allocation'!$AC$3,"County",$D125,"HHA/CDPAP","HHA","Level of Service",$D137),0)+ +IFERROR(J$5*GETPIVOTDATA("Unique Billed Hours",'County allocation'!$AC$3,"County",$D125,"HHA/CDPAP","HHA","Level of Service",$D138),0)</f>
        <v>0</v>
      </c>
      <c r="H137" s="665">
        <f>+IFERROR(H$5*GETPIVOTDATA("Unique Billed Hours",'County allocation'!$S$3,"County",$D125,"HHA/CDPAP","HHA","Level of Service",$D137),0)</f>
        <v>0</v>
      </c>
      <c r="I137" s="664">
        <f t="shared" ca="1" si="55"/>
        <v>0</v>
      </c>
      <c r="J137" s="901"/>
      <c r="K137" s="665">
        <f ca="1">+IFERROR(K$5*GETPIVOTDATA("Unique Billed Hours",'County allocation'!$X$3,"County",$D125,"HHA/CDPAP","HHA","Level of Service",$D137),0)</f>
        <v>0</v>
      </c>
      <c r="L137" s="665">
        <f ca="1">+IFERROR(L$5*GETPIVOTDATA("Unique Billed Hours",'County allocation'!$K$19,"County",$D125,"HHA/CDPAP","HHA","Level of Service",$D137),0)</f>
        <v>0</v>
      </c>
      <c r="M137" s="665">
        <f>+IFERROR(M$5*GETPIVOTDATA("Unique Billed Hours",'County allocation'!$S$3,"County",$D125,"HHA/CDPAP","HHA","Level of Service",$D137),0)</f>
        <v>0</v>
      </c>
      <c r="N137" s="665">
        <f>+IFERROR(N$5*GETPIVOTDATA("Unique Billed Hours",'County allocation'!$S$3,"County",$D125,"HHA/CDPAP","HHA","Level of Service",$D137),0)</f>
        <v>0</v>
      </c>
      <c r="O137" s="665">
        <f>+IFERROR(O$5*GETPIVOTDATA("Unique Billed Hours",'County allocation'!$S$3,"County",$D125,"HHA/CDPAP","HHA","Level of Service",$D137),0)</f>
        <v>0</v>
      </c>
      <c r="P137" s="665">
        <f>+IFERROR(P$5*GETPIVOTDATA("Unique Billed Hours",'County allocation'!$S$3,"County",$D125,"HHA/CDPAP","HHA","Level of Service",$D137),0)</f>
        <v>0</v>
      </c>
    </row>
    <row r="138" spans="1:18" s="54" customFormat="1" ht="15.75" hidden="1" thickBot="1" x14ac:dyDescent="0.3">
      <c r="A138" s="119"/>
      <c r="B138" s="309"/>
      <c r="C138" s="322">
        <f t="shared" ca="1" si="53"/>
        <v>0</v>
      </c>
      <c r="D138" s="8" t="s">
        <v>391</v>
      </c>
      <c r="E138" s="370" t="s">
        <v>77</v>
      </c>
      <c r="F138" s="657">
        <f t="shared" ca="1" si="54"/>
        <v>0</v>
      </c>
      <c r="G138" s="656"/>
      <c r="H138" s="658">
        <f>+IFERROR(H$5*GETPIVOTDATA("Unique Billed Hours",'County allocation'!$S$3,"County",$D125,"HHA/CDPAP","HHA","Level of Service",$D138),0)</f>
        <v>0</v>
      </c>
      <c r="I138" s="664">
        <f t="shared" ca="1" si="55"/>
        <v>0</v>
      </c>
      <c r="J138" s="901"/>
      <c r="K138" s="665">
        <f ca="1">+IFERROR(K$5*GETPIVOTDATA("Unique Billed Hours",'County allocation'!$X$3,"County",$D125,"HHA/CDPAP","HHA","Level of Service",$D138),0)</f>
        <v>0</v>
      </c>
      <c r="L138" s="665">
        <f ca="1">+IFERROR(L$5*GETPIVOTDATA("Unique Billed Hours",'County allocation'!$K$19,"County",$D125,"HHA/CDPAP","HHA","Level of Service",$D138),0)</f>
        <v>0</v>
      </c>
      <c r="M138" s="665">
        <f>+IFERROR(M$5*GETPIVOTDATA("Unique Billed Hours",'County allocation'!$S$3,"County",$D125,"HHA/CDPAP","HHA","Level of Service",$D138),0)</f>
        <v>0</v>
      </c>
      <c r="N138" s="665">
        <f>+IFERROR(N$5*GETPIVOTDATA("Unique Billed Hours",'County allocation'!$S$3,"County",$D125,"HHA/CDPAP","HHA","Level of Service",$D138),0)</f>
        <v>0</v>
      </c>
      <c r="O138" s="665">
        <f>+IFERROR(O$5*GETPIVOTDATA("Unique Billed Hours",'County allocation'!$S$3,"County",$D125,"HHA/CDPAP","HHA","Level of Service",$D138),0)</f>
        <v>0</v>
      </c>
      <c r="P138" s="665">
        <f>+IFERROR(P$5*GETPIVOTDATA("Unique Billed Hours",'County allocation'!$S$3,"County",$D125,"HHA/CDPAP","HHA","Level of Service",$D138),0)</f>
        <v>0</v>
      </c>
    </row>
    <row r="139" spans="1:18" s="54" customFormat="1" ht="15.75" hidden="1" thickBot="1" x14ac:dyDescent="0.3">
      <c r="A139" s="119"/>
      <c r="B139" s="309"/>
      <c r="C139" s="322">
        <f t="shared" ca="1" si="53"/>
        <v>0</v>
      </c>
      <c r="D139" s="8" t="s">
        <v>374</v>
      </c>
      <c r="E139" s="370" t="s">
        <v>78</v>
      </c>
      <c r="F139" s="657">
        <f t="shared" ca="1" si="54"/>
        <v>0</v>
      </c>
      <c r="G139" s="658">
        <f ca="1">+IFERROR(G$5*GETPIVOTDATA("Unique Billed Hours",'County allocation'!$A$3,"County",$D125,"HHA/CDPAP","HHA","Level of Service",$D139),0)++IFERROR(J$5*GETPIVOTDATA("Unique Billed Hours",'County allocation'!$AC$3,"County",$D125,"HHA/CDPAP","HHA","Level of Service",$D139),0)</f>
        <v>0</v>
      </c>
      <c r="H139" s="658">
        <f>+IFERROR(H$5*GETPIVOTDATA("Unique Billed Hours",'County allocation'!$S$3,"County",$D125,"HHA/CDPAP","HHA","Level of Service",$D139),0)</f>
        <v>0</v>
      </c>
      <c r="I139" s="664">
        <f t="shared" ca="1" si="55"/>
        <v>0</v>
      </c>
      <c r="J139" s="901"/>
      <c r="K139" s="665">
        <f ca="1">+IFERROR(K$5*GETPIVOTDATA("Unique Billed Hours",'County allocation'!$X$3,"County",$D125,"HHA/CDPAP","HHA","Level of Service",$D139),0)</f>
        <v>0</v>
      </c>
      <c r="L139" s="665">
        <f ca="1">+IFERROR(L$5*GETPIVOTDATA("Unique Billed Hours",'County allocation'!$K$19,"County",$D125,"HHA/CDPAP","HHA","Level of Service",$D139),0)</f>
        <v>0</v>
      </c>
      <c r="M139" s="665">
        <f>+IFERROR(M$5*GETPIVOTDATA("Unique Billed Hours",'County allocation'!$S$3,"County",$D125,"HHA/CDPAP","HHA","Level of Service",$D139),0)</f>
        <v>0</v>
      </c>
      <c r="N139" s="665">
        <f>+IFERROR(N$5*GETPIVOTDATA("Unique Billed Hours",'County allocation'!$S$3,"County",$D125,"HHA/CDPAP","HHA","Level of Service",$D139),0)</f>
        <v>0</v>
      </c>
      <c r="O139" s="665">
        <f>+IFERROR(O$5*GETPIVOTDATA("Unique Billed Hours",'County allocation'!$S$3,"County",$D125,"HHA/CDPAP","HHA","Level of Service",$D139),0)</f>
        <v>0</v>
      </c>
      <c r="P139" s="665">
        <f>+IFERROR(P$5*GETPIVOTDATA("Unique Billed Hours",'County allocation'!$S$3,"County",$D125,"HHA/CDPAP","HHA","Level of Service",$D139),0)</f>
        <v>0</v>
      </c>
    </row>
    <row r="140" spans="1:18" s="54" customFormat="1" ht="15.75" hidden="1" thickBot="1" x14ac:dyDescent="0.3">
      <c r="A140" s="302"/>
      <c r="B140" s="309"/>
      <c r="C140" s="322">
        <f ca="1">C139</f>
        <v>0</v>
      </c>
      <c r="D140" s="52" t="s">
        <v>48</v>
      </c>
      <c r="E140" s="53" t="s">
        <v>79</v>
      </c>
      <c r="F140" s="657">
        <f t="shared" ca="1" si="54"/>
        <v>0</v>
      </c>
      <c r="G140" s="661">
        <f t="shared" ref="G140" ca="1" si="57">SUM(G136:G139)</f>
        <v>0</v>
      </c>
      <c r="H140" s="661">
        <f t="shared" ref="H140:P140" si="58">SUM(H136:H139)</f>
        <v>0</v>
      </c>
      <c r="I140" s="661">
        <f t="shared" ca="1" si="58"/>
        <v>0</v>
      </c>
      <c r="J140" s="661">
        <f t="shared" ca="1" si="58"/>
        <v>0</v>
      </c>
      <c r="K140" s="661">
        <f t="shared" ca="1" si="58"/>
        <v>0</v>
      </c>
      <c r="L140" s="661">
        <f t="shared" ca="1" si="58"/>
        <v>0</v>
      </c>
      <c r="M140" s="661">
        <f t="shared" si="58"/>
        <v>0</v>
      </c>
      <c r="N140" s="661">
        <f t="shared" si="58"/>
        <v>0</v>
      </c>
      <c r="O140" s="661">
        <f t="shared" si="58"/>
        <v>0</v>
      </c>
      <c r="P140" s="661">
        <f t="shared" si="58"/>
        <v>0</v>
      </c>
    </row>
    <row r="141" spans="1:18" s="54" customFormat="1" ht="15.75" hidden="1" thickBot="1" x14ac:dyDescent="0.3">
      <c r="A141" s="119"/>
      <c r="B141" s="309"/>
      <c r="C141" s="322"/>
      <c r="E141" s="55"/>
      <c r="F141" s="666"/>
      <c r="G141" s="666"/>
      <c r="H141" s="666"/>
      <c r="I141" s="666"/>
      <c r="J141" s="666"/>
      <c r="K141" s="666"/>
      <c r="L141" s="666"/>
      <c r="M141" s="666"/>
      <c r="N141" s="666"/>
      <c r="O141" s="666"/>
      <c r="P141" s="666"/>
    </row>
    <row r="142" spans="1:18" s="54" customFormat="1" ht="75.75" hidden="1" thickBot="1" x14ac:dyDescent="0.3">
      <c r="A142" s="119"/>
      <c r="B142" s="309"/>
      <c r="C142" s="322">
        <f ca="1">IF(F157&gt;0,1,0)</f>
        <v>0</v>
      </c>
      <c r="D142" s="45" t="str">
        <f>A11</f>
        <v>Chemung</v>
      </c>
      <c r="E142" s="28">
        <f>+SUMIF(A:A,D142,B:B)</f>
        <v>0</v>
      </c>
      <c r="F142" s="652" t="s">
        <v>61</v>
      </c>
      <c r="G142" s="652" t="s">
        <v>387</v>
      </c>
      <c r="H142" s="652" t="s">
        <v>388</v>
      </c>
      <c r="I142" s="652" t="s">
        <v>392</v>
      </c>
      <c r="J142" s="652" t="s">
        <v>31</v>
      </c>
      <c r="K142" s="652" t="s">
        <v>32</v>
      </c>
      <c r="L142" s="653" t="s">
        <v>33</v>
      </c>
      <c r="M142" s="653" t="s">
        <v>60</v>
      </c>
      <c r="N142" s="653" t="s">
        <v>59</v>
      </c>
      <c r="O142" s="653" t="s">
        <v>58</v>
      </c>
      <c r="P142" s="653" t="s">
        <v>16</v>
      </c>
    </row>
    <row r="143" spans="1:18" s="54" customFormat="1" ht="15.75" hidden="1" thickBot="1" x14ac:dyDescent="0.3">
      <c r="A143" s="119"/>
      <c r="B143" s="309"/>
      <c r="C143" s="322">
        <f ca="1">C142</f>
        <v>0</v>
      </c>
      <c r="D143" s="56"/>
      <c r="E143" s="57"/>
      <c r="F143" s="654" t="s">
        <v>57</v>
      </c>
      <c r="G143" s="654" t="s">
        <v>56</v>
      </c>
      <c r="H143" s="654" t="s">
        <v>55</v>
      </c>
      <c r="I143" s="654" t="s">
        <v>54</v>
      </c>
      <c r="J143" s="654" t="s">
        <v>53</v>
      </c>
      <c r="K143" s="654" t="s">
        <v>52</v>
      </c>
      <c r="L143" s="654" t="s">
        <v>51</v>
      </c>
      <c r="M143" s="654" t="s">
        <v>50</v>
      </c>
      <c r="N143" s="654" t="s">
        <v>49</v>
      </c>
      <c r="O143" s="654" t="s">
        <v>47</v>
      </c>
      <c r="P143" s="655" t="s">
        <v>77</v>
      </c>
    </row>
    <row r="144" spans="1:18" s="54" customFormat="1" ht="15.75" hidden="1" thickBot="1" x14ac:dyDescent="0.3">
      <c r="A144" s="119"/>
      <c r="B144" s="309"/>
      <c r="C144" s="322">
        <f t="shared" ref="C144:C156" ca="1" si="59">C143</f>
        <v>0</v>
      </c>
      <c r="D144" s="59" t="s">
        <v>26</v>
      </c>
      <c r="E144" s="57"/>
      <c r="F144" s="656"/>
      <c r="G144" s="656"/>
      <c r="H144" s="656"/>
      <c r="I144" s="656"/>
      <c r="J144" s="656"/>
      <c r="K144" s="656"/>
      <c r="L144" s="656"/>
      <c r="M144" s="656"/>
      <c r="N144" s="656"/>
      <c r="O144" s="656"/>
      <c r="P144" s="663"/>
    </row>
    <row r="145" spans="1:18" s="54" customFormat="1" ht="15.75" hidden="1" thickBot="1" x14ac:dyDescent="0.3">
      <c r="A145" s="119"/>
      <c r="B145" s="309"/>
      <c r="C145" s="322">
        <f t="shared" ca="1" si="59"/>
        <v>0</v>
      </c>
      <c r="D145" s="7" t="s">
        <v>34</v>
      </c>
      <c r="E145" s="48" t="s">
        <v>57</v>
      </c>
      <c r="F145" s="657">
        <f ca="1">+H145+G145+I145</f>
        <v>0</v>
      </c>
      <c r="G145" s="658">
        <f ca="1">+IFERROR(G$5*GETPIVOTDATA("Unique Billed Hours",'County allocation'!$A$3,"County",$D142,"HHA/CDPAP","HHA","Level of Service",$D145),0)</f>
        <v>0</v>
      </c>
      <c r="H145" s="658">
        <f>+IFERROR(H$5*GETPIVOTDATA("Unique Billed Hours",'County allocation'!$S$3,"County",$D142,"HHA/CDPAP","HHA","Level of Service",$D145),0)</f>
        <v>0</v>
      </c>
      <c r="I145" s="664">
        <f ca="1">SUM(J145:P145)</f>
        <v>0</v>
      </c>
      <c r="J145" s="658">
        <f ca="1">+IFERROR(J$5*GETPIVOTDATA("Unique Billed Hours",'County allocation'!$S$3,"County",$D142,"HHA/CDPAP","HHA","Level of Service",$D145),0)</f>
        <v>0</v>
      </c>
      <c r="K145" s="658">
        <f ca="1">+IFERROR(K$5*GETPIVOTDATA("Unique Billed Hours",'County allocation'!$X$3,"County",$D142,"HHA/CDPAP","HHA","Level of Service",$D145),0)</f>
        <v>0</v>
      </c>
      <c r="L145" s="658">
        <f ca="1">+IFERROR(L$2*GETPIVOTDATA("Unique Billed Hours",'County allocation'!$O$3,"County",$D142,"HHA/CDPAP","HHA","Level of Service",$D145),0)</f>
        <v>0</v>
      </c>
      <c r="M145" s="658">
        <f>+IFERROR(M$5*GETPIVOTDATA("Unique Billed Hours",'County allocation'!$S$3,"County",$D142,"HHA/CDPAP","HHA","Level of Service",$D145),0)</f>
        <v>0</v>
      </c>
      <c r="N145" s="658">
        <f>+IFERROR(N$5*GETPIVOTDATA("Unique Billed Hours",'County allocation'!$S$3,"County",$D142,"HHA/CDPAP","HHA","Level of Service",$D145),0)</f>
        <v>0</v>
      </c>
      <c r="O145" s="658">
        <f>+IFERROR(O$5*GETPIVOTDATA("Unique Billed Hours",'County allocation'!$K$19,"County",$D142,"HHA/CDPAP","HHA","Level of Service",$D145),0)</f>
        <v>0</v>
      </c>
      <c r="P145" s="658">
        <f>+IFERROR(P$5*GETPIVOTDATA("Unique Billed Hours",'County allocation'!$S$3,"County",$D142,"HHA/CDPAP","HHA","Level of Service",$D145),0)</f>
        <v>0</v>
      </c>
    </row>
    <row r="146" spans="1:18" s="54" customFormat="1" ht="15.75" hidden="1" thickBot="1" x14ac:dyDescent="0.3">
      <c r="A146" s="119"/>
      <c r="B146" s="309"/>
      <c r="C146" s="322">
        <f t="shared" ca="1" si="59"/>
        <v>0</v>
      </c>
      <c r="D146" s="7" t="s">
        <v>35</v>
      </c>
      <c r="E146" s="48" t="s">
        <v>56</v>
      </c>
      <c r="F146" s="657">
        <f t="shared" ref="F146:F157" ca="1" si="60">+H146+G146+I146</f>
        <v>0</v>
      </c>
      <c r="G146" s="658">
        <f ca="1">+IFERROR(G$5*GETPIVOTDATA("Unique Billed Hours",'County allocation'!$A$3,"County",$D142,"HHA/CDPAP","HHA","Level of Service",$D146),0)</f>
        <v>0</v>
      </c>
      <c r="H146" s="658">
        <f>+IFERROR(H$5*GETPIVOTDATA("Unique Billed Hours",'County allocation'!$S$3,"County",$D142,"HHA/CDPAP","HHA","Level of Service",$D146),0)</f>
        <v>0</v>
      </c>
      <c r="I146" s="664">
        <f t="shared" ref="I146:I156" ca="1" si="61">SUM(J146:P146)</f>
        <v>0</v>
      </c>
      <c r="J146" s="658">
        <f ca="1">+IFERROR(J$5*GETPIVOTDATA("Unique Billed Hours",'County allocation'!$S$3,"County",$D142,"HHA/CDPAP","HHA","Level of Service",$D146),0)</f>
        <v>0</v>
      </c>
      <c r="K146" s="658">
        <f ca="1">+IFERROR(K$5*GETPIVOTDATA("Unique Billed Hours",'County allocation'!$X$3,"County",$D142,"HHA/CDPAP","HHA","Level of Service",$D146),0)</f>
        <v>0</v>
      </c>
      <c r="L146" s="658">
        <f ca="1">+IFERROR(L$2*GETPIVOTDATA("Unique Billed Hours",'County allocation'!$O$3,"County",$D142,"HHA/CDPAP","HHA","Level of Service",$D146),0)</f>
        <v>0</v>
      </c>
      <c r="M146" s="658">
        <f>+IFERROR(M$5*GETPIVOTDATA("Unique Billed Hours",'County allocation'!$S$3,"County",$D142,"HHA/CDPAP","HHA","Level of Service",$D146),0)</f>
        <v>0</v>
      </c>
      <c r="N146" s="658">
        <f>+IFERROR(N$5*GETPIVOTDATA("Unique Billed Hours",'County allocation'!$S$3,"County",$D142,"HHA/CDPAP","HHA","Level of Service",$D146),0)</f>
        <v>0</v>
      </c>
      <c r="O146" s="658">
        <f>+IFERROR(O$5*GETPIVOTDATA("Unique Billed Hours",'County allocation'!$K$19,"County",$D142,"HHA/CDPAP","HHA","Level of Service",$D146),0)</f>
        <v>0</v>
      </c>
      <c r="P146" s="658">
        <f>+IFERROR(P$5*GETPIVOTDATA("Unique Billed Hours",'County allocation'!$S$3,"County",$D142,"HHA/CDPAP","HHA","Level of Service",$D146),0)</f>
        <v>0</v>
      </c>
      <c r="R146" s="61"/>
    </row>
    <row r="147" spans="1:18" s="54" customFormat="1" ht="15.75" hidden="1" thickBot="1" x14ac:dyDescent="0.3">
      <c r="A147" s="302"/>
      <c r="B147" s="309"/>
      <c r="C147" s="322">
        <f t="shared" ca="1" si="59"/>
        <v>0</v>
      </c>
      <c r="D147" s="7" t="s">
        <v>36</v>
      </c>
      <c r="E147" s="48" t="s">
        <v>55</v>
      </c>
      <c r="F147" s="657">
        <f t="shared" ca="1" si="60"/>
        <v>0</v>
      </c>
      <c r="G147" s="658">
        <f ca="1">+IFERROR(G$5*GETPIVOTDATA("Unique Billed Hours",'County allocation'!$A$3,"County",$D142,"HHA/CDPAP","HHA","Level of Service",$D147),0)</f>
        <v>0</v>
      </c>
      <c r="H147" s="658">
        <f>+IFERROR(H$5*GETPIVOTDATA("Unique Billed Hours",'County allocation'!$S$3,"County",$D142,"HHA/CDPAP","HHA","Level of Service",$D147),0)</f>
        <v>0</v>
      </c>
      <c r="I147" s="664">
        <f t="shared" ca="1" si="61"/>
        <v>0</v>
      </c>
      <c r="J147" s="658">
        <f ca="1">+IFERROR(J$5*GETPIVOTDATA("Unique Billed Hours",'County allocation'!$S$3,"County",$D142,"HHA/CDPAP","HHA","Level of Service",$D147),0)</f>
        <v>0</v>
      </c>
      <c r="K147" s="658">
        <f ca="1">+IFERROR(K$5*GETPIVOTDATA("Unique Billed Hours",'County allocation'!$X$3,"County",$D142,"HHA/CDPAP","HHA","Level of Service",$D147),0)</f>
        <v>0</v>
      </c>
      <c r="L147" s="658">
        <f ca="1">+IFERROR(L$2*GETPIVOTDATA("Unique Billed Hours",'County allocation'!$O$3,"County",$D142,"HHA/CDPAP","HHA","Level of Service",$D147),0)</f>
        <v>0</v>
      </c>
      <c r="M147" s="658">
        <f>+IFERROR(M$5*GETPIVOTDATA("Unique Billed Hours",'County allocation'!$S$3,"County",$D142,"HHA/CDPAP","HHA","Level of Service",$D147),0)</f>
        <v>0</v>
      </c>
      <c r="N147" s="658">
        <f>+IFERROR(N$5*GETPIVOTDATA("Unique Billed Hours",'County allocation'!$S$3,"County",$D142,"HHA/CDPAP","HHA","Level of Service",$D147),0)</f>
        <v>0</v>
      </c>
      <c r="O147" s="658">
        <f>+IFERROR(O$5*GETPIVOTDATA("Unique Billed Hours",'County allocation'!$K$19,"County",$D142,"HHA/CDPAP","HHA","Level of Service",$D147),0)</f>
        <v>0</v>
      </c>
      <c r="P147" s="658">
        <f>+IFERROR(P$5*GETPIVOTDATA("Unique Billed Hours",'County allocation'!$S$3,"County",$D142,"HHA/CDPAP","HHA","Level of Service",$D147),0)</f>
        <v>0</v>
      </c>
    </row>
    <row r="148" spans="1:18" s="54" customFormat="1" ht="15.75" hidden="1" thickBot="1" x14ac:dyDescent="0.3">
      <c r="A148" s="119"/>
      <c r="B148" s="309"/>
      <c r="C148" s="322">
        <f t="shared" ca="1" si="59"/>
        <v>0</v>
      </c>
      <c r="D148" s="7" t="s">
        <v>37</v>
      </c>
      <c r="E148" s="48" t="s">
        <v>54</v>
      </c>
      <c r="F148" s="657">
        <f t="shared" ca="1" si="60"/>
        <v>0</v>
      </c>
      <c r="G148" s="658">
        <f ca="1">+IFERROR(G$5*GETPIVOTDATA("Unique Billed Hours",'County allocation'!$A$3,"County",$D142,"HHA/CDPAP","HHA","Level of Service",$D148),0)</f>
        <v>0</v>
      </c>
      <c r="H148" s="658">
        <f>+IFERROR(H$5*GETPIVOTDATA("Unique Billed Hours",'County allocation'!$S$3,"County",$D142,"HHA/CDPAP","HHA","Level of Service",$D148),0)</f>
        <v>0</v>
      </c>
      <c r="I148" s="664">
        <f t="shared" ca="1" si="61"/>
        <v>0</v>
      </c>
      <c r="J148" s="658">
        <f ca="1">+IFERROR(J$5*GETPIVOTDATA("Unique Billed Hours",'County allocation'!$S$3,"County",$D142,"HHA/CDPAP","HHA","Level of Service",$D148),0)</f>
        <v>0</v>
      </c>
      <c r="K148" s="658">
        <f ca="1">+IFERROR(K$5*GETPIVOTDATA("Unique Billed Hours",'County allocation'!$X$3,"County",$D142,"HHA/CDPAP","HHA","Level of Service",$D148),0)</f>
        <v>0</v>
      </c>
      <c r="L148" s="658">
        <f ca="1">+IFERROR(L$2*GETPIVOTDATA("Unique Billed Hours",'County allocation'!$O$3,"County",$D142,"HHA/CDPAP","HHA","Level of Service",$D148),0)</f>
        <v>0</v>
      </c>
      <c r="M148" s="658">
        <f>+IFERROR(M$5*GETPIVOTDATA("Unique Billed Hours",'County allocation'!$S$3,"County",$D142,"HHA/CDPAP","HHA","Level of Service",$D148),0)</f>
        <v>0</v>
      </c>
      <c r="N148" s="658">
        <f>+IFERROR(N$5*GETPIVOTDATA("Unique Billed Hours",'County allocation'!$S$3,"County",$D142,"HHA/CDPAP","HHA","Level of Service",$D148),0)</f>
        <v>0</v>
      </c>
      <c r="O148" s="658">
        <f>+IFERROR(O$5*GETPIVOTDATA("Unique Billed Hours",'County allocation'!$K$19,"County",$D142,"HHA/CDPAP","HHA","Level of Service",$D148),0)</f>
        <v>0</v>
      </c>
      <c r="P148" s="658">
        <f>+IFERROR(P$5*GETPIVOTDATA("Unique Billed Hours",'County allocation'!$S$3,"County",$D142,"HHA/CDPAP","HHA","Level of Service",$D148),0)</f>
        <v>0</v>
      </c>
    </row>
    <row r="149" spans="1:18" s="54" customFormat="1" ht="15.75" hidden="1" thickBot="1" x14ac:dyDescent="0.3">
      <c r="A149" s="119"/>
      <c r="B149" s="309"/>
      <c r="C149" s="322">
        <f t="shared" ca="1" si="59"/>
        <v>0</v>
      </c>
      <c r="D149" s="7" t="s">
        <v>38</v>
      </c>
      <c r="E149" s="48" t="s">
        <v>53</v>
      </c>
      <c r="F149" s="657">
        <f t="shared" ca="1" si="60"/>
        <v>0</v>
      </c>
      <c r="G149" s="658">
        <f ca="1">+IFERROR(G$5*GETPIVOTDATA("Unique Billed Hours",'County allocation'!$A$3,"County",$D142,"HHA/CDPAP","HHA","Level of Service",$D149),0)</f>
        <v>0</v>
      </c>
      <c r="H149" s="658">
        <f>+IFERROR(H$5*GETPIVOTDATA("Unique Billed Hours",'County allocation'!$S$3,"County",$D142,"HHA/CDPAP","HHA","Level of Service",$D149),0)</f>
        <v>0</v>
      </c>
      <c r="I149" s="664">
        <f t="shared" ca="1" si="61"/>
        <v>0</v>
      </c>
      <c r="J149" s="658">
        <f ca="1">+IFERROR(J$5*GETPIVOTDATA("Unique Billed Hours",'County allocation'!$S$3,"County",$D142,"HHA/CDPAP","HHA","Level of Service",$D149),0)</f>
        <v>0</v>
      </c>
      <c r="K149" s="658">
        <f ca="1">+IFERROR(K$5*GETPIVOTDATA("Unique Billed Hours",'County allocation'!$X$3,"County",$D142,"HHA/CDPAP","HHA","Level of Service",$D149),0)</f>
        <v>0</v>
      </c>
      <c r="L149" s="658">
        <f ca="1">+IFERROR(L$5*GETPIVOTDATA("Unique Billed Hours",'County allocation'!$K$19,"County",$D142,"HHA/CDPAP","HHA","Level of Service",$D149),0)</f>
        <v>0</v>
      </c>
      <c r="M149" s="658">
        <f>+IFERROR(M$5*GETPIVOTDATA("Unique Billed Hours",'County allocation'!$S$3,"County",$D142,"HHA/CDPAP","HHA","Level of Service",$D149),0)</f>
        <v>0</v>
      </c>
      <c r="N149" s="658">
        <f>+IFERROR(N$5*GETPIVOTDATA("Unique Billed Hours",'County allocation'!$S$3,"County",$D142,"HHA/CDPAP","HHA","Level of Service",$D149),0)</f>
        <v>0</v>
      </c>
      <c r="O149" s="658">
        <f>+IFERROR(O$5*GETPIVOTDATA("Unique Billed Hours",'County allocation'!$K$19,"County",$D142,"HHA/CDPAP","HHA","Level of Service",$D149),0)</f>
        <v>0</v>
      </c>
      <c r="P149" s="658">
        <f>+IFERROR(P$5*GETPIVOTDATA("Unique Billed Hours",'County allocation'!$S$3,"County",$D142,"HHA/CDPAP","HHA","Level of Service",$D149),0)</f>
        <v>0</v>
      </c>
    </row>
    <row r="150" spans="1:18" s="54" customFormat="1" ht="15.75" hidden="1" thickBot="1" x14ac:dyDescent="0.3">
      <c r="A150" s="119"/>
      <c r="B150" s="309"/>
      <c r="C150" s="322">
        <f t="shared" ca="1" si="59"/>
        <v>0</v>
      </c>
      <c r="D150" s="7" t="s">
        <v>39</v>
      </c>
      <c r="E150" s="48" t="s">
        <v>52</v>
      </c>
      <c r="F150" s="657">
        <f t="shared" ca="1" si="60"/>
        <v>0</v>
      </c>
      <c r="G150" s="658">
        <f ca="1">+IFERROR(G$5*GETPIVOTDATA("Unique Billed Hours",'County allocation'!$A$3,"County",$D142,"HHA/CDPAP","HHA","Level of Service",$D150),0)</f>
        <v>0</v>
      </c>
      <c r="H150" s="658">
        <f>+IFERROR(H$5*GETPIVOTDATA("Unique Billed Hours",'County allocation'!$S$3,"County",$D142,"HHA/CDPAP","HHA","Level of Service",$D150),0)</f>
        <v>0</v>
      </c>
      <c r="I150" s="664">
        <f t="shared" ca="1" si="61"/>
        <v>0</v>
      </c>
      <c r="J150" s="658">
        <f ca="1">+IFERROR(J$5*GETPIVOTDATA("Unique Billed Hours",'County allocation'!$S$3,"County",$D142,"HHA/CDPAP","HHA","Level of Service",$D150),0)</f>
        <v>0</v>
      </c>
      <c r="K150" s="658">
        <f ca="1">+IFERROR(K$5*GETPIVOTDATA("Unique Billed Hours",'County allocation'!$X$3,"County",$D142,"HHA/CDPAP","HHA","Level of Service",$D150),0)</f>
        <v>0</v>
      </c>
      <c r="L150" s="658">
        <f ca="1">+IFERROR(L$5*GETPIVOTDATA("Unique Billed Hours",'County allocation'!$K$19,"County",$D142,"HHA/CDPAP","HHA","Level of Service",$D150),0)</f>
        <v>0</v>
      </c>
      <c r="M150" s="658">
        <f>+IFERROR(M$5*GETPIVOTDATA("Unique Billed Hours",'County allocation'!$S$3,"County",$D142,"HHA/CDPAP","HHA","Level of Service",$D150),0)</f>
        <v>0</v>
      </c>
      <c r="N150" s="658">
        <f>+IFERROR(N$5*GETPIVOTDATA("Unique Billed Hours",'County allocation'!$S$3,"County",$D142,"HHA/CDPAP","HHA","Level of Service",$D150),0)</f>
        <v>0</v>
      </c>
      <c r="O150" s="658">
        <f>+IFERROR(O$5*GETPIVOTDATA("Unique Billed Hours",'County allocation'!$K$19,"County",$D142,"HHA/CDPAP","HHA","Level of Service",$D150),0)</f>
        <v>0</v>
      </c>
      <c r="P150" s="658">
        <f>+IFERROR(P$5*GETPIVOTDATA("Unique Billed Hours",'County allocation'!$S$3,"County",$D142,"HHA/CDPAP","HHA","Level of Service",$D150),0)</f>
        <v>0</v>
      </c>
    </row>
    <row r="151" spans="1:18" s="54" customFormat="1" ht="15.75" hidden="1" thickBot="1" x14ac:dyDescent="0.3">
      <c r="A151" s="119"/>
      <c r="B151" s="309"/>
      <c r="C151" s="322">
        <f t="shared" ca="1" si="59"/>
        <v>0</v>
      </c>
      <c r="D151" s="8" t="s">
        <v>40</v>
      </c>
      <c r="E151" s="48" t="s">
        <v>51</v>
      </c>
      <c r="F151" s="657">
        <f t="shared" ca="1" si="60"/>
        <v>0</v>
      </c>
      <c r="G151" s="658">
        <f ca="1">+IFERROR(G$5*GETPIVOTDATA("Unique Billed Hours",'County allocation'!$A$3,"County",$D142,"HHA/CDPAP","HHA","Level of Service",$D151),0)</f>
        <v>0</v>
      </c>
      <c r="H151" s="658">
        <f>+IFERROR(H$5*GETPIVOTDATA("Unique Billed Hours",'County allocation'!$S$3,"County",$D142,"HHA/CDPAP","HHA","Level of Service",$D151),0)</f>
        <v>0</v>
      </c>
      <c r="I151" s="664">
        <f t="shared" ca="1" si="61"/>
        <v>0</v>
      </c>
      <c r="J151" s="658">
        <f ca="1">+IFERROR(J$5*GETPIVOTDATA("Unique Billed Hours",'County allocation'!$S$3,"County",$D142,"HHA/CDPAP","HHA","Level of Service",$D151),0)</f>
        <v>0</v>
      </c>
      <c r="K151" s="658">
        <f ca="1">+IFERROR(K$5*GETPIVOTDATA("Unique Billed Hours",'County allocation'!$X$3,"County",$D142,"HHA/CDPAP","HHA","Level of Service",$D151),0)</f>
        <v>0</v>
      </c>
      <c r="L151" s="658">
        <f ca="1">+IFERROR(L$2*GETPIVOTDATA("Unique Billed Hours",'County allocation'!$O$3,"County",$D142,"HHA/CDPAP","HHA","Level of Service",$D151),0)</f>
        <v>0</v>
      </c>
      <c r="M151" s="658">
        <f>+IFERROR(M$5*GETPIVOTDATA("Unique Billed Hours",'County allocation'!$S$3,"County",$D142,"HHA/CDPAP","HHA","Level of Service",$D151),0)</f>
        <v>0</v>
      </c>
      <c r="N151" s="658">
        <f>+IFERROR(N$5*GETPIVOTDATA("Unique Billed Hours",'County allocation'!$S$3,"County",$D142,"HHA/CDPAP","HHA","Level of Service",$D151),0)</f>
        <v>0</v>
      </c>
      <c r="O151" s="658">
        <f>+IFERROR(O$5*GETPIVOTDATA("Unique Billed Hours",'County allocation'!$K$19,"County",$D142,"HHA/CDPAP","HHA","Level of Service",$D151),0)</f>
        <v>0</v>
      </c>
      <c r="P151" s="658">
        <f>+IFERROR(P$5*GETPIVOTDATA("Unique Billed Hours",'County allocation'!$S$3,"County",$D142,"HHA/CDPAP","HHA","Level of Service",$D151),0)</f>
        <v>0</v>
      </c>
    </row>
    <row r="152" spans="1:18" s="54" customFormat="1" ht="15.75" hidden="1" thickBot="1" x14ac:dyDescent="0.3">
      <c r="A152" s="119"/>
      <c r="B152" s="309"/>
      <c r="C152" s="322">
        <f t="shared" ca="1" si="59"/>
        <v>0</v>
      </c>
      <c r="D152" s="8" t="s">
        <v>41</v>
      </c>
      <c r="E152" s="48" t="s">
        <v>50</v>
      </c>
      <c r="F152" s="657">
        <f t="shared" ca="1" si="60"/>
        <v>0</v>
      </c>
      <c r="G152" s="658">
        <f ca="1">+IFERROR(G$5*GETPIVOTDATA("Unique Billed Hours",'County allocation'!$A$3,"County",$D142,"HHA/CDPAP","HHA","Level of Service",$D152),0)</f>
        <v>0</v>
      </c>
      <c r="H152" s="658">
        <f>+IFERROR(H$5*GETPIVOTDATA("Unique Billed Hours",'County allocation'!$S$3,"County",$D142,"HHA/CDPAP","HHA","Level of Service",$D152),0)</f>
        <v>0</v>
      </c>
      <c r="I152" s="664">
        <f t="shared" ca="1" si="61"/>
        <v>0</v>
      </c>
      <c r="J152" s="658">
        <f ca="1">+IFERROR(J$5*GETPIVOTDATA("Unique Billed Hours",'County allocation'!$S$3,"County",$D142,"HHA/CDPAP","HHA","Level of Service",$D152),0)</f>
        <v>0</v>
      </c>
      <c r="K152" s="658">
        <f ca="1">+IFERROR(K$5*GETPIVOTDATA("Unique Billed Hours",'County allocation'!$X$3,"County",$D142,"HHA/CDPAP","HHA","Level of Service",$D152),0)</f>
        <v>0</v>
      </c>
      <c r="L152" s="658">
        <f ca="1">+IFERROR(L$2*GETPIVOTDATA("Unique Billed Hours",'County allocation'!$O$3,"County",$D142,"HHA/CDPAP","HHA","Level of Service",$D152),0)</f>
        <v>0</v>
      </c>
      <c r="M152" s="658">
        <f>+IFERROR(M$5*GETPIVOTDATA("Unique Billed Hours",'County allocation'!$S$3,"County",$D142,"HHA/CDPAP","HHA","Level of Service",$D152),0)</f>
        <v>0</v>
      </c>
      <c r="N152" s="658">
        <f>+IFERROR(N$5*GETPIVOTDATA("Unique Billed Hours",'County allocation'!$S$3,"County",$D142,"HHA/CDPAP","HHA","Level of Service",$D152),0)</f>
        <v>0</v>
      </c>
      <c r="O152" s="658">
        <f>+IFERROR(O$5*GETPIVOTDATA("Unique Billed Hours",'County allocation'!$K$19,"County",$D142,"HHA/CDPAP","HHA","Level of Service",$D152),0)</f>
        <v>0</v>
      </c>
      <c r="P152" s="658">
        <f>+IFERROR(P$5*GETPIVOTDATA("Unique Billed Hours",'County allocation'!$S$3,"County",$D142,"HHA/CDPAP","HHA","Level of Service",$D152),0)</f>
        <v>0</v>
      </c>
    </row>
    <row r="153" spans="1:18" s="54" customFormat="1" ht="15.75" hidden="1" thickBot="1" x14ac:dyDescent="0.3">
      <c r="A153" s="119"/>
      <c r="B153" s="309"/>
      <c r="C153" s="322">
        <f t="shared" ca="1" si="59"/>
        <v>0</v>
      </c>
      <c r="D153" s="52" t="s">
        <v>389</v>
      </c>
      <c r="E153" s="53" t="s">
        <v>49</v>
      </c>
      <c r="F153" s="657">
        <f t="shared" ca="1" si="60"/>
        <v>0</v>
      </c>
      <c r="G153" s="661">
        <f ca="1">SUM(G145:G152)</f>
        <v>0</v>
      </c>
      <c r="H153" s="661">
        <f>SUM(H145:H152)</f>
        <v>0</v>
      </c>
      <c r="I153" s="664">
        <f t="shared" ca="1" si="61"/>
        <v>0</v>
      </c>
      <c r="J153" s="661">
        <f ca="1">SUM(J145:J152)</f>
        <v>0</v>
      </c>
      <c r="K153" s="661">
        <f t="shared" ref="K153:P153" ca="1" si="62">SUM(K145:K152)</f>
        <v>0</v>
      </c>
      <c r="L153" s="661">
        <f t="shared" ca="1" si="62"/>
        <v>0</v>
      </c>
      <c r="M153" s="661">
        <f t="shared" si="62"/>
        <v>0</v>
      </c>
      <c r="N153" s="661">
        <f t="shared" si="62"/>
        <v>0</v>
      </c>
      <c r="O153" s="661">
        <f t="shared" si="62"/>
        <v>0</v>
      </c>
      <c r="P153" s="661">
        <f t="shared" si="62"/>
        <v>0</v>
      </c>
    </row>
    <row r="154" spans="1:18" s="54" customFormat="1" ht="15.75" hidden="1" thickBot="1" x14ac:dyDescent="0.3">
      <c r="A154" s="119"/>
      <c r="B154" s="309"/>
      <c r="C154" s="322">
        <f t="shared" ca="1" si="59"/>
        <v>0</v>
      </c>
      <c r="D154" s="371" t="s">
        <v>390</v>
      </c>
      <c r="E154" s="325" t="s">
        <v>47</v>
      </c>
      <c r="F154" s="657">
        <f t="shared" ca="1" si="60"/>
        <v>0</v>
      </c>
      <c r="G154" s="665">
        <f ca="1">+IFERROR((G$5*GETPIVOTDATA("Unique Billed Hours",'County allocation'!$A$3,"County",$D142,"HHA/CDPAP","HHA","Level of Service",$D154))+($G$2*GETPIVOTDATA("Unique Billed Hours",'County allocation'!$F$7,"County",$D142,"HHA/CDPAP","HHA","Level of Service",$D154)),0)++IFERROR(J$5*GETPIVOTDATA("Unique Billed Hours",'County allocation'!$AC$3,"County",$D142,"HHA/CDPAP","HHA","Level of Service",$D154),0)+ +IFERROR(J$5*GETPIVOTDATA("Unique Billed Hours",'County allocation'!$AC$3,"County",$D142,"HHA/CDPAP","HHA","Level of Service",$D155),0)</f>
        <v>0</v>
      </c>
      <c r="H154" s="665">
        <f>+IFERROR(H$5*GETPIVOTDATA("Unique Billed Hours",'County allocation'!$S$3,"County",$D142,"HHA/CDPAP","HHA","Level of Service",$D154),0)</f>
        <v>0</v>
      </c>
      <c r="I154" s="664">
        <f t="shared" ca="1" si="61"/>
        <v>0</v>
      </c>
      <c r="J154" s="901"/>
      <c r="K154" s="665">
        <f ca="1">+IFERROR(K$5*GETPIVOTDATA("Unique Billed Hours",'County allocation'!$X$3,"County",$D142,"HHA/CDPAP","HHA","Level of Service",$D154),0)</f>
        <v>0</v>
      </c>
      <c r="L154" s="665">
        <f ca="1">+IFERROR(L$5*GETPIVOTDATA("Unique Billed Hours",'County allocation'!$K$19,"County",$D142,"HHA/CDPAP","HHA","Level of Service",$D154),0)</f>
        <v>0</v>
      </c>
      <c r="M154" s="665">
        <f>+IFERROR(M$5*GETPIVOTDATA("Unique Billed Hours",'County allocation'!$S$3,"County",$D142,"HHA/CDPAP","HHA","Level of Service",$D154),0)</f>
        <v>0</v>
      </c>
      <c r="N154" s="665">
        <f>+IFERROR(N$5*GETPIVOTDATA("Unique Billed Hours",'County allocation'!$S$3,"County",$D142,"HHA/CDPAP","HHA","Level of Service",$D154),0)</f>
        <v>0</v>
      </c>
      <c r="O154" s="665">
        <f>+IFERROR(O$5*GETPIVOTDATA("Unique Billed Hours",'County allocation'!$S$3,"County",$D142,"HHA/CDPAP","HHA","Level of Service",$D154),0)</f>
        <v>0</v>
      </c>
      <c r="P154" s="665">
        <f>+IFERROR(P$5*GETPIVOTDATA("Unique Billed Hours",'County allocation'!$S$3,"County",$D142,"HHA/CDPAP","HHA","Level of Service",$D154),0)</f>
        <v>0</v>
      </c>
    </row>
    <row r="155" spans="1:18" s="54" customFormat="1" ht="15.75" hidden="1" thickBot="1" x14ac:dyDescent="0.3">
      <c r="A155" s="119"/>
      <c r="B155" s="309"/>
      <c r="C155" s="322">
        <f t="shared" ca="1" si="59"/>
        <v>0</v>
      </c>
      <c r="D155" s="8" t="s">
        <v>391</v>
      </c>
      <c r="E155" s="370" t="s">
        <v>77</v>
      </c>
      <c r="F155" s="657">
        <f t="shared" ca="1" si="60"/>
        <v>0</v>
      </c>
      <c r="G155" s="656"/>
      <c r="H155" s="658">
        <f>+IFERROR(H$5*GETPIVOTDATA("Unique Billed Hours",'County allocation'!$S$3,"County",$D142,"HHA/CDPAP","HHA","Level of Service",$D155),0)</f>
        <v>0</v>
      </c>
      <c r="I155" s="664">
        <f t="shared" ca="1" si="61"/>
        <v>0</v>
      </c>
      <c r="J155" s="901"/>
      <c r="K155" s="665">
        <f ca="1">+IFERROR(K$5*GETPIVOTDATA("Unique Billed Hours",'County allocation'!$X$3,"County",$D142,"HHA/CDPAP","HHA","Level of Service",$D155),0)</f>
        <v>0</v>
      </c>
      <c r="L155" s="665">
        <f ca="1">+IFERROR(L$5*GETPIVOTDATA("Unique Billed Hours",'County allocation'!$K$19,"County",$D142,"HHA/CDPAP","HHA","Level of Service",$D155),0)</f>
        <v>0</v>
      </c>
      <c r="M155" s="665">
        <f>+IFERROR(M$5*GETPIVOTDATA("Unique Billed Hours",'County allocation'!$S$3,"County",$D142,"HHA/CDPAP","HHA","Level of Service",$D155),0)</f>
        <v>0</v>
      </c>
      <c r="N155" s="665">
        <f>+IFERROR(N$5*GETPIVOTDATA("Unique Billed Hours",'County allocation'!$S$3,"County",$D142,"HHA/CDPAP","HHA","Level of Service",$D155),0)</f>
        <v>0</v>
      </c>
      <c r="O155" s="665">
        <f>+IFERROR(O$5*GETPIVOTDATA("Unique Billed Hours",'County allocation'!$S$3,"County",$D142,"HHA/CDPAP","HHA","Level of Service",$D155),0)</f>
        <v>0</v>
      </c>
      <c r="P155" s="665">
        <f>+IFERROR(P$5*GETPIVOTDATA("Unique Billed Hours",'County allocation'!$S$3,"County",$D142,"HHA/CDPAP","HHA","Level of Service",$D155),0)</f>
        <v>0</v>
      </c>
    </row>
    <row r="156" spans="1:18" s="54" customFormat="1" ht="15.75" hidden="1" thickBot="1" x14ac:dyDescent="0.3">
      <c r="A156" s="119"/>
      <c r="B156" s="309"/>
      <c r="C156" s="322">
        <f t="shared" ca="1" si="59"/>
        <v>0</v>
      </c>
      <c r="D156" s="8" t="s">
        <v>374</v>
      </c>
      <c r="E156" s="370" t="s">
        <v>78</v>
      </c>
      <c r="F156" s="657">
        <f t="shared" ca="1" si="60"/>
        <v>0</v>
      </c>
      <c r="G156" s="658">
        <f ca="1">+IFERROR(G$5*GETPIVOTDATA("Unique Billed Hours",'County allocation'!$A$3,"County",$D142,"HHA/CDPAP","HHA","Level of Service",$D156),0)++IFERROR(J$5*GETPIVOTDATA("Unique Billed Hours",'County allocation'!$AC$3,"County",$D142,"HHA/CDPAP","HHA","Level of Service",$D156),0)</f>
        <v>0</v>
      </c>
      <c r="H156" s="658">
        <f>+IFERROR(H$5*GETPIVOTDATA("Unique Billed Hours",'County allocation'!$S$3,"County",$D142,"HHA/CDPAP","HHA","Level of Service",$D156),0)</f>
        <v>0</v>
      </c>
      <c r="I156" s="664">
        <f t="shared" ca="1" si="61"/>
        <v>0</v>
      </c>
      <c r="J156" s="901"/>
      <c r="K156" s="665">
        <f ca="1">+IFERROR(K$5*GETPIVOTDATA("Unique Billed Hours",'County allocation'!$X$3,"County",$D142,"HHA/CDPAP","HHA","Level of Service",$D156),0)</f>
        <v>0</v>
      </c>
      <c r="L156" s="665">
        <f ca="1">+IFERROR(L$5*GETPIVOTDATA("Unique Billed Hours",'County allocation'!$K$19,"County",$D142,"HHA/CDPAP","HHA","Level of Service",$D156),0)</f>
        <v>0</v>
      </c>
      <c r="M156" s="665">
        <f>+IFERROR(M$5*GETPIVOTDATA("Unique Billed Hours",'County allocation'!$S$3,"County",$D142,"HHA/CDPAP","HHA","Level of Service",$D156),0)</f>
        <v>0</v>
      </c>
      <c r="N156" s="665">
        <f>+IFERROR(N$5*GETPIVOTDATA("Unique Billed Hours",'County allocation'!$S$3,"County",$D142,"HHA/CDPAP","HHA","Level of Service",$D156),0)</f>
        <v>0</v>
      </c>
      <c r="O156" s="665">
        <f>+IFERROR(O$5*GETPIVOTDATA("Unique Billed Hours",'County allocation'!$S$3,"County",$D142,"HHA/CDPAP","HHA","Level of Service",$D156),0)</f>
        <v>0</v>
      </c>
      <c r="P156" s="665">
        <f>+IFERROR(P$5*GETPIVOTDATA("Unique Billed Hours",'County allocation'!$S$3,"County",$D142,"HHA/CDPAP","HHA","Level of Service",$D156),0)</f>
        <v>0</v>
      </c>
    </row>
    <row r="157" spans="1:18" s="54" customFormat="1" ht="15.75" hidden="1" thickBot="1" x14ac:dyDescent="0.3">
      <c r="A157" s="302"/>
      <c r="B157" s="309"/>
      <c r="C157" s="322">
        <f ca="1">C156</f>
        <v>0</v>
      </c>
      <c r="D157" s="52" t="s">
        <v>48</v>
      </c>
      <c r="E157" s="53" t="s">
        <v>79</v>
      </c>
      <c r="F157" s="657">
        <f t="shared" ca="1" si="60"/>
        <v>0</v>
      </c>
      <c r="G157" s="661">
        <f t="shared" ref="G157" ca="1" si="63">SUM(G153:G156)</f>
        <v>0</v>
      </c>
      <c r="H157" s="661">
        <f t="shared" ref="H157:P157" si="64">SUM(H153:H156)</f>
        <v>0</v>
      </c>
      <c r="I157" s="661">
        <f t="shared" ca="1" si="64"/>
        <v>0</v>
      </c>
      <c r="J157" s="661">
        <f t="shared" ca="1" si="64"/>
        <v>0</v>
      </c>
      <c r="K157" s="661">
        <f t="shared" ca="1" si="64"/>
        <v>0</v>
      </c>
      <c r="L157" s="661">
        <f t="shared" ca="1" si="64"/>
        <v>0</v>
      </c>
      <c r="M157" s="661">
        <f t="shared" si="64"/>
        <v>0</v>
      </c>
      <c r="N157" s="661">
        <f t="shared" si="64"/>
        <v>0</v>
      </c>
      <c r="O157" s="661">
        <f t="shared" si="64"/>
        <v>0</v>
      </c>
      <c r="P157" s="661">
        <f t="shared" si="64"/>
        <v>0</v>
      </c>
    </row>
    <row r="158" spans="1:18" s="54" customFormat="1" ht="15.75" hidden="1" thickBot="1" x14ac:dyDescent="0.3">
      <c r="A158" s="119"/>
      <c r="B158" s="309"/>
      <c r="C158" s="322"/>
      <c r="E158" s="55"/>
      <c r="F158" s="666"/>
      <c r="G158" s="666"/>
      <c r="H158" s="666"/>
      <c r="I158" s="666"/>
      <c r="J158" s="666"/>
      <c r="K158" s="666"/>
      <c r="L158" s="666"/>
      <c r="M158" s="666"/>
      <c r="N158" s="666"/>
      <c r="O158" s="666"/>
      <c r="P158" s="666"/>
    </row>
    <row r="159" spans="1:18" s="54" customFormat="1" ht="75.75" hidden="1" thickBot="1" x14ac:dyDescent="0.3">
      <c r="A159" s="119"/>
      <c r="B159" s="309"/>
      <c r="C159" s="322">
        <f ca="1">IF(F174&gt;0,1,0)</f>
        <v>0</v>
      </c>
      <c r="D159" s="45" t="str">
        <f>A12</f>
        <v>Chenango</v>
      </c>
      <c r="E159" s="28">
        <f>+SUMIF(A:A,D159,B:B)</f>
        <v>0</v>
      </c>
      <c r="F159" s="652" t="s">
        <v>61</v>
      </c>
      <c r="G159" s="652" t="s">
        <v>387</v>
      </c>
      <c r="H159" s="652" t="s">
        <v>388</v>
      </c>
      <c r="I159" s="652" t="s">
        <v>392</v>
      </c>
      <c r="J159" s="652" t="s">
        <v>31</v>
      </c>
      <c r="K159" s="652" t="s">
        <v>32</v>
      </c>
      <c r="L159" s="653" t="s">
        <v>33</v>
      </c>
      <c r="M159" s="653" t="s">
        <v>60</v>
      </c>
      <c r="N159" s="653" t="s">
        <v>59</v>
      </c>
      <c r="O159" s="653" t="s">
        <v>58</v>
      </c>
      <c r="P159" s="653" t="s">
        <v>16</v>
      </c>
    </row>
    <row r="160" spans="1:18" s="54" customFormat="1" ht="15.75" hidden="1" thickBot="1" x14ac:dyDescent="0.3">
      <c r="A160" s="119"/>
      <c r="B160" s="309"/>
      <c r="C160" s="322">
        <f ca="1">C159</f>
        <v>0</v>
      </c>
      <c r="D160" s="56"/>
      <c r="E160" s="57"/>
      <c r="F160" s="654" t="s">
        <v>57</v>
      </c>
      <c r="G160" s="654" t="s">
        <v>56</v>
      </c>
      <c r="H160" s="654" t="s">
        <v>55</v>
      </c>
      <c r="I160" s="654" t="s">
        <v>54</v>
      </c>
      <c r="J160" s="654" t="s">
        <v>53</v>
      </c>
      <c r="K160" s="654" t="s">
        <v>52</v>
      </c>
      <c r="L160" s="654" t="s">
        <v>51</v>
      </c>
      <c r="M160" s="654" t="s">
        <v>50</v>
      </c>
      <c r="N160" s="654" t="s">
        <v>49</v>
      </c>
      <c r="O160" s="654" t="s">
        <v>47</v>
      </c>
      <c r="P160" s="655" t="s">
        <v>77</v>
      </c>
    </row>
    <row r="161" spans="1:18" s="54" customFormat="1" ht="15.75" hidden="1" thickBot="1" x14ac:dyDescent="0.3">
      <c r="A161" s="119"/>
      <c r="B161" s="309"/>
      <c r="C161" s="322">
        <f t="shared" ref="C161:C173" ca="1" si="65">C160</f>
        <v>0</v>
      </c>
      <c r="D161" s="59" t="s">
        <v>26</v>
      </c>
      <c r="E161" s="57"/>
      <c r="F161" s="656"/>
      <c r="G161" s="656"/>
      <c r="H161" s="656"/>
      <c r="I161" s="656"/>
      <c r="J161" s="656"/>
      <c r="K161" s="656"/>
      <c r="L161" s="656"/>
      <c r="M161" s="656"/>
      <c r="N161" s="656"/>
      <c r="O161" s="656"/>
      <c r="P161" s="663"/>
    </row>
    <row r="162" spans="1:18" s="54" customFormat="1" ht="15.75" hidden="1" thickBot="1" x14ac:dyDescent="0.3">
      <c r="A162" s="119"/>
      <c r="B162" s="309"/>
      <c r="C162" s="322">
        <f t="shared" ca="1" si="65"/>
        <v>0</v>
      </c>
      <c r="D162" s="7" t="s">
        <v>34</v>
      </c>
      <c r="E162" s="48" t="s">
        <v>57</v>
      </c>
      <c r="F162" s="657">
        <f ca="1">+H162+G162+I162</f>
        <v>0</v>
      </c>
      <c r="G162" s="658">
        <f ca="1">+IFERROR(G$5*GETPIVOTDATA("Unique Billed Hours",'County allocation'!$A$3,"County",$D159,"HHA/CDPAP","HHA","Level of Service",$D162),0)</f>
        <v>0</v>
      </c>
      <c r="H162" s="658">
        <f>+IFERROR(H$5*GETPIVOTDATA("Unique Billed Hours",'County allocation'!$S$3,"County",$D159,"HHA/CDPAP","HHA","Level of Service",$D162),0)</f>
        <v>0</v>
      </c>
      <c r="I162" s="664">
        <f ca="1">SUM(J162:P162)</f>
        <v>0</v>
      </c>
      <c r="J162" s="658">
        <f ca="1">+IFERROR(J$5*GETPIVOTDATA("Unique Billed Hours",'County allocation'!$S$3,"County",$D159,"HHA/CDPAP","HHA","Level of Service",$D162),0)</f>
        <v>0</v>
      </c>
      <c r="K162" s="658">
        <f ca="1">+IFERROR(K$5*GETPIVOTDATA("Unique Billed Hours",'County allocation'!$X$3,"County",$D159,"HHA/CDPAP","HHA","Level of Service",$D162),0)</f>
        <v>0</v>
      </c>
      <c r="L162" s="658">
        <f ca="1">+IFERROR(L$2*GETPIVOTDATA("Unique Billed Hours",'County allocation'!$O$3,"County",$D159,"HHA/CDPAP","HHA","Level of Service",$D162),0)</f>
        <v>0</v>
      </c>
      <c r="M162" s="658">
        <f>+IFERROR(M$5*GETPIVOTDATA("Unique Billed Hours",'County allocation'!$S$3,"County",$D159,"HHA/CDPAP","HHA","Level of Service",$D162),0)</f>
        <v>0</v>
      </c>
      <c r="N162" s="658">
        <f>+IFERROR(N$5*GETPIVOTDATA("Unique Billed Hours",'County allocation'!$S$3,"County",$D159,"HHA/CDPAP","HHA","Level of Service",$D162),0)</f>
        <v>0</v>
      </c>
      <c r="O162" s="658">
        <f>+IFERROR(O$5*GETPIVOTDATA("Unique Billed Hours",'County allocation'!$K$19,"County",$D159,"HHA/CDPAP","HHA","Level of Service",$D162),0)</f>
        <v>0</v>
      </c>
      <c r="P162" s="658">
        <f>+IFERROR(P$5*GETPIVOTDATA("Unique Billed Hours",'County allocation'!$S$3,"County",$D159,"HHA/CDPAP","HHA","Level of Service",$D162),0)</f>
        <v>0</v>
      </c>
    </row>
    <row r="163" spans="1:18" s="54" customFormat="1" ht="15.75" hidden="1" thickBot="1" x14ac:dyDescent="0.3">
      <c r="A163" s="119"/>
      <c r="B163" s="309"/>
      <c r="C163" s="322">
        <f t="shared" ca="1" si="65"/>
        <v>0</v>
      </c>
      <c r="D163" s="7" t="s">
        <v>35</v>
      </c>
      <c r="E163" s="48" t="s">
        <v>56</v>
      </c>
      <c r="F163" s="657">
        <f t="shared" ref="F163:F174" ca="1" si="66">+H163+G163+I163</f>
        <v>0</v>
      </c>
      <c r="G163" s="658">
        <f ca="1">+IFERROR(G$5*GETPIVOTDATA("Unique Billed Hours",'County allocation'!$A$3,"County",$D159,"HHA/CDPAP","HHA","Level of Service",$D163),0)</f>
        <v>0</v>
      </c>
      <c r="H163" s="658">
        <f>+IFERROR(H$5*GETPIVOTDATA("Unique Billed Hours",'County allocation'!$S$3,"County",$D159,"HHA/CDPAP","HHA","Level of Service",$D163),0)</f>
        <v>0</v>
      </c>
      <c r="I163" s="664">
        <f t="shared" ref="I163:I173" ca="1" si="67">SUM(J163:P163)</f>
        <v>0</v>
      </c>
      <c r="J163" s="658">
        <f ca="1">+IFERROR(J$5*GETPIVOTDATA("Unique Billed Hours",'County allocation'!$S$3,"County",$D159,"HHA/CDPAP","HHA","Level of Service",$D163),0)</f>
        <v>0</v>
      </c>
      <c r="K163" s="658">
        <f ca="1">+IFERROR(K$5*GETPIVOTDATA("Unique Billed Hours",'County allocation'!$X$3,"County",$D159,"HHA/CDPAP","HHA","Level of Service",$D163),0)</f>
        <v>0</v>
      </c>
      <c r="L163" s="658">
        <f ca="1">+IFERROR(L$2*GETPIVOTDATA("Unique Billed Hours",'County allocation'!$O$3,"County",$D159,"HHA/CDPAP","HHA","Level of Service",$D163),0)</f>
        <v>0</v>
      </c>
      <c r="M163" s="658">
        <f>+IFERROR(M$5*GETPIVOTDATA("Unique Billed Hours",'County allocation'!$S$3,"County",$D159,"HHA/CDPAP","HHA","Level of Service",$D163),0)</f>
        <v>0</v>
      </c>
      <c r="N163" s="658">
        <f>+IFERROR(N$5*GETPIVOTDATA("Unique Billed Hours",'County allocation'!$S$3,"County",$D159,"HHA/CDPAP","HHA","Level of Service",$D163),0)</f>
        <v>0</v>
      </c>
      <c r="O163" s="658">
        <f>+IFERROR(O$5*GETPIVOTDATA("Unique Billed Hours",'County allocation'!$K$19,"County",$D159,"HHA/CDPAP","HHA","Level of Service",$D163),0)</f>
        <v>0</v>
      </c>
      <c r="P163" s="658">
        <f>+IFERROR(P$5*GETPIVOTDATA("Unique Billed Hours",'County allocation'!$S$3,"County",$D159,"HHA/CDPAP","HHA","Level of Service",$D163),0)</f>
        <v>0</v>
      </c>
      <c r="R163" s="61"/>
    </row>
    <row r="164" spans="1:18" s="54" customFormat="1" ht="15.75" hidden="1" thickBot="1" x14ac:dyDescent="0.3">
      <c r="A164" s="302"/>
      <c r="B164" s="309"/>
      <c r="C164" s="322">
        <f t="shared" ca="1" si="65"/>
        <v>0</v>
      </c>
      <c r="D164" s="7" t="s">
        <v>36</v>
      </c>
      <c r="E164" s="48" t="s">
        <v>55</v>
      </c>
      <c r="F164" s="657">
        <f t="shared" ca="1" si="66"/>
        <v>0</v>
      </c>
      <c r="G164" s="658">
        <f ca="1">+IFERROR(G$5*GETPIVOTDATA("Unique Billed Hours",'County allocation'!$A$3,"County",$D159,"HHA/CDPAP","HHA","Level of Service",$D164),0)</f>
        <v>0</v>
      </c>
      <c r="H164" s="658">
        <f>+IFERROR(H$5*GETPIVOTDATA("Unique Billed Hours",'County allocation'!$S$3,"County",$D159,"HHA/CDPAP","HHA","Level of Service",$D164),0)</f>
        <v>0</v>
      </c>
      <c r="I164" s="664">
        <f t="shared" ca="1" si="67"/>
        <v>0</v>
      </c>
      <c r="J164" s="658">
        <f ca="1">+IFERROR(J$5*GETPIVOTDATA("Unique Billed Hours",'County allocation'!$S$3,"County",$D159,"HHA/CDPAP","HHA","Level of Service",$D164),0)</f>
        <v>0</v>
      </c>
      <c r="K164" s="658">
        <f ca="1">+IFERROR(K$5*GETPIVOTDATA("Unique Billed Hours",'County allocation'!$X$3,"County",$D159,"HHA/CDPAP","HHA","Level of Service",$D164),0)</f>
        <v>0</v>
      </c>
      <c r="L164" s="658">
        <f ca="1">+IFERROR(L$2*GETPIVOTDATA("Unique Billed Hours",'County allocation'!$O$3,"County",$D159,"HHA/CDPAP","HHA","Level of Service",$D164),0)</f>
        <v>0</v>
      </c>
      <c r="M164" s="658">
        <f>+IFERROR(M$5*GETPIVOTDATA("Unique Billed Hours",'County allocation'!$S$3,"County",$D159,"HHA/CDPAP","HHA","Level of Service",$D164),0)</f>
        <v>0</v>
      </c>
      <c r="N164" s="658">
        <f>+IFERROR(N$5*GETPIVOTDATA("Unique Billed Hours",'County allocation'!$S$3,"County",$D159,"HHA/CDPAP","HHA","Level of Service",$D164),0)</f>
        <v>0</v>
      </c>
      <c r="O164" s="658">
        <f>+IFERROR(O$5*GETPIVOTDATA("Unique Billed Hours",'County allocation'!$K$19,"County",$D159,"HHA/CDPAP","HHA","Level of Service",$D164),0)</f>
        <v>0</v>
      </c>
      <c r="P164" s="658">
        <f>+IFERROR(P$5*GETPIVOTDATA("Unique Billed Hours",'County allocation'!$S$3,"County",$D159,"HHA/CDPAP","HHA","Level of Service",$D164),0)</f>
        <v>0</v>
      </c>
    </row>
    <row r="165" spans="1:18" s="54" customFormat="1" ht="15.75" hidden="1" thickBot="1" x14ac:dyDescent="0.3">
      <c r="A165" s="119"/>
      <c r="B165" s="309"/>
      <c r="C165" s="322">
        <f t="shared" ca="1" si="65"/>
        <v>0</v>
      </c>
      <c r="D165" s="7" t="s">
        <v>37</v>
      </c>
      <c r="E165" s="48" t="s">
        <v>54</v>
      </c>
      <c r="F165" s="657">
        <f t="shared" ca="1" si="66"/>
        <v>0</v>
      </c>
      <c r="G165" s="658">
        <f ca="1">+IFERROR(G$5*GETPIVOTDATA("Unique Billed Hours",'County allocation'!$A$3,"County",$D159,"HHA/CDPAP","HHA","Level of Service",$D165),0)</f>
        <v>0</v>
      </c>
      <c r="H165" s="658">
        <f>+IFERROR(H$5*GETPIVOTDATA("Unique Billed Hours",'County allocation'!$S$3,"County",$D159,"HHA/CDPAP","HHA","Level of Service",$D165),0)</f>
        <v>0</v>
      </c>
      <c r="I165" s="664">
        <f t="shared" ca="1" si="67"/>
        <v>0</v>
      </c>
      <c r="J165" s="658">
        <f ca="1">+IFERROR(J$5*GETPIVOTDATA("Unique Billed Hours",'County allocation'!$S$3,"County",$D159,"HHA/CDPAP","HHA","Level of Service",$D165),0)</f>
        <v>0</v>
      </c>
      <c r="K165" s="658">
        <f ca="1">+IFERROR(K$5*GETPIVOTDATA("Unique Billed Hours",'County allocation'!$X$3,"County",$D159,"HHA/CDPAP","HHA","Level of Service",$D165),0)</f>
        <v>0</v>
      </c>
      <c r="L165" s="658">
        <f ca="1">+IFERROR(L$2*GETPIVOTDATA("Unique Billed Hours",'County allocation'!$O$3,"County",$D159,"HHA/CDPAP","HHA","Level of Service",$D165),0)</f>
        <v>0</v>
      </c>
      <c r="M165" s="658">
        <f>+IFERROR(M$5*GETPIVOTDATA("Unique Billed Hours",'County allocation'!$S$3,"County",$D159,"HHA/CDPAP","HHA","Level of Service",$D165),0)</f>
        <v>0</v>
      </c>
      <c r="N165" s="658">
        <f>+IFERROR(N$5*GETPIVOTDATA("Unique Billed Hours",'County allocation'!$S$3,"County",$D159,"HHA/CDPAP","HHA","Level of Service",$D165),0)</f>
        <v>0</v>
      </c>
      <c r="O165" s="658">
        <f>+IFERROR(O$5*GETPIVOTDATA("Unique Billed Hours",'County allocation'!$K$19,"County",$D159,"HHA/CDPAP","HHA","Level of Service",$D165),0)</f>
        <v>0</v>
      </c>
      <c r="P165" s="658">
        <f>+IFERROR(P$5*GETPIVOTDATA("Unique Billed Hours",'County allocation'!$S$3,"County",$D159,"HHA/CDPAP","HHA","Level of Service",$D165),0)</f>
        <v>0</v>
      </c>
    </row>
    <row r="166" spans="1:18" s="54" customFormat="1" ht="15.75" hidden="1" thickBot="1" x14ac:dyDescent="0.3">
      <c r="A166" s="119"/>
      <c r="B166" s="309"/>
      <c r="C166" s="322">
        <f t="shared" ca="1" si="65"/>
        <v>0</v>
      </c>
      <c r="D166" s="7" t="s">
        <v>38</v>
      </c>
      <c r="E166" s="48" t="s">
        <v>53</v>
      </c>
      <c r="F166" s="657">
        <f t="shared" ca="1" si="66"/>
        <v>0</v>
      </c>
      <c r="G166" s="658">
        <f ca="1">+IFERROR(G$5*GETPIVOTDATA("Unique Billed Hours",'County allocation'!$A$3,"County",$D159,"HHA/CDPAP","HHA","Level of Service",$D166),0)</f>
        <v>0</v>
      </c>
      <c r="H166" s="658">
        <f>+IFERROR(H$5*GETPIVOTDATA("Unique Billed Hours",'County allocation'!$S$3,"County",$D159,"HHA/CDPAP","HHA","Level of Service",$D166),0)</f>
        <v>0</v>
      </c>
      <c r="I166" s="664">
        <f t="shared" ca="1" si="67"/>
        <v>0</v>
      </c>
      <c r="J166" s="658">
        <f ca="1">+IFERROR(J$5*GETPIVOTDATA("Unique Billed Hours",'County allocation'!$S$3,"County",$D159,"HHA/CDPAP","HHA","Level of Service",$D166),0)</f>
        <v>0</v>
      </c>
      <c r="K166" s="658">
        <f ca="1">+IFERROR(K$5*GETPIVOTDATA("Unique Billed Hours",'County allocation'!$X$3,"County",$D159,"HHA/CDPAP","HHA","Level of Service",$D166),0)</f>
        <v>0</v>
      </c>
      <c r="L166" s="658">
        <f ca="1">+IFERROR(L$5*GETPIVOTDATA("Unique Billed Hours",'County allocation'!$K$19,"County",$D159,"HHA/CDPAP","HHA","Level of Service",$D166),0)</f>
        <v>0</v>
      </c>
      <c r="M166" s="658">
        <f>+IFERROR(M$5*GETPIVOTDATA("Unique Billed Hours",'County allocation'!$S$3,"County",$D159,"HHA/CDPAP","HHA","Level of Service",$D166),0)</f>
        <v>0</v>
      </c>
      <c r="N166" s="658">
        <f>+IFERROR(N$5*GETPIVOTDATA("Unique Billed Hours",'County allocation'!$S$3,"County",$D159,"HHA/CDPAP","HHA","Level of Service",$D166),0)</f>
        <v>0</v>
      </c>
      <c r="O166" s="658">
        <f>+IFERROR(O$5*GETPIVOTDATA("Unique Billed Hours",'County allocation'!$K$19,"County",$D159,"HHA/CDPAP","HHA","Level of Service",$D166),0)</f>
        <v>0</v>
      </c>
      <c r="P166" s="658">
        <f>+IFERROR(P$5*GETPIVOTDATA("Unique Billed Hours",'County allocation'!$S$3,"County",$D159,"HHA/CDPAP","HHA","Level of Service",$D166),0)</f>
        <v>0</v>
      </c>
    </row>
    <row r="167" spans="1:18" s="54" customFormat="1" ht="15.75" hidden="1" thickBot="1" x14ac:dyDescent="0.3">
      <c r="A167" s="119"/>
      <c r="B167" s="309"/>
      <c r="C167" s="322">
        <f t="shared" ca="1" si="65"/>
        <v>0</v>
      </c>
      <c r="D167" s="7" t="s">
        <v>39</v>
      </c>
      <c r="E167" s="48" t="s">
        <v>52</v>
      </c>
      <c r="F167" s="657">
        <f t="shared" ca="1" si="66"/>
        <v>0</v>
      </c>
      <c r="G167" s="658">
        <f ca="1">+IFERROR(G$5*GETPIVOTDATA("Unique Billed Hours",'County allocation'!$A$3,"County",$D159,"HHA/CDPAP","HHA","Level of Service",$D167),0)</f>
        <v>0</v>
      </c>
      <c r="H167" s="658">
        <f>+IFERROR(H$5*GETPIVOTDATA("Unique Billed Hours",'County allocation'!$S$3,"County",$D159,"HHA/CDPAP","HHA","Level of Service",$D167),0)</f>
        <v>0</v>
      </c>
      <c r="I167" s="664">
        <f t="shared" ca="1" si="67"/>
        <v>0</v>
      </c>
      <c r="J167" s="658">
        <f ca="1">+IFERROR(J$5*GETPIVOTDATA("Unique Billed Hours",'County allocation'!$S$3,"County",$D159,"HHA/CDPAP","HHA","Level of Service",$D167),0)</f>
        <v>0</v>
      </c>
      <c r="K167" s="658">
        <f ca="1">+IFERROR(K$5*GETPIVOTDATA("Unique Billed Hours",'County allocation'!$X$3,"County",$D159,"HHA/CDPAP","HHA","Level of Service",$D167),0)</f>
        <v>0</v>
      </c>
      <c r="L167" s="658">
        <f ca="1">+IFERROR(L$5*GETPIVOTDATA("Unique Billed Hours",'County allocation'!$K$19,"County",$D159,"HHA/CDPAP","HHA","Level of Service",$D167),0)</f>
        <v>0</v>
      </c>
      <c r="M167" s="658">
        <f>+IFERROR(M$5*GETPIVOTDATA("Unique Billed Hours",'County allocation'!$S$3,"County",$D159,"HHA/CDPAP","HHA","Level of Service",$D167),0)</f>
        <v>0</v>
      </c>
      <c r="N167" s="658">
        <f>+IFERROR(N$5*GETPIVOTDATA("Unique Billed Hours",'County allocation'!$S$3,"County",$D159,"HHA/CDPAP","HHA","Level of Service",$D167),0)</f>
        <v>0</v>
      </c>
      <c r="O167" s="658">
        <f>+IFERROR(O$5*GETPIVOTDATA("Unique Billed Hours",'County allocation'!$K$19,"County",$D159,"HHA/CDPAP","HHA","Level of Service",$D167),0)</f>
        <v>0</v>
      </c>
      <c r="P167" s="658">
        <f>+IFERROR(P$5*GETPIVOTDATA("Unique Billed Hours",'County allocation'!$S$3,"County",$D159,"HHA/CDPAP","HHA","Level of Service",$D167),0)</f>
        <v>0</v>
      </c>
    </row>
    <row r="168" spans="1:18" s="54" customFormat="1" ht="15.75" hidden="1" thickBot="1" x14ac:dyDescent="0.3">
      <c r="A168" s="119"/>
      <c r="B168" s="309"/>
      <c r="C168" s="322">
        <f t="shared" ca="1" si="65"/>
        <v>0</v>
      </c>
      <c r="D168" s="8" t="s">
        <v>40</v>
      </c>
      <c r="E168" s="48" t="s">
        <v>51</v>
      </c>
      <c r="F168" s="657">
        <f t="shared" ca="1" si="66"/>
        <v>0</v>
      </c>
      <c r="G168" s="658">
        <f ca="1">+IFERROR(G$5*GETPIVOTDATA("Unique Billed Hours",'County allocation'!$A$3,"County",$D159,"HHA/CDPAP","HHA","Level of Service",$D168),0)</f>
        <v>0</v>
      </c>
      <c r="H168" s="658">
        <f>+IFERROR(H$5*GETPIVOTDATA("Unique Billed Hours",'County allocation'!$S$3,"County",$D159,"HHA/CDPAP","HHA","Level of Service",$D168),0)</f>
        <v>0</v>
      </c>
      <c r="I168" s="664">
        <f t="shared" ca="1" si="67"/>
        <v>0</v>
      </c>
      <c r="J168" s="658">
        <f ca="1">+IFERROR(J$5*GETPIVOTDATA("Unique Billed Hours",'County allocation'!$S$3,"County",$D159,"HHA/CDPAP","HHA","Level of Service",$D168),0)</f>
        <v>0</v>
      </c>
      <c r="K168" s="658">
        <f ca="1">+IFERROR(K$5*GETPIVOTDATA("Unique Billed Hours",'County allocation'!$X$3,"County",$D159,"HHA/CDPAP","HHA","Level of Service",$D168),0)</f>
        <v>0</v>
      </c>
      <c r="L168" s="658">
        <f ca="1">+IFERROR(L$2*GETPIVOTDATA("Unique Billed Hours",'County allocation'!$O$3,"County",$D159,"HHA/CDPAP","HHA","Level of Service",$D168),0)</f>
        <v>0</v>
      </c>
      <c r="M168" s="658">
        <f>+IFERROR(M$5*GETPIVOTDATA("Unique Billed Hours",'County allocation'!$S$3,"County",$D159,"HHA/CDPAP","HHA","Level of Service",$D168),0)</f>
        <v>0</v>
      </c>
      <c r="N168" s="658">
        <f>+IFERROR(N$5*GETPIVOTDATA("Unique Billed Hours",'County allocation'!$S$3,"County",$D159,"HHA/CDPAP","HHA","Level of Service",$D168),0)</f>
        <v>0</v>
      </c>
      <c r="O168" s="658">
        <f>+IFERROR(O$5*GETPIVOTDATA("Unique Billed Hours",'County allocation'!$K$19,"County",$D159,"HHA/CDPAP","HHA","Level of Service",$D168),0)</f>
        <v>0</v>
      </c>
      <c r="P168" s="658">
        <f>+IFERROR(P$5*GETPIVOTDATA("Unique Billed Hours",'County allocation'!$S$3,"County",$D159,"HHA/CDPAP","HHA","Level of Service",$D168),0)</f>
        <v>0</v>
      </c>
    </row>
    <row r="169" spans="1:18" s="54" customFormat="1" ht="15.75" hidden="1" thickBot="1" x14ac:dyDescent="0.3">
      <c r="A169" s="119"/>
      <c r="B169" s="309"/>
      <c r="C169" s="322">
        <f t="shared" ca="1" si="65"/>
        <v>0</v>
      </c>
      <c r="D169" s="8" t="s">
        <v>41</v>
      </c>
      <c r="E169" s="48" t="s">
        <v>50</v>
      </c>
      <c r="F169" s="657">
        <f t="shared" ca="1" si="66"/>
        <v>0</v>
      </c>
      <c r="G169" s="658">
        <f ca="1">+IFERROR(G$5*GETPIVOTDATA("Unique Billed Hours",'County allocation'!$A$3,"County",$D159,"HHA/CDPAP","HHA","Level of Service",$D169),0)</f>
        <v>0</v>
      </c>
      <c r="H169" s="658">
        <f>+IFERROR(H$5*GETPIVOTDATA("Unique Billed Hours",'County allocation'!$S$3,"County",$D159,"HHA/CDPAP","HHA","Level of Service",$D169),0)</f>
        <v>0</v>
      </c>
      <c r="I169" s="664">
        <f t="shared" ca="1" si="67"/>
        <v>0</v>
      </c>
      <c r="J169" s="658">
        <f ca="1">+IFERROR(J$5*GETPIVOTDATA("Unique Billed Hours",'County allocation'!$S$3,"County",$D159,"HHA/CDPAP","HHA","Level of Service",$D169),0)</f>
        <v>0</v>
      </c>
      <c r="K169" s="658">
        <f ca="1">+IFERROR(K$5*GETPIVOTDATA("Unique Billed Hours",'County allocation'!$X$3,"County",$D159,"HHA/CDPAP","HHA","Level of Service",$D169),0)</f>
        <v>0</v>
      </c>
      <c r="L169" s="658">
        <f ca="1">+IFERROR(L$2*GETPIVOTDATA("Unique Billed Hours",'County allocation'!$O$3,"County",$D159,"HHA/CDPAP","HHA","Level of Service",$D169),0)</f>
        <v>0</v>
      </c>
      <c r="M169" s="658">
        <f>+IFERROR(M$5*GETPIVOTDATA("Unique Billed Hours",'County allocation'!$S$3,"County",$D159,"HHA/CDPAP","HHA","Level of Service",$D169),0)</f>
        <v>0</v>
      </c>
      <c r="N169" s="658">
        <f>+IFERROR(N$5*GETPIVOTDATA("Unique Billed Hours",'County allocation'!$S$3,"County",$D159,"HHA/CDPAP","HHA","Level of Service",$D169),0)</f>
        <v>0</v>
      </c>
      <c r="O169" s="658">
        <f>+IFERROR(O$5*GETPIVOTDATA("Unique Billed Hours",'County allocation'!$K$19,"County",$D159,"HHA/CDPAP","HHA","Level of Service",$D169),0)</f>
        <v>0</v>
      </c>
      <c r="P169" s="658">
        <f>+IFERROR(P$5*GETPIVOTDATA("Unique Billed Hours",'County allocation'!$S$3,"County",$D159,"HHA/CDPAP","HHA","Level of Service",$D169),0)</f>
        <v>0</v>
      </c>
    </row>
    <row r="170" spans="1:18" s="54" customFormat="1" ht="15.75" hidden="1" thickBot="1" x14ac:dyDescent="0.3">
      <c r="A170" s="119"/>
      <c r="B170" s="309"/>
      <c r="C170" s="322">
        <f t="shared" ca="1" si="65"/>
        <v>0</v>
      </c>
      <c r="D170" s="52" t="s">
        <v>389</v>
      </c>
      <c r="E170" s="53" t="s">
        <v>49</v>
      </c>
      <c r="F170" s="657">
        <f t="shared" ca="1" si="66"/>
        <v>0</v>
      </c>
      <c r="G170" s="661">
        <f ca="1">SUM(G162:G169)</f>
        <v>0</v>
      </c>
      <c r="H170" s="661">
        <f>SUM(H162:H169)</f>
        <v>0</v>
      </c>
      <c r="I170" s="664">
        <f t="shared" ca="1" si="67"/>
        <v>0</v>
      </c>
      <c r="J170" s="661">
        <f ca="1">SUM(J162:J169)</f>
        <v>0</v>
      </c>
      <c r="K170" s="661">
        <f t="shared" ref="K170:P170" ca="1" si="68">SUM(K162:K169)</f>
        <v>0</v>
      </c>
      <c r="L170" s="661">
        <f t="shared" ca="1" si="68"/>
        <v>0</v>
      </c>
      <c r="M170" s="661">
        <f t="shared" si="68"/>
        <v>0</v>
      </c>
      <c r="N170" s="661">
        <f t="shared" si="68"/>
        <v>0</v>
      </c>
      <c r="O170" s="661">
        <f t="shared" si="68"/>
        <v>0</v>
      </c>
      <c r="P170" s="661">
        <f t="shared" si="68"/>
        <v>0</v>
      </c>
    </row>
    <row r="171" spans="1:18" s="54" customFormat="1" ht="15.75" hidden="1" thickBot="1" x14ac:dyDescent="0.3">
      <c r="A171" s="119"/>
      <c r="B171" s="309"/>
      <c r="C171" s="322">
        <f t="shared" ca="1" si="65"/>
        <v>0</v>
      </c>
      <c r="D171" s="371" t="s">
        <v>390</v>
      </c>
      <c r="E171" s="325" t="s">
        <v>47</v>
      </c>
      <c r="F171" s="657">
        <f t="shared" ca="1" si="66"/>
        <v>0</v>
      </c>
      <c r="G171" s="665">
        <f ca="1">+IFERROR((G$5*GETPIVOTDATA("Unique Billed Hours",'County allocation'!$A$3,"County",$D159,"HHA/CDPAP","HHA","Level of Service",$D171))+($G$2*GETPIVOTDATA("Unique Billed Hours",'County allocation'!$F$7,"County",$D159,"HHA/CDPAP","HHA","Level of Service",$D171)),0)++IFERROR(J$5*GETPIVOTDATA("Unique Billed Hours",'County allocation'!$AC$3,"County",$D159,"HHA/CDPAP","HHA","Level of Service",$D171),0)+ +IFERROR(J$5*GETPIVOTDATA("Unique Billed Hours",'County allocation'!$AC$3,"County",$D159,"HHA/CDPAP","HHA","Level of Service",$D172),0)</f>
        <v>0</v>
      </c>
      <c r="H171" s="665">
        <f>+IFERROR(H$5*GETPIVOTDATA("Unique Billed Hours",'County allocation'!$S$3,"County",$D159,"HHA/CDPAP","HHA","Level of Service",$D171),0)</f>
        <v>0</v>
      </c>
      <c r="I171" s="664">
        <f t="shared" ca="1" si="67"/>
        <v>0</v>
      </c>
      <c r="J171" s="901"/>
      <c r="K171" s="665">
        <f ca="1">+IFERROR(K$5*GETPIVOTDATA("Unique Billed Hours",'County allocation'!$X$3,"County",$D159,"HHA/CDPAP","HHA","Level of Service",$D171),0)</f>
        <v>0</v>
      </c>
      <c r="L171" s="665">
        <f ca="1">+IFERROR(L$5*GETPIVOTDATA("Unique Billed Hours",'County allocation'!$K$19,"County",$D159,"HHA/CDPAP","HHA","Level of Service",$D171),0)</f>
        <v>0</v>
      </c>
      <c r="M171" s="665">
        <f>+IFERROR(M$5*GETPIVOTDATA("Unique Billed Hours",'County allocation'!$S$3,"County",$D159,"HHA/CDPAP","HHA","Level of Service",$D171),0)</f>
        <v>0</v>
      </c>
      <c r="N171" s="665">
        <f>+IFERROR(N$5*GETPIVOTDATA("Unique Billed Hours",'County allocation'!$S$3,"County",$D159,"HHA/CDPAP","HHA","Level of Service",$D171),0)</f>
        <v>0</v>
      </c>
      <c r="O171" s="665">
        <f>+IFERROR(O$5*GETPIVOTDATA("Unique Billed Hours",'County allocation'!$S$3,"County",$D159,"HHA/CDPAP","HHA","Level of Service",$D171),0)</f>
        <v>0</v>
      </c>
      <c r="P171" s="665">
        <f>+IFERROR(P$5*GETPIVOTDATA("Unique Billed Hours",'County allocation'!$S$3,"County",$D159,"HHA/CDPAP","HHA","Level of Service",$D171),0)</f>
        <v>0</v>
      </c>
    </row>
    <row r="172" spans="1:18" s="54" customFormat="1" ht="15.75" hidden="1" thickBot="1" x14ac:dyDescent="0.3">
      <c r="A172" s="119"/>
      <c r="B172" s="309"/>
      <c r="C172" s="322">
        <f t="shared" ca="1" si="65"/>
        <v>0</v>
      </c>
      <c r="D172" s="8" t="s">
        <v>391</v>
      </c>
      <c r="E172" s="370" t="s">
        <v>77</v>
      </c>
      <c r="F172" s="657">
        <f t="shared" ca="1" si="66"/>
        <v>0</v>
      </c>
      <c r="G172" s="656"/>
      <c r="H172" s="658">
        <f>+IFERROR(H$5*GETPIVOTDATA("Unique Billed Hours",'County allocation'!$S$3,"County",$D159,"HHA/CDPAP","HHA","Level of Service",$D172),0)</f>
        <v>0</v>
      </c>
      <c r="I172" s="664">
        <f t="shared" ca="1" si="67"/>
        <v>0</v>
      </c>
      <c r="J172" s="901"/>
      <c r="K172" s="665">
        <f ca="1">+IFERROR(K$5*GETPIVOTDATA("Unique Billed Hours",'County allocation'!$X$3,"County",$D159,"HHA/CDPAP","HHA","Level of Service",$D172),0)</f>
        <v>0</v>
      </c>
      <c r="L172" s="665">
        <f ca="1">+IFERROR(L$5*GETPIVOTDATA("Unique Billed Hours",'County allocation'!$K$19,"County",$D159,"HHA/CDPAP","HHA","Level of Service",$D172),0)</f>
        <v>0</v>
      </c>
      <c r="M172" s="665">
        <f>+IFERROR(M$5*GETPIVOTDATA("Unique Billed Hours",'County allocation'!$S$3,"County",$D159,"HHA/CDPAP","HHA","Level of Service",$D172),0)</f>
        <v>0</v>
      </c>
      <c r="N172" s="665">
        <f>+IFERROR(N$5*GETPIVOTDATA("Unique Billed Hours",'County allocation'!$S$3,"County",$D159,"HHA/CDPAP","HHA","Level of Service",$D172),0)</f>
        <v>0</v>
      </c>
      <c r="O172" s="665">
        <f>+IFERROR(O$5*GETPIVOTDATA("Unique Billed Hours",'County allocation'!$S$3,"County",$D159,"HHA/CDPAP","HHA","Level of Service",$D172),0)</f>
        <v>0</v>
      </c>
      <c r="P172" s="665">
        <f>+IFERROR(P$5*GETPIVOTDATA("Unique Billed Hours",'County allocation'!$S$3,"County",$D159,"HHA/CDPAP","HHA","Level of Service",$D172),0)</f>
        <v>0</v>
      </c>
    </row>
    <row r="173" spans="1:18" s="54" customFormat="1" ht="15.75" hidden="1" thickBot="1" x14ac:dyDescent="0.3">
      <c r="A173" s="119"/>
      <c r="B173" s="309"/>
      <c r="C173" s="322">
        <f t="shared" ca="1" si="65"/>
        <v>0</v>
      </c>
      <c r="D173" s="8" t="s">
        <v>374</v>
      </c>
      <c r="E173" s="370" t="s">
        <v>78</v>
      </c>
      <c r="F173" s="657">
        <f t="shared" ca="1" si="66"/>
        <v>0</v>
      </c>
      <c r="G173" s="658">
        <f ca="1">+IFERROR(G$5*GETPIVOTDATA("Unique Billed Hours",'County allocation'!$A$3,"County",$D159,"HHA/CDPAP","HHA","Level of Service",$D173),0)++IFERROR(J$5*GETPIVOTDATA("Unique Billed Hours",'County allocation'!$AC$3,"County",$D159,"HHA/CDPAP","HHA","Level of Service",$D173),0)</f>
        <v>0</v>
      </c>
      <c r="H173" s="658">
        <f>+IFERROR(H$5*GETPIVOTDATA("Unique Billed Hours",'County allocation'!$S$3,"County",$D159,"HHA/CDPAP","HHA","Level of Service",$D173),0)</f>
        <v>0</v>
      </c>
      <c r="I173" s="664">
        <f t="shared" ca="1" si="67"/>
        <v>0</v>
      </c>
      <c r="J173" s="901"/>
      <c r="K173" s="665">
        <f ca="1">+IFERROR(K$5*GETPIVOTDATA("Unique Billed Hours",'County allocation'!$X$3,"County",$D159,"HHA/CDPAP","HHA","Level of Service",$D173),0)</f>
        <v>0</v>
      </c>
      <c r="L173" s="665">
        <f ca="1">+IFERROR(L$5*GETPIVOTDATA("Unique Billed Hours",'County allocation'!$K$19,"County",$D159,"HHA/CDPAP","HHA","Level of Service",$D173),0)</f>
        <v>0</v>
      </c>
      <c r="M173" s="665">
        <f>+IFERROR(M$5*GETPIVOTDATA("Unique Billed Hours",'County allocation'!$S$3,"County",$D159,"HHA/CDPAP","HHA","Level of Service",$D173),0)</f>
        <v>0</v>
      </c>
      <c r="N173" s="665">
        <f>+IFERROR(N$5*GETPIVOTDATA("Unique Billed Hours",'County allocation'!$S$3,"County",$D159,"HHA/CDPAP","HHA","Level of Service",$D173),0)</f>
        <v>0</v>
      </c>
      <c r="O173" s="665">
        <f>+IFERROR(O$5*GETPIVOTDATA("Unique Billed Hours",'County allocation'!$S$3,"County",$D159,"HHA/CDPAP","HHA","Level of Service",$D173),0)</f>
        <v>0</v>
      </c>
      <c r="P173" s="665">
        <f>+IFERROR(P$5*GETPIVOTDATA("Unique Billed Hours",'County allocation'!$S$3,"County",$D159,"HHA/CDPAP","HHA","Level of Service",$D173),0)</f>
        <v>0</v>
      </c>
    </row>
    <row r="174" spans="1:18" s="54" customFormat="1" ht="15.75" hidden="1" thickBot="1" x14ac:dyDescent="0.3">
      <c r="A174" s="302"/>
      <c r="B174" s="309"/>
      <c r="C174" s="322">
        <f ca="1">C173</f>
        <v>0</v>
      </c>
      <c r="D174" s="52" t="s">
        <v>48</v>
      </c>
      <c r="E174" s="53" t="s">
        <v>79</v>
      </c>
      <c r="F174" s="657">
        <f t="shared" ca="1" si="66"/>
        <v>0</v>
      </c>
      <c r="G174" s="661">
        <f t="shared" ref="G174" ca="1" si="69">SUM(G170:G173)</f>
        <v>0</v>
      </c>
      <c r="H174" s="661">
        <f t="shared" ref="H174:P174" si="70">SUM(H170:H173)</f>
        <v>0</v>
      </c>
      <c r="I174" s="661">
        <f t="shared" ca="1" si="70"/>
        <v>0</v>
      </c>
      <c r="J174" s="661">
        <f t="shared" ca="1" si="70"/>
        <v>0</v>
      </c>
      <c r="K174" s="661">
        <f t="shared" ca="1" si="70"/>
        <v>0</v>
      </c>
      <c r="L174" s="661">
        <f t="shared" ca="1" si="70"/>
        <v>0</v>
      </c>
      <c r="M174" s="661">
        <f t="shared" si="70"/>
        <v>0</v>
      </c>
      <c r="N174" s="661">
        <f t="shared" si="70"/>
        <v>0</v>
      </c>
      <c r="O174" s="661">
        <f t="shared" si="70"/>
        <v>0</v>
      </c>
      <c r="P174" s="661">
        <f t="shared" si="70"/>
        <v>0</v>
      </c>
    </row>
    <row r="175" spans="1:18" s="54" customFormat="1" ht="15.75" hidden="1" thickBot="1" x14ac:dyDescent="0.3">
      <c r="A175" s="119"/>
      <c r="B175" s="309"/>
      <c r="C175" s="322"/>
      <c r="E175" s="55"/>
      <c r="F175" s="666"/>
      <c r="G175" s="666"/>
      <c r="H175" s="666"/>
      <c r="I175" s="666"/>
      <c r="J175" s="666"/>
      <c r="K175" s="666"/>
      <c r="L175" s="666"/>
      <c r="M175" s="666"/>
      <c r="N175" s="666"/>
      <c r="O175" s="666"/>
      <c r="P175" s="666"/>
    </row>
    <row r="176" spans="1:18" s="54" customFormat="1" ht="75.75" hidden="1" thickBot="1" x14ac:dyDescent="0.3">
      <c r="A176" s="119"/>
      <c r="B176" s="309"/>
      <c r="C176" s="322">
        <f ca="1">IF(F191&gt;0,1,0)</f>
        <v>0</v>
      </c>
      <c r="D176" s="45" t="str">
        <f>A13</f>
        <v>Clinton</v>
      </c>
      <c r="E176" s="28">
        <f>+SUMIF(A:A,D176,B:B)</f>
        <v>0</v>
      </c>
      <c r="F176" s="652" t="s">
        <v>61</v>
      </c>
      <c r="G176" s="652" t="s">
        <v>387</v>
      </c>
      <c r="H176" s="652" t="s">
        <v>388</v>
      </c>
      <c r="I176" s="652" t="s">
        <v>392</v>
      </c>
      <c r="J176" s="652" t="s">
        <v>31</v>
      </c>
      <c r="K176" s="652" t="s">
        <v>32</v>
      </c>
      <c r="L176" s="653" t="s">
        <v>33</v>
      </c>
      <c r="M176" s="653" t="s">
        <v>60</v>
      </c>
      <c r="N176" s="653" t="s">
        <v>59</v>
      </c>
      <c r="O176" s="653" t="s">
        <v>58</v>
      </c>
      <c r="P176" s="653" t="s">
        <v>16</v>
      </c>
    </row>
    <row r="177" spans="1:18" s="54" customFormat="1" ht="15.75" hidden="1" thickBot="1" x14ac:dyDescent="0.3">
      <c r="A177" s="119"/>
      <c r="B177" s="309"/>
      <c r="C177" s="322">
        <f ca="1">C176</f>
        <v>0</v>
      </c>
      <c r="D177" s="56"/>
      <c r="E177" s="57"/>
      <c r="F177" s="654" t="s">
        <v>57</v>
      </c>
      <c r="G177" s="654" t="s">
        <v>56</v>
      </c>
      <c r="H177" s="654" t="s">
        <v>55</v>
      </c>
      <c r="I177" s="654" t="s">
        <v>54</v>
      </c>
      <c r="J177" s="654" t="s">
        <v>53</v>
      </c>
      <c r="K177" s="654" t="s">
        <v>52</v>
      </c>
      <c r="L177" s="654" t="s">
        <v>51</v>
      </c>
      <c r="M177" s="654" t="s">
        <v>50</v>
      </c>
      <c r="N177" s="654" t="s">
        <v>49</v>
      </c>
      <c r="O177" s="654" t="s">
        <v>47</v>
      </c>
      <c r="P177" s="655" t="s">
        <v>77</v>
      </c>
    </row>
    <row r="178" spans="1:18" s="54" customFormat="1" ht="15.75" hidden="1" thickBot="1" x14ac:dyDescent="0.3">
      <c r="A178" s="119"/>
      <c r="B178" s="309"/>
      <c r="C178" s="322">
        <f t="shared" ref="C178:C190" ca="1" si="71">C177</f>
        <v>0</v>
      </c>
      <c r="D178" s="59" t="s">
        <v>26</v>
      </c>
      <c r="E178" s="57"/>
      <c r="F178" s="656"/>
      <c r="G178" s="656"/>
      <c r="H178" s="656"/>
      <c r="I178" s="656"/>
      <c r="J178" s="656"/>
      <c r="K178" s="656"/>
      <c r="L178" s="656"/>
      <c r="M178" s="656"/>
      <c r="N178" s="656"/>
      <c r="O178" s="656"/>
      <c r="P178" s="663"/>
    </row>
    <row r="179" spans="1:18" s="54" customFormat="1" ht="15.75" hidden="1" thickBot="1" x14ac:dyDescent="0.3">
      <c r="A179" s="119"/>
      <c r="B179" s="309"/>
      <c r="C179" s="322">
        <f t="shared" ca="1" si="71"/>
        <v>0</v>
      </c>
      <c r="D179" s="7" t="s">
        <v>34</v>
      </c>
      <c r="E179" s="48" t="s">
        <v>57</v>
      </c>
      <c r="F179" s="657">
        <f ca="1">+H179+G179+I179</f>
        <v>0</v>
      </c>
      <c r="G179" s="658">
        <f ca="1">+IFERROR(G$5*GETPIVOTDATA("Unique Billed Hours",'County allocation'!$A$3,"County",$D176,"HHA/CDPAP","HHA","Level of Service",$D179),0)</f>
        <v>0</v>
      </c>
      <c r="H179" s="658">
        <f>+IFERROR(H$5*GETPIVOTDATA("Unique Billed Hours",'County allocation'!$S$3,"County",$D176,"HHA/CDPAP","HHA","Level of Service",$D179),0)</f>
        <v>0</v>
      </c>
      <c r="I179" s="664">
        <f ca="1">SUM(J179:P179)</f>
        <v>0</v>
      </c>
      <c r="J179" s="658">
        <f ca="1">+IFERROR(J$5*GETPIVOTDATA("Unique Billed Hours",'County allocation'!$S$3,"County",$D176,"HHA/CDPAP","HHA","Level of Service",$D179),0)</f>
        <v>0</v>
      </c>
      <c r="K179" s="658">
        <f ca="1">+IFERROR(K$5*GETPIVOTDATA("Unique Billed Hours",'County allocation'!$X$3,"County",$D176,"HHA/CDPAP","HHA","Level of Service",$D179),0)</f>
        <v>0</v>
      </c>
      <c r="L179" s="658">
        <f ca="1">+IFERROR(L$2*GETPIVOTDATA("Unique Billed Hours",'County allocation'!$O$3,"County",$D176,"HHA/CDPAP","HHA","Level of Service",$D179),0)</f>
        <v>0</v>
      </c>
      <c r="M179" s="658">
        <f>+IFERROR(M$5*GETPIVOTDATA("Unique Billed Hours",'County allocation'!$S$3,"County",$D176,"HHA/CDPAP","HHA","Level of Service",$D179),0)</f>
        <v>0</v>
      </c>
      <c r="N179" s="658">
        <f>+IFERROR(N$5*GETPIVOTDATA("Unique Billed Hours",'County allocation'!$S$3,"County",$D176,"HHA/CDPAP","HHA","Level of Service",$D179),0)</f>
        <v>0</v>
      </c>
      <c r="O179" s="658">
        <f>+IFERROR(O$5*GETPIVOTDATA("Unique Billed Hours",'County allocation'!$K$19,"County",$D176,"HHA/CDPAP","HHA","Level of Service",$D179),0)</f>
        <v>0</v>
      </c>
      <c r="P179" s="658">
        <f>+IFERROR(P$5*GETPIVOTDATA("Unique Billed Hours",'County allocation'!$S$3,"County",$D176,"HHA/CDPAP","HHA","Level of Service",$D179),0)</f>
        <v>0</v>
      </c>
    </row>
    <row r="180" spans="1:18" s="54" customFormat="1" ht="15.75" hidden="1" thickBot="1" x14ac:dyDescent="0.3">
      <c r="A180" s="119"/>
      <c r="B180" s="309"/>
      <c r="C180" s="322">
        <f t="shared" ca="1" si="71"/>
        <v>0</v>
      </c>
      <c r="D180" s="7" t="s">
        <v>35</v>
      </c>
      <c r="E180" s="48" t="s">
        <v>56</v>
      </c>
      <c r="F180" s="657">
        <f t="shared" ref="F180:F191" ca="1" si="72">+H180+G180+I180</f>
        <v>0</v>
      </c>
      <c r="G180" s="658">
        <f ca="1">+IFERROR(G$5*GETPIVOTDATA("Unique Billed Hours",'County allocation'!$A$3,"County",$D176,"HHA/CDPAP","HHA","Level of Service",$D180),0)</f>
        <v>0</v>
      </c>
      <c r="H180" s="658">
        <f>+IFERROR(H$5*GETPIVOTDATA("Unique Billed Hours",'County allocation'!$S$3,"County",$D176,"HHA/CDPAP","HHA","Level of Service",$D180),0)</f>
        <v>0</v>
      </c>
      <c r="I180" s="664">
        <f t="shared" ref="I180:I190" ca="1" si="73">SUM(J180:P180)</f>
        <v>0</v>
      </c>
      <c r="J180" s="658">
        <f ca="1">+IFERROR(J$5*GETPIVOTDATA("Unique Billed Hours",'County allocation'!$S$3,"County",$D176,"HHA/CDPAP","HHA","Level of Service",$D180),0)</f>
        <v>0</v>
      </c>
      <c r="K180" s="658">
        <f ca="1">+IFERROR(K$5*GETPIVOTDATA("Unique Billed Hours",'County allocation'!$X$3,"County",$D176,"HHA/CDPAP","HHA","Level of Service",$D180),0)</f>
        <v>0</v>
      </c>
      <c r="L180" s="658">
        <f ca="1">+IFERROR(L$2*GETPIVOTDATA("Unique Billed Hours",'County allocation'!$O$3,"County",$D176,"HHA/CDPAP","HHA","Level of Service",$D180),0)</f>
        <v>0</v>
      </c>
      <c r="M180" s="658">
        <f>+IFERROR(M$5*GETPIVOTDATA("Unique Billed Hours",'County allocation'!$S$3,"County",$D176,"HHA/CDPAP","HHA","Level of Service",$D180),0)</f>
        <v>0</v>
      </c>
      <c r="N180" s="658">
        <f>+IFERROR(N$5*GETPIVOTDATA("Unique Billed Hours",'County allocation'!$S$3,"County",$D176,"HHA/CDPAP","HHA","Level of Service",$D180),0)</f>
        <v>0</v>
      </c>
      <c r="O180" s="658">
        <f>+IFERROR(O$5*GETPIVOTDATA("Unique Billed Hours",'County allocation'!$K$19,"County",$D176,"HHA/CDPAP","HHA","Level of Service",$D180),0)</f>
        <v>0</v>
      </c>
      <c r="P180" s="658">
        <f>+IFERROR(P$5*GETPIVOTDATA("Unique Billed Hours",'County allocation'!$S$3,"County",$D176,"HHA/CDPAP","HHA","Level of Service",$D180),0)</f>
        <v>0</v>
      </c>
      <c r="R180" s="61"/>
    </row>
    <row r="181" spans="1:18" s="54" customFormat="1" ht="15.75" hidden="1" thickBot="1" x14ac:dyDescent="0.3">
      <c r="A181" s="302"/>
      <c r="B181" s="309"/>
      <c r="C181" s="322">
        <f t="shared" ca="1" si="71"/>
        <v>0</v>
      </c>
      <c r="D181" s="7" t="s">
        <v>36</v>
      </c>
      <c r="E181" s="48" t="s">
        <v>55</v>
      </c>
      <c r="F181" s="657">
        <f t="shared" ca="1" si="72"/>
        <v>0</v>
      </c>
      <c r="G181" s="658">
        <f ca="1">+IFERROR(G$5*GETPIVOTDATA("Unique Billed Hours",'County allocation'!$A$3,"County",$D176,"HHA/CDPAP","HHA","Level of Service",$D181),0)</f>
        <v>0</v>
      </c>
      <c r="H181" s="658">
        <f>+IFERROR(H$5*GETPIVOTDATA("Unique Billed Hours",'County allocation'!$S$3,"County",$D176,"HHA/CDPAP","HHA","Level of Service",$D181),0)</f>
        <v>0</v>
      </c>
      <c r="I181" s="664">
        <f t="shared" ca="1" si="73"/>
        <v>0</v>
      </c>
      <c r="J181" s="658">
        <f ca="1">+IFERROR(J$5*GETPIVOTDATA("Unique Billed Hours",'County allocation'!$S$3,"County",$D176,"HHA/CDPAP","HHA","Level of Service",$D181),0)</f>
        <v>0</v>
      </c>
      <c r="K181" s="658">
        <f ca="1">+IFERROR(K$5*GETPIVOTDATA("Unique Billed Hours",'County allocation'!$X$3,"County",$D176,"HHA/CDPAP","HHA","Level of Service",$D181),0)</f>
        <v>0</v>
      </c>
      <c r="L181" s="658">
        <f ca="1">+IFERROR(L$2*GETPIVOTDATA("Unique Billed Hours",'County allocation'!$O$3,"County",$D176,"HHA/CDPAP","HHA","Level of Service",$D181),0)</f>
        <v>0</v>
      </c>
      <c r="M181" s="658">
        <f>+IFERROR(M$5*GETPIVOTDATA("Unique Billed Hours",'County allocation'!$S$3,"County",$D176,"HHA/CDPAP","HHA","Level of Service",$D181),0)</f>
        <v>0</v>
      </c>
      <c r="N181" s="658">
        <f>+IFERROR(N$5*GETPIVOTDATA("Unique Billed Hours",'County allocation'!$S$3,"County",$D176,"HHA/CDPAP","HHA","Level of Service",$D181),0)</f>
        <v>0</v>
      </c>
      <c r="O181" s="658">
        <f>+IFERROR(O$5*GETPIVOTDATA("Unique Billed Hours",'County allocation'!$K$19,"County",$D176,"HHA/CDPAP","HHA","Level of Service",$D181),0)</f>
        <v>0</v>
      </c>
      <c r="P181" s="658">
        <f>+IFERROR(P$5*GETPIVOTDATA("Unique Billed Hours",'County allocation'!$S$3,"County",$D176,"HHA/CDPAP","HHA","Level of Service",$D181),0)</f>
        <v>0</v>
      </c>
    </row>
    <row r="182" spans="1:18" s="54" customFormat="1" ht="15.75" hidden="1" thickBot="1" x14ac:dyDescent="0.3">
      <c r="A182" s="119"/>
      <c r="B182" s="309"/>
      <c r="C182" s="322">
        <f t="shared" ca="1" si="71"/>
        <v>0</v>
      </c>
      <c r="D182" s="7" t="s">
        <v>37</v>
      </c>
      <c r="E182" s="48" t="s">
        <v>54</v>
      </c>
      <c r="F182" s="657">
        <f t="shared" ca="1" si="72"/>
        <v>0</v>
      </c>
      <c r="G182" s="658">
        <f ca="1">+IFERROR(G$5*GETPIVOTDATA("Unique Billed Hours",'County allocation'!$A$3,"County",$D176,"HHA/CDPAP","HHA","Level of Service",$D182),0)</f>
        <v>0</v>
      </c>
      <c r="H182" s="658">
        <f>+IFERROR(H$5*GETPIVOTDATA("Unique Billed Hours",'County allocation'!$S$3,"County",$D176,"HHA/CDPAP","HHA","Level of Service",$D182),0)</f>
        <v>0</v>
      </c>
      <c r="I182" s="664">
        <f t="shared" ca="1" si="73"/>
        <v>0</v>
      </c>
      <c r="J182" s="658">
        <f ca="1">+IFERROR(J$5*GETPIVOTDATA("Unique Billed Hours",'County allocation'!$S$3,"County",$D176,"HHA/CDPAP","HHA","Level of Service",$D182),0)</f>
        <v>0</v>
      </c>
      <c r="K182" s="658">
        <f ca="1">+IFERROR(K$5*GETPIVOTDATA("Unique Billed Hours",'County allocation'!$X$3,"County",$D176,"HHA/CDPAP","HHA","Level of Service",$D182),0)</f>
        <v>0</v>
      </c>
      <c r="L182" s="658">
        <f ca="1">+IFERROR(L$2*GETPIVOTDATA("Unique Billed Hours",'County allocation'!$O$3,"County",$D176,"HHA/CDPAP","HHA","Level of Service",$D182),0)</f>
        <v>0</v>
      </c>
      <c r="M182" s="658">
        <f>+IFERROR(M$5*GETPIVOTDATA("Unique Billed Hours",'County allocation'!$S$3,"County",$D176,"HHA/CDPAP","HHA","Level of Service",$D182),0)</f>
        <v>0</v>
      </c>
      <c r="N182" s="658">
        <f>+IFERROR(N$5*GETPIVOTDATA("Unique Billed Hours",'County allocation'!$S$3,"County",$D176,"HHA/CDPAP","HHA","Level of Service",$D182),0)</f>
        <v>0</v>
      </c>
      <c r="O182" s="658">
        <f>+IFERROR(O$5*GETPIVOTDATA("Unique Billed Hours",'County allocation'!$K$19,"County",$D176,"HHA/CDPAP","HHA","Level of Service",$D182),0)</f>
        <v>0</v>
      </c>
      <c r="P182" s="658">
        <f>+IFERROR(P$5*GETPIVOTDATA("Unique Billed Hours",'County allocation'!$S$3,"County",$D176,"HHA/CDPAP","HHA","Level of Service",$D182),0)</f>
        <v>0</v>
      </c>
    </row>
    <row r="183" spans="1:18" s="54" customFormat="1" ht="15.75" hidden="1" thickBot="1" x14ac:dyDescent="0.3">
      <c r="A183" s="119"/>
      <c r="B183" s="309"/>
      <c r="C183" s="322">
        <f t="shared" ca="1" si="71"/>
        <v>0</v>
      </c>
      <c r="D183" s="7" t="s">
        <v>38</v>
      </c>
      <c r="E183" s="48" t="s">
        <v>53</v>
      </c>
      <c r="F183" s="657">
        <f t="shared" ca="1" si="72"/>
        <v>0</v>
      </c>
      <c r="G183" s="658">
        <f ca="1">+IFERROR(G$5*GETPIVOTDATA("Unique Billed Hours",'County allocation'!$A$3,"County",$D176,"HHA/CDPAP","HHA","Level of Service",$D183),0)</f>
        <v>0</v>
      </c>
      <c r="H183" s="658">
        <f>+IFERROR(H$5*GETPIVOTDATA("Unique Billed Hours",'County allocation'!$S$3,"County",$D176,"HHA/CDPAP","HHA","Level of Service",$D183),0)</f>
        <v>0</v>
      </c>
      <c r="I183" s="664">
        <f t="shared" ca="1" si="73"/>
        <v>0</v>
      </c>
      <c r="J183" s="658">
        <f ca="1">+IFERROR(J$5*GETPIVOTDATA("Unique Billed Hours",'County allocation'!$S$3,"County",$D176,"HHA/CDPAP","HHA","Level of Service",$D183),0)</f>
        <v>0</v>
      </c>
      <c r="K183" s="658">
        <f ca="1">+IFERROR(K$5*GETPIVOTDATA("Unique Billed Hours",'County allocation'!$X$3,"County",$D176,"HHA/CDPAP","HHA","Level of Service",$D183),0)</f>
        <v>0</v>
      </c>
      <c r="L183" s="658">
        <f ca="1">+IFERROR(L$5*GETPIVOTDATA("Unique Billed Hours",'County allocation'!$K$19,"County",$D176,"HHA/CDPAP","HHA","Level of Service",$D183),0)</f>
        <v>0</v>
      </c>
      <c r="M183" s="658">
        <f>+IFERROR(M$5*GETPIVOTDATA("Unique Billed Hours",'County allocation'!$S$3,"County",$D176,"HHA/CDPAP","HHA","Level of Service",$D183),0)</f>
        <v>0</v>
      </c>
      <c r="N183" s="658">
        <f>+IFERROR(N$5*GETPIVOTDATA("Unique Billed Hours",'County allocation'!$S$3,"County",$D176,"HHA/CDPAP","HHA","Level of Service",$D183),0)</f>
        <v>0</v>
      </c>
      <c r="O183" s="658">
        <f>+IFERROR(O$5*GETPIVOTDATA("Unique Billed Hours",'County allocation'!$K$19,"County",$D176,"HHA/CDPAP","HHA","Level of Service",$D183),0)</f>
        <v>0</v>
      </c>
      <c r="P183" s="658">
        <f>+IFERROR(P$5*GETPIVOTDATA("Unique Billed Hours",'County allocation'!$S$3,"County",$D176,"HHA/CDPAP","HHA","Level of Service",$D183),0)</f>
        <v>0</v>
      </c>
    </row>
    <row r="184" spans="1:18" s="54" customFormat="1" ht="15.75" hidden="1" thickBot="1" x14ac:dyDescent="0.3">
      <c r="A184" s="119"/>
      <c r="B184" s="309"/>
      <c r="C184" s="322">
        <f t="shared" ca="1" si="71"/>
        <v>0</v>
      </c>
      <c r="D184" s="7" t="s">
        <v>39</v>
      </c>
      <c r="E184" s="48" t="s">
        <v>52</v>
      </c>
      <c r="F184" s="657">
        <f t="shared" ca="1" si="72"/>
        <v>0</v>
      </c>
      <c r="G184" s="658">
        <f ca="1">+IFERROR(G$5*GETPIVOTDATA("Unique Billed Hours",'County allocation'!$A$3,"County",$D176,"HHA/CDPAP","HHA","Level of Service",$D184),0)</f>
        <v>0</v>
      </c>
      <c r="H184" s="658">
        <f>+IFERROR(H$5*GETPIVOTDATA("Unique Billed Hours",'County allocation'!$S$3,"County",$D176,"HHA/CDPAP","HHA","Level of Service",$D184),0)</f>
        <v>0</v>
      </c>
      <c r="I184" s="664">
        <f t="shared" ca="1" si="73"/>
        <v>0</v>
      </c>
      <c r="J184" s="658">
        <f ca="1">+IFERROR(J$5*GETPIVOTDATA("Unique Billed Hours",'County allocation'!$S$3,"County",$D176,"HHA/CDPAP","HHA","Level of Service",$D184),0)</f>
        <v>0</v>
      </c>
      <c r="K184" s="658">
        <f ca="1">+IFERROR(K$5*GETPIVOTDATA("Unique Billed Hours",'County allocation'!$X$3,"County",$D176,"HHA/CDPAP","HHA","Level of Service",$D184),0)</f>
        <v>0</v>
      </c>
      <c r="L184" s="658">
        <f ca="1">+IFERROR(L$5*GETPIVOTDATA("Unique Billed Hours",'County allocation'!$K$19,"County",$D176,"HHA/CDPAP","HHA","Level of Service",$D184),0)</f>
        <v>0</v>
      </c>
      <c r="M184" s="658">
        <f>+IFERROR(M$5*GETPIVOTDATA("Unique Billed Hours",'County allocation'!$S$3,"County",$D176,"HHA/CDPAP","HHA","Level of Service",$D184),0)</f>
        <v>0</v>
      </c>
      <c r="N184" s="658">
        <f>+IFERROR(N$5*GETPIVOTDATA("Unique Billed Hours",'County allocation'!$S$3,"County",$D176,"HHA/CDPAP","HHA","Level of Service",$D184),0)</f>
        <v>0</v>
      </c>
      <c r="O184" s="658">
        <f>+IFERROR(O$5*GETPIVOTDATA("Unique Billed Hours",'County allocation'!$K$19,"County",$D176,"HHA/CDPAP","HHA","Level of Service",$D184),0)</f>
        <v>0</v>
      </c>
      <c r="P184" s="658">
        <f>+IFERROR(P$5*GETPIVOTDATA("Unique Billed Hours",'County allocation'!$S$3,"County",$D176,"HHA/CDPAP","HHA","Level of Service",$D184),0)</f>
        <v>0</v>
      </c>
    </row>
    <row r="185" spans="1:18" s="54" customFormat="1" ht="15.75" hidden="1" thickBot="1" x14ac:dyDescent="0.3">
      <c r="A185" s="119"/>
      <c r="B185" s="309"/>
      <c r="C185" s="322">
        <f t="shared" ca="1" si="71"/>
        <v>0</v>
      </c>
      <c r="D185" s="8" t="s">
        <v>40</v>
      </c>
      <c r="E185" s="48" t="s">
        <v>51</v>
      </c>
      <c r="F185" s="657">
        <f t="shared" ca="1" si="72"/>
        <v>0</v>
      </c>
      <c r="G185" s="658">
        <f ca="1">+IFERROR(G$5*GETPIVOTDATA("Unique Billed Hours",'County allocation'!$A$3,"County",$D176,"HHA/CDPAP","HHA","Level of Service",$D185),0)</f>
        <v>0</v>
      </c>
      <c r="H185" s="658">
        <f>+IFERROR(H$5*GETPIVOTDATA("Unique Billed Hours",'County allocation'!$S$3,"County",$D176,"HHA/CDPAP","HHA","Level of Service",$D185),0)</f>
        <v>0</v>
      </c>
      <c r="I185" s="664">
        <f t="shared" ca="1" si="73"/>
        <v>0</v>
      </c>
      <c r="J185" s="658">
        <f ca="1">+IFERROR(J$5*GETPIVOTDATA("Unique Billed Hours",'County allocation'!$S$3,"County",$D176,"HHA/CDPAP","HHA","Level of Service",$D185),0)</f>
        <v>0</v>
      </c>
      <c r="K185" s="658">
        <f ca="1">+IFERROR(K$5*GETPIVOTDATA("Unique Billed Hours",'County allocation'!$X$3,"County",$D176,"HHA/CDPAP","HHA","Level of Service",$D185),0)</f>
        <v>0</v>
      </c>
      <c r="L185" s="658">
        <f ca="1">+IFERROR(L$2*GETPIVOTDATA("Unique Billed Hours",'County allocation'!$O$3,"County",$D176,"HHA/CDPAP","HHA","Level of Service",$D185),0)</f>
        <v>0</v>
      </c>
      <c r="M185" s="658">
        <f>+IFERROR(M$5*GETPIVOTDATA("Unique Billed Hours",'County allocation'!$S$3,"County",$D176,"HHA/CDPAP","HHA","Level of Service",$D185),0)</f>
        <v>0</v>
      </c>
      <c r="N185" s="658">
        <f>+IFERROR(N$5*GETPIVOTDATA("Unique Billed Hours",'County allocation'!$S$3,"County",$D176,"HHA/CDPAP","HHA","Level of Service",$D185),0)</f>
        <v>0</v>
      </c>
      <c r="O185" s="658">
        <f>+IFERROR(O$5*GETPIVOTDATA("Unique Billed Hours",'County allocation'!$K$19,"County",$D176,"HHA/CDPAP","HHA","Level of Service",$D185),0)</f>
        <v>0</v>
      </c>
      <c r="P185" s="658">
        <f>+IFERROR(P$5*GETPIVOTDATA("Unique Billed Hours",'County allocation'!$S$3,"County",$D176,"HHA/CDPAP","HHA","Level of Service",$D185),0)</f>
        <v>0</v>
      </c>
    </row>
    <row r="186" spans="1:18" s="54" customFormat="1" ht="15.75" hidden="1" thickBot="1" x14ac:dyDescent="0.3">
      <c r="A186" s="119"/>
      <c r="B186" s="309"/>
      <c r="C186" s="322">
        <f t="shared" ca="1" si="71"/>
        <v>0</v>
      </c>
      <c r="D186" s="8" t="s">
        <v>41</v>
      </c>
      <c r="E186" s="48" t="s">
        <v>50</v>
      </c>
      <c r="F186" s="657">
        <f t="shared" ca="1" si="72"/>
        <v>0</v>
      </c>
      <c r="G186" s="658">
        <f ca="1">+IFERROR(G$5*GETPIVOTDATA("Unique Billed Hours",'County allocation'!$A$3,"County",$D176,"HHA/CDPAP","HHA","Level of Service",$D186),0)</f>
        <v>0</v>
      </c>
      <c r="H186" s="658">
        <f>+IFERROR(H$5*GETPIVOTDATA("Unique Billed Hours",'County allocation'!$S$3,"County",$D176,"HHA/CDPAP","HHA","Level of Service",$D186),0)</f>
        <v>0</v>
      </c>
      <c r="I186" s="664">
        <f t="shared" ca="1" si="73"/>
        <v>0</v>
      </c>
      <c r="J186" s="658">
        <f ca="1">+IFERROR(J$5*GETPIVOTDATA("Unique Billed Hours",'County allocation'!$S$3,"County",$D176,"HHA/CDPAP","HHA","Level of Service",$D186),0)</f>
        <v>0</v>
      </c>
      <c r="K186" s="658">
        <f ca="1">+IFERROR(K$5*GETPIVOTDATA("Unique Billed Hours",'County allocation'!$X$3,"County",$D176,"HHA/CDPAP","HHA","Level of Service",$D186),0)</f>
        <v>0</v>
      </c>
      <c r="L186" s="658">
        <f ca="1">+IFERROR(L$2*GETPIVOTDATA("Unique Billed Hours",'County allocation'!$O$3,"County",$D176,"HHA/CDPAP","HHA","Level of Service",$D186),0)</f>
        <v>0</v>
      </c>
      <c r="M186" s="658">
        <f>+IFERROR(M$5*GETPIVOTDATA("Unique Billed Hours",'County allocation'!$S$3,"County",$D176,"HHA/CDPAP","HHA","Level of Service",$D186),0)</f>
        <v>0</v>
      </c>
      <c r="N186" s="658">
        <f>+IFERROR(N$5*GETPIVOTDATA("Unique Billed Hours",'County allocation'!$S$3,"County",$D176,"HHA/CDPAP","HHA","Level of Service",$D186),0)</f>
        <v>0</v>
      </c>
      <c r="O186" s="658">
        <f>+IFERROR(O$5*GETPIVOTDATA("Unique Billed Hours",'County allocation'!$K$19,"County",$D176,"HHA/CDPAP","HHA","Level of Service",$D186),0)</f>
        <v>0</v>
      </c>
      <c r="P186" s="658">
        <f>+IFERROR(P$5*GETPIVOTDATA("Unique Billed Hours",'County allocation'!$S$3,"County",$D176,"HHA/CDPAP","HHA","Level of Service",$D186),0)</f>
        <v>0</v>
      </c>
    </row>
    <row r="187" spans="1:18" s="54" customFormat="1" ht="15.75" hidden="1" thickBot="1" x14ac:dyDescent="0.3">
      <c r="A187" s="119"/>
      <c r="B187" s="309"/>
      <c r="C187" s="322">
        <f t="shared" ca="1" si="71"/>
        <v>0</v>
      </c>
      <c r="D187" s="52" t="s">
        <v>389</v>
      </c>
      <c r="E187" s="53" t="s">
        <v>49</v>
      </c>
      <c r="F187" s="657">
        <f t="shared" ca="1" si="72"/>
        <v>0</v>
      </c>
      <c r="G187" s="661">
        <f ca="1">SUM(G179:G186)</f>
        <v>0</v>
      </c>
      <c r="H187" s="661">
        <f>SUM(H179:H186)</f>
        <v>0</v>
      </c>
      <c r="I187" s="664">
        <f t="shared" ca="1" si="73"/>
        <v>0</v>
      </c>
      <c r="J187" s="661">
        <f ca="1">SUM(J179:J186)</f>
        <v>0</v>
      </c>
      <c r="K187" s="661">
        <f t="shared" ref="K187:P187" ca="1" si="74">SUM(K179:K186)</f>
        <v>0</v>
      </c>
      <c r="L187" s="661">
        <f t="shared" ca="1" si="74"/>
        <v>0</v>
      </c>
      <c r="M187" s="661">
        <f t="shared" si="74"/>
        <v>0</v>
      </c>
      <c r="N187" s="661">
        <f t="shared" si="74"/>
        <v>0</v>
      </c>
      <c r="O187" s="661">
        <f t="shared" si="74"/>
        <v>0</v>
      </c>
      <c r="P187" s="661">
        <f t="shared" si="74"/>
        <v>0</v>
      </c>
    </row>
    <row r="188" spans="1:18" s="54" customFormat="1" ht="15.75" hidden="1" thickBot="1" x14ac:dyDescent="0.3">
      <c r="A188" s="119"/>
      <c r="B188" s="309"/>
      <c r="C188" s="322">
        <f t="shared" ca="1" si="71"/>
        <v>0</v>
      </c>
      <c r="D188" s="371" t="s">
        <v>390</v>
      </c>
      <c r="E188" s="325" t="s">
        <v>47</v>
      </c>
      <c r="F188" s="657">
        <f t="shared" ca="1" si="72"/>
        <v>0</v>
      </c>
      <c r="G188" s="665">
        <f ca="1">+IFERROR((G$5*GETPIVOTDATA("Unique Billed Hours",'County allocation'!$A$3,"County",$D176,"HHA/CDPAP","HHA","Level of Service",$D188))+($G$2*GETPIVOTDATA("Unique Billed Hours",'County allocation'!$F$7,"County",$D176,"HHA/CDPAP","HHA","Level of Service",$D188)),0)++IFERROR(J$5*GETPIVOTDATA("Unique Billed Hours",'County allocation'!$AC$3,"County",$D176,"HHA/CDPAP","HHA","Level of Service",$D188),0)+ +IFERROR(J$5*GETPIVOTDATA("Unique Billed Hours",'County allocation'!$AC$3,"County",$D176,"HHA/CDPAP","HHA","Level of Service",$D189),0)</f>
        <v>0</v>
      </c>
      <c r="H188" s="665">
        <f>+IFERROR(H$5*GETPIVOTDATA("Unique Billed Hours",'County allocation'!$S$3,"County",$D176,"HHA/CDPAP","HHA","Level of Service",$D188),0)</f>
        <v>0</v>
      </c>
      <c r="I188" s="664">
        <f t="shared" ca="1" si="73"/>
        <v>0</v>
      </c>
      <c r="J188" s="901"/>
      <c r="K188" s="665">
        <f ca="1">+IFERROR(K$5*GETPIVOTDATA("Unique Billed Hours",'County allocation'!$X$3,"County",$D176,"HHA/CDPAP","HHA","Level of Service",$D188),0)</f>
        <v>0</v>
      </c>
      <c r="L188" s="665">
        <f ca="1">+IFERROR(L$5*GETPIVOTDATA("Unique Billed Hours",'County allocation'!$K$19,"County",$D176,"HHA/CDPAP","HHA","Level of Service",$D188),0)</f>
        <v>0</v>
      </c>
      <c r="M188" s="665">
        <f>+IFERROR(M$5*GETPIVOTDATA("Unique Billed Hours",'County allocation'!$S$3,"County",$D176,"HHA/CDPAP","HHA","Level of Service",$D188),0)</f>
        <v>0</v>
      </c>
      <c r="N188" s="665">
        <f>+IFERROR(N$5*GETPIVOTDATA("Unique Billed Hours",'County allocation'!$S$3,"County",$D176,"HHA/CDPAP","HHA","Level of Service",$D188),0)</f>
        <v>0</v>
      </c>
      <c r="O188" s="665">
        <f>+IFERROR(O$5*GETPIVOTDATA("Unique Billed Hours",'County allocation'!$S$3,"County",$D176,"HHA/CDPAP","HHA","Level of Service",$D188),0)</f>
        <v>0</v>
      </c>
      <c r="P188" s="665">
        <f>+IFERROR(P$5*GETPIVOTDATA("Unique Billed Hours",'County allocation'!$S$3,"County",$D176,"HHA/CDPAP","HHA","Level of Service",$D188),0)</f>
        <v>0</v>
      </c>
    </row>
    <row r="189" spans="1:18" s="54" customFormat="1" ht="15.75" hidden="1" thickBot="1" x14ac:dyDescent="0.3">
      <c r="A189" s="119"/>
      <c r="B189" s="309"/>
      <c r="C189" s="322">
        <f t="shared" ca="1" si="71"/>
        <v>0</v>
      </c>
      <c r="D189" s="8" t="s">
        <v>391</v>
      </c>
      <c r="E189" s="370" t="s">
        <v>77</v>
      </c>
      <c r="F189" s="657">
        <f t="shared" ca="1" si="72"/>
        <v>0</v>
      </c>
      <c r="G189" s="656"/>
      <c r="H189" s="658">
        <f>+IFERROR(H$5*GETPIVOTDATA("Unique Billed Hours",'County allocation'!$S$3,"County",$D176,"HHA/CDPAP","HHA","Level of Service",$D189),0)</f>
        <v>0</v>
      </c>
      <c r="I189" s="664">
        <f t="shared" ca="1" si="73"/>
        <v>0</v>
      </c>
      <c r="J189" s="901"/>
      <c r="K189" s="665">
        <f ca="1">+IFERROR(K$5*GETPIVOTDATA("Unique Billed Hours",'County allocation'!$X$3,"County",$D176,"HHA/CDPAP","HHA","Level of Service",$D189),0)</f>
        <v>0</v>
      </c>
      <c r="L189" s="665">
        <f ca="1">+IFERROR(L$5*GETPIVOTDATA("Unique Billed Hours",'County allocation'!$K$19,"County",$D176,"HHA/CDPAP","HHA","Level of Service",$D189),0)</f>
        <v>0</v>
      </c>
      <c r="M189" s="665">
        <f>+IFERROR(M$5*GETPIVOTDATA("Unique Billed Hours",'County allocation'!$S$3,"County",$D176,"HHA/CDPAP","HHA","Level of Service",$D189),0)</f>
        <v>0</v>
      </c>
      <c r="N189" s="665">
        <f>+IFERROR(N$5*GETPIVOTDATA("Unique Billed Hours",'County allocation'!$S$3,"County",$D176,"HHA/CDPAP","HHA","Level of Service",$D189),0)</f>
        <v>0</v>
      </c>
      <c r="O189" s="665">
        <f>+IFERROR(O$5*GETPIVOTDATA("Unique Billed Hours",'County allocation'!$S$3,"County",$D176,"HHA/CDPAP","HHA","Level of Service",$D189),0)</f>
        <v>0</v>
      </c>
      <c r="P189" s="665">
        <f>+IFERROR(P$5*GETPIVOTDATA("Unique Billed Hours",'County allocation'!$S$3,"County",$D176,"HHA/CDPAP","HHA","Level of Service",$D189),0)</f>
        <v>0</v>
      </c>
    </row>
    <row r="190" spans="1:18" s="54" customFormat="1" ht="15.75" hidden="1" thickBot="1" x14ac:dyDescent="0.3">
      <c r="A190" s="119"/>
      <c r="B190" s="309"/>
      <c r="C190" s="322">
        <f t="shared" ca="1" si="71"/>
        <v>0</v>
      </c>
      <c r="D190" s="8" t="s">
        <v>374</v>
      </c>
      <c r="E190" s="370" t="s">
        <v>78</v>
      </c>
      <c r="F190" s="657">
        <f t="shared" ca="1" si="72"/>
        <v>0</v>
      </c>
      <c r="G190" s="658">
        <f ca="1">+IFERROR(G$5*GETPIVOTDATA("Unique Billed Hours",'County allocation'!$A$3,"County",$D176,"HHA/CDPAP","HHA","Level of Service",$D190),0)++IFERROR(J$5*GETPIVOTDATA("Unique Billed Hours",'County allocation'!$AC$3,"County",$D176,"HHA/CDPAP","HHA","Level of Service",$D190),0)</f>
        <v>0</v>
      </c>
      <c r="H190" s="658">
        <f>+IFERROR(H$5*GETPIVOTDATA("Unique Billed Hours",'County allocation'!$S$3,"County",$D176,"HHA/CDPAP","HHA","Level of Service",$D190),0)</f>
        <v>0</v>
      </c>
      <c r="I190" s="664">
        <f t="shared" ca="1" si="73"/>
        <v>0</v>
      </c>
      <c r="J190" s="901"/>
      <c r="K190" s="665">
        <f ca="1">+IFERROR(K$5*GETPIVOTDATA("Unique Billed Hours",'County allocation'!$X$3,"County",$D176,"HHA/CDPAP","HHA","Level of Service",$D190),0)</f>
        <v>0</v>
      </c>
      <c r="L190" s="665">
        <f ca="1">+IFERROR(L$5*GETPIVOTDATA("Unique Billed Hours",'County allocation'!$K$19,"County",$D176,"HHA/CDPAP","HHA","Level of Service",$D190),0)</f>
        <v>0</v>
      </c>
      <c r="M190" s="665">
        <f>+IFERROR(M$5*GETPIVOTDATA("Unique Billed Hours",'County allocation'!$S$3,"County",$D176,"HHA/CDPAP","HHA","Level of Service",$D190),0)</f>
        <v>0</v>
      </c>
      <c r="N190" s="665">
        <f>+IFERROR(N$5*GETPIVOTDATA("Unique Billed Hours",'County allocation'!$S$3,"County",$D176,"HHA/CDPAP","HHA","Level of Service",$D190),0)</f>
        <v>0</v>
      </c>
      <c r="O190" s="665">
        <f>+IFERROR(O$5*GETPIVOTDATA("Unique Billed Hours",'County allocation'!$S$3,"County",$D176,"HHA/CDPAP","HHA","Level of Service",$D190),0)</f>
        <v>0</v>
      </c>
      <c r="P190" s="665">
        <f>+IFERROR(P$5*GETPIVOTDATA("Unique Billed Hours",'County allocation'!$S$3,"County",$D176,"HHA/CDPAP","HHA","Level of Service",$D190),0)</f>
        <v>0</v>
      </c>
    </row>
    <row r="191" spans="1:18" s="54" customFormat="1" ht="15.75" hidden="1" thickBot="1" x14ac:dyDescent="0.3">
      <c r="A191" s="302"/>
      <c r="B191" s="309"/>
      <c r="C191" s="322">
        <f ca="1">C190</f>
        <v>0</v>
      </c>
      <c r="D191" s="52" t="s">
        <v>48</v>
      </c>
      <c r="E191" s="53" t="s">
        <v>79</v>
      </c>
      <c r="F191" s="657">
        <f t="shared" ca="1" si="72"/>
        <v>0</v>
      </c>
      <c r="G191" s="661">
        <f t="shared" ref="G191" ca="1" si="75">SUM(G187:G190)</f>
        <v>0</v>
      </c>
      <c r="H191" s="661">
        <f t="shared" ref="H191:P191" si="76">SUM(H187:H190)</f>
        <v>0</v>
      </c>
      <c r="I191" s="661">
        <f t="shared" ca="1" si="76"/>
        <v>0</v>
      </c>
      <c r="J191" s="661">
        <f t="shared" ca="1" si="76"/>
        <v>0</v>
      </c>
      <c r="K191" s="661">
        <f t="shared" ca="1" si="76"/>
        <v>0</v>
      </c>
      <c r="L191" s="661">
        <f t="shared" ca="1" si="76"/>
        <v>0</v>
      </c>
      <c r="M191" s="661">
        <f t="shared" si="76"/>
        <v>0</v>
      </c>
      <c r="N191" s="661">
        <f t="shared" si="76"/>
        <v>0</v>
      </c>
      <c r="O191" s="661">
        <f t="shared" si="76"/>
        <v>0</v>
      </c>
      <c r="P191" s="661">
        <f t="shared" si="76"/>
        <v>0</v>
      </c>
    </row>
    <row r="192" spans="1:18" s="54" customFormat="1" ht="15.75" hidden="1" thickBot="1" x14ac:dyDescent="0.3">
      <c r="A192" s="119"/>
      <c r="B192" s="309"/>
      <c r="C192" s="322"/>
      <c r="E192" s="55"/>
      <c r="F192" s="666"/>
      <c r="G192" s="666"/>
      <c r="H192" s="666"/>
      <c r="I192" s="666"/>
      <c r="J192" s="666"/>
      <c r="K192" s="666"/>
      <c r="L192" s="666"/>
      <c r="M192" s="666"/>
      <c r="N192" s="666"/>
      <c r="O192" s="666"/>
      <c r="P192" s="666"/>
    </row>
    <row r="193" spans="1:18" s="54" customFormat="1" ht="75" x14ac:dyDescent="0.25">
      <c r="A193" s="119"/>
      <c r="B193" s="309"/>
      <c r="C193" s="322">
        <f ca="1">IF(F208&gt;0,1,0)</f>
        <v>1</v>
      </c>
      <c r="D193" s="45" t="str">
        <f>A14</f>
        <v>Columbia</v>
      </c>
      <c r="E193" s="28">
        <f>+SUMIF(A:A,D193,B:B)</f>
        <v>1.1018389345949667E-4</v>
      </c>
      <c r="F193" s="652" t="s">
        <v>61</v>
      </c>
      <c r="G193" s="652" t="s">
        <v>387</v>
      </c>
      <c r="H193" s="652" t="s">
        <v>388</v>
      </c>
      <c r="I193" s="652" t="s">
        <v>392</v>
      </c>
      <c r="J193" s="652" t="s">
        <v>31</v>
      </c>
      <c r="K193" s="652" t="s">
        <v>32</v>
      </c>
      <c r="L193" s="653" t="s">
        <v>33</v>
      </c>
      <c r="M193" s="653" t="s">
        <v>60</v>
      </c>
      <c r="N193" s="653" t="s">
        <v>59</v>
      </c>
      <c r="O193" s="653" t="s">
        <v>58</v>
      </c>
      <c r="P193" s="653" t="s">
        <v>16</v>
      </c>
    </row>
    <row r="194" spans="1:18" s="54" customFormat="1" x14ac:dyDescent="0.25">
      <c r="A194" s="119"/>
      <c r="B194" s="309"/>
      <c r="C194" s="322">
        <f ca="1">C193</f>
        <v>1</v>
      </c>
      <c r="D194" s="56"/>
      <c r="E194" s="57"/>
      <c r="F194" s="654" t="s">
        <v>57</v>
      </c>
      <c r="G194" s="654" t="s">
        <v>56</v>
      </c>
      <c r="H194" s="654" t="s">
        <v>55</v>
      </c>
      <c r="I194" s="654" t="s">
        <v>54</v>
      </c>
      <c r="J194" s="654" t="s">
        <v>53</v>
      </c>
      <c r="K194" s="654" t="s">
        <v>52</v>
      </c>
      <c r="L194" s="654" t="s">
        <v>51</v>
      </c>
      <c r="M194" s="654" t="s">
        <v>50</v>
      </c>
      <c r="N194" s="654" t="s">
        <v>49</v>
      </c>
      <c r="O194" s="654" t="s">
        <v>47</v>
      </c>
      <c r="P194" s="655" t="s">
        <v>77</v>
      </c>
    </row>
    <row r="195" spans="1:18" s="54" customFormat="1" x14ac:dyDescent="0.25">
      <c r="A195" s="119"/>
      <c r="B195" s="309"/>
      <c r="C195" s="322">
        <f t="shared" ref="C195:C207" ca="1" si="77">C194</f>
        <v>1</v>
      </c>
      <c r="D195" s="59" t="s">
        <v>26</v>
      </c>
      <c r="E195" s="57"/>
      <c r="F195" s="656"/>
      <c r="G195" s="656"/>
      <c r="H195" s="656"/>
      <c r="I195" s="656"/>
      <c r="J195" s="656"/>
      <c r="K195" s="656"/>
      <c r="L195" s="656"/>
      <c r="M195" s="656"/>
      <c r="N195" s="656"/>
      <c r="O195" s="656"/>
      <c r="P195" s="663"/>
    </row>
    <row r="196" spans="1:18" s="54" customFormat="1" x14ac:dyDescent="0.25">
      <c r="A196" s="119"/>
      <c r="B196" s="309"/>
      <c r="C196" s="322">
        <f t="shared" ca="1" si="77"/>
        <v>1</v>
      </c>
      <c r="D196" s="7" t="s">
        <v>34</v>
      </c>
      <c r="E196" s="48" t="s">
        <v>57</v>
      </c>
      <c r="F196" s="657">
        <f ca="1">+H196+G196+I196</f>
        <v>0</v>
      </c>
      <c r="G196" s="658">
        <f ca="1">+IFERROR(G$5*GETPIVOTDATA("Unique Billed Hours",'County allocation'!$A$3,"County",$D193,"HHA/CDPAP","HHA","Level of Service",$D196),0)</f>
        <v>0</v>
      </c>
      <c r="H196" s="658">
        <f>+IFERROR(H$5*GETPIVOTDATA("Unique Billed Hours",'County allocation'!$S$3,"County",$D193,"HHA/CDPAP","HHA","Level of Service",$D196),0)</f>
        <v>0</v>
      </c>
      <c r="I196" s="664">
        <f ca="1">SUM(J196:P196)</f>
        <v>0</v>
      </c>
      <c r="J196" s="658">
        <f ca="1">+IFERROR(J$5*GETPIVOTDATA("Unique Billed Hours",'County allocation'!$AC$3,"County",$D193,"HHA/CDPAP","HHA","Level of Service",$D196),0)</f>
        <v>0</v>
      </c>
      <c r="K196" s="658">
        <f ca="1">+IFERROR(K$5*GETPIVOTDATA("Unique Billed Hours",'County allocation'!$X$3,"County",$D193,"HHA/CDPAP","HHA","Level of Service",$D196),0)</f>
        <v>0</v>
      </c>
      <c r="L196" s="658">
        <f ca="1">+IFERROR(L$2*GETPIVOTDATA("Unique Billed Hours",'County allocation'!$O$3,"County",$D193,"HHA/CDPAP","HHA","Level of Service",$D196),0)</f>
        <v>0</v>
      </c>
      <c r="M196" s="658">
        <f>+IFERROR(M$5*GETPIVOTDATA("Unique Billed Hours",'County allocation'!$S$3,"County",$D193,"HHA/CDPAP","HHA","Level of Service",$D196),0)</f>
        <v>0</v>
      </c>
      <c r="N196" s="658">
        <f>+IFERROR(N$5*GETPIVOTDATA("Unique Billed Hours",'County allocation'!$S$3,"County",$D193,"HHA/CDPAP","HHA","Level of Service",$D196),0)</f>
        <v>0</v>
      </c>
      <c r="O196" s="658">
        <f>+IFERROR(O$5*GETPIVOTDATA("Unique Billed Hours",'County allocation'!$K$19,"County",$D193,"HHA/CDPAP","HHA","Level of Service",$D196),0)</f>
        <v>0</v>
      </c>
      <c r="P196" s="658">
        <f>+IFERROR(P$5*GETPIVOTDATA("Unique Billed Hours",'County allocation'!$S$3,"County",$D193,"HHA/CDPAP","HHA","Level of Service",$D196),0)</f>
        <v>0</v>
      </c>
    </row>
    <row r="197" spans="1:18" s="54" customFormat="1" x14ac:dyDescent="0.25">
      <c r="A197" s="119"/>
      <c r="B197" s="309"/>
      <c r="C197" s="322">
        <f t="shared" ca="1" si="77"/>
        <v>1</v>
      </c>
      <c r="D197" s="7" t="s">
        <v>35</v>
      </c>
      <c r="E197" s="48" t="s">
        <v>56</v>
      </c>
      <c r="F197" s="657">
        <f t="shared" ref="F197:F208" ca="1" si="78">+H197+G197+I197</f>
        <v>21096.316276833004</v>
      </c>
      <c r="G197" s="658">
        <f ca="1">+IFERROR(G$5*GETPIVOTDATA("Unique Billed Hours",'County allocation'!$A$3,"County",$D193,"HHA/CDPAP","HHA","Level of Service",$D197),0)</f>
        <v>707.71633454747041</v>
      </c>
      <c r="H197" s="658">
        <f>+IFERROR(H$5*GETPIVOTDATA("Unique Billed Hours",'County allocation'!$S$3,"County",$D193,"HHA/CDPAP","HHA","Level of Service",$D197),0)</f>
        <v>1210.6184770903142</v>
      </c>
      <c r="I197" s="664">
        <f t="shared" ref="I197:I207" ca="1" si="79">SUM(J197:P197)</f>
        <v>19177.981465195218</v>
      </c>
      <c r="J197" s="658">
        <f ca="1">+IFERROR(J$5*GETPIVOTDATA("Unique Billed Hours",'County allocation'!$AC$3,"County",$D193,"HHA/CDPAP","HHA","Level of Service",$D197),0)</f>
        <v>2520.5646689034807</v>
      </c>
      <c r="K197" s="658">
        <f ca="1">+IFERROR(K$5*GETPIVOTDATA("Unique Billed Hours",'County allocation'!$X$3,"County",$D193,"HHA/CDPAP","HHA","Level of Service",$D197),0)</f>
        <v>16294.452128298268</v>
      </c>
      <c r="L197" s="658">
        <f ca="1">+IFERROR(L$2*GETPIVOTDATA("Unique Billed Hours",'County allocation'!$O$3,"County",$D193,"HHA/CDPAP","HHA","Level of Service",$D197),0)</f>
        <v>233.70865045695442</v>
      </c>
      <c r="M197" s="658">
        <f>+IFERROR(M$5*GETPIVOTDATA("Unique Billed Hours",'County allocation'!$S$3,"County",$D193,"HHA/CDPAP","HHA","Level of Service",$D197),0)</f>
        <v>119.26681887234362</v>
      </c>
      <c r="N197" s="658">
        <f>+IFERROR(N$5*GETPIVOTDATA("Unique Billed Hours",'County allocation'!$S$3,"County",$D193,"HHA/CDPAP","HHA","Level of Service",$D197),0)</f>
        <v>9.9891986641694608</v>
      </c>
      <c r="O197" s="658">
        <f>+IFERROR(O$5*GETPIVOTDATA("Unique Billed Hours",'County allocation'!$K$19,"County",$D193,"HHA/CDPAP","HHA","Level of Service",$D197),0)</f>
        <v>0</v>
      </c>
      <c r="P197" s="658">
        <f>+IFERROR(P$5*GETPIVOTDATA("Unique Billed Hours",'County allocation'!$S$3,"County",$D193,"HHA/CDPAP","HHA","Level of Service",$D197),0)</f>
        <v>0</v>
      </c>
      <c r="R197" s="61"/>
    </row>
    <row r="198" spans="1:18" s="54" customFormat="1" x14ac:dyDescent="0.25">
      <c r="A198" s="302"/>
      <c r="B198" s="309"/>
      <c r="C198" s="322">
        <f t="shared" ca="1" si="77"/>
        <v>1</v>
      </c>
      <c r="D198" s="7" t="s">
        <v>36</v>
      </c>
      <c r="E198" s="48" t="s">
        <v>55</v>
      </c>
      <c r="F198" s="657">
        <f t="shared" ca="1" si="78"/>
        <v>0</v>
      </c>
      <c r="G198" s="658">
        <f ca="1">+IFERROR(G$5*GETPIVOTDATA("Unique Billed Hours",'County allocation'!$A$3,"County",$D193,"HHA/CDPAP","HHA","Level of Service",$D198),0)</f>
        <v>0</v>
      </c>
      <c r="H198" s="658">
        <f>+IFERROR(H$5*GETPIVOTDATA("Unique Billed Hours",'County allocation'!$S$3,"County",$D193,"HHA/CDPAP","HHA","Level of Service",$D198),0)</f>
        <v>0</v>
      </c>
      <c r="I198" s="664">
        <f t="shared" ca="1" si="79"/>
        <v>0</v>
      </c>
      <c r="J198" s="658">
        <f ca="1">+IFERROR(J$5*GETPIVOTDATA("Unique Billed Hours",'County allocation'!$AC$3,"County",$D193,"HHA/CDPAP","HHA","Level of Service",$D198),0)</f>
        <v>0</v>
      </c>
      <c r="K198" s="658">
        <f ca="1">+IFERROR(K$5*GETPIVOTDATA("Unique Billed Hours",'County allocation'!$X$3,"County",$D193,"HHA/CDPAP","HHA","Level of Service",$D198),0)</f>
        <v>0</v>
      </c>
      <c r="L198" s="658">
        <f ca="1">+IFERROR(L$2*GETPIVOTDATA("Unique Billed Hours",'County allocation'!$O$3,"County",$D193,"HHA/CDPAP","HHA","Level of Service",$D198),0)</f>
        <v>0</v>
      </c>
      <c r="M198" s="658">
        <f>+IFERROR(M$5*GETPIVOTDATA("Unique Billed Hours",'County allocation'!$S$3,"County",$D193,"HHA/CDPAP","HHA","Level of Service",$D198),0)</f>
        <v>0</v>
      </c>
      <c r="N198" s="658">
        <f>+IFERROR(N$5*GETPIVOTDATA("Unique Billed Hours",'County allocation'!$S$3,"County",$D193,"HHA/CDPAP","HHA","Level of Service",$D198),0)</f>
        <v>0</v>
      </c>
      <c r="O198" s="658">
        <f>+IFERROR(O$5*GETPIVOTDATA("Unique Billed Hours",'County allocation'!$K$19,"County",$D193,"HHA/CDPAP","HHA","Level of Service",$D198),0)</f>
        <v>0</v>
      </c>
      <c r="P198" s="658">
        <f>+IFERROR(P$5*GETPIVOTDATA("Unique Billed Hours",'County allocation'!$S$3,"County",$D193,"HHA/CDPAP","HHA","Level of Service",$D198),0)</f>
        <v>0</v>
      </c>
    </row>
    <row r="199" spans="1:18" s="54" customFormat="1" x14ac:dyDescent="0.25">
      <c r="A199" s="119"/>
      <c r="B199" s="309"/>
      <c r="C199" s="322">
        <f t="shared" ca="1" si="77"/>
        <v>1</v>
      </c>
      <c r="D199" s="7" t="s">
        <v>37</v>
      </c>
      <c r="E199" s="48" t="s">
        <v>54</v>
      </c>
      <c r="F199" s="657">
        <f t="shared" ca="1" si="78"/>
        <v>0</v>
      </c>
      <c r="G199" s="658">
        <f ca="1">+IFERROR(G$5*GETPIVOTDATA("Unique Billed Hours",'County allocation'!$A$3,"County",$D193,"HHA/CDPAP","HHA","Level of Service",$D199),0)</f>
        <v>0</v>
      </c>
      <c r="H199" s="658">
        <f>+IFERROR(H$5*GETPIVOTDATA("Unique Billed Hours",'County allocation'!$S$3,"County",$D193,"HHA/CDPAP","HHA","Level of Service",$D199),0)</f>
        <v>0</v>
      </c>
      <c r="I199" s="664">
        <f t="shared" ca="1" si="79"/>
        <v>0</v>
      </c>
      <c r="J199" s="658">
        <f ca="1">+IFERROR(J$5*GETPIVOTDATA("Unique Billed Hours",'County allocation'!$AC$3,"County",$D193,"HHA/CDPAP","HHA","Level of Service",$D199),0)</f>
        <v>0</v>
      </c>
      <c r="K199" s="658">
        <f ca="1">+IFERROR(K$5*GETPIVOTDATA("Unique Billed Hours",'County allocation'!$X$3,"County",$D193,"HHA/CDPAP","HHA","Level of Service",$D199),0)</f>
        <v>0</v>
      </c>
      <c r="L199" s="658">
        <f ca="1">+IFERROR(L$2*GETPIVOTDATA("Unique Billed Hours",'County allocation'!$O$3,"County",$D193,"HHA/CDPAP","HHA","Level of Service",$D199),0)</f>
        <v>0</v>
      </c>
      <c r="M199" s="658">
        <f>+IFERROR(M$5*GETPIVOTDATA("Unique Billed Hours",'County allocation'!$S$3,"County",$D193,"HHA/CDPAP","HHA","Level of Service",$D199),0)</f>
        <v>0</v>
      </c>
      <c r="N199" s="658">
        <f>+IFERROR(N$5*GETPIVOTDATA("Unique Billed Hours",'County allocation'!$S$3,"County",$D193,"HHA/CDPAP","HHA","Level of Service",$D199),0)</f>
        <v>0</v>
      </c>
      <c r="O199" s="658">
        <f>+IFERROR(O$5*GETPIVOTDATA("Unique Billed Hours",'County allocation'!$K$19,"County",$D193,"HHA/CDPAP","HHA","Level of Service",$D199),0)</f>
        <v>0</v>
      </c>
      <c r="P199" s="658">
        <f>+IFERROR(P$5*GETPIVOTDATA("Unique Billed Hours",'County allocation'!$S$3,"County",$D193,"HHA/CDPAP","HHA","Level of Service",$D199),0)</f>
        <v>0</v>
      </c>
    </row>
    <row r="200" spans="1:18" s="54" customFormat="1" x14ac:dyDescent="0.25">
      <c r="A200" s="119"/>
      <c r="B200" s="309"/>
      <c r="C200" s="322">
        <f t="shared" ca="1" si="77"/>
        <v>1</v>
      </c>
      <c r="D200" s="7" t="s">
        <v>38</v>
      </c>
      <c r="E200" s="48" t="s">
        <v>53</v>
      </c>
      <c r="F200" s="657">
        <f t="shared" ca="1" si="78"/>
        <v>0</v>
      </c>
      <c r="G200" s="658">
        <f ca="1">+IFERROR(G$5*GETPIVOTDATA("Unique Billed Hours",'County allocation'!$A$3,"County",$D193,"HHA/CDPAP","HHA","Level of Service",$D200),0)</f>
        <v>0</v>
      </c>
      <c r="H200" s="658">
        <f>+IFERROR(H$5*GETPIVOTDATA("Unique Billed Hours",'County allocation'!$S$3,"County",$D193,"HHA/CDPAP","HHA","Level of Service",$D200),0)</f>
        <v>0</v>
      </c>
      <c r="I200" s="664">
        <f t="shared" ca="1" si="79"/>
        <v>0</v>
      </c>
      <c r="J200" s="658">
        <f ca="1">+IFERROR(J$5*GETPIVOTDATA("Unique Billed Hours",'County allocation'!$AC$3,"County",$D193,"HHA/CDPAP","HHA","Level of Service",$D200),0)</f>
        <v>0</v>
      </c>
      <c r="K200" s="658">
        <f ca="1">+IFERROR(K$5*GETPIVOTDATA("Unique Billed Hours",'County allocation'!$X$3,"County",$D193,"HHA/CDPAP","HHA","Level of Service",$D200),0)</f>
        <v>0</v>
      </c>
      <c r="L200" s="658">
        <f ca="1">+IFERROR(L$5*GETPIVOTDATA("Unique Billed Hours",'County allocation'!$K$19,"County",$D193,"HHA/CDPAP","HHA","Level of Service",$D200),0)</f>
        <v>0</v>
      </c>
      <c r="M200" s="658">
        <f>+IFERROR(M$5*GETPIVOTDATA("Unique Billed Hours",'County allocation'!$S$3,"County",$D193,"HHA/CDPAP","HHA","Level of Service",$D200),0)</f>
        <v>0</v>
      </c>
      <c r="N200" s="658">
        <f>+IFERROR(N$5*GETPIVOTDATA("Unique Billed Hours",'County allocation'!$S$3,"County",$D193,"HHA/CDPAP","HHA","Level of Service",$D200),0)</f>
        <v>0</v>
      </c>
      <c r="O200" s="658">
        <f>+IFERROR(O$5*GETPIVOTDATA("Unique Billed Hours",'County allocation'!$K$19,"County",$D193,"HHA/CDPAP","HHA","Level of Service",$D200),0)</f>
        <v>0</v>
      </c>
      <c r="P200" s="658">
        <f>+IFERROR(P$5*GETPIVOTDATA("Unique Billed Hours",'County allocation'!$S$3,"County",$D193,"HHA/CDPAP","HHA","Level of Service",$D200),0)</f>
        <v>0</v>
      </c>
    </row>
    <row r="201" spans="1:18" s="54" customFormat="1" x14ac:dyDescent="0.25">
      <c r="A201" s="119"/>
      <c r="B201" s="309"/>
      <c r="C201" s="322">
        <f t="shared" ca="1" si="77"/>
        <v>1</v>
      </c>
      <c r="D201" s="7" t="s">
        <v>39</v>
      </c>
      <c r="E201" s="48" t="s">
        <v>52</v>
      </c>
      <c r="F201" s="657">
        <f t="shared" ca="1" si="78"/>
        <v>8.2203495113036471</v>
      </c>
      <c r="G201" s="658">
        <f ca="1">+IFERROR(G$5*GETPIVOTDATA("Unique Billed Hours",'County allocation'!$A$3,"County",$D193,"HHA/CDPAP","HHA","Level of Service",$D201),0)</f>
        <v>0</v>
      </c>
      <c r="H201" s="658">
        <f>+IFERROR(H$5*GETPIVOTDATA("Unique Billed Hours",'County allocation'!$S$3,"County",$D193,"HHA/CDPAP","HHA","Level of Service",$D201),0)</f>
        <v>0</v>
      </c>
      <c r="I201" s="664">
        <f t="shared" ca="1" si="79"/>
        <v>8.2203495113036471</v>
      </c>
      <c r="J201" s="658">
        <f ca="1">+IFERROR(J$5*GETPIVOTDATA("Unique Billed Hours",'County allocation'!$AC$3,"County",$D193,"HHA/CDPAP","HHA","Level of Service",$D201),0)</f>
        <v>8.2203495113036471</v>
      </c>
      <c r="K201" s="658">
        <f ca="1">+IFERROR(K$5*GETPIVOTDATA("Unique Billed Hours",'County allocation'!$X$3,"County",$D193,"HHA/CDPAP","HHA","Level of Service",$D201),0)</f>
        <v>0</v>
      </c>
      <c r="L201" s="658">
        <f ca="1">+IFERROR(L$5*GETPIVOTDATA("Unique Billed Hours",'County allocation'!$K$19,"County",$D193,"HHA/CDPAP","HHA","Level of Service",$D201),0)</f>
        <v>0</v>
      </c>
      <c r="M201" s="658">
        <f>+IFERROR(M$5*GETPIVOTDATA("Unique Billed Hours",'County allocation'!$S$3,"County",$D193,"HHA/CDPAP","HHA","Level of Service",$D201),0)</f>
        <v>0</v>
      </c>
      <c r="N201" s="658">
        <f>+IFERROR(N$5*GETPIVOTDATA("Unique Billed Hours",'County allocation'!$S$3,"County",$D193,"HHA/CDPAP","HHA","Level of Service",$D201),0)</f>
        <v>0</v>
      </c>
      <c r="O201" s="658">
        <f>+IFERROR(O$5*GETPIVOTDATA("Unique Billed Hours",'County allocation'!$K$19,"County",$D193,"HHA/CDPAP","HHA","Level of Service",$D201),0)</f>
        <v>0</v>
      </c>
      <c r="P201" s="658">
        <f>+IFERROR(P$5*GETPIVOTDATA("Unique Billed Hours",'County allocation'!$S$3,"County",$D193,"HHA/CDPAP","HHA","Level of Service",$D201),0)</f>
        <v>0</v>
      </c>
    </row>
    <row r="202" spans="1:18" s="54" customFormat="1" x14ac:dyDescent="0.25">
      <c r="A202" s="119"/>
      <c r="B202" s="309"/>
      <c r="C202" s="322">
        <f t="shared" ca="1" si="77"/>
        <v>1</v>
      </c>
      <c r="D202" s="8" t="s">
        <v>40</v>
      </c>
      <c r="E202" s="48" t="s">
        <v>51</v>
      </c>
      <c r="F202" s="657">
        <f t="shared" ca="1" si="78"/>
        <v>0</v>
      </c>
      <c r="G202" s="658">
        <f ca="1">+IFERROR(G$5*GETPIVOTDATA("Unique Billed Hours",'County allocation'!$A$3,"County",$D193,"HHA/CDPAP","HHA","Level of Service",$D202),0)</f>
        <v>0</v>
      </c>
      <c r="H202" s="658">
        <f>+IFERROR(H$5*GETPIVOTDATA("Unique Billed Hours",'County allocation'!$S$3,"County",$D193,"HHA/CDPAP","HHA","Level of Service",$D202),0)</f>
        <v>0</v>
      </c>
      <c r="I202" s="664">
        <f t="shared" ca="1" si="79"/>
        <v>0</v>
      </c>
      <c r="J202" s="658">
        <f ca="1">+IFERROR(J$5*GETPIVOTDATA("Unique Billed Hours",'County allocation'!$AC$3,"County",$D193,"HHA/CDPAP","HHA","Level of Service",$D202),0)</f>
        <v>0</v>
      </c>
      <c r="K202" s="658">
        <f ca="1">+IFERROR(K$5*GETPIVOTDATA("Unique Billed Hours",'County allocation'!$X$3,"County",$D193,"HHA/CDPAP","HHA","Level of Service",$D202),0)</f>
        <v>0</v>
      </c>
      <c r="L202" s="658">
        <f ca="1">+IFERROR(L$2*GETPIVOTDATA("Unique Billed Hours",'County allocation'!$O$3,"County",$D193,"HHA/CDPAP","HHA","Level of Service",$D202),0)</f>
        <v>0</v>
      </c>
      <c r="M202" s="658">
        <f>+IFERROR(M$5*GETPIVOTDATA("Unique Billed Hours",'County allocation'!$S$3,"County",$D193,"HHA/CDPAP","HHA","Level of Service",$D202),0)</f>
        <v>0</v>
      </c>
      <c r="N202" s="658">
        <f>+IFERROR(N$5*GETPIVOTDATA("Unique Billed Hours",'County allocation'!$S$3,"County",$D193,"HHA/CDPAP","HHA","Level of Service",$D202),0)</f>
        <v>0</v>
      </c>
      <c r="O202" s="658">
        <f>+IFERROR(O$5*GETPIVOTDATA("Unique Billed Hours",'County allocation'!$K$19,"County",$D193,"HHA/CDPAP","HHA","Level of Service",$D202),0)</f>
        <v>0</v>
      </c>
      <c r="P202" s="658">
        <f>+IFERROR(P$5*GETPIVOTDATA("Unique Billed Hours",'County allocation'!$S$3,"County",$D193,"HHA/CDPAP","HHA","Level of Service",$D202),0)</f>
        <v>0</v>
      </c>
    </row>
    <row r="203" spans="1:18" s="54" customFormat="1" x14ac:dyDescent="0.25">
      <c r="A203" s="119"/>
      <c r="B203" s="309"/>
      <c r="C203" s="322">
        <f t="shared" ca="1" si="77"/>
        <v>1</v>
      </c>
      <c r="D203" s="8" t="s">
        <v>41</v>
      </c>
      <c r="E203" s="48" t="s">
        <v>50</v>
      </c>
      <c r="F203" s="657">
        <f t="shared" ca="1" si="78"/>
        <v>0</v>
      </c>
      <c r="G203" s="658">
        <f ca="1">+IFERROR(G$5*GETPIVOTDATA("Unique Billed Hours",'County allocation'!$A$3,"County",$D193,"HHA/CDPAP","HHA","Level of Service",$D203),0)</f>
        <v>0</v>
      </c>
      <c r="H203" s="658">
        <f>+IFERROR(H$5*GETPIVOTDATA("Unique Billed Hours",'County allocation'!$S$3,"County",$D193,"HHA/CDPAP","HHA","Level of Service",$D203),0)</f>
        <v>0</v>
      </c>
      <c r="I203" s="664">
        <f t="shared" ca="1" si="79"/>
        <v>0</v>
      </c>
      <c r="J203" s="658">
        <f ca="1">+IFERROR(J$5*GETPIVOTDATA("Unique Billed Hours",'County allocation'!$AC$3,"County",$D193,"HHA/CDPAP","HHA","Level of Service",$D203),0)</f>
        <v>0</v>
      </c>
      <c r="K203" s="658">
        <f ca="1">+IFERROR(K$5*GETPIVOTDATA("Unique Billed Hours",'County allocation'!$X$3,"County",$D193,"HHA/CDPAP","HHA","Level of Service",$D203),0)</f>
        <v>0</v>
      </c>
      <c r="L203" s="658">
        <f ca="1">+IFERROR(L$2*GETPIVOTDATA("Unique Billed Hours",'County allocation'!$O$3,"County",$D193,"HHA/CDPAP","HHA","Level of Service",$D203),0)</f>
        <v>0</v>
      </c>
      <c r="M203" s="658">
        <f>+IFERROR(M$5*GETPIVOTDATA("Unique Billed Hours",'County allocation'!$S$3,"County",$D193,"HHA/CDPAP","HHA","Level of Service",$D203),0)</f>
        <v>0</v>
      </c>
      <c r="N203" s="658">
        <f>+IFERROR(N$5*GETPIVOTDATA("Unique Billed Hours",'County allocation'!$S$3,"County",$D193,"HHA/CDPAP","HHA","Level of Service",$D203),0)</f>
        <v>0</v>
      </c>
      <c r="O203" s="658">
        <f>+IFERROR(O$5*GETPIVOTDATA("Unique Billed Hours",'County allocation'!$K$19,"County",$D193,"HHA/CDPAP","HHA","Level of Service",$D203),0)</f>
        <v>0</v>
      </c>
      <c r="P203" s="658">
        <f>+IFERROR(P$5*GETPIVOTDATA("Unique Billed Hours",'County allocation'!$S$3,"County",$D193,"HHA/CDPAP","HHA","Level of Service",$D203),0)</f>
        <v>0</v>
      </c>
    </row>
    <row r="204" spans="1:18" s="54" customFormat="1" ht="15.75" thickBot="1" x14ac:dyDescent="0.3">
      <c r="A204" s="119"/>
      <c r="B204" s="309"/>
      <c r="C204" s="322">
        <f t="shared" ca="1" si="77"/>
        <v>1</v>
      </c>
      <c r="D204" s="52" t="s">
        <v>389</v>
      </c>
      <c r="E204" s="53" t="s">
        <v>49</v>
      </c>
      <c r="F204" s="657">
        <f t="shared" ca="1" si="78"/>
        <v>21104.536626344307</v>
      </c>
      <c r="G204" s="661">
        <f ca="1">SUM(G196:G203)</f>
        <v>707.71633454747041</v>
      </c>
      <c r="H204" s="661">
        <f>SUM(H196:H203)</f>
        <v>1210.6184770903142</v>
      </c>
      <c r="I204" s="664">
        <f t="shared" ca="1" si="79"/>
        <v>19186.201814706521</v>
      </c>
      <c r="J204" s="661">
        <f ca="1">SUM(J196:J203)</f>
        <v>2528.7850184147842</v>
      </c>
      <c r="K204" s="661">
        <f t="shared" ref="K204:P204" ca="1" si="80">SUM(K196:K203)</f>
        <v>16294.452128298268</v>
      </c>
      <c r="L204" s="661">
        <f t="shared" ca="1" si="80"/>
        <v>233.70865045695442</v>
      </c>
      <c r="M204" s="661">
        <f t="shared" si="80"/>
        <v>119.26681887234362</v>
      </c>
      <c r="N204" s="661">
        <f t="shared" si="80"/>
        <v>9.9891986641694608</v>
      </c>
      <c r="O204" s="661">
        <f t="shared" si="80"/>
        <v>0</v>
      </c>
      <c r="P204" s="661">
        <f t="shared" si="80"/>
        <v>0</v>
      </c>
    </row>
    <row r="205" spans="1:18" s="54" customFormat="1" x14ac:dyDescent="0.25">
      <c r="A205" s="119"/>
      <c r="B205" s="309"/>
      <c r="C205" s="322">
        <f t="shared" ca="1" si="77"/>
        <v>1</v>
      </c>
      <c r="D205" s="371" t="s">
        <v>390</v>
      </c>
      <c r="E205" s="325" t="s">
        <v>47</v>
      </c>
      <c r="F205" s="657">
        <f t="shared" ca="1" si="78"/>
        <v>0</v>
      </c>
      <c r="G205" s="665">
        <f ca="1">+IFERROR((G$5*GETPIVOTDATA("Unique Billed Hours",'County allocation'!$A$3,"County",$D193,"HHA/CDPAP","HHA","Level of Service",$D205))+($G$2*GETPIVOTDATA("Unique Billed Hours",'County allocation'!$F$7,"County",$D193,"HHA/CDPAP","HHA","Level of Service",$D205)),0)++IFERROR(J$5*GETPIVOTDATA("Unique Billed Hours",'County allocation'!$AC$3,"County",$D193,"HHA/CDPAP","HHA","Level of Service",$D205),0)+ +IFERROR(J$5*GETPIVOTDATA("Unique Billed Hours",'County allocation'!$AC$3,"County",$D193,"HHA/CDPAP","HHA","Level of Service",$D206),0)</f>
        <v>0</v>
      </c>
      <c r="H205" s="665">
        <f>+IFERROR(H$5*GETPIVOTDATA("Unique Billed Hours",'County allocation'!$S$3,"County",$D193,"HHA/CDPAP","HHA","Level of Service",$D205),0)</f>
        <v>0</v>
      </c>
      <c r="I205" s="664">
        <f t="shared" ca="1" si="79"/>
        <v>0</v>
      </c>
      <c r="J205" s="901"/>
      <c r="K205" s="665">
        <f ca="1">+IFERROR(K$5*GETPIVOTDATA("Unique Billed Hours",'County allocation'!$X$3,"County",$D193,"HHA/CDPAP","HHA","Level of Service",$D205),0)</f>
        <v>0</v>
      </c>
      <c r="L205" s="665">
        <f ca="1">+IFERROR(L$5*GETPIVOTDATA("Unique Billed Hours",'County allocation'!$K$19,"County",$D193,"HHA/CDPAP","HHA","Level of Service",$D205),0)</f>
        <v>0</v>
      </c>
      <c r="M205" s="665">
        <f>+IFERROR(M$5*GETPIVOTDATA("Unique Billed Hours",'County allocation'!$S$3,"County",$D193,"HHA/CDPAP","HHA","Level of Service",$D205),0)</f>
        <v>0</v>
      </c>
      <c r="N205" s="665">
        <f>+IFERROR(N$5*GETPIVOTDATA("Unique Billed Hours",'County allocation'!$S$3,"County",$D193,"HHA/CDPAP","HHA","Level of Service",$D205),0)</f>
        <v>0</v>
      </c>
      <c r="O205" s="665">
        <f>+IFERROR(O$5*GETPIVOTDATA("Unique Billed Hours",'County allocation'!$S$3,"County",$D193,"HHA/CDPAP","HHA","Level of Service",$D205),0)</f>
        <v>0</v>
      </c>
      <c r="P205" s="665">
        <f>+IFERROR(P$5*GETPIVOTDATA("Unique Billed Hours",'County allocation'!$S$3,"County",$D193,"HHA/CDPAP","HHA","Level of Service",$D205),0)</f>
        <v>0</v>
      </c>
    </row>
    <row r="206" spans="1:18" s="54" customFormat="1" x14ac:dyDescent="0.25">
      <c r="A206" s="119"/>
      <c r="B206" s="309"/>
      <c r="C206" s="322">
        <f t="shared" ca="1" si="77"/>
        <v>1</v>
      </c>
      <c r="D206" s="8" t="s">
        <v>391</v>
      </c>
      <c r="E206" s="370" t="s">
        <v>77</v>
      </c>
      <c r="F206" s="657">
        <f t="shared" ca="1" si="78"/>
        <v>0</v>
      </c>
      <c r="G206" s="656"/>
      <c r="H206" s="658">
        <f>+IFERROR(H$5*GETPIVOTDATA("Unique Billed Hours",'County allocation'!$S$3,"County",$D193,"HHA/CDPAP","HHA","Level of Service",$D206),0)</f>
        <v>0</v>
      </c>
      <c r="I206" s="664">
        <f t="shared" ca="1" si="79"/>
        <v>0</v>
      </c>
      <c r="J206" s="901"/>
      <c r="K206" s="665">
        <f ca="1">+IFERROR(K$5*GETPIVOTDATA("Unique Billed Hours",'County allocation'!$X$3,"County",$D193,"HHA/CDPAP","HHA","Level of Service",$D206),0)</f>
        <v>0</v>
      </c>
      <c r="L206" s="665">
        <f ca="1">+IFERROR(L$5*GETPIVOTDATA("Unique Billed Hours",'County allocation'!$K$19,"County",$D193,"HHA/CDPAP","HHA","Level of Service",$D206),0)</f>
        <v>0</v>
      </c>
      <c r="M206" s="665">
        <f>+IFERROR(M$5*GETPIVOTDATA("Unique Billed Hours",'County allocation'!$S$3,"County",$D193,"HHA/CDPAP","HHA","Level of Service",$D206),0)</f>
        <v>0</v>
      </c>
      <c r="N206" s="665">
        <f>+IFERROR(N$5*GETPIVOTDATA("Unique Billed Hours",'County allocation'!$S$3,"County",$D193,"HHA/CDPAP","HHA","Level of Service",$D206),0)</f>
        <v>0</v>
      </c>
      <c r="O206" s="665">
        <f>+IFERROR(O$5*GETPIVOTDATA("Unique Billed Hours",'County allocation'!$S$3,"County",$D193,"HHA/CDPAP","HHA","Level of Service",$D206),0)</f>
        <v>0</v>
      </c>
      <c r="P206" s="665">
        <f>+IFERROR(P$5*GETPIVOTDATA("Unique Billed Hours",'County allocation'!$S$3,"County",$D193,"HHA/CDPAP","HHA","Level of Service",$D206),0)</f>
        <v>0</v>
      </c>
    </row>
    <row r="207" spans="1:18" s="54" customFormat="1" x14ac:dyDescent="0.25">
      <c r="A207" s="119"/>
      <c r="B207" s="309"/>
      <c r="C207" s="322">
        <f t="shared" ca="1" si="77"/>
        <v>1</v>
      </c>
      <c r="D207" s="8" t="s">
        <v>374</v>
      </c>
      <c r="E207" s="370" t="s">
        <v>78</v>
      </c>
      <c r="F207" s="657">
        <f t="shared" ca="1" si="78"/>
        <v>0</v>
      </c>
      <c r="G207" s="658">
        <f ca="1">+IFERROR(G$5*GETPIVOTDATA("Unique Billed Hours",'County allocation'!$A$3,"County",$D193,"HHA/CDPAP","HHA","Level of Service",$D207),0)++IFERROR(J$5*GETPIVOTDATA("Unique Billed Hours",'County allocation'!$AC$3,"County",$D193,"HHA/CDPAP","HHA","Level of Service",$D207),0)</f>
        <v>0</v>
      </c>
      <c r="H207" s="658">
        <f>+IFERROR(H$5*GETPIVOTDATA("Unique Billed Hours",'County allocation'!$S$3,"County",$D193,"HHA/CDPAP","HHA","Level of Service",$D207),0)</f>
        <v>0</v>
      </c>
      <c r="I207" s="664">
        <f t="shared" ca="1" si="79"/>
        <v>0</v>
      </c>
      <c r="J207" s="901"/>
      <c r="K207" s="665">
        <f ca="1">+IFERROR(K$5*GETPIVOTDATA("Unique Billed Hours",'County allocation'!$X$3,"County",$D193,"HHA/CDPAP","HHA","Level of Service",$D207),0)</f>
        <v>0</v>
      </c>
      <c r="L207" s="665">
        <f ca="1">+IFERROR(L$5*GETPIVOTDATA("Unique Billed Hours",'County allocation'!$K$19,"County",$D193,"HHA/CDPAP","HHA","Level of Service",$D207),0)</f>
        <v>0</v>
      </c>
      <c r="M207" s="665">
        <f>+IFERROR(M$5*GETPIVOTDATA("Unique Billed Hours",'County allocation'!$S$3,"County",$D193,"HHA/CDPAP","HHA","Level of Service",$D207),0)</f>
        <v>0</v>
      </c>
      <c r="N207" s="665">
        <f>+IFERROR(N$5*GETPIVOTDATA("Unique Billed Hours",'County allocation'!$S$3,"County",$D193,"HHA/CDPAP","HHA","Level of Service",$D207),0)</f>
        <v>0</v>
      </c>
      <c r="O207" s="665">
        <f>+IFERROR(O$5*GETPIVOTDATA("Unique Billed Hours",'County allocation'!$S$3,"County",$D193,"HHA/CDPAP","HHA","Level of Service",$D207),0)</f>
        <v>0</v>
      </c>
      <c r="P207" s="665">
        <f>+IFERROR(P$5*GETPIVOTDATA("Unique Billed Hours",'County allocation'!$S$3,"County",$D193,"HHA/CDPAP","HHA","Level of Service",$D207),0)</f>
        <v>0</v>
      </c>
    </row>
    <row r="208" spans="1:18" s="54" customFormat="1" ht="15.75" thickBot="1" x14ac:dyDescent="0.3">
      <c r="A208" s="302"/>
      <c r="B208" s="309"/>
      <c r="C208" s="322">
        <f ca="1">C207</f>
        <v>1</v>
      </c>
      <c r="D208" s="52" t="s">
        <v>48</v>
      </c>
      <c r="E208" s="53" t="s">
        <v>79</v>
      </c>
      <c r="F208" s="657">
        <f t="shared" ca="1" si="78"/>
        <v>21104.536626344307</v>
      </c>
      <c r="G208" s="661">
        <f t="shared" ref="G208" ca="1" si="81">SUM(G204:G207)</f>
        <v>707.71633454747041</v>
      </c>
      <c r="H208" s="661">
        <f t="shared" ref="H208:P208" si="82">SUM(H204:H207)</f>
        <v>1210.6184770903142</v>
      </c>
      <c r="I208" s="661">
        <f t="shared" ca="1" si="82"/>
        <v>19186.201814706521</v>
      </c>
      <c r="J208" s="661">
        <f t="shared" ca="1" si="82"/>
        <v>2528.7850184147842</v>
      </c>
      <c r="K208" s="661">
        <f t="shared" ca="1" si="82"/>
        <v>16294.452128298268</v>
      </c>
      <c r="L208" s="661">
        <f t="shared" ca="1" si="82"/>
        <v>233.70865045695442</v>
      </c>
      <c r="M208" s="661">
        <f t="shared" si="82"/>
        <v>119.26681887234362</v>
      </c>
      <c r="N208" s="661">
        <f t="shared" si="82"/>
        <v>9.9891986641694608</v>
      </c>
      <c r="O208" s="661">
        <f t="shared" si="82"/>
        <v>0</v>
      </c>
      <c r="P208" s="661">
        <f t="shared" si="82"/>
        <v>0</v>
      </c>
    </row>
    <row r="209" spans="1:18" s="54" customFormat="1" ht="15.75" hidden="1" thickBot="1" x14ac:dyDescent="0.3">
      <c r="A209" s="119"/>
      <c r="B209" s="309"/>
      <c r="C209" s="322"/>
      <c r="E209" s="55"/>
      <c r="F209" s="666"/>
      <c r="G209" s="666"/>
      <c r="H209" s="666"/>
      <c r="I209" s="666"/>
      <c r="J209" s="666"/>
      <c r="K209" s="666"/>
      <c r="L209" s="666"/>
      <c r="M209" s="666"/>
      <c r="N209" s="666"/>
      <c r="O209" s="666"/>
      <c r="P209" s="666"/>
    </row>
    <row r="210" spans="1:18" s="54" customFormat="1" ht="75.75" hidden="1" thickBot="1" x14ac:dyDescent="0.3">
      <c r="A210" s="119"/>
      <c r="B210" s="309"/>
      <c r="C210" s="322">
        <f ca="1">IF(F225&gt;0,1,0)</f>
        <v>0</v>
      </c>
      <c r="D210" s="45" t="str">
        <f>A15</f>
        <v>Cortland</v>
      </c>
      <c r="E210" s="28">
        <f>+SUMIF(A:A,D210,B:B)</f>
        <v>0</v>
      </c>
      <c r="F210" s="652" t="s">
        <v>61</v>
      </c>
      <c r="G210" s="652" t="s">
        <v>387</v>
      </c>
      <c r="H210" s="652" t="s">
        <v>388</v>
      </c>
      <c r="I210" s="652" t="s">
        <v>392</v>
      </c>
      <c r="J210" s="652" t="s">
        <v>31</v>
      </c>
      <c r="K210" s="652" t="s">
        <v>32</v>
      </c>
      <c r="L210" s="653" t="s">
        <v>33</v>
      </c>
      <c r="M210" s="653" t="s">
        <v>60</v>
      </c>
      <c r="N210" s="653" t="s">
        <v>59</v>
      </c>
      <c r="O210" s="653" t="s">
        <v>58</v>
      </c>
      <c r="P210" s="653" t="s">
        <v>16</v>
      </c>
    </row>
    <row r="211" spans="1:18" s="54" customFormat="1" ht="15.75" hidden="1" thickBot="1" x14ac:dyDescent="0.3">
      <c r="A211" s="119"/>
      <c r="B211" s="309"/>
      <c r="C211" s="322">
        <f ca="1">C210</f>
        <v>0</v>
      </c>
      <c r="D211" s="56"/>
      <c r="E211" s="57"/>
      <c r="F211" s="654" t="s">
        <v>57</v>
      </c>
      <c r="G211" s="654" t="s">
        <v>56</v>
      </c>
      <c r="H211" s="654" t="s">
        <v>55</v>
      </c>
      <c r="I211" s="654" t="s">
        <v>54</v>
      </c>
      <c r="J211" s="654" t="s">
        <v>53</v>
      </c>
      <c r="K211" s="654" t="s">
        <v>52</v>
      </c>
      <c r="L211" s="654" t="s">
        <v>51</v>
      </c>
      <c r="M211" s="654" t="s">
        <v>50</v>
      </c>
      <c r="N211" s="654" t="s">
        <v>49</v>
      </c>
      <c r="O211" s="654" t="s">
        <v>47</v>
      </c>
      <c r="P211" s="655" t="s">
        <v>77</v>
      </c>
    </row>
    <row r="212" spans="1:18" s="54" customFormat="1" ht="15.75" hidden="1" thickBot="1" x14ac:dyDescent="0.3">
      <c r="A212" s="119"/>
      <c r="B212" s="309"/>
      <c r="C212" s="322">
        <f t="shared" ref="C212:C224" ca="1" si="83">C211</f>
        <v>0</v>
      </c>
      <c r="D212" s="59" t="s">
        <v>26</v>
      </c>
      <c r="E212" s="57"/>
      <c r="F212" s="656"/>
      <c r="G212" s="656"/>
      <c r="H212" s="656"/>
      <c r="I212" s="656"/>
      <c r="J212" s="656"/>
      <c r="K212" s="656"/>
      <c r="L212" s="656"/>
      <c r="M212" s="656"/>
      <c r="N212" s="656"/>
      <c r="O212" s="656"/>
      <c r="P212" s="663"/>
    </row>
    <row r="213" spans="1:18" s="54" customFormat="1" ht="15.75" hidden="1" thickBot="1" x14ac:dyDescent="0.3">
      <c r="A213" s="119"/>
      <c r="B213" s="309"/>
      <c r="C213" s="322">
        <f t="shared" ca="1" si="83"/>
        <v>0</v>
      </c>
      <c r="D213" s="7" t="s">
        <v>34</v>
      </c>
      <c r="E213" s="48" t="s">
        <v>57</v>
      </c>
      <c r="F213" s="657">
        <f ca="1">+H213+G213+I213</f>
        <v>0</v>
      </c>
      <c r="G213" s="658">
        <f ca="1">+IFERROR(G$5*GETPIVOTDATA("Unique Billed Hours",'County allocation'!$A$3,"County",$D210,"HHA/CDPAP","HHA","Level of Service",$D213),0)</f>
        <v>0</v>
      </c>
      <c r="H213" s="658">
        <f>+IFERROR(H$5*GETPIVOTDATA("Unique Billed Hours",'County allocation'!$S$3,"County",$D210,"HHA/CDPAP","HHA","Level of Service",$D213),0)</f>
        <v>0</v>
      </c>
      <c r="I213" s="664">
        <f ca="1">SUM(J213:P213)</f>
        <v>0</v>
      </c>
      <c r="J213" s="658">
        <f ca="1">+IFERROR(J$5*GETPIVOTDATA("Unique Billed Hours",'County allocation'!$S$3,"County",$D210,"HHA/CDPAP","HHA","Level of Service",$D213),0)</f>
        <v>0</v>
      </c>
      <c r="K213" s="658">
        <f ca="1">+IFERROR(K$5*GETPIVOTDATA("Unique Billed Hours",'County allocation'!$X$3,"County",$D210,"HHA/CDPAP","HHA","Level of Service",$D213),0)</f>
        <v>0</v>
      </c>
      <c r="L213" s="658">
        <f ca="1">+IFERROR(L$2*GETPIVOTDATA("Unique Billed Hours",'County allocation'!$O$3,"County",$D210,"HHA/CDPAP","HHA","Level of Service",$D213),0)</f>
        <v>0</v>
      </c>
      <c r="M213" s="658">
        <f>+IFERROR(M$5*GETPIVOTDATA("Unique Billed Hours",'County allocation'!$S$3,"County",$D210,"HHA/CDPAP","HHA","Level of Service",$D213),0)</f>
        <v>0</v>
      </c>
      <c r="N213" s="658">
        <f>+IFERROR(N$5*GETPIVOTDATA("Unique Billed Hours",'County allocation'!$S$3,"County",$D210,"HHA/CDPAP","HHA","Level of Service",$D213),0)</f>
        <v>0</v>
      </c>
      <c r="O213" s="658">
        <f>+IFERROR(O$5*GETPIVOTDATA("Unique Billed Hours",'County allocation'!$K$19,"County",$D210,"HHA/CDPAP","HHA","Level of Service",$D213),0)</f>
        <v>0</v>
      </c>
      <c r="P213" s="658">
        <f>+IFERROR(P$5*GETPIVOTDATA("Unique Billed Hours",'County allocation'!$S$3,"County",$D210,"HHA/CDPAP","HHA","Level of Service",$D213),0)</f>
        <v>0</v>
      </c>
    </row>
    <row r="214" spans="1:18" s="54" customFormat="1" ht="15.75" hidden="1" thickBot="1" x14ac:dyDescent="0.3">
      <c r="A214" s="119"/>
      <c r="B214" s="309"/>
      <c r="C214" s="322">
        <f t="shared" ca="1" si="83"/>
        <v>0</v>
      </c>
      <c r="D214" s="7" t="s">
        <v>35</v>
      </c>
      <c r="E214" s="48" t="s">
        <v>56</v>
      </c>
      <c r="F214" s="657">
        <f t="shared" ref="F214:F225" ca="1" si="84">+H214+G214+I214</f>
        <v>0</v>
      </c>
      <c r="G214" s="658">
        <f ca="1">+IFERROR(G$5*GETPIVOTDATA("Unique Billed Hours",'County allocation'!$A$3,"County",$D210,"HHA/CDPAP","HHA","Level of Service",$D214),0)</f>
        <v>0</v>
      </c>
      <c r="H214" s="658">
        <f>+IFERROR(H$5*GETPIVOTDATA("Unique Billed Hours",'County allocation'!$S$3,"County",$D210,"HHA/CDPAP","HHA","Level of Service",$D214),0)</f>
        <v>0</v>
      </c>
      <c r="I214" s="664">
        <f t="shared" ref="I214:I224" ca="1" si="85">SUM(J214:P214)</f>
        <v>0</v>
      </c>
      <c r="J214" s="658">
        <f ca="1">+IFERROR(J$5*GETPIVOTDATA("Unique Billed Hours",'County allocation'!$S$3,"County",$D210,"HHA/CDPAP","HHA","Level of Service",$D214),0)</f>
        <v>0</v>
      </c>
      <c r="K214" s="658">
        <f ca="1">+IFERROR(K$5*GETPIVOTDATA("Unique Billed Hours",'County allocation'!$X$3,"County",$D210,"HHA/CDPAP","HHA","Level of Service",$D214),0)</f>
        <v>0</v>
      </c>
      <c r="L214" s="658">
        <f ca="1">+IFERROR(L$2*GETPIVOTDATA("Unique Billed Hours",'County allocation'!$O$3,"County",$D210,"HHA/CDPAP","HHA","Level of Service",$D214),0)</f>
        <v>0</v>
      </c>
      <c r="M214" s="658">
        <f>+IFERROR(M$5*GETPIVOTDATA("Unique Billed Hours",'County allocation'!$S$3,"County",$D210,"HHA/CDPAP","HHA","Level of Service",$D214),0)</f>
        <v>0</v>
      </c>
      <c r="N214" s="658">
        <f>+IFERROR(N$5*GETPIVOTDATA("Unique Billed Hours",'County allocation'!$S$3,"County",$D210,"HHA/CDPAP","HHA","Level of Service",$D214),0)</f>
        <v>0</v>
      </c>
      <c r="O214" s="658">
        <f>+IFERROR(O$5*GETPIVOTDATA("Unique Billed Hours",'County allocation'!$K$19,"County",$D210,"HHA/CDPAP","HHA","Level of Service",$D214),0)</f>
        <v>0</v>
      </c>
      <c r="P214" s="658">
        <f>+IFERROR(P$5*GETPIVOTDATA("Unique Billed Hours",'County allocation'!$S$3,"County",$D210,"HHA/CDPAP","HHA","Level of Service",$D214),0)</f>
        <v>0</v>
      </c>
      <c r="R214" s="61"/>
    </row>
    <row r="215" spans="1:18" s="54" customFormat="1" ht="15.75" hidden="1" thickBot="1" x14ac:dyDescent="0.3">
      <c r="A215" s="302"/>
      <c r="B215" s="309"/>
      <c r="C215" s="322">
        <f t="shared" ca="1" si="83"/>
        <v>0</v>
      </c>
      <c r="D215" s="7" t="s">
        <v>36</v>
      </c>
      <c r="E215" s="48" t="s">
        <v>55</v>
      </c>
      <c r="F215" s="657">
        <f t="shared" ca="1" si="84"/>
        <v>0</v>
      </c>
      <c r="G215" s="658">
        <f ca="1">+IFERROR(G$5*GETPIVOTDATA("Unique Billed Hours",'County allocation'!$A$3,"County",$D210,"HHA/CDPAP","HHA","Level of Service",$D215),0)</f>
        <v>0</v>
      </c>
      <c r="H215" s="658">
        <f>+IFERROR(H$5*GETPIVOTDATA("Unique Billed Hours",'County allocation'!$S$3,"County",$D210,"HHA/CDPAP","HHA","Level of Service",$D215),0)</f>
        <v>0</v>
      </c>
      <c r="I215" s="664">
        <f t="shared" ca="1" si="85"/>
        <v>0</v>
      </c>
      <c r="J215" s="658">
        <f ca="1">+IFERROR(J$5*GETPIVOTDATA("Unique Billed Hours",'County allocation'!$S$3,"County",$D210,"HHA/CDPAP","HHA","Level of Service",$D215),0)</f>
        <v>0</v>
      </c>
      <c r="K215" s="658">
        <f ca="1">+IFERROR(K$5*GETPIVOTDATA("Unique Billed Hours",'County allocation'!$X$3,"County",$D210,"HHA/CDPAP","HHA","Level of Service",$D215),0)</f>
        <v>0</v>
      </c>
      <c r="L215" s="658">
        <f ca="1">+IFERROR(L$2*GETPIVOTDATA("Unique Billed Hours",'County allocation'!$O$3,"County",$D210,"HHA/CDPAP","HHA","Level of Service",$D215),0)</f>
        <v>0</v>
      </c>
      <c r="M215" s="658">
        <f>+IFERROR(M$5*GETPIVOTDATA("Unique Billed Hours",'County allocation'!$S$3,"County",$D210,"HHA/CDPAP","HHA","Level of Service",$D215),0)</f>
        <v>0</v>
      </c>
      <c r="N215" s="658">
        <f>+IFERROR(N$5*GETPIVOTDATA("Unique Billed Hours",'County allocation'!$S$3,"County",$D210,"HHA/CDPAP","HHA","Level of Service",$D215),0)</f>
        <v>0</v>
      </c>
      <c r="O215" s="658">
        <f>+IFERROR(O$5*GETPIVOTDATA("Unique Billed Hours",'County allocation'!$K$19,"County",$D210,"HHA/CDPAP","HHA","Level of Service",$D215),0)</f>
        <v>0</v>
      </c>
      <c r="P215" s="658">
        <f>+IFERROR(P$5*GETPIVOTDATA("Unique Billed Hours",'County allocation'!$S$3,"County",$D210,"HHA/CDPAP","HHA","Level of Service",$D215),0)</f>
        <v>0</v>
      </c>
    </row>
    <row r="216" spans="1:18" s="54" customFormat="1" ht="15.75" hidden="1" thickBot="1" x14ac:dyDescent="0.3">
      <c r="A216" s="119"/>
      <c r="B216" s="309"/>
      <c r="C216" s="322">
        <f t="shared" ca="1" si="83"/>
        <v>0</v>
      </c>
      <c r="D216" s="7" t="s">
        <v>37</v>
      </c>
      <c r="E216" s="48" t="s">
        <v>54</v>
      </c>
      <c r="F216" s="657">
        <f t="shared" ca="1" si="84"/>
        <v>0</v>
      </c>
      <c r="G216" s="658">
        <f ca="1">+IFERROR(G$5*GETPIVOTDATA("Unique Billed Hours",'County allocation'!$A$3,"County",$D210,"HHA/CDPAP","HHA","Level of Service",$D216),0)</f>
        <v>0</v>
      </c>
      <c r="H216" s="658">
        <f>+IFERROR(H$5*GETPIVOTDATA("Unique Billed Hours",'County allocation'!$S$3,"County",$D210,"HHA/CDPAP","HHA","Level of Service",$D216),0)</f>
        <v>0</v>
      </c>
      <c r="I216" s="664">
        <f t="shared" ca="1" si="85"/>
        <v>0</v>
      </c>
      <c r="J216" s="658">
        <f ca="1">+IFERROR(J$5*GETPIVOTDATA("Unique Billed Hours",'County allocation'!$S$3,"County",$D210,"HHA/CDPAP","HHA","Level of Service",$D216),0)</f>
        <v>0</v>
      </c>
      <c r="K216" s="658">
        <f ca="1">+IFERROR(K$5*GETPIVOTDATA("Unique Billed Hours",'County allocation'!$X$3,"County",$D210,"HHA/CDPAP","HHA","Level of Service",$D216),0)</f>
        <v>0</v>
      </c>
      <c r="L216" s="658">
        <f ca="1">+IFERROR(L$2*GETPIVOTDATA("Unique Billed Hours",'County allocation'!$O$3,"County",$D210,"HHA/CDPAP","HHA","Level of Service",$D216),0)</f>
        <v>0</v>
      </c>
      <c r="M216" s="658">
        <f>+IFERROR(M$5*GETPIVOTDATA("Unique Billed Hours",'County allocation'!$S$3,"County",$D210,"HHA/CDPAP","HHA","Level of Service",$D216),0)</f>
        <v>0</v>
      </c>
      <c r="N216" s="658">
        <f>+IFERROR(N$5*GETPIVOTDATA("Unique Billed Hours",'County allocation'!$S$3,"County",$D210,"HHA/CDPAP","HHA","Level of Service",$D216),0)</f>
        <v>0</v>
      </c>
      <c r="O216" s="658">
        <f>+IFERROR(O$5*GETPIVOTDATA("Unique Billed Hours",'County allocation'!$K$19,"County",$D210,"HHA/CDPAP","HHA","Level of Service",$D216),0)</f>
        <v>0</v>
      </c>
      <c r="P216" s="658">
        <f>+IFERROR(P$5*GETPIVOTDATA("Unique Billed Hours",'County allocation'!$S$3,"County",$D210,"HHA/CDPAP","HHA","Level of Service",$D216),0)</f>
        <v>0</v>
      </c>
    </row>
    <row r="217" spans="1:18" s="54" customFormat="1" ht="15.75" hidden="1" thickBot="1" x14ac:dyDescent="0.3">
      <c r="A217" s="119"/>
      <c r="B217" s="309"/>
      <c r="C217" s="322">
        <f t="shared" ca="1" si="83"/>
        <v>0</v>
      </c>
      <c r="D217" s="7" t="s">
        <v>38</v>
      </c>
      <c r="E217" s="48" t="s">
        <v>53</v>
      </c>
      <c r="F217" s="657">
        <f t="shared" ca="1" si="84"/>
        <v>0</v>
      </c>
      <c r="G217" s="658">
        <f ca="1">+IFERROR(G$5*GETPIVOTDATA("Unique Billed Hours",'County allocation'!$A$3,"County",$D210,"HHA/CDPAP","HHA","Level of Service",$D217),0)</f>
        <v>0</v>
      </c>
      <c r="H217" s="658">
        <f>+IFERROR(H$5*GETPIVOTDATA("Unique Billed Hours",'County allocation'!$S$3,"County",$D210,"HHA/CDPAP","HHA","Level of Service",$D217),0)</f>
        <v>0</v>
      </c>
      <c r="I217" s="664">
        <f t="shared" ca="1" si="85"/>
        <v>0</v>
      </c>
      <c r="J217" s="658">
        <f ca="1">+IFERROR(J$5*GETPIVOTDATA("Unique Billed Hours",'County allocation'!$S$3,"County",$D210,"HHA/CDPAP","HHA","Level of Service",$D217),0)</f>
        <v>0</v>
      </c>
      <c r="K217" s="658">
        <f ca="1">+IFERROR(K$5*GETPIVOTDATA("Unique Billed Hours",'County allocation'!$X$3,"County",$D210,"HHA/CDPAP","HHA","Level of Service",$D217),0)</f>
        <v>0</v>
      </c>
      <c r="L217" s="658">
        <f ca="1">+IFERROR(L$5*GETPIVOTDATA("Unique Billed Hours",'County allocation'!$K$19,"County",$D210,"HHA/CDPAP","HHA","Level of Service",$D217),0)</f>
        <v>0</v>
      </c>
      <c r="M217" s="658">
        <f>+IFERROR(M$5*GETPIVOTDATA("Unique Billed Hours",'County allocation'!$S$3,"County",$D210,"HHA/CDPAP","HHA","Level of Service",$D217),0)</f>
        <v>0</v>
      </c>
      <c r="N217" s="658">
        <f>+IFERROR(N$5*GETPIVOTDATA("Unique Billed Hours",'County allocation'!$S$3,"County",$D210,"HHA/CDPAP","HHA","Level of Service",$D217),0)</f>
        <v>0</v>
      </c>
      <c r="O217" s="658">
        <f>+IFERROR(O$5*GETPIVOTDATA("Unique Billed Hours",'County allocation'!$K$19,"County",$D210,"HHA/CDPAP","HHA","Level of Service",$D217),0)</f>
        <v>0</v>
      </c>
      <c r="P217" s="658">
        <f>+IFERROR(P$5*GETPIVOTDATA("Unique Billed Hours",'County allocation'!$S$3,"County",$D210,"HHA/CDPAP","HHA","Level of Service",$D217),0)</f>
        <v>0</v>
      </c>
    </row>
    <row r="218" spans="1:18" s="54" customFormat="1" ht="15.75" hidden="1" thickBot="1" x14ac:dyDescent="0.3">
      <c r="A218" s="119"/>
      <c r="B218" s="309"/>
      <c r="C218" s="322">
        <f t="shared" ca="1" si="83"/>
        <v>0</v>
      </c>
      <c r="D218" s="7" t="s">
        <v>39</v>
      </c>
      <c r="E218" s="48" t="s">
        <v>52</v>
      </c>
      <c r="F218" s="657">
        <f t="shared" ca="1" si="84"/>
        <v>0</v>
      </c>
      <c r="G218" s="658">
        <f ca="1">+IFERROR(G$5*GETPIVOTDATA("Unique Billed Hours",'County allocation'!$A$3,"County",$D210,"HHA/CDPAP","HHA","Level of Service",$D218),0)</f>
        <v>0</v>
      </c>
      <c r="H218" s="658">
        <f>+IFERROR(H$5*GETPIVOTDATA("Unique Billed Hours",'County allocation'!$S$3,"County",$D210,"HHA/CDPAP","HHA","Level of Service",$D218),0)</f>
        <v>0</v>
      </c>
      <c r="I218" s="664">
        <f t="shared" ca="1" si="85"/>
        <v>0</v>
      </c>
      <c r="J218" s="658">
        <f ca="1">+IFERROR(J$5*GETPIVOTDATA("Unique Billed Hours",'County allocation'!$S$3,"County",$D210,"HHA/CDPAP","HHA","Level of Service",$D218),0)</f>
        <v>0</v>
      </c>
      <c r="K218" s="658">
        <f ca="1">+IFERROR(K$5*GETPIVOTDATA("Unique Billed Hours",'County allocation'!$X$3,"County",$D210,"HHA/CDPAP","HHA","Level of Service",$D218),0)</f>
        <v>0</v>
      </c>
      <c r="L218" s="658">
        <f ca="1">+IFERROR(L$5*GETPIVOTDATA("Unique Billed Hours",'County allocation'!$K$19,"County",$D210,"HHA/CDPAP","HHA","Level of Service",$D218),0)</f>
        <v>0</v>
      </c>
      <c r="M218" s="658">
        <f>+IFERROR(M$5*GETPIVOTDATA("Unique Billed Hours",'County allocation'!$S$3,"County",$D210,"HHA/CDPAP","HHA","Level of Service",$D218),0)</f>
        <v>0</v>
      </c>
      <c r="N218" s="658">
        <f>+IFERROR(N$5*GETPIVOTDATA("Unique Billed Hours",'County allocation'!$S$3,"County",$D210,"HHA/CDPAP","HHA","Level of Service",$D218),0)</f>
        <v>0</v>
      </c>
      <c r="O218" s="658">
        <f>+IFERROR(O$5*GETPIVOTDATA("Unique Billed Hours",'County allocation'!$K$19,"County",$D210,"HHA/CDPAP","HHA","Level of Service",$D218),0)</f>
        <v>0</v>
      </c>
      <c r="P218" s="658">
        <f>+IFERROR(P$5*GETPIVOTDATA("Unique Billed Hours",'County allocation'!$S$3,"County",$D210,"HHA/CDPAP","HHA","Level of Service",$D218),0)</f>
        <v>0</v>
      </c>
    </row>
    <row r="219" spans="1:18" s="54" customFormat="1" ht="15.75" hidden="1" thickBot="1" x14ac:dyDescent="0.3">
      <c r="A219" s="119"/>
      <c r="B219" s="309"/>
      <c r="C219" s="322">
        <f t="shared" ca="1" si="83"/>
        <v>0</v>
      </c>
      <c r="D219" s="8" t="s">
        <v>40</v>
      </c>
      <c r="E219" s="48" t="s">
        <v>51</v>
      </c>
      <c r="F219" s="657">
        <f t="shared" ca="1" si="84"/>
        <v>0</v>
      </c>
      <c r="G219" s="658">
        <f ca="1">+IFERROR(G$5*GETPIVOTDATA("Unique Billed Hours",'County allocation'!$A$3,"County",$D210,"HHA/CDPAP","HHA","Level of Service",$D219),0)</f>
        <v>0</v>
      </c>
      <c r="H219" s="658">
        <f>+IFERROR(H$5*GETPIVOTDATA("Unique Billed Hours",'County allocation'!$S$3,"County",$D210,"HHA/CDPAP","HHA","Level of Service",$D219),0)</f>
        <v>0</v>
      </c>
      <c r="I219" s="664">
        <f t="shared" ca="1" si="85"/>
        <v>0</v>
      </c>
      <c r="J219" s="658">
        <f ca="1">+IFERROR(J$5*GETPIVOTDATA("Unique Billed Hours",'County allocation'!$S$3,"County",$D210,"HHA/CDPAP","HHA","Level of Service",$D219),0)</f>
        <v>0</v>
      </c>
      <c r="K219" s="658">
        <f ca="1">+IFERROR(K$5*GETPIVOTDATA("Unique Billed Hours",'County allocation'!$X$3,"County",$D210,"HHA/CDPAP","HHA","Level of Service",$D219),0)</f>
        <v>0</v>
      </c>
      <c r="L219" s="658">
        <f ca="1">+IFERROR(L$2*GETPIVOTDATA("Unique Billed Hours",'County allocation'!$O$3,"County",$D210,"HHA/CDPAP","HHA","Level of Service",$D219),0)</f>
        <v>0</v>
      </c>
      <c r="M219" s="658">
        <f>+IFERROR(M$5*GETPIVOTDATA("Unique Billed Hours",'County allocation'!$S$3,"County",$D210,"HHA/CDPAP","HHA","Level of Service",$D219),0)</f>
        <v>0</v>
      </c>
      <c r="N219" s="658">
        <f>+IFERROR(N$5*GETPIVOTDATA("Unique Billed Hours",'County allocation'!$S$3,"County",$D210,"HHA/CDPAP","HHA","Level of Service",$D219),0)</f>
        <v>0</v>
      </c>
      <c r="O219" s="658">
        <f>+IFERROR(O$5*GETPIVOTDATA("Unique Billed Hours",'County allocation'!$K$19,"County",$D210,"HHA/CDPAP","HHA","Level of Service",$D219),0)</f>
        <v>0</v>
      </c>
      <c r="P219" s="658">
        <f>+IFERROR(P$5*GETPIVOTDATA("Unique Billed Hours",'County allocation'!$S$3,"County",$D210,"HHA/CDPAP","HHA","Level of Service",$D219),0)</f>
        <v>0</v>
      </c>
    </row>
    <row r="220" spans="1:18" s="54" customFormat="1" ht="15.75" hidden="1" thickBot="1" x14ac:dyDescent="0.3">
      <c r="A220" s="119"/>
      <c r="B220" s="309"/>
      <c r="C220" s="322">
        <f t="shared" ca="1" si="83"/>
        <v>0</v>
      </c>
      <c r="D220" s="8" t="s">
        <v>41</v>
      </c>
      <c r="E220" s="48" t="s">
        <v>50</v>
      </c>
      <c r="F220" s="657">
        <f t="shared" ca="1" si="84"/>
        <v>0</v>
      </c>
      <c r="G220" s="658">
        <f ca="1">+IFERROR(G$5*GETPIVOTDATA("Unique Billed Hours",'County allocation'!$A$3,"County",$D210,"HHA/CDPAP","HHA","Level of Service",$D220),0)</f>
        <v>0</v>
      </c>
      <c r="H220" s="658">
        <f>+IFERROR(H$5*GETPIVOTDATA("Unique Billed Hours",'County allocation'!$S$3,"County",$D210,"HHA/CDPAP","HHA","Level of Service",$D220),0)</f>
        <v>0</v>
      </c>
      <c r="I220" s="664">
        <f t="shared" ca="1" si="85"/>
        <v>0</v>
      </c>
      <c r="J220" s="658">
        <f ca="1">+IFERROR(J$5*GETPIVOTDATA("Unique Billed Hours",'County allocation'!$S$3,"County",$D210,"HHA/CDPAP","HHA","Level of Service",$D220),0)</f>
        <v>0</v>
      </c>
      <c r="K220" s="658">
        <f ca="1">+IFERROR(K$5*GETPIVOTDATA("Unique Billed Hours",'County allocation'!$X$3,"County",$D210,"HHA/CDPAP","HHA","Level of Service",$D220),0)</f>
        <v>0</v>
      </c>
      <c r="L220" s="658">
        <f ca="1">+IFERROR(L$2*GETPIVOTDATA("Unique Billed Hours",'County allocation'!$O$3,"County",$D210,"HHA/CDPAP","HHA","Level of Service",$D220),0)</f>
        <v>0</v>
      </c>
      <c r="M220" s="658">
        <f>+IFERROR(M$5*GETPIVOTDATA("Unique Billed Hours",'County allocation'!$S$3,"County",$D210,"HHA/CDPAP","HHA","Level of Service",$D220),0)</f>
        <v>0</v>
      </c>
      <c r="N220" s="658">
        <f>+IFERROR(N$5*GETPIVOTDATA("Unique Billed Hours",'County allocation'!$S$3,"County",$D210,"HHA/CDPAP","HHA","Level of Service",$D220),0)</f>
        <v>0</v>
      </c>
      <c r="O220" s="658">
        <f>+IFERROR(O$5*GETPIVOTDATA("Unique Billed Hours",'County allocation'!$K$19,"County",$D210,"HHA/CDPAP","HHA","Level of Service",$D220),0)</f>
        <v>0</v>
      </c>
      <c r="P220" s="658">
        <f>+IFERROR(P$5*GETPIVOTDATA("Unique Billed Hours",'County allocation'!$S$3,"County",$D210,"HHA/CDPAP","HHA","Level of Service",$D220),0)</f>
        <v>0</v>
      </c>
    </row>
    <row r="221" spans="1:18" s="54" customFormat="1" ht="15.75" hidden="1" thickBot="1" x14ac:dyDescent="0.3">
      <c r="A221" s="119"/>
      <c r="B221" s="309"/>
      <c r="C221" s="322">
        <f t="shared" ca="1" si="83"/>
        <v>0</v>
      </c>
      <c r="D221" s="52" t="s">
        <v>389</v>
      </c>
      <c r="E221" s="53" t="s">
        <v>49</v>
      </c>
      <c r="F221" s="657">
        <f t="shared" ca="1" si="84"/>
        <v>0</v>
      </c>
      <c r="G221" s="661">
        <f ca="1">SUM(G213:G220)</f>
        <v>0</v>
      </c>
      <c r="H221" s="661">
        <f>SUM(H213:H220)</f>
        <v>0</v>
      </c>
      <c r="I221" s="664">
        <f t="shared" ca="1" si="85"/>
        <v>0</v>
      </c>
      <c r="J221" s="661">
        <f ca="1">SUM(J213:J220)</f>
        <v>0</v>
      </c>
      <c r="K221" s="661">
        <f t="shared" ref="K221:P221" ca="1" si="86">SUM(K213:K220)</f>
        <v>0</v>
      </c>
      <c r="L221" s="661">
        <f t="shared" ca="1" si="86"/>
        <v>0</v>
      </c>
      <c r="M221" s="661">
        <f t="shared" si="86"/>
        <v>0</v>
      </c>
      <c r="N221" s="661">
        <f t="shared" si="86"/>
        <v>0</v>
      </c>
      <c r="O221" s="661">
        <f t="shared" si="86"/>
        <v>0</v>
      </c>
      <c r="P221" s="661">
        <f t="shared" si="86"/>
        <v>0</v>
      </c>
    </row>
    <row r="222" spans="1:18" s="54" customFormat="1" ht="15.75" hidden="1" thickBot="1" x14ac:dyDescent="0.3">
      <c r="A222" s="119"/>
      <c r="B222" s="309"/>
      <c r="C222" s="322">
        <f t="shared" ca="1" si="83"/>
        <v>0</v>
      </c>
      <c r="D222" s="371" t="s">
        <v>390</v>
      </c>
      <c r="E222" s="325" t="s">
        <v>47</v>
      </c>
      <c r="F222" s="657">
        <f t="shared" ca="1" si="84"/>
        <v>0</v>
      </c>
      <c r="G222" s="665">
        <f ca="1">+IFERROR((G$5*GETPIVOTDATA("Unique Billed Hours",'County allocation'!$A$3,"County",$D210,"HHA/CDPAP","HHA","Level of Service",$D222))+($G$2*GETPIVOTDATA("Unique Billed Hours",'County allocation'!$F$7,"County",$D210,"HHA/CDPAP","HHA","Level of Service",$D222)),0)++IFERROR(J$5*GETPIVOTDATA("Unique Billed Hours",'County allocation'!$AC$3,"County",$D210,"HHA/CDPAP","HHA","Level of Service",$D222),0)+ +IFERROR(J$5*GETPIVOTDATA("Unique Billed Hours",'County allocation'!$AC$3,"County",$D210,"HHA/CDPAP","HHA","Level of Service",$D223),0)</f>
        <v>0</v>
      </c>
      <c r="H222" s="665">
        <f>+IFERROR(H$5*GETPIVOTDATA("Unique Billed Hours",'County allocation'!$S$3,"County",$D210,"HHA/CDPAP","HHA","Level of Service",$D222),0)</f>
        <v>0</v>
      </c>
      <c r="I222" s="664">
        <f t="shared" ca="1" si="85"/>
        <v>0</v>
      </c>
      <c r="J222" s="901"/>
      <c r="K222" s="665">
        <f ca="1">+IFERROR(K$5*GETPIVOTDATA("Unique Billed Hours",'County allocation'!$X$3,"County",$D210,"HHA/CDPAP","HHA","Level of Service",$D222),0)</f>
        <v>0</v>
      </c>
      <c r="L222" s="665">
        <f ca="1">+IFERROR(L$5*GETPIVOTDATA("Unique Billed Hours",'County allocation'!$K$19,"County",$D210,"HHA/CDPAP","HHA","Level of Service",$D222),0)</f>
        <v>0</v>
      </c>
      <c r="M222" s="665">
        <f>+IFERROR(M$5*GETPIVOTDATA("Unique Billed Hours",'County allocation'!$S$3,"County",$D210,"HHA/CDPAP","HHA","Level of Service",$D222),0)</f>
        <v>0</v>
      </c>
      <c r="N222" s="665">
        <f>+IFERROR(N$5*GETPIVOTDATA("Unique Billed Hours",'County allocation'!$S$3,"County",$D210,"HHA/CDPAP","HHA","Level of Service",$D222),0)</f>
        <v>0</v>
      </c>
      <c r="O222" s="665">
        <f>+IFERROR(O$5*GETPIVOTDATA("Unique Billed Hours",'County allocation'!$S$3,"County",$D210,"HHA/CDPAP","HHA","Level of Service",$D222),0)</f>
        <v>0</v>
      </c>
      <c r="P222" s="665">
        <f>+IFERROR(P$5*GETPIVOTDATA("Unique Billed Hours",'County allocation'!$S$3,"County",$D210,"HHA/CDPAP","HHA","Level of Service",$D222),0)</f>
        <v>0</v>
      </c>
    </row>
    <row r="223" spans="1:18" s="54" customFormat="1" ht="15.75" hidden="1" thickBot="1" x14ac:dyDescent="0.3">
      <c r="A223" s="119"/>
      <c r="B223" s="309"/>
      <c r="C223" s="322">
        <f t="shared" ca="1" si="83"/>
        <v>0</v>
      </c>
      <c r="D223" s="8" t="s">
        <v>391</v>
      </c>
      <c r="E223" s="370" t="s">
        <v>77</v>
      </c>
      <c r="F223" s="657">
        <f t="shared" ca="1" si="84"/>
        <v>0</v>
      </c>
      <c r="G223" s="656"/>
      <c r="H223" s="658">
        <f>+IFERROR(H$5*GETPIVOTDATA("Unique Billed Hours",'County allocation'!$S$3,"County",$D210,"HHA/CDPAP","HHA","Level of Service",$D223),0)</f>
        <v>0</v>
      </c>
      <c r="I223" s="664">
        <f t="shared" ca="1" si="85"/>
        <v>0</v>
      </c>
      <c r="J223" s="901"/>
      <c r="K223" s="665">
        <f ca="1">+IFERROR(K$5*GETPIVOTDATA("Unique Billed Hours",'County allocation'!$X$3,"County",$D210,"HHA/CDPAP","HHA","Level of Service",$D223),0)</f>
        <v>0</v>
      </c>
      <c r="L223" s="665">
        <f ca="1">+IFERROR(L$5*GETPIVOTDATA("Unique Billed Hours",'County allocation'!$K$19,"County",$D210,"HHA/CDPAP","HHA","Level of Service",$D223),0)</f>
        <v>0</v>
      </c>
      <c r="M223" s="665">
        <f>+IFERROR(M$5*GETPIVOTDATA("Unique Billed Hours",'County allocation'!$S$3,"County",$D210,"HHA/CDPAP","HHA","Level of Service",$D223),0)</f>
        <v>0</v>
      </c>
      <c r="N223" s="665">
        <f>+IFERROR(N$5*GETPIVOTDATA("Unique Billed Hours",'County allocation'!$S$3,"County",$D210,"HHA/CDPAP","HHA","Level of Service",$D223),0)</f>
        <v>0</v>
      </c>
      <c r="O223" s="665">
        <f>+IFERROR(O$5*GETPIVOTDATA("Unique Billed Hours",'County allocation'!$S$3,"County",$D210,"HHA/CDPAP","HHA","Level of Service",$D223),0)</f>
        <v>0</v>
      </c>
      <c r="P223" s="665">
        <f>+IFERROR(P$5*GETPIVOTDATA("Unique Billed Hours",'County allocation'!$S$3,"County",$D210,"HHA/CDPAP","HHA","Level of Service",$D223),0)</f>
        <v>0</v>
      </c>
    </row>
    <row r="224" spans="1:18" s="54" customFormat="1" ht="15.75" hidden="1" thickBot="1" x14ac:dyDescent="0.3">
      <c r="A224" s="119"/>
      <c r="B224" s="309"/>
      <c r="C224" s="322">
        <f t="shared" ca="1" si="83"/>
        <v>0</v>
      </c>
      <c r="D224" s="8" t="s">
        <v>374</v>
      </c>
      <c r="E224" s="370" t="s">
        <v>78</v>
      </c>
      <c r="F224" s="657">
        <f t="shared" ca="1" si="84"/>
        <v>0</v>
      </c>
      <c r="G224" s="658">
        <f ca="1">+IFERROR(G$5*GETPIVOTDATA("Unique Billed Hours",'County allocation'!$A$3,"County",$D210,"HHA/CDPAP","HHA","Level of Service",$D224),0)++IFERROR(J$5*GETPIVOTDATA("Unique Billed Hours",'County allocation'!$AC$3,"County",$D210,"HHA/CDPAP","HHA","Level of Service",$D224),0)</f>
        <v>0</v>
      </c>
      <c r="H224" s="658">
        <f>+IFERROR(H$5*GETPIVOTDATA("Unique Billed Hours",'County allocation'!$S$3,"County",$D210,"HHA/CDPAP","HHA","Level of Service",$D224),0)</f>
        <v>0</v>
      </c>
      <c r="I224" s="664">
        <f t="shared" ca="1" si="85"/>
        <v>0</v>
      </c>
      <c r="J224" s="901"/>
      <c r="K224" s="665">
        <f ca="1">+IFERROR(K$5*GETPIVOTDATA("Unique Billed Hours",'County allocation'!$X$3,"County",$D210,"HHA/CDPAP","HHA","Level of Service",$D224),0)</f>
        <v>0</v>
      </c>
      <c r="L224" s="665">
        <f ca="1">+IFERROR(L$5*GETPIVOTDATA("Unique Billed Hours",'County allocation'!$K$19,"County",$D210,"HHA/CDPAP","HHA","Level of Service",$D224),0)</f>
        <v>0</v>
      </c>
      <c r="M224" s="665">
        <f>+IFERROR(M$5*GETPIVOTDATA("Unique Billed Hours",'County allocation'!$S$3,"County",$D210,"HHA/CDPAP","HHA","Level of Service",$D224),0)</f>
        <v>0</v>
      </c>
      <c r="N224" s="665">
        <f>+IFERROR(N$5*GETPIVOTDATA("Unique Billed Hours",'County allocation'!$S$3,"County",$D210,"HHA/CDPAP","HHA","Level of Service",$D224),0)</f>
        <v>0</v>
      </c>
      <c r="O224" s="665">
        <f>+IFERROR(O$5*GETPIVOTDATA("Unique Billed Hours",'County allocation'!$S$3,"County",$D210,"HHA/CDPAP","HHA","Level of Service",$D224),0)</f>
        <v>0</v>
      </c>
      <c r="P224" s="665">
        <f>+IFERROR(P$5*GETPIVOTDATA("Unique Billed Hours",'County allocation'!$S$3,"County",$D210,"HHA/CDPAP","HHA","Level of Service",$D224),0)</f>
        <v>0</v>
      </c>
    </row>
    <row r="225" spans="1:18" s="54" customFormat="1" ht="15.75" hidden="1" thickBot="1" x14ac:dyDescent="0.3">
      <c r="A225" s="302"/>
      <c r="B225" s="309"/>
      <c r="C225" s="322">
        <f ca="1">C224</f>
        <v>0</v>
      </c>
      <c r="D225" s="52" t="s">
        <v>48</v>
      </c>
      <c r="E225" s="53" t="s">
        <v>79</v>
      </c>
      <c r="F225" s="657">
        <f t="shared" ca="1" si="84"/>
        <v>0</v>
      </c>
      <c r="G225" s="661">
        <f t="shared" ref="G225" ca="1" si="87">SUM(G221:G224)</f>
        <v>0</v>
      </c>
      <c r="H225" s="661">
        <f t="shared" ref="H225:P225" si="88">SUM(H221:H224)</f>
        <v>0</v>
      </c>
      <c r="I225" s="661">
        <f t="shared" ca="1" si="88"/>
        <v>0</v>
      </c>
      <c r="J225" s="661">
        <f t="shared" ca="1" si="88"/>
        <v>0</v>
      </c>
      <c r="K225" s="661">
        <f t="shared" ca="1" si="88"/>
        <v>0</v>
      </c>
      <c r="L225" s="661">
        <f t="shared" ca="1" si="88"/>
        <v>0</v>
      </c>
      <c r="M225" s="661">
        <f t="shared" si="88"/>
        <v>0</v>
      </c>
      <c r="N225" s="661">
        <f t="shared" si="88"/>
        <v>0</v>
      </c>
      <c r="O225" s="661">
        <f t="shared" si="88"/>
        <v>0</v>
      </c>
      <c r="P225" s="661">
        <f t="shared" si="88"/>
        <v>0</v>
      </c>
    </row>
    <row r="226" spans="1:18" s="54" customFormat="1" ht="15.75" hidden="1" thickBot="1" x14ac:dyDescent="0.3">
      <c r="A226" s="119"/>
      <c r="B226" s="309"/>
      <c r="C226" s="322"/>
      <c r="E226" s="55"/>
      <c r="F226" s="666"/>
      <c r="G226" s="666"/>
      <c r="H226" s="666"/>
      <c r="I226" s="666"/>
      <c r="J226" s="666"/>
      <c r="K226" s="666"/>
      <c r="L226" s="666"/>
      <c r="M226" s="666"/>
      <c r="N226" s="666"/>
      <c r="O226" s="666"/>
      <c r="P226" s="666"/>
    </row>
    <row r="227" spans="1:18" s="54" customFormat="1" ht="75.75" hidden="1" thickBot="1" x14ac:dyDescent="0.3">
      <c r="A227" s="119"/>
      <c r="B227" s="309"/>
      <c r="C227" s="322">
        <f ca="1">IF(F242&gt;0,1,0)</f>
        <v>0</v>
      </c>
      <c r="D227" s="45" t="str">
        <f>A16</f>
        <v>Delaware</v>
      </c>
      <c r="E227" s="28">
        <f>+SUMIF(A:A,D227,B:B)</f>
        <v>0</v>
      </c>
      <c r="F227" s="652" t="s">
        <v>61</v>
      </c>
      <c r="G227" s="652" t="s">
        <v>387</v>
      </c>
      <c r="H227" s="652" t="s">
        <v>388</v>
      </c>
      <c r="I227" s="652" t="s">
        <v>392</v>
      </c>
      <c r="J227" s="652" t="s">
        <v>31</v>
      </c>
      <c r="K227" s="652" t="s">
        <v>32</v>
      </c>
      <c r="L227" s="653" t="s">
        <v>33</v>
      </c>
      <c r="M227" s="653" t="s">
        <v>60</v>
      </c>
      <c r="N227" s="653" t="s">
        <v>59</v>
      </c>
      <c r="O227" s="653" t="s">
        <v>58</v>
      </c>
      <c r="P227" s="653" t="s">
        <v>16</v>
      </c>
    </row>
    <row r="228" spans="1:18" s="54" customFormat="1" ht="15.75" hidden="1" thickBot="1" x14ac:dyDescent="0.3">
      <c r="A228" s="119"/>
      <c r="B228" s="309"/>
      <c r="C228" s="322">
        <f ca="1">C227</f>
        <v>0</v>
      </c>
      <c r="D228" s="56"/>
      <c r="E228" s="57"/>
      <c r="F228" s="654" t="s">
        <v>57</v>
      </c>
      <c r="G228" s="654" t="s">
        <v>56</v>
      </c>
      <c r="H228" s="654" t="s">
        <v>55</v>
      </c>
      <c r="I228" s="654" t="s">
        <v>54</v>
      </c>
      <c r="J228" s="654" t="s">
        <v>53</v>
      </c>
      <c r="K228" s="654" t="s">
        <v>52</v>
      </c>
      <c r="L228" s="654" t="s">
        <v>51</v>
      </c>
      <c r="M228" s="654" t="s">
        <v>50</v>
      </c>
      <c r="N228" s="654" t="s">
        <v>49</v>
      </c>
      <c r="O228" s="654" t="s">
        <v>47</v>
      </c>
      <c r="P228" s="655" t="s">
        <v>77</v>
      </c>
    </row>
    <row r="229" spans="1:18" s="54" customFormat="1" ht="15.75" hidden="1" thickBot="1" x14ac:dyDescent="0.3">
      <c r="A229" s="119"/>
      <c r="B229" s="309"/>
      <c r="C229" s="322">
        <f t="shared" ref="C229:C241" ca="1" si="89">C228</f>
        <v>0</v>
      </c>
      <c r="D229" s="59" t="s">
        <v>26</v>
      </c>
      <c r="E229" s="57"/>
      <c r="F229" s="656"/>
      <c r="G229" s="656"/>
      <c r="H229" s="656"/>
      <c r="I229" s="656"/>
      <c r="J229" s="656"/>
      <c r="K229" s="656"/>
      <c r="L229" s="656"/>
      <c r="M229" s="656"/>
      <c r="N229" s="656"/>
      <c r="O229" s="656"/>
      <c r="P229" s="663"/>
    </row>
    <row r="230" spans="1:18" s="54" customFormat="1" ht="15.75" hidden="1" thickBot="1" x14ac:dyDescent="0.3">
      <c r="A230" s="119"/>
      <c r="B230" s="309"/>
      <c r="C230" s="322">
        <f t="shared" ca="1" si="89"/>
        <v>0</v>
      </c>
      <c r="D230" s="7" t="s">
        <v>34</v>
      </c>
      <c r="E230" s="48" t="s">
        <v>57</v>
      </c>
      <c r="F230" s="657">
        <f ca="1">+H230+G230+I230</f>
        <v>0</v>
      </c>
      <c r="G230" s="658">
        <f ca="1">+IFERROR(G$5*GETPIVOTDATA("Unique Billed Hours",'County allocation'!$A$3,"County",$D227,"HHA/CDPAP","HHA","Level of Service",$D230),0)</f>
        <v>0</v>
      </c>
      <c r="H230" s="658">
        <f>+IFERROR(H$5*GETPIVOTDATA("Unique Billed Hours",'County allocation'!$S$3,"County",$D227,"HHA/CDPAP","HHA","Level of Service",$D230),0)</f>
        <v>0</v>
      </c>
      <c r="I230" s="664">
        <f ca="1">SUM(J230:P230)</f>
        <v>0</v>
      </c>
      <c r="J230" s="658">
        <f ca="1">+IFERROR(J$5*GETPIVOTDATA("Unique Billed Hours",'County allocation'!$S$3,"County",$D227,"HHA/CDPAP","HHA","Level of Service",$D230),0)</f>
        <v>0</v>
      </c>
      <c r="K230" s="658">
        <f ca="1">+IFERROR(K$5*GETPIVOTDATA("Unique Billed Hours",'County allocation'!$X$3,"County",$D227,"HHA/CDPAP","HHA","Level of Service",$D230),0)</f>
        <v>0</v>
      </c>
      <c r="L230" s="658">
        <f ca="1">+IFERROR(L$2*GETPIVOTDATA("Unique Billed Hours",'County allocation'!$O$3,"County",$D227,"HHA/CDPAP","HHA","Level of Service",$D230),0)</f>
        <v>0</v>
      </c>
      <c r="M230" s="658">
        <f>+IFERROR(M$5*GETPIVOTDATA("Unique Billed Hours",'County allocation'!$S$3,"County",$D227,"HHA/CDPAP","HHA","Level of Service",$D230),0)</f>
        <v>0</v>
      </c>
      <c r="N230" s="658">
        <f>+IFERROR(N$5*GETPIVOTDATA("Unique Billed Hours",'County allocation'!$S$3,"County",$D227,"HHA/CDPAP","HHA","Level of Service",$D230),0)</f>
        <v>0</v>
      </c>
      <c r="O230" s="658">
        <f>+IFERROR(O$5*GETPIVOTDATA("Unique Billed Hours",'County allocation'!$K$19,"County",$D227,"HHA/CDPAP","HHA","Level of Service",$D230),0)</f>
        <v>0</v>
      </c>
      <c r="P230" s="658">
        <f>+IFERROR(P$5*GETPIVOTDATA("Unique Billed Hours",'County allocation'!$S$3,"County",$D227,"HHA/CDPAP","HHA","Level of Service",$D230),0)</f>
        <v>0</v>
      </c>
    </row>
    <row r="231" spans="1:18" s="54" customFormat="1" ht="15.75" hidden="1" thickBot="1" x14ac:dyDescent="0.3">
      <c r="A231" s="119"/>
      <c r="B231" s="309"/>
      <c r="C231" s="322">
        <f t="shared" ca="1" si="89"/>
        <v>0</v>
      </c>
      <c r="D231" s="7" t="s">
        <v>35</v>
      </c>
      <c r="E231" s="48" t="s">
        <v>56</v>
      </c>
      <c r="F231" s="657">
        <f t="shared" ref="F231:F242" ca="1" si="90">+H231+G231+I231</f>
        <v>0</v>
      </c>
      <c r="G231" s="658">
        <f ca="1">+IFERROR(G$5*GETPIVOTDATA("Unique Billed Hours",'County allocation'!$A$3,"County",$D227,"HHA/CDPAP","HHA","Level of Service",$D231),0)</f>
        <v>0</v>
      </c>
      <c r="H231" s="658">
        <f>+IFERROR(H$5*GETPIVOTDATA("Unique Billed Hours",'County allocation'!$S$3,"County",$D227,"HHA/CDPAP","HHA","Level of Service",$D231),0)</f>
        <v>0</v>
      </c>
      <c r="I231" s="664">
        <f t="shared" ref="I231:I241" ca="1" si="91">SUM(J231:P231)</f>
        <v>0</v>
      </c>
      <c r="J231" s="658">
        <f ca="1">+IFERROR(J$5*GETPIVOTDATA("Unique Billed Hours",'County allocation'!$S$3,"County",$D227,"HHA/CDPAP","HHA","Level of Service",$D231),0)</f>
        <v>0</v>
      </c>
      <c r="K231" s="658">
        <f ca="1">+IFERROR(K$5*GETPIVOTDATA("Unique Billed Hours",'County allocation'!$X$3,"County",$D227,"HHA/CDPAP","HHA","Level of Service",$D231),0)</f>
        <v>0</v>
      </c>
      <c r="L231" s="658">
        <f ca="1">+IFERROR(L$2*GETPIVOTDATA("Unique Billed Hours",'County allocation'!$O$3,"County",$D227,"HHA/CDPAP","HHA","Level of Service",$D231),0)</f>
        <v>0</v>
      </c>
      <c r="M231" s="658">
        <f>+IFERROR(M$5*GETPIVOTDATA("Unique Billed Hours",'County allocation'!$S$3,"County",$D227,"HHA/CDPAP","HHA","Level of Service",$D231),0)</f>
        <v>0</v>
      </c>
      <c r="N231" s="658">
        <f>+IFERROR(N$5*GETPIVOTDATA("Unique Billed Hours",'County allocation'!$S$3,"County",$D227,"HHA/CDPAP","HHA","Level of Service",$D231),0)</f>
        <v>0</v>
      </c>
      <c r="O231" s="658">
        <f>+IFERROR(O$5*GETPIVOTDATA("Unique Billed Hours",'County allocation'!$K$19,"County",$D227,"HHA/CDPAP","HHA","Level of Service",$D231),0)</f>
        <v>0</v>
      </c>
      <c r="P231" s="658">
        <f>+IFERROR(P$5*GETPIVOTDATA("Unique Billed Hours",'County allocation'!$S$3,"County",$D227,"HHA/CDPAP","HHA","Level of Service",$D231),0)</f>
        <v>0</v>
      </c>
      <c r="R231" s="61"/>
    </row>
    <row r="232" spans="1:18" s="54" customFormat="1" ht="15.75" hidden="1" thickBot="1" x14ac:dyDescent="0.3">
      <c r="A232" s="302"/>
      <c r="B232" s="309"/>
      <c r="C232" s="322">
        <f t="shared" ca="1" si="89"/>
        <v>0</v>
      </c>
      <c r="D232" s="7" t="s">
        <v>36</v>
      </c>
      <c r="E232" s="48" t="s">
        <v>55</v>
      </c>
      <c r="F232" s="657">
        <f t="shared" ca="1" si="90"/>
        <v>0</v>
      </c>
      <c r="G232" s="658">
        <f ca="1">+IFERROR(G$5*GETPIVOTDATA("Unique Billed Hours",'County allocation'!$A$3,"County",$D227,"HHA/CDPAP","HHA","Level of Service",$D232),0)</f>
        <v>0</v>
      </c>
      <c r="H232" s="658">
        <f>+IFERROR(H$5*GETPIVOTDATA("Unique Billed Hours",'County allocation'!$S$3,"County",$D227,"HHA/CDPAP","HHA","Level of Service",$D232),0)</f>
        <v>0</v>
      </c>
      <c r="I232" s="664">
        <f t="shared" ca="1" si="91"/>
        <v>0</v>
      </c>
      <c r="J232" s="658">
        <f ca="1">+IFERROR(J$5*GETPIVOTDATA("Unique Billed Hours",'County allocation'!$S$3,"County",$D227,"HHA/CDPAP","HHA","Level of Service",$D232),0)</f>
        <v>0</v>
      </c>
      <c r="K232" s="658">
        <f ca="1">+IFERROR(K$5*GETPIVOTDATA("Unique Billed Hours",'County allocation'!$X$3,"County",$D227,"HHA/CDPAP","HHA","Level of Service",$D232),0)</f>
        <v>0</v>
      </c>
      <c r="L232" s="658">
        <f ca="1">+IFERROR(L$2*GETPIVOTDATA("Unique Billed Hours",'County allocation'!$O$3,"County",$D227,"HHA/CDPAP","HHA","Level of Service",$D232),0)</f>
        <v>0</v>
      </c>
      <c r="M232" s="658">
        <f>+IFERROR(M$5*GETPIVOTDATA("Unique Billed Hours",'County allocation'!$S$3,"County",$D227,"HHA/CDPAP","HHA","Level of Service",$D232),0)</f>
        <v>0</v>
      </c>
      <c r="N232" s="658">
        <f>+IFERROR(N$5*GETPIVOTDATA("Unique Billed Hours",'County allocation'!$S$3,"County",$D227,"HHA/CDPAP","HHA","Level of Service",$D232),0)</f>
        <v>0</v>
      </c>
      <c r="O232" s="658">
        <f>+IFERROR(O$5*GETPIVOTDATA("Unique Billed Hours",'County allocation'!$K$19,"County",$D227,"HHA/CDPAP","HHA","Level of Service",$D232),0)</f>
        <v>0</v>
      </c>
      <c r="P232" s="658">
        <f>+IFERROR(P$5*GETPIVOTDATA("Unique Billed Hours",'County allocation'!$S$3,"County",$D227,"HHA/CDPAP","HHA","Level of Service",$D232),0)</f>
        <v>0</v>
      </c>
    </row>
    <row r="233" spans="1:18" s="54" customFormat="1" ht="15.75" hidden="1" thickBot="1" x14ac:dyDescent="0.3">
      <c r="A233" s="119"/>
      <c r="B233" s="309"/>
      <c r="C233" s="322">
        <f t="shared" ca="1" si="89"/>
        <v>0</v>
      </c>
      <c r="D233" s="7" t="s">
        <v>37</v>
      </c>
      <c r="E233" s="48" t="s">
        <v>54</v>
      </c>
      <c r="F233" s="657">
        <f t="shared" ca="1" si="90"/>
        <v>0</v>
      </c>
      <c r="G233" s="658">
        <f ca="1">+IFERROR(G$5*GETPIVOTDATA("Unique Billed Hours",'County allocation'!$A$3,"County",$D227,"HHA/CDPAP","HHA","Level of Service",$D233),0)</f>
        <v>0</v>
      </c>
      <c r="H233" s="658">
        <f>+IFERROR(H$5*GETPIVOTDATA("Unique Billed Hours",'County allocation'!$S$3,"County",$D227,"HHA/CDPAP","HHA","Level of Service",$D233),0)</f>
        <v>0</v>
      </c>
      <c r="I233" s="664">
        <f t="shared" ca="1" si="91"/>
        <v>0</v>
      </c>
      <c r="J233" s="658">
        <f ca="1">+IFERROR(J$5*GETPIVOTDATA("Unique Billed Hours",'County allocation'!$S$3,"County",$D227,"HHA/CDPAP","HHA","Level of Service",$D233),0)</f>
        <v>0</v>
      </c>
      <c r="K233" s="658">
        <f ca="1">+IFERROR(K$5*GETPIVOTDATA("Unique Billed Hours",'County allocation'!$X$3,"County",$D227,"HHA/CDPAP","HHA","Level of Service",$D233),0)</f>
        <v>0</v>
      </c>
      <c r="L233" s="658">
        <f ca="1">+IFERROR(L$2*GETPIVOTDATA("Unique Billed Hours",'County allocation'!$O$3,"County",$D227,"HHA/CDPAP","HHA","Level of Service",$D233),0)</f>
        <v>0</v>
      </c>
      <c r="M233" s="658">
        <f>+IFERROR(M$5*GETPIVOTDATA("Unique Billed Hours",'County allocation'!$S$3,"County",$D227,"HHA/CDPAP","HHA","Level of Service",$D233),0)</f>
        <v>0</v>
      </c>
      <c r="N233" s="658">
        <f>+IFERROR(N$5*GETPIVOTDATA("Unique Billed Hours",'County allocation'!$S$3,"County",$D227,"HHA/CDPAP","HHA","Level of Service",$D233),0)</f>
        <v>0</v>
      </c>
      <c r="O233" s="658">
        <f>+IFERROR(O$5*GETPIVOTDATA("Unique Billed Hours",'County allocation'!$K$19,"County",$D227,"HHA/CDPAP","HHA","Level of Service",$D233),0)</f>
        <v>0</v>
      </c>
      <c r="P233" s="658">
        <f>+IFERROR(P$5*GETPIVOTDATA("Unique Billed Hours",'County allocation'!$S$3,"County",$D227,"HHA/CDPAP","HHA","Level of Service",$D233),0)</f>
        <v>0</v>
      </c>
    </row>
    <row r="234" spans="1:18" s="54" customFormat="1" ht="15.75" hidden="1" thickBot="1" x14ac:dyDescent="0.3">
      <c r="A234" s="119"/>
      <c r="B234" s="309"/>
      <c r="C234" s="322">
        <f t="shared" ca="1" si="89"/>
        <v>0</v>
      </c>
      <c r="D234" s="7" t="s">
        <v>38</v>
      </c>
      <c r="E234" s="48" t="s">
        <v>53</v>
      </c>
      <c r="F234" s="657">
        <f t="shared" ca="1" si="90"/>
        <v>0</v>
      </c>
      <c r="G234" s="658">
        <f ca="1">+IFERROR(G$5*GETPIVOTDATA("Unique Billed Hours",'County allocation'!$A$3,"County",$D227,"HHA/CDPAP","HHA","Level of Service",$D234),0)</f>
        <v>0</v>
      </c>
      <c r="H234" s="658">
        <f>+IFERROR(H$5*GETPIVOTDATA("Unique Billed Hours",'County allocation'!$S$3,"County",$D227,"HHA/CDPAP","HHA","Level of Service",$D234),0)</f>
        <v>0</v>
      </c>
      <c r="I234" s="664">
        <f t="shared" ca="1" si="91"/>
        <v>0</v>
      </c>
      <c r="J234" s="658">
        <f ca="1">+IFERROR(J$5*GETPIVOTDATA("Unique Billed Hours",'County allocation'!$S$3,"County",$D227,"HHA/CDPAP","HHA","Level of Service",$D234),0)</f>
        <v>0</v>
      </c>
      <c r="K234" s="658">
        <f ca="1">+IFERROR(K$5*GETPIVOTDATA("Unique Billed Hours",'County allocation'!$X$3,"County",$D227,"HHA/CDPAP","HHA","Level of Service",$D234),0)</f>
        <v>0</v>
      </c>
      <c r="L234" s="658">
        <f ca="1">+IFERROR(L$5*GETPIVOTDATA("Unique Billed Hours",'County allocation'!$K$19,"County",$D227,"HHA/CDPAP","HHA","Level of Service",$D234),0)</f>
        <v>0</v>
      </c>
      <c r="M234" s="658">
        <f>+IFERROR(M$5*GETPIVOTDATA("Unique Billed Hours",'County allocation'!$S$3,"County",$D227,"HHA/CDPAP","HHA","Level of Service",$D234),0)</f>
        <v>0</v>
      </c>
      <c r="N234" s="658">
        <f>+IFERROR(N$5*GETPIVOTDATA("Unique Billed Hours",'County allocation'!$S$3,"County",$D227,"HHA/CDPAP","HHA","Level of Service",$D234),0)</f>
        <v>0</v>
      </c>
      <c r="O234" s="658">
        <f>+IFERROR(O$5*GETPIVOTDATA("Unique Billed Hours",'County allocation'!$K$19,"County",$D227,"HHA/CDPAP","HHA","Level of Service",$D234),0)</f>
        <v>0</v>
      </c>
      <c r="P234" s="658">
        <f>+IFERROR(P$5*GETPIVOTDATA("Unique Billed Hours",'County allocation'!$S$3,"County",$D227,"HHA/CDPAP","HHA","Level of Service",$D234),0)</f>
        <v>0</v>
      </c>
    </row>
    <row r="235" spans="1:18" s="54" customFormat="1" ht="15.75" hidden="1" thickBot="1" x14ac:dyDescent="0.3">
      <c r="A235" s="119"/>
      <c r="B235" s="309"/>
      <c r="C235" s="322">
        <f t="shared" ca="1" si="89"/>
        <v>0</v>
      </c>
      <c r="D235" s="7" t="s">
        <v>39</v>
      </c>
      <c r="E235" s="48" t="s">
        <v>52</v>
      </c>
      <c r="F235" s="657">
        <f t="shared" ca="1" si="90"/>
        <v>0</v>
      </c>
      <c r="G235" s="658">
        <f ca="1">+IFERROR(G$5*GETPIVOTDATA("Unique Billed Hours",'County allocation'!$A$3,"County",$D227,"HHA/CDPAP","HHA","Level of Service",$D235),0)</f>
        <v>0</v>
      </c>
      <c r="H235" s="658">
        <f>+IFERROR(H$5*GETPIVOTDATA("Unique Billed Hours",'County allocation'!$S$3,"County",$D227,"HHA/CDPAP","HHA","Level of Service",$D235),0)</f>
        <v>0</v>
      </c>
      <c r="I235" s="664">
        <f t="shared" ca="1" si="91"/>
        <v>0</v>
      </c>
      <c r="J235" s="658">
        <f ca="1">+IFERROR(J$5*GETPIVOTDATA("Unique Billed Hours",'County allocation'!$S$3,"County",$D227,"HHA/CDPAP","HHA","Level of Service",$D235),0)</f>
        <v>0</v>
      </c>
      <c r="K235" s="658">
        <f ca="1">+IFERROR(K$5*GETPIVOTDATA("Unique Billed Hours",'County allocation'!$X$3,"County",$D227,"HHA/CDPAP","HHA","Level of Service",$D235),0)</f>
        <v>0</v>
      </c>
      <c r="L235" s="658">
        <f ca="1">+IFERROR(L$5*GETPIVOTDATA("Unique Billed Hours",'County allocation'!$K$19,"County",$D227,"HHA/CDPAP","HHA","Level of Service",$D235),0)</f>
        <v>0</v>
      </c>
      <c r="M235" s="658">
        <f>+IFERROR(M$5*GETPIVOTDATA("Unique Billed Hours",'County allocation'!$S$3,"County",$D227,"HHA/CDPAP","HHA","Level of Service",$D235),0)</f>
        <v>0</v>
      </c>
      <c r="N235" s="658">
        <f>+IFERROR(N$5*GETPIVOTDATA("Unique Billed Hours",'County allocation'!$S$3,"County",$D227,"HHA/CDPAP","HHA","Level of Service",$D235),0)</f>
        <v>0</v>
      </c>
      <c r="O235" s="658">
        <f>+IFERROR(O$5*GETPIVOTDATA("Unique Billed Hours",'County allocation'!$K$19,"County",$D227,"HHA/CDPAP","HHA","Level of Service",$D235),0)</f>
        <v>0</v>
      </c>
      <c r="P235" s="658">
        <f>+IFERROR(P$5*GETPIVOTDATA("Unique Billed Hours",'County allocation'!$S$3,"County",$D227,"HHA/CDPAP","HHA","Level of Service",$D235),0)</f>
        <v>0</v>
      </c>
    </row>
    <row r="236" spans="1:18" s="54" customFormat="1" ht="15.75" hidden="1" thickBot="1" x14ac:dyDescent="0.3">
      <c r="A236" s="119"/>
      <c r="B236" s="309"/>
      <c r="C236" s="322">
        <f t="shared" ca="1" si="89"/>
        <v>0</v>
      </c>
      <c r="D236" s="8" t="s">
        <v>40</v>
      </c>
      <c r="E236" s="48" t="s">
        <v>51</v>
      </c>
      <c r="F236" s="657">
        <f t="shared" ca="1" si="90"/>
        <v>0</v>
      </c>
      <c r="G236" s="658">
        <f ca="1">+IFERROR(G$5*GETPIVOTDATA("Unique Billed Hours",'County allocation'!$A$3,"County",$D227,"HHA/CDPAP","HHA","Level of Service",$D236),0)</f>
        <v>0</v>
      </c>
      <c r="H236" s="658">
        <f>+IFERROR(H$5*GETPIVOTDATA("Unique Billed Hours",'County allocation'!$S$3,"County",$D227,"HHA/CDPAP","HHA","Level of Service",$D236),0)</f>
        <v>0</v>
      </c>
      <c r="I236" s="664">
        <f t="shared" ca="1" si="91"/>
        <v>0</v>
      </c>
      <c r="J236" s="658">
        <f ca="1">+IFERROR(J$5*GETPIVOTDATA("Unique Billed Hours",'County allocation'!$S$3,"County",$D227,"HHA/CDPAP","HHA","Level of Service",$D236),0)</f>
        <v>0</v>
      </c>
      <c r="K236" s="658">
        <f ca="1">+IFERROR(K$5*GETPIVOTDATA("Unique Billed Hours",'County allocation'!$X$3,"County",$D227,"HHA/CDPAP","HHA","Level of Service",$D236),0)</f>
        <v>0</v>
      </c>
      <c r="L236" s="658">
        <f ca="1">+IFERROR(L$2*GETPIVOTDATA("Unique Billed Hours",'County allocation'!$O$3,"County",$D227,"HHA/CDPAP","HHA","Level of Service",$D236),0)</f>
        <v>0</v>
      </c>
      <c r="M236" s="658">
        <f>+IFERROR(M$5*GETPIVOTDATA("Unique Billed Hours",'County allocation'!$S$3,"County",$D227,"HHA/CDPAP","HHA","Level of Service",$D236),0)</f>
        <v>0</v>
      </c>
      <c r="N236" s="658">
        <f>+IFERROR(N$5*GETPIVOTDATA("Unique Billed Hours",'County allocation'!$S$3,"County",$D227,"HHA/CDPAP","HHA","Level of Service",$D236),0)</f>
        <v>0</v>
      </c>
      <c r="O236" s="658">
        <f>+IFERROR(O$5*GETPIVOTDATA("Unique Billed Hours",'County allocation'!$K$19,"County",$D227,"HHA/CDPAP","HHA","Level of Service",$D236),0)</f>
        <v>0</v>
      </c>
      <c r="P236" s="658">
        <f>+IFERROR(P$5*GETPIVOTDATA("Unique Billed Hours",'County allocation'!$S$3,"County",$D227,"HHA/CDPAP","HHA","Level of Service",$D236),0)</f>
        <v>0</v>
      </c>
    </row>
    <row r="237" spans="1:18" s="54" customFormat="1" ht="15.75" hidden="1" thickBot="1" x14ac:dyDescent="0.3">
      <c r="A237" s="119"/>
      <c r="B237" s="309"/>
      <c r="C237" s="322">
        <f t="shared" ca="1" si="89"/>
        <v>0</v>
      </c>
      <c r="D237" s="8" t="s">
        <v>41</v>
      </c>
      <c r="E237" s="48" t="s">
        <v>50</v>
      </c>
      <c r="F237" s="657">
        <f t="shared" ca="1" si="90"/>
        <v>0</v>
      </c>
      <c r="G237" s="658">
        <f ca="1">+IFERROR(G$5*GETPIVOTDATA("Unique Billed Hours",'County allocation'!$A$3,"County",$D227,"HHA/CDPAP","HHA","Level of Service",$D237),0)</f>
        <v>0</v>
      </c>
      <c r="H237" s="658">
        <f>+IFERROR(H$5*GETPIVOTDATA("Unique Billed Hours",'County allocation'!$S$3,"County",$D227,"HHA/CDPAP","HHA","Level of Service",$D237),0)</f>
        <v>0</v>
      </c>
      <c r="I237" s="664">
        <f t="shared" ca="1" si="91"/>
        <v>0</v>
      </c>
      <c r="J237" s="658">
        <f ca="1">+IFERROR(J$5*GETPIVOTDATA("Unique Billed Hours",'County allocation'!$S$3,"County",$D227,"HHA/CDPAP","HHA","Level of Service",$D237),0)</f>
        <v>0</v>
      </c>
      <c r="K237" s="658">
        <f ca="1">+IFERROR(K$5*GETPIVOTDATA("Unique Billed Hours",'County allocation'!$X$3,"County",$D227,"HHA/CDPAP","HHA","Level of Service",$D237),0)</f>
        <v>0</v>
      </c>
      <c r="L237" s="658">
        <f ca="1">+IFERROR(L$2*GETPIVOTDATA("Unique Billed Hours",'County allocation'!$O$3,"County",$D227,"HHA/CDPAP","HHA","Level of Service",$D237),0)</f>
        <v>0</v>
      </c>
      <c r="M237" s="658">
        <f>+IFERROR(M$5*GETPIVOTDATA("Unique Billed Hours",'County allocation'!$S$3,"County",$D227,"HHA/CDPAP","HHA","Level of Service",$D237),0)</f>
        <v>0</v>
      </c>
      <c r="N237" s="658">
        <f>+IFERROR(N$5*GETPIVOTDATA("Unique Billed Hours",'County allocation'!$S$3,"County",$D227,"HHA/CDPAP","HHA","Level of Service",$D237),0)</f>
        <v>0</v>
      </c>
      <c r="O237" s="658">
        <f>+IFERROR(O$5*GETPIVOTDATA("Unique Billed Hours",'County allocation'!$K$19,"County",$D227,"HHA/CDPAP","HHA","Level of Service",$D237),0)</f>
        <v>0</v>
      </c>
      <c r="P237" s="658">
        <f>+IFERROR(P$5*GETPIVOTDATA("Unique Billed Hours",'County allocation'!$S$3,"County",$D227,"HHA/CDPAP","HHA","Level of Service",$D237),0)</f>
        <v>0</v>
      </c>
    </row>
    <row r="238" spans="1:18" s="54" customFormat="1" ht="15.75" hidden="1" thickBot="1" x14ac:dyDescent="0.3">
      <c r="A238" s="119"/>
      <c r="B238" s="309"/>
      <c r="C238" s="322">
        <f t="shared" ca="1" si="89"/>
        <v>0</v>
      </c>
      <c r="D238" s="52" t="s">
        <v>389</v>
      </c>
      <c r="E238" s="53" t="s">
        <v>49</v>
      </c>
      <c r="F238" s="657">
        <f t="shared" ca="1" si="90"/>
        <v>0</v>
      </c>
      <c r="G238" s="661">
        <f ca="1">SUM(G230:G237)</f>
        <v>0</v>
      </c>
      <c r="H238" s="661">
        <f>SUM(H230:H237)</f>
        <v>0</v>
      </c>
      <c r="I238" s="664">
        <f t="shared" ca="1" si="91"/>
        <v>0</v>
      </c>
      <c r="J238" s="661">
        <f ca="1">SUM(J230:J237)</f>
        <v>0</v>
      </c>
      <c r="K238" s="661">
        <f t="shared" ref="K238:P238" ca="1" si="92">SUM(K230:K237)</f>
        <v>0</v>
      </c>
      <c r="L238" s="661">
        <f t="shared" ca="1" si="92"/>
        <v>0</v>
      </c>
      <c r="M238" s="661">
        <f t="shared" si="92"/>
        <v>0</v>
      </c>
      <c r="N238" s="661">
        <f t="shared" si="92"/>
        <v>0</v>
      </c>
      <c r="O238" s="661">
        <f t="shared" si="92"/>
        <v>0</v>
      </c>
      <c r="P238" s="661">
        <f t="shared" si="92"/>
        <v>0</v>
      </c>
    </row>
    <row r="239" spans="1:18" s="54" customFormat="1" ht="15.75" hidden="1" thickBot="1" x14ac:dyDescent="0.3">
      <c r="A239" s="119"/>
      <c r="B239" s="309"/>
      <c r="C239" s="322">
        <f t="shared" ca="1" si="89"/>
        <v>0</v>
      </c>
      <c r="D239" s="371" t="s">
        <v>390</v>
      </c>
      <c r="E239" s="325" t="s">
        <v>47</v>
      </c>
      <c r="F239" s="657">
        <f t="shared" ca="1" si="90"/>
        <v>0</v>
      </c>
      <c r="G239" s="665">
        <f ca="1">+IFERROR((G$5*GETPIVOTDATA("Unique Billed Hours",'County allocation'!$A$3,"County",$D227,"HHA/CDPAP","HHA","Level of Service",$D239))+($G$2*GETPIVOTDATA("Unique Billed Hours",'County allocation'!$F$7,"County",$D227,"HHA/CDPAP","HHA","Level of Service",$D239)),0)++IFERROR(J$5*GETPIVOTDATA("Unique Billed Hours",'County allocation'!$AC$3,"County",$D227,"HHA/CDPAP","HHA","Level of Service",$D239),0)+ +IFERROR(J$5*GETPIVOTDATA("Unique Billed Hours",'County allocation'!$AC$3,"County",$D227,"HHA/CDPAP","HHA","Level of Service",$D240),0)</f>
        <v>0</v>
      </c>
      <c r="H239" s="665">
        <f>+IFERROR(H$5*GETPIVOTDATA("Unique Billed Hours",'County allocation'!$S$3,"County",$D227,"HHA/CDPAP","HHA","Level of Service",$D239),0)</f>
        <v>0</v>
      </c>
      <c r="I239" s="664">
        <f t="shared" ca="1" si="91"/>
        <v>0</v>
      </c>
      <c r="J239" s="901"/>
      <c r="K239" s="665">
        <f ca="1">+IFERROR(K$5*GETPIVOTDATA("Unique Billed Hours",'County allocation'!$X$3,"County",$D227,"HHA/CDPAP","HHA","Level of Service",$D239),0)</f>
        <v>0</v>
      </c>
      <c r="L239" s="665">
        <f ca="1">+IFERROR(L$5*GETPIVOTDATA("Unique Billed Hours",'County allocation'!$K$19,"County",$D227,"HHA/CDPAP","HHA","Level of Service",$D239),0)</f>
        <v>0</v>
      </c>
      <c r="M239" s="665">
        <f>+IFERROR(M$5*GETPIVOTDATA("Unique Billed Hours",'County allocation'!$S$3,"County",$D227,"HHA/CDPAP","HHA","Level of Service",$D239),0)</f>
        <v>0</v>
      </c>
      <c r="N239" s="665">
        <f>+IFERROR(N$5*GETPIVOTDATA("Unique Billed Hours",'County allocation'!$S$3,"County",$D227,"HHA/CDPAP","HHA","Level of Service",$D239),0)</f>
        <v>0</v>
      </c>
      <c r="O239" s="665">
        <f>+IFERROR(O$5*GETPIVOTDATA("Unique Billed Hours",'County allocation'!$S$3,"County",$D227,"HHA/CDPAP","HHA","Level of Service",$D239),0)</f>
        <v>0</v>
      </c>
      <c r="P239" s="665">
        <f>+IFERROR(P$5*GETPIVOTDATA("Unique Billed Hours",'County allocation'!$S$3,"County",$D227,"HHA/CDPAP","HHA","Level of Service",$D239),0)</f>
        <v>0</v>
      </c>
    </row>
    <row r="240" spans="1:18" s="54" customFormat="1" ht="15.75" hidden="1" thickBot="1" x14ac:dyDescent="0.3">
      <c r="A240" s="119"/>
      <c r="B240" s="309"/>
      <c r="C240" s="322">
        <f t="shared" ca="1" si="89"/>
        <v>0</v>
      </c>
      <c r="D240" s="8" t="s">
        <v>391</v>
      </c>
      <c r="E240" s="370" t="s">
        <v>77</v>
      </c>
      <c r="F240" s="657">
        <f t="shared" ca="1" si="90"/>
        <v>0</v>
      </c>
      <c r="G240" s="656"/>
      <c r="H240" s="658">
        <f>+IFERROR(H$5*GETPIVOTDATA("Unique Billed Hours",'County allocation'!$S$3,"County",$D227,"HHA/CDPAP","HHA","Level of Service",$D240),0)</f>
        <v>0</v>
      </c>
      <c r="I240" s="664">
        <f t="shared" ca="1" si="91"/>
        <v>0</v>
      </c>
      <c r="J240" s="901"/>
      <c r="K240" s="665">
        <f ca="1">+IFERROR(K$5*GETPIVOTDATA("Unique Billed Hours",'County allocation'!$X$3,"County",$D227,"HHA/CDPAP","HHA","Level of Service",$D240),0)</f>
        <v>0</v>
      </c>
      <c r="L240" s="665">
        <f ca="1">+IFERROR(L$5*GETPIVOTDATA("Unique Billed Hours",'County allocation'!$K$19,"County",$D227,"HHA/CDPAP","HHA","Level of Service",$D240),0)</f>
        <v>0</v>
      </c>
      <c r="M240" s="665">
        <f>+IFERROR(M$5*GETPIVOTDATA("Unique Billed Hours",'County allocation'!$S$3,"County",$D227,"HHA/CDPAP","HHA","Level of Service",$D240),0)</f>
        <v>0</v>
      </c>
      <c r="N240" s="665">
        <f>+IFERROR(N$5*GETPIVOTDATA("Unique Billed Hours",'County allocation'!$S$3,"County",$D227,"HHA/CDPAP","HHA","Level of Service",$D240),0)</f>
        <v>0</v>
      </c>
      <c r="O240" s="665">
        <f>+IFERROR(O$5*GETPIVOTDATA("Unique Billed Hours",'County allocation'!$S$3,"County",$D227,"HHA/CDPAP","HHA","Level of Service",$D240),0)</f>
        <v>0</v>
      </c>
      <c r="P240" s="665">
        <f>+IFERROR(P$5*GETPIVOTDATA("Unique Billed Hours",'County allocation'!$S$3,"County",$D227,"HHA/CDPAP","HHA","Level of Service",$D240),0)</f>
        <v>0</v>
      </c>
    </row>
    <row r="241" spans="1:18" s="54" customFormat="1" ht="15.75" hidden="1" thickBot="1" x14ac:dyDescent="0.3">
      <c r="A241" s="119"/>
      <c r="B241" s="309"/>
      <c r="C241" s="322">
        <f t="shared" ca="1" si="89"/>
        <v>0</v>
      </c>
      <c r="D241" s="8" t="s">
        <v>374</v>
      </c>
      <c r="E241" s="370" t="s">
        <v>78</v>
      </c>
      <c r="F241" s="657">
        <f t="shared" ca="1" si="90"/>
        <v>0</v>
      </c>
      <c r="G241" s="658">
        <f ca="1">+IFERROR(G$5*GETPIVOTDATA("Unique Billed Hours",'County allocation'!$A$3,"County",$D227,"HHA/CDPAP","HHA","Level of Service",$D241),0)++IFERROR(J$5*GETPIVOTDATA("Unique Billed Hours",'County allocation'!$AC$3,"County",$D227,"HHA/CDPAP","HHA","Level of Service",$D241),0)</f>
        <v>0</v>
      </c>
      <c r="H241" s="658">
        <f>+IFERROR(H$5*GETPIVOTDATA("Unique Billed Hours",'County allocation'!$S$3,"County",$D227,"HHA/CDPAP","HHA","Level of Service",$D241),0)</f>
        <v>0</v>
      </c>
      <c r="I241" s="664">
        <f t="shared" ca="1" si="91"/>
        <v>0</v>
      </c>
      <c r="J241" s="901"/>
      <c r="K241" s="665">
        <f ca="1">+IFERROR(K$5*GETPIVOTDATA("Unique Billed Hours",'County allocation'!$X$3,"County",$D227,"HHA/CDPAP","HHA","Level of Service",$D241),0)</f>
        <v>0</v>
      </c>
      <c r="L241" s="665">
        <f ca="1">+IFERROR(L$5*GETPIVOTDATA("Unique Billed Hours",'County allocation'!$K$19,"County",$D227,"HHA/CDPAP","HHA","Level of Service",$D241),0)</f>
        <v>0</v>
      </c>
      <c r="M241" s="665">
        <f>+IFERROR(M$5*GETPIVOTDATA("Unique Billed Hours",'County allocation'!$S$3,"County",$D227,"HHA/CDPAP","HHA","Level of Service",$D241),0)</f>
        <v>0</v>
      </c>
      <c r="N241" s="665">
        <f>+IFERROR(N$5*GETPIVOTDATA("Unique Billed Hours",'County allocation'!$S$3,"County",$D227,"HHA/CDPAP","HHA","Level of Service",$D241),0)</f>
        <v>0</v>
      </c>
      <c r="O241" s="665">
        <f>+IFERROR(O$5*GETPIVOTDATA("Unique Billed Hours",'County allocation'!$S$3,"County",$D227,"HHA/CDPAP","HHA","Level of Service",$D241),0)</f>
        <v>0</v>
      </c>
      <c r="P241" s="665">
        <f>+IFERROR(P$5*GETPIVOTDATA("Unique Billed Hours",'County allocation'!$S$3,"County",$D227,"HHA/CDPAP","HHA","Level of Service",$D241),0)</f>
        <v>0</v>
      </c>
    </row>
    <row r="242" spans="1:18" s="54" customFormat="1" ht="15.75" hidden="1" thickBot="1" x14ac:dyDescent="0.3">
      <c r="A242" s="302"/>
      <c r="B242" s="309"/>
      <c r="C242" s="322">
        <f ca="1">C241</f>
        <v>0</v>
      </c>
      <c r="D242" s="52" t="s">
        <v>48</v>
      </c>
      <c r="E242" s="53" t="s">
        <v>79</v>
      </c>
      <c r="F242" s="657">
        <f t="shared" ca="1" si="90"/>
        <v>0</v>
      </c>
      <c r="G242" s="661">
        <f t="shared" ref="G242" ca="1" si="93">SUM(G238:G241)</f>
        <v>0</v>
      </c>
      <c r="H242" s="661">
        <f t="shared" ref="H242:P242" si="94">SUM(H238:H241)</f>
        <v>0</v>
      </c>
      <c r="I242" s="661">
        <f t="shared" ca="1" si="94"/>
        <v>0</v>
      </c>
      <c r="J242" s="661">
        <f t="shared" ca="1" si="94"/>
        <v>0</v>
      </c>
      <c r="K242" s="661">
        <f t="shared" ca="1" si="94"/>
        <v>0</v>
      </c>
      <c r="L242" s="661">
        <f t="shared" ca="1" si="94"/>
        <v>0</v>
      </c>
      <c r="M242" s="661">
        <f t="shared" si="94"/>
        <v>0</v>
      </c>
      <c r="N242" s="661">
        <f t="shared" si="94"/>
        <v>0</v>
      </c>
      <c r="O242" s="661">
        <f t="shared" si="94"/>
        <v>0</v>
      </c>
      <c r="P242" s="661">
        <f t="shared" si="94"/>
        <v>0</v>
      </c>
    </row>
    <row r="243" spans="1:18" s="54" customFormat="1" ht="15.75" hidden="1" thickBot="1" x14ac:dyDescent="0.3">
      <c r="A243" s="119"/>
      <c r="B243" s="309"/>
      <c r="C243" s="322"/>
      <c r="E243" s="55"/>
      <c r="F243" s="666"/>
      <c r="G243" s="666"/>
      <c r="H243" s="666"/>
      <c r="I243" s="666"/>
      <c r="J243" s="666"/>
      <c r="K243" s="666"/>
      <c r="L243" s="666"/>
      <c r="M243" s="666"/>
      <c r="N243" s="666"/>
      <c r="O243" s="666"/>
      <c r="P243" s="666"/>
    </row>
    <row r="244" spans="1:18" s="54" customFormat="1" ht="75.75" hidden="1" thickBot="1" x14ac:dyDescent="0.3">
      <c r="A244" s="119"/>
      <c r="B244" s="309"/>
      <c r="C244" s="322">
        <f ca="1">IF(F259&gt;0,1,0)</f>
        <v>0</v>
      </c>
      <c r="D244" s="45" t="str">
        <f>A17</f>
        <v>Dutchess</v>
      </c>
      <c r="E244" s="28">
        <f>+SUMIF(A:A,D244,B:B)</f>
        <v>0</v>
      </c>
      <c r="F244" s="652" t="s">
        <v>61</v>
      </c>
      <c r="G244" s="652" t="s">
        <v>387</v>
      </c>
      <c r="H244" s="652" t="s">
        <v>388</v>
      </c>
      <c r="I244" s="652" t="s">
        <v>392</v>
      </c>
      <c r="J244" s="652" t="s">
        <v>31</v>
      </c>
      <c r="K244" s="652" t="s">
        <v>32</v>
      </c>
      <c r="L244" s="653" t="s">
        <v>33</v>
      </c>
      <c r="M244" s="653" t="s">
        <v>60</v>
      </c>
      <c r="N244" s="653" t="s">
        <v>59</v>
      </c>
      <c r="O244" s="653" t="s">
        <v>58</v>
      </c>
      <c r="P244" s="653" t="s">
        <v>16</v>
      </c>
    </row>
    <row r="245" spans="1:18" s="54" customFormat="1" ht="15.75" hidden="1" thickBot="1" x14ac:dyDescent="0.3">
      <c r="A245" s="119"/>
      <c r="B245" s="309"/>
      <c r="C245" s="322">
        <f ca="1">C244</f>
        <v>0</v>
      </c>
      <c r="D245" s="56"/>
      <c r="E245" s="57"/>
      <c r="F245" s="654" t="s">
        <v>57</v>
      </c>
      <c r="G245" s="654" t="s">
        <v>56</v>
      </c>
      <c r="H245" s="654" t="s">
        <v>55</v>
      </c>
      <c r="I245" s="654" t="s">
        <v>54</v>
      </c>
      <c r="J245" s="654" t="s">
        <v>53</v>
      </c>
      <c r="K245" s="654" t="s">
        <v>52</v>
      </c>
      <c r="L245" s="654" t="s">
        <v>51</v>
      </c>
      <c r="M245" s="654" t="s">
        <v>50</v>
      </c>
      <c r="N245" s="654" t="s">
        <v>49</v>
      </c>
      <c r="O245" s="654" t="s">
        <v>47</v>
      </c>
      <c r="P245" s="655" t="s">
        <v>77</v>
      </c>
    </row>
    <row r="246" spans="1:18" s="54" customFormat="1" ht="15.75" hidden="1" thickBot="1" x14ac:dyDescent="0.3">
      <c r="A246" s="119"/>
      <c r="B246" s="309"/>
      <c r="C246" s="322">
        <f t="shared" ref="C246:C258" ca="1" si="95">C245</f>
        <v>0</v>
      </c>
      <c r="D246" s="59" t="s">
        <v>26</v>
      </c>
      <c r="E246" s="57"/>
      <c r="F246" s="656"/>
      <c r="G246" s="656"/>
      <c r="H246" s="656"/>
      <c r="I246" s="656"/>
      <c r="J246" s="656"/>
      <c r="K246" s="656"/>
      <c r="L246" s="656"/>
      <c r="M246" s="656"/>
      <c r="N246" s="656"/>
      <c r="O246" s="656"/>
      <c r="P246" s="663"/>
    </row>
    <row r="247" spans="1:18" s="54" customFormat="1" ht="15.75" hidden="1" thickBot="1" x14ac:dyDescent="0.3">
      <c r="A247" s="119"/>
      <c r="B247" s="309"/>
      <c r="C247" s="322">
        <f t="shared" ca="1" si="95"/>
        <v>0</v>
      </c>
      <c r="D247" s="7" t="s">
        <v>34</v>
      </c>
      <c r="E247" s="48" t="s">
        <v>57</v>
      </c>
      <c r="F247" s="657">
        <f ca="1">+H247+G247+I247</f>
        <v>0</v>
      </c>
      <c r="G247" s="658">
        <f ca="1">+IFERROR(G$5*GETPIVOTDATA("Unique Billed Hours",'County allocation'!$A$3,"County",$D244,"HHA/CDPAP","HHA","Level of Service",$D247),0)</f>
        <v>0</v>
      </c>
      <c r="H247" s="658">
        <f>+IFERROR(H$5*GETPIVOTDATA("Unique Billed Hours",'County allocation'!$S$3,"County",$D244,"HHA/CDPAP","HHA","Level of Service",$D247),0)</f>
        <v>0</v>
      </c>
      <c r="I247" s="664">
        <f ca="1">SUM(J247:P247)</f>
        <v>0</v>
      </c>
      <c r="J247" s="658">
        <f ca="1">+IFERROR(J$5*GETPIVOTDATA("Unique Billed Hours",'County allocation'!$S$3,"County",$D244,"HHA/CDPAP","HHA","Level of Service",$D247),0)</f>
        <v>0</v>
      </c>
      <c r="K247" s="658">
        <f ca="1">+IFERROR(K$5*GETPIVOTDATA("Unique Billed Hours",'County allocation'!$X$3,"County",$D244,"HHA/CDPAP","HHA","Level of Service",$D247),0)</f>
        <v>0</v>
      </c>
      <c r="L247" s="658">
        <f ca="1">+IFERROR(L$2*GETPIVOTDATA("Unique Billed Hours",'County allocation'!$O$3,"County",$D244,"HHA/CDPAP","HHA","Level of Service",$D247),0)</f>
        <v>0</v>
      </c>
      <c r="M247" s="658">
        <f>+IFERROR(M$5*GETPIVOTDATA("Unique Billed Hours",'County allocation'!$S$3,"County",$D244,"HHA/CDPAP","HHA","Level of Service",$D247),0)</f>
        <v>0</v>
      </c>
      <c r="N247" s="658">
        <f>+IFERROR(N$5*GETPIVOTDATA("Unique Billed Hours",'County allocation'!$S$3,"County",$D244,"HHA/CDPAP","HHA","Level of Service",$D247),0)</f>
        <v>0</v>
      </c>
      <c r="O247" s="658">
        <f>+IFERROR(O$5*GETPIVOTDATA("Unique Billed Hours",'County allocation'!$K$19,"County",$D244,"HHA/CDPAP","HHA","Level of Service",$D247),0)</f>
        <v>0</v>
      </c>
      <c r="P247" s="658">
        <f>+IFERROR(P$5*GETPIVOTDATA("Unique Billed Hours",'County allocation'!$S$3,"County",$D244,"HHA/CDPAP","HHA","Level of Service",$D247),0)</f>
        <v>0</v>
      </c>
    </row>
    <row r="248" spans="1:18" s="54" customFormat="1" ht="15.75" hidden="1" thickBot="1" x14ac:dyDescent="0.3">
      <c r="A248" s="119"/>
      <c r="B248" s="309"/>
      <c r="C248" s="322">
        <f t="shared" ca="1" si="95"/>
        <v>0</v>
      </c>
      <c r="D248" s="7" t="s">
        <v>35</v>
      </c>
      <c r="E248" s="48" t="s">
        <v>56</v>
      </c>
      <c r="F248" s="657">
        <f t="shared" ref="F248:F259" ca="1" si="96">+H248+G248+I248</f>
        <v>0</v>
      </c>
      <c r="G248" s="658">
        <f ca="1">+IFERROR(G$5*GETPIVOTDATA("Unique Billed Hours",'County allocation'!$A$3,"County",$D244,"HHA/CDPAP","HHA","Level of Service",$D248),0)</f>
        <v>0</v>
      </c>
      <c r="H248" s="658">
        <f>+IFERROR(H$5*GETPIVOTDATA("Unique Billed Hours",'County allocation'!$S$3,"County",$D244,"HHA/CDPAP","HHA","Level of Service",$D248),0)</f>
        <v>0</v>
      </c>
      <c r="I248" s="664">
        <f t="shared" ref="I248:I258" ca="1" si="97">SUM(J248:P248)</f>
        <v>0</v>
      </c>
      <c r="J248" s="658">
        <f ca="1">+IFERROR(J$5*GETPIVOTDATA("Unique Billed Hours",'County allocation'!$S$3,"County",$D244,"HHA/CDPAP","HHA","Level of Service",$D248),0)</f>
        <v>0</v>
      </c>
      <c r="K248" s="658">
        <f ca="1">+IFERROR(K$5*GETPIVOTDATA("Unique Billed Hours",'County allocation'!$X$3,"County",$D244,"HHA/CDPAP","HHA","Level of Service",$D248),0)</f>
        <v>0</v>
      </c>
      <c r="L248" s="658">
        <f ca="1">+IFERROR(L$2*GETPIVOTDATA("Unique Billed Hours",'County allocation'!$O$3,"County",$D244,"HHA/CDPAP","HHA","Level of Service",$D248),0)</f>
        <v>0</v>
      </c>
      <c r="M248" s="658">
        <f>+IFERROR(M$5*GETPIVOTDATA("Unique Billed Hours",'County allocation'!$S$3,"County",$D244,"HHA/CDPAP","HHA","Level of Service",$D248),0)</f>
        <v>0</v>
      </c>
      <c r="N248" s="658">
        <f>+IFERROR(N$5*GETPIVOTDATA("Unique Billed Hours",'County allocation'!$S$3,"County",$D244,"HHA/CDPAP","HHA","Level of Service",$D248),0)</f>
        <v>0</v>
      </c>
      <c r="O248" s="658">
        <f>+IFERROR(O$5*GETPIVOTDATA("Unique Billed Hours",'County allocation'!$K$19,"County",$D244,"HHA/CDPAP","HHA","Level of Service",$D248),0)</f>
        <v>0</v>
      </c>
      <c r="P248" s="658">
        <f>+IFERROR(P$5*GETPIVOTDATA("Unique Billed Hours",'County allocation'!$S$3,"County",$D244,"HHA/CDPAP","HHA","Level of Service",$D248),0)</f>
        <v>0</v>
      </c>
      <c r="R248" s="61"/>
    </row>
    <row r="249" spans="1:18" s="54" customFormat="1" ht="15.75" hidden="1" thickBot="1" x14ac:dyDescent="0.3">
      <c r="A249" s="302"/>
      <c r="B249" s="309"/>
      <c r="C249" s="322">
        <f t="shared" ca="1" si="95"/>
        <v>0</v>
      </c>
      <c r="D249" s="7" t="s">
        <v>36</v>
      </c>
      <c r="E249" s="48" t="s">
        <v>55</v>
      </c>
      <c r="F249" s="657">
        <f t="shared" ca="1" si="96"/>
        <v>0</v>
      </c>
      <c r="G249" s="658">
        <f ca="1">+IFERROR(G$5*GETPIVOTDATA("Unique Billed Hours",'County allocation'!$A$3,"County",$D244,"HHA/CDPAP","HHA","Level of Service",$D249),0)</f>
        <v>0</v>
      </c>
      <c r="H249" s="658">
        <f>+IFERROR(H$5*GETPIVOTDATA("Unique Billed Hours",'County allocation'!$S$3,"County",$D244,"HHA/CDPAP","HHA","Level of Service",$D249),0)</f>
        <v>0</v>
      </c>
      <c r="I249" s="664">
        <f t="shared" ca="1" si="97"/>
        <v>0</v>
      </c>
      <c r="J249" s="658">
        <f ca="1">+IFERROR(J$5*GETPIVOTDATA("Unique Billed Hours",'County allocation'!$S$3,"County",$D244,"HHA/CDPAP","HHA","Level of Service",$D249),0)</f>
        <v>0</v>
      </c>
      <c r="K249" s="658">
        <f ca="1">+IFERROR(K$5*GETPIVOTDATA("Unique Billed Hours",'County allocation'!$X$3,"County",$D244,"HHA/CDPAP","HHA","Level of Service",$D249),0)</f>
        <v>0</v>
      </c>
      <c r="L249" s="658">
        <f ca="1">+IFERROR(L$2*GETPIVOTDATA("Unique Billed Hours",'County allocation'!$O$3,"County",$D244,"HHA/CDPAP","HHA","Level of Service",$D249),0)</f>
        <v>0</v>
      </c>
      <c r="M249" s="658">
        <f>+IFERROR(M$5*GETPIVOTDATA("Unique Billed Hours",'County allocation'!$S$3,"County",$D244,"HHA/CDPAP","HHA","Level of Service",$D249),0)</f>
        <v>0</v>
      </c>
      <c r="N249" s="658">
        <f>+IFERROR(N$5*GETPIVOTDATA("Unique Billed Hours",'County allocation'!$S$3,"County",$D244,"HHA/CDPAP","HHA","Level of Service",$D249),0)</f>
        <v>0</v>
      </c>
      <c r="O249" s="658">
        <f>+IFERROR(O$5*GETPIVOTDATA("Unique Billed Hours",'County allocation'!$K$19,"County",$D244,"HHA/CDPAP","HHA","Level of Service",$D249),0)</f>
        <v>0</v>
      </c>
      <c r="P249" s="658">
        <f>+IFERROR(P$5*GETPIVOTDATA("Unique Billed Hours",'County allocation'!$S$3,"County",$D244,"HHA/CDPAP","HHA","Level of Service",$D249),0)</f>
        <v>0</v>
      </c>
    </row>
    <row r="250" spans="1:18" s="54" customFormat="1" ht="15.75" hidden="1" thickBot="1" x14ac:dyDescent="0.3">
      <c r="A250" s="119"/>
      <c r="B250" s="309"/>
      <c r="C250" s="322">
        <f t="shared" ca="1" si="95"/>
        <v>0</v>
      </c>
      <c r="D250" s="7" t="s">
        <v>37</v>
      </c>
      <c r="E250" s="48" t="s">
        <v>54</v>
      </c>
      <c r="F250" s="657">
        <f t="shared" ca="1" si="96"/>
        <v>0</v>
      </c>
      <c r="G250" s="658">
        <f ca="1">+IFERROR(G$5*GETPIVOTDATA("Unique Billed Hours",'County allocation'!$A$3,"County",$D244,"HHA/CDPAP","HHA","Level of Service",$D250),0)</f>
        <v>0</v>
      </c>
      <c r="H250" s="658">
        <f>+IFERROR(H$5*GETPIVOTDATA("Unique Billed Hours",'County allocation'!$S$3,"County",$D244,"HHA/CDPAP","HHA","Level of Service",$D250),0)</f>
        <v>0</v>
      </c>
      <c r="I250" s="664">
        <f t="shared" ca="1" si="97"/>
        <v>0</v>
      </c>
      <c r="J250" s="658">
        <f ca="1">+IFERROR(J$5*GETPIVOTDATA("Unique Billed Hours",'County allocation'!$S$3,"County",$D244,"HHA/CDPAP","HHA","Level of Service",$D250),0)</f>
        <v>0</v>
      </c>
      <c r="K250" s="658">
        <f ca="1">+IFERROR(K$5*GETPIVOTDATA("Unique Billed Hours",'County allocation'!$X$3,"County",$D244,"HHA/CDPAP","HHA","Level of Service",$D250),0)</f>
        <v>0</v>
      </c>
      <c r="L250" s="658">
        <f ca="1">+IFERROR(L$2*GETPIVOTDATA("Unique Billed Hours",'County allocation'!$O$3,"County",$D244,"HHA/CDPAP","HHA","Level of Service",$D250),0)</f>
        <v>0</v>
      </c>
      <c r="M250" s="658">
        <f>+IFERROR(M$5*GETPIVOTDATA("Unique Billed Hours",'County allocation'!$S$3,"County",$D244,"HHA/CDPAP","HHA","Level of Service",$D250),0)</f>
        <v>0</v>
      </c>
      <c r="N250" s="658">
        <f>+IFERROR(N$5*GETPIVOTDATA("Unique Billed Hours",'County allocation'!$S$3,"County",$D244,"HHA/CDPAP","HHA","Level of Service",$D250),0)</f>
        <v>0</v>
      </c>
      <c r="O250" s="658">
        <f>+IFERROR(O$5*GETPIVOTDATA("Unique Billed Hours",'County allocation'!$K$19,"County",$D244,"HHA/CDPAP","HHA","Level of Service",$D250),0)</f>
        <v>0</v>
      </c>
      <c r="P250" s="658">
        <f>+IFERROR(P$5*GETPIVOTDATA("Unique Billed Hours",'County allocation'!$S$3,"County",$D244,"HHA/CDPAP","HHA","Level of Service",$D250),0)</f>
        <v>0</v>
      </c>
    </row>
    <row r="251" spans="1:18" s="54" customFormat="1" ht="15.75" hidden="1" thickBot="1" x14ac:dyDescent="0.3">
      <c r="A251" s="119"/>
      <c r="B251" s="309"/>
      <c r="C251" s="322">
        <f t="shared" ca="1" si="95"/>
        <v>0</v>
      </c>
      <c r="D251" s="7" t="s">
        <v>38</v>
      </c>
      <c r="E251" s="48" t="s">
        <v>53</v>
      </c>
      <c r="F251" s="657">
        <f t="shared" ca="1" si="96"/>
        <v>0</v>
      </c>
      <c r="G251" s="658">
        <f ca="1">+IFERROR(G$5*GETPIVOTDATA("Unique Billed Hours",'County allocation'!$A$3,"County",$D244,"HHA/CDPAP","HHA","Level of Service",$D251),0)</f>
        <v>0</v>
      </c>
      <c r="H251" s="658">
        <f>+IFERROR(H$5*GETPIVOTDATA("Unique Billed Hours",'County allocation'!$S$3,"County",$D244,"HHA/CDPAP","HHA","Level of Service",$D251),0)</f>
        <v>0</v>
      </c>
      <c r="I251" s="664">
        <f t="shared" ca="1" si="97"/>
        <v>0</v>
      </c>
      <c r="J251" s="658">
        <f ca="1">+IFERROR(J$5*GETPIVOTDATA("Unique Billed Hours",'County allocation'!$S$3,"County",$D244,"HHA/CDPAP","HHA","Level of Service",$D251),0)</f>
        <v>0</v>
      </c>
      <c r="K251" s="658">
        <f ca="1">+IFERROR(K$5*GETPIVOTDATA("Unique Billed Hours",'County allocation'!$X$3,"County",$D244,"HHA/CDPAP","HHA","Level of Service",$D251),0)</f>
        <v>0</v>
      </c>
      <c r="L251" s="658">
        <f ca="1">+IFERROR(L$5*GETPIVOTDATA("Unique Billed Hours",'County allocation'!$K$19,"County",$D244,"HHA/CDPAP","HHA","Level of Service",$D251),0)</f>
        <v>0</v>
      </c>
      <c r="M251" s="658">
        <f>+IFERROR(M$5*GETPIVOTDATA("Unique Billed Hours",'County allocation'!$S$3,"County",$D244,"HHA/CDPAP","HHA","Level of Service",$D251),0)</f>
        <v>0</v>
      </c>
      <c r="N251" s="658">
        <f>+IFERROR(N$5*GETPIVOTDATA("Unique Billed Hours",'County allocation'!$S$3,"County",$D244,"HHA/CDPAP","HHA","Level of Service",$D251),0)</f>
        <v>0</v>
      </c>
      <c r="O251" s="658">
        <f>+IFERROR(O$5*GETPIVOTDATA("Unique Billed Hours",'County allocation'!$K$19,"County",$D244,"HHA/CDPAP","HHA","Level of Service",$D251),0)</f>
        <v>0</v>
      </c>
      <c r="P251" s="658">
        <f>+IFERROR(P$5*GETPIVOTDATA("Unique Billed Hours",'County allocation'!$S$3,"County",$D244,"HHA/CDPAP","HHA","Level of Service",$D251),0)</f>
        <v>0</v>
      </c>
    </row>
    <row r="252" spans="1:18" s="54" customFormat="1" ht="15.75" hidden="1" thickBot="1" x14ac:dyDescent="0.3">
      <c r="A252" s="119"/>
      <c r="B252" s="309"/>
      <c r="C252" s="322">
        <f t="shared" ca="1" si="95"/>
        <v>0</v>
      </c>
      <c r="D252" s="7" t="s">
        <v>39</v>
      </c>
      <c r="E252" s="48" t="s">
        <v>52</v>
      </c>
      <c r="F252" s="657">
        <f t="shared" ca="1" si="96"/>
        <v>0</v>
      </c>
      <c r="G252" s="658">
        <f ca="1">+IFERROR(G$5*GETPIVOTDATA("Unique Billed Hours",'County allocation'!$A$3,"County",$D244,"HHA/CDPAP","HHA","Level of Service",$D252),0)</f>
        <v>0</v>
      </c>
      <c r="H252" s="658">
        <f>+IFERROR(H$5*GETPIVOTDATA("Unique Billed Hours",'County allocation'!$S$3,"County",$D244,"HHA/CDPAP","HHA","Level of Service",$D252),0)</f>
        <v>0</v>
      </c>
      <c r="I252" s="664">
        <f t="shared" ca="1" si="97"/>
        <v>0</v>
      </c>
      <c r="J252" s="658">
        <f ca="1">+IFERROR(J$5*GETPIVOTDATA("Unique Billed Hours",'County allocation'!$S$3,"County",$D244,"HHA/CDPAP","HHA","Level of Service",$D252),0)</f>
        <v>0</v>
      </c>
      <c r="K252" s="658">
        <f ca="1">+IFERROR(K$5*GETPIVOTDATA("Unique Billed Hours",'County allocation'!$X$3,"County",$D244,"HHA/CDPAP","HHA","Level of Service",$D252),0)</f>
        <v>0</v>
      </c>
      <c r="L252" s="658">
        <f ca="1">+IFERROR(L$5*GETPIVOTDATA("Unique Billed Hours",'County allocation'!$K$19,"County",$D244,"HHA/CDPAP","HHA","Level of Service",$D252),0)</f>
        <v>0</v>
      </c>
      <c r="M252" s="658">
        <f>+IFERROR(M$5*GETPIVOTDATA("Unique Billed Hours",'County allocation'!$S$3,"County",$D244,"HHA/CDPAP","HHA","Level of Service",$D252),0)</f>
        <v>0</v>
      </c>
      <c r="N252" s="658">
        <f>+IFERROR(N$5*GETPIVOTDATA("Unique Billed Hours",'County allocation'!$S$3,"County",$D244,"HHA/CDPAP","HHA","Level of Service",$D252),0)</f>
        <v>0</v>
      </c>
      <c r="O252" s="658">
        <f>+IFERROR(O$5*GETPIVOTDATA("Unique Billed Hours",'County allocation'!$K$19,"County",$D244,"HHA/CDPAP","HHA","Level of Service",$D252),0)</f>
        <v>0</v>
      </c>
      <c r="P252" s="658">
        <f>+IFERROR(P$5*GETPIVOTDATA("Unique Billed Hours",'County allocation'!$S$3,"County",$D244,"HHA/CDPAP","HHA","Level of Service",$D252),0)</f>
        <v>0</v>
      </c>
    </row>
    <row r="253" spans="1:18" s="54" customFormat="1" ht="15.75" hidden="1" thickBot="1" x14ac:dyDescent="0.3">
      <c r="A253" s="119"/>
      <c r="B253" s="309"/>
      <c r="C253" s="322">
        <f t="shared" ca="1" si="95"/>
        <v>0</v>
      </c>
      <c r="D253" s="8" t="s">
        <v>40</v>
      </c>
      <c r="E253" s="48" t="s">
        <v>51</v>
      </c>
      <c r="F253" s="657">
        <f t="shared" ca="1" si="96"/>
        <v>0</v>
      </c>
      <c r="G253" s="658">
        <f ca="1">+IFERROR(G$5*GETPIVOTDATA("Unique Billed Hours",'County allocation'!$A$3,"County",$D244,"HHA/CDPAP","HHA","Level of Service",$D253),0)</f>
        <v>0</v>
      </c>
      <c r="H253" s="658">
        <f>+IFERROR(H$5*GETPIVOTDATA("Unique Billed Hours",'County allocation'!$S$3,"County",$D244,"HHA/CDPAP","HHA","Level of Service",$D253),0)</f>
        <v>0</v>
      </c>
      <c r="I253" s="664">
        <f t="shared" ca="1" si="97"/>
        <v>0</v>
      </c>
      <c r="J253" s="658">
        <f ca="1">+IFERROR(J$5*GETPIVOTDATA("Unique Billed Hours",'County allocation'!$S$3,"County",$D244,"HHA/CDPAP","HHA","Level of Service",$D253),0)</f>
        <v>0</v>
      </c>
      <c r="K253" s="658">
        <f ca="1">+IFERROR(K$5*GETPIVOTDATA("Unique Billed Hours",'County allocation'!$X$3,"County",$D244,"HHA/CDPAP","HHA","Level of Service",$D253),0)</f>
        <v>0</v>
      </c>
      <c r="L253" s="658">
        <f ca="1">+IFERROR(L$2*GETPIVOTDATA("Unique Billed Hours",'County allocation'!$O$3,"County",$D244,"HHA/CDPAP","HHA","Level of Service",$D253),0)</f>
        <v>0</v>
      </c>
      <c r="M253" s="658">
        <f>+IFERROR(M$5*GETPIVOTDATA("Unique Billed Hours",'County allocation'!$S$3,"County",$D244,"HHA/CDPAP","HHA","Level of Service",$D253),0)</f>
        <v>0</v>
      </c>
      <c r="N253" s="658">
        <f>+IFERROR(N$5*GETPIVOTDATA("Unique Billed Hours",'County allocation'!$S$3,"County",$D244,"HHA/CDPAP","HHA","Level of Service",$D253),0)</f>
        <v>0</v>
      </c>
      <c r="O253" s="658">
        <f>+IFERROR(O$5*GETPIVOTDATA("Unique Billed Hours",'County allocation'!$K$19,"County",$D244,"HHA/CDPAP","HHA","Level of Service",$D253),0)</f>
        <v>0</v>
      </c>
      <c r="P253" s="658">
        <f>+IFERROR(P$5*GETPIVOTDATA("Unique Billed Hours",'County allocation'!$S$3,"County",$D244,"HHA/CDPAP","HHA","Level of Service",$D253),0)</f>
        <v>0</v>
      </c>
    </row>
    <row r="254" spans="1:18" s="54" customFormat="1" ht="15.75" hidden="1" thickBot="1" x14ac:dyDescent="0.3">
      <c r="A254" s="119"/>
      <c r="B254" s="309"/>
      <c r="C254" s="322">
        <f t="shared" ca="1" si="95"/>
        <v>0</v>
      </c>
      <c r="D254" s="8" t="s">
        <v>41</v>
      </c>
      <c r="E254" s="48" t="s">
        <v>50</v>
      </c>
      <c r="F254" s="657">
        <f t="shared" ca="1" si="96"/>
        <v>0</v>
      </c>
      <c r="G254" s="658">
        <f ca="1">+IFERROR(G$5*GETPIVOTDATA("Unique Billed Hours",'County allocation'!$A$3,"County",$D244,"HHA/CDPAP","HHA","Level of Service",$D254),0)</f>
        <v>0</v>
      </c>
      <c r="H254" s="658">
        <f>+IFERROR(H$5*GETPIVOTDATA("Unique Billed Hours",'County allocation'!$S$3,"County",$D244,"HHA/CDPAP","HHA","Level of Service",$D254),0)</f>
        <v>0</v>
      </c>
      <c r="I254" s="664">
        <f t="shared" ca="1" si="97"/>
        <v>0</v>
      </c>
      <c r="J254" s="658">
        <f ca="1">+IFERROR(J$5*GETPIVOTDATA("Unique Billed Hours",'County allocation'!$S$3,"County",$D244,"HHA/CDPAP","HHA","Level of Service",$D254),0)</f>
        <v>0</v>
      </c>
      <c r="K254" s="658">
        <f ca="1">+IFERROR(K$5*GETPIVOTDATA("Unique Billed Hours",'County allocation'!$X$3,"County",$D244,"HHA/CDPAP","HHA","Level of Service",$D254),0)</f>
        <v>0</v>
      </c>
      <c r="L254" s="658">
        <f ca="1">+IFERROR(L$2*GETPIVOTDATA("Unique Billed Hours",'County allocation'!$O$3,"County",$D244,"HHA/CDPAP","HHA","Level of Service",$D254),0)</f>
        <v>0</v>
      </c>
      <c r="M254" s="658">
        <f>+IFERROR(M$5*GETPIVOTDATA("Unique Billed Hours",'County allocation'!$S$3,"County",$D244,"HHA/CDPAP","HHA","Level of Service",$D254),0)</f>
        <v>0</v>
      </c>
      <c r="N254" s="658">
        <f>+IFERROR(N$5*GETPIVOTDATA("Unique Billed Hours",'County allocation'!$S$3,"County",$D244,"HHA/CDPAP","HHA","Level of Service",$D254),0)</f>
        <v>0</v>
      </c>
      <c r="O254" s="658">
        <f>+IFERROR(O$5*GETPIVOTDATA("Unique Billed Hours",'County allocation'!$K$19,"County",$D244,"HHA/CDPAP","HHA","Level of Service",$D254),0)</f>
        <v>0</v>
      </c>
      <c r="P254" s="658">
        <f>+IFERROR(P$5*GETPIVOTDATA("Unique Billed Hours",'County allocation'!$S$3,"County",$D244,"HHA/CDPAP","HHA","Level of Service",$D254),0)</f>
        <v>0</v>
      </c>
    </row>
    <row r="255" spans="1:18" s="54" customFormat="1" ht="15.75" hidden="1" thickBot="1" x14ac:dyDescent="0.3">
      <c r="A255" s="119"/>
      <c r="B255" s="309"/>
      <c r="C255" s="322">
        <f t="shared" ca="1" si="95"/>
        <v>0</v>
      </c>
      <c r="D255" s="52" t="s">
        <v>389</v>
      </c>
      <c r="E255" s="53" t="s">
        <v>49</v>
      </c>
      <c r="F255" s="657">
        <f t="shared" ca="1" si="96"/>
        <v>0</v>
      </c>
      <c r="G255" s="661">
        <f ca="1">SUM(G247:G254)</f>
        <v>0</v>
      </c>
      <c r="H255" s="661">
        <f>SUM(H247:H254)</f>
        <v>0</v>
      </c>
      <c r="I255" s="664">
        <f t="shared" ca="1" si="97"/>
        <v>0</v>
      </c>
      <c r="J255" s="661">
        <f ca="1">SUM(J247:J254)</f>
        <v>0</v>
      </c>
      <c r="K255" s="661">
        <f t="shared" ref="K255:P255" ca="1" si="98">SUM(K247:K254)</f>
        <v>0</v>
      </c>
      <c r="L255" s="661">
        <f t="shared" ca="1" si="98"/>
        <v>0</v>
      </c>
      <c r="M255" s="661">
        <f t="shared" si="98"/>
        <v>0</v>
      </c>
      <c r="N255" s="661">
        <f t="shared" si="98"/>
        <v>0</v>
      </c>
      <c r="O255" s="661">
        <f t="shared" si="98"/>
        <v>0</v>
      </c>
      <c r="P255" s="661">
        <f t="shared" si="98"/>
        <v>0</v>
      </c>
    </row>
    <row r="256" spans="1:18" s="54" customFormat="1" ht="15.75" hidden="1" thickBot="1" x14ac:dyDescent="0.3">
      <c r="A256" s="119"/>
      <c r="B256" s="309"/>
      <c r="C256" s="322">
        <f t="shared" ca="1" si="95"/>
        <v>0</v>
      </c>
      <c r="D256" s="371" t="s">
        <v>390</v>
      </c>
      <c r="E256" s="325" t="s">
        <v>47</v>
      </c>
      <c r="F256" s="657">
        <f t="shared" ca="1" si="96"/>
        <v>0</v>
      </c>
      <c r="G256" s="665">
        <f ca="1">+IFERROR((G$5*GETPIVOTDATA("Unique Billed Hours",'County allocation'!$A$3,"County",$D244,"HHA/CDPAP","HHA","Level of Service",$D256))+($G$2*GETPIVOTDATA("Unique Billed Hours",'County allocation'!$F$7,"County",$D244,"HHA/CDPAP","HHA","Level of Service",$D256)),0)++IFERROR(J$5*GETPIVOTDATA("Unique Billed Hours",'County allocation'!$AC$3,"County",$D244,"HHA/CDPAP","HHA","Level of Service",$D256),0)+ +IFERROR(J$5*GETPIVOTDATA("Unique Billed Hours",'County allocation'!$AC$3,"County",$D244,"HHA/CDPAP","HHA","Level of Service",$D257),0)</f>
        <v>0</v>
      </c>
      <c r="H256" s="665">
        <f>+IFERROR(H$5*GETPIVOTDATA("Unique Billed Hours",'County allocation'!$S$3,"County",$D244,"HHA/CDPAP","HHA","Level of Service",$D256),0)</f>
        <v>0</v>
      </c>
      <c r="I256" s="664">
        <f t="shared" ca="1" si="97"/>
        <v>0</v>
      </c>
      <c r="J256" s="901"/>
      <c r="K256" s="665">
        <f ca="1">+IFERROR(K$5*GETPIVOTDATA("Unique Billed Hours",'County allocation'!$X$3,"County",$D244,"HHA/CDPAP","HHA","Level of Service",$D256),0)</f>
        <v>0</v>
      </c>
      <c r="L256" s="665">
        <f ca="1">+IFERROR(L$5*GETPIVOTDATA("Unique Billed Hours",'County allocation'!$K$19,"County",$D244,"HHA/CDPAP","HHA","Level of Service",$D256),0)</f>
        <v>0</v>
      </c>
      <c r="M256" s="665">
        <f>+IFERROR(M$5*GETPIVOTDATA("Unique Billed Hours",'County allocation'!$S$3,"County",$D244,"HHA/CDPAP","HHA","Level of Service",$D256),0)</f>
        <v>0</v>
      </c>
      <c r="N256" s="665">
        <f>+IFERROR(N$5*GETPIVOTDATA("Unique Billed Hours",'County allocation'!$S$3,"County",$D244,"HHA/CDPAP","HHA","Level of Service",$D256),0)</f>
        <v>0</v>
      </c>
      <c r="O256" s="665">
        <f>+IFERROR(O$5*GETPIVOTDATA("Unique Billed Hours",'County allocation'!$S$3,"County",$D244,"HHA/CDPAP","HHA","Level of Service",$D256),0)</f>
        <v>0</v>
      </c>
      <c r="P256" s="665">
        <f>+IFERROR(P$5*GETPIVOTDATA("Unique Billed Hours",'County allocation'!$S$3,"County",$D244,"HHA/CDPAP","HHA","Level of Service",$D256),0)</f>
        <v>0</v>
      </c>
    </row>
    <row r="257" spans="1:18" s="54" customFormat="1" ht="15.75" hidden="1" thickBot="1" x14ac:dyDescent="0.3">
      <c r="A257" s="119"/>
      <c r="B257" s="309"/>
      <c r="C257" s="322">
        <f t="shared" ca="1" si="95"/>
        <v>0</v>
      </c>
      <c r="D257" s="8" t="s">
        <v>391</v>
      </c>
      <c r="E257" s="370" t="s">
        <v>77</v>
      </c>
      <c r="F257" s="657">
        <f t="shared" ca="1" si="96"/>
        <v>0</v>
      </c>
      <c r="G257" s="656"/>
      <c r="H257" s="658">
        <f>+IFERROR(H$5*GETPIVOTDATA("Unique Billed Hours",'County allocation'!$S$3,"County",$D244,"HHA/CDPAP","HHA","Level of Service",$D257),0)</f>
        <v>0</v>
      </c>
      <c r="I257" s="664">
        <f t="shared" ca="1" si="97"/>
        <v>0</v>
      </c>
      <c r="J257" s="901"/>
      <c r="K257" s="665">
        <f ca="1">+IFERROR(K$5*GETPIVOTDATA("Unique Billed Hours",'County allocation'!$X$3,"County",$D244,"HHA/CDPAP","HHA","Level of Service",$D257),0)</f>
        <v>0</v>
      </c>
      <c r="L257" s="665">
        <f ca="1">+IFERROR(L$5*GETPIVOTDATA("Unique Billed Hours",'County allocation'!$K$19,"County",$D244,"HHA/CDPAP","HHA","Level of Service",$D257),0)</f>
        <v>0</v>
      </c>
      <c r="M257" s="665">
        <f>+IFERROR(M$5*GETPIVOTDATA("Unique Billed Hours",'County allocation'!$S$3,"County",$D244,"HHA/CDPAP","HHA","Level of Service",$D257),0)</f>
        <v>0</v>
      </c>
      <c r="N257" s="665">
        <f>+IFERROR(N$5*GETPIVOTDATA("Unique Billed Hours",'County allocation'!$S$3,"County",$D244,"HHA/CDPAP","HHA","Level of Service",$D257),0)</f>
        <v>0</v>
      </c>
      <c r="O257" s="665">
        <f>+IFERROR(O$5*GETPIVOTDATA("Unique Billed Hours",'County allocation'!$S$3,"County",$D244,"HHA/CDPAP","HHA","Level of Service",$D257),0)</f>
        <v>0</v>
      </c>
      <c r="P257" s="665">
        <f>+IFERROR(P$5*GETPIVOTDATA("Unique Billed Hours",'County allocation'!$S$3,"County",$D244,"HHA/CDPAP","HHA","Level of Service",$D257),0)</f>
        <v>0</v>
      </c>
    </row>
    <row r="258" spans="1:18" s="54" customFormat="1" ht="15.75" hidden="1" thickBot="1" x14ac:dyDescent="0.3">
      <c r="A258" s="119"/>
      <c r="B258" s="309"/>
      <c r="C258" s="322">
        <f t="shared" ca="1" si="95"/>
        <v>0</v>
      </c>
      <c r="D258" s="8" t="s">
        <v>374</v>
      </c>
      <c r="E258" s="370" t="s">
        <v>78</v>
      </c>
      <c r="F258" s="657">
        <f t="shared" ca="1" si="96"/>
        <v>0</v>
      </c>
      <c r="G258" s="658">
        <f ca="1">+IFERROR(G$5*GETPIVOTDATA("Unique Billed Hours",'County allocation'!$A$3,"County",$D244,"HHA/CDPAP","HHA","Level of Service",$D258),0)++IFERROR(J$5*GETPIVOTDATA("Unique Billed Hours",'County allocation'!$AC$3,"County",$D244,"HHA/CDPAP","HHA","Level of Service",$D258),0)</f>
        <v>0</v>
      </c>
      <c r="H258" s="658">
        <f>+IFERROR(H$5*GETPIVOTDATA("Unique Billed Hours",'County allocation'!$S$3,"County",$D244,"HHA/CDPAP","HHA","Level of Service",$D258),0)</f>
        <v>0</v>
      </c>
      <c r="I258" s="664">
        <f t="shared" ca="1" si="97"/>
        <v>0</v>
      </c>
      <c r="J258" s="901"/>
      <c r="K258" s="665">
        <f ca="1">+IFERROR(K$5*GETPIVOTDATA("Unique Billed Hours",'County allocation'!$X$3,"County",$D244,"HHA/CDPAP","HHA","Level of Service",$D258),0)</f>
        <v>0</v>
      </c>
      <c r="L258" s="665">
        <f ca="1">+IFERROR(L$5*GETPIVOTDATA("Unique Billed Hours",'County allocation'!$K$19,"County",$D244,"HHA/CDPAP","HHA","Level of Service",$D258),0)</f>
        <v>0</v>
      </c>
      <c r="M258" s="665">
        <f>+IFERROR(M$5*GETPIVOTDATA("Unique Billed Hours",'County allocation'!$S$3,"County",$D244,"HHA/CDPAP","HHA","Level of Service",$D258),0)</f>
        <v>0</v>
      </c>
      <c r="N258" s="665">
        <f>+IFERROR(N$5*GETPIVOTDATA("Unique Billed Hours",'County allocation'!$S$3,"County",$D244,"HHA/CDPAP","HHA","Level of Service",$D258),0)</f>
        <v>0</v>
      </c>
      <c r="O258" s="665">
        <f>+IFERROR(O$5*GETPIVOTDATA("Unique Billed Hours",'County allocation'!$S$3,"County",$D244,"HHA/CDPAP","HHA","Level of Service",$D258),0)</f>
        <v>0</v>
      </c>
      <c r="P258" s="665">
        <f>+IFERROR(P$5*GETPIVOTDATA("Unique Billed Hours",'County allocation'!$S$3,"County",$D244,"HHA/CDPAP","HHA","Level of Service",$D258),0)</f>
        <v>0</v>
      </c>
    </row>
    <row r="259" spans="1:18" s="54" customFormat="1" ht="15.75" hidden="1" thickBot="1" x14ac:dyDescent="0.3">
      <c r="A259" s="302"/>
      <c r="B259" s="309"/>
      <c r="C259" s="322">
        <f ca="1">C258</f>
        <v>0</v>
      </c>
      <c r="D259" s="52" t="s">
        <v>48</v>
      </c>
      <c r="E259" s="53" t="s">
        <v>79</v>
      </c>
      <c r="F259" s="657">
        <f t="shared" ca="1" si="96"/>
        <v>0</v>
      </c>
      <c r="G259" s="661">
        <f t="shared" ref="G259" ca="1" si="99">SUM(G255:G258)</f>
        <v>0</v>
      </c>
      <c r="H259" s="661">
        <f t="shared" ref="H259:P259" si="100">SUM(H255:H258)</f>
        <v>0</v>
      </c>
      <c r="I259" s="661">
        <f t="shared" ca="1" si="100"/>
        <v>0</v>
      </c>
      <c r="J259" s="661">
        <f t="shared" ca="1" si="100"/>
        <v>0</v>
      </c>
      <c r="K259" s="661">
        <f t="shared" ca="1" si="100"/>
        <v>0</v>
      </c>
      <c r="L259" s="661">
        <f t="shared" ca="1" si="100"/>
        <v>0</v>
      </c>
      <c r="M259" s="661">
        <f t="shared" si="100"/>
        <v>0</v>
      </c>
      <c r="N259" s="661">
        <f t="shared" si="100"/>
        <v>0</v>
      </c>
      <c r="O259" s="661">
        <f t="shared" si="100"/>
        <v>0</v>
      </c>
      <c r="P259" s="661">
        <f t="shared" si="100"/>
        <v>0</v>
      </c>
    </row>
    <row r="260" spans="1:18" s="54" customFormat="1" ht="15.75" hidden="1" thickBot="1" x14ac:dyDescent="0.3">
      <c r="A260" s="119"/>
      <c r="B260" s="309"/>
      <c r="C260" s="322"/>
      <c r="E260" s="55"/>
      <c r="F260" s="666"/>
      <c r="G260" s="666"/>
      <c r="H260" s="666"/>
      <c r="I260" s="666"/>
      <c r="J260" s="666"/>
      <c r="K260" s="666"/>
      <c r="L260" s="666"/>
      <c r="M260" s="666"/>
      <c r="N260" s="666"/>
      <c r="O260" s="666"/>
      <c r="P260" s="666"/>
    </row>
    <row r="261" spans="1:18" s="54" customFormat="1" ht="75.75" hidden="1" thickBot="1" x14ac:dyDescent="0.3">
      <c r="A261" s="119"/>
      <c r="B261" s="309"/>
      <c r="C261" s="322">
        <f ca="1">IF(F276&gt;0,1,0)</f>
        <v>0</v>
      </c>
      <c r="D261" s="45" t="str">
        <f>A18</f>
        <v>Erie</v>
      </c>
      <c r="E261" s="28">
        <f>+SUMIF(A:A,D261,B:B)</f>
        <v>0</v>
      </c>
      <c r="F261" s="652" t="s">
        <v>61</v>
      </c>
      <c r="G261" s="652" t="s">
        <v>387</v>
      </c>
      <c r="H261" s="652" t="s">
        <v>388</v>
      </c>
      <c r="I261" s="652" t="s">
        <v>392</v>
      </c>
      <c r="J261" s="652" t="s">
        <v>31</v>
      </c>
      <c r="K261" s="652" t="s">
        <v>32</v>
      </c>
      <c r="L261" s="653" t="s">
        <v>33</v>
      </c>
      <c r="M261" s="653" t="s">
        <v>60</v>
      </c>
      <c r="N261" s="653" t="s">
        <v>59</v>
      </c>
      <c r="O261" s="653" t="s">
        <v>58</v>
      </c>
      <c r="P261" s="653" t="s">
        <v>16</v>
      </c>
    </row>
    <row r="262" spans="1:18" s="54" customFormat="1" ht="15.75" hidden="1" thickBot="1" x14ac:dyDescent="0.3">
      <c r="A262" s="119"/>
      <c r="B262" s="309"/>
      <c r="C262" s="322">
        <f ca="1">C261</f>
        <v>0</v>
      </c>
      <c r="D262" s="56"/>
      <c r="E262" s="57"/>
      <c r="F262" s="654" t="s">
        <v>57</v>
      </c>
      <c r="G262" s="654" t="s">
        <v>56</v>
      </c>
      <c r="H262" s="654" t="s">
        <v>55</v>
      </c>
      <c r="I262" s="654" t="s">
        <v>54</v>
      </c>
      <c r="J262" s="654" t="s">
        <v>53</v>
      </c>
      <c r="K262" s="654" t="s">
        <v>52</v>
      </c>
      <c r="L262" s="654" t="s">
        <v>51</v>
      </c>
      <c r="M262" s="654" t="s">
        <v>50</v>
      </c>
      <c r="N262" s="654" t="s">
        <v>49</v>
      </c>
      <c r="O262" s="654" t="s">
        <v>47</v>
      </c>
      <c r="P262" s="655" t="s">
        <v>77</v>
      </c>
    </row>
    <row r="263" spans="1:18" s="54" customFormat="1" ht="15.75" hidden="1" thickBot="1" x14ac:dyDescent="0.3">
      <c r="A263" s="119"/>
      <c r="B263" s="309"/>
      <c r="C263" s="322">
        <f t="shared" ref="C263:C275" ca="1" si="101">C262</f>
        <v>0</v>
      </c>
      <c r="D263" s="59" t="s">
        <v>26</v>
      </c>
      <c r="E263" s="57"/>
      <c r="F263" s="656"/>
      <c r="G263" s="656"/>
      <c r="H263" s="656"/>
      <c r="I263" s="656"/>
      <c r="J263" s="656"/>
      <c r="K263" s="656"/>
      <c r="L263" s="656"/>
      <c r="M263" s="656"/>
      <c r="N263" s="656"/>
      <c r="O263" s="656"/>
      <c r="P263" s="663"/>
    </row>
    <row r="264" spans="1:18" s="54" customFormat="1" ht="15.75" hidden="1" thickBot="1" x14ac:dyDescent="0.3">
      <c r="A264" s="119"/>
      <c r="B264" s="309"/>
      <c r="C264" s="322">
        <f t="shared" ca="1" si="101"/>
        <v>0</v>
      </c>
      <c r="D264" s="7" t="s">
        <v>34</v>
      </c>
      <c r="E264" s="48" t="s">
        <v>57</v>
      </c>
      <c r="F264" s="657">
        <f ca="1">+H264+G264+I264</f>
        <v>0</v>
      </c>
      <c r="G264" s="658">
        <f ca="1">+IFERROR(G$5*GETPIVOTDATA("Unique Billed Hours",'County allocation'!$A$3,"County",$D261,"HHA/CDPAP","HHA","Level of Service",$D264),0)</f>
        <v>0</v>
      </c>
      <c r="H264" s="658">
        <f>+IFERROR(H$5*GETPIVOTDATA("Unique Billed Hours",'County allocation'!$S$3,"County",$D261,"HHA/CDPAP","HHA","Level of Service",$D264),0)</f>
        <v>0</v>
      </c>
      <c r="I264" s="664">
        <f ca="1">SUM(J264:P264)</f>
        <v>0</v>
      </c>
      <c r="J264" s="658">
        <f ca="1">+IFERROR(J$5*GETPIVOTDATA("Unique Billed Hours",'County allocation'!$S$3,"County",$D261,"HHA/CDPAP","HHA","Level of Service",$D264),0)</f>
        <v>0</v>
      </c>
      <c r="K264" s="658">
        <f ca="1">+IFERROR(K$5*GETPIVOTDATA("Unique Billed Hours",'County allocation'!$X$3,"County",$D261,"HHA/CDPAP","HHA","Level of Service",$D264),0)</f>
        <v>0</v>
      </c>
      <c r="L264" s="658">
        <f ca="1">+IFERROR(L$2*GETPIVOTDATA("Unique Billed Hours",'County allocation'!$O$3,"County",$D261,"HHA/CDPAP","HHA","Level of Service",$D264),0)</f>
        <v>0</v>
      </c>
      <c r="M264" s="658">
        <f>+IFERROR(M$5*GETPIVOTDATA("Unique Billed Hours",'County allocation'!$S$3,"County",$D261,"HHA/CDPAP","HHA","Level of Service",$D264),0)</f>
        <v>0</v>
      </c>
      <c r="N264" s="658">
        <f>+IFERROR(N$5*GETPIVOTDATA("Unique Billed Hours",'County allocation'!$S$3,"County",$D261,"HHA/CDPAP","HHA","Level of Service",$D264),0)</f>
        <v>0</v>
      </c>
      <c r="O264" s="658">
        <f>+IFERROR(O$5*GETPIVOTDATA("Unique Billed Hours",'County allocation'!$K$19,"County",$D261,"HHA/CDPAP","HHA","Level of Service",$D264),0)</f>
        <v>0</v>
      </c>
      <c r="P264" s="658">
        <f>+IFERROR(P$5*GETPIVOTDATA("Unique Billed Hours",'County allocation'!$S$3,"County",$D261,"HHA/CDPAP","HHA","Level of Service",$D264),0)</f>
        <v>0</v>
      </c>
    </row>
    <row r="265" spans="1:18" s="54" customFormat="1" ht="15.75" hidden="1" thickBot="1" x14ac:dyDescent="0.3">
      <c r="A265" s="119"/>
      <c r="B265" s="309"/>
      <c r="C265" s="322">
        <f t="shared" ca="1" si="101"/>
        <v>0</v>
      </c>
      <c r="D265" s="7" t="s">
        <v>35</v>
      </c>
      <c r="E265" s="48" t="s">
        <v>56</v>
      </c>
      <c r="F265" s="657">
        <f t="shared" ref="F265:F276" ca="1" si="102">+H265+G265+I265</f>
        <v>0</v>
      </c>
      <c r="G265" s="658">
        <f ca="1">+IFERROR(G$5*GETPIVOTDATA("Unique Billed Hours",'County allocation'!$A$3,"County",$D261,"HHA/CDPAP","HHA","Level of Service",$D265),0)</f>
        <v>0</v>
      </c>
      <c r="H265" s="658">
        <f>+IFERROR(H$5*GETPIVOTDATA("Unique Billed Hours",'County allocation'!$S$3,"County",$D261,"HHA/CDPAP","HHA","Level of Service",$D265),0)</f>
        <v>0</v>
      </c>
      <c r="I265" s="664">
        <f t="shared" ref="I265:I275" ca="1" si="103">SUM(J265:P265)</f>
        <v>0</v>
      </c>
      <c r="J265" s="658">
        <f ca="1">+IFERROR(J$5*GETPIVOTDATA("Unique Billed Hours",'County allocation'!$S$3,"County",$D261,"HHA/CDPAP","HHA","Level of Service",$D265),0)</f>
        <v>0</v>
      </c>
      <c r="K265" s="658">
        <f ca="1">+IFERROR(K$5*GETPIVOTDATA("Unique Billed Hours",'County allocation'!$X$3,"County",$D261,"HHA/CDPAP","HHA","Level of Service",$D265),0)</f>
        <v>0</v>
      </c>
      <c r="L265" s="658">
        <f ca="1">+IFERROR(L$2*GETPIVOTDATA("Unique Billed Hours",'County allocation'!$O$3,"County",$D261,"HHA/CDPAP","HHA","Level of Service",$D265),0)</f>
        <v>0</v>
      </c>
      <c r="M265" s="658">
        <f>+IFERROR(M$5*GETPIVOTDATA("Unique Billed Hours",'County allocation'!$S$3,"County",$D261,"HHA/CDPAP","HHA","Level of Service",$D265),0)</f>
        <v>0</v>
      </c>
      <c r="N265" s="658">
        <f>+IFERROR(N$5*GETPIVOTDATA("Unique Billed Hours",'County allocation'!$S$3,"County",$D261,"HHA/CDPAP","HHA","Level of Service",$D265),0)</f>
        <v>0</v>
      </c>
      <c r="O265" s="658">
        <f>+IFERROR(O$5*GETPIVOTDATA("Unique Billed Hours",'County allocation'!$K$19,"County",$D261,"HHA/CDPAP","HHA","Level of Service",$D265),0)</f>
        <v>0</v>
      </c>
      <c r="P265" s="658">
        <f>+IFERROR(P$5*GETPIVOTDATA("Unique Billed Hours",'County allocation'!$S$3,"County",$D261,"HHA/CDPAP","HHA","Level of Service",$D265),0)</f>
        <v>0</v>
      </c>
      <c r="R265" s="61"/>
    </row>
    <row r="266" spans="1:18" s="54" customFormat="1" ht="15.75" hidden="1" thickBot="1" x14ac:dyDescent="0.3">
      <c r="A266" s="302"/>
      <c r="B266" s="309"/>
      <c r="C266" s="322">
        <f t="shared" ca="1" si="101"/>
        <v>0</v>
      </c>
      <c r="D266" s="7" t="s">
        <v>36</v>
      </c>
      <c r="E266" s="48" t="s">
        <v>55</v>
      </c>
      <c r="F266" s="657">
        <f t="shared" ca="1" si="102"/>
        <v>0</v>
      </c>
      <c r="G266" s="658">
        <f ca="1">+IFERROR(G$5*GETPIVOTDATA("Unique Billed Hours",'County allocation'!$A$3,"County",$D261,"HHA/CDPAP","HHA","Level of Service",$D266),0)</f>
        <v>0</v>
      </c>
      <c r="H266" s="658">
        <f>+IFERROR(H$5*GETPIVOTDATA("Unique Billed Hours",'County allocation'!$S$3,"County",$D261,"HHA/CDPAP","HHA","Level of Service",$D266),0)</f>
        <v>0</v>
      </c>
      <c r="I266" s="664">
        <f t="shared" ca="1" si="103"/>
        <v>0</v>
      </c>
      <c r="J266" s="658">
        <f ca="1">+IFERROR(J$5*GETPIVOTDATA("Unique Billed Hours",'County allocation'!$S$3,"County",$D261,"HHA/CDPAP","HHA","Level of Service",$D266),0)</f>
        <v>0</v>
      </c>
      <c r="K266" s="658">
        <f ca="1">+IFERROR(K$5*GETPIVOTDATA("Unique Billed Hours",'County allocation'!$X$3,"County",$D261,"HHA/CDPAP","HHA","Level of Service",$D266),0)</f>
        <v>0</v>
      </c>
      <c r="L266" s="658">
        <f ca="1">+IFERROR(L$2*GETPIVOTDATA("Unique Billed Hours",'County allocation'!$O$3,"County",$D261,"HHA/CDPAP","HHA","Level of Service",$D266),0)</f>
        <v>0</v>
      </c>
      <c r="M266" s="658">
        <f>+IFERROR(M$5*GETPIVOTDATA("Unique Billed Hours",'County allocation'!$S$3,"County",$D261,"HHA/CDPAP","HHA","Level of Service",$D266),0)</f>
        <v>0</v>
      </c>
      <c r="N266" s="658">
        <f>+IFERROR(N$5*GETPIVOTDATA("Unique Billed Hours",'County allocation'!$S$3,"County",$D261,"HHA/CDPAP","HHA","Level of Service",$D266),0)</f>
        <v>0</v>
      </c>
      <c r="O266" s="658">
        <f>+IFERROR(O$5*GETPIVOTDATA("Unique Billed Hours",'County allocation'!$K$19,"County",$D261,"HHA/CDPAP","HHA","Level of Service",$D266),0)</f>
        <v>0</v>
      </c>
      <c r="P266" s="658">
        <f>+IFERROR(P$5*GETPIVOTDATA("Unique Billed Hours",'County allocation'!$S$3,"County",$D261,"HHA/CDPAP","HHA","Level of Service",$D266),0)</f>
        <v>0</v>
      </c>
    </row>
    <row r="267" spans="1:18" s="54" customFormat="1" ht="15.75" hidden="1" thickBot="1" x14ac:dyDescent="0.3">
      <c r="A267" s="119"/>
      <c r="B267" s="309"/>
      <c r="C267" s="322">
        <f t="shared" ca="1" si="101"/>
        <v>0</v>
      </c>
      <c r="D267" s="7" t="s">
        <v>37</v>
      </c>
      <c r="E267" s="48" t="s">
        <v>54</v>
      </c>
      <c r="F267" s="657">
        <f t="shared" ca="1" si="102"/>
        <v>0</v>
      </c>
      <c r="G267" s="658">
        <f ca="1">+IFERROR(G$5*GETPIVOTDATA("Unique Billed Hours",'County allocation'!$A$3,"County",$D261,"HHA/CDPAP","HHA","Level of Service",$D267),0)</f>
        <v>0</v>
      </c>
      <c r="H267" s="658">
        <f>+IFERROR(H$5*GETPIVOTDATA("Unique Billed Hours",'County allocation'!$S$3,"County",$D261,"HHA/CDPAP","HHA","Level of Service",$D267),0)</f>
        <v>0</v>
      </c>
      <c r="I267" s="664">
        <f t="shared" ca="1" si="103"/>
        <v>0</v>
      </c>
      <c r="J267" s="658">
        <f ca="1">+IFERROR(J$5*GETPIVOTDATA("Unique Billed Hours",'County allocation'!$S$3,"County",$D261,"HHA/CDPAP","HHA","Level of Service",$D267),0)</f>
        <v>0</v>
      </c>
      <c r="K267" s="658">
        <f ca="1">+IFERROR(K$5*GETPIVOTDATA("Unique Billed Hours",'County allocation'!$X$3,"County",$D261,"HHA/CDPAP","HHA","Level of Service",$D267),0)</f>
        <v>0</v>
      </c>
      <c r="L267" s="658">
        <f ca="1">+IFERROR(L$2*GETPIVOTDATA("Unique Billed Hours",'County allocation'!$O$3,"County",$D261,"HHA/CDPAP","HHA","Level of Service",$D267),0)</f>
        <v>0</v>
      </c>
      <c r="M267" s="658">
        <f>+IFERROR(M$5*GETPIVOTDATA("Unique Billed Hours",'County allocation'!$S$3,"County",$D261,"HHA/CDPAP","HHA","Level of Service",$D267),0)</f>
        <v>0</v>
      </c>
      <c r="N267" s="658">
        <f>+IFERROR(N$5*GETPIVOTDATA("Unique Billed Hours",'County allocation'!$S$3,"County",$D261,"HHA/CDPAP","HHA","Level of Service",$D267),0)</f>
        <v>0</v>
      </c>
      <c r="O267" s="658">
        <f>+IFERROR(O$5*GETPIVOTDATA("Unique Billed Hours",'County allocation'!$K$19,"County",$D261,"HHA/CDPAP","HHA","Level of Service",$D267),0)</f>
        <v>0</v>
      </c>
      <c r="P267" s="658">
        <f>+IFERROR(P$5*GETPIVOTDATA("Unique Billed Hours",'County allocation'!$S$3,"County",$D261,"HHA/CDPAP","HHA","Level of Service",$D267),0)</f>
        <v>0</v>
      </c>
    </row>
    <row r="268" spans="1:18" s="54" customFormat="1" ht="15.75" hidden="1" thickBot="1" x14ac:dyDescent="0.3">
      <c r="A268" s="119"/>
      <c r="B268" s="309"/>
      <c r="C268" s="322">
        <f t="shared" ca="1" si="101"/>
        <v>0</v>
      </c>
      <c r="D268" s="7" t="s">
        <v>38</v>
      </c>
      <c r="E268" s="48" t="s">
        <v>53</v>
      </c>
      <c r="F268" s="657">
        <f t="shared" ca="1" si="102"/>
        <v>0</v>
      </c>
      <c r="G268" s="658">
        <f ca="1">+IFERROR(G$5*GETPIVOTDATA("Unique Billed Hours",'County allocation'!$A$3,"County",$D261,"HHA/CDPAP","HHA","Level of Service",$D268),0)</f>
        <v>0</v>
      </c>
      <c r="H268" s="658">
        <f>+IFERROR(H$5*GETPIVOTDATA("Unique Billed Hours",'County allocation'!$S$3,"County",$D261,"HHA/CDPAP","HHA","Level of Service",$D268),0)</f>
        <v>0</v>
      </c>
      <c r="I268" s="664">
        <f t="shared" ca="1" si="103"/>
        <v>0</v>
      </c>
      <c r="J268" s="658">
        <f ca="1">+IFERROR(J$5*GETPIVOTDATA("Unique Billed Hours",'County allocation'!$S$3,"County",$D261,"HHA/CDPAP","HHA","Level of Service",$D268),0)</f>
        <v>0</v>
      </c>
      <c r="K268" s="658">
        <f ca="1">+IFERROR(K$5*GETPIVOTDATA("Unique Billed Hours",'County allocation'!$X$3,"County",$D261,"HHA/CDPAP","HHA","Level of Service",$D268),0)</f>
        <v>0</v>
      </c>
      <c r="L268" s="658">
        <f ca="1">+IFERROR(L$5*GETPIVOTDATA("Unique Billed Hours",'County allocation'!$K$19,"County",$D261,"HHA/CDPAP","HHA","Level of Service",$D268),0)</f>
        <v>0</v>
      </c>
      <c r="M268" s="658">
        <f>+IFERROR(M$5*GETPIVOTDATA("Unique Billed Hours",'County allocation'!$S$3,"County",$D261,"HHA/CDPAP","HHA","Level of Service",$D268),0)</f>
        <v>0</v>
      </c>
      <c r="N268" s="658">
        <f>+IFERROR(N$5*GETPIVOTDATA("Unique Billed Hours",'County allocation'!$S$3,"County",$D261,"HHA/CDPAP","HHA","Level of Service",$D268),0)</f>
        <v>0</v>
      </c>
      <c r="O268" s="658">
        <f>+IFERROR(O$5*GETPIVOTDATA("Unique Billed Hours",'County allocation'!$K$19,"County",$D261,"HHA/CDPAP","HHA","Level of Service",$D268),0)</f>
        <v>0</v>
      </c>
      <c r="P268" s="658">
        <f>+IFERROR(P$5*GETPIVOTDATA("Unique Billed Hours",'County allocation'!$S$3,"County",$D261,"HHA/CDPAP","HHA","Level of Service",$D268),0)</f>
        <v>0</v>
      </c>
    </row>
    <row r="269" spans="1:18" s="54" customFormat="1" ht="15.75" hidden="1" thickBot="1" x14ac:dyDescent="0.3">
      <c r="A269" s="119"/>
      <c r="B269" s="309"/>
      <c r="C269" s="322">
        <f t="shared" ca="1" si="101"/>
        <v>0</v>
      </c>
      <c r="D269" s="7" t="s">
        <v>39</v>
      </c>
      <c r="E269" s="48" t="s">
        <v>52</v>
      </c>
      <c r="F269" s="657">
        <f t="shared" ca="1" si="102"/>
        <v>0</v>
      </c>
      <c r="G269" s="658">
        <f ca="1">+IFERROR(G$5*GETPIVOTDATA("Unique Billed Hours",'County allocation'!$A$3,"County",$D261,"HHA/CDPAP","HHA","Level of Service",$D269),0)</f>
        <v>0</v>
      </c>
      <c r="H269" s="658">
        <f>+IFERROR(H$5*GETPIVOTDATA("Unique Billed Hours",'County allocation'!$S$3,"County",$D261,"HHA/CDPAP","HHA","Level of Service",$D269),0)</f>
        <v>0</v>
      </c>
      <c r="I269" s="664">
        <f t="shared" ca="1" si="103"/>
        <v>0</v>
      </c>
      <c r="J269" s="658">
        <f ca="1">+IFERROR(J$5*GETPIVOTDATA("Unique Billed Hours",'County allocation'!$S$3,"County",$D261,"HHA/CDPAP","HHA","Level of Service",$D269),0)</f>
        <v>0</v>
      </c>
      <c r="K269" s="658">
        <f ca="1">+IFERROR(K$5*GETPIVOTDATA("Unique Billed Hours",'County allocation'!$X$3,"County",$D261,"HHA/CDPAP","HHA","Level of Service",$D269),0)</f>
        <v>0</v>
      </c>
      <c r="L269" s="658">
        <f ca="1">+IFERROR(L$5*GETPIVOTDATA("Unique Billed Hours",'County allocation'!$K$19,"County",$D261,"HHA/CDPAP","HHA","Level of Service",$D269),0)</f>
        <v>0</v>
      </c>
      <c r="M269" s="658">
        <f>+IFERROR(M$5*GETPIVOTDATA("Unique Billed Hours",'County allocation'!$S$3,"County",$D261,"HHA/CDPAP","HHA","Level of Service",$D269),0)</f>
        <v>0</v>
      </c>
      <c r="N269" s="658">
        <f>+IFERROR(N$5*GETPIVOTDATA("Unique Billed Hours",'County allocation'!$S$3,"County",$D261,"HHA/CDPAP","HHA","Level of Service",$D269),0)</f>
        <v>0</v>
      </c>
      <c r="O269" s="658">
        <f>+IFERROR(O$5*GETPIVOTDATA("Unique Billed Hours",'County allocation'!$K$19,"County",$D261,"HHA/CDPAP","HHA","Level of Service",$D269),0)</f>
        <v>0</v>
      </c>
      <c r="P269" s="658">
        <f>+IFERROR(P$5*GETPIVOTDATA("Unique Billed Hours",'County allocation'!$S$3,"County",$D261,"HHA/CDPAP","HHA","Level of Service",$D269),0)</f>
        <v>0</v>
      </c>
    </row>
    <row r="270" spans="1:18" s="54" customFormat="1" ht="15.75" hidden="1" thickBot="1" x14ac:dyDescent="0.3">
      <c r="A270" s="119"/>
      <c r="B270" s="309"/>
      <c r="C270" s="322">
        <f t="shared" ca="1" si="101"/>
        <v>0</v>
      </c>
      <c r="D270" s="8" t="s">
        <v>40</v>
      </c>
      <c r="E270" s="48" t="s">
        <v>51</v>
      </c>
      <c r="F270" s="657">
        <f t="shared" ca="1" si="102"/>
        <v>0</v>
      </c>
      <c r="G270" s="658">
        <f ca="1">+IFERROR(G$5*GETPIVOTDATA("Unique Billed Hours",'County allocation'!$A$3,"County",$D261,"HHA/CDPAP","HHA","Level of Service",$D270),0)</f>
        <v>0</v>
      </c>
      <c r="H270" s="658">
        <f>+IFERROR(H$5*GETPIVOTDATA("Unique Billed Hours",'County allocation'!$S$3,"County",$D261,"HHA/CDPAP","HHA","Level of Service",$D270),0)</f>
        <v>0</v>
      </c>
      <c r="I270" s="664">
        <f t="shared" ca="1" si="103"/>
        <v>0</v>
      </c>
      <c r="J270" s="658">
        <f ca="1">+IFERROR(J$5*GETPIVOTDATA("Unique Billed Hours",'County allocation'!$S$3,"County",$D261,"HHA/CDPAP","HHA","Level of Service",$D270),0)</f>
        <v>0</v>
      </c>
      <c r="K270" s="658">
        <f ca="1">+IFERROR(K$5*GETPIVOTDATA("Unique Billed Hours",'County allocation'!$X$3,"County",$D261,"HHA/CDPAP","HHA","Level of Service",$D270),0)</f>
        <v>0</v>
      </c>
      <c r="L270" s="658">
        <f ca="1">+IFERROR(L$2*GETPIVOTDATA("Unique Billed Hours",'County allocation'!$O$3,"County",$D261,"HHA/CDPAP","HHA","Level of Service",$D270),0)</f>
        <v>0</v>
      </c>
      <c r="M270" s="658">
        <f>+IFERROR(M$5*GETPIVOTDATA("Unique Billed Hours",'County allocation'!$S$3,"County",$D261,"HHA/CDPAP","HHA","Level of Service",$D270),0)</f>
        <v>0</v>
      </c>
      <c r="N270" s="658">
        <f>+IFERROR(N$5*GETPIVOTDATA("Unique Billed Hours",'County allocation'!$S$3,"County",$D261,"HHA/CDPAP","HHA","Level of Service",$D270),0)</f>
        <v>0</v>
      </c>
      <c r="O270" s="658">
        <f>+IFERROR(O$5*GETPIVOTDATA("Unique Billed Hours",'County allocation'!$K$19,"County",$D261,"HHA/CDPAP","HHA","Level of Service",$D270),0)</f>
        <v>0</v>
      </c>
      <c r="P270" s="658">
        <f>+IFERROR(P$5*GETPIVOTDATA("Unique Billed Hours",'County allocation'!$S$3,"County",$D261,"HHA/CDPAP","HHA","Level of Service",$D270),0)</f>
        <v>0</v>
      </c>
    </row>
    <row r="271" spans="1:18" s="54" customFormat="1" ht="15.75" hidden="1" thickBot="1" x14ac:dyDescent="0.3">
      <c r="A271" s="119"/>
      <c r="B271" s="309"/>
      <c r="C271" s="322">
        <f t="shared" ca="1" si="101"/>
        <v>0</v>
      </c>
      <c r="D271" s="8" t="s">
        <v>41</v>
      </c>
      <c r="E271" s="48" t="s">
        <v>50</v>
      </c>
      <c r="F271" s="657">
        <f t="shared" ca="1" si="102"/>
        <v>0</v>
      </c>
      <c r="G271" s="658">
        <f ca="1">+IFERROR(G$5*GETPIVOTDATA("Unique Billed Hours",'County allocation'!$A$3,"County",$D261,"HHA/CDPAP","HHA","Level of Service",$D271),0)</f>
        <v>0</v>
      </c>
      <c r="H271" s="658">
        <f>+IFERROR(H$5*GETPIVOTDATA("Unique Billed Hours",'County allocation'!$S$3,"County",$D261,"HHA/CDPAP","HHA","Level of Service",$D271),0)</f>
        <v>0</v>
      </c>
      <c r="I271" s="664">
        <f t="shared" ca="1" si="103"/>
        <v>0</v>
      </c>
      <c r="J271" s="658">
        <f ca="1">+IFERROR(J$5*GETPIVOTDATA("Unique Billed Hours",'County allocation'!$S$3,"County",$D261,"HHA/CDPAP","HHA","Level of Service",$D271),0)</f>
        <v>0</v>
      </c>
      <c r="K271" s="658">
        <f ca="1">+IFERROR(K$5*GETPIVOTDATA("Unique Billed Hours",'County allocation'!$X$3,"County",$D261,"HHA/CDPAP","HHA","Level of Service",$D271),0)</f>
        <v>0</v>
      </c>
      <c r="L271" s="658">
        <f ca="1">+IFERROR(L$2*GETPIVOTDATA("Unique Billed Hours",'County allocation'!$O$3,"County",$D261,"HHA/CDPAP","HHA","Level of Service",$D271),0)</f>
        <v>0</v>
      </c>
      <c r="M271" s="658">
        <f>+IFERROR(M$5*GETPIVOTDATA("Unique Billed Hours",'County allocation'!$S$3,"County",$D261,"HHA/CDPAP","HHA","Level of Service",$D271),0)</f>
        <v>0</v>
      </c>
      <c r="N271" s="658">
        <f>+IFERROR(N$5*GETPIVOTDATA("Unique Billed Hours",'County allocation'!$S$3,"County",$D261,"HHA/CDPAP","HHA","Level of Service",$D271),0)</f>
        <v>0</v>
      </c>
      <c r="O271" s="658">
        <f>+IFERROR(O$5*GETPIVOTDATA("Unique Billed Hours",'County allocation'!$K$19,"County",$D261,"HHA/CDPAP","HHA","Level of Service",$D271),0)</f>
        <v>0</v>
      </c>
      <c r="P271" s="658">
        <f>+IFERROR(P$5*GETPIVOTDATA("Unique Billed Hours",'County allocation'!$S$3,"County",$D261,"HHA/CDPAP","HHA","Level of Service",$D271),0)</f>
        <v>0</v>
      </c>
    </row>
    <row r="272" spans="1:18" s="54" customFormat="1" ht="15.75" hidden="1" thickBot="1" x14ac:dyDescent="0.3">
      <c r="A272" s="119"/>
      <c r="B272" s="309"/>
      <c r="C272" s="322">
        <f t="shared" ca="1" si="101"/>
        <v>0</v>
      </c>
      <c r="D272" s="52" t="s">
        <v>389</v>
      </c>
      <c r="E272" s="53" t="s">
        <v>49</v>
      </c>
      <c r="F272" s="657">
        <f t="shared" ca="1" si="102"/>
        <v>0</v>
      </c>
      <c r="G272" s="661">
        <f ca="1">SUM(G264:G271)</f>
        <v>0</v>
      </c>
      <c r="H272" s="661">
        <f>SUM(H264:H271)</f>
        <v>0</v>
      </c>
      <c r="I272" s="664">
        <f t="shared" ca="1" si="103"/>
        <v>0</v>
      </c>
      <c r="J272" s="661">
        <f ca="1">SUM(J264:J271)</f>
        <v>0</v>
      </c>
      <c r="K272" s="661">
        <f t="shared" ref="K272:P272" ca="1" si="104">SUM(K264:K271)</f>
        <v>0</v>
      </c>
      <c r="L272" s="661">
        <f t="shared" ca="1" si="104"/>
        <v>0</v>
      </c>
      <c r="M272" s="661">
        <f t="shared" si="104"/>
        <v>0</v>
      </c>
      <c r="N272" s="661">
        <f t="shared" si="104"/>
        <v>0</v>
      </c>
      <c r="O272" s="661">
        <f t="shared" si="104"/>
        <v>0</v>
      </c>
      <c r="P272" s="661">
        <f t="shared" si="104"/>
        <v>0</v>
      </c>
    </row>
    <row r="273" spans="1:18" s="54" customFormat="1" ht="15.75" hidden="1" thickBot="1" x14ac:dyDescent="0.3">
      <c r="A273" s="119"/>
      <c r="B273" s="309"/>
      <c r="C273" s="322">
        <f t="shared" ca="1" si="101"/>
        <v>0</v>
      </c>
      <c r="D273" s="371" t="s">
        <v>390</v>
      </c>
      <c r="E273" s="325" t="s">
        <v>47</v>
      </c>
      <c r="F273" s="657">
        <f t="shared" ca="1" si="102"/>
        <v>0</v>
      </c>
      <c r="G273" s="665">
        <f ca="1">+IFERROR((G$5*GETPIVOTDATA("Unique Billed Hours",'County allocation'!$A$3,"County",$D261,"HHA/CDPAP","HHA","Level of Service",$D273))+($G$2*GETPIVOTDATA("Unique Billed Hours",'County allocation'!$F$7,"County",$D261,"HHA/CDPAP","HHA","Level of Service",$D273)),0)++IFERROR(J$5*GETPIVOTDATA("Unique Billed Hours",'County allocation'!$AC$3,"County",$D261,"HHA/CDPAP","HHA","Level of Service",$D273),0)+ +IFERROR(J$5*GETPIVOTDATA("Unique Billed Hours",'County allocation'!$AC$3,"County",$D261,"HHA/CDPAP","HHA","Level of Service",$D274),0)</f>
        <v>0</v>
      </c>
      <c r="H273" s="665">
        <f>+IFERROR(H$5*GETPIVOTDATA("Unique Billed Hours",'County allocation'!$S$3,"County",$D261,"HHA/CDPAP","HHA","Level of Service",$D273),0)</f>
        <v>0</v>
      </c>
      <c r="I273" s="664">
        <f t="shared" ca="1" si="103"/>
        <v>0</v>
      </c>
      <c r="J273" s="901"/>
      <c r="K273" s="665">
        <f ca="1">+IFERROR(K$5*GETPIVOTDATA("Unique Billed Hours",'County allocation'!$X$3,"County",$D261,"HHA/CDPAP","HHA","Level of Service",$D273),0)</f>
        <v>0</v>
      </c>
      <c r="L273" s="665">
        <f ca="1">+IFERROR(L$5*GETPIVOTDATA("Unique Billed Hours",'County allocation'!$K$19,"County",$D261,"HHA/CDPAP","HHA","Level of Service",$D273),0)</f>
        <v>0</v>
      </c>
      <c r="M273" s="665">
        <f>+IFERROR(M$5*GETPIVOTDATA("Unique Billed Hours",'County allocation'!$S$3,"County",$D261,"HHA/CDPAP","HHA","Level of Service",$D273),0)</f>
        <v>0</v>
      </c>
      <c r="N273" s="665">
        <f>+IFERROR(N$5*GETPIVOTDATA("Unique Billed Hours",'County allocation'!$S$3,"County",$D261,"HHA/CDPAP","HHA","Level of Service",$D273),0)</f>
        <v>0</v>
      </c>
      <c r="O273" s="665">
        <f>+IFERROR(O$5*GETPIVOTDATA("Unique Billed Hours",'County allocation'!$S$3,"County",$D261,"HHA/CDPAP","HHA","Level of Service",$D273),0)</f>
        <v>0</v>
      </c>
      <c r="P273" s="665">
        <f>+IFERROR(P$5*GETPIVOTDATA("Unique Billed Hours",'County allocation'!$S$3,"County",$D261,"HHA/CDPAP","HHA","Level of Service",$D273),0)</f>
        <v>0</v>
      </c>
    </row>
    <row r="274" spans="1:18" s="54" customFormat="1" ht="15.75" hidden="1" thickBot="1" x14ac:dyDescent="0.3">
      <c r="A274" s="119"/>
      <c r="B274" s="309"/>
      <c r="C274" s="322">
        <f t="shared" ca="1" si="101"/>
        <v>0</v>
      </c>
      <c r="D274" s="8" t="s">
        <v>391</v>
      </c>
      <c r="E274" s="370" t="s">
        <v>77</v>
      </c>
      <c r="F274" s="657">
        <f t="shared" ca="1" si="102"/>
        <v>0</v>
      </c>
      <c r="G274" s="656"/>
      <c r="H274" s="658">
        <f>+IFERROR(H$5*GETPIVOTDATA("Unique Billed Hours",'County allocation'!$S$3,"County",$D261,"HHA/CDPAP","HHA","Level of Service",$D274),0)</f>
        <v>0</v>
      </c>
      <c r="I274" s="664">
        <f t="shared" ca="1" si="103"/>
        <v>0</v>
      </c>
      <c r="J274" s="901"/>
      <c r="K274" s="665">
        <f ca="1">+IFERROR(K$5*GETPIVOTDATA("Unique Billed Hours",'County allocation'!$X$3,"County",$D261,"HHA/CDPAP","HHA","Level of Service",$D274),0)</f>
        <v>0</v>
      </c>
      <c r="L274" s="665">
        <f ca="1">+IFERROR(L$5*GETPIVOTDATA("Unique Billed Hours",'County allocation'!$K$19,"County",$D261,"HHA/CDPAP","HHA","Level of Service",$D274),0)</f>
        <v>0</v>
      </c>
      <c r="M274" s="665">
        <f>+IFERROR(M$5*GETPIVOTDATA("Unique Billed Hours",'County allocation'!$S$3,"County",$D261,"HHA/CDPAP","HHA","Level of Service",$D274),0)</f>
        <v>0</v>
      </c>
      <c r="N274" s="665">
        <f>+IFERROR(N$5*GETPIVOTDATA("Unique Billed Hours",'County allocation'!$S$3,"County",$D261,"HHA/CDPAP","HHA","Level of Service",$D274),0)</f>
        <v>0</v>
      </c>
      <c r="O274" s="665">
        <f>+IFERROR(O$5*GETPIVOTDATA("Unique Billed Hours",'County allocation'!$S$3,"County",$D261,"HHA/CDPAP","HHA","Level of Service",$D274),0)</f>
        <v>0</v>
      </c>
      <c r="P274" s="665">
        <f>+IFERROR(P$5*GETPIVOTDATA("Unique Billed Hours",'County allocation'!$S$3,"County",$D261,"HHA/CDPAP","HHA","Level of Service",$D274),0)</f>
        <v>0</v>
      </c>
    </row>
    <row r="275" spans="1:18" s="54" customFormat="1" ht="15.75" hidden="1" thickBot="1" x14ac:dyDescent="0.3">
      <c r="A275" s="119"/>
      <c r="B275" s="309"/>
      <c r="C275" s="322">
        <f t="shared" ca="1" si="101"/>
        <v>0</v>
      </c>
      <c r="D275" s="8" t="s">
        <v>374</v>
      </c>
      <c r="E275" s="370" t="s">
        <v>78</v>
      </c>
      <c r="F275" s="657">
        <f t="shared" ca="1" si="102"/>
        <v>0</v>
      </c>
      <c r="G275" s="658">
        <f ca="1">+IFERROR(G$5*GETPIVOTDATA("Unique Billed Hours",'County allocation'!$A$3,"County",$D261,"HHA/CDPAP","HHA","Level of Service",$D275),0)++IFERROR(J$5*GETPIVOTDATA("Unique Billed Hours",'County allocation'!$AC$3,"County",$D261,"HHA/CDPAP","HHA","Level of Service",$D275),0)</f>
        <v>0</v>
      </c>
      <c r="H275" s="658">
        <f>+IFERROR(H$5*GETPIVOTDATA("Unique Billed Hours",'County allocation'!$S$3,"County",$D261,"HHA/CDPAP","HHA","Level of Service",$D275),0)</f>
        <v>0</v>
      </c>
      <c r="I275" s="664">
        <f t="shared" ca="1" si="103"/>
        <v>0</v>
      </c>
      <c r="J275" s="901"/>
      <c r="K275" s="665">
        <f ca="1">+IFERROR(K$5*GETPIVOTDATA("Unique Billed Hours",'County allocation'!$X$3,"County",$D261,"HHA/CDPAP","HHA","Level of Service",$D275),0)</f>
        <v>0</v>
      </c>
      <c r="L275" s="665">
        <f ca="1">+IFERROR(L$5*GETPIVOTDATA("Unique Billed Hours",'County allocation'!$K$19,"County",$D261,"HHA/CDPAP","HHA","Level of Service",$D275),0)</f>
        <v>0</v>
      </c>
      <c r="M275" s="665">
        <f>+IFERROR(M$5*GETPIVOTDATA("Unique Billed Hours",'County allocation'!$S$3,"County",$D261,"HHA/CDPAP","HHA","Level of Service",$D275),0)</f>
        <v>0</v>
      </c>
      <c r="N275" s="665">
        <f>+IFERROR(N$5*GETPIVOTDATA("Unique Billed Hours",'County allocation'!$S$3,"County",$D261,"HHA/CDPAP","HHA","Level of Service",$D275),0)</f>
        <v>0</v>
      </c>
      <c r="O275" s="665">
        <f>+IFERROR(O$5*GETPIVOTDATA("Unique Billed Hours",'County allocation'!$S$3,"County",$D261,"HHA/CDPAP","HHA","Level of Service",$D275),0)</f>
        <v>0</v>
      </c>
      <c r="P275" s="665">
        <f>+IFERROR(P$5*GETPIVOTDATA("Unique Billed Hours",'County allocation'!$S$3,"County",$D261,"HHA/CDPAP","HHA","Level of Service",$D275),0)</f>
        <v>0</v>
      </c>
    </row>
    <row r="276" spans="1:18" s="54" customFormat="1" ht="15.75" hidden="1" thickBot="1" x14ac:dyDescent="0.3">
      <c r="A276" s="302"/>
      <c r="B276" s="309"/>
      <c r="C276" s="322">
        <f ca="1">C275</f>
        <v>0</v>
      </c>
      <c r="D276" s="52" t="s">
        <v>48</v>
      </c>
      <c r="E276" s="53" t="s">
        <v>79</v>
      </c>
      <c r="F276" s="657">
        <f t="shared" ca="1" si="102"/>
        <v>0</v>
      </c>
      <c r="G276" s="661">
        <f t="shared" ref="G276" ca="1" si="105">SUM(G272:G275)</f>
        <v>0</v>
      </c>
      <c r="H276" s="661">
        <f t="shared" ref="H276:P276" si="106">SUM(H272:H275)</f>
        <v>0</v>
      </c>
      <c r="I276" s="661">
        <f t="shared" ca="1" si="106"/>
        <v>0</v>
      </c>
      <c r="J276" s="661">
        <f t="shared" ca="1" si="106"/>
        <v>0</v>
      </c>
      <c r="K276" s="661">
        <f t="shared" ca="1" si="106"/>
        <v>0</v>
      </c>
      <c r="L276" s="661">
        <f t="shared" ca="1" si="106"/>
        <v>0</v>
      </c>
      <c r="M276" s="661">
        <f t="shared" si="106"/>
        <v>0</v>
      </c>
      <c r="N276" s="661">
        <f t="shared" si="106"/>
        <v>0</v>
      </c>
      <c r="O276" s="661">
        <f t="shared" si="106"/>
        <v>0</v>
      </c>
      <c r="P276" s="661">
        <f t="shared" si="106"/>
        <v>0</v>
      </c>
    </row>
    <row r="277" spans="1:18" s="54" customFormat="1" ht="15.75" hidden="1" thickBot="1" x14ac:dyDescent="0.3">
      <c r="A277" s="119"/>
      <c r="B277" s="309"/>
      <c r="C277" s="322"/>
      <c r="E277" s="55"/>
      <c r="F277" s="666"/>
      <c r="G277" s="666"/>
      <c r="H277" s="666"/>
      <c r="I277" s="666"/>
      <c r="J277" s="666"/>
      <c r="K277" s="666"/>
      <c r="L277" s="666"/>
      <c r="M277" s="666"/>
      <c r="N277" s="666"/>
      <c r="O277" s="666"/>
      <c r="P277" s="666"/>
    </row>
    <row r="278" spans="1:18" s="54" customFormat="1" ht="75.75" hidden="1" thickBot="1" x14ac:dyDescent="0.3">
      <c r="A278" s="119"/>
      <c r="B278" s="309"/>
      <c r="C278" s="322">
        <f ca="1">IF(F293&gt;0,1,0)</f>
        <v>0</v>
      </c>
      <c r="D278" s="45" t="str">
        <f>A19</f>
        <v>Essex</v>
      </c>
      <c r="E278" s="28">
        <f>+SUMIF(A:A,D278,B:B)</f>
        <v>0</v>
      </c>
      <c r="F278" s="652" t="s">
        <v>61</v>
      </c>
      <c r="G278" s="652" t="s">
        <v>387</v>
      </c>
      <c r="H278" s="652" t="s">
        <v>388</v>
      </c>
      <c r="I278" s="652" t="s">
        <v>392</v>
      </c>
      <c r="J278" s="652" t="s">
        <v>31</v>
      </c>
      <c r="K278" s="652" t="s">
        <v>32</v>
      </c>
      <c r="L278" s="653" t="s">
        <v>33</v>
      </c>
      <c r="M278" s="653" t="s">
        <v>60</v>
      </c>
      <c r="N278" s="653" t="s">
        <v>59</v>
      </c>
      <c r="O278" s="653" t="s">
        <v>58</v>
      </c>
      <c r="P278" s="653" t="s">
        <v>16</v>
      </c>
    </row>
    <row r="279" spans="1:18" s="54" customFormat="1" ht="15.75" hidden="1" thickBot="1" x14ac:dyDescent="0.3">
      <c r="A279" s="119"/>
      <c r="B279" s="309"/>
      <c r="C279" s="322">
        <f ca="1">C278</f>
        <v>0</v>
      </c>
      <c r="D279" s="56"/>
      <c r="E279" s="57"/>
      <c r="F279" s="654" t="s">
        <v>57</v>
      </c>
      <c r="G279" s="654" t="s">
        <v>56</v>
      </c>
      <c r="H279" s="654" t="s">
        <v>55</v>
      </c>
      <c r="I279" s="654" t="s">
        <v>54</v>
      </c>
      <c r="J279" s="654" t="s">
        <v>53</v>
      </c>
      <c r="K279" s="654" t="s">
        <v>52</v>
      </c>
      <c r="L279" s="654" t="s">
        <v>51</v>
      </c>
      <c r="M279" s="654" t="s">
        <v>50</v>
      </c>
      <c r="N279" s="654" t="s">
        <v>49</v>
      </c>
      <c r="O279" s="654" t="s">
        <v>47</v>
      </c>
      <c r="P279" s="655" t="s">
        <v>77</v>
      </c>
    </row>
    <row r="280" spans="1:18" s="54" customFormat="1" ht="15.75" hidden="1" thickBot="1" x14ac:dyDescent="0.3">
      <c r="A280" s="119"/>
      <c r="B280" s="309"/>
      <c r="C280" s="322">
        <f t="shared" ref="C280:C292" ca="1" si="107">C279</f>
        <v>0</v>
      </c>
      <c r="D280" s="59" t="s">
        <v>26</v>
      </c>
      <c r="E280" s="57"/>
      <c r="F280" s="656"/>
      <c r="G280" s="656"/>
      <c r="H280" s="656"/>
      <c r="I280" s="656"/>
      <c r="J280" s="656"/>
      <c r="K280" s="656"/>
      <c r="L280" s="656"/>
      <c r="M280" s="656"/>
      <c r="N280" s="656"/>
      <c r="O280" s="656"/>
      <c r="P280" s="663"/>
    </row>
    <row r="281" spans="1:18" s="54" customFormat="1" ht="15.75" hidden="1" thickBot="1" x14ac:dyDescent="0.3">
      <c r="A281" s="119"/>
      <c r="B281" s="309"/>
      <c r="C281" s="322">
        <f t="shared" ca="1" si="107"/>
        <v>0</v>
      </c>
      <c r="D281" s="7" t="s">
        <v>34</v>
      </c>
      <c r="E281" s="48" t="s">
        <v>57</v>
      </c>
      <c r="F281" s="657">
        <f ca="1">+H281+G281+I281</f>
        <v>0</v>
      </c>
      <c r="G281" s="658">
        <f ca="1">+IFERROR(G$5*GETPIVOTDATA("Unique Billed Hours",'County allocation'!$A$3,"County",$D278,"HHA/CDPAP","HHA","Level of Service",$D281),0)</f>
        <v>0</v>
      </c>
      <c r="H281" s="658">
        <f>+IFERROR(H$5*GETPIVOTDATA("Unique Billed Hours",'County allocation'!$S$3,"County",$D278,"HHA/CDPAP","HHA","Level of Service",$D281),0)</f>
        <v>0</v>
      </c>
      <c r="I281" s="664">
        <f ca="1">SUM(J281:P281)</f>
        <v>0</v>
      </c>
      <c r="J281" s="658">
        <f ca="1">+IFERROR(J$5*GETPIVOTDATA("Unique Billed Hours",'County allocation'!$S$3,"County",$D278,"HHA/CDPAP","HHA","Level of Service",$D281),0)</f>
        <v>0</v>
      </c>
      <c r="K281" s="658">
        <f ca="1">+IFERROR(K$5*GETPIVOTDATA("Unique Billed Hours",'County allocation'!$X$3,"County",$D278,"HHA/CDPAP","HHA","Level of Service",$D281),0)</f>
        <v>0</v>
      </c>
      <c r="L281" s="658">
        <f ca="1">+IFERROR(L$2*GETPIVOTDATA("Unique Billed Hours",'County allocation'!$O$3,"County",$D278,"HHA/CDPAP","HHA","Level of Service",$D281),0)</f>
        <v>0</v>
      </c>
      <c r="M281" s="658">
        <f>+IFERROR(M$5*GETPIVOTDATA("Unique Billed Hours",'County allocation'!$S$3,"County",$D278,"HHA/CDPAP","HHA","Level of Service",$D281),0)</f>
        <v>0</v>
      </c>
      <c r="N281" s="658">
        <f>+IFERROR(N$5*GETPIVOTDATA("Unique Billed Hours",'County allocation'!$S$3,"County",$D278,"HHA/CDPAP","HHA","Level of Service",$D281),0)</f>
        <v>0</v>
      </c>
      <c r="O281" s="658">
        <f>+IFERROR(O$5*GETPIVOTDATA("Unique Billed Hours",'County allocation'!$K$19,"County",$D278,"HHA/CDPAP","HHA","Level of Service",$D281),0)</f>
        <v>0</v>
      </c>
      <c r="P281" s="658">
        <f>+IFERROR(P$5*GETPIVOTDATA("Unique Billed Hours",'County allocation'!$S$3,"County",$D278,"HHA/CDPAP","HHA","Level of Service",$D281),0)</f>
        <v>0</v>
      </c>
    </row>
    <row r="282" spans="1:18" s="54" customFormat="1" ht="15.75" hidden="1" thickBot="1" x14ac:dyDescent="0.3">
      <c r="A282" s="119"/>
      <c r="B282" s="309"/>
      <c r="C282" s="322">
        <f t="shared" ca="1" si="107"/>
        <v>0</v>
      </c>
      <c r="D282" s="7" t="s">
        <v>35</v>
      </c>
      <c r="E282" s="48" t="s">
        <v>56</v>
      </c>
      <c r="F282" s="657">
        <f t="shared" ref="F282:F293" ca="1" si="108">+H282+G282+I282</f>
        <v>0</v>
      </c>
      <c r="G282" s="658">
        <f ca="1">+IFERROR(G$5*GETPIVOTDATA("Unique Billed Hours",'County allocation'!$A$3,"County",$D278,"HHA/CDPAP","HHA","Level of Service",$D282),0)</f>
        <v>0</v>
      </c>
      <c r="H282" s="658">
        <f>+IFERROR(H$5*GETPIVOTDATA("Unique Billed Hours",'County allocation'!$S$3,"County",$D278,"HHA/CDPAP","HHA","Level of Service",$D282),0)</f>
        <v>0</v>
      </c>
      <c r="I282" s="664">
        <f t="shared" ref="I282:I292" ca="1" si="109">SUM(J282:P282)</f>
        <v>0</v>
      </c>
      <c r="J282" s="658">
        <f ca="1">+IFERROR(J$5*GETPIVOTDATA("Unique Billed Hours",'County allocation'!$S$3,"County",$D278,"HHA/CDPAP","HHA","Level of Service",$D282),0)</f>
        <v>0</v>
      </c>
      <c r="K282" s="658">
        <f ca="1">+IFERROR(K$5*GETPIVOTDATA("Unique Billed Hours",'County allocation'!$X$3,"County",$D278,"HHA/CDPAP","HHA","Level of Service",$D282),0)</f>
        <v>0</v>
      </c>
      <c r="L282" s="658">
        <f ca="1">+IFERROR(L$2*GETPIVOTDATA("Unique Billed Hours",'County allocation'!$O$3,"County",$D278,"HHA/CDPAP","HHA","Level of Service",$D282),0)</f>
        <v>0</v>
      </c>
      <c r="M282" s="658">
        <f>+IFERROR(M$5*GETPIVOTDATA("Unique Billed Hours",'County allocation'!$S$3,"County",$D278,"HHA/CDPAP","HHA","Level of Service",$D282),0)</f>
        <v>0</v>
      </c>
      <c r="N282" s="658">
        <f>+IFERROR(N$5*GETPIVOTDATA("Unique Billed Hours",'County allocation'!$S$3,"County",$D278,"HHA/CDPAP","HHA","Level of Service",$D282),0)</f>
        <v>0</v>
      </c>
      <c r="O282" s="658">
        <f>+IFERROR(O$5*GETPIVOTDATA("Unique Billed Hours",'County allocation'!$K$19,"County",$D278,"HHA/CDPAP","HHA","Level of Service",$D282),0)</f>
        <v>0</v>
      </c>
      <c r="P282" s="658">
        <f>+IFERROR(P$5*GETPIVOTDATA("Unique Billed Hours",'County allocation'!$S$3,"County",$D278,"HHA/CDPAP","HHA","Level of Service",$D282),0)</f>
        <v>0</v>
      </c>
      <c r="R282" s="61"/>
    </row>
    <row r="283" spans="1:18" s="54" customFormat="1" ht="15.75" hidden="1" thickBot="1" x14ac:dyDescent="0.3">
      <c r="A283" s="302"/>
      <c r="B283" s="309"/>
      <c r="C283" s="322">
        <f t="shared" ca="1" si="107"/>
        <v>0</v>
      </c>
      <c r="D283" s="7" t="s">
        <v>36</v>
      </c>
      <c r="E283" s="48" t="s">
        <v>55</v>
      </c>
      <c r="F283" s="657">
        <f t="shared" ca="1" si="108"/>
        <v>0</v>
      </c>
      <c r="G283" s="658">
        <f ca="1">+IFERROR(G$5*GETPIVOTDATA("Unique Billed Hours",'County allocation'!$A$3,"County",$D278,"HHA/CDPAP","HHA","Level of Service",$D283),0)</f>
        <v>0</v>
      </c>
      <c r="H283" s="658">
        <f>+IFERROR(H$5*GETPIVOTDATA("Unique Billed Hours",'County allocation'!$S$3,"County",$D278,"HHA/CDPAP","HHA","Level of Service",$D283),0)</f>
        <v>0</v>
      </c>
      <c r="I283" s="664">
        <f t="shared" ca="1" si="109"/>
        <v>0</v>
      </c>
      <c r="J283" s="658">
        <f ca="1">+IFERROR(J$5*GETPIVOTDATA("Unique Billed Hours",'County allocation'!$S$3,"County",$D278,"HHA/CDPAP","HHA","Level of Service",$D283),0)</f>
        <v>0</v>
      </c>
      <c r="K283" s="658">
        <f ca="1">+IFERROR(K$5*GETPIVOTDATA("Unique Billed Hours",'County allocation'!$X$3,"County",$D278,"HHA/CDPAP","HHA","Level of Service",$D283),0)</f>
        <v>0</v>
      </c>
      <c r="L283" s="658">
        <f ca="1">+IFERROR(L$2*GETPIVOTDATA("Unique Billed Hours",'County allocation'!$O$3,"County",$D278,"HHA/CDPAP","HHA","Level of Service",$D283),0)</f>
        <v>0</v>
      </c>
      <c r="M283" s="658">
        <f>+IFERROR(M$5*GETPIVOTDATA("Unique Billed Hours",'County allocation'!$S$3,"County",$D278,"HHA/CDPAP","HHA","Level of Service",$D283),0)</f>
        <v>0</v>
      </c>
      <c r="N283" s="658">
        <f>+IFERROR(N$5*GETPIVOTDATA("Unique Billed Hours",'County allocation'!$S$3,"County",$D278,"HHA/CDPAP","HHA","Level of Service",$D283),0)</f>
        <v>0</v>
      </c>
      <c r="O283" s="658">
        <f>+IFERROR(O$5*GETPIVOTDATA("Unique Billed Hours",'County allocation'!$K$19,"County",$D278,"HHA/CDPAP","HHA","Level of Service",$D283),0)</f>
        <v>0</v>
      </c>
      <c r="P283" s="658">
        <f>+IFERROR(P$5*GETPIVOTDATA("Unique Billed Hours",'County allocation'!$S$3,"County",$D278,"HHA/CDPAP","HHA","Level of Service",$D283),0)</f>
        <v>0</v>
      </c>
    </row>
    <row r="284" spans="1:18" s="54" customFormat="1" ht="15.75" hidden="1" thickBot="1" x14ac:dyDescent="0.3">
      <c r="A284" s="119"/>
      <c r="B284" s="309"/>
      <c r="C284" s="322">
        <f t="shared" ca="1" si="107"/>
        <v>0</v>
      </c>
      <c r="D284" s="7" t="s">
        <v>37</v>
      </c>
      <c r="E284" s="48" t="s">
        <v>54</v>
      </c>
      <c r="F284" s="657">
        <f t="shared" ca="1" si="108"/>
        <v>0</v>
      </c>
      <c r="G284" s="658">
        <f ca="1">+IFERROR(G$5*GETPIVOTDATA("Unique Billed Hours",'County allocation'!$A$3,"County",$D278,"HHA/CDPAP","HHA","Level of Service",$D284),0)</f>
        <v>0</v>
      </c>
      <c r="H284" s="658">
        <f>+IFERROR(H$5*GETPIVOTDATA("Unique Billed Hours",'County allocation'!$S$3,"County",$D278,"HHA/CDPAP","HHA","Level of Service",$D284),0)</f>
        <v>0</v>
      </c>
      <c r="I284" s="664">
        <f t="shared" ca="1" si="109"/>
        <v>0</v>
      </c>
      <c r="J284" s="658">
        <f ca="1">+IFERROR(J$5*GETPIVOTDATA("Unique Billed Hours",'County allocation'!$S$3,"County",$D278,"HHA/CDPAP","HHA","Level of Service",$D284),0)</f>
        <v>0</v>
      </c>
      <c r="K284" s="658">
        <f ca="1">+IFERROR(K$5*GETPIVOTDATA("Unique Billed Hours",'County allocation'!$X$3,"County",$D278,"HHA/CDPAP","HHA","Level of Service",$D284),0)</f>
        <v>0</v>
      </c>
      <c r="L284" s="658">
        <f ca="1">+IFERROR(L$2*GETPIVOTDATA("Unique Billed Hours",'County allocation'!$O$3,"County",$D278,"HHA/CDPAP","HHA","Level of Service",$D284),0)</f>
        <v>0</v>
      </c>
      <c r="M284" s="658">
        <f>+IFERROR(M$5*GETPIVOTDATA("Unique Billed Hours",'County allocation'!$S$3,"County",$D278,"HHA/CDPAP","HHA","Level of Service",$D284),0)</f>
        <v>0</v>
      </c>
      <c r="N284" s="658">
        <f>+IFERROR(N$5*GETPIVOTDATA("Unique Billed Hours",'County allocation'!$S$3,"County",$D278,"HHA/CDPAP","HHA","Level of Service",$D284),0)</f>
        <v>0</v>
      </c>
      <c r="O284" s="658">
        <f>+IFERROR(O$5*GETPIVOTDATA("Unique Billed Hours",'County allocation'!$K$19,"County",$D278,"HHA/CDPAP","HHA","Level of Service",$D284),0)</f>
        <v>0</v>
      </c>
      <c r="P284" s="658">
        <f>+IFERROR(P$5*GETPIVOTDATA("Unique Billed Hours",'County allocation'!$S$3,"County",$D278,"HHA/CDPAP","HHA","Level of Service",$D284),0)</f>
        <v>0</v>
      </c>
    </row>
    <row r="285" spans="1:18" s="54" customFormat="1" ht="15.75" hidden="1" thickBot="1" x14ac:dyDescent="0.3">
      <c r="A285" s="119"/>
      <c r="B285" s="309"/>
      <c r="C285" s="322">
        <f t="shared" ca="1" si="107"/>
        <v>0</v>
      </c>
      <c r="D285" s="7" t="s">
        <v>38</v>
      </c>
      <c r="E285" s="48" t="s">
        <v>53</v>
      </c>
      <c r="F285" s="657">
        <f t="shared" ca="1" si="108"/>
        <v>0</v>
      </c>
      <c r="G285" s="658">
        <f ca="1">+IFERROR(G$5*GETPIVOTDATA("Unique Billed Hours",'County allocation'!$A$3,"County",$D278,"HHA/CDPAP","HHA","Level of Service",$D285),0)</f>
        <v>0</v>
      </c>
      <c r="H285" s="658">
        <f>+IFERROR(H$5*GETPIVOTDATA("Unique Billed Hours",'County allocation'!$S$3,"County",$D278,"HHA/CDPAP","HHA","Level of Service",$D285),0)</f>
        <v>0</v>
      </c>
      <c r="I285" s="664">
        <f t="shared" ca="1" si="109"/>
        <v>0</v>
      </c>
      <c r="J285" s="658">
        <f ca="1">+IFERROR(J$5*GETPIVOTDATA("Unique Billed Hours",'County allocation'!$S$3,"County",$D278,"HHA/CDPAP","HHA","Level of Service",$D285),0)</f>
        <v>0</v>
      </c>
      <c r="K285" s="658">
        <f ca="1">+IFERROR(K$5*GETPIVOTDATA("Unique Billed Hours",'County allocation'!$X$3,"County",$D278,"HHA/CDPAP","HHA","Level of Service",$D285),0)</f>
        <v>0</v>
      </c>
      <c r="L285" s="658">
        <f ca="1">+IFERROR(L$5*GETPIVOTDATA("Unique Billed Hours",'County allocation'!$K$19,"County",$D278,"HHA/CDPAP","HHA","Level of Service",$D285),0)</f>
        <v>0</v>
      </c>
      <c r="M285" s="658">
        <f>+IFERROR(M$5*GETPIVOTDATA("Unique Billed Hours",'County allocation'!$S$3,"County",$D278,"HHA/CDPAP","HHA","Level of Service",$D285),0)</f>
        <v>0</v>
      </c>
      <c r="N285" s="658">
        <f>+IFERROR(N$5*GETPIVOTDATA("Unique Billed Hours",'County allocation'!$S$3,"County",$D278,"HHA/CDPAP","HHA","Level of Service",$D285),0)</f>
        <v>0</v>
      </c>
      <c r="O285" s="658">
        <f>+IFERROR(O$5*GETPIVOTDATA("Unique Billed Hours",'County allocation'!$K$19,"County",$D278,"HHA/CDPAP","HHA","Level of Service",$D285),0)</f>
        <v>0</v>
      </c>
      <c r="P285" s="658">
        <f>+IFERROR(P$5*GETPIVOTDATA("Unique Billed Hours",'County allocation'!$S$3,"County",$D278,"HHA/CDPAP","HHA","Level of Service",$D285),0)</f>
        <v>0</v>
      </c>
    </row>
    <row r="286" spans="1:18" s="54" customFormat="1" ht="15.75" hidden="1" thickBot="1" x14ac:dyDescent="0.3">
      <c r="A286" s="119"/>
      <c r="B286" s="309"/>
      <c r="C286" s="322">
        <f t="shared" ca="1" si="107"/>
        <v>0</v>
      </c>
      <c r="D286" s="7" t="s">
        <v>39</v>
      </c>
      <c r="E286" s="48" t="s">
        <v>52</v>
      </c>
      <c r="F286" s="657">
        <f t="shared" ca="1" si="108"/>
        <v>0</v>
      </c>
      <c r="G286" s="658">
        <f ca="1">+IFERROR(G$5*GETPIVOTDATA("Unique Billed Hours",'County allocation'!$A$3,"County",$D278,"HHA/CDPAP","HHA","Level of Service",$D286),0)</f>
        <v>0</v>
      </c>
      <c r="H286" s="658">
        <f>+IFERROR(H$5*GETPIVOTDATA("Unique Billed Hours",'County allocation'!$S$3,"County",$D278,"HHA/CDPAP","HHA","Level of Service",$D286),0)</f>
        <v>0</v>
      </c>
      <c r="I286" s="664">
        <f t="shared" ca="1" si="109"/>
        <v>0</v>
      </c>
      <c r="J286" s="658">
        <f ca="1">+IFERROR(J$5*GETPIVOTDATA("Unique Billed Hours",'County allocation'!$S$3,"County",$D278,"HHA/CDPAP","HHA","Level of Service",$D286),0)</f>
        <v>0</v>
      </c>
      <c r="K286" s="658">
        <f ca="1">+IFERROR(K$5*GETPIVOTDATA("Unique Billed Hours",'County allocation'!$X$3,"County",$D278,"HHA/CDPAP","HHA","Level of Service",$D286),0)</f>
        <v>0</v>
      </c>
      <c r="L286" s="658">
        <f ca="1">+IFERROR(L$5*GETPIVOTDATA("Unique Billed Hours",'County allocation'!$K$19,"County",$D278,"HHA/CDPAP","HHA","Level of Service",$D286),0)</f>
        <v>0</v>
      </c>
      <c r="M286" s="658">
        <f>+IFERROR(M$5*GETPIVOTDATA("Unique Billed Hours",'County allocation'!$S$3,"County",$D278,"HHA/CDPAP","HHA","Level of Service",$D286),0)</f>
        <v>0</v>
      </c>
      <c r="N286" s="658">
        <f>+IFERROR(N$5*GETPIVOTDATA("Unique Billed Hours",'County allocation'!$S$3,"County",$D278,"HHA/CDPAP","HHA","Level of Service",$D286),0)</f>
        <v>0</v>
      </c>
      <c r="O286" s="658">
        <f>+IFERROR(O$5*GETPIVOTDATA("Unique Billed Hours",'County allocation'!$K$19,"County",$D278,"HHA/CDPAP","HHA","Level of Service",$D286),0)</f>
        <v>0</v>
      </c>
      <c r="P286" s="658">
        <f>+IFERROR(P$5*GETPIVOTDATA("Unique Billed Hours",'County allocation'!$S$3,"County",$D278,"HHA/CDPAP","HHA","Level of Service",$D286),0)</f>
        <v>0</v>
      </c>
    </row>
    <row r="287" spans="1:18" s="54" customFormat="1" ht="15.75" hidden="1" thickBot="1" x14ac:dyDescent="0.3">
      <c r="A287" s="119"/>
      <c r="B287" s="309"/>
      <c r="C287" s="322">
        <f t="shared" ca="1" si="107"/>
        <v>0</v>
      </c>
      <c r="D287" s="8" t="s">
        <v>40</v>
      </c>
      <c r="E287" s="48" t="s">
        <v>51</v>
      </c>
      <c r="F287" s="657">
        <f t="shared" ca="1" si="108"/>
        <v>0</v>
      </c>
      <c r="G287" s="658">
        <f ca="1">+IFERROR(G$5*GETPIVOTDATA("Unique Billed Hours",'County allocation'!$A$3,"County",$D278,"HHA/CDPAP","HHA","Level of Service",$D287),0)</f>
        <v>0</v>
      </c>
      <c r="H287" s="658">
        <f>+IFERROR(H$5*GETPIVOTDATA("Unique Billed Hours",'County allocation'!$S$3,"County",$D278,"HHA/CDPAP","HHA","Level of Service",$D287),0)</f>
        <v>0</v>
      </c>
      <c r="I287" s="664">
        <f t="shared" ca="1" si="109"/>
        <v>0</v>
      </c>
      <c r="J287" s="658">
        <f ca="1">+IFERROR(J$5*GETPIVOTDATA("Unique Billed Hours",'County allocation'!$S$3,"County",$D278,"HHA/CDPAP","HHA","Level of Service",$D287),0)</f>
        <v>0</v>
      </c>
      <c r="K287" s="658">
        <f ca="1">+IFERROR(K$5*GETPIVOTDATA("Unique Billed Hours",'County allocation'!$X$3,"County",$D278,"HHA/CDPAP","HHA","Level of Service",$D287),0)</f>
        <v>0</v>
      </c>
      <c r="L287" s="658">
        <f ca="1">+IFERROR(L$2*GETPIVOTDATA("Unique Billed Hours",'County allocation'!$O$3,"County",$D278,"HHA/CDPAP","HHA","Level of Service",$D287),0)</f>
        <v>0</v>
      </c>
      <c r="M287" s="658">
        <f>+IFERROR(M$5*GETPIVOTDATA("Unique Billed Hours",'County allocation'!$S$3,"County",$D278,"HHA/CDPAP","HHA","Level of Service",$D287),0)</f>
        <v>0</v>
      </c>
      <c r="N287" s="658">
        <f>+IFERROR(N$5*GETPIVOTDATA("Unique Billed Hours",'County allocation'!$S$3,"County",$D278,"HHA/CDPAP","HHA","Level of Service",$D287),0)</f>
        <v>0</v>
      </c>
      <c r="O287" s="658">
        <f>+IFERROR(O$5*GETPIVOTDATA("Unique Billed Hours",'County allocation'!$K$19,"County",$D278,"HHA/CDPAP","HHA","Level of Service",$D287),0)</f>
        <v>0</v>
      </c>
      <c r="P287" s="658">
        <f>+IFERROR(P$5*GETPIVOTDATA("Unique Billed Hours",'County allocation'!$S$3,"County",$D278,"HHA/CDPAP","HHA","Level of Service",$D287),0)</f>
        <v>0</v>
      </c>
    </row>
    <row r="288" spans="1:18" s="54" customFormat="1" ht="15.75" hidden="1" thickBot="1" x14ac:dyDescent="0.3">
      <c r="A288" s="119"/>
      <c r="B288" s="309"/>
      <c r="C288" s="322">
        <f t="shared" ca="1" si="107"/>
        <v>0</v>
      </c>
      <c r="D288" s="8" t="s">
        <v>41</v>
      </c>
      <c r="E288" s="48" t="s">
        <v>50</v>
      </c>
      <c r="F288" s="657">
        <f t="shared" ca="1" si="108"/>
        <v>0</v>
      </c>
      <c r="G288" s="658">
        <f ca="1">+IFERROR(G$5*GETPIVOTDATA("Unique Billed Hours",'County allocation'!$A$3,"County",$D278,"HHA/CDPAP","HHA","Level of Service",$D288),0)</f>
        <v>0</v>
      </c>
      <c r="H288" s="658">
        <f>+IFERROR(H$5*GETPIVOTDATA("Unique Billed Hours",'County allocation'!$S$3,"County",$D278,"HHA/CDPAP","HHA","Level of Service",$D288),0)</f>
        <v>0</v>
      </c>
      <c r="I288" s="664">
        <f t="shared" ca="1" si="109"/>
        <v>0</v>
      </c>
      <c r="J288" s="658">
        <f ca="1">+IFERROR(J$5*GETPIVOTDATA("Unique Billed Hours",'County allocation'!$S$3,"County",$D278,"HHA/CDPAP","HHA","Level of Service",$D288),0)</f>
        <v>0</v>
      </c>
      <c r="K288" s="658">
        <f ca="1">+IFERROR(K$5*GETPIVOTDATA("Unique Billed Hours",'County allocation'!$X$3,"County",$D278,"HHA/CDPAP","HHA","Level of Service",$D288),0)</f>
        <v>0</v>
      </c>
      <c r="L288" s="658">
        <f ca="1">+IFERROR(L$2*GETPIVOTDATA("Unique Billed Hours",'County allocation'!$O$3,"County",$D278,"HHA/CDPAP","HHA","Level of Service",$D288),0)</f>
        <v>0</v>
      </c>
      <c r="M288" s="658">
        <f>+IFERROR(M$5*GETPIVOTDATA("Unique Billed Hours",'County allocation'!$S$3,"County",$D278,"HHA/CDPAP","HHA","Level of Service",$D288),0)</f>
        <v>0</v>
      </c>
      <c r="N288" s="658">
        <f>+IFERROR(N$5*GETPIVOTDATA("Unique Billed Hours",'County allocation'!$S$3,"County",$D278,"HHA/CDPAP","HHA","Level of Service",$D288),0)</f>
        <v>0</v>
      </c>
      <c r="O288" s="658">
        <f>+IFERROR(O$5*GETPIVOTDATA("Unique Billed Hours",'County allocation'!$K$19,"County",$D278,"HHA/CDPAP","HHA","Level of Service",$D288),0)</f>
        <v>0</v>
      </c>
      <c r="P288" s="658">
        <f>+IFERROR(P$5*GETPIVOTDATA("Unique Billed Hours",'County allocation'!$S$3,"County",$D278,"HHA/CDPAP","HHA","Level of Service",$D288),0)</f>
        <v>0</v>
      </c>
    </row>
    <row r="289" spans="1:18" s="54" customFormat="1" ht="15.75" hidden="1" thickBot="1" x14ac:dyDescent="0.3">
      <c r="A289" s="119"/>
      <c r="B289" s="309"/>
      <c r="C289" s="322">
        <f t="shared" ca="1" si="107"/>
        <v>0</v>
      </c>
      <c r="D289" s="52" t="s">
        <v>389</v>
      </c>
      <c r="E289" s="53" t="s">
        <v>49</v>
      </c>
      <c r="F289" s="657">
        <f t="shared" ca="1" si="108"/>
        <v>0</v>
      </c>
      <c r="G289" s="661">
        <f ca="1">SUM(G281:G288)</f>
        <v>0</v>
      </c>
      <c r="H289" s="661">
        <f>SUM(H281:H288)</f>
        <v>0</v>
      </c>
      <c r="I289" s="664">
        <f t="shared" ca="1" si="109"/>
        <v>0</v>
      </c>
      <c r="J289" s="661">
        <f ca="1">SUM(J281:J288)</f>
        <v>0</v>
      </c>
      <c r="K289" s="661">
        <f t="shared" ref="K289:P289" ca="1" si="110">SUM(K281:K288)</f>
        <v>0</v>
      </c>
      <c r="L289" s="661">
        <f t="shared" ca="1" si="110"/>
        <v>0</v>
      </c>
      <c r="M289" s="661">
        <f t="shared" si="110"/>
        <v>0</v>
      </c>
      <c r="N289" s="661">
        <f t="shared" si="110"/>
        <v>0</v>
      </c>
      <c r="O289" s="661">
        <f t="shared" si="110"/>
        <v>0</v>
      </c>
      <c r="P289" s="661">
        <f t="shared" si="110"/>
        <v>0</v>
      </c>
    </row>
    <row r="290" spans="1:18" s="54" customFormat="1" ht="15.75" hidden="1" thickBot="1" x14ac:dyDescent="0.3">
      <c r="A290" s="119"/>
      <c r="B290" s="309"/>
      <c r="C290" s="322">
        <f t="shared" ca="1" si="107"/>
        <v>0</v>
      </c>
      <c r="D290" s="371" t="s">
        <v>390</v>
      </c>
      <c r="E290" s="325" t="s">
        <v>47</v>
      </c>
      <c r="F290" s="657">
        <f t="shared" ca="1" si="108"/>
        <v>0</v>
      </c>
      <c r="G290" s="665">
        <f ca="1">+IFERROR((G$5*GETPIVOTDATA("Unique Billed Hours",'County allocation'!$A$3,"County",$D278,"HHA/CDPAP","HHA","Level of Service",$D290))+($G$2*GETPIVOTDATA("Unique Billed Hours",'County allocation'!$F$7,"County",$D278,"HHA/CDPAP","HHA","Level of Service",$D290)),0)++IFERROR(J$5*GETPIVOTDATA("Unique Billed Hours",'County allocation'!$AC$3,"County",$D278,"HHA/CDPAP","HHA","Level of Service",$D290),0)+ +IFERROR(J$5*GETPIVOTDATA("Unique Billed Hours",'County allocation'!$AC$3,"County",$D278,"HHA/CDPAP","HHA","Level of Service",$D291),0)</f>
        <v>0</v>
      </c>
      <c r="H290" s="665">
        <f>+IFERROR(H$5*GETPIVOTDATA("Unique Billed Hours",'County allocation'!$S$3,"County",$D278,"HHA/CDPAP","HHA","Level of Service",$D290),0)</f>
        <v>0</v>
      </c>
      <c r="I290" s="664">
        <f t="shared" ca="1" si="109"/>
        <v>0</v>
      </c>
      <c r="J290" s="901"/>
      <c r="K290" s="665">
        <f ca="1">+IFERROR(K$5*GETPIVOTDATA("Unique Billed Hours",'County allocation'!$X$3,"County",$D278,"HHA/CDPAP","HHA","Level of Service",$D290),0)</f>
        <v>0</v>
      </c>
      <c r="L290" s="665">
        <f ca="1">+IFERROR(L$5*GETPIVOTDATA("Unique Billed Hours",'County allocation'!$K$19,"County",$D278,"HHA/CDPAP","HHA","Level of Service",$D290),0)</f>
        <v>0</v>
      </c>
      <c r="M290" s="665">
        <f>+IFERROR(M$5*GETPIVOTDATA("Unique Billed Hours",'County allocation'!$S$3,"County",$D278,"HHA/CDPAP","HHA","Level of Service",$D290),0)</f>
        <v>0</v>
      </c>
      <c r="N290" s="665">
        <f>+IFERROR(N$5*GETPIVOTDATA("Unique Billed Hours",'County allocation'!$S$3,"County",$D278,"HHA/CDPAP","HHA","Level of Service",$D290),0)</f>
        <v>0</v>
      </c>
      <c r="O290" s="665">
        <f>+IFERROR(O$5*GETPIVOTDATA("Unique Billed Hours",'County allocation'!$S$3,"County",$D278,"HHA/CDPAP","HHA","Level of Service",$D290),0)</f>
        <v>0</v>
      </c>
      <c r="P290" s="665">
        <f>+IFERROR(P$5*GETPIVOTDATA("Unique Billed Hours",'County allocation'!$S$3,"County",$D278,"HHA/CDPAP","HHA","Level of Service",$D290),0)</f>
        <v>0</v>
      </c>
    </row>
    <row r="291" spans="1:18" s="54" customFormat="1" ht="15.75" hidden="1" thickBot="1" x14ac:dyDescent="0.3">
      <c r="A291" s="119"/>
      <c r="B291" s="309"/>
      <c r="C291" s="322">
        <f t="shared" ca="1" si="107"/>
        <v>0</v>
      </c>
      <c r="D291" s="8" t="s">
        <v>391</v>
      </c>
      <c r="E291" s="370" t="s">
        <v>77</v>
      </c>
      <c r="F291" s="657">
        <f t="shared" ca="1" si="108"/>
        <v>0</v>
      </c>
      <c r="G291" s="656"/>
      <c r="H291" s="658">
        <f>+IFERROR(H$5*GETPIVOTDATA("Unique Billed Hours",'County allocation'!$S$3,"County",$D278,"HHA/CDPAP","HHA","Level of Service",$D291),0)</f>
        <v>0</v>
      </c>
      <c r="I291" s="664">
        <f t="shared" ca="1" si="109"/>
        <v>0</v>
      </c>
      <c r="J291" s="901"/>
      <c r="K291" s="665">
        <f ca="1">+IFERROR(K$5*GETPIVOTDATA("Unique Billed Hours",'County allocation'!$X$3,"County",$D278,"HHA/CDPAP","HHA","Level of Service",$D291),0)</f>
        <v>0</v>
      </c>
      <c r="L291" s="665">
        <f ca="1">+IFERROR(L$5*GETPIVOTDATA("Unique Billed Hours",'County allocation'!$K$19,"County",$D278,"HHA/CDPAP","HHA","Level of Service",$D291),0)</f>
        <v>0</v>
      </c>
      <c r="M291" s="665">
        <f>+IFERROR(M$5*GETPIVOTDATA("Unique Billed Hours",'County allocation'!$S$3,"County",$D278,"HHA/CDPAP","HHA","Level of Service",$D291),0)</f>
        <v>0</v>
      </c>
      <c r="N291" s="665">
        <f>+IFERROR(N$5*GETPIVOTDATA("Unique Billed Hours",'County allocation'!$S$3,"County",$D278,"HHA/CDPAP","HHA","Level of Service",$D291),0)</f>
        <v>0</v>
      </c>
      <c r="O291" s="665">
        <f>+IFERROR(O$5*GETPIVOTDATA("Unique Billed Hours",'County allocation'!$S$3,"County",$D278,"HHA/CDPAP","HHA","Level of Service",$D291),0)</f>
        <v>0</v>
      </c>
      <c r="P291" s="665">
        <f>+IFERROR(P$5*GETPIVOTDATA("Unique Billed Hours",'County allocation'!$S$3,"County",$D278,"HHA/CDPAP","HHA","Level of Service",$D291),0)</f>
        <v>0</v>
      </c>
    </row>
    <row r="292" spans="1:18" s="54" customFormat="1" ht="15.75" hidden="1" thickBot="1" x14ac:dyDescent="0.3">
      <c r="A292" s="119"/>
      <c r="B292" s="309"/>
      <c r="C292" s="322">
        <f t="shared" ca="1" si="107"/>
        <v>0</v>
      </c>
      <c r="D292" s="8" t="s">
        <v>374</v>
      </c>
      <c r="E292" s="370" t="s">
        <v>78</v>
      </c>
      <c r="F292" s="657">
        <f t="shared" ca="1" si="108"/>
        <v>0</v>
      </c>
      <c r="G292" s="658">
        <f ca="1">+IFERROR(G$5*GETPIVOTDATA("Unique Billed Hours",'County allocation'!$A$3,"County",$D278,"HHA/CDPAP","HHA","Level of Service",$D292),0)++IFERROR(J$5*GETPIVOTDATA("Unique Billed Hours",'County allocation'!$AC$3,"County",$D278,"HHA/CDPAP","HHA","Level of Service",$D292),0)</f>
        <v>0</v>
      </c>
      <c r="H292" s="658">
        <f>+IFERROR(H$5*GETPIVOTDATA("Unique Billed Hours",'County allocation'!$S$3,"County",$D278,"HHA/CDPAP","HHA","Level of Service",$D292),0)</f>
        <v>0</v>
      </c>
      <c r="I292" s="664">
        <f t="shared" ca="1" si="109"/>
        <v>0</v>
      </c>
      <c r="J292" s="901"/>
      <c r="K292" s="665">
        <f ca="1">+IFERROR(K$5*GETPIVOTDATA("Unique Billed Hours",'County allocation'!$X$3,"County",$D278,"HHA/CDPAP","HHA","Level of Service",$D292),0)</f>
        <v>0</v>
      </c>
      <c r="L292" s="665">
        <f ca="1">+IFERROR(L$5*GETPIVOTDATA("Unique Billed Hours",'County allocation'!$K$19,"County",$D278,"HHA/CDPAP","HHA","Level of Service",$D292),0)</f>
        <v>0</v>
      </c>
      <c r="M292" s="665">
        <f>+IFERROR(M$5*GETPIVOTDATA("Unique Billed Hours",'County allocation'!$S$3,"County",$D278,"HHA/CDPAP","HHA","Level of Service",$D292),0)</f>
        <v>0</v>
      </c>
      <c r="N292" s="665">
        <f>+IFERROR(N$5*GETPIVOTDATA("Unique Billed Hours",'County allocation'!$S$3,"County",$D278,"HHA/CDPAP","HHA","Level of Service",$D292),0)</f>
        <v>0</v>
      </c>
      <c r="O292" s="665">
        <f>+IFERROR(O$5*GETPIVOTDATA("Unique Billed Hours",'County allocation'!$S$3,"County",$D278,"HHA/CDPAP","HHA","Level of Service",$D292),0)</f>
        <v>0</v>
      </c>
      <c r="P292" s="665">
        <f>+IFERROR(P$5*GETPIVOTDATA("Unique Billed Hours",'County allocation'!$S$3,"County",$D278,"HHA/CDPAP","HHA","Level of Service",$D292),0)</f>
        <v>0</v>
      </c>
    </row>
    <row r="293" spans="1:18" s="54" customFormat="1" ht="15.75" hidden="1" thickBot="1" x14ac:dyDescent="0.3">
      <c r="A293" s="302"/>
      <c r="B293" s="309"/>
      <c r="C293" s="322">
        <f ca="1">C292</f>
        <v>0</v>
      </c>
      <c r="D293" s="52" t="s">
        <v>48</v>
      </c>
      <c r="E293" s="53" t="s">
        <v>79</v>
      </c>
      <c r="F293" s="657">
        <f t="shared" ca="1" si="108"/>
        <v>0</v>
      </c>
      <c r="G293" s="661">
        <f t="shared" ref="G293" ca="1" si="111">SUM(G289:G292)</f>
        <v>0</v>
      </c>
      <c r="H293" s="661">
        <f t="shared" ref="H293:P293" si="112">SUM(H289:H292)</f>
        <v>0</v>
      </c>
      <c r="I293" s="661">
        <f t="shared" ca="1" si="112"/>
        <v>0</v>
      </c>
      <c r="J293" s="661">
        <f t="shared" ca="1" si="112"/>
        <v>0</v>
      </c>
      <c r="K293" s="661">
        <f t="shared" ca="1" si="112"/>
        <v>0</v>
      </c>
      <c r="L293" s="661">
        <f t="shared" ca="1" si="112"/>
        <v>0</v>
      </c>
      <c r="M293" s="661">
        <f t="shared" si="112"/>
        <v>0</v>
      </c>
      <c r="N293" s="661">
        <f t="shared" si="112"/>
        <v>0</v>
      </c>
      <c r="O293" s="661">
        <f t="shared" si="112"/>
        <v>0</v>
      </c>
      <c r="P293" s="661">
        <f t="shared" si="112"/>
        <v>0</v>
      </c>
    </row>
    <row r="294" spans="1:18" s="54" customFormat="1" ht="15.75" hidden="1" thickBot="1" x14ac:dyDescent="0.3">
      <c r="A294" s="119"/>
      <c r="B294" s="309"/>
      <c r="C294" s="322"/>
      <c r="E294" s="55"/>
      <c r="F294" s="666"/>
      <c r="G294" s="666"/>
      <c r="H294" s="666"/>
      <c r="I294" s="666"/>
      <c r="J294" s="666"/>
      <c r="K294" s="666"/>
      <c r="L294" s="666"/>
      <c r="M294" s="666"/>
      <c r="N294" s="666"/>
      <c r="O294" s="666"/>
      <c r="P294" s="666"/>
    </row>
    <row r="295" spans="1:18" s="54" customFormat="1" ht="75.75" hidden="1" thickBot="1" x14ac:dyDescent="0.3">
      <c r="A295" s="119"/>
      <c r="B295" s="309"/>
      <c r="C295" s="322">
        <f ca="1">IF(F310&gt;0,1,0)</f>
        <v>0</v>
      </c>
      <c r="D295" s="45" t="str">
        <f>A20</f>
        <v>Franklin</v>
      </c>
      <c r="E295" s="28">
        <f>+SUMIF(A:A,D295,B:B)</f>
        <v>0</v>
      </c>
      <c r="F295" s="652" t="s">
        <v>61</v>
      </c>
      <c r="G295" s="652" t="s">
        <v>387</v>
      </c>
      <c r="H295" s="652" t="s">
        <v>388</v>
      </c>
      <c r="I295" s="652" t="s">
        <v>392</v>
      </c>
      <c r="J295" s="652" t="s">
        <v>31</v>
      </c>
      <c r="K295" s="652" t="s">
        <v>32</v>
      </c>
      <c r="L295" s="653" t="s">
        <v>33</v>
      </c>
      <c r="M295" s="653" t="s">
        <v>60</v>
      </c>
      <c r="N295" s="653" t="s">
        <v>59</v>
      </c>
      <c r="O295" s="653" t="s">
        <v>58</v>
      </c>
      <c r="P295" s="653" t="s">
        <v>16</v>
      </c>
    </row>
    <row r="296" spans="1:18" s="54" customFormat="1" ht="15.75" hidden="1" thickBot="1" x14ac:dyDescent="0.3">
      <c r="A296" s="119"/>
      <c r="B296" s="309"/>
      <c r="C296" s="322">
        <f ca="1">C295</f>
        <v>0</v>
      </c>
      <c r="D296" s="56"/>
      <c r="E296" s="57"/>
      <c r="F296" s="654" t="s">
        <v>57</v>
      </c>
      <c r="G296" s="654" t="s">
        <v>56</v>
      </c>
      <c r="H296" s="654" t="s">
        <v>55</v>
      </c>
      <c r="I296" s="654" t="s">
        <v>54</v>
      </c>
      <c r="J296" s="654" t="s">
        <v>53</v>
      </c>
      <c r="K296" s="654" t="s">
        <v>52</v>
      </c>
      <c r="L296" s="654" t="s">
        <v>51</v>
      </c>
      <c r="M296" s="654" t="s">
        <v>50</v>
      </c>
      <c r="N296" s="654" t="s">
        <v>49</v>
      </c>
      <c r="O296" s="654" t="s">
        <v>47</v>
      </c>
      <c r="P296" s="655" t="s">
        <v>77</v>
      </c>
    </row>
    <row r="297" spans="1:18" s="54" customFormat="1" ht="15.75" hidden="1" thickBot="1" x14ac:dyDescent="0.3">
      <c r="A297" s="119"/>
      <c r="B297" s="309"/>
      <c r="C297" s="322">
        <f t="shared" ref="C297:C309" ca="1" si="113">C296</f>
        <v>0</v>
      </c>
      <c r="D297" s="59" t="s">
        <v>26</v>
      </c>
      <c r="E297" s="57"/>
      <c r="F297" s="656"/>
      <c r="G297" s="656"/>
      <c r="H297" s="656"/>
      <c r="I297" s="656"/>
      <c r="J297" s="656"/>
      <c r="K297" s="656"/>
      <c r="L297" s="656"/>
      <c r="M297" s="656"/>
      <c r="N297" s="656"/>
      <c r="O297" s="656"/>
      <c r="P297" s="663"/>
    </row>
    <row r="298" spans="1:18" s="54" customFormat="1" ht="15.75" hidden="1" thickBot="1" x14ac:dyDescent="0.3">
      <c r="A298" s="119"/>
      <c r="B298" s="309"/>
      <c r="C298" s="322">
        <f t="shared" ca="1" si="113"/>
        <v>0</v>
      </c>
      <c r="D298" s="7" t="s">
        <v>34</v>
      </c>
      <c r="E298" s="48" t="s">
        <v>57</v>
      </c>
      <c r="F298" s="657">
        <f ca="1">+H298+G298+I298</f>
        <v>0</v>
      </c>
      <c r="G298" s="658">
        <f ca="1">+IFERROR(G$5*GETPIVOTDATA("Unique Billed Hours",'County allocation'!$A$3,"County",$D295,"HHA/CDPAP","HHA","Level of Service",$D298),0)</f>
        <v>0</v>
      </c>
      <c r="H298" s="658">
        <f>+IFERROR(H$5*GETPIVOTDATA("Unique Billed Hours",'County allocation'!$S$3,"County",$D295,"HHA/CDPAP","HHA","Level of Service",$D298),0)</f>
        <v>0</v>
      </c>
      <c r="I298" s="664">
        <f ca="1">SUM(J298:P298)</f>
        <v>0</v>
      </c>
      <c r="J298" s="658">
        <f ca="1">+IFERROR(J$5*GETPIVOTDATA("Unique Billed Hours",'County allocation'!$S$3,"County",$D295,"HHA/CDPAP","HHA","Level of Service",$D298),0)</f>
        <v>0</v>
      </c>
      <c r="K298" s="658">
        <f ca="1">+IFERROR(K$5*GETPIVOTDATA("Unique Billed Hours",'County allocation'!$X$3,"County",$D295,"HHA/CDPAP","HHA","Level of Service",$D298),0)</f>
        <v>0</v>
      </c>
      <c r="L298" s="658">
        <f ca="1">+IFERROR(L$2*GETPIVOTDATA("Unique Billed Hours",'County allocation'!$O$3,"County",$D295,"HHA/CDPAP","HHA","Level of Service",$D298),0)</f>
        <v>0</v>
      </c>
      <c r="M298" s="658">
        <f>+IFERROR(M$5*GETPIVOTDATA("Unique Billed Hours",'County allocation'!$S$3,"County",$D295,"HHA/CDPAP","HHA","Level of Service",$D298),0)</f>
        <v>0</v>
      </c>
      <c r="N298" s="658">
        <f>+IFERROR(N$5*GETPIVOTDATA("Unique Billed Hours",'County allocation'!$S$3,"County",$D295,"HHA/CDPAP","HHA","Level of Service",$D298),0)</f>
        <v>0</v>
      </c>
      <c r="O298" s="658">
        <f>+IFERROR(O$5*GETPIVOTDATA("Unique Billed Hours",'County allocation'!$K$19,"County",$D295,"HHA/CDPAP","HHA","Level of Service",$D298),0)</f>
        <v>0</v>
      </c>
      <c r="P298" s="658">
        <f>+IFERROR(P$5*GETPIVOTDATA("Unique Billed Hours",'County allocation'!$S$3,"County",$D295,"HHA/CDPAP","HHA","Level of Service",$D298),0)</f>
        <v>0</v>
      </c>
    </row>
    <row r="299" spans="1:18" s="54" customFormat="1" ht="15.75" hidden="1" thickBot="1" x14ac:dyDescent="0.3">
      <c r="A299" s="119"/>
      <c r="B299" s="309"/>
      <c r="C299" s="322">
        <f t="shared" ca="1" si="113"/>
        <v>0</v>
      </c>
      <c r="D299" s="7" t="s">
        <v>35</v>
      </c>
      <c r="E299" s="48" t="s">
        <v>56</v>
      </c>
      <c r="F299" s="657">
        <f t="shared" ref="F299:F310" ca="1" si="114">+H299+G299+I299</f>
        <v>0</v>
      </c>
      <c r="G299" s="658">
        <f ca="1">+IFERROR(G$5*GETPIVOTDATA("Unique Billed Hours",'County allocation'!$A$3,"County",$D295,"HHA/CDPAP","HHA","Level of Service",$D299),0)</f>
        <v>0</v>
      </c>
      <c r="H299" s="658">
        <f>+IFERROR(H$5*GETPIVOTDATA("Unique Billed Hours",'County allocation'!$S$3,"County",$D295,"HHA/CDPAP","HHA","Level of Service",$D299),0)</f>
        <v>0</v>
      </c>
      <c r="I299" s="664">
        <f t="shared" ref="I299:I309" ca="1" si="115">SUM(J299:P299)</f>
        <v>0</v>
      </c>
      <c r="J299" s="658">
        <f ca="1">+IFERROR(J$5*GETPIVOTDATA("Unique Billed Hours",'County allocation'!$S$3,"County",$D295,"HHA/CDPAP","HHA","Level of Service",$D299),0)</f>
        <v>0</v>
      </c>
      <c r="K299" s="658">
        <f ca="1">+IFERROR(K$5*GETPIVOTDATA("Unique Billed Hours",'County allocation'!$X$3,"County",$D295,"HHA/CDPAP","HHA","Level of Service",$D299),0)</f>
        <v>0</v>
      </c>
      <c r="L299" s="658">
        <f ca="1">+IFERROR(L$2*GETPIVOTDATA("Unique Billed Hours",'County allocation'!$O$3,"County",$D295,"HHA/CDPAP","HHA","Level of Service",$D299),0)</f>
        <v>0</v>
      </c>
      <c r="M299" s="658">
        <f>+IFERROR(M$5*GETPIVOTDATA("Unique Billed Hours",'County allocation'!$S$3,"County",$D295,"HHA/CDPAP","HHA","Level of Service",$D299),0)</f>
        <v>0</v>
      </c>
      <c r="N299" s="658">
        <f>+IFERROR(N$5*GETPIVOTDATA("Unique Billed Hours",'County allocation'!$S$3,"County",$D295,"HHA/CDPAP","HHA","Level of Service",$D299),0)</f>
        <v>0</v>
      </c>
      <c r="O299" s="658">
        <f>+IFERROR(O$5*GETPIVOTDATA("Unique Billed Hours",'County allocation'!$K$19,"County",$D295,"HHA/CDPAP","HHA","Level of Service",$D299),0)</f>
        <v>0</v>
      </c>
      <c r="P299" s="658">
        <f>+IFERROR(P$5*GETPIVOTDATA("Unique Billed Hours",'County allocation'!$S$3,"County",$D295,"HHA/CDPAP","HHA","Level of Service",$D299),0)</f>
        <v>0</v>
      </c>
      <c r="R299" s="61"/>
    </row>
    <row r="300" spans="1:18" s="54" customFormat="1" ht="15.75" hidden="1" thickBot="1" x14ac:dyDescent="0.3">
      <c r="A300" s="302"/>
      <c r="B300" s="309"/>
      <c r="C300" s="322">
        <f t="shared" ca="1" si="113"/>
        <v>0</v>
      </c>
      <c r="D300" s="7" t="s">
        <v>36</v>
      </c>
      <c r="E300" s="48" t="s">
        <v>55</v>
      </c>
      <c r="F300" s="657">
        <f t="shared" ca="1" si="114"/>
        <v>0</v>
      </c>
      <c r="G300" s="658">
        <f ca="1">+IFERROR(G$5*GETPIVOTDATA("Unique Billed Hours",'County allocation'!$A$3,"County",$D295,"HHA/CDPAP","HHA","Level of Service",$D300),0)</f>
        <v>0</v>
      </c>
      <c r="H300" s="658">
        <f>+IFERROR(H$5*GETPIVOTDATA("Unique Billed Hours",'County allocation'!$S$3,"County",$D295,"HHA/CDPAP","HHA","Level of Service",$D300),0)</f>
        <v>0</v>
      </c>
      <c r="I300" s="664">
        <f t="shared" ca="1" si="115"/>
        <v>0</v>
      </c>
      <c r="J300" s="658">
        <f ca="1">+IFERROR(J$5*GETPIVOTDATA("Unique Billed Hours",'County allocation'!$S$3,"County",$D295,"HHA/CDPAP","HHA","Level of Service",$D300),0)</f>
        <v>0</v>
      </c>
      <c r="K300" s="658">
        <f ca="1">+IFERROR(K$5*GETPIVOTDATA("Unique Billed Hours",'County allocation'!$X$3,"County",$D295,"HHA/CDPAP","HHA","Level of Service",$D300),0)</f>
        <v>0</v>
      </c>
      <c r="L300" s="658">
        <f ca="1">+IFERROR(L$2*GETPIVOTDATA("Unique Billed Hours",'County allocation'!$O$3,"County",$D295,"HHA/CDPAP","HHA","Level of Service",$D300),0)</f>
        <v>0</v>
      </c>
      <c r="M300" s="658">
        <f>+IFERROR(M$5*GETPIVOTDATA("Unique Billed Hours",'County allocation'!$S$3,"County",$D295,"HHA/CDPAP","HHA","Level of Service",$D300),0)</f>
        <v>0</v>
      </c>
      <c r="N300" s="658">
        <f>+IFERROR(N$5*GETPIVOTDATA("Unique Billed Hours",'County allocation'!$S$3,"County",$D295,"HHA/CDPAP","HHA","Level of Service",$D300),0)</f>
        <v>0</v>
      </c>
      <c r="O300" s="658">
        <f>+IFERROR(O$5*GETPIVOTDATA("Unique Billed Hours",'County allocation'!$K$19,"County",$D295,"HHA/CDPAP","HHA","Level of Service",$D300),0)</f>
        <v>0</v>
      </c>
      <c r="P300" s="658">
        <f>+IFERROR(P$5*GETPIVOTDATA("Unique Billed Hours",'County allocation'!$S$3,"County",$D295,"HHA/CDPAP","HHA","Level of Service",$D300),0)</f>
        <v>0</v>
      </c>
    </row>
    <row r="301" spans="1:18" s="54" customFormat="1" ht="15.75" hidden="1" thickBot="1" x14ac:dyDescent="0.3">
      <c r="A301" s="119"/>
      <c r="B301" s="309"/>
      <c r="C301" s="322">
        <f t="shared" ca="1" si="113"/>
        <v>0</v>
      </c>
      <c r="D301" s="7" t="s">
        <v>37</v>
      </c>
      <c r="E301" s="48" t="s">
        <v>54</v>
      </c>
      <c r="F301" s="657">
        <f t="shared" ca="1" si="114"/>
        <v>0</v>
      </c>
      <c r="G301" s="658">
        <f ca="1">+IFERROR(G$5*GETPIVOTDATA("Unique Billed Hours",'County allocation'!$A$3,"County",$D295,"HHA/CDPAP","HHA","Level of Service",$D301),0)</f>
        <v>0</v>
      </c>
      <c r="H301" s="658">
        <f>+IFERROR(H$5*GETPIVOTDATA("Unique Billed Hours",'County allocation'!$S$3,"County",$D295,"HHA/CDPAP","HHA","Level of Service",$D301),0)</f>
        <v>0</v>
      </c>
      <c r="I301" s="664">
        <f t="shared" ca="1" si="115"/>
        <v>0</v>
      </c>
      <c r="J301" s="658">
        <f ca="1">+IFERROR(J$5*GETPIVOTDATA("Unique Billed Hours",'County allocation'!$S$3,"County",$D295,"HHA/CDPAP","HHA","Level of Service",$D301),0)</f>
        <v>0</v>
      </c>
      <c r="K301" s="658">
        <f ca="1">+IFERROR(K$5*GETPIVOTDATA("Unique Billed Hours",'County allocation'!$X$3,"County",$D295,"HHA/CDPAP","HHA","Level of Service",$D301),0)</f>
        <v>0</v>
      </c>
      <c r="L301" s="658">
        <f ca="1">+IFERROR(L$2*GETPIVOTDATA("Unique Billed Hours",'County allocation'!$O$3,"County",$D295,"HHA/CDPAP","HHA","Level of Service",$D301),0)</f>
        <v>0</v>
      </c>
      <c r="M301" s="658">
        <f>+IFERROR(M$5*GETPIVOTDATA("Unique Billed Hours",'County allocation'!$S$3,"County",$D295,"HHA/CDPAP","HHA","Level of Service",$D301),0)</f>
        <v>0</v>
      </c>
      <c r="N301" s="658">
        <f>+IFERROR(N$5*GETPIVOTDATA("Unique Billed Hours",'County allocation'!$S$3,"County",$D295,"HHA/CDPAP","HHA","Level of Service",$D301),0)</f>
        <v>0</v>
      </c>
      <c r="O301" s="658">
        <f>+IFERROR(O$5*GETPIVOTDATA("Unique Billed Hours",'County allocation'!$K$19,"County",$D295,"HHA/CDPAP","HHA","Level of Service",$D301),0)</f>
        <v>0</v>
      </c>
      <c r="P301" s="658">
        <f>+IFERROR(P$5*GETPIVOTDATA("Unique Billed Hours",'County allocation'!$S$3,"County",$D295,"HHA/CDPAP","HHA","Level of Service",$D301),0)</f>
        <v>0</v>
      </c>
    </row>
    <row r="302" spans="1:18" s="54" customFormat="1" ht="15.75" hidden="1" thickBot="1" x14ac:dyDescent="0.3">
      <c r="A302" s="119"/>
      <c r="B302" s="309"/>
      <c r="C302" s="322">
        <f t="shared" ca="1" si="113"/>
        <v>0</v>
      </c>
      <c r="D302" s="7" t="s">
        <v>38</v>
      </c>
      <c r="E302" s="48" t="s">
        <v>53</v>
      </c>
      <c r="F302" s="657">
        <f t="shared" ca="1" si="114"/>
        <v>0</v>
      </c>
      <c r="G302" s="658">
        <f ca="1">+IFERROR(G$5*GETPIVOTDATA("Unique Billed Hours",'County allocation'!$A$3,"County",$D295,"HHA/CDPAP","HHA","Level of Service",$D302),0)</f>
        <v>0</v>
      </c>
      <c r="H302" s="658">
        <f>+IFERROR(H$5*GETPIVOTDATA("Unique Billed Hours",'County allocation'!$S$3,"County",$D295,"HHA/CDPAP","HHA","Level of Service",$D302),0)</f>
        <v>0</v>
      </c>
      <c r="I302" s="664">
        <f t="shared" ca="1" si="115"/>
        <v>0</v>
      </c>
      <c r="J302" s="658">
        <f ca="1">+IFERROR(J$5*GETPIVOTDATA("Unique Billed Hours",'County allocation'!$S$3,"County",$D295,"HHA/CDPAP","HHA","Level of Service",$D302),0)</f>
        <v>0</v>
      </c>
      <c r="K302" s="658">
        <f ca="1">+IFERROR(K$5*GETPIVOTDATA("Unique Billed Hours",'County allocation'!$X$3,"County",$D295,"HHA/CDPAP","HHA","Level of Service",$D302),0)</f>
        <v>0</v>
      </c>
      <c r="L302" s="658">
        <f ca="1">+IFERROR(L$5*GETPIVOTDATA("Unique Billed Hours",'County allocation'!$K$19,"County",$D295,"HHA/CDPAP","HHA","Level of Service",$D302),0)</f>
        <v>0</v>
      </c>
      <c r="M302" s="658">
        <f>+IFERROR(M$5*GETPIVOTDATA("Unique Billed Hours",'County allocation'!$S$3,"County",$D295,"HHA/CDPAP","HHA","Level of Service",$D302),0)</f>
        <v>0</v>
      </c>
      <c r="N302" s="658">
        <f>+IFERROR(N$5*GETPIVOTDATA("Unique Billed Hours",'County allocation'!$S$3,"County",$D295,"HHA/CDPAP","HHA","Level of Service",$D302),0)</f>
        <v>0</v>
      </c>
      <c r="O302" s="658">
        <f>+IFERROR(O$5*GETPIVOTDATA("Unique Billed Hours",'County allocation'!$K$19,"County",$D295,"HHA/CDPAP","HHA","Level of Service",$D302),0)</f>
        <v>0</v>
      </c>
      <c r="P302" s="658">
        <f>+IFERROR(P$5*GETPIVOTDATA("Unique Billed Hours",'County allocation'!$S$3,"County",$D295,"HHA/CDPAP","HHA","Level of Service",$D302),0)</f>
        <v>0</v>
      </c>
    </row>
    <row r="303" spans="1:18" s="54" customFormat="1" ht="15.75" hidden="1" thickBot="1" x14ac:dyDescent="0.3">
      <c r="A303" s="119"/>
      <c r="B303" s="309"/>
      <c r="C303" s="322">
        <f t="shared" ca="1" si="113"/>
        <v>0</v>
      </c>
      <c r="D303" s="7" t="s">
        <v>39</v>
      </c>
      <c r="E303" s="48" t="s">
        <v>52</v>
      </c>
      <c r="F303" s="657">
        <f t="shared" ca="1" si="114"/>
        <v>0</v>
      </c>
      <c r="G303" s="658">
        <f ca="1">+IFERROR(G$5*GETPIVOTDATA("Unique Billed Hours",'County allocation'!$A$3,"County",$D295,"HHA/CDPAP","HHA","Level of Service",$D303),0)</f>
        <v>0</v>
      </c>
      <c r="H303" s="658">
        <f>+IFERROR(H$5*GETPIVOTDATA("Unique Billed Hours",'County allocation'!$S$3,"County",$D295,"HHA/CDPAP","HHA","Level of Service",$D303),0)</f>
        <v>0</v>
      </c>
      <c r="I303" s="664">
        <f t="shared" ca="1" si="115"/>
        <v>0</v>
      </c>
      <c r="J303" s="658">
        <f ca="1">+IFERROR(J$5*GETPIVOTDATA("Unique Billed Hours",'County allocation'!$S$3,"County",$D295,"HHA/CDPAP","HHA","Level of Service",$D303),0)</f>
        <v>0</v>
      </c>
      <c r="K303" s="658">
        <f ca="1">+IFERROR(K$5*GETPIVOTDATA("Unique Billed Hours",'County allocation'!$X$3,"County",$D295,"HHA/CDPAP","HHA","Level of Service",$D303),0)</f>
        <v>0</v>
      </c>
      <c r="L303" s="658">
        <f ca="1">+IFERROR(L$5*GETPIVOTDATA("Unique Billed Hours",'County allocation'!$K$19,"County",$D295,"HHA/CDPAP","HHA","Level of Service",$D303),0)</f>
        <v>0</v>
      </c>
      <c r="M303" s="658">
        <f>+IFERROR(M$5*GETPIVOTDATA("Unique Billed Hours",'County allocation'!$S$3,"County",$D295,"HHA/CDPAP","HHA","Level of Service",$D303),0)</f>
        <v>0</v>
      </c>
      <c r="N303" s="658">
        <f>+IFERROR(N$5*GETPIVOTDATA("Unique Billed Hours",'County allocation'!$S$3,"County",$D295,"HHA/CDPAP","HHA","Level of Service",$D303),0)</f>
        <v>0</v>
      </c>
      <c r="O303" s="658">
        <f>+IFERROR(O$5*GETPIVOTDATA("Unique Billed Hours",'County allocation'!$K$19,"County",$D295,"HHA/CDPAP","HHA","Level of Service",$D303),0)</f>
        <v>0</v>
      </c>
      <c r="P303" s="658">
        <f>+IFERROR(P$5*GETPIVOTDATA("Unique Billed Hours",'County allocation'!$S$3,"County",$D295,"HHA/CDPAP","HHA","Level of Service",$D303),0)</f>
        <v>0</v>
      </c>
    </row>
    <row r="304" spans="1:18" s="54" customFormat="1" ht="15.75" hidden="1" thickBot="1" x14ac:dyDescent="0.3">
      <c r="A304" s="119"/>
      <c r="B304" s="309"/>
      <c r="C304" s="322">
        <f t="shared" ca="1" si="113"/>
        <v>0</v>
      </c>
      <c r="D304" s="8" t="s">
        <v>40</v>
      </c>
      <c r="E304" s="48" t="s">
        <v>51</v>
      </c>
      <c r="F304" s="657">
        <f t="shared" ca="1" si="114"/>
        <v>0</v>
      </c>
      <c r="G304" s="658">
        <f ca="1">+IFERROR(G$5*GETPIVOTDATA("Unique Billed Hours",'County allocation'!$A$3,"County",$D295,"HHA/CDPAP","HHA","Level of Service",$D304),0)</f>
        <v>0</v>
      </c>
      <c r="H304" s="658">
        <f>+IFERROR(H$5*GETPIVOTDATA("Unique Billed Hours",'County allocation'!$S$3,"County",$D295,"HHA/CDPAP","HHA","Level of Service",$D304),0)</f>
        <v>0</v>
      </c>
      <c r="I304" s="664">
        <f t="shared" ca="1" si="115"/>
        <v>0</v>
      </c>
      <c r="J304" s="658">
        <f ca="1">+IFERROR(J$5*GETPIVOTDATA("Unique Billed Hours",'County allocation'!$S$3,"County",$D295,"HHA/CDPAP","HHA","Level of Service",$D304),0)</f>
        <v>0</v>
      </c>
      <c r="K304" s="658">
        <f ca="1">+IFERROR(K$5*GETPIVOTDATA("Unique Billed Hours",'County allocation'!$X$3,"County",$D295,"HHA/CDPAP","HHA","Level of Service",$D304),0)</f>
        <v>0</v>
      </c>
      <c r="L304" s="658">
        <f ca="1">+IFERROR(L$2*GETPIVOTDATA("Unique Billed Hours",'County allocation'!$O$3,"County",$D295,"HHA/CDPAP","HHA","Level of Service",$D304),0)</f>
        <v>0</v>
      </c>
      <c r="M304" s="658">
        <f>+IFERROR(M$5*GETPIVOTDATA("Unique Billed Hours",'County allocation'!$S$3,"County",$D295,"HHA/CDPAP","HHA","Level of Service",$D304),0)</f>
        <v>0</v>
      </c>
      <c r="N304" s="658">
        <f>+IFERROR(N$5*GETPIVOTDATA("Unique Billed Hours",'County allocation'!$S$3,"County",$D295,"HHA/CDPAP","HHA","Level of Service",$D304),0)</f>
        <v>0</v>
      </c>
      <c r="O304" s="658">
        <f>+IFERROR(O$5*GETPIVOTDATA("Unique Billed Hours",'County allocation'!$K$19,"County",$D295,"HHA/CDPAP","HHA","Level of Service",$D304),0)</f>
        <v>0</v>
      </c>
      <c r="P304" s="658">
        <f>+IFERROR(P$5*GETPIVOTDATA("Unique Billed Hours",'County allocation'!$S$3,"County",$D295,"HHA/CDPAP","HHA","Level of Service",$D304),0)</f>
        <v>0</v>
      </c>
    </row>
    <row r="305" spans="1:18" s="54" customFormat="1" ht="15.75" hidden="1" thickBot="1" x14ac:dyDescent="0.3">
      <c r="A305" s="119"/>
      <c r="B305" s="309"/>
      <c r="C305" s="322">
        <f t="shared" ca="1" si="113"/>
        <v>0</v>
      </c>
      <c r="D305" s="8" t="s">
        <v>41</v>
      </c>
      <c r="E305" s="48" t="s">
        <v>50</v>
      </c>
      <c r="F305" s="657">
        <f t="shared" ca="1" si="114"/>
        <v>0</v>
      </c>
      <c r="G305" s="658">
        <f ca="1">+IFERROR(G$5*GETPIVOTDATA("Unique Billed Hours",'County allocation'!$A$3,"County",$D295,"HHA/CDPAP","HHA","Level of Service",$D305),0)</f>
        <v>0</v>
      </c>
      <c r="H305" s="658">
        <f>+IFERROR(H$5*GETPIVOTDATA("Unique Billed Hours",'County allocation'!$S$3,"County",$D295,"HHA/CDPAP","HHA","Level of Service",$D305),0)</f>
        <v>0</v>
      </c>
      <c r="I305" s="664">
        <f t="shared" ca="1" si="115"/>
        <v>0</v>
      </c>
      <c r="J305" s="658">
        <f ca="1">+IFERROR(J$5*GETPIVOTDATA("Unique Billed Hours",'County allocation'!$S$3,"County",$D295,"HHA/CDPAP","HHA","Level of Service",$D305),0)</f>
        <v>0</v>
      </c>
      <c r="K305" s="658">
        <f ca="1">+IFERROR(K$5*GETPIVOTDATA("Unique Billed Hours",'County allocation'!$X$3,"County",$D295,"HHA/CDPAP","HHA","Level of Service",$D305),0)</f>
        <v>0</v>
      </c>
      <c r="L305" s="658">
        <f ca="1">+IFERROR(L$2*GETPIVOTDATA("Unique Billed Hours",'County allocation'!$O$3,"County",$D295,"HHA/CDPAP","HHA","Level of Service",$D305),0)</f>
        <v>0</v>
      </c>
      <c r="M305" s="658">
        <f>+IFERROR(M$5*GETPIVOTDATA("Unique Billed Hours",'County allocation'!$S$3,"County",$D295,"HHA/CDPAP","HHA","Level of Service",$D305),0)</f>
        <v>0</v>
      </c>
      <c r="N305" s="658">
        <f>+IFERROR(N$5*GETPIVOTDATA("Unique Billed Hours",'County allocation'!$S$3,"County",$D295,"HHA/CDPAP","HHA","Level of Service",$D305),0)</f>
        <v>0</v>
      </c>
      <c r="O305" s="658">
        <f>+IFERROR(O$5*GETPIVOTDATA("Unique Billed Hours",'County allocation'!$K$19,"County",$D295,"HHA/CDPAP","HHA","Level of Service",$D305),0)</f>
        <v>0</v>
      </c>
      <c r="P305" s="658">
        <f>+IFERROR(P$5*GETPIVOTDATA("Unique Billed Hours",'County allocation'!$S$3,"County",$D295,"HHA/CDPAP","HHA","Level of Service",$D305),0)</f>
        <v>0</v>
      </c>
    </row>
    <row r="306" spans="1:18" s="54" customFormat="1" ht="15.75" hidden="1" thickBot="1" x14ac:dyDescent="0.3">
      <c r="A306" s="119"/>
      <c r="B306" s="309"/>
      <c r="C306" s="322">
        <f t="shared" ca="1" si="113"/>
        <v>0</v>
      </c>
      <c r="D306" s="52" t="s">
        <v>389</v>
      </c>
      <c r="E306" s="53" t="s">
        <v>49</v>
      </c>
      <c r="F306" s="657">
        <f t="shared" ca="1" si="114"/>
        <v>0</v>
      </c>
      <c r="G306" s="661">
        <f ca="1">SUM(G298:G305)</f>
        <v>0</v>
      </c>
      <c r="H306" s="661">
        <f>SUM(H298:H305)</f>
        <v>0</v>
      </c>
      <c r="I306" s="664">
        <f t="shared" ca="1" si="115"/>
        <v>0</v>
      </c>
      <c r="J306" s="661">
        <f ca="1">SUM(J298:J305)</f>
        <v>0</v>
      </c>
      <c r="K306" s="661">
        <f t="shared" ref="K306:P306" ca="1" si="116">SUM(K298:K305)</f>
        <v>0</v>
      </c>
      <c r="L306" s="661">
        <f t="shared" ca="1" si="116"/>
        <v>0</v>
      </c>
      <c r="M306" s="661">
        <f t="shared" si="116"/>
        <v>0</v>
      </c>
      <c r="N306" s="661">
        <f t="shared" si="116"/>
        <v>0</v>
      </c>
      <c r="O306" s="661">
        <f t="shared" si="116"/>
        <v>0</v>
      </c>
      <c r="P306" s="661">
        <f t="shared" si="116"/>
        <v>0</v>
      </c>
    </row>
    <row r="307" spans="1:18" s="54" customFormat="1" ht="15.75" hidden="1" thickBot="1" x14ac:dyDescent="0.3">
      <c r="A307" s="119"/>
      <c r="B307" s="309"/>
      <c r="C307" s="322">
        <f t="shared" ca="1" si="113"/>
        <v>0</v>
      </c>
      <c r="D307" s="371" t="s">
        <v>390</v>
      </c>
      <c r="E307" s="325" t="s">
        <v>47</v>
      </c>
      <c r="F307" s="657">
        <f t="shared" ca="1" si="114"/>
        <v>0</v>
      </c>
      <c r="G307" s="665">
        <f ca="1">+IFERROR((G$5*GETPIVOTDATA("Unique Billed Hours",'County allocation'!$A$3,"County",$D295,"HHA/CDPAP","HHA","Level of Service",$D307))+($G$2*GETPIVOTDATA("Unique Billed Hours",'County allocation'!$F$7,"County",$D295,"HHA/CDPAP","HHA","Level of Service",$D307)),0)++IFERROR(J$5*GETPIVOTDATA("Unique Billed Hours",'County allocation'!$AC$3,"County",$D295,"HHA/CDPAP","HHA","Level of Service",$D307),0)+ +IFERROR(J$5*GETPIVOTDATA("Unique Billed Hours",'County allocation'!$AC$3,"County",$D295,"HHA/CDPAP","HHA","Level of Service",$D308),0)</f>
        <v>0</v>
      </c>
      <c r="H307" s="665">
        <f>+IFERROR(H$5*GETPIVOTDATA("Unique Billed Hours",'County allocation'!$S$3,"County",$D295,"HHA/CDPAP","HHA","Level of Service",$D307),0)</f>
        <v>0</v>
      </c>
      <c r="I307" s="664">
        <f t="shared" ca="1" si="115"/>
        <v>0</v>
      </c>
      <c r="J307" s="901"/>
      <c r="K307" s="665">
        <f ca="1">+IFERROR(K$5*GETPIVOTDATA("Unique Billed Hours",'County allocation'!$X$3,"County",$D295,"HHA/CDPAP","HHA","Level of Service",$D307),0)</f>
        <v>0</v>
      </c>
      <c r="L307" s="665">
        <f ca="1">+IFERROR(L$5*GETPIVOTDATA("Unique Billed Hours",'County allocation'!$K$19,"County",$D295,"HHA/CDPAP","HHA","Level of Service",$D307),0)</f>
        <v>0</v>
      </c>
      <c r="M307" s="665">
        <f>+IFERROR(M$5*GETPIVOTDATA("Unique Billed Hours",'County allocation'!$S$3,"County",$D295,"HHA/CDPAP","HHA","Level of Service",$D307),0)</f>
        <v>0</v>
      </c>
      <c r="N307" s="665">
        <f>+IFERROR(N$5*GETPIVOTDATA("Unique Billed Hours",'County allocation'!$S$3,"County",$D295,"HHA/CDPAP","HHA","Level of Service",$D307),0)</f>
        <v>0</v>
      </c>
      <c r="O307" s="665">
        <f>+IFERROR(O$5*GETPIVOTDATA("Unique Billed Hours",'County allocation'!$S$3,"County",$D295,"HHA/CDPAP","HHA","Level of Service",$D307),0)</f>
        <v>0</v>
      </c>
      <c r="P307" s="665">
        <f>+IFERROR(P$5*GETPIVOTDATA("Unique Billed Hours",'County allocation'!$S$3,"County",$D295,"HHA/CDPAP","HHA","Level of Service",$D307),0)</f>
        <v>0</v>
      </c>
    </row>
    <row r="308" spans="1:18" s="54" customFormat="1" ht="15.75" hidden="1" thickBot="1" x14ac:dyDescent="0.3">
      <c r="A308" s="119"/>
      <c r="B308" s="309"/>
      <c r="C308" s="322">
        <f t="shared" ca="1" si="113"/>
        <v>0</v>
      </c>
      <c r="D308" s="8" t="s">
        <v>391</v>
      </c>
      <c r="E308" s="370" t="s">
        <v>77</v>
      </c>
      <c r="F308" s="657">
        <f t="shared" ca="1" si="114"/>
        <v>0</v>
      </c>
      <c r="G308" s="656"/>
      <c r="H308" s="658">
        <f>+IFERROR(H$5*GETPIVOTDATA("Unique Billed Hours",'County allocation'!$S$3,"County",$D295,"HHA/CDPAP","HHA","Level of Service",$D308),0)</f>
        <v>0</v>
      </c>
      <c r="I308" s="664">
        <f t="shared" ca="1" si="115"/>
        <v>0</v>
      </c>
      <c r="J308" s="901"/>
      <c r="K308" s="665">
        <f ca="1">+IFERROR(K$5*GETPIVOTDATA("Unique Billed Hours",'County allocation'!$X$3,"County",$D295,"HHA/CDPAP","HHA","Level of Service",$D308),0)</f>
        <v>0</v>
      </c>
      <c r="L308" s="665">
        <f ca="1">+IFERROR(L$5*GETPIVOTDATA("Unique Billed Hours",'County allocation'!$K$19,"County",$D295,"HHA/CDPAP","HHA","Level of Service",$D308),0)</f>
        <v>0</v>
      </c>
      <c r="M308" s="665">
        <f>+IFERROR(M$5*GETPIVOTDATA("Unique Billed Hours",'County allocation'!$S$3,"County",$D295,"HHA/CDPAP","HHA","Level of Service",$D308),0)</f>
        <v>0</v>
      </c>
      <c r="N308" s="665">
        <f>+IFERROR(N$5*GETPIVOTDATA("Unique Billed Hours",'County allocation'!$S$3,"County",$D295,"HHA/CDPAP","HHA","Level of Service",$D308),0)</f>
        <v>0</v>
      </c>
      <c r="O308" s="665">
        <f>+IFERROR(O$5*GETPIVOTDATA("Unique Billed Hours",'County allocation'!$S$3,"County",$D295,"HHA/CDPAP","HHA","Level of Service",$D308),0)</f>
        <v>0</v>
      </c>
      <c r="P308" s="665">
        <f>+IFERROR(P$5*GETPIVOTDATA("Unique Billed Hours",'County allocation'!$S$3,"County",$D295,"HHA/CDPAP","HHA","Level of Service",$D308),0)</f>
        <v>0</v>
      </c>
    </row>
    <row r="309" spans="1:18" s="54" customFormat="1" ht="15.75" hidden="1" thickBot="1" x14ac:dyDescent="0.3">
      <c r="A309" s="119"/>
      <c r="B309" s="309"/>
      <c r="C309" s="322">
        <f t="shared" ca="1" si="113"/>
        <v>0</v>
      </c>
      <c r="D309" s="8" t="s">
        <v>374</v>
      </c>
      <c r="E309" s="370" t="s">
        <v>78</v>
      </c>
      <c r="F309" s="657">
        <f t="shared" ca="1" si="114"/>
        <v>0</v>
      </c>
      <c r="G309" s="658">
        <f ca="1">+IFERROR(G$5*GETPIVOTDATA("Unique Billed Hours",'County allocation'!$A$3,"County",$D295,"HHA/CDPAP","HHA","Level of Service",$D309),0)++IFERROR(J$5*GETPIVOTDATA("Unique Billed Hours",'County allocation'!$AC$3,"County",$D295,"HHA/CDPAP","HHA","Level of Service",$D309),0)</f>
        <v>0</v>
      </c>
      <c r="H309" s="658">
        <f>+IFERROR(H$5*GETPIVOTDATA("Unique Billed Hours",'County allocation'!$S$3,"County",$D295,"HHA/CDPAP","HHA","Level of Service",$D309),0)</f>
        <v>0</v>
      </c>
      <c r="I309" s="664">
        <f t="shared" ca="1" si="115"/>
        <v>0</v>
      </c>
      <c r="J309" s="901"/>
      <c r="K309" s="665">
        <f ca="1">+IFERROR(K$5*GETPIVOTDATA("Unique Billed Hours",'County allocation'!$X$3,"County",$D295,"HHA/CDPAP","HHA","Level of Service",$D309),0)</f>
        <v>0</v>
      </c>
      <c r="L309" s="665">
        <f ca="1">+IFERROR(L$5*GETPIVOTDATA("Unique Billed Hours",'County allocation'!$K$19,"County",$D295,"HHA/CDPAP","HHA","Level of Service",$D309),0)</f>
        <v>0</v>
      </c>
      <c r="M309" s="665">
        <f>+IFERROR(M$5*GETPIVOTDATA("Unique Billed Hours",'County allocation'!$S$3,"County",$D295,"HHA/CDPAP","HHA","Level of Service",$D309),0)</f>
        <v>0</v>
      </c>
      <c r="N309" s="665">
        <f>+IFERROR(N$5*GETPIVOTDATA("Unique Billed Hours",'County allocation'!$S$3,"County",$D295,"HHA/CDPAP","HHA","Level of Service",$D309),0)</f>
        <v>0</v>
      </c>
      <c r="O309" s="665">
        <f>+IFERROR(O$5*GETPIVOTDATA("Unique Billed Hours",'County allocation'!$S$3,"County",$D295,"HHA/CDPAP","HHA","Level of Service",$D309),0)</f>
        <v>0</v>
      </c>
      <c r="P309" s="665">
        <f>+IFERROR(P$5*GETPIVOTDATA("Unique Billed Hours",'County allocation'!$S$3,"County",$D295,"HHA/CDPAP","HHA","Level of Service",$D309),0)</f>
        <v>0</v>
      </c>
    </row>
    <row r="310" spans="1:18" s="54" customFormat="1" ht="15.75" hidden="1" thickBot="1" x14ac:dyDescent="0.3">
      <c r="A310" s="302"/>
      <c r="B310" s="309"/>
      <c r="C310" s="322">
        <f ca="1">C309</f>
        <v>0</v>
      </c>
      <c r="D310" s="52" t="s">
        <v>48</v>
      </c>
      <c r="E310" s="53" t="s">
        <v>79</v>
      </c>
      <c r="F310" s="657">
        <f t="shared" ca="1" si="114"/>
        <v>0</v>
      </c>
      <c r="G310" s="661">
        <f t="shared" ref="G310" ca="1" si="117">SUM(G306:G309)</f>
        <v>0</v>
      </c>
      <c r="H310" s="661">
        <f t="shared" ref="H310:P310" si="118">SUM(H306:H309)</f>
        <v>0</v>
      </c>
      <c r="I310" s="661">
        <f t="shared" ca="1" si="118"/>
        <v>0</v>
      </c>
      <c r="J310" s="661">
        <f t="shared" ca="1" si="118"/>
        <v>0</v>
      </c>
      <c r="K310" s="661">
        <f t="shared" ca="1" si="118"/>
        <v>0</v>
      </c>
      <c r="L310" s="661">
        <f t="shared" ca="1" si="118"/>
        <v>0</v>
      </c>
      <c r="M310" s="661">
        <f t="shared" si="118"/>
        <v>0</v>
      </c>
      <c r="N310" s="661">
        <f t="shared" si="118"/>
        <v>0</v>
      </c>
      <c r="O310" s="661">
        <f t="shared" si="118"/>
        <v>0</v>
      </c>
      <c r="P310" s="661">
        <f t="shared" si="118"/>
        <v>0</v>
      </c>
    </row>
    <row r="311" spans="1:18" s="54" customFormat="1" ht="15.75" hidden="1" thickBot="1" x14ac:dyDescent="0.3">
      <c r="A311" s="119"/>
      <c r="B311" s="309"/>
      <c r="C311" s="322"/>
      <c r="E311" s="55"/>
      <c r="F311" s="666"/>
      <c r="G311" s="666"/>
      <c r="H311" s="666"/>
      <c r="I311" s="666"/>
      <c r="J311" s="666"/>
      <c r="K311" s="666"/>
      <c r="L311" s="666"/>
      <c r="M311" s="666"/>
      <c r="N311" s="666"/>
      <c r="O311" s="666"/>
      <c r="P311" s="666"/>
    </row>
    <row r="312" spans="1:18" s="54" customFormat="1" ht="75.75" hidden="1" thickBot="1" x14ac:dyDescent="0.3">
      <c r="A312" s="119"/>
      <c r="B312" s="309"/>
      <c r="C312" s="322">
        <f ca="1">IF(F327&gt;0,1,0)</f>
        <v>0</v>
      </c>
      <c r="D312" s="45" t="str">
        <f>A21</f>
        <v>Fulton</v>
      </c>
      <c r="E312" s="28">
        <f>+SUMIF(A:A,D312,B:B)</f>
        <v>0</v>
      </c>
      <c r="F312" s="652" t="s">
        <v>61</v>
      </c>
      <c r="G312" s="652" t="s">
        <v>387</v>
      </c>
      <c r="H312" s="652" t="s">
        <v>388</v>
      </c>
      <c r="I312" s="652" t="s">
        <v>392</v>
      </c>
      <c r="J312" s="652" t="s">
        <v>31</v>
      </c>
      <c r="K312" s="652" t="s">
        <v>32</v>
      </c>
      <c r="L312" s="653" t="s">
        <v>33</v>
      </c>
      <c r="M312" s="653" t="s">
        <v>60</v>
      </c>
      <c r="N312" s="653" t="s">
        <v>59</v>
      </c>
      <c r="O312" s="653" t="s">
        <v>58</v>
      </c>
      <c r="P312" s="653" t="s">
        <v>16</v>
      </c>
    </row>
    <row r="313" spans="1:18" s="54" customFormat="1" ht="15.75" hidden="1" thickBot="1" x14ac:dyDescent="0.3">
      <c r="A313" s="119"/>
      <c r="B313" s="309"/>
      <c r="C313" s="322">
        <f ca="1">C312</f>
        <v>0</v>
      </c>
      <c r="D313" s="56"/>
      <c r="E313" s="57"/>
      <c r="F313" s="654" t="s">
        <v>57</v>
      </c>
      <c r="G313" s="654" t="s">
        <v>56</v>
      </c>
      <c r="H313" s="654" t="s">
        <v>55</v>
      </c>
      <c r="I313" s="654" t="s">
        <v>54</v>
      </c>
      <c r="J313" s="654" t="s">
        <v>53</v>
      </c>
      <c r="K313" s="654" t="s">
        <v>52</v>
      </c>
      <c r="L313" s="654" t="s">
        <v>51</v>
      </c>
      <c r="M313" s="654" t="s">
        <v>50</v>
      </c>
      <c r="N313" s="654" t="s">
        <v>49</v>
      </c>
      <c r="O313" s="654" t="s">
        <v>47</v>
      </c>
      <c r="P313" s="655" t="s">
        <v>77</v>
      </c>
    </row>
    <row r="314" spans="1:18" s="54" customFormat="1" ht="15.75" hidden="1" thickBot="1" x14ac:dyDescent="0.3">
      <c r="A314" s="119"/>
      <c r="B314" s="309"/>
      <c r="C314" s="322">
        <f t="shared" ref="C314:C326" ca="1" si="119">C313</f>
        <v>0</v>
      </c>
      <c r="D314" s="59" t="s">
        <v>26</v>
      </c>
      <c r="E314" s="57"/>
      <c r="F314" s="656"/>
      <c r="G314" s="656"/>
      <c r="H314" s="656"/>
      <c r="I314" s="656"/>
      <c r="J314" s="656"/>
      <c r="K314" s="656"/>
      <c r="L314" s="656"/>
      <c r="M314" s="656"/>
      <c r="N314" s="656"/>
      <c r="O314" s="656"/>
      <c r="P314" s="663"/>
    </row>
    <row r="315" spans="1:18" s="54" customFormat="1" ht="15.75" hidden="1" thickBot="1" x14ac:dyDescent="0.3">
      <c r="A315" s="119"/>
      <c r="B315" s="309"/>
      <c r="C315" s="322">
        <f t="shared" ca="1" si="119"/>
        <v>0</v>
      </c>
      <c r="D315" s="7" t="s">
        <v>34</v>
      </c>
      <c r="E315" s="48" t="s">
        <v>57</v>
      </c>
      <c r="F315" s="657">
        <f ca="1">+H315+G315+I315</f>
        <v>0</v>
      </c>
      <c r="G315" s="658">
        <f ca="1">+IFERROR(G$5*GETPIVOTDATA("Unique Billed Hours",'County allocation'!$A$3,"County",$D312,"HHA/CDPAP","HHA","Level of Service",$D315),0)</f>
        <v>0</v>
      </c>
      <c r="H315" s="658">
        <f>+IFERROR(H$5*GETPIVOTDATA("Unique Billed Hours",'County allocation'!$S$3,"County",$D312,"HHA/CDPAP","HHA","Level of Service",$D315),0)</f>
        <v>0</v>
      </c>
      <c r="I315" s="664">
        <f ca="1">SUM(J315:P315)</f>
        <v>0</v>
      </c>
      <c r="J315" s="658">
        <f ca="1">+IFERROR(J$5*GETPIVOTDATA("Unique Billed Hours",'County allocation'!$S$3,"County",$D312,"HHA/CDPAP","HHA","Level of Service",$D315),0)</f>
        <v>0</v>
      </c>
      <c r="K315" s="658">
        <f ca="1">+IFERROR(K$5*GETPIVOTDATA("Unique Billed Hours",'County allocation'!$X$3,"County",$D312,"HHA/CDPAP","HHA","Level of Service",$D315),0)</f>
        <v>0</v>
      </c>
      <c r="L315" s="658">
        <f ca="1">+IFERROR(L$2*GETPIVOTDATA("Unique Billed Hours",'County allocation'!$O$3,"County",$D312,"HHA/CDPAP","HHA","Level of Service",$D315),0)</f>
        <v>0</v>
      </c>
      <c r="M315" s="658">
        <f>+IFERROR(M$5*GETPIVOTDATA("Unique Billed Hours",'County allocation'!$S$3,"County",$D312,"HHA/CDPAP","HHA","Level of Service",$D315),0)</f>
        <v>0</v>
      </c>
      <c r="N315" s="658">
        <f>+IFERROR(N$5*GETPIVOTDATA("Unique Billed Hours",'County allocation'!$S$3,"County",$D312,"HHA/CDPAP","HHA","Level of Service",$D315),0)</f>
        <v>0</v>
      </c>
      <c r="O315" s="658">
        <f>+IFERROR(O$5*GETPIVOTDATA("Unique Billed Hours",'County allocation'!$K$19,"County",$D312,"HHA/CDPAP","HHA","Level of Service",$D315),0)</f>
        <v>0</v>
      </c>
      <c r="P315" s="658">
        <f>+IFERROR(P$5*GETPIVOTDATA("Unique Billed Hours",'County allocation'!$S$3,"County",$D312,"HHA/CDPAP","HHA","Level of Service",$D315),0)</f>
        <v>0</v>
      </c>
    </row>
    <row r="316" spans="1:18" s="54" customFormat="1" ht="15.75" hidden="1" thickBot="1" x14ac:dyDescent="0.3">
      <c r="A316" s="119"/>
      <c r="B316" s="309"/>
      <c r="C316" s="322">
        <f t="shared" ca="1" si="119"/>
        <v>0</v>
      </c>
      <c r="D316" s="7" t="s">
        <v>35</v>
      </c>
      <c r="E316" s="48" t="s">
        <v>56</v>
      </c>
      <c r="F316" s="657">
        <f t="shared" ref="F316:F327" ca="1" si="120">+H316+G316+I316</f>
        <v>0</v>
      </c>
      <c r="G316" s="658">
        <f ca="1">+IFERROR(G$5*GETPIVOTDATA("Unique Billed Hours",'County allocation'!$A$3,"County",$D312,"HHA/CDPAP","HHA","Level of Service",$D316),0)</f>
        <v>0</v>
      </c>
      <c r="H316" s="658">
        <f>+IFERROR(H$5*GETPIVOTDATA("Unique Billed Hours",'County allocation'!$S$3,"County",$D312,"HHA/CDPAP","HHA","Level of Service",$D316),0)</f>
        <v>0</v>
      </c>
      <c r="I316" s="664">
        <f t="shared" ref="I316:I326" ca="1" si="121">SUM(J316:P316)</f>
        <v>0</v>
      </c>
      <c r="J316" s="658">
        <f ca="1">+IFERROR(J$5*GETPIVOTDATA("Unique Billed Hours",'County allocation'!$S$3,"County",$D312,"HHA/CDPAP","HHA","Level of Service",$D316),0)</f>
        <v>0</v>
      </c>
      <c r="K316" s="658">
        <f ca="1">+IFERROR(K$5*GETPIVOTDATA("Unique Billed Hours",'County allocation'!$X$3,"County",$D312,"HHA/CDPAP","HHA","Level of Service",$D316),0)</f>
        <v>0</v>
      </c>
      <c r="L316" s="658">
        <f ca="1">+IFERROR(L$2*GETPIVOTDATA("Unique Billed Hours",'County allocation'!$O$3,"County",$D312,"HHA/CDPAP","HHA","Level of Service",$D316),0)</f>
        <v>0</v>
      </c>
      <c r="M316" s="658">
        <f>+IFERROR(M$5*GETPIVOTDATA("Unique Billed Hours",'County allocation'!$S$3,"County",$D312,"HHA/CDPAP","HHA","Level of Service",$D316),0)</f>
        <v>0</v>
      </c>
      <c r="N316" s="658">
        <f>+IFERROR(N$5*GETPIVOTDATA("Unique Billed Hours",'County allocation'!$S$3,"County",$D312,"HHA/CDPAP","HHA","Level of Service",$D316),0)</f>
        <v>0</v>
      </c>
      <c r="O316" s="658">
        <f>+IFERROR(O$5*GETPIVOTDATA("Unique Billed Hours",'County allocation'!$K$19,"County",$D312,"HHA/CDPAP","HHA","Level of Service",$D316),0)</f>
        <v>0</v>
      </c>
      <c r="P316" s="658">
        <f>+IFERROR(P$5*GETPIVOTDATA("Unique Billed Hours",'County allocation'!$S$3,"County",$D312,"HHA/CDPAP","HHA","Level of Service",$D316),0)</f>
        <v>0</v>
      </c>
      <c r="R316" s="61"/>
    </row>
    <row r="317" spans="1:18" s="54" customFormat="1" ht="15.75" hidden="1" thickBot="1" x14ac:dyDescent="0.3">
      <c r="A317" s="302"/>
      <c r="B317" s="309"/>
      <c r="C317" s="322">
        <f t="shared" ca="1" si="119"/>
        <v>0</v>
      </c>
      <c r="D317" s="7" t="s">
        <v>36</v>
      </c>
      <c r="E317" s="48" t="s">
        <v>55</v>
      </c>
      <c r="F317" s="657">
        <f t="shared" ca="1" si="120"/>
        <v>0</v>
      </c>
      <c r="G317" s="658">
        <f ca="1">+IFERROR(G$5*GETPIVOTDATA("Unique Billed Hours",'County allocation'!$A$3,"County",$D312,"HHA/CDPAP","HHA","Level of Service",$D317),0)</f>
        <v>0</v>
      </c>
      <c r="H317" s="658">
        <f>+IFERROR(H$5*GETPIVOTDATA("Unique Billed Hours",'County allocation'!$S$3,"County",$D312,"HHA/CDPAP","HHA","Level of Service",$D317),0)</f>
        <v>0</v>
      </c>
      <c r="I317" s="664">
        <f t="shared" ca="1" si="121"/>
        <v>0</v>
      </c>
      <c r="J317" s="658">
        <f ca="1">+IFERROR(J$5*GETPIVOTDATA("Unique Billed Hours",'County allocation'!$S$3,"County",$D312,"HHA/CDPAP","HHA","Level of Service",$D317),0)</f>
        <v>0</v>
      </c>
      <c r="K317" s="658">
        <f ca="1">+IFERROR(K$5*GETPIVOTDATA("Unique Billed Hours",'County allocation'!$X$3,"County",$D312,"HHA/CDPAP","HHA","Level of Service",$D317),0)</f>
        <v>0</v>
      </c>
      <c r="L317" s="658">
        <f ca="1">+IFERROR(L$2*GETPIVOTDATA("Unique Billed Hours",'County allocation'!$O$3,"County",$D312,"HHA/CDPAP","HHA","Level of Service",$D317),0)</f>
        <v>0</v>
      </c>
      <c r="M317" s="658">
        <f>+IFERROR(M$5*GETPIVOTDATA("Unique Billed Hours",'County allocation'!$S$3,"County",$D312,"HHA/CDPAP","HHA","Level of Service",$D317),0)</f>
        <v>0</v>
      </c>
      <c r="N317" s="658">
        <f>+IFERROR(N$5*GETPIVOTDATA("Unique Billed Hours",'County allocation'!$S$3,"County",$D312,"HHA/CDPAP","HHA","Level of Service",$D317),0)</f>
        <v>0</v>
      </c>
      <c r="O317" s="658">
        <f>+IFERROR(O$5*GETPIVOTDATA("Unique Billed Hours",'County allocation'!$K$19,"County",$D312,"HHA/CDPAP","HHA","Level of Service",$D317),0)</f>
        <v>0</v>
      </c>
      <c r="P317" s="658">
        <f>+IFERROR(P$5*GETPIVOTDATA("Unique Billed Hours",'County allocation'!$S$3,"County",$D312,"HHA/CDPAP","HHA","Level of Service",$D317),0)</f>
        <v>0</v>
      </c>
    </row>
    <row r="318" spans="1:18" s="54" customFormat="1" ht="15.75" hidden="1" thickBot="1" x14ac:dyDescent="0.3">
      <c r="A318" s="119"/>
      <c r="B318" s="309"/>
      <c r="C318" s="322">
        <f t="shared" ca="1" si="119"/>
        <v>0</v>
      </c>
      <c r="D318" s="7" t="s">
        <v>37</v>
      </c>
      <c r="E318" s="48" t="s">
        <v>54</v>
      </c>
      <c r="F318" s="657">
        <f t="shared" ca="1" si="120"/>
        <v>0</v>
      </c>
      <c r="G318" s="658">
        <f ca="1">+IFERROR(G$5*GETPIVOTDATA("Unique Billed Hours",'County allocation'!$A$3,"County",$D312,"HHA/CDPAP","HHA","Level of Service",$D318),0)</f>
        <v>0</v>
      </c>
      <c r="H318" s="658">
        <f>+IFERROR(H$5*GETPIVOTDATA("Unique Billed Hours",'County allocation'!$S$3,"County",$D312,"HHA/CDPAP","HHA","Level of Service",$D318),0)</f>
        <v>0</v>
      </c>
      <c r="I318" s="664">
        <f t="shared" ca="1" si="121"/>
        <v>0</v>
      </c>
      <c r="J318" s="658">
        <f ca="1">+IFERROR(J$5*GETPIVOTDATA("Unique Billed Hours",'County allocation'!$S$3,"County",$D312,"HHA/CDPAP","HHA","Level of Service",$D318),0)</f>
        <v>0</v>
      </c>
      <c r="K318" s="658">
        <f ca="1">+IFERROR(K$5*GETPIVOTDATA("Unique Billed Hours",'County allocation'!$X$3,"County",$D312,"HHA/CDPAP","HHA","Level of Service",$D318),0)</f>
        <v>0</v>
      </c>
      <c r="L318" s="658">
        <f ca="1">+IFERROR(L$2*GETPIVOTDATA("Unique Billed Hours",'County allocation'!$O$3,"County",$D312,"HHA/CDPAP","HHA","Level of Service",$D318),0)</f>
        <v>0</v>
      </c>
      <c r="M318" s="658">
        <f>+IFERROR(M$5*GETPIVOTDATA("Unique Billed Hours",'County allocation'!$S$3,"County",$D312,"HHA/CDPAP","HHA","Level of Service",$D318),0)</f>
        <v>0</v>
      </c>
      <c r="N318" s="658">
        <f>+IFERROR(N$5*GETPIVOTDATA("Unique Billed Hours",'County allocation'!$S$3,"County",$D312,"HHA/CDPAP","HHA","Level of Service",$D318),0)</f>
        <v>0</v>
      </c>
      <c r="O318" s="658">
        <f>+IFERROR(O$5*GETPIVOTDATA("Unique Billed Hours",'County allocation'!$K$19,"County",$D312,"HHA/CDPAP","HHA","Level of Service",$D318),0)</f>
        <v>0</v>
      </c>
      <c r="P318" s="658">
        <f>+IFERROR(P$5*GETPIVOTDATA("Unique Billed Hours",'County allocation'!$S$3,"County",$D312,"HHA/CDPAP","HHA","Level of Service",$D318),0)</f>
        <v>0</v>
      </c>
    </row>
    <row r="319" spans="1:18" s="54" customFormat="1" ht="15.75" hidden="1" thickBot="1" x14ac:dyDescent="0.3">
      <c r="A319" s="119"/>
      <c r="B319" s="309"/>
      <c r="C319" s="322">
        <f t="shared" ca="1" si="119"/>
        <v>0</v>
      </c>
      <c r="D319" s="7" t="s">
        <v>38</v>
      </c>
      <c r="E319" s="48" t="s">
        <v>53</v>
      </c>
      <c r="F319" s="657">
        <f t="shared" ca="1" si="120"/>
        <v>0</v>
      </c>
      <c r="G319" s="658">
        <f ca="1">+IFERROR(G$5*GETPIVOTDATA("Unique Billed Hours",'County allocation'!$A$3,"County",$D312,"HHA/CDPAP","HHA","Level of Service",$D319),0)</f>
        <v>0</v>
      </c>
      <c r="H319" s="658">
        <f>+IFERROR(H$5*GETPIVOTDATA("Unique Billed Hours",'County allocation'!$S$3,"County",$D312,"HHA/CDPAP","HHA","Level of Service",$D319),0)</f>
        <v>0</v>
      </c>
      <c r="I319" s="664">
        <f t="shared" ca="1" si="121"/>
        <v>0</v>
      </c>
      <c r="J319" s="658">
        <f ca="1">+IFERROR(J$5*GETPIVOTDATA("Unique Billed Hours",'County allocation'!$S$3,"County",$D312,"HHA/CDPAP","HHA","Level of Service",$D319),0)</f>
        <v>0</v>
      </c>
      <c r="K319" s="658">
        <f ca="1">+IFERROR(K$5*GETPIVOTDATA("Unique Billed Hours",'County allocation'!$X$3,"County",$D312,"HHA/CDPAP","HHA","Level of Service",$D319),0)</f>
        <v>0</v>
      </c>
      <c r="L319" s="658">
        <f ca="1">+IFERROR(L$5*GETPIVOTDATA("Unique Billed Hours",'County allocation'!$K$19,"County",$D312,"HHA/CDPAP","HHA","Level of Service",$D319),0)</f>
        <v>0</v>
      </c>
      <c r="M319" s="658">
        <f>+IFERROR(M$5*GETPIVOTDATA("Unique Billed Hours",'County allocation'!$S$3,"County",$D312,"HHA/CDPAP","HHA","Level of Service",$D319),0)</f>
        <v>0</v>
      </c>
      <c r="N319" s="658">
        <f>+IFERROR(N$5*GETPIVOTDATA("Unique Billed Hours",'County allocation'!$S$3,"County",$D312,"HHA/CDPAP","HHA","Level of Service",$D319),0)</f>
        <v>0</v>
      </c>
      <c r="O319" s="658">
        <f>+IFERROR(O$5*GETPIVOTDATA("Unique Billed Hours",'County allocation'!$K$19,"County",$D312,"HHA/CDPAP","HHA","Level of Service",$D319),0)</f>
        <v>0</v>
      </c>
      <c r="P319" s="658">
        <f>+IFERROR(P$5*GETPIVOTDATA("Unique Billed Hours",'County allocation'!$S$3,"County",$D312,"HHA/CDPAP","HHA","Level of Service",$D319),0)</f>
        <v>0</v>
      </c>
    </row>
    <row r="320" spans="1:18" s="54" customFormat="1" ht="15.75" hidden="1" thickBot="1" x14ac:dyDescent="0.3">
      <c r="A320" s="119"/>
      <c r="B320" s="309"/>
      <c r="C320" s="322">
        <f t="shared" ca="1" si="119"/>
        <v>0</v>
      </c>
      <c r="D320" s="7" t="s">
        <v>39</v>
      </c>
      <c r="E320" s="48" t="s">
        <v>52</v>
      </c>
      <c r="F320" s="657">
        <f t="shared" ca="1" si="120"/>
        <v>0</v>
      </c>
      <c r="G320" s="658">
        <f ca="1">+IFERROR(G$5*GETPIVOTDATA("Unique Billed Hours",'County allocation'!$A$3,"County",$D312,"HHA/CDPAP","HHA","Level of Service",$D320),0)</f>
        <v>0</v>
      </c>
      <c r="H320" s="658">
        <f>+IFERROR(H$5*GETPIVOTDATA("Unique Billed Hours",'County allocation'!$S$3,"County",$D312,"HHA/CDPAP","HHA","Level of Service",$D320),0)</f>
        <v>0</v>
      </c>
      <c r="I320" s="664">
        <f t="shared" ca="1" si="121"/>
        <v>0</v>
      </c>
      <c r="J320" s="658">
        <f ca="1">+IFERROR(J$5*GETPIVOTDATA("Unique Billed Hours",'County allocation'!$S$3,"County",$D312,"HHA/CDPAP","HHA","Level of Service",$D320),0)</f>
        <v>0</v>
      </c>
      <c r="K320" s="658">
        <f ca="1">+IFERROR(K$5*GETPIVOTDATA("Unique Billed Hours",'County allocation'!$X$3,"County",$D312,"HHA/CDPAP","HHA","Level of Service",$D320),0)</f>
        <v>0</v>
      </c>
      <c r="L320" s="658">
        <f ca="1">+IFERROR(L$5*GETPIVOTDATA("Unique Billed Hours",'County allocation'!$K$19,"County",$D312,"HHA/CDPAP","HHA","Level of Service",$D320),0)</f>
        <v>0</v>
      </c>
      <c r="M320" s="658">
        <f>+IFERROR(M$5*GETPIVOTDATA("Unique Billed Hours",'County allocation'!$S$3,"County",$D312,"HHA/CDPAP","HHA","Level of Service",$D320),0)</f>
        <v>0</v>
      </c>
      <c r="N320" s="658">
        <f>+IFERROR(N$5*GETPIVOTDATA("Unique Billed Hours",'County allocation'!$S$3,"County",$D312,"HHA/CDPAP","HHA","Level of Service",$D320),0)</f>
        <v>0</v>
      </c>
      <c r="O320" s="658">
        <f>+IFERROR(O$5*GETPIVOTDATA("Unique Billed Hours",'County allocation'!$K$19,"County",$D312,"HHA/CDPAP","HHA","Level of Service",$D320),0)</f>
        <v>0</v>
      </c>
      <c r="P320" s="658">
        <f>+IFERROR(P$5*GETPIVOTDATA("Unique Billed Hours",'County allocation'!$S$3,"County",$D312,"HHA/CDPAP","HHA","Level of Service",$D320),0)</f>
        <v>0</v>
      </c>
    </row>
    <row r="321" spans="1:18" s="54" customFormat="1" ht="15.75" hidden="1" thickBot="1" x14ac:dyDescent="0.3">
      <c r="A321" s="119"/>
      <c r="B321" s="309"/>
      <c r="C321" s="322">
        <f t="shared" ca="1" si="119"/>
        <v>0</v>
      </c>
      <c r="D321" s="8" t="s">
        <v>40</v>
      </c>
      <c r="E321" s="48" t="s">
        <v>51</v>
      </c>
      <c r="F321" s="657">
        <f t="shared" ca="1" si="120"/>
        <v>0</v>
      </c>
      <c r="G321" s="658">
        <f ca="1">+IFERROR(G$5*GETPIVOTDATA("Unique Billed Hours",'County allocation'!$A$3,"County",$D312,"HHA/CDPAP","HHA","Level of Service",$D321),0)</f>
        <v>0</v>
      </c>
      <c r="H321" s="658">
        <f>+IFERROR(H$5*GETPIVOTDATA("Unique Billed Hours",'County allocation'!$S$3,"County",$D312,"HHA/CDPAP","HHA","Level of Service",$D321),0)</f>
        <v>0</v>
      </c>
      <c r="I321" s="664">
        <f t="shared" ca="1" si="121"/>
        <v>0</v>
      </c>
      <c r="J321" s="658">
        <f ca="1">+IFERROR(J$5*GETPIVOTDATA("Unique Billed Hours",'County allocation'!$S$3,"County",$D312,"HHA/CDPAP","HHA","Level of Service",$D321),0)</f>
        <v>0</v>
      </c>
      <c r="K321" s="658">
        <f ca="1">+IFERROR(K$5*GETPIVOTDATA("Unique Billed Hours",'County allocation'!$X$3,"County",$D312,"HHA/CDPAP","HHA","Level of Service",$D321),0)</f>
        <v>0</v>
      </c>
      <c r="L321" s="658">
        <f ca="1">+IFERROR(L$2*GETPIVOTDATA("Unique Billed Hours",'County allocation'!$O$3,"County",$D312,"HHA/CDPAP","HHA","Level of Service",$D321),0)</f>
        <v>0</v>
      </c>
      <c r="M321" s="658">
        <f>+IFERROR(M$5*GETPIVOTDATA("Unique Billed Hours",'County allocation'!$S$3,"County",$D312,"HHA/CDPAP","HHA","Level of Service",$D321),0)</f>
        <v>0</v>
      </c>
      <c r="N321" s="658">
        <f>+IFERROR(N$5*GETPIVOTDATA("Unique Billed Hours",'County allocation'!$S$3,"County",$D312,"HHA/CDPAP","HHA","Level of Service",$D321),0)</f>
        <v>0</v>
      </c>
      <c r="O321" s="658">
        <f>+IFERROR(O$5*GETPIVOTDATA("Unique Billed Hours",'County allocation'!$K$19,"County",$D312,"HHA/CDPAP","HHA","Level of Service",$D321),0)</f>
        <v>0</v>
      </c>
      <c r="P321" s="658">
        <f>+IFERROR(P$5*GETPIVOTDATA("Unique Billed Hours",'County allocation'!$S$3,"County",$D312,"HHA/CDPAP","HHA","Level of Service",$D321),0)</f>
        <v>0</v>
      </c>
    </row>
    <row r="322" spans="1:18" s="54" customFormat="1" ht="15.75" hidden="1" thickBot="1" x14ac:dyDescent="0.3">
      <c r="A322" s="119"/>
      <c r="B322" s="309"/>
      <c r="C322" s="322">
        <f t="shared" ca="1" si="119"/>
        <v>0</v>
      </c>
      <c r="D322" s="8" t="s">
        <v>41</v>
      </c>
      <c r="E322" s="48" t="s">
        <v>50</v>
      </c>
      <c r="F322" s="657">
        <f t="shared" ca="1" si="120"/>
        <v>0</v>
      </c>
      <c r="G322" s="658">
        <f ca="1">+IFERROR(G$5*GETPIVOTDATA("Unique Billed Hours",'County allocation'!$A$3,"County",$D312,"HHA/CDPAP","HHA","Level of Service",$D322),0)</f>
        <v>0</v>
      </c>
      <c r="H322" s="658">
        <f>+IFERROR(H$5*GETPIVOTDATA("Unique Billed Hours",'County allocation'!$S$3,"County",$D312,"HHA/CDPAP","HHA","Level of Service",$D322),0)</f>
        <v>0</v>
      </c>
      <c r="I322" s="664">
        <f t="shared" ca="1" si="121"/>
        <v>0</v>
      </c>
      <c r="J322" s="658">
        <f ca="1">+IFERROR(J$5*GETPIVOTDATA("Unique Billed Hours",'County allocation'!$S$3,"County",$D312,"HHA/CDPAP","HHA","Level of Service",$D322),0)</f>
        <v>0</v>
      </c>
      <c r="K322" s="658">
        <f ca="1">+IFERROR(K$5*GETPIVOTDATA("Unique Billed Hours",'County allocation'!$X$3,"County",$D312,"HHA/CDPAP","HHA","Level of Service",$D322),0)</f>
        <v>0</v>
      </c>
      <c r="L322" s="658">
        <f ca="1">+IFERROR(L$2*GETPIVOTDATA("Unique Billed Hours",'County allocation'!$O$3,"County",$D312,"HHA/CDPAP","HHA","Level of Service",$D322),0)</f>
        <v>0</v>
      </c>
      <c r="M322" s="658">
        <f>+IFERROR(M$5*GETPIVOTDATA("Unique Billed Hours",'County allocation'!$S$3,"County",$D312,"HHA/CDPAP","HHA","Level of Service",$D322),0)</f>
        <v>0</v>
      </c>
      <c r="N322" s="658">
        <f>+IFERROR(N$5*GETPIVOTDATA("Unique Billed Hours",'County allocation'!$S$3,"County",$D312,"HHA/CDPAP","HHA","Level of Service",$D322),0)</f>
        <v>0</v>
      </c>
      <c r="O322" s="658">
        <f>+IFERROR(O$5*GETPIVOTDATA("Unique Billed Hours",'County allocation'!$K$19,"County",$D312,"HHA/CDPAP","HHA","Level of Service",$D322),0)</f>
        <v>0</v>
      </c>
      <c r="P322" s="658">
        <f>+IFERROR(P$5*GETPIVOTDATA("Unique Billed Hours",'County allocation'!$S$3,"County",$D312,"HHA/CDPAP","HHA","Level of Service",$D322),0)</f>
        <v>0</v>
      </c>
    </row>
    <row r="323" spans="1:18" s="54" customFormat="1" ht="15.75" hidden="1" thickBot="1" x14ac:dyDescent="0.3">
      <c r="A323" s="119"/>
      <c r="B323" s="309"/>
      <c r="C323" s="322">
        <f t="shared" ca="1" si="119"/>
        <v>0</v>
      </c>
      <c r="D323" s="52" t="s">
        <v>389</v>
      </c>
      <c r="E323" s="53" t="s">
        <v>49</v>
      </c>
      <c r="F323" s="657">
        <f t="shared" ca="1" si="120"/>
        <v>0</v>
      </c>
      <c r="G323" s="661">
        <f ca="1">SUM(G315:G322)</f>
        <v>0</v>
      </c>
      <c r="H323" s="661">
        <f>SUM(H315:H322)</f>
        <v>0</v>
      </c>
      <c r="I323" s="664">
        <f t="shared" ca="1" si="121"/>
        <v>0</v>
      </c>
      <c r="J323" s="661">
        <f ca="1">SUM(J315:J322)</f>
        <v>0</v>
      </c>
      <c r="K323" s="661">
        <f t="shared" ref="K323:P323" ca="1" si="122">SUM(K315:K322)</f>
        <v>0</v>
      </c>
      <c r="L323" s="661">
        <f t="shared" ca="1" si="122"/>
        <v>0</v>
      </c>
      <c r="M323" s="661">
        <f t="shared" si="122"/>
        <v>0</v>
      </c>
      <c r="N323" s="661">
        <f t="shared" si="122"/>
        <v>0</v>
      </c>
      <c r="O323" s="661">
        <f t="shared" si="122"/>
        <v>0</v>
      </c>
      <c r="P323" s="661">
        <f t="shared" si="122"/>
        <v>0</v>
      </c>
    </row>
    <row r="324" spans="1:18" s="54" customFormat="1" ht="15.75" hidden="1" thickBot="1" x14ac:dyDescent="0.3">
      <c r="A324" s="119"/>
      <c r="B324" s="309"/>
      <c r="C324" s="322">
        <f t="shared" ca="1" si="119"/>
        <v>0</v>
      </c>
      <c r="D324" s="371" t="s">
        <v>390</v>
      </c>
      <c r="E324" s="325" t="s">
        <v>47</v>
      </c>
      <c r="F324" s="657">
        <f t="shared" ca="1" si="120"/>
        <v>0</v>
      </c>
      <c r="G324" s="665">
        <f ca="1">+IFERROR((G$5*GETPIVOTDATA("Unique Billed Hours",'County allocation'!$A$3,"County",$D312,"HHA/CDPAP","HHA","Level of Service",$D324))+($G$2*GETPIVOTDATA("Unique Billed Hours",'County allocation'!$F$7,"County",$D312,"HHA/CDPAP","HHA","Level of Service",$D324)),0)++IFERROR(J$5*GETPIVOTDATA("Unique Billed Hours",'County allocation'!$AC$3,"County",$D312,"HHA/CDPAP","HHA","Level of Service",$D324),0)+ +IFERROR(J$5*GETPIVOTDATA("Unique Billed Hours",'County allocation'!$AC$3,"County",$D312,"HHA/CDPAP","HHA","Level of Service",$D325),0)</f>
        <v>0</v>
      </c>
      <c r="H324" s="665">
        <f>+IFERROR(H$5*GETPIVOTDATA("Unique Billed Hours",'County allocation'!$S$3,"County",$D312,"HHA/CDPAP","HHA","Level of Service",$D324),0)</f>
        <v>0</v>
      </c>
      <c r="I324" s="664">
        <f t="shared" ca="1" si="121"/>
        <v>0</v>
      </c>
      <c r="J324" s="901"/>
      <c r="K324" s="665">
        <f ca="1">+IFERROR(K$5*GETPIVOTDATA("Unique Billed Hours",'County allocation'!$X$3,"County",$D312,"HHA/CDPAP","HHA","Level of Service",$D324),0)</f>
        <v>0</v>
      </c>
      <c r="L324" s="665">
        <f ca="1">+IFERROR(L$5*GETPIVOTDATA("Unique Billed Hours",'County allocation'!$K$19,"County",$D312,"HHA/CDPAP","HHA","Level of Service",$D324),0)</f>
        <v>0</v>
      </c>
      <c r="M324" s="665">
        <f>+IFERROR(M$5*GETPIVOTDATA("Unique Billed Hours",'County allocation'!$S$3,"County",$D312,"HHA/CDPAP","HHA","Level of Service",$D324),0)</f>
        <v>0</v>
      </c>
      <c r="N324" s="665">
        <f>+IFERROR(N$5*GETPIVOTDATA("Unique Billed Hours",'County allocation'!$S$3,"County",$D312,"HHA/CDPAP","HHA","Level of Service",$D324),0)</f>
        <v>0</v>
      </c>
      <c r="O324" s="665">
        <f>+IFERROR(O$5*GETPIVOTDATA("Unique Billed Hours",'County allocation'!$S$3,"County",$D312,"HHA/CDPAP","HHA","Level of Service",$D324),0)</f>
        <v>0</v>
      </c>
      <c r="P324" s="665">
        <f>+IFERROR(P$5*GETPIVOTDATA("Unique Billed Hours",'County allocation'!$S$3,"County",$D312,"HHA/CDPAP","HHA","Level of Service",$D324),0)</f>
        <v>0</v>
      </c>
    </row>
    <row r="325" spans="1:18" s="54" customFormat="1" ht="15.75" hidden="1" thickBot="1" x14ac:dyDescent="0.3">
      <c r="A325" s="119"/>
      <c r="B325" s="309"/>
      <c r="C325" s="322">
        <f t="shared" ca="1" si="119"/>
        <v>0</v>
      </c>
      <c r="D325" s="8" t="s">
        <v>391</v>
      </c>
      <c r="E325" s="370" t="s">
        <v>77</v>
      </c>
      <c r="F325" s="657">
        <f t="shared" ca="1" si="120"/>
        <v>0</v>
      </c>
      <c r="G325" s="656"/>
      <c r="H325" s="658">
        <f>+IFERROR(H$5*GETPIVOTDATA("Unique Billed Hours",'County allocation'!$S$3,"County",$D312,"HHA/CDPAP","HHA","Level of Service",$D325),0)</f>
        <v>0</v>
      </c>
      <c r="I325" s="664">
        <f t="shared" ca="1" si="121"/>
        <v>0</v>
      </c>
      <c r="J325" s="901"/>
      <c r="K325" s="665">
        <f ca="1">+IFERROR(K$5*GETPIVOTDATA("Unique Billed Hours",'County allocation'!$X$3,"County",$D312,"HHA/CDPAP","HHA","Level of Service",$D325),0)</f>
        <v>0</v>
      </c>
      <c r="L325" s="665">
        <f ca="1">+IFERROR(L$5*GETPIVOTDATA("Unique Billed Hours",'County allocation'!$K$19,"County",$D312,"HHA/CDPAP","HHA","Level of Service",$D325),0)</f>
        <v>0</v>
      </c>
      <c r="M325" s="665">
        <f>+IFERROR(M$5*GETPIVOTDATA("Unique Billed Hours",'County allocation'!$S$3,"County",$D312,"HHA/CDPAP","HHA","Level of Service",$D325),0)</f>
        <v>0</v>
      </c>
      <c r="N325" s="665">
        <f>+IFERROR(N$5*GETPIVOTDATA("Unique Billed Hours",'County allocation'!$S$3,"County",$D312,"HHA/CDPAP","HHA","Level of Service",$D325),0)</f>
        <v>0</v>
      </c>
      <c r="O325" s="665">
        <f>+IFERROR(O$5*GETPIVOTDATA("Unique Billed Hours",'County allocation'!$S$3,"County",$D312,"HHA/CDPAP","HHA","Level of Service",$D325),0)</f>
        <v>0</v>
      </c>
      <c r="P325" s="665">
        <f>+IFERROR(P$5*GETPIVOTDATA("Unique Billed Hours",'County allocation'!$S$3,"County",$D312,"HHA/CDPAP","HHA","Level of Service",$D325),0)</f>
        <v>0</v>
      </c>
    </row>
    <row r="326" spans="1:18" s="54" customFormat="1" ht="15.75" hidden="1" thickBot="1" x14ac:dyDescent="0.3">
      <c r="A326" s="119"/>
      <c r="B326" s="309"/>
      <c r="C326" s="322">
        <f t="shared" ca="1" si="119"/>
        <v>0</v>
      </c>
      <c r="D326" s="8" t="s">
        <v>374</v>
      </c>
      <c r="E326" s="370" t="s">
        <v>78</v>
      </c>
      <c r="F326" s="657">
        <f t="shared" ca="1" si="120"/>
        <v>0</v>
      </c>
      <c r="G326" s="658">
        <f ca="1">+IFERROR(G$5*GETPIVOTDATA("Unique Billed Hours",'County allocation'!$A$3,"County",$D312,"HHA/CDPAP","HHA","Level of Service",$D326),0)++IFERROR(J$5*GETPIVOTDATA("Unique Billed Hours",'County allocation'!$AC$3,"County",$D312,"HHA/CDPAP","HHA","Level of Service",$D326),0)</f>
        <v>0</v>
      </c>
      <c r="H326" s="658">
        <f>+IFERROR(H$5*GETPIVOTDATA("Unique Billed Hours",'County allocation'!$S$3,"County",$D312,"HHA/CDPAP","HHA","Level of Service",$D326),0)</f>
        <v>0</v>
      </c>
      <c r="I326" s="664">
        <f t="shared" ca="1" si="121"/>
        <v>0</v>
      </c>
      <c r="J326" s="901"/>
      <c r="K326" s="665">
        <f ca="1">+IFERROR(K$5*GETPIVOTDATA("Unique Billed Hours",'County allocation'!$X$3,"County",$D312,"HHA/CDPAP","HHA","Level of Service",$D326),0)</f>
        <v>0</v>
      </c>
      <c r="L326" s="665">
        <f ca="1">+IFERROR(L$5*GETPIVOTDATA("Unique Billed Hours",'County allocation'!$K$19,"County",$D312,"HHA/CDPAP","HHA","Level of Service",$D326),0)</f>
        <v>0</v>
      </c>
      <c r="M326" s="665">
        <f>+IFERROR(M$5*GETPIVOTDATA("Unique Billed Hours",'County allocation'!$S$3,"County",$D312,"HHA/CDPAP","HHA","Level of Service",$D326),0)</f>
        <v>0</v>
      </c>
      <c r="N326" s="665">
        <f>+IFERROR(N$5*GETPIVOTDATA("Unique Billed Hours",'County allocation'!$S$3,"County",$D312,"HHA/CDPAP","HHA","Level of Service",$D326),0)</f>
        <v>0</v>
      </c>
      <c r="O326" s="665">
        <f>+IFERROR(O$5*GETPIVOTDATA("Unique Billed Hours",'County allocation'!$S$3,"County",$D312,"HHA/CDPAP","HHA","Level of Service",$D326),0)</f>
        <v>0</v>
      </c>
      <c r="P326" s="665">
        <f>+IFERROR(P$5*GETPIVOTDATA("Unique Billed Hours",'County allocation'!$S$3,"County",$D312,"HHA/CDPAP","HHA","Level of Service",$D326),0)</f>
        <v>0</v>
      </c>
    </row>
    <row r="327" spans="1:18" s="54" customFormat="1" ht="15.75" hidden="1" thickBot="1" x14ac:dyDescent="0.3">
      <c r="A327" s="302"/>
      <c r="B327" s="309"/>
      <c r="C327" s="322">
        <f ca="1">C326</f>
        <v>0</v>
      </c>
      <c r="D327" s="52" t="s">
        <v>48</v>
      </c>
      <c r="E327" s="53" t="s">
        <v>79</v>
      </c>
      <c r="F327" s="657">
        <f t="shared" ca="1" si="120"/>
        <v>0</v>
      </c>
      <c r="G327" s="661">
        <f t="shared" ref="G327" ca="1" si="123">SUM(G323:G326)</f>
        <v>0</v>
      </c>
      <c r="H327" s="661">
        <f t="shared" ref="H327:P327" si="124">SUM(H323:H326)</f>
        <v>0</v>
      </c>
      <c r="I327" s="661">
        <f t="shared" ca="1" si="124"/>
        <v>0</v>
      </c>
      <c r="J327" s="661">
        <f t="shared" ca="1" si="124"/>
        <v>0</v>
      </c>
      <c r="K327" s="661">
        <f t="shared" ca="1" si="124"/>
        <v>0</v>
      </c>
      <c r="L327" s="661">
        <f t="shared" ca="1" si="124"/>
        <v>0</v>
      </c>
      <c r="M327" s="661">
        <f t="shared" si="124"/>
        <v>0</v>
      </c>
      <c r="N327" s="661">
        <f t="shared" si="124"/>
        <v>0</v>
      </c>
      <c r="O327" s="661">
        <f t="shared" si="124"/>
        <v>0</v>
      </c>
      <c r="P327" s="661">
        <f t="shared" si="124"/>
        <v>0</v>
      </c>
    </row>
    <row r="328" spans="1:18" s="54" customFormat="1" ht="15.75" hidden="1" thickBot="1" x14ac:dyDescent="0.3">
      <c r="A328" s="119"/>
      <c r="B328" s="309"/>
      <c r="C328" s="322"/>
      <c r="E328" s="55"/>
      <c r="F328" s="666"/>
      <c r="G328" s="666"/>
      <c r="H328" s="666"/>
      <c r="I328" s="666"/>
      <c r="J328" s="666"/>
      <c r="K328" s="666"/>
      <c r="L328" s="666"/>
      <c r="M328" s="666"/>
      <c r="N328" s="666"/>
      <c r="O328" s="666"/>
      <c r="P328" s="666"/>
    </row>
    <row r="329" spans="1:18" s="54" customFormat="1" ht="75.75" hidden="1" thickBot="1" x14ac:dyDescent="0.3">
      <c r="A329" s="119"/>
      <c r="B329" s="309"/>
      <c r="C329" s="322">
        <f ca="1">IF(F344&gt;0,1,0)</f>
        <v>0</v>
      </c>
      <c r="D329" s="45" t="str">
        <f>A22</f>
        <v>Genesee</v>
      </c>
      <c r="E329" s="28">
        <f>+SUMIF(A:A,D329,B:B)</f>
        <v>0</v>
      </c>
      <c r="F329" s="652" t="s">
        <v>61</v>
      </c>
      <c r="G329" s="652" t="s">
        <v>387</v>
      </c>
      <c r="H329" s="652" t="s">
        <v>388</v>
      </c>
      <c r="I329" s="652" t="s">
        <v>392</v>
      </c>
      <c r="J329" s="652" t="s">
        <v>31</v>
      </c>
      <c r="K329" s="652" t="s">
        <v>32</v>
      </c>
      <c r="L329" s="653" t="s">
        <v>33</v>
      </c>
      <c r="M329" s="653" t="s">
        <v>60</v>
      </c>
      <c r="N329" s="653" t="s">
        <v>59</v>
      </c>
      <c r="O329" s="653" t="s">
        <v>58</v>
      </c>
      <c r="P329" s="653" t="s">
        <v>16</v>
      </c>
    </row>
    <row r="330" spans="1:18" s="54" customFormat="1" ht="15.75" hidden="1" thickBot="1" x14ac:dyDescent="0.3">
      <c r="A330" s="119"/>
      <c r="B330" s="309"/>
      <c r="C330" s="322">
        <f ca="1">C329</f>
        <v>0</v>
      </c>
      <c r="D330" s="56"/>
      <c r="E330" s="57"/>
      <c r="F330" s="654" t="s">
        <v>57</v>
      </c>
      <c r="G330" s="654" t="s">
        <v>56</v>
      </c>
      <c r="H330" s="654" t="s">
        <v>55</v>
      </c>
      <c r="I330" s="654" t="s">
        <v>54</v>
      </c>
      <c r="J330" s="654" t="s">
        <v>53</v>
      </c>
      <c r="K330" s="654" t="s">
        <v>52</v>
      </c>
      <c r="L330" s="654" t="s">
        <v>51</v>
      </c>
      <c r="M330" s="654" t="s">
        <v>50</v>
      </c>
      <c r="N330" s="654" t="s">
        <v>49</v>
      </c>
      <c r="O330" s="654" t="s">
        <v>47</v>
      </c>
      <c r="P330" s="655" t="s">
        <v>77</v>
      </c>
    </row>
    <row r="331" spans="1:18" s="54" customFormat="1" ht="15.75" hidden="1" thickBot="1" x14ac:dyDescent="0.3">
      <c r="A331" s="119"/>
      <c r="B331" s="309"/>
      <c r="C331" s="322">
        <f t="shared" ref="C331:C343" ca="1" si="125">C330</f>
        <v>0</v>
      </c>
      <c r="D331" s="59" t="s">
        <v>26</v>
      </c>
      <c r="E331" s="57"/>
      <c r="F331" s="656"/>
      <c r="G331" s="656"/>
      <c r="H331" s="656"/>
      <c r="I331" s="656"/>
      <c r="J331" s="656"/>
      <c r="K331" s="656"/>
      <c r="L331" s="656"/>
      <c r="M331" s="656"/>
      <c r="N331" s="656"/>
      <c r="O331" s="656"/>
      <c r="P331" s="663"/>
    </row>
    <row r="332" spans="1:18" s="54" customFormat="1" ht="15.75" hidden="1" thickBot="1" x14ac:dyDescent="0.3">
      <c r="A332" s="119"/>
      <c r="B332" s="309"/>
      <c r="C332" s="322">
        <f t="shared" ca="1" si="125"/>
        <v>0</v>
      </c>
      <c r="D332" s="7" t="s">
        <v>34</v>
      </c>
      <c r="E332" s="48" t="s">
        <v>57</v>
      </c>
      <c r="F332" s="657">
        <f ca="1">+H332+G332+I332</f>
        <v>0</v>
      </c>
      <c r="G332" s="658">
        <f ca="1">+IFERROR(G$5*GETPIVOTDATA("Unique Billed Hours",'County allocation'!$A$3,"County",$D329,"HHA/CDPAP","HHA","Level of Service",$D332),0)</f>
        <v>0</v>
      </c>
      <c r="H332" s="658">
        <f>+IFERROR(H$5*GETPIVOTDATA("Unique Billed Hours",'County allocation'!$S$3,"County",$D329,"HHA/CDPAP","HHA","Level of Service",$D332),0)</f>
        <v>0</v>
      </c>
      <c r="I332" s="664">
        <f ca="1">SUM(J332:P332)</f>
        <v>0</v>
      </c>
      <c r="J332" s="658">
        <f ca="1">+IFERROR(J$5*GETPIVOTDATA("Unique Billed Hours",'County allocation'!$S$3,"County",$D329,"HHA/CDPAP","HHA","Level of Service",$D332),0)</f>
        <v>0</v>
      </c>
      <c r="K332" s="658">
        <f ca="1">+IFERROR(K$5*GETPIVOTDATA("Unique Billed Hours",'County allocation'!$X$3,"County",$D329,"HHA/CDPAP","HHA","Level of Service",$D332),0)</f>
        <v>0</v>
      </c>
      <c r="L332" s="658">
        <f ca="1">+IFERROR(L$2*GETPIVOTDATA("Unique Billed Hours",'County allocation'!$O$3,"County",$D329,"HHA/CDPAP","HHA","Level of Service",$D332),0)</f>
        <v>0</v>
      </c>
      <c r="M332" s="658">
        <f>+IFERROR(M$5*GETPIVOTDATA("Unique Billed Hours",'County allocation'!$S$3,"County",$D329,"HHA/CDPAP","HHA","Level of Service",$D332),0)</f>
        <v>0</v>
      </c>
      <c r="N332" s="658">
        <f>+IFERROR(N$5*GETPIVOTDATA("Unique Billed Hours",'County allocation'!$S$3,"County",$D329,"HHA/CDPAP","HHA","Level of Service",$D332),0)</f>
        <v>0</v>
      </c>
      <c r="O332" s="658">
        <f>+IFERROR(O$5*GETPIVOTDATA("Unique Billed Hours",'County allocation'!$K$19,"County",$D329,"HHA/CDPAP","HHA","Level of Service",$D332),0)</f>
        <v>0</v>
      </c>
      <c r="P332" s="658">
        <f>+IFERROR(P$5*GETPIVOTDATA("Unique Billed Hours",'County allocation'!$S$3,"County",$D329,"HHA/CDPAP","HHA","Level of Service",$D332),0)</f>
        <v>0</v>
      </c>
    </row>
    <row r="333" spans="1:18" s="54" customFormat="1" ht="15.75" hidden="1" thickBot="1" x14ac:dyDescent="0.3">
      <c r="A333" s="119"/>
      <c r="B333" s="309"/>
      <c r="C333" s="322">
        <f t="shared" ca="1" si="125"/>
        <v>0</v>
      </c>
      <c r="D333" s="7" t="s">
        <v>35</v>
      </c>
      <c r="E333" s="48" t="s">
        <v>56</v>
      </c>
      <c r="F333" s="657">
        <f t="shared" ref="F333:F344" ca="1" si="126">+H333+G333+I333</f>
        <v>0</v>
      </c>
      <c r="G333" s="658">
        <f ca="1">+IFERROR(G$5*GETPIVOTDATA("Unique Billed Hours",'County allocation'!$A$3,"County",$D329,"HHA/CDPAP","HHA","Level of Service",$D333),0)</f>
        <v>0</v>
      </c>
      <c r="H333" s="658">
        <f>+IFERROR(H$5*GETPIVOTDATA("Unique Billed Hours",'County allocation'!$S$3,"County",$D329,"HHA/CDPAP","HHA","Level of Service",$D333),0)</f>
        <v>0</v>
      </c>
      <c r="I333" s="664">
        <f t="shared" ref="I333:I343" ca="1" si="127">SUM(J333:P333)</f>
        <v>0</v>
      </c>
      <c r="J333" s="658">
        <f ca="1">+IFERROR(J$5*GETPIVOTDATA("Unique Billed Hours",'County allocation'!$S$3,"County",$D329,"HHA/CDPAP","HHA","Level of Service",$D333),0)</f>
        <v>0</v>
      </c>
      <c r="K333" s="658">
        <f ca="1">+IFERROR(K$5*GETPIVOTDATA("Unique Billed Hours",'County allocation'!$X$3,"County",$D329,"HHA/CDPAP","HHA","Level of Service",$D333),0)</f>
        <v>0</v>
      </c>
      <c r="L333" s="658">
        <f ca="1">+IFERROR(L$2*GETPIVOTDATA("Unique Billed Hours",'County allocation'!$O$3,"County",$D329,"HHA/CDPAP","HHA","Level of Service",$D333),0)</f>
        <v>0</v>
      </c>
      <c r="M333" s="658">
        <f>+IFERROR(M$5*GETPIVOTDATA("Unique Billed Hours",'County allocation'!$S$3,"County",$D329,"HHA/CDPAP","HHA","Level of Service",$D333),0)</f>
        <v>0</v>
      </c>
      <c r="N333" s="658">
        <f>+IFERROR(N$5*GETPIVOTDATA("Unique Billed Hours",'County allocation'!$S$3,"County",$D329,"HHA/CDPAP","HHA","Level of Service",$D333),0)</f>
        <v>0</v>
      </c>
      <c r="O333" s="658">
        <f>+IFERROR(O$5*GETPIVOTDATA("Unique Billed Hours",'County allocation'!$K$19,"County",$D329,"HHA/CDPAP","HHA","Level of Service",$D333),0)</f>
        <v>0</v>
      </c>
      <c r="P333" s="658">
        <f>+IFERROR(P$5*GETPIVOTDATA("Unique Billed Hours",'County allocation'!$S$3,"County",$D329,"HHA/CDPAP","HHA","Level of Service",$D333),0)</f>
        <v>0</v>
      </c>
      <c r="R333" s="61"/>
    </row>
    <row r="334" spans="1:18" s="54" customFormat="1" ht="15.75" hidden="1" thickBot="1" x14ac:dyDescent="0.3">
      <c r="A334" s="302"/>
      <c r="B334" s="309"/>
      <c r="C334" s="322">
        <f t="shared" ca="1" si="125"/>
        <v>0</v>
      </c>
      <c r="D334" s="7" t="s">
        <v>36</v>
      </c>
      <c r="E334" s="48" t="s">
        <v>55</v>
      </c>
      <c r="F334" s="657">
        <f t="shared" ca="1" si="126"/>
        <v>0</v>
      </c>
      <c r="G334" s="658">
        <f ca="1">+IFERROR(G$5*GETPIVOTDATA("Unique Billed Hours",'County allocation'!$A$3,"County",$D329,"HHA/CDPAP","HHA","Level of Service",$D334),0)</f>
        <v>0</v>
      </c>
      <c r="H334" s="658">
        <f>+IFERROR(H$5*GETPIVOTDATA("Unique Billed Hours",'County allocation'!$S$3,"County",$D329,"HHA/CDPAP","HHA","Level of Service",$D334),0)</f>
        <v>0</v>
      </c>
      <c r="I334" s="664">
        <f t="shared" ca="1" si="127"/>
        <v>0</v>
      </c>
      <c r="J334" s="658">
        <f ca="1">+IFERROR(J$5*GETPIVOTDATA("Unique Billed Hours",'County allocation'!$S$3,"County",$D329,"HHA/CDPAP","HHA","Level of Service",$D334),0)</f>
        <v>0</v>
      </c>
      <c r="K334" s="658">
        <f ca="1">+IFERROR(K$5*GETPIVOTDATA("Unique Billed Hours",'County allocation'!$X$3,"County",$D329,"HHA/CDPAP","HHA","Level of Service",$D334),0)</f>
        <v>0</v>
      </c>
      <c r="L334" s="658">
        <f ca="1">+IFERROR(L$2*GETPIVOTDATA("Unique Billed Hours",'County allocation'!$O$3,"County",$D329,"HHA/CDPAP","HHA","Level of Service",$D334),0)</f>
        <v>0</v>
      </c>
      <c r="M334" s="658">
        <f>+IFERROR(M$5*GETPIVOTDATA("Unique Billed Hours",'County allocation'!$S$3,"County",$D329,"HHA/CDPAP","HHA","Level of Service",$D334),0)</f>
        <v>0</v>
      </c>
      <c r="N334" s="658">
        <f>+IFERROR(N$5*GETPIVOTDATA("Unique Billed Hours",'County allocation'!$S$3,"County",$D329,"HHA/CDPAP","HHA","Level of Service",$D334),0)</f>
        <v>0</v>
      </c>
      <c r="O334" s="658">
        <f>+IFERROR(O$5*GETPIVOTDATA("Unique Billed Hours",'County allocation'!$K$19,"County",$D329,"HHA/CDPAP","HHA","Level of Service",$D334),0)</f>
        <v>0</v>
      </c>
      <c r="P334" s="658">
        <f>+IFERROR(P$5*GETPIVOTDATA("Unique Billed Hours",'County allocation'!$S$3,"County",$D329,"HHA/CDPAP","HHA","Level of Service",$D334),0)</f>
        <v>0</v>
      </c>
    </row>
    <row r="335" spans="1:18" s="54" customFormat="1" ht="15.75" hidden="1" thickBot="1" x14ac:dyDescent="0.3">
      <c r="A335" s="119"/>
      <c r="B335" s="309"/>
      <c r="C335" s="322">
        <f t="shared" ca="1" si="125"/>
        <v>0</v>
      </c>
      <c r="D335" s="7" t="s">
        <v>37</v>
      </c>
      <c r="E335" s="48" t="s">
        <v>54</v>
      </c>
      <c r="F335" s="657">
        <f t="shared" ca="1" si="126"/>
        <v>0</v>
      </c>
      <c r="G335" s="658">
        <f ca="1">+IFERROR(G$5*GETPIVOTDATA("Unique Billed Hours",'County allocation'!$A$3,"County",$D329,"HHA/CDPAP","HHA","Level of Service",$D335),0)</f>
        <v>0</v>
      </c>
      <c r="H335" s="658">
        <f>+IFERROR(H$5*GETPIVOTDATA("Unique Billed Hours",'County allocation'!$S$3,"County",$D329,"HHA/CDPAP","HHA","Level of Service",$D335),0)</f>
        <v>0</v>
      </c>
      <c r="I335" s="664">
        <f t="shared" ca="1" si="127"/>
        <v>0</v>
      </c>
      <c r="J335" s="658">
        <f ca="1">+IFERROR(J$5*GETPIVOTDATA("Unique Billed Hours",'County allocation'!$S$3,"County",$D329,"HHA/CDPAP","HHA","Level of Service",$D335),0)</f>
        <v>0</v>
      </c>
      <c r="K335" s="658">
        <f ca="1">+IFERROR(K$5*GETPIVOTDATA("Unique Billed Hours",'County allocation'!$X$3,"County",$D329,"HHA/CDPAP","HHA","Level of Service",$D335),0)</f>
        <v>0</v>
      </c>
      <c r="L335" s="658">
        <f ca="1">+IFERROR(L$2*GETPIVOTDATA("Unique Billed Hours",'County allocation'!$O$3,"County",$D329,"HHA/CDPAP","HHA","Level of Service",$D335),0)</f>
        <v>0</v>
      </c>
      <c r="M335" s="658">
        <f>+IFERROR(M$5*GETPIVOTDATA("Unique Billed Hours",'County allocation'!$S$3,"County",$D329,"HHA/CDPAP","HHA","Level of Service",$D335),0)</f>
        <v>0</v>
      </c>
      <c r="N335" s="658">
        <f>+IFERROR(N$5*GETPIVOTDATA("Unique Billed Hours",'County allocation'!$S$3,"County",$D329,"HHA/CDPAP","HHA","Level of Service",$D335),0)</f>
        <v>0</v>
      </c>
      <c r="O335" s="658">
        <f>+IFERROR(O$5*GETPIVOTDATA("Unique Billed Hours",'County allocation'!$K$19,"County",$D329,"HHA/CDPAP","HHA","Level of Service",$D335),0)</f>
        <v>0</v>
      </c>
      <c r="P335" s="658">
        <f>+IFERROR(P$5*GETPIVOTDATA("Unique Billed Hours",'County allocation'!$S$3,"County",$D329,"HHA/CDPAP","HHA","Level of Service",$D335),0)</f>
        <v>0</v>
      </c>
    </row>
    <row r="336" spans="1:18" s="54" customFormat="1" ht="15.75" hidden="1" thickBot="1" x14ac:dyDescent="0.3">
      <c r="A336" s="119"/>
      <c r="B336" s="309"/>
      <c r="C336" s="322">
        <f t="shared" ca="1" si="125"/>
        <v>0</v>
      </c>
      <c r="D336" s="7" t="s">
        <v>38</v>
      </c>
      <c r="E336" s="48" t="s">
        <v>53</v>
      </c>
      <c r="F336" s="657">
        <f t="shared" ca="1" si="126"/>
        <v>0</v>
      </c>
      <c r="G336" s="658">
        <f ca="1">+IFERROR(G$5*GETPIVOTDATA("Unique Billed Hours",'County allocation'!$A$3,"County",$D329,"HHA/CDPAP","HHA","Level of Service",$D336),0)</f>
        <v>0</v>
      </c>
      <c r="H336" s="658">
        <f>+IFERROR(H$5*GETPIVOTDATA("Unique Billed Hours",'County allocation'!$S$3,"County",$D329,"HHA/CDPAP","HHA","Level of Service",$D336),0)</f>
        <v>0</v>
      </c>
      <c r="I336" s="664">
        <f t="shared" ca="1" si="127"/>
        <v>0</v>
      </c>
      <c r="J336" s="658">
        <f ca="1">+IFERROR(J$5*GETPIVOTDATA("Unique Billed Hours",'County allocation'!$S$3,"County",$D329,"HHA/CDPAP","HHA","Level of Service",$D336),0)</f>
        <v>0</v>
      </c>
      <c r="K336" s="658">
        <f ca="1">+IFERROR(K$5*GETPIVOTDATA("Unique Billed Hours",'County allocation'!$X$3,"County",$D329,"HHA/CDPAP","HHA","Level of Service",$D336),0)</f>
        <v>0</v>
      </c>
      <c r="L336" s="658">
        <f ca="1">+IFERROR(L$5*GETPIVOTDATA("Unique Billed Hours",'County allocation'!$K$19,"County",$D329,"HHA/CDPAP","HHA","Level of Service",$D336),0)</f>
        <v>0</v>
      </c>
      <c r="M336" s="658">
        <f>+IFERROR(M$5*GETPIVOTDATA("Unique Billed Hours",'County allocation'!$S$3,"County",$D329,"HHA/CDPAP","HHA","Level of Service",$D336),0)</f>
        <v>0</v>
      </c>
      <c r="N336" s="658">
        <f>+IFERROR(N$5*GETPIVOTDATA("Unique Billed Hours",'County allocation'!$S$3,"County",$D329,"HHA/CDPAP","HHA","Level of Service",$D336),0)</f>
        <v>0</v>
      </c>
      <c r="O336" s="658">
        <f>+IFERROR(O$5*GETPIVOTDATA("Unique Billed Hours",'County allocation'!$K$19,"County",$D329,"HHA/CDPAP","HHA","Level of Service",$D336),0)</f>
        <v>0</v>
      </c>
      <c r="P336" s="658">
        <f>+IFERROR(P$5*GETPIVOTDATA("Unique Billed Hours",'County allocation'!$S$3,"County",$D329,"HHA/CDPAP","HHA","Level of Service",$D336),0)</f>
        <v>0</v>
      </c>
    </row>
    <row r="337" spans="1:18" s="54" customFormat="1" ht="15.75" hidden="1" thickBot="1" x14ac:dyDescent="0.3">
      <c r="A337" s="119"/>
      <c r="B337" s="309"/>
      <c r="C337" s="322">
        <f t="shared" ca="1" si="125"/>
        <v>0</v>
      </c>
      <c r="D337" s="7" t="s">
        <v>39</v>
      </c>
      <c r="E337" s="48" t="s">
        <v>52</v>
      </c>
      <c r="F337" s="657">
        <f t="shared" ca="1" si="126"/>
        <v>0</v>
      </c>
      <c r="G337" s="658">
        <f ca="1">+IFERROR(G$5*GETPIVOTDATA("Unique Billed Hours",'County allocation'!$A$3,"County",$D329,"HHA/CDPAP","HHA","Level of Service",$D337),0)</f>
        <v>0</v>
      </c>
      <c r="H337" s="658">
        <f>+IFERROR(H$5*GETPIVOTDATA("Unique Billed Hours",'County allocation'!$S$3,"County",$D329,"HHA/CDPAP","HHA","Level of Service",$D337),0)</f>
        <v>0</v>
      </c>
      <c r="I337" s="664">
        <f t="shared" ca="1" si="127"/>
        <v>0</v>
      </c>
      <c r="J337" s="658">
        <f ca="1">+IFERROR(J$5*GETPIVOTDATA("Unique Billed Hours",'County allocation'!$S$3,"County",$D329,"HHA/CDPAP","HHA","Level of Service",$D337),0)</f>
        <v>0</v>
      </c>
      <c r="K337" s="658">
        <f ca="1">+IFERROR(K$5*GETPIVOTDATA("Unique Billed Hours",'County allocation'!$X$3,"County",$D329,"HHA/CDPAP","HHA","Level of Service",$D337),0)</f>
        <v>0</v>
      </c>
      <c r="L337" s="658">
        <f ca="1">+IFERROR(L$5*GETPIVOTDATA("Unique Billed Hours",'County allocation'!$K$19,"County",$D329,"HHA/CDPAP","HHA","Level of Service",$D337),0)</f>
        <v>0</v>
      </c>
      <c r="M337" s="658">
        <f>+IFERROR(M$5*GETPIVOTDATA("Unique Billed Hours",'County allocation'!$S$3,"County",$D329,"HHA/CDPAP","HHA","Level of Service",$D337),0)</f>
        <v>0</v>
      </c>
      <c r="N337" s="658">
        <f>+IFERROR(N$5*GETPIVOTDATA("Unique Billed Hours",'County allocation'!$S$3,"County",$D329,"HHA/CDPAP","HHA","Level of Service",$D337),0)</f>
        <v>0</v>
      </c>
      <c r="O337" s="658">
        <f>+IFERROR(O$5*GETPIVOTDATA("Unique Billed Hours",'County allocation'!$K$19,"County",$D329,"HHA/CDPAP","HHA","Level of Service",$D337),0)</f>
        <v>0</v>
      </c>
      <c r="P337" s="658">
        <f>+IFERROR(P$5*GETPIVOTDATA("Unique Billed Hours",'County allocation'!$S$3,"County",$D329,"HHA/CDPAP","HHA","Level of Service",$D337),0)</f>
        <v>0</v>
      </c>
    </row>
    <row r="338" spans="1:18" s="54" customFormat="1" ht="15.75" hidden="1" thickBot="1" x14ac:dyDescent="0.3">
      <c r="A338" s="119"/>
      <c r="B338" s="309"/>
      <c r="C338" s="322">
        <f t="shared" ca="1" si="125"/>
        <v>0</v>
      </c>
      <c r="D338" s="8" t="s">
        <v>40</v>
      </c>
      <c r="E338" s="48" t="s">
        <v>51</v>
      </c>
      <c r="F338" s="657">
        <f t="shared" ca="1" si="126"/>
        <v>0</v>
      </c>
      <c r="G338" s="658">
        <f ca="1">+IFERROR(G$5*GETPIVOTDATA("Unique Billed Hours",'County allocation'!$A$3,"County",$D329,"HHA/CDPAP","HHA","Level of Service",$D338),0)</f>
        <v>0</v>
      </c>
      <c r="H338" s="658">
        <f>+IFERROR(H$5*GETPIVOTDATA("Unique Billed Hours",'County allocation'!$S$3,"County",$D329,"HHA/CDPAP","HHA","Level of Service",$D338),0)</f>
        <v>0</v>
      </c>
      <c r="I338" s="664">
        <f t="shared" ca="1" si="127"/>
        <v>0</v>
      </c>
      <c r="J338" s="658">
        <f ca="1">+IFERROR(J$5*GETPIVOTDATA("Unique Billed Hours",'County allocation'!$S$3,"County",$D329,"HHA/CDPAP","HHA","Level of Service",$D338),0)</f>
        <v>0</v>
      </c>
      <c r="K338" s="658">
        <f ca="1">+IFERROR(K$5*GETPIVOTDATA("Unique Billed Hours",'County allocation'!$X$3,"County",$D329,"HHA/CDPAP","HHA","Level of Service",$D338),0)</f>
        <v>0</v>
      </c>
      <c r="L338" s="658">
        <f ca="1">+IFERROR(L$2*GETPIVOTDATA("Unique Billed Hours",'County allocation'!$O$3,"County",$D329,"HHA/CDPAP","HHA","Level of Service",$D338),0)</f>
        <v>0</v>
      </c>
      <c r="M338" s="658">
        <f>+IFERROR(M$5*GETPIVOTDATA("Unique Billed Hours",'County allocation'!$S$3,"County",$D329,"HHA/CDPAP","HHA","Level of Service",$D338),0)</f>
        <v>0</v>
      </c>
      <c r="N338" s="658">
        <f>+IFERROR(N$5*GETPIVOTDATA("Unique Billed Hours",'County allocation'!$S$3,"County",$D329,"HHA/CDPAP","HHA","Level of Service",$D338),0)</f>
        <v>0</v>
      </c>
      <c r="O338" s="658">
        <f>+IFERROR(O$5*GETPIVOTDATA("Unique Billed Hours",'County allocation'!$K$19,"County",$D329,"HHA/CDPAP","HHA","Level of Service",$D338),0)</f>
        <v>0</v>
      </c>
      <c r="P338" s="658">
        <f>+IFERROR(P$5*GETPIVOTDATA("Unique Billed Hours",'County allocation'!$S$3,"County",$D329,"HHA/CDPAP","HHA","Level of Service",$D338),0)</f>
        <v>0</v>
      </c>
    </row>
    <row r="339" spans="1:18" s="54" customFormat="1" ht="15.75" hidden="1" thickBot="1" x14ac:dyDescent="0.3">
      <c r="A339" s="119"/>
      <c r="B339" s="309"/>
      <c r="C339" s="322">
        <f t="shared" ca="1" si="125"/>
        <v>0</v>
      </c>
      <c r="D339" s="8" t="s">
        <v>41</v>
      </c>
      <c r="E339" s="48" t="s">
        <v>50</v>
      </c>
      <c r="F339" s="657">
        <f t="shared" ca="1" si="126"/>
        <v>0</v>
      </c>
      <c r="G339" s="658">
        <f ca="1">+IFERROR(G$5*GETPIVOTDATA("Unique Billed Hours",'County allocation'!$A$3,"County",$D329,"HHA/CDPAP","HHA","Level of Service",$D339),0)</f>
        <v>0</v>
      </c>
      <c r="H339" s="658">
        <f>+IFERROR(H$5*GETPIVOTDATA("Unique Billed Hours",'County allocation'!$S$3,"County",$D329,"HHA/CDPAP","HHA","Level of Service",$D339),0)</f>
        <v>0</v>
      </c>
      <c r="I339" s="664">
        <f t="shared" ca="1" si="127"/>
        <v>0</v>
      </c>
      <c r="J339" s="658">
        <f ca="1">+IFERROR(J$5*GETPIVOTDATA("Unique Billed Hours",'County allocation'!$S$3,"County",$D329,"HHA/CDPAP","HHA","Level of Service",$D339),0)</f>
        <v>0</v>
      </c>
      <c r="K339" s="658">
        <f ca="1">+IFERROR(K$5*GETPIVOTDATA("Unique Billed Hours",'County allocation'!$X$3,"County",$D329,"HHA/CDPAP","HHA","Level of Service",$D339),0)</f>
        <v>0</v>
      </c>
      <c r="L339" s="658">
        <f ca="1">+IFERROR(L$2*GETPIVOTDATA("Unique Billed Hours",'County allocation'!$O$3,"County",$D329,"HHA/CDPAP","HHA","Level of Service",$D339),0)</f>
        <v>0</v>
      </c>
      <c r="M339" s="658">
        <f>+IFERROR(M$5*GETPIVOTDATA("Unique Billed Hours",'County allocation'!$S$3,"County",$D329,"HHA/CDPAP","HHA","Level of Service",$D339),0)</f>
        <v>0</v>
      </c>
      <c r="N339" s="658">
        <f>+IFERROR(N$5*GETPIVOTDATA("Unique Billed Hours",'County allocation'!$S$3,"County",$D329,"HHA/CDPAP","HHA","Level of Service",$D339),0)</f>
        <v>0</v>
      </c>
      <c r="O339" s="658">
        <f>+IFERROR(O$5*GETPIVOTDATA("Unique Billed Hours",'County allocation'!$K$19,"County",$D329,"HHA/CDPAP","HHA","Level of Service",$D339),0)</f>
        <v>0</v>
      </c>
      <c r="P339" s="658">
        <f>+IFERROR(P$5*GETPIVOTDATA("Unique Billed Hours",'County allocation'!$S$3,"County",$D329,"HHA/CDPAP","HHA","Level of Service",$D339),0)</f>
        <v>0</v>
      </c>
    </row>
    <row r="340" spans="1:18" s="54" customFormat="1" ht="15.75" hidden="1" thickBot="1" x14ac:dyDescent="0.3">
      <c r="A340" s="119"/>
      <c r="B340" s="309"/>
      <c r="C340" s="322">
        <f t="shared" ca="1" si="125"/>
        <v>0</v>
      </c>
      <c r="D340" s="52" t="s">
        <v>389</v>
      </c>
      <c r="E340" s="53" t="s">
        <v>49</v>
      </c>
      <c r="F340" s="657">
        <f t="shared" ca="1" si="126"/>
        <v>0</v>
      </c>
      <c r="G340" s="661">
        <f ca="1">SUM(G332:G339)</f>
        <v>0</v>
      </c>
      <c r="H340" s="661">
        <f>SUM(H332:H339)</f>
        <v>0</v>
      </c>
      <c r="I340" s="664">
        <f t="shared" ca="1" si="127"/>
        <v>0</v>
      </c>
      <c r="J340" s="661">
        <f ca="1">SUM(J332:J339)</f>
        <v>0</v>
      </c>
      <c r="K340" s="661">
        <f t="shared" ref="K340:P340" ca="1" si="128">SUM(K332:K339)</f>
        <v>0</v>
      </c>
      <c r="L340" s="661">
        <f t="shared" ca="1" si="128"/>
        <v>0</v>
      </c>
      <c r="M340" s="661">
        <f t="shared" si="128"/>
        <v>0</v>
      </c>
      <c r="N340" s="661">
        <f t="shared" si="128"/>
        <v>0</v>
      </c>
      <c r="O340" s="661">
        <f t="shared" si="128"/>
        <v>0</v>
      </c>
      <c r="P340" s="661">
        <f t="shared" si="128"/>
        <v>0</v>
      </c>
    </row>
    <row r="341" spans="1:18" s="54" customFormat="1" ht="15.75" hidden="1" thickBot="1" x14ac:dyDescent="0.3">
      <c r="A341" s="119"/>
      <c r="B341" s="309"/>
      <c r="C341" s="322">
        <f t="shared" ca="1" si="125"/>
        <v>0</v>
      </c>
      <c r="D341" s="371" t="s">
        <v>390</v>
      </c>
      <c r="E341" s="325" t="s">
        <v>47</v>
      </c>
      <c r="F341" s="657">
        <f t="shared" ca="1" si="126"/>
        <v>0</v>
      </c>
      <c r="G341" s="665">
        <f ca="1">+IFERROR((G$5*GETPIVOTDATA("Unique Billed Hours",'County allocation'!$A$3,"County",$D329,"HHA/CDPAP","HHA","Level of Service",$D341))+($G$2*GETPIVOTDATA("Unique Billed Hours",'County allocation'!$F$7,"County",$D329,"HHA/CDPAP","HHA","Level of Service",$D341)),0)++IFERROR(J$5*GETPIVOTDATA("Unique Billed Hours",'County allocation'!$AC$3,"County",$D329,"HHA/CDPAP","HHA","Level of Service",$D341),0)+ +IFERROR(J$5*GETPIVOTDATA("Unique Billed Hours",'County allocation'!$AC$3,"County",$D329,"HHA/CDPAP","HHA","Level of Service",$D342),0)</f>
        <v>0</v>
      </c>
      <c r="H341" s="665">
        <f>+IFERROR(H$5*GETPIVOTDATA("Unique Billed Hours",'County allocation'!$S$3,"County",$D329,"HHA/CDPAP","HHA","Level of Service",$D341),0)</f>
        <v>0</v>
      </c>
      <c r="I341" s="664">
        <f t="shared" ca="1" si="127"/>
        <v>0</v>
      </c>
      <c r="J341" s="901"/>
      <c r="K341" s="665">
        <f ca="1">+IFERROR(K$5*GETPIVOTDATA("Unique Billed Hours",'County allocation'!$X$3,"County",$D329,"HHA/CDPAP","HHA","Level of Service",$D341),0)</f>
        <v>0</v>
      </c>
      <c r="L341" s="665">
        <f ca="1">+IFERROR(L$5*GETPIVOTDATA("Unique Billed Hours",'County allocation'!$K$19,"County",$D329,"HHA/CDPAP","HHA","Level of Service",$D341),0)</f>
        <v>0</v>
      </c>
      <c r="M341" s="665">
        <f>+IFERROR(M$5*GETPIVOTDATA("Unique Billed Hours",'County allocation'!$S$3,"County",$D329,"HHA/CDPAP","HHA","Level of Service",$D341),0)</f>
        <v>0</v>
      </c>
      <c r="N341" s="665">
        <f>+IFERROR(N$5*GETPIVOTDATA("Unique Billed Hours",'County allocation'!$S$3,"County",$D329,"HHA/CDPAP","HHA","Level of Service",$D341),0)</f>
        <v>0</v>
      </c>
      <c r="O341" s="665">
        <f>+IFERROR(O$5*GETPIVOTDATA("Unique Billed Hours",'County allocation'!$S$3,"County",$D329,"HHA/CDPAP","HHA","Level of Service",$D341),0)</f>
        <v>0</v>
      </c>
      <c r="P341" s="665">
        <f>+IFERROR(P$5*GETPIVOTDATA("Unique Billed Hours",'County allocation'!$S$3,"County",$D329,"HHA/CDPAP","HHA","Level of Service",$D341),0)</f>
        <v>0</v>
      </c>
    </row>
    <row r="342" spans="1:18" s="54" customFormat="1" ht="15.75" hidden="1" thickBot="1" x14ac:dyDescent="0.3">
      <c r="A342" s="119"/>
      <c r="B342" s="309"/>
      <c r="C342" s="322">
        <f t="shared" ca="1" si="125"/>
        <v>0</v>
      </c>
      <c r="D342" s="8" t="s">
        <v>391</v>
      </c>
      <c r="E342" s="370" t="s">
        <v>77</v>
      </c>
      <c r="F342" s="657">
        <f t="shared" ca="1" si="126"/>
        <v>0</v>
      </c>
      <c r="G342" s="656"/>
      <c r="H342" s="658">
        <f>+IFERROR(H$5*GETPIVOTDATA("Unique Billed Hours",'County allocation'!$S$3,"County",$D329,"HHA/CDPAP","HHA","Level of Service",$D342),0)</f>
        <v>0</v>
      </c>
      <c r="I342" s="664">
        <f t="shared" ca="1" si="127"/>
        <v>0</v>
      </c>
      <c r="J342" s="901"/>
      <c r="K342" s="665">
        <f ca="1">+IFERROR(K$5*GETPIVOTDATA("Unique Billed Hours",'County allocation'!$X$3,"County",$D329,"HHA/CDPAP","HHA","Level of Service",$D342),0)</f>
        <v>0</v>
      </c>
      <c r="L342" s="665">
        <f ca="1">+IFERROR(L$5*GETPIVOTDATA("Unique Billed Hours",'County allocation'!$K$19,"County",$D329,"HHA/CDPAP","HHA","Level of Service",$D342),0)</f>
        <v>0</v>
      </c>
      <c r="M342" s="665">
        <f>+IFERROR(M$5*GETPIVOTDATA("Unique Billed Hours",'County allocation'!$S$3,"County",$D329,"HHA/CDPAP","HHA","Level of Service",$D342),0)</f>
        <v>0</v>
      </c>
      <c r="N342" s="665">
        <f>+IFERROR(N$5*GETPIVOTDATA("Unique Billed Hours",'County allocation'!$S$3,"County",$D329,"HHA/CDPAP","HHA","Level of Service",$D342),0)</f>
        <v>0</v>
      </c>
      <c r="O342" s="665">
        <f>+IFERROR(O$5*GETPIVOTDATA("Unique Billed Hours",'County allocation'!$S$3,"County",$D329,"HHA/CDPAP","HHA","Level of Service",$D342),0)</f>
        <v>0</v>
      </c>
      <c r="P342" s="665">
        <f>+IFERROR(P$5*GETPIVOTDATA("Unique Billed Hours",'County allocation'!$S$3,"County",$D329,"HHA/CDPAP","HHA","Level of Service",$D342),0)</f>
        <v>0</v>
      </c>
    </row>
    <row r="343" spans="1:18" s="54" customFormat="1" ht="15.75" hidden="1" thickBot="1" x14ac:dyDescent="0.3">
      <c r="A343" s="119"/>
      <c r="B343" s="309"/>
      <c r="C343" s="322">
        <f t="shared" ca="1" si="125"/>
        <v>0</v>
      </c>
      <c r="D343" s="8" t="s">
        <v>374</v>
      </c>
      <c r="E343" s="370" t="s">
        <v>78</v>
      </c>
      <c r="F343" s="657">
        <f t="shared" ca="1" si="126"/>
        <v>0</v>
      </c>
      <c r="G343" s="658">
        <f ca="1">+IFERROR(G$5*GETPIVOTDATA("Unique Billed Hours",'County allocation'!$A$3,"County",$D329,"HHA/CDPAP","HHA","Level of Service",$D343),0)++IFERROR(J$5*GETPIVOTDATA("Unique Billed Hours",'County allocation'!$AC$3,"County",$D329,"HHA/CDPAP","HHA","Level of Service",$D343),0)</f>
        <v>0</v>
      </c>
      <c r="H343" s="658">
        <f>+IFERROR(H$5*GETPIVOTDATA("Unique Billed Hours",'County allocation'!$S$3,"County",$D329,"HHA/CDPAP","HHA","Level of Service",$D343),0)</f>
        <v>0</v>
      </c>
      <c r="I343" s="664">
        <f t="shared" ca="1" si="127"/>
        <v>0</v>
      </c>
      <c r="J343" s="901"/>
      <c r="K343" s="665">
        <f ca="1">+IFERROR(K$5*GETPIVOTDATA("Unique Billed Hours",'County allocation'!$X$3,"County",$D329,"HHA/CDPAP","HHA","Level of Service",$D343),0)</f>
        <v>0</v>
      </c>
      <c r="L343" s="665">
        <f ca="1">+IFERROR(L$5*GETPIVOTDATA("Unique Billed Hours",'County allocation'!$K$19,"County",$D329,"HHA/CDPAP","HHA","Level of Service",$D343),0)</f>
        <v>0</v>
      </c>
      <c r="M343" s="665">
        <f>+IFERROR(M$5*GETPIVOTDATA("Unique Billed Hours",'County allocation'!$S$3,"County",$D329,"HHA/CDPAP","HHA","Level of Service",$D343),0)</f>
        <v>0</v>
      </c>
      <c r="N343" s="665">
        <f>+IFERROR(N$5*GETPIVOTDATA("Unique Billed Hours",'County allocation'!$S$3,"County",$D329,"HHA/CDPAP","HHA","Level of Service",$D343),0)</f>
        <v>0</v>
      </c>
      <c r="O343" s="665">
        <f>+IFERROR(O$5*GETPIVOTDATA("Unique Billed Hours",'County allocation'!$S$3,"County",$D329,"HHA/CDPAP","HHA","Level of Service",$D343),0)</f>
        <v>0</v>
      </c>
      <c r="P343" s="665">
        <f>+IFERROR(P$5*GETPIVOTDATA("Unique Billed Hours",'County allocation'!$S$3,"County",$D329,"HHA/CDPAP","HHA","Level of Service",$D343),0)</f>
        <v>0</v>
      </c>
    </row>
    <row r="344" spans="1:18" s="54" customFormat="1" ht="15.75" hidden="1" thickBot="1" x14ac:dyDescent="0.3">
      <c r="A344" s="302"/>
      <c r="B344" s="309"/>
      <c r="C344" s="322">
        <f ca="1">C343</f>
        <v>0</v>
      </c>
      <c r="D344" s="52" t="s">
        <v>48</v>
      </c>
      <c r="E344" s="53" t="s">
        <v>79</v>
      </c>
      <c r="F344" s="657">
        <f t="shared" ca="1" si="126"/>
        <v>0</v>
      </c>
      <c r="G344" s="661">
        <f t="shared" ref="G344" ca="1" si="129">SUM(G340:G343)</f>
        <v>0</v>
      </c>
      <c r="H344" s="661">
        <f t="shared" ref="H344:P344" si="130">SUM(H340:H343)</f>
        <v>0</v>
      </c>
      <c r="I344" s="661">
        <f t="shared" ca="1" si="130"/>
        <v>0</v>
      </c>
      <c r="J344" s="661">
        <f t="shared" ca="1" si="130"/>
        <v>0</v>
      </c>
      <c r="K344" s="661">
        <f t="shared" ca="1" si="130"/>
        <v>0</v>
      </c>
      <c r="L344" s="661">
        <f t="shared" ca="1" si="130"/>
        <v>0</v>
      </c>
      <c r="M344" s="661">
        <f t="shared" si="130"/>
        <v>0</v>
      </c>
      <c r="N344" s="661">
        <f t="shared" si="130"/>
        <v>0</v>
      </c>
      <c r="O344" s="661">
        <f t="shared" si="130"/>
        <v>0</v>
      </c>
      <c r="P344" s="661">
        <f t="shared" si="130"/>
        <v>0</v>
      </c>
    </row>
    <row r="345" spans="1:18" s="54" customFormat="1" ht="15.75" hidden="1" thickBot="1" x14ac:dyDescent="0.3">
      <c r="A345" s="119"/>
      <c r="B345" s="309"/>
      <c r="C345" s="322"/>
      <c r="E345" s="55"/>
      <c r="F345" s="666"/>
      <c r="G345" s="666"/>
      <c r="H345" s="666"/>
      <c r="I345" s="666"/>
      <c r="J345" s="666"/>
      <c r="K345" s="666"/>
      <c r="L345" s="666"/>
      <c r="M345" s="666"/>
      <c r="N345" s="666"/>
      <c r="O345" s="666"/>
      <c r="P345" s="666"/>
    </row>
    <row r="346" spans="1:18" s="54" customFormat="1" ht="75.75" hidden="1" thickBot="1" x14ac:dyDescent="0.3">
      <c r="A346" s="119"/>
      <c r="B346" s="309"/>
      <c r="C346" s="322">
        <f ca="1">IF(F361&gt;0,1,0)</f>
        <v>0</v>
      </c>
      <c r="D346" s="45" t="str">
        <f>A23</f>
        <v>Greene</v>
      </c>
      <c r="E346" s="28">
        <f>+SUMIF(A:A,D346,B:B)</f>
        <v>0</v>
      </c>
      <c r="F346" s="652" t="s">
        <v>61</v>
      </c>
      <c r="G346" s="652" t="s">
        <v>387</v>
      </c>
      <c r="H346" s="652" t="s">
        <v>388</v>
      </c>
      <c r="I346" s="652" t="s">
        <v>392</v>
      </c>
      <c r="J346" s="652" t="s">
        <v>31</v>
      </c>
      <c r="K346" s="652" t="s">
        <v>32</v>
      </c>
      <c r="L346" s="653" t="s">
        <v>33</v>
      </c>
      <c r="M346" s="653" t="s">
        <v>60</v>
      </c>
      <c r="N346" s="653" t="s">
        <v>59</v>
      </c>
      <c r="O346" s="653" t="s">
        <v>58</v>
      </c>
      <c r="P346" s="653" t="s">
        <v>16</v>
      </c>
    </row>
    <row r="347" spans="1:18" s="54" customFormat="1" ht="15.75" hidden="1" thickBot="1" x14ac:dyDescent="0.3">
      <c r="A347" s="119"/>
      <c r="B347" s="309"/>
      <c r="C347" s="322">
        <f ca="1">C346</f>
        <v>0</v>
      </c>
      <c r="D347" s="56"/>
      <c r="E347" s="57"/>
      <c r="F347" s="654" t="s">
        <v>57</v>
      </c>
      <c r="G347" s="654" t="s">
        <v>56</v>
      </c>
      <c r="H347" s="654" t="s">
        <v>55</v>
      </c>
      <c r="I347" s="654" t="s">
        <v>54</v>
      </c>
      <c r="J347" s="654" t="s">
        <v>53</v>
      </c>
      <c r="K347" s="654" t="s">
        <v>52</v>
      </c>
      <c r="L347" s="654" t="s">
        <v>51</v>
      </c>
      <c r="M347" s="654" t="s">
        <v>50</v>
      </c>
      <c r="N347" s="654" t="s">
        <v>49</v>
      </c>
      <c r="O347" s="654" t="s">
        <v>47</v>
      </c>
      <c r="P347" s="655" t="s">
        <v>77</v>
      </c>
    </row>
    <row r="348" spans="1:18" s="54" customFormat="1" ht="15.75" hidden="1" thickBot="1" x14ac:dyDescent="0.3">
      <c r="A348" s="119"/>
      <c r="B348" s="309"/>
      <c r="C348" s="322">
        <f t="shared" ref="C348:C360" ca="1" si="131">C347</f>
        <v>0</v>
      </c>
      <c r="D348" s="59" t="s">
        <v>26</v>
      </c>
      <c r="E348" s="57"/>
      <c r="F348" s="656"/>
      <c r="G348" s="656"/>
      <c r="H348" s="656"/>
      <c r="I348" s="656"/>
      <c r="J348" s="656"/>
      <c r="K348" s="656"/>
      <c r="L348" s="656"/>
      <c r="M348" s="656"/>
      <c r="N348" s="656"/>
      <c r="O348" s="656"/>
      <c r="P348" s="663"/>
    </row>
    <row r="349" spans="1:18" s="54" customFormat="1" ht="15.75" hidden="1" thickBot="1" x14ac:dyDescent="0.3">
      <c r="A349" s="119"/>
      <c r="B349" s="309"/>
      <c r="C349" s="322">
        <f t="shared" ca="1" si="131"/>
        <v>0</v>
      </c>
      <c r="D349" s="7" t="s">
        <v>34</v>
      </c>
      <c r="E349" s="48" t="s">
        <v>57</v>
      </c>
      <c r="F349" s="657">
        <f ca="1">+H349+G349+I349</f>
        <v>0</v>
      </c>
      <c r="G349" s="658">
        <f ca="1">+IFERROR(G$5*GETPIVOTDATA("Unique Billed Hours",'County allocation'!$A$3,"County",$D346,"HHA/CDPAP","HHA","Level of Service",$D349),0)</f>
        <v>0</v>
      </c>
      <c r="H349" s="658">
        <f>+IFERROR(H$5*GETPIVOTDATA("Unique Billed Hours",'County allocation'!$S$3,"County",$D346,"HHA/CDPAP","HHA","Level of Service",$D349),0)</f>
        <v>0</v>
      </c>
      <c r="I349" s="664">
        <f ca="1">SUM(J349:P349)</f>
        <v>0</v>
      </c>
      <c r="J349" s="658">
        <f ca="1">+IFERROR(J$5*GETPIVOTDATA("Unique Billed Hours",'County allocation'!$S$3,"County",$D346,"HHA/CDPAP","HHA","Level of Service",$D349),0)</f>
        <v>0</v>
      </c>
      <c r="K349" s="658">
        <f ca="1">+IFERROR(K$5*GETPIVOTDATA("Unique Billed Hours",'County allocation'!$X$3,"County",$D346,"HHA/CDPAP","HHA","Level of Service",$D349),0)</f>
        <v>0</v>
      </c>
      <c r="L349" s="658">
        <f ca="1">+IFERROR(L$2*GETPIVOTDATA("Unique Billed Hours",'County allocation'!$O$3,"County",$D346,"HHA/CDPAP","HHA","Level of Service",$D349),0)</f>
        <v>0</v>
      </c>
      <c r="M349" s="658">
        <f>+IFERROR(M$5*GETPIVOTDATA("Unique Billed Hours",'County allocation'!$S$3,"County",$D346,"HHA/CDPAP","HHA","Level of Service",$D349),0)</f>
        <v>0</v>
      </c>
      <c r="N349" s="658">
        <f>+IFERROR(N$5*GETPIVOTDATA("Unique Billed Hours",'County allocation'!$S$3,"County",$D346,"HHA/CDPAP","HHA","Level of Service",$D349),0)</f>
        <v>0</v>
      </c>
      <c r="O349" s="658">
        <f>+IFERROR(O$5*GETPIVOTDATA("Unique Billed Hours",'County allocation'!$K$19,"County",$D346,"HHA/CDPAP","HHA","Level of Service",$D349),0)</f>
        <v>0</v>
      </c>
      <c r="P349" s="658">
        <f>+IFERROR(P$5*GETPIVOTDATA("Unique Billed Hours",'County allocation'!$S$3,"County",$D346,"HHA/CDPAP","HHA","Level of Service",$D349),0)</f>
        <v>0</v>
      </c>
    </row>
    <row r="350" spans="1:18" s="54" customFormat="1" ht="15.75" hidden="1" thickBot="1" x14ac:dyDescent="0.3">
      <c r="A350" s="119"/>
      <c r="B350" s="309"/>
      <c r="C350" s="322">
        <f t="shared" ca="1" si="131"/>
        <v>0</v>
      </c>
      <c r="D350" s="7" t="s">
        <v>35</v>
      </c>
      <c r="E350" s="48" t="s">
        <v>56</v>
      </c>
      <c r="F350" s="657">
        <f t="shared" ref="F350:F361" ca="1" si="132">+H350+G350+I350</f>
        <v>0</v>
      </c>
      <c r="G350" s="658">
        <f ca="1">+IFERROR(G$5*GETPIVOTDATA("Unique Billed Hours",'County allocation'!$A$3,"County",$D346,"HHA/CDPAP","HHA","Level of Service",$D350),0)</f>
        <v>0</v>
      </c>
      <c r="H350" s="658">
        <f>+IFERROR(H$5*GETPIVOTDATA("Unique Billed Hours",'County allocation'!$S$3,"County",$D346,"HHA/CDPAP","HHA","Level of Service",$D350),0)</f>
        <v>0</v>
      </c>
      <c r="I350" s="664">
        <f t="shared" ref="I350:I360" ca="1" si="133">SUM(J350:P350)</f>
        <v>0</v>
      </c>
      <c r="J350" s="658">
        <f ca="1">+IFERROR(J$5*GETPIVOTDATA("Unique Billed Hours",'County allocation'!$S$3,"County",$D346,"HHA/CDPAP","HHA","Level of Service",$D350),0)</f>
        <v>0</v>
      </c>
      <c r="K350" s="658">
        <f ca="1">+IFERROR(K$5*GETPIVOTDATA("Unique Billed Hours",'County allocation'!$X$3,"County",$D346,"HHA/CDPAP","HHA","Level of Service",$D350),0)</f>
        <v>0</v>
      </c>
      <c r="L350" s="658">
        <f ca="1">+IFERROR(L$2*GETPIVOTDATA("Unique Billed Hours",'County allocation'!$O$3,"County",$D346,"HHA/CDPAP","HHA","Level of Service",$D350),0)</f>
        <v>0</v>
      </c>
      <c r="M350" s="658">
        <f>+IFERROR(M$5*GETPIVOTDATA("Unique Billed Hours",'County allocation'!$S$3,"County",$D346,"HHA/CDPAP","HHA","Level of Service",$D350),0)</f>
        <v>0</v>
      </c>
      <c r="N350" s="658">
        <f>+IFERROR(N$5*GETPIVOTDATA("Unique Billed Hours",'County allocation'!$S$3,"County",$D346,"HHA/CDPAP","HHA","Level of Service",$D350),0)</f>
        <v>0</v>
      </c>
      <c r="O350" s="658">
        <f>+IFERROR(O$5*GETPIVOTDATA("Unique Billed Hours",'County allocation'!$K$19,"County",$D346,"HHA/CDPAP","HHA","Level of Service",$D350),0)</f>
        <v>0</v>
      </c>
      <c r="P350" s="658">
        <f>+IFERROR(P$5*GETPIVOTDATA("Unique Billed Hours",'County allocation'!$S$3,"County",$D346,"HHA/CDPAP","HHA","Level of Service",$D350),0)</f>
        <v>0</v>
      </c>
      <c r="R350" s="61"/>
    </row>
    <row r="351" spans="1:18" s="54" customFormat="1" ht="15.75" hidden="1" thickBot="1" x14ac:dyDescent="0.3">
      <c r="A351" s="302"/>
      <c r="B351" s="309"/>
      <c r="C351" s="322">
        <f t="shared" ca="1" si="131"/>
        <v>0</v>
      </c>
      <c r="D351" s="7" t="s">
        <v>36</v>
      </c>
      <c r="E351" s="48" t="s">
        <v>55</v>
      </c>
      <c r="F351" s="657">
        <f t="shared" ca="1" si="132"/>
        <v>0</v>
      </c>
      <c r="G351" s="658">
        <f ca="1">+IFERROR(G$5*GETPIVOTDATA("Unique Billed Hours",'County allocation'!$A$3,"County",$D346,"HHA/CDPAP","HHA","Level of Service",$D351),0)</f>
        <v>0</v>
      </c>
      <c r="H351" s="658">
        <f>+IFERROR(H$5*GETPIVOTDATA("Unique Billed Hours",'County allocation'!$S$3,"County",$D346,"HHA/CDPAP","HHA","Level of Service",$D351),0)</f>
        <v>0</v>
      </c>
      <c r="I351" s="664">
        <f t="shared" ca="1" si="133"/>
        <v>0</v>
      </c>
      <c r="J351" s="658">
        <f ca="1">+IFERROR(J$5*GETPIVOTDATA("Unique Billed Hours",'County allocation'!$S$3,"County",$D346,"HHA/CDPAP","HHA","Level of Service",$D351),0)</f>
        <v>0</v>
      </c>
      <c r="K351" s="658">
        <f ca="1">+IFERROR(K$5*GETPIVOTDATA("Unique Billed Hours",'County allocation'!$X$3,"County",$D346,"HHA/CDPAP","HHA","Level of Service",$D351),0)</f>
        <v>0</v>
      </c>
      <c r="L351" s="658">
        <f ca="1">+IFERROR(L$2*GETPIVOTDATA("Unique Billed Hours",'County allocation'!$O$3,"County",$D346,"HHA/CDPAP","HHA","Level of Service",$D351),0)</f>
        <v>0</v>
      </c>
      <c r="M351" s="658">
        <f>+IFERROR(M$5*GETPIVOTDATA("Unique Billed Hours",'County allocation'!$S$3,"County",$D346,"HHA/CDPAP","HHA","Level of Service",$D351),0)</f>
        <v>0</v>
      </c>
      <c r="N351" s="658">
        <f>+IFERROR(N$5*GETPIVOTDATA("Unique Billed Hours",'County allocation'!$S$3,"County",$D346,"HHA/CDPAP","HHA","Level of Service",$D351),0)</f>
        <v>0</v>
      </c>
      <c r="O351" s="658">
        <f>+IFERROR(O$5*GETPIVOTDATA("Unique Billed Hours",'County allocation'!$K$19,"County",$D346,"HHA/CDPAP","HHA","Level of Service",$D351),0)</f>
        <v>0</v>
      </c>
      <c r="P351" s="658">
        <f>+IFERROR(P$5*GETPIVOTDATA("Unique Billed Hours",'County allocation'!$S$3,"County",$D346,"HHA/CDPAP","HHA","Level of Service",$D351),0)</f>
        <v>0</v>
      </c>
    </row>
    <row r="352" spans="1:18" s="54" customFormat="1" ht="15.75" hidden="1" thickBot="1" x14ac:dyDescent="0.3">
      <c r="A352" s="119"/>
      <c r="B352" s="309"/>
      <c r="C352" s="322">
        <f t="shared" ca="1" si="131"/>
        <v>0</v>
      </c>
      <c r="D352" s="7" t="s">
        <v>37</v>
      </c>
      <c r="E352" s="48" t="s">
        <v>54</v>
      </c>
      <c r="F352" s="657">
        <f t="shared" ca="1" si="132"/>
        <v>0</v>
      </c>
      <c r="G352" s="658">
        <f ca="1">+IFERROR(G$5*GETPIVOTDATA("Unique Billed Hours",'County allocation'!$A$3,"County",$D346,"HHA/CDPAP","HHA","Level of Service",$D352),0)</f>
        <v>0</v>
      </c>
      <c r="H352" s="658">
        <f>+IFERROR(H$5*GETPIVOTDATA("Unique Billed Hours",'County allocation'!$S$3,"County",$D346,"HHA/CDPAP","HHA","Level of Service",$D352),0)</f>
        <v>0</v>
      </c>
      <c r="I352" s="664">
        <f t="shared" ca="1" si="133"/>
        <v>0</v>
      </c>
      <c r="J352" s="658">
        <f ca="1">+IFERROR(J$5*GETPIVOTDATA("Unique Billed Hours",'County allocation'!$S$3,"County",$D346,"HHA/CDPAP","HHA","Level of Service",$D352),0)</f>
        <v>0</v>
      </c>
      <c r="K352" s="658">
        <f ca="1">+IFERROR(K$5*GETPIVOTDATA("Unique Billed Hours",'County allocation'!$X$3,"County",$D346,"HHA/CDPAP","HHA","Level of Service",$D352),0)</f>
        <v>0</v>
      </c>
      <c r="L352" s="658">
        <f ca="1">+IFERROR(L$2*GETPIVOTDATA("Unique Billed Hours",'County allocation'!$O$3,"County",$D346,"HHA/CDPAP","HHA","Level of Service",$D352),0)</f>
        <v>0</v>
      </c>
      <c r="M352" s="658">
        <f>+IFERROR(M$5*GETPIVOTDATA("Unique Billed Hours",'County allocation'!$S$3,"County",$D346,"HHA/CDPAP","HHA","Level of Service",$D352),0)</f>
        <v>0</v>
      </c>
      <c r="N352" s="658">
        <f>+IFERROR(N$5*GETPIVOTDATA("Unique Billed Hours",'County allocation'!$S$3,"County",$D346,"HHA/CDPAP","HHA","Level of Service",$D352),0)</f>
        <v>0</v>
      </c>
      <c r="O352" s="658">
        <f>+IFERROR(O$5*GETPIVOTDATA("Unique Billed Hours",'County allocation'!$K$19,"County",$D346,"HHA/CDPAP","HHA","Level of Service",$D352),0)</f>
        <v>0</v>
      </c>
      <c r="P352" s="658">
        <f>+IFERROR(P$5*GETPIVOTDATA("Unique Billed Hours",'County allocation'!$S$3,"County",$D346,"HHA/CDPAP","HHA","Level of Service",$D352),0)</f>
        <v>0</v>
      </c>
    </row>
    <row r="353" spans="1:18" s="54" customFormat="1" ht="15.75" hidden="1" thickBot="1" x14ac:dyDescent="0.3">
      <c r="A353" s="119"/>
      <c r="B353" s="309"/>
      <c r="C353" s="322">
        <f t="shared" ca="1" si="131"/>
        <v>0</v>
      </c>
      <c r="D353" s="7" t="s">
        <v>38</v>
      </c>
      <c r="E353" s="48" t="s">
        <v>53</v>
      </c>
      <c r="F353" s="657">
        <f t="shared" ca="1" si="132"/>
        <v>0</v>
      </c>
      <c r="G353" s="658">
        <f ca="1">+IFERROR(G$5*GETPIVOTDATA("Unique Billed Hours",'County allocation'!$A$3,"County",$D346,"HHA/CDPAP","HHA","Level of Service",$D353),0)</f>
        <v>0</v>
      </c>
      <c r="H353" s="658">
        <f>+IFERROR(H$5*GETPIVOTDATA("Unique Billed Hours",'County allocation'!$S$3,"County",$D346,"HHA/CDPAP","HHA","Level of Service",$D353),0)</f>
        <v>0</v>
      </c>
      <c r="I353" s="664">
        <f t="shared" ca="1" si="133"/>
        <v>0</v>
      </c>
      <c r="J353" s="658">
        <f ca="1">+IFERROR(J$5*GETPIVOTDATA("Unique Billed Hours",'County allocation'!$S$3,"County",$D346,"HHA/CDPAP","HHA","Level of Service",$D353),0)</f>
        <v>0</v>
      </c>
      <c r="K353" s="658">
        <f ca="1">+IFERROR(K$5*GETPIVOTDATA("Unique Billed Hours",'County allocation'!$X$3,"County",$D346,"HHA/CDPAP","HHA","Level of Service",$D353),0)</f>
        <v>0</v>
      </c>
      <c r="L353" s="658">
        <f ca="1">+IFERROR(L$5*GETPIVOTDATA("Unique Billed Hours",'County allocation'!$K$19,"County",$D346,"HHA/CDPAP","HHA","Level of Service",$D353),0)</f>
        <v>0</v>
      </c>
      <c r="M353" s="658">
        <f>+IFERROR(M$5*GETPIVOTDATA("Unique Billed Hours",'County allocation'!$S$3,"County",$D346,"HHA/CDPAP","HHA","Level of Service",$D353),0)</f>
        <v>0</v>
      </c>
      <c r="N353" s="658">
        <f>+IFERROR(N$5*GETPIVOTDATA("Unique Billed Hours",'County allocation'!$S$3,"County",$D346,"HHA/CDPAP","HHA","Level of Service",$D353),0)</f>
        <v>0</v>
      </c>
      <c r="O353" s="658">
        <f>+IFERROR(O$5*GETPIVOTDATA("Unique Billed Hours",'County allocation'!$K$19,"County",$D346,"HHA/CDPAP","HHA","Level of Service",$D353),0)</f>
        <v>0</v>
      </c>
      <c r="P353" s="658">
        <f>+IFERROR(P$5*GETPIVOTDATA("Unique Billed Hours",'County allocation'!$S$3,"County",$D346,"HHA/CDPAP","HHA","Level of Service",$D353),0)</f>
        <v>0</v>
      </c>
    </row>
    <row r="354" spans="1:18" s="54" customFormat="1" ht="15.75" hidden="1" thickBot="1" x14ac:dyDescent="0.3">
      <c r="A354" s="119"/>
      <c r="B354" s="309"/>
      <c r="C354" s="322">
        <f t="shared" ca="1" si="131"/>
        <v>0</v>
      </c>
      <c r="D354" s="7" t="s">
        <v>39</v>
      </c>
      <c r="E354" s="48" t="s">
        <v>52</v>
      </c>
      <c r="F354" s="657">
        <f t="shared" ca="1" si="132"/>
        <v>0</v>
      </c>
      <c r="G354" s="658">
        <f ca="1">+IFERROR(G$5*GETPIVOTDATA("Unique Billed Hours",'County allocation'!$A$3,"County",$D346,"HHA/CDPAP","HHA","Level of Service",$D354),0)</f>
        <v>0</v>
      </c>
      <c r="H354" s="658">
        <f>+IFERROR(H$5*GETPIVOTDATA("Unique Billed Hours",'County allocation'!$S$3,"County",$D346,"HHA/CDPAP","HHA","Level of Service",$D354),0)</f>
        <v>0</v>
      </c>
      <c r="I354" s="664">
        <f t="shared" ca="1" si="133"/>
        <v>0</v>
      </c>
      <c r="J354" s="658">
        <f ca="1">+IFERROR(J$5*GETPIVOTDATA("Unique Billed Hours",'County allocation'!$S$3,"County",$D346,"HHA/CDPAP","HHA","Level of Service",$D354),0)</f>
        <v>0</v>
      </c>
      <c r="K354" s="658">
        <f ca="1">+IFERROR(K$5*GETPIVOTDATA("Unique Billed Hours",'County allocation'!$X$3,"County",$D346,"HHA/CDPAP","HHA","Level of Service",$D354),0)</f>
        <v>0</v>
      </c>
      <c r="L354" s="658">
        <f ca="1">+IFERROR(L$5*GETPIVOTDATA("Unique Billed Hours",'County allocation'!$K$19,"County",$D346,"HHA/CDPAP","HHA","Level of Service",$D354),0)</f>
        <v>0</v>
      </c>
      <c r="M354" s="658">
        <f>+IFERROR(M$5*GETPIVOTDATA("Unique Billed Hours",'County allocation'!$S$3,"County",$D346,"HHA/CDPAP","HHA","Level of Service",$D354),0)</f>
        <v>0</v>
      </c>
      <c r="N354" s="658">
        <f>+IFERROR(N$5*GETPIVOTDATA("Unique Billed Hours",'County allocation'!$S$3,"County",$D346,"HHA/CDPAP","HHA","Level of Service",$D354),0)</f>
        <v>0</v>
      </c>
      <c r="O354" s="658">
        <f>+IFERROR(O$5*GETPIVOTDATA("Unique Billed Hours",'County allocation'!$K$19,"County",$D346,"HHA/CDPAP","HHA","Level of Service",$D354),0)</f>
        <v>0</v>
      </c>
      <c r="P354" s="658">
        <f>+IFERROR(P$5*GETPIVOTDATA("Unique Billed Hours",'County allocation'!$S$3,"County",$D346,"HHA/CDPAP","HHA","Level of Service",$D354),0)</f>
        <v>0</v>
      </c>
    </row>
    <row r="355" spans="1:18" s="54" customFormat="1" ht="15.75" hidden="1" thickBot="1" x14ac:dyDescent="0.3">
      <c r="A355" s="119"/>
      <c r="B355" s="309"/>
      <c r="C355" s="322">
        <f t="shared" ca="1" si="131"/>
        <v>0</v>
      </c>
      <c r="D355" s="8" t="s">
        <v>40</v>
      </c>
      <c r="E355" s="48" t="s">
        <v>51</v>
      </c>
      <c r="F355" s="657">
        <f t="shared" ca="1" si="132"/>
        <v>0</v>
      </c>
      <c r="G355" s="658">
        <f ca="1">+IFERROR(G$5*GETPIVOTDATA("Unique Billed Hours",'County allocation'!$A$3,"County",$D346,"HHA/CDPAP","HHA","Level of Service",$D355),0)</f>
        <v>0</v>
      </c>
      <c r="H355" s="658">
        <f>+IFERROR(H$5*GETPIVOTDATA("Unique Billed Hours",'County allocation'!$S$3,"County",$D346,"HHA/CDPAP","HHA","Level of Service",$D355),0)</f>
        <v>0</v>
      </c>
      <c r="I355" s="664">
        <f t="shared" ca="1" si="133"/>
        <v>0</v>
      </c>
      <c r="J355" s="658">
        <f ca="1">+IFERROR(J$5*GETPIVOTDATA("Unique Billed Hours",'County allocation'!$S$3,"County",$D346,"HHA/CDPAP","HHA","Level of Service",$D355),0)</f>
        <v>0</v>
      </c>
      <c r="K355" s="658">
        <f ca="1">+IFERROR(K$5*GETPIVOTDATA("Unique Billed Hours",'County allocation'!$X$3,"County",$D346,"HHA/CDPAP","HHA","Level of Service",$D355),0)</f>
        <v>0</v>
      </c>
      <c r="L355" s="658">
        <f ca="1">+IFERROR(L$2*GETPIVOTDATA("Unique Billed Hours",'County allocation'!$O$3,"County",$D346,"HHA/CDPAP","HHA","Level of Service",$D355),0)</f>
        <v>0</v>
      </c>
      <c r="M355" s="658">
        <f>+IFERROR(M$5*GETPIVOTDATA("Unique Billed Hours",'County allocation'!$S$3,"County",$D346,"HHA/CDPAP","HHA","Level of Service",$D355),0)</f>
        <v>0</v>
      </c>
      <c r="N355" s="658">
        <f>+IFERROR(N$5*GETPIVOTDATA("Unique Billed Hours",'County allocation'!$S$3,"County",$D346,"HHA/CDPAP","HHA","Level of Service",$D355),0)</f>
        <v>0</v>
      </c>
      <c r="O355" s="658">
        <f>+IFERROR(O$5*GETPIVOTDATA("Unique Billed Hours",'County allocation'!$K$19,"County",$D346,"HHA/CDPAP","HHA","Level of Service",$D355),0)</f>
        <v>0</v>
      </c>
      <c r="P355" s="658">
        <f>+IFERROR(P$5*GETPIVOTDATA("Unique Billed Hours",'County allocation'!$S$3,"County",$D346,"HHA/CDPAP","HHA","Level of Service",$D355),0)</f>
        <v>0</v>
      </c>
    </row>
    <row r="356" spans="1:18" s="54" customFormat="1" ht="15.75" hidden="1" thickBot="1" x14ac:dyDescent="0.3">
      <c r="A356" s="119"/>
      <c r="B356" s="309"/>
      <c r="C356" s="322">
        <f t="shared" ca="1" si="131"/>
        <v>0</v>
      </c>
      <c r="D356" s="8" t="s">
        <v>41</v>
      </c>
      <c r="E356" s="48" t="s">
        <v>50</v>
      </c>
      <c r="F356" s="657">
        <f t="shared" ca="1" si="132"/>
        <v>0</v>
      </c>
      <c r="G356" s="658">
        <f ca="1">+IFERROR(G$5*GETPIVOTDATA("Unique Billed Hours",'County allocation'!$A$3,"County",$D346,"HHA/CDPAP","HHA","Level of Service",$D356),0)</f>
        <v>0</v>
      </c>
      <c r="H356" s="658">
        <f>+IFERROR(H$5*GETPIVOTDATA("Unique Billed Hours",'County allocation'!$S$3,"County",$D346,"HHA/CDPAP","HHA","Level of Service",$D356),0)</f>
        <v>0</v>
      </c>
      <c r="I356" s="664">
        <f t="shared" ca="1" si="133"/>
        <v>0</v>
      </c>
      <c r="J356" s="658">
        <f ca="1">+IFERROR(J$5*GETPIVOTDATA("Unique Billed Hours",'County allocation'!$S$3,"County",$D346,"HHA/CDPAP","HHA","Level of Service",$D356),0)</f>
        <v>0</v>
      </c>
      <c r="K356" s="658">
        <f ca="1">+IFERROR(K$5*GETPIVOTDATA("Unique Billed Hours",'County allocation'!$X$3,"County",$D346,"HHA/CDPAP","HHA","Level of Service",$D356),0)</f>
        <v>0</v>
      </c>
      <c r="L356" s="658">
        <f ca="1">+IFERROR(L$2*GETPIVOTDATA("Unique Billed Hours",'County allocation'!$O$3,"County",$D346,"HHA/CDPAP","HHA","Level of Service",$D356),0)</f>
        <v>0</v>
      </c>
      <c r="M356" s="658">
        <f>+IFERROR(M$5*GETPIVOTDATA("Unique Billed Hours",'County allocation'!$S$3,"County",$D346,"HHA/CDPAP","HHA","Level of Service",$D356),0)</f>
        <v>0</v>
      </c>
      <c r="N356" s="658">
        <f>+IFERROR(N$5*GETPIVOTDATA("Unique Billed Hours",'County allocation'!$S$3,"County",$D346,"HHA/CDPAP","HHA","Level of Service",$D356),0)</f>
        <v>0</v>
      </c>
      <c r="O356" s="658">
        <f>+IFERROR(O$5*GETPIVOTDATA("Unique Billed Hours",'County allocation'!$K$19,"County",$D346,"HHA/CDPAP","HHA","Level of Service",$D356),0)</f>
        <v>0</v>
      </c>
      <c r="P356" s="658">
        <f>+IFERROR(P$5*GETPIVOTDATA("Unique Billed Hours",'County allocation'!$S$3,"County",$D346,"HHA/CDPAP","HHA","Level of Service",$D356),0)</f>
        <v>0</v>
      </c>
    </row>
    <row r="357" spans="1:18" s="54" customFormat="1" ht="15.75" hidden="1" thickBot="1" x14ac:dyDescent="0.3">
      <c r="A357" s="119"/>
      <c r="B357" s="309"/>
      <c r="C357" s="322">
        <f t="shared" ca="1" si="131"/>
        <v>0</v>
      </c>
      <c r="D357" s="52" t="s">
        <v>389</v>
      </c>
      <c r="E357" s="53" t="s">
        <v>49</v>
      </c>
      <c r="F357" s="657">
        <f t="shared" ca="1" si="132"/>
        <v>0</v>
      </c>
      <c r="G357" s="661">
        <f ca="1">SUM(G349:G356)</f>
        <v>0</v>
      </c>
      <c r="H357" s="661">
        <f>SUM(H349:H356)</f>
        <v>0</v>
      </c>
      <c r="I357" s="664">
        <f t="shared" ca="1" si="133"/>
        <v>0</v>
      </c>
      <c r="J357" s="661">
        <f ca="1">SUM(J349:J356)</f>
        <v>0</v>
      </c>
      <c r="K357" s="661">
        <f t="shared" ref="K357:P357" ca="1" si="134">SUM(K349:K356)</f>
        <v>0</v>
      </c>
      <c r="L357" s="661">
        <f t="shared" ca="1" si="134"/>
        <v>0</v>
      </c>
      <c r="M357" s="661">
        <f t="shared" si="134"/>
        <v>0</v>
      </c>
      <c r="N357" s="661">
        <f t="shared" si="134"/>
        <v>0</v>
      </c>
      <c r="O357" s="661">
        <f t="shared" si="134"/>
        <v>0</v>
      </c>
      <c r="P357" s="661">
        <f t="shared" si="134"/>
        <v>0</v>
      </c>
    </row>
    <row r="358" spans="1:18" s="54" customFormat="1" ht="15.75" hidden="1" thickBot="1" x14ac:dyDescent="0.3">
      <c r="A358" s="119"/>
      <c r="B358" s="309"/>
      <c r="C358" s="322">
        <f t="shared" ca="1" si="131"/>
        <v>0</v>
      </c>
      <c r="D358" s="371" t="s">
        <v>390</v>
      </c>
      <c r="E358" s="325" t="s">
        <v>47</v>
      </c>
      <c r="F358" s="657">
        <f t="shared" ca="1" si="132"/>
        <v>0</v>
      </c>
      <c r="G358" s="665">
        <f ca="1">+IFERROR((G$5*GETPIVOTDATA("Unique Billed Hours",'County allocation'!$A$3,"County",$D346,"HHA/CDPAP","HHA","Level of Service",$D358))+($G$2*GETPIVOTDATA("Unique Billed Hours",'County allocation'!$F$7,"County",$D346,"HHA/CDPAP","HHA","Level of Service",$D358)),0)++IFERROR(J$5*GETPIVOTDATA("Unique Billed Hours",'County allocation'!$AC$3,"County",$D346,"HHA/CDPAP","HHA","Level of Service",$D358),0)+ +IFERROR(J$5*GETPIVOTDATA("Unique Billed Hours",'County allocation'!$AC$3,"County",$D346,"HHA/CDPAP","HHA","Level of Service",$D359),0)</f>
        <v>0</v>
      </c>
      <c r="H358" s="665">
        <f>+IFERROR(H$5*GETPIVOTDATA("Unique Billed Hours",'County allocation'!$S$3,"County",$D346,"HHA/CDPAP","HHA","Level of Service",$D358),0)</f>
        <v>0</v>
      </c>
      <c r="I358" s="664">
        <f t="shared" ca="1" si="133"/>
        <v>0</v>
      </c>
      <c r="J358" s="901"/>
      <c r="K358" s="665">
        <f ca="1">+IFERROR(K$5*GETPIVOTDATA("Unique Billed Hours",'County allocation'!$X$3,"County",$D346,"HHA/CDPAP","HHA","Level of Service",$D358),0)</f>
        <v>0</v>
      </c>
      <c r="L358" s="665">
        <f ca="1">+IFERROR(L$5*GETPIVOTDATA("Unique Billed Hours",'County allocation'!$K$19,"County",$D346,"HHA/CDPAP","HHA","Level of Service",$D358),0)</f>
        <v>0</v>
      </c>
      <c r="M358" s="665">
        <f>+IFERROR(M$5*GETPIVOTDATA("Unique Billed Hours",'County allocation'!$S$3,"County",$D346,"HHA/CDPAP","HHA","Level of Service",$D358),0)</f>
        <v>0</v>
      </c>
      <c r="N358" s="665">
        <f>+IFERROR(N$5*GETPIVOTDATA("Unique Billed Hours",'County allocation'!$S$3,"County",$D346,"HHA/CDPAP","HHA","Level of Service",$D358),0)</f>
        <v>0</v>
      </c>
      <c r="O358" s="665">
        <f>+IFERROR(O$5*GETPIVOTDATA("Unique Billed Hours",'County allocation'!$S$3,"County",$D346,"HHA/CDPAP","HHA","Level of Service",$D358),0)</f>
        <v>0</v>
      </c>
      <c r="P358" s="665">
        <f>+IFERROR(P$5*GETPIVOTDATA("Unique Billed Hours",'County allocation'!$S$3,"County",$D346,"HHA/CDPAP","HHA","Level of Service",$D358),0)</f>
        <v>0</v>
      </c>
    </row>
    <row r="359" spans="1:18" s="54" customFormat="1" ht="15.75" hidden="1" thickBot="1" x14ac:dyDescent="0.3">
      <c r="A359" s="119"/>
      <c r="B359" s="309"/>
      <c r="C359" s="322">
        <f t="shared" ca="1" si="131"/>
        <v>0</v>
      </c>
      <c r="D359" s="8" t="s">
        <v>391</v>
      </c>
      <c r="E359" s="370" t="s">
        <v>77</v>
      </c>
      <c r="F359" s="657">
        <f t="shared" ca="1" si="132"/>
        <v>0</v>
      </c>
      <c r="G359" s="656"/>
      <c r="H359" s="658">
        <f>+IFERROR(H$5*GETPIVOTDATA("Unique Billed Hours",'County allocation'!$S$3,"County",$D346,"HHA/CDPAP","HHA","Level of Service",$D359),0)</f>
        <v>0</v>
      </c>
      <c r="I359" s="664">
        <f t="shared" ca="1" si="133"/>
        <v>0</v>
      </c>
      <c r="J359" s="901"/>
      <c r="K359" s="665">
        <f ca="1">+IFERROR(K$5*GETPIVOTDATA("Unique Billed Hours",'County allocation'!$X$3,"County",$D346,"HHA/CDPAP","HHA","Level of Service",$D359),0)</f>
        <v>0</v>
      </c>
      <c r="L359" s="665">
        <f ca="1">+IFERROR(L$5*GETPIVOTDATA("Unique Billed Hours",'County allocation'!$K$19,"County",$D346,"HHA/CDPAP","HHA","Level of Service",$D359),0)</f>
        <v>0</v>
      </c>
      <c r="M359" s="665">
        <f>+IFERROR(M$5*GETPIVOTDATA("Unique Billed Hours",'County allocation'!$S$3,"County",$D346,"HHA/CDPAP","HHA","Level of Service",$D359),0)</f>
        <v>0</v>
      </c>
      <c r="N359" s="665">
        <f>+IFERROR(N$5*GETPIVOTDATA("Unique Billed Hours",'County allocation'!$S$3,"County",$D346,"HHA/CDPAP","HHA","Level of Service",$D359),0)</f>
        <v>0</v>
      </c>
      <c r="O359" s="665">
        <f>+IFERROR(O$5*GETPIVOTDATA("Unique Billed Hours",'County allocation'!$S$3,"County",$D346,"HHA/CDPAP","HHA","Level of Service",$D359),0)</f>
        <v>0</v>
      </c>
      <c r="P359" s="665">
        <f>+IFERROR(P$5*GETPIVOTDATA("Unique Billed Hours",'County allocation'!$S$3,"County",$D346,"HHA/CDPAP","HHA","Level of Service",$D359),0)</f>
        <v>0</v>
      </c>
    </row>
    <row r="360" spans="1:18" s="54" customFormat="1" ht="15.75" hidden="1" thickBot="1" x14ac:dyDescent="0.3">
      <c r="A360" s="119"/>
      <c r="B360" s="309"/>
      <c r="C360" s="322">
        <f t="shared" ca="1" si="131"/>
        <v>0</v>
      </c>
      <c r="D360" s="8" t="s">
        <v>374</v>
      </c>
      <c r="E360" s="370" t="s">
        <v>78</v>
      </c>
      <c r="F360" s="657">
        <f t="shared" ca="1" si="132"/>
        <v>0</v>
      </c>
      <c r="G360" s="658">
        <f ca="1">+IFERROR(G$5*GETPIVOTDATA("Unique Billed Hours",'County allocation'!$A$3,"County",$D346,"HHA/CDPAP","HHA","Level of Service",$D360),0)++IFERROR(J$5*GETPIVOTDATA("Unique Billed Hours",'County allocation'!$AC$3,"County",$D346,"HHA/CDPAP","HHA","Level of Service",$D360),0)</f>
        <v>0</v>
      </c>
      <c r="H360" s="658">
        <f>+IFERROR(H$5*GETPIVOTDATA("Unique Billed Hours",'County allocation'!$S$3,"County",$D346,"HHA/CDPAP","HHA","Level of Service",$D360),0)</f>
        <v>0</v>
      </c>
      <c r="I360" s="664">
        <f t="shared" ca="1" si="133"/>
        <v>0</v>
      </c>
      <c r="J360" s="901"/>
      <c r="K360" s="665">
        <f ca="1">+IFERROR(K$5*GETPIVOTDATA("Unique Billed Hours",'County allocation'!$X$3,"County",$D346,"HHA/CDPAP","HHA","Level of Service",$D360),0)</f>
        <v>0</v>
      </c>
      <c r="L360" s="665">
        <f ca="1">+IFERROR(L$5*GETPIVOTDATA("Unique Billed Hours",'County allocation'!$K$19,"County",$D346,"HHA/CDPAP","HHA","Level of Service",$D360),0)</f>
        <v>0</v>
      </c>
      <c r="M360" s="665">
        <f>+IFERROR(M$5*GETPIVOTDATA("Unique Billed Hours",'County allocation'!$S$3,"County",$D346,"HHA/CDPAP","HHA","Level of Service",$D360),0)</f>
        <v>0</v>
      </c>
      <c r="N360" s="665">
        <f>+IFERROR(N$5*GETPIVOTDATA("Unique Billed Hours",'County allocation'!$S$3,"County",$D346,"HHA/CDPAP","HHA","Level of Service",$D360),0)</f>
        <v>0</v>
      </c>
      <c r="O360" s="665">
        <f>+IFERROR(O$5*GETPIVOTDATA("Unique Billed Hours",'County allocation'!$S$3,"County",$D346,"HHA/CDPAP","HHA","Level of Service",$D360),0)</f>
        <v>0</v>
      </c>
      <c r="P360" s="665">
        <f>+IFERROR(P$5*GETPIVOTDATA("Unique Billed Hours",'County allocation'!$S$3,"County",$D346,"HHA/CDPAP","HHA","Level of Service",$D360),0)</f>
        <v>0</v>
      </c>
    </row>
    <row r="361" spans="1:18" s="54" customFormat="1" ht="15.75" hidden="1" thickBot="1" x14ac:dyDescent="0.3">
      <c r="A361" s="302"/>
      <c r="B361" s="309"/>
      <c r="C361" s="322">
        <f ca="1">C360</f>
        <v>0</v>
      </c>
      <c r="D361" s="52" t="s">
        <v>48</v>
      </c>
      <c r="E361" s="53" t="s">
        <v>79</v>
      </c>
      <c r="F361" s="657">
        <f t="shared" ca="1" si="132"/>
        <v>0</v>
      </c>
      <c r="G361" s="661">
        <f t="shared" ref="G361" ca="1" si="135">SUM(G357:G360)</f>
        <v>0</v>
      </c>
      <c r="H361" s="661">
        <f t="shared" ref="H361:P361" si="136">SUM(H357:H360)</f>
        <v>0</v>
      </c>
      <c r="I361" s="661">
        <f t="shared" ca="1" si="136"/>
        <v>0</v>
      </c>
      <c r="J361" s="661">
        <f t="shared" ca="1" si="136"/>
        <v>0</v>
      </c>
      <c r="K361" s="661">
        <f t="shared" ca="1" si="136"/>
        <v>0</v>
      </c>
      <c r="L361" s="661">
        <f t="shared" ca="1" si="136"/>
        <v>0</v>
      </c>
      <c r="M361" s="661">
        <f t="shared" si="136"/>
        <v>0</v>
      </c>
      <c r="N361" s="661">
        <f t="shared" si="136"/>
        <v>0</v>
      </c>
      <c r="O361" s="661">
        <f t="shared" si="136"/>
        <v>0</v>
      </c>
      <c r="P361" s="661">
        <f t="shared" si="136"/>
        <v>0</v>
      </c>
    </row>
    <row r="362" spans="1:18" s="54" customFormat="1" ht="15.75" hidden="1" thickBot="1" x14ac:dyDescent="0.3">
      <c r="A362" s="119"/>
      <c r="B362" s="309"/>
      <c r="C362" s="322"/>
      <c r="E362" s="55"/>
      <c r="F362" s="666"/>
      <c r="G362" s="666"/>
      <c r="H362" s="666"/>
      <c r="I362" s="666"/>
      <c r="J362" s="666"/>
      <c r="K362" s="666"/>
      <c r="L362" s="666"/>
      <c r="M362" s="666"/>
      <c r="N362" s="666"/>
      <c r="O362" s="666"/>
      <c r="P362" s="666"/>
    </row>
    <row r="363" spans="1:18" s="54" customFormat="1" ht="75.75" hidden="1" thickBot="1" x14ac:dyDescent="0.3">
      <c r="A363" s="119"/>
      <c r="B363" s="309"/>
      <c r="C363" s="322">
        <f ca="1">IF(F378&gt;0,1,0)</f>
        <v>0</v>
      </c>
      <c r="D363" s="45" t="str">
        <f>A24</f>
        <v>Hamilton</v>
      </c>
      <c r="E363" s="28">
        <f>+SUMIF(A:A,D363,B:B)</f>
        <v>0</v>
      </c>
      <c r="F363" s="652" t="s">
        <v>61</v>
      </c>
      <c r="G363" s="652" t="s">
        <v>387</v>
      </c>
      <c r="H363" s="652" t="s">
        <v>388</v>
      </c>
      <c r="I363" s="652" t="s">
        <v>392</v>
      </c>
      <c r="J363" s="652" t="s">
        <v>31</v>
      </c>
      <c r="K363" s="652" t="s">
        <v>32</v>
      </c>
      <c r="L363" s="653" t="s">
        <v>33</v>
      </c>
      <c r="M363" s="653" t="s">
        <v>60</v>
      </c>
      <c r="N363" s="653" t="s">
        <v>59</v>
      </c>
      <c r="O363" s="653" t="s">
        <v>58</v>
      </c>
      <c r="P363" s="653" t="s">
        <v>16</v>
      </c>
    </row>
    <row r="364" spans="1:18" s="54" customFormat="1" ht="15.75" hidden="1" thickBot="1" x14ac:dyDescent="0.3">
      <c r="A364" s="119"/>
      <c r="B364" s="309"/>
      <c r="C364" s="322">
        <f ca="1">C363</f>
        <v>0</v>
      </c>
      <c r="D364" s="56"/>
      <c r="E364" s="57"/>
      <c r="F364" s="654" t="s">
        <v>57</v>
      </c>
      <c r="G364" s="654" t="s">
        <v>56</v>
      </c>
      <c r="H364" s="654" t="s">
        <v>55</v>
      </c>
      <c r="I364" s="654" t="s">
        <v>54</v>
      </c>
      <c r="J364" s="654" t="s">
        <v>53</v>
      </c>
      <c r="K364" s="654" t="s">
        <v>52</v>
      </c>
      <c r="L364" s="654" t="s">
        <v>51</v>
      </c>
      <c r="M364" s="654" t="s">
        <v>50</v>
      </c>
      <c r="N364" s="654" t="s">
        <v>49</v>
      </c>
      <c r="O364" s="654" t="s">
        <v>47</v>
      </c>
      <c r="P364" s="655" t="s">
        <v>77</v>
      </c>
    </row>
    <row r="365" spans="1:18" s="54" customFormat="1" ht="15.75" hidden="1" thickBot="1" x14ac:dyDescent="0.3">
      <c r="A365" s="119"/>
      <c r="B365" s="309"/>
      <c r="C365" s="322">
        <f t="shared" ref="C365:C377" ca="1" si="137">C364</f>
        <v>0</v>
      </c>
      <c r="D365" s="59" t="s">
        <v>26</v>
      </c>
      <c r="E365" s="57"/>
      <c r="F365" s="656"/>
      <c r="G365" s="656"/>
      <c r="H365" s="656"/>
      <c r="I365" s="656"/>
      <c r="J365" s="656"/>
      <c r="K365" s="656"/>
      <c r="L365" s="656"/>
      <c r="M365" s="656"/>
      <c r="N365" s="656"/>
      <c r="O365" s="656"/>
      <c r="P365" s="663"/>
    </row>
    <row r="366" spans="1:18" s="54" customFormat="1" ht="15.75" hidden="1" thickBot="1" x14ac:dyDescent="0.3">
      <c r="A366" s="119"/>
      <c r="B366" s="309"/>
      <c r="C366" s="322">
        <f t="shared" ca="1" si="137"/>
        <v>0</v>
      </c>
      <c r="D366" s="7" t="s">
        <v>34</v>
      </c>
      <c r="E366" s="48" t="s">
        <v>57</v>
      </c>
      <c r="F366" s="657">
        <f ca="1">+H366+G366+I366</f>
        <v>0</v>
      </c>
      <c r="G366" s="658">
        <f ca="1">+IFERROR(G$5*GETPIVOTDATA("Unique Billed Hours",'County allocation'!$A$3,"County",$D363,"HHA/CDPAP","HHA","Level of Service",$D366),0)</f>
        <v>0</v>
      </c>
      <c r="H366" s="658">
        <f>+IFERROR(H$5*GETPIVOTDATA("Unique Billed Hours",'County allocation'!$S$3,"County",$D363,"HHA/CDPAP","HHA","Level of Service",$D366),0)</f>
        <v>0</v>
      </c>
      <c r="I366" s="664">
        <f ca="1">SUM(J366:P366)</f>
        <v>0</v>
      </c>
      <c r="J366" s="658">
        <f ca="1">+IFERROR(J$5*GETPIVOTDATA("Unique Billed Hours",'County allocation'!$S$3,"County",$D363,"HHA/CDPAP","HHA","Level of Service",$D366),0)</f>
        <v>0</v>
      </c>
      <c r="K366" s="658">
        <f ca="1">+IFERROR(K$5*GETPIVOTDATA("Unique Billed Hours",'County allocation'!$X$3,"County",$D363,"HHA/CDPAP","HHA","Level of Service",$D366),0)</f>
        <v>0</v>
      </c>
      <c r="L366" s="658">
        <f ca="1">+IFERROR(L$2*GETPIVOTDATA("Unique Billed Hours",'County allocation'!$O$3,"County",$D363,"HHA/CDPAP","HHA","Level of Service",$D366),0)</f>
        <v>0</v>
      </c>
      <c r="M366" s="658">
        <f>+IFERROR(M$5*GETPIVOTDATA("Unique Billed Hours",'County allocation'!$S$3,"County",$D363,"HHA/CDPAP","HHA","Level of Service",$D366),0)</f>
        <v>0</v>
      </c>
      <c r="N366" s="658">
        <f>+IFERROR(N$5*GETPIVOTDATA("Unique Billed Hours",'County allocation'!$S$3,"County",$D363,"HHA/CDPAP","HHA","Level of Service",$D366),0)</f>
        <v>0</v>
      </c>
      <c r="O366" s="658">
        <f>+IFERROR(O$5*GETPIVOTDATA("Unique Billed Hours",'County allocation'!$K$19,"County",$D363,"HHA/CDPAP","HHA","Level of Service",$D366),0)</f>
        <v>0</v>
      </c>
      <c r="P366" s="658">
        <f>+IFERROR(P$5*GETPIVOTDATA("Unique Billed Hours",'County allocation'!$S$3,"County",$D363,"HHA/CDPAP","HHA","Level of Service",$D366),0)</f>
        <v>0</v>
      </c>
    </row>
    <row r="367" spans="1:18" s="54" customFormat="1" ht="15.75" hidden="1" thickBot="1" x14ac:dyDescent="0.3">
      <c r="A367" s="119"/>
      <c r="B367" s="309"/>
      <c r="C367" s="322">
        <f t="shared" ca="1" si="137"/>
        <v>0</v>
      </c>
      <c r="D367" s="7" t="s">
        <v>35</v>
      </c>
      <c r="E367" s="48" t="s">
        <v>56</v>
      </c>
      <c r="F367" s="657">
        <f t="shared" ref="F367:F378" ca="1" si="138">+H367+G367+I367</f>
        <v>0</v>
      </c>
      <c r="G367" s="658">
        <f ca="1">+IFERROR(G$5*GETPIVOTDATA("Unique Billed Hours",'County allocation'!$A$3,"County",$D363,"HHA/CDPAP","HHA","Level of Service",$D367),0)</f>
        <v>0</v>
      </c>
      <c r="H367" s="658">
        <f>+IFERROR(H$5*GETPIVOTDATA("Unique Billed Hours",'County allocation'!$S$3,"County",$D363,"HHA/CDPAP","HHA","Level of Service",$D367),0)</f>
        <v>0</v>
      </c>
      <c r="I367" s="664">
        <f t="shared" ref="I367:I377" ca="1" si="139">SUM(J367:P367)</f>
        <v>0</v>
      </c>
      <c r="J367" s="658">
        <f ca="1">+IFERROR(J$5*GETPIVOTDATA("Unique Billed Hours",'County allocation'!$S$3,"County",$D363,"HHA/CDPAP","HHA","Level of Service",$D367),0)</f>
        <v>0</v>
      </c>
      <c r="K367" s="658">
        <f ca="1">+IFERROR(K$5*GETPIVOTDATA("Unique Billed Hours",'County allocation'!$X$3,"County",$D363,"HHA/CDPAP","HHA","Level of Service",$D367),0)</f>
        <v>0</v>
      </c>
      <c r="L367" s="658">
        <f ca="1">+IFERROR(L$2*GETPIVOTDATA("Unique Billed Hours",'County allocation'!$O$3,"County",$D363,"HHA/CDPAP","HHA","Level of Service",$D367),0)</f>
        <v>0</v>
      </c>
      <c r="M367" s="658">
        <f>+IFERROR(M$5*GETPIVOTDATA("Unique Billed Hours",'County allocation'!$S$3,"County",$D363,"HHA/CDPAP","HHA","Level of Service",$D367),0)</f>
        <v>0</v>
      </c>
      <c r="N367" s="658">
        <f>+IFERROR(N$5*GETPIVOTDATA("Unique Billed Hours",'County allocation'!$S$3,"County",$D363,"HHA/CDPAP","HHA","Level of Service",$D367),0)</f>
        <v>0</v>
      </c>
      <c r="O367" s="658">
        <f>+IFERROR(O$5*GETPIVOTDATA("Unique Billed Hours",'County allocation'!$K$19,"County",$D363,"HHA/CDPAP","HHA","Level of Service",$D367),0)</f>
        <v>0</v>
      </c>
      <c r="P367" s="658">
        <f>+IFERROR(P$5*GETPIVOTDATA("Unique Billed Hours",'County allocation'!$S$3,"County",$D363,"HHA/CDPAP","HHA","Level of Service",$D367),0)</f>
        <v>0</v>
      </c>
      <c r="R367" s="61"/>
    </row>
    <row r="368" spans="1:18" s="54" customFormat="1" ht="15.75" hidden="1" thickBot="1" x14ac:dyDescent="0.3">
      <c r="A368" s="302"/>
      <c r="B368" s="309"/>
      <c r="C368" s="322">
        <f t="shared" ca="1" si="137"/>
        <v>0</v>
      </c>
      <c r="D368" s="7" t="s">
        <v>36</v>
      </c>
      <c r="E368" s="48" t="s">
        <v>55</v>
      </c>
      <c r="F368" s="657">
        <f t="shared" ca="1" si="138"/>
        <v>0</v>
      </c>
      <c r="G368" s="658">
        <f ca="1">+IFERROR(G$5*GETPIVOTDATA("Unique Billed Hours",'County allocation'!$A$3,"County",$D363,"HHA/CDPAP","HHA","Level of Service",$D368),0)</f>
        <v>0</v>
      </c>
      <c r="H368" s="658">
        <f>+IFERROR(H$5*GETPIVOTDATA("Unique Billed Hours",'County allocation'!$S$3,"County",$D363,"HHA/CDPAP","HHA","Level of Service",$D368),0)</f>
        <v>0</v>
      </c>
      <c r="I368" s="664">
        <f t="shared" ca="1" si="139"/>
        <v>0</v>
      </c>
      <c r="J368" s="658">
        <f ca="1">+IFERROR(J$5*GETPIVOTDATA("Unique Billed Hours",'County allocation'!$S$3,"County",$D363,"HHA/CDPAP","HHA","Level of Service",$D368),0)</f>
        <v>0</v>
      </c>
      <c r="K368" s="658">
        <f ca="1">+IFERROR(K$5*GETPIVOTDATA("Unique Billed Hours",'County allocation'!$X$3,"County",$D363,"HHA/CDPAP","HHA","Level of Service",$D368),0)</f>
        <v>0</v>
      </c>
      <c r="L368" s="658">
        <f ca="1">+IFERROR(L$2*GETPIVOTDATA("Unique Billed Hours",'County allocation'!$O$3,"County",$D363,"HHA/CDPAP","HHA","Level of Service",$D368),0)</f>
        <v>0</v>
      </c>
      <c r="M368" s="658">
        <f>+IFERROR(M$5*GETPIVOTDATA("Unique Billed Hours",'County allocation'!$S$3,"County",$D363,"HHA/CDPAP","HHA","Level of Service",$D368),0)</f>
        <v>0</v>
      </c>
      <c r="N368" s="658">
        <f>+IFERROR(N$5*GETPIVOTDATA("Unique Billed Hours",'County allocation'!$S$3,"County",$D363,"HHA/CDPAP","HHA","Level of Service",$D368),0)</f>
        <v>0</v>
      </c>
      <c r="O368" s="658">
        <f>+IFERROR(O$5*GETPIVOTDATA("Unique Billed Hours",'County allocation'!$K$19,"County",$D363,"HHA/CDPAP","HHA","Level of Service",$D368),0)</f>
        <v>0</v>
      </c>
      <c r="P368" s="658">
        <f>+IFERROR(P$5*GETPIVOTDATA("Unique Billed Hours",'County allocation'!$S$3,"County",$D363,"HHA/CDPAP","HHA","Level of Service",$D368),0)</f>
        <v>0</v>
      </c>
    </row>
    <row r="369" spans="1:18" s="54" customFormat="1" ht="15.75" hidden="1" thickBot="1" x14ac:dyDescent="0.3">
      <c r="A369" s="119"/>
      <c r="B369" s="309"/>
      <c r="C369" s="322">
        <f t="shared" ca="1" si="137"/>
        <v>0</v>
      </c>
      <c r="D369" s="7" t="s">
        <v>37</v>
      </c>
      <c r="E369" s="48" t="s">
        <v>54</v>
      </c>
      <c r="F369" s="657">
        <f t="shared" ca="1" si="138"/>
        <v>0</v>
      </c>
      <c r="G369" s="658">
        <f ca="1">+IFERROR(G$5*GETPIVOTDATA("Unique Billed Hours",'County allocation'!$A$3,"County",$D363,"HHA/CDPAP","HHA","Level of Service",$D369),0)</f>
        <v>0</v>
      </c>
      <c r="H369" s="658">
        <f>+IFERROR(H$5*GETPIVOTDATA("Unique Billed Hours",'County allocation'!$S$3,"County",$D363,"HHA/CDPAP","HHA","Level of Service",$D369),0)</f>
        <v>0</v>
      </c>
      <c r="I369" s="664">
        <f t="shared" ca="1" si="139"/>
        <v>0</v>
      </c>
      <c r="J369" s="658">
        <f ca="1">+IFERROR(J$5*GETPIVOTDATA("Unique Billed Hours",'County allocation'!$S$3,"County",$D363,"HHA/CDPAP","HHA","Level of Service",$D369),0)</f>
        <v>0</v>
      </c>
      <c r="K369" s="658">
        <f ca="1">+IFERROR(K$5*GETPIVOTDATA("Unique Billed Hours",'County allocation'!$X$3,"County",$D363,"HHA/CDPAP","HHA","Level of Service",$D369),0)</f>
        <v>0</v>
      </c>
      <c r="L369" s="658">
        <f ca="1">+IFERROR(L$2*GETPIVOTDATA("Unique Billed Hours",'County allocation'!$O$3,"County",$D363,"HHA/CDPAP","HHA","Level of Service",$D369),0)</f>
        <v>0</v>
      </c>
      <c r="M369" s="658">
        <f>+IFERROR(M$5*GETPIVOTDATA("Unique Billed Hours",'County allocation'!$S$3,"County",$D363,"HHA/CDPAP","HHA","Level of Service",$D369),0)</f>
        <v>0</v>
      </c>
      <c r="N369" s="658">
        <f>+IFERROR(N$5*GETPIVOTDATA("Unique Billed Hours",'County allocation'!$S$3,"County",$D363,"HHA/CDPAP","HHA","Level of Service",$D369),0)</f>
        <v>0</v>
      </c>
      <c r="O369" s="658">
        <f>+IFERROR(O$5*GETPIVOTDATA("Unique Billed Hours",'County allocation'!$K$19,"County",$D363,"HHA/CDPAP","HHA","Level of Service",$D369),0)</f>
        <v>0</v>
      </c>
      <c r="P369" s="658">
        <f>+IFERROR(P$5*GETPIVOTDATA("Unique Billed Hours",'County allocation'!$S$3,"County",$D363,"HHA/CDPAP","HHA","Level of Service",$D369),0)</f>
        <v>0</v>
      </c>
    </row>
    <row r="370" spans="1:18" s="54" customFormat="1" ht="15.75" hidden="1" thickBot="1" x14ac:dyDescent="0.3">
      <c r="A370" s="119"/>
      <c r="B370" s="309"/>
      <c r="C370" s="322">
        <f t="shared" ca="1" si="137"/>
        <v>0</v>
      </c>
      <c r="D370" s="7" t="s">
        <v>38</v>
      </c>
      <c r="E370" s="48" t="s">
        <v>53</v>
      </c>
      <c r="F370" s="657">
        <f t="shared" ca="1" si="138"/>
        <v>0</v>
      </c>
      <c r="G370" s="658">
        <f ca="1">+IFERROR(G$5*GETPIVOTDATA("Unique Billed Hours",'County allocation'!$A$3,"County",$D363,"HHA/CDPAP","HHA","Level of Service",$D370),0)</f>
        <v>0</v>
      </c>
      <c r="H370" s="658">
        <f>+IFERROR(H$5*GETPIVOTDATA("Unique Billed Hours",'County allocation'!$S$3,"County",$D363,"HHA/CDPAP","HHA","Level of Service",$D370),0)</f>
        <v>0</v>
      </c>
      <c r="I370" s="664">
        <f t="shared" ca="1" si="139"/>
        <v>0</v>
      </c>
      <c r="J370" s="658">
        <f ca="1">+IFERROR(J$5*GETPIVOTDATA("Unique Billed Hours",'County allocation'!$S$3,"County",$D363,"HHA/CDPAP","HHA","Level of Service",$D370),0)</f>
        <v>0</v>
      </c>
      <c r="K370" s="658">
        <f ca="1">+IFERROR(K$5*GETPIVOTDATA("Unique Billed Hours",'County allocation'!$X$3,"County",$D363,"HHA/CDPAP","HHA","Level of Service",$D370),0)</f>
        <v>0</v>
      </c>
      <c r="L370" s="658">
        <f ca="1">+IFERROR(L$5*GETPIVOTDATA("Unique Billed Hours",'County allocation'!$K$19,"County",$D363,"HHA/CDPAP","HHA","Level of Service",$D370),0)</f>
        <v>0</v>
      </c>
      <c r="M370" s="658">
        <f>+IFERROR(M$5*GETPIVOTDATA("Unique Billed Hours",'County allocation'!$S$3,"County",$D363,"HHA/CDPAP","HHA","Level of Service",$D370),0)</f>
        <v>0</v>
      </c>
      <c r="N370" s="658">
        <f>+IFERROR(N$5*GETPIVOTDATA("Unique Billed Hours",'County allocation'!$S$3,"County",$D363,"HHA/CDPAP","HHA","Level of Service",$D370),0)</f>
        <v>0</v>
      </c>
      <c r="O370" s="658">
        <f>+IFERROR(O$5*GETPIVOTDATA("Unique Billed Hours",'County allocation'!$K$19,"County",$D363,"HHA/CDPAP","HHA","Level of Service",$D370),0)</f>
        <v>0</v>
      </c>
      <c r="P370" s="658">
        <f>+IFERROR(P$5*GETPIVOTDATA("Unique Billed Hours",'County allocation'!$S$3,"County",$D363,"HHA/CDPAP","HHA","Level of Service",$D370),0)</f>
        <v>0</v>
      </c>
    </row>
    <row r="371" spans="1:18" s="54" customFormat="1" ht="15.75" hidden="1" thickBot="1" x14ac:dyDescent="0.3">
      <c r="A371" s="119"/>
      <c r="B371" s="309"/>
      <c r="C371" s="322">
        <f t="shared" ca="1" si="137"/>
        <v>0</v>
      </c>
      <c r="D371" s="7" t="s">
        <v>39</v>
      </c>
      <c r="E371" s="48" t="s">
        <v>52</v>
      </c>
      <c r="F371" s="657">
        <f t="shared" ca="1" si="138"/>
        <v>0</v>
      </c>
      <c r="G371" s="658">
        <f ca="1">+IFERROR(G$5*GETPIVOTDATA("Unique Billed Hours",'County allocation'!$A$3,"County",$D363,"HHA/CDPAP","HHA","Level of Service",$D371),0)</f>
        <v>0</v>
      </c>
      <c r="H371" s="658">
        <f>+IFERROR(H$5*GETPIVOTDATA("Unique Billed Hours",'County allocation'!$S$3,"County",$D363,"HHA/CDPAP","HHA","Level of Service",$D371),0)</f>
        <v>0</v>
      </c>
      <c r="I371" s="664">
        <f t="shared" ca="1" si="139"/>
        <v>0</v>
      </c>
      <c r="J371" s="658">
        <f ca="1">+IFERROR(J$5*GETPIVOTDATA("Unique Billed Hours",'County allocation'!$S$3,"County",$D363,"HHA/CDPAP","HHA","Level of Service",$D371),0)</f>
        <v>0</v>
      </c>
      <c r="K371" s="658">
        <f ca="1">+IFERROR(K$5*GETPIVOTDATA("Unique Billed Hours",'County allocation'!$X$3,"County",$D363,"HHA/CDPAP","HHA","Level of Service",$D371),0)</f>
        <v>0</v>
      </c>
      <c r="L371" s="658">
        <f ca="1">+IFERROR(L$5*GETPIVOTDATA("Unique Billed Hours",'County allocation'!$K$19,"County",$D363,"HHA/CDPAP","HHA","Level of Service",$D371),0)</f>
        <v>0</v>
      </c>
      <c r="M371" s="658">
        <f>+IFERROR(M$5*GETPIVOTDATA("Unique Billed Hours",'County allocation'!$S$3,"County",$D363,"HHA/CDPAP","HHA","Level of Service",$D371),0)</f>
        <v>0</v>
      </c>
      <c r="N371" s="658">
        <f>+IFERROR(N$5*GETPIVOTDATA("Unique Billed Hours",'County allocation'!$S$3,"County",$D363,"HHA/CDPAP","HHA","Level of Service",$D371),0)</f>
        <v>0</v>
      </c>
      <c r="O371" s="658">
        <f>+IFERROR(O$5*GETPIVOTDATA("Unique Billed Hours",'County allocation'!$K$19,"County",$D363,"HHA/CDPAP","HHA","Level of Service",$D371),0)</f>
        <v>0</v>
      </c>
      <c r="P371" s="658">
        <f>+IFERROR(P$5*GETPIVOTDATA("Unique Billed Hours",'County allocation'!$S$3,"County",$D363,"HHA/CDPAP","HHA","Level of Service",$D371),0)</f>
        <v>0</v>
      </c>
    </row>
    <row r="372" spans="1:18" s="54" customFormat="1" ht="15.75" hidden="1" thickBot="1" x14ac:dyDescent="0.3">
      <c r="A372" s="119"/>
      <c r="B372" s="309"/>
      <c r="C372" s="322">
        <f t="shared" ca="1" si="137"/>
        <v>0</v>
      </c>
      <c r="D372" s="8" t="s">
        <v>40</v>
      </c>
      <c r="E372" s="48" t="s">
        <v>51</v>
      </c>
      <c r="F372" s="657">
        <f t="shared" ca="1" si="138"/>
        <v>0</v>
      </c>
      <c r="G372" s="658">
        <f ca="1">+IFERROR(G$5*GETPIVOTDATA("Unique Billed Hours",'County allocation'!$A$3,"County",$D363,"HHA/CDPAP","HHA","Level of Service",$D372),0)</f>
        <v>0</v>
      </c>
      <c r="H372" s="658">
        <f>+IFERROR(H$5*GETPIVOTDATA("Unique Billed Hours",'County allocation'!$S$3,"County",$D363,"HHA/CDPAP","HHA","Level of Service",$D372),0)</f>
        <v>0</v>
      </c>
      <c r="I372" s="664">
        <f t="shared" ca="1" si="139"/>
        <v>0</v>
      </c>
      <c r="J372" s="658">
        <f ca="1">+IFERROR(J$5*GETPIVOTDATA("Unique Billed Hours",'County allocation'!$S$3,"County",$D363,"HHA/CDPAP","HHA","Level of Service",$D372),0)</f>
        <v>0</v>
      </c>
      <c r="K372" s="658">
        <f ca="1">+IFERROR(K$5*GETPIVOTDATA("Unique Billed Hours",'County allocation'!$X$3,"County",$D363,"HHA/CDPAP","HHA","Level of Service",$D372),0)</f>
        <v>0</v>
      </c>
      <c r="L372" s="658">
        <f ca="1">+IFERROR(L$2*GETPIVOTDATA("Unique Billed Hours",'County allocation'!$O$3,"County",$D363,"HHA/CDPAP","HHA","Level of Service",$D372),0)</f>
        <v>0</v>
      </c>
      <c r="M372" s="658">
        <f>+IFERROR(M$5*GETPIVOTDATA("Unique Billed Hours",'County allocation'!$S$3,"County",$D363,"HHA/CDPAP","HHA","Level of Service",$D372),0)</f>
        <v>0</v>
      </c>
      <c r="N372" s="658">
        <f>+IFERROR(N$5*GETPIVOTDATA("Unique Billed Hours",'County allocation'!$S$3,"County",$D363,"HHA/CDPAP","HHA","Level of Service",$D372),0)</f>
        <v>0</v>
      </c>
      <c r="O372" s="658">
        <f>+IFERROR(O$5*GETPIVOTDATA("Unique Billed Hours",'County allocation'!$K$19,"County",$D363,"HHA/CDPAP","HHA","Level of Service",$D372),0)</f>
        <v>0</v>
      </c>
      <c r="P372" s="658">
        <f>+IFERROR(P$5*GETPIVOTDATA("Unique Billed Hours",'County allocation'!$S$3,"County",$D363,"HHA/CDPAP","HHA","Level of Service",$D372),0)</f>
        <v>0</v>
      </c>
    </row>
    <row r="373" spans="1:18" s="54" customFormat="1" ht="15.75" hidden="1" thickBot="1" x14ac:dyDescent="0.3">
      <c r="A373" s="119"/>
      <c r="B373" s="309"/>
      <c r="C373" s="322">
        <f t="shared" ca="1" si="137"/>
        <v>0</v>
      </c>
      <c r="D373" s="8" t="s">
        <v>41</v>
      </c>
      <c r="E373" s="48" t="s">
        <v>50</v>
      </c>
      <c r="F373" s="657">
        <f t="shared" ca="1" si="138"/>
        <v>0</v>
      </c>
      <c r="G373" s="658">
        <f ca="1">+IFERROR(G$5*GETPIVOTDATA("Unique Billed Hours",'County allocation'!$A$3,"County",$D363,"HHA/CDPAP","HHA","Level of Service",$D373),0)</f>
        <v>0</v>
      </c>
      <c r="H373" s="658">
        <f>+IFERROR(H$5*GETPIVOTDATA("Unique Billed Hours",'County allocation'!$S$3,"County",$D363,"HHA/CDPAP","HHA","Level of Service",$D373),0)</f>
        <v>0</v>
      </c>
      <c r="I373" s="664">
        <f t="shared" ca="1" si="139"/>
        <v>0</v>
      </c>
      <c r="J373" s="658">
        <f ca="1">+IFERROR(J$5*GETPIVOTDATA("Unique Billed Hours",'County allocation'!$S$3,"County",$D363,"HHA/CDPAP","HHA","Level of Service",$D373),0)</f>
        <v>0</v>
      </c>
      <c r="K373" s="658">
        <f ca="1">+IFERROR(K$5*GETPIVOTDATA("Unique Billed Hours",'County allocation'!$X$3,"County",$D363,"HHA/CDPAP","HHA","Level of Service",$D373),0)</f>
        <v>0</v>
      </c>
      <c r="L373" s="658">
        <f ca="1">+IFERROR(L$2*GETPIVOTDATA("Unique Billed Hours",'County allocation'!$O$3,"County",$D363,"HHA/CDPAP","HHA","Level of Service",$D373),0)</f>
        <v>0</v>
      </c>
      <c r="M373" s="658">
        <f>+IFERROR(M$5*GETPIVOTDATA("Unique Billed Hours",'County allocation'!$S$3,"County",$D363,"HHA/CDPAP","HHA","Level of Service",$D373),0)</f>
        <v>0</v>
      </c>
      <c r="N373" s="658">
        <f>+IFERROR(N$5*GETPIVOTDATA("Unique Billed Hours",'County allocation'!$S$3,"County",$D363,"HHA/CDPAP","HHA","Level of Service",$D373),0)</f>
        <v>0</v>
      </c>
      <c r="O373" s="658">
        <f>+IFERROR(O$5*GETPIVOTDATA("Unique Billed Hours",'County allocation'!$K$19,"County",$D363,"HHA/CDPAP","HHA","Level of Service",$D373),0)</f>
        <v>0</v>
      </c>
      <c r="P373" s="658">
        <f>+IFERROR(P$5*GETPIVOTDATA("Unique Billed Hours",'County allocation'!$S$3,"County",$D363,"HHA/CDPAP","HHA","Level of Service",$D373),0)</f>
        <v>0</v>
      </c>
    </row>
    <row r="374" spans="1:18" s="54" customFormat="1" ht="15.75" hidden="1" thickBot="1" x14ac:dyDescent="0.3">
      <c r="A374" s="119"/>
      <c r="B374" s="309"/>
      <c r="C374" s="322">
        <f t="shared" ca="1" si="137"/>
        <v>0</v>
      </c>
      <c r="D374" s="52" t="s">
        <v>389</v>
      </c>
      <c r="E374" s="53" t="s">
        <v>49</v>
      </c>
      <c r="F374" s="657">
        <f t="shared" ca="1" si="138"/>
        <v>0</v>
      </c>
      <c r="G374" s="661">
        <f ca="1">SUM(G366:G373)</f>
        <v>0</v>
      </c>
      <c r="H374" s="661">
        <f>SUM(H366:H373)</f>
        <v>0</v>
      </c>
      <c r="I374" s="664">
        <f t="shared" ca="1" si="139"/>
        <v>0</v>
      </c>
      <c r="J374" s="661">
        <f ca="1">SUM(J366:J373)</f>
        <v>0</v>
      </c>
      <c r="K374" s="661">
        <f t="shared" ref="K374:P374" ca="1" si="140">SUM(K366:K373)</f>
        <v>0</v>
      </c>
      <c r="L374" s="661">
        <f t="shared" ca="1" si="140"/>
        <v>0</v>
      </c>
      <c r="M374" s="661">
        <f t="shared" si="140"/>
        <v>0</v>
      </c>
      <c r="N374" s="661">
        <f t="shared" si="140"/>
        <v>0</v>
      </c>
      <c r="O374" s="661">
        <f t="shared" si="140"/>
        <v>0</v>
      </c>
      <c r="P374" s="661">
        <f t="shared" si="140"/>
        <v>0</v>
      </c>
    </row>
    <row r="375" spans="1:18" s="54" customFormat="1" ht="15.75" hidden="1" thickBot="1" x14ac:dyDescent="0.3">
      <c r="A375" s="119"/>
      <c r="B375" s="309"/>
      <c r="C375" s="322">
        <f t="shared" ca="1" si="137"/>
        <v>0</v>
      </c>
      <c r="D375" s="371" t="s">
        <v>390</v>
      </c>
      <c r="E375" s="325" t="s">
        <v>47</v>
      </c>
      <c r="F375" s="657">
        <f t="shared" ca="1" si="138"/>
        <v>0</v>
      </c>
      <c r="G375" s="665">
        <f ca="1">+IFERROR((G$5*GETPIVOTDATA("Unique Billed Hours",'County allocation'!$A$3,"County",$D363,"HHA/CDPAP","HHA","Level of Service",$D375))+($G$2*GETPIVOTDATA("Unique Billed Hours",'County allocation'!$F$7,"County",$D363,"HHA/CDPAP","HHA","Level of Service",$D375)),0)++IFERROR(J$5*GETPIVOTDATA("Unique Billed Hours",'County allocation'!$AC$3,"County",$D363,"HHA/CDPAP","HHA","Level of Service",$D375),0)+ +IFERROR(J$5*GETPIVOTDATA("Unique Billed Hours",'County allocation'!$AC$3,"County",$D363,"HHA/CDPAP","HHA","Level of Service",$D376),0)</f>
        <v>0</v>
      </c>
      <c r="H375" s="665">
        <f>+IFERROR(H$5*GETPIVOTDATA("Unique Billed Hours",'County allocation'!$S$3,"County",$D363,"HHA/CDPAP","HHA","Level of Service",$D375),0)</f>
        <v>0</v>
      </c>
      <c r="I375" s="664">
        <f t="shared" ca="1" si="139"/>
        <v>0</v>
      </c>
      <c r="J375" s="901"/>
      <c r="K375" s="665">
        <f ca="1">+IFERROR(K$5*GETPIVOTDATA("Unique Billed Hours",'County allocation'!$X$3,"County",$D363,"HHA/CDPAP","HHA","Level of Service",$D375),0)</f>
        <v>0</v>
      </c>
      <c r="L375" s="665">
        <f ca="1">+IFERROR(L$5*GETPIVOTDATA("Unique Billed Hours",'County allocation'!$K$19,"County",$D363,"HHA/CDPAP","HHA","Level of Service",$D375),0)</f>
        <v>0</v>
      </c>
      <c r="M375" s="665">
        <f>+IFERROR(M$5*GETPIVOTDATA("Unique Billed Hours",'County allocation'!$S$3,"County",$D363,"HHA/CDPAP","HHA","Level of Service",$D375),0)</f>
        <v>0</v>
      </c>
      <c r="N375" s="665">
        <f>+IFERROR(N$5*GETPIVOTDATA("Unique Billed Hours",'County allocation'!$S$3,"County",$D363,"HHA/CDPAP","HHA","Level of Service",$D375),0)</f>
        <v>0</v>
      </c>
      <c r="O375" s="665">
        <f>+IFERROR(O$5*GETPIVOTDATA("Unique Billed Hours",'County allocation'!$S$3,"County",$D363,"HHA/CDPAP","HHA","Level of Service",$D375),0)</f>
        <v>0</v>
      </c>
      <c r="P375" s="665">
        <f>+IFERROR(P$5*GETPIVOTDATA("Unique Billed Hours",'County allocation'!$S$3,"County",$D363,"HHA/CDPAP","HHA","Level of Service",$D375),0)</f>
        <v>0</v>
      </c>
    </row>
    <row r="376" spans="1:18" s="54" customFormat="1" ht="15.75" hidden="1" thickBot="1" x14ac:dyDescent="0.3">
      <c r="A376" s="119"/>
      <c r="B376" s="309"/>
      <c r="C376" s="322">
        <f t="shared" ca="1" si="137"/>
        <v>0</v>
      </c>
      <c r="D376" s="8" t="s">
        <v>391</v>
      </c>
      <c r="E376" s="370" t="s">
        <v>77</v>
      </c>
      <c r="F376" s="657">
        <f t="shared" ca="1" si="138"/>
        <v>0</v>
      </c>
      <c r="G376" s="656"/>
      <c r="H376" s="658">
        <f>+IFERROR(H$5*GETPIVOTDATA("Unique Billed Hours",'County allocation'!$S$3,"County",$D363,"HHA/CDPAP","HHA","Level of Service",$D376),0)</f>
        <v>0</v>
      </c>
      <c r="I376" s="664">
        <f t="shared" ca="1" si="139"/>
        <v>0</v>
      </c>
      <c r="J376" s="901"/>
      <c r="K376" s="665">
        <f ca="1">+IFERROR(K$5*GETPIVOTDATA("Unique Billed Hours",'County allocation'!$X$3,"County",$D363,"HHA/CDPAP","HHA","Level of Service",$D376),0)</f>
        <v>0</v>
      </c>
      <c r="L376" s="665">
        <f ca="1">+IFERROR(L$5*GETPIVOTDATA("Unique Billed Hours",'County allocation'!$K$19,"County",$D363,"HHA/CDPAP","HHA","Level of Service",$D376),0)</f>
        <v>0</v>
      </c>
      <c r="M376" s="665">
        <f>+IFERROR(M$5*GETPIVOTDATA("Unique Billed Hours",'County allocation'!$S$3,"County",$D363,"HHA/CDPAP","HHA","Level of Service",$D376),0)</f>
        <v>0</v>
      </c>
      <c r="N376" s="665">
        <f>+IFERROR(N$5*GETPIVOTDATA("Unique Billed Hours",'County allocation'!$S$3,"County",$D363,"HHA/CDPAP","HHA","Level of Service",$D376),0)</f>
        <v>0</v>
      </c>
      <c r="O376" s="665">
        <f>+IFERROR(O$5*GETPIVOTDATA("Unique Billed Hours",'County allocation'!$S$3,"County",$D363,"HHA/CDPAP","HHA","Level of Service",$D376),0)</f>
        <v>0</v>
      </c>
      <c r="P376" s="665">
        <f>+IFERROR(P$5*GETPIVOTDATA("Unique Billed Hours",'County allocation'!$S$3,"County",$D363,"HHA/CDPAP","HHA","Level of Service",$D376),0)</f>
        <v>0</v>
      </c>
    </row>
    <row r="377" spans="1:18" s="54" customFormat="1" ht="15.75" hidden="1" thickBot="1" x14ac:dyDescent="0.3">
      <c r="A377" s="119"/>
      <c r="B377" s="309"/>
      <c r="C377" s="322">
        <f t="shared" ca="1" si="137"/>
        <v>0</v>
      </c>
      <c r="D377" s="8" t="s">
        <v>374</v>
      </c>
      <c r="E377" s="370" t="s">
        <v>78</v>
      </c>
      <c r="F377" s="657">
        <f t="shared" ca="1" si="138"/>
        <v>0</v>
      </c>
      <c r="G377" s="658">
        <f ca="1">+IFERROR(G$5*GETPIVOTDATA("Unique Billed Hours",'County allocation'!$A$3,"County",$D363,"HHA/CDPAP","HHA","Level of Service",$D377),0)++IFERROR(J$5*GETPIVOTDATA("Unique Billed Hours",'County allocation'!$AC$3,"County",$D363,"HHA/CDPAP","HHA","Level of Service",$D377),0)</f>
        <v>0</v>
      </c>
      <c r="H377" s="658">
        <f>+IFERROR(H$5*GETPIVOTDATA("Unique Billed Hours",'County allocation'!$S$3,"County",$D363,"HHA/CDPAP","HHA","Level of Service",$D377),0)</f>
        <v>0</v>
      </c>
      <c r="I377" s="664">
        <f t="shared" ca="1" si="139"/>
        <v>0</v>
      </c>
      <c r="J377" s="901"/>
      <c r="K377" s="665">
        <f ca="1">+IFERROR(K$5*GETPIVOTDATA("Unique Billed Hours",'County allocation'!$X$3,"County",$D363,"HHA/CDPAP","HHA","Level of Service",$D377),0)</f>
        <v>0</v>
      </c>
      <c r="L377" s="665">
        <f ca="1">+IFERROR(L$5*GETPIVOTDATA("Unique Billed Hours",'County allocation'!$K$19,"County",$D363,"HHA/CDPAP","HHA","Level of Service",$D377),0)</f>
        <v>0</v>
      </c>
      <c r="M377" s="665">
        <f>+IFERROR(M$5*GETPIVOTDATA("Unique Billed Hours",'County allocation'!$S$3,"County",$D363,"HHA/CDPAP","HHA","Level of Service",$D377),0)</f>
        <v>0</v>
      </c>
      <c r="N377" s="665">
        <f>+IFERROR(N$5*GETPIVOTDATA("Unique Billed Hours",'County allocation'!$S$3,"County",$D363,"HHA/CDPAP","HHA","Level of Service",$D377),0)</f>
        <v>0</v>
      </c>
      <c r="O377" s="665">
        <f>+IFERROR(O$5*GETPIVOTDATA("Unique Billed Hours",'County allocation'!$S$3,"County",$D363,"HHA/CDPAP","HHA","Level of Service",$D377),0)</f>
        <v>0</v>
      </c>
      <c r="P377" s="665">
        <f>+IFERROR(P$5*GETPIVOTDATA("Unique Billed Hours",'County allocation'!$S$3,"County",$D363,"HHA/CDPAP","HHA","Level of Service",$D377),0)</f>
        <v>0</v>
      </c>
    </row>
    <row r="378" spans="1:18" s="54" customFormat="1" ht="15.75" hidden="1" thickBot="1" x14ac:dyDescent="0.3">
      <c r="A378" s="302"/>
      <c r="B378" s="309"/>
      <c r="C378" s="322">
        <f ca="1">C377</f>
        <v>0</v>
      </c>
      <c r="D378" s="52" t="s">
        <v>48</v>
      </c>
      <c r="E378" s="53" t="s">
        <v>79</v>
      </c>
      <c r="F378" s="657">
        <f t="shared" ca="1" si="138"/>
        <v>0</v>
      </c>
      <c r="G378" s="661">
        <f t="shared" ref="G378" ca="1" si="141">SUM(G374:G377)</f>
        <v>0</v>
      </c>
      <c r="H378" s="661">
        <f t="shared" ref="H378:P378" si="142">SUM(H374:H377)</f>
        <v>0</v>
      </c>
      <c r="I378" s="661">
        <f t="shared" ca="1" si="142"/>
        <v>0</v>
      </c>
      <c r="J378" s="661">
        <f t="shared" ca="1" si="142"/>
        <v>0</v>
      </c>
      <c r="K378" s="661">
        <f t="shared" ca="1" si="142"/>
        <v>0</v>
      </c>
      <c r="L378" s="661">
        <f t="shared" ca="1" si="142"/>
        <v>0</v>
      </c>
      <c r="M378" s="661">
        <f t="shared" si="142"/>
        <v>0</v>
      </c>
      <c r="N378" s="661">
        <f t="shared" si="142"/>
        <v>0</v>
      </c>
      <c r="O378" s="661">
        <f t="shared" si="142"/>
        <v>0</v>
      </c>
      <c r="P378" s="661">
        <f t="shared" si="142"/>
        <v>0</v>
      </c>
    </row>
    <row r="379" spans="1:18" ht="15.75" hidden="1" thickBot="1" x14ac:dyDescent="0.3"/>
    <row r="380" spans="1:18" s="54" customFormat="1" ht="75.75" hidden="1" thickBot="1" x14ac:dyDescent="0.3">
      <c r="A380" s="119"/>
      <c r="B380" s="309"/>
      <c r="C380" s="322">
        <f ca="1">IF(F395&gt;0,1,0)</f>
        <v>0</v>
      </c>
      <c r="D380" s="45" t="str">
        <f>A25</f>
        <v>Herkimer</v>
      </c>
      <c r="E380" s="28">
        <f>+SUMIF(A:A,D380,B:B)</f>
        <v>0</v>
      </c>
      <c r="F380" s="652" t="s">
        <v>61</v>
      </c>
      <c r="G380" s="652" t="s">
        <v>387</v>
      </c>
      <c r="H380" s="652" t="s">
        <v>388</v>
      </c>
      <c r="I380" s="652" t="s">
        <v>392</v>
      </c>
      <c r="J380" s="652" t="s">
        <v>31</v>
      </c>
      <c r="K380" s="652" t="s">
        <v>32</v>
      </c>
      <c r="L380" s="653" t="s">
        <v>33</v>
      </c>
      <c r="M380" s="653" t="s">
        <v>60</v>
      </c>
      <c r="N380" s="653" t="s">
        <v>59</v>
      </c>
      <c r="O380" s="653" t="s">
        <v>58</v>
      </c>
      <c r="P380" s="653" t="s">
        <v>16</v>
      </c>
    </row>
    <row r="381" spans="1:18" s="54" customFormat="1" ht="15.75" hidden="1" thickBot="1" x14ac:dyDescent="0.3">
      <c r="A381" s="119"/>
      <c r="B381" s="309"/>
      <c r="C381" s="322">
        <f ca="1">C380</f>
        <v>0</v>
      </c>
      <c r="D381" s="56"/>
      <c r="E381" s="57"/>
      <c r="F381" s="654" t="s">
        <v>57</v>
      </c>
      <c r="G381" s="654" t="s">
        <v>56</v>
      </c>
      <c r="H381" s="654" t="s">
        <v>55</v>
      </c>
      <c r="I381" s="654" t="s">
        <v>54</v>
      </c>
      <c r="J381" s="654" t="s">
        <v>53</v>
      </c>
      <c r="K381" s="654" t="s">
        <v>52</v>
      </c>
      <c r="L381" s="654" t="s">
        <v>51</v>
      </c>
      <c r="M381" s="654" t="s">
        <v>50</v>
      </c>
      <c r="N381" s="654" t="s">
        <v>49</v>
      </c>
      <c r="O381" s="654" t="s">
        <v>47</v>
      </c>
      <c r="P381" s="655" t="s">
        <v>77</v>
      </c>
    </row>
    <row r="382" spans="1:18" s="54" customFormat="1" ht="15.75" hidden="1" thickBot="1" x14ac:dyDescent="0.3">
      <c r="A382" s="119"/>
      <c r="B382" s="309"/>
      <c r="C382" s="322">
        <f t="shared" ref="C382:C394" ca="1" si="143">C381</f>
        <v>0</v>
      </c>
      <c r="D382" s="59" t="s">
        <v>26</v>
      </c>
      <c r="E382" s="57"/>
      <c r="F382" s="656"/>
      <c r="G382" s="656"/>
      <c r="H382" s="656"/>
      <c r="I382" s="656"/>
      <c r="J382" s="656"/>
      <c r="K382" s="656"/>
      <c r="L382" s="656"/>
      <c r="M382" s="656"/>
      <c r="N382" s="656"/>
      <c r="O382" s="656"/>
      <c r="P382" s="663"/>
    </row>
    <row r="383" spans="1:18" s="54" customFormat="1" ht="15.75" hidden="1" thickBot="1" x14ac:dyDescent="0.3">
      <c r="A383" s="119"/>
      <c r="B383" s="309"/>
      <c r="C383" s="322">
        <f t="shared" ca="1" si="143"/>
        <v>0</v>
      </c>
      <c r="D383" s="7" t="s">
        <v>34</v>
      </c>
      <c r="E383" s="48" t="s">
        <v>57</v>
      </c>
      <c r="F383" s="657">
        <f ca="1">+H383+G383+I383</f>
        <v>0</v>
      </c>
      <c r="G383" s="658">
        <f ca="1">+IFERROR(G$5*GETPIVOTDATA("Unique Billed Hours",'County allocation'!$A$3,"County",$D380,"HHA/CDPAP","HHA","Level of Service",$D383),0)</f>
        <v>0</v>
      </c>
      <c r="H383" s="658">
        <f>+IFERROR(H$5*GETPIVOTDATA("Unique Billed Hours",'County allocation'!$S$3,"County",$D380,"HHA/CDPAP","HHA","Level of Service",$D383),0)</f>
        <v>0</v>
      </c>
      <c r="I383" s="664">
        <f ca="1">SUM(J383:P383)</f>
        <v>0</v>
      </c>
      <c r="J383" s="658">
        <f ca="1">+IFERROR(J$5*GETPIVOTDATA("Unique Billed Hours",'County allocation'!$S$3,"County",$D380,"HHA/CDPAP","HHA","Level of Service",$D383),0)</f>
        <v>0</v>
      </c>
      <c r="K383" s="658">
        <f ca="1">+IFERROR(K$5*GETPIVOTDATA("Unique Billed Hours",'County allocation'!$X$3,"County",$D380,"HHA/CDPAP","HHA","Level of Service",$D383),0)</f>
        <v>0</v>
      </c>
      <c r="L383" s="658">
        <f ca="1">+IFERROR(L$2*GETPIVOTDATA("Unique Billed Hours",'County allocation'!$O$3,"County",$D380,"HHA/CDPAP","HHA","Level of Service",$D383),0)</f>
        <v>0</v>
      </c>
      <c r="M383" s="658">
        <f>+IFERROR(M$5*GETPIVOTDATA("Unique Billed Hours",'County allocation'!$S$3,"County",$D380,"HHA/CDPAP","HHA","Level of Service",$D383),0)</f>
        <v>0</v>
      </c>
      <c r="N383" s="658">
        <f>+IFERROR(N$5*GETPIVOTDATA("Unique Billed Hours",'County allocation'!$S$3,"County",$D380,"HHA/CDPAP","HHA","Level of Service",$D383),0)</f>
        <v>0</v>
      </c>
      <c r="O383" s="658">
        <f>+IFERROR(O$5*GETPIVOTDATA("Unique Billed Hours",'County allocation'!$K$19,"County",$D380,"HHA/CDPAP","HHA","Level of Service",$D383),0)</f>
        <v>0</v>
      </c>
      <c r="P383" s="658">
        <f>+IFERROR(P$5*GETPIVOTDATA("Unique Billed Hours",'County allocation'!$S$3,"County",$D380,"HHA/CDPAP","HHA","Level of Service",$D383),0)</f>
        <v>0</v>
      </c>
    </row>
    <row r="384" spans="1:18" s="54" customFormat="1" ht="15.75" hidden="1" thickBot="1" x14ac:dyDescent="0.3">
      <c r="A384" s="119"/>
      <c r="B384" s="309"/>
      <c r="C384" s="322">
        <f t="shared" ca="1" si="143"/>
        <v>0</v>
      </c>
      <c r="D384" s="7" t="s">
        <v>35</v>
      </c>
      <c r="E384" s="48" t="s">
        <v>56</v>
      </c>
      <c r="F384" s="657">
        <f t="shared" ref="F384:F395" ca="1" si="144">+H384+G384+I384</f>
        <v>0</v>
      </c>
      <c r="G384" s="658">
        <f ca="1">+IFERROR(G$5*GETPIVOTDATA("Unique Billed Hours",'County allocation'!$A$3,"County",$D380,"HHA/CDPAP","HHA","Level of Service",$D384),0)</f>
        <v>0</v>
      </c>
      <c r="H384" s="658">
        <f>+IFERROR(H$5*GETPIVOTDATA("Unique Billed Hours",'County allocation'!$S$3,"County",$D380,"HHA/CDPAP","HHA","Level of Service",$D384),0)</f>
        <v>0</v>
      </c>
      <c r="I384" s="664">
        <f t="shared" ref="I384:I394" ca="1" si="145">SUM(J384:P384)</f>
        <v>0</v>
      </c>
      <c r="J384" s="658">
        <f ca="1">+IFERROR(J$5*GETPIVOTDATA("Unique Billed Hours",'County allocation'!$S$3,"County",$D380,"HHA/CDPAP","HHA","Level of Service",$D384),0)</f>
        <v>0</v>
      </c>
      <c r="K384" s="658">
        <f ca="1">+IFERROR(K$5*GETPIVOTDATA("Unique Billed Hours",'County allocation'!$X$3,"County",$D380,"HHA/CDPAP","HHA","Level of Service",$D384),0)</f>
        <v>0</v>
      </c>
      <c r="L384" s="658">
        <f ca="1">+IFERROR(L$2*GETPIVOTDATA("Unique Billed Hours",'County allocation'!$O$3,"County",$D380,"HHA/CDPAP","HHA","Level of Service",$D384),0)</f>
        <v>0</v>
      </c>
      <c r="M384" s="658">
        <f>+IFERROR(M$5*GETPIVOTDATA("Unique Billed Hours",'County allocation'!$S$3,"County",$D380,"HHA/CDPAP","HHA","Level of Service",$D384),0)</f>
        <v>0</v>
      </c>
      <c r="N384" s="658">
        <f>+IFERROR(N$5*GETPIVOTDATA("Unique Billed Hours",'County allocation'!$S$3,"County",$D380,"HHA/CDPAP","HHA","Level of Service",$D384),0)</f>
        <v>0</v>
      </c>
      <c r="O384" s="658">
        <f>+IFERROR(O$5*GETPIVOTDATA("Unique Billed Hours",'County allocation'!$K$19,"County",$D380,"HHA/CDPAP","HHA","Level of Service",$D384),0)</f>
        <v>0</v>
      </c>
      <c r="P384" s="658">
        <f>+IFERROR(P$5*GETPIVOTDATA("Unique Billed Hours",'County allocation'!$S$3,"County",$D380,"HHA/CDPAP","HHA","Level of Service",$D384),0)</f>
        <v>0</v>
      </c>
      <c r="R384" s="61"/>
    </row>
    <row r="385" spans="1:16" s="54" customFormat="1" ht="15.75" hidden="1" thickBot="1" x14ac:dyDescent="0.3">
      <c r="A385" s="302"/>
      <c r="B385" s="309"/>
      <c r="C385" s="322">
        <f t="shared" ca="1" si="143"/>
        <v>0</v>
      </c>
      <c r="D385" s="7" t="s">
        <v>36</v>
      </c>
      <c r="E385" s="48" t="s">
        <v>55</v>
      </c>
      <c r="F385" s="657">
        <f t="shared" ca="1" si="144"/>
        <v>0</v>
      </c>
      <c r="G385" s="658">
        <f ca="1">+IFERROR(G$5*GETPIVOTDATA("Unique Billed Hours",'County allocation'!$A$3,"County",$D380,"HHA/CDPAP","HHA","Level of Service",$D385),0)</f>
        <v>0</v>
      </c>
      <c r="H385" s="658">
        <f>+IFERROR(H$5*GETPIVOTDATA("Unique Billed Hours",'County allocation'!$S$3,"County",$D380,"HHA/CDPAP","HHA","Level of Service",$D385),0)</f>
        <v>0</v>
      </c>
      <c r="I385" s="664">
        <f t="shared" ca="1" si="145"/>
        <v>0</v>
      </c>
      <c r="J385" s="658">
        <f ca="1">+IFERROR(J$5*GETPIVOTDATA("Unique Billed Hours",'County allocation'!$S$3,"County",$D380,"HHA/CDPAP","HHA","Level of Service",$D385),0)</f>
        <v>0</v>
      </c>
      <c r="K385" s="658">
        <f ca="1">+IFERROR(K$5*GETPIVOTDATA("Unique Billed Hours",'County allocation'!$X$3,"County",$D380,"HHA/CDPAP","HHA","Level of Service",$D385),0)</f>
        <v>0</v>
      </c>
      <c r="L385" s="658">
        <f ca="1">+IFERROR(L$2*GETPIVOTDATA("Unique Billed Hours",'County allocation'!$O$3,"County",$D380,"HHA/CDPAP","HHA","Level of Service",$D385),0)</f>
        <v>0</v>
      </c>
      <c r="M385" s="658">
        <f>+IFERROR(M$5*GETPIVOTDATA("Unique Billed Hours",'County allocation'!$S$3,"County",$D380,"HHA/CDPAP","HHA","Level of Service",$D385),0)</f>
        <v>0</v>
      </c>
      <c r="N385" s="658">
        <f>+IFERROR(N$5*GETPIVOTDATA("Unique Billed Hours",'County allocation'!$S$3,"County",$D380,"HHA/CDPAP","HHA","Level of Service",$D385),0)</f>
        <v>0</v>
      </c>
      <c r="O385" s="658">
        <f>+IFERROR(O$5*GETPIVOTDATA("Unique Billed Hours",'County allocation'!$K$19,"County",$D380,"HHA/CDPAP","HHA","Level of Service",$D385),0)</f>
        <v>0</v>
      </c>
      <c r="P385" s="658">
        <f>+IFERROR(P$5*GETPIVOTDATA("Unique Billed Hours",'County allocation'!$S$3,"County",$D380,"HHA/CDPAP","HHA","Level of Service",$D385),0)</f>
        <v>0</v>
      </c>
    </row>
    <row r="386" spans="1:16" s="54" customFormat="1" ht="15.75" hidden="1" thickBot="1" x14ac:dyDescent="0.3">
      <c r="A386" s="119"/>
      <c r="B386" s="309"/>
      <c r="C386" s="322">
        <f t="shared" ca="1" si="143"/>
        <v>0</v>
      </c>
      <c r="D386" s="7" t="s">
        <v>37</v>
      </c>
      <c r="E386" s="48" t="s">
        <v>54</v>
      </c>
      <c r="F386" s="657">
        <f t="shared" ca="1" si="144"/>
        <v>0</v>
      </c>
      <c r="G386" s="658">
        <f ca="1">+IFERROR(G$5*GETPIVOTDATA("Unique Billed Hours",'County allocation'!$A$3,"County",$D380,"HHA/CDPAP","HHA","Level of Service",$D386),0)</f>
        <v>0</v>
      </c>
      <c r="H386" s="658">
        <f>+IFERROR(H$5*GETPIVOTDATA("Unique Billed Hours",'County allocation'!$S$3,"County",$D380,"HHA/CDPAP","HHA","Level of Service",$D386),0)</f>
        <v>0</v>
      </c>
      <c r="I386" s="664">
        <f t="shared" ca="1" si="145"/>
        <v>0</v>
      </c>
      <c r="J386" s="658">
        <f ca="1">+IFERROR(J$5*GETPIVOTDATA("Unique Billed Hours",'County allocation'!$S$3,"County",$D380,"HHA/CDPAP","HHA","Level of Service",$D386),0)</f>
        <v>0</v>
      </c>
      <c r="K386" s="658">
        <f ca="1">+IFERROR(K$5*GETPIVOTDATA("Unique Billed Hours",'County allocation'!$X$3,"County",$D380,"HHA/CDPAP","HHA","Level of Service",$D386),0)</f>
        <v>0</v>
      </c>
      <c r="L386" s="658">
        <f ca="1">+IFERROR(L$2*GETPIVOTDATA("Unique Billed Hours",'County allocation'!$O$3,"County",$D380,"HHA/CDPAP","HHA","Level of Service",$D386),0)</f>
        <v>0</v>
      </c>
      <c r="M386" s="658">
        <f>+IFERROR(M$5*GETPIVOTDATA("Unique Billed Hours",'County allocation'!$S$3,"County",$D380,"HHA/CDPAP","HHA","Level of Service",$D386),0)</f>
        <v>0</v>
      </c>
      <c r="N386" s="658">
        <f>+IFERROR(N$5*GETPIVOTDATA("Unique Billed Hours",'County allocation'!$S$3,"County",$D380,"HHA/CDPAP","HHA","Level of Service",$D386),0)</f>
        <v>0</v>
      </c>
      <c r="O386" s="658">
        <f>+IFERROR(O$5*GETPIVOTDATA("Unique Billed Hours",'County allocation'!$K$19,"County",$D380,"HHA/CDPAP","HHA","Level of Service",$D386),0)</f>
        <v>0</v>
      </c>
      <c r="P386" s="658">
        <f>+IFERROR(P$5*GETPIVOTDATA("Unique Billed Hours",'County allocation'!$S$3,"County",$D380,"HHA/CDPAP","HHA","Level of Service",$D386),0)</f>
        <v>0</v>
      </c>
    </row>
    <row r="387" spans="1:16" s="54" customFormat="1" ht="15.75" hidden="1" thickBot="1" x14ac:dyDescent="0.3">
      <c r="A387" s="119"/>
      <c r="B387" s="309"/>
      <c r="C387" s="322">
        <f t="shared" ca="1" si="143"/>
        <v>0</v>
      </c>
      <c r="D387" s="7" t="s">
        <v>38</v>
      </c>
      <c r="E387" s="48" t="s">
        <v>53</v>
      </c>
      <c r="F387" s="657">
        <f t="shared" ca="1" si="144"/>
        <v>0</v>
      </c>
      <c r="G387" s="658">
        <f ca="1">+IFERROR(G$5*GETPIVOTDATA("Unique Billed Hours",'County allocation'!$A$3,"County",$D380,"HHA/CDPAP","HHA","Level of Service",$D387),0)</f>
        <v>0</v>
      </c>
      <c r="H387" s="658">
        <f>+IFERROR(H$5*GETPIVOTDATA("Unique Billed Hours",'County allocation'!$S$3,"County",$D380,"HHA/CDPAP","HHA","Level of Service",$D387),0)</f>
        <v>0</v>
      </c>
      <c r="I387" s="664">
        <f t="shared" ca="1" si="145"/>
        <v>0</v>
      </c>
      <c r="J387" s="658">
        <f ca="1">+IFERROR(J$5*GETPIVOTDATA("Unique Billed Hours",'County allocation'!$S$3,"County",$D380,"HHA/CDPAP","HHA","Level of Service",$D387),0)</f>
        <v>0</v>
      </c>
      <c r="K387" s="658">
        <f ca="1">+IFERROR(K$5*GETPIVOTDATA("Unique Billed Hours",'County allocation'!$X$3,"County",$D380,"HHA/CDPAP","HHA","Level of Service",$D387),0)</f>
        <v>0</v>
      </c>
      <c r="L387" s="658">
        <f ca="1">+IFERROR(L$5*GETPIVOTDATA("Unique Billed Hours",'County allocation'!$K$19,"County",$D380,"HHA/CDPAP","HHA","Level of Service",$D387),0)</f>
        <v>0</v>
      </c>
      <c r="M387" s="658">
        <f>+IFERROR(M$5*GETPIVOTDATA("Unique Billed Hours",'County allocation'!$S$3,"County",$D380,"HHA/CDPAP","HHA","Level of Service",$D387),0)</f>
        <v>0</v>
      </c>
      <c r="N387" s="658">
        <f>+IFERROR(N$5*GETPIVOTDATA("Unique Billed Hours",'County allocation'!$S$3,"County",$D380,"HHA/CDPAP","HHA","Level of Service",$D387),0)</f>
        <v>0</v>
      </c>
      <c r="O387" s="658">
        <f>+IFERROR(O$5*GETPIVOTDATA("Unique Billed Hours",'County allocation'!$K$19,"County",$D380,"HHA/CDPAP","HHA","Level of Service",$D387),0)</f>
        <v>0</v>
      </c>
      <c r="P387" s="658">
        <f>+IFERROR(P$5*GETPIVOTDATA("Unique Billed Hours",'County allocation'!$S$3,"County",$D380,"HHA/CDPAP","HHA","Level of Service",$D387),0)</f>
        <v>0</v>
      </c>
    </row>
    <row r="388" spans="1:16" s="54" customFormat="1" ht="15.75" hidden="1" thickBot="1" x14ac:dyDescent="0.3">
      <c r="A388" s="119"/>
      <c r="B388" s="309"/>
      <c r="C388" s="322">
        <f t="shared" ca="1" si="143"/>
        <v>0</v>
      </c>
      <c r="D388" s="7" t="s">
        <v>39</v>
      </c>
      <c r="E388" s="48" t="s">
        <v>52</v>
      </c>
      <c r="F388" s="657">
        <f t="shared" ca="1" si="144"/>
        <v>0</v>
      </c>
      <c r="G388" s="658">
        <f ca="1">+IFERROR(G$5*GETPIVOTDATA("Unique Billed Hours",'County allocation'!$A$3,"County",$D380,"HHA/CDPAP","HHA","Level of Service",$D388),0)</f>
        <v>0</v>
      </c>
      <c r="H388" s="658">
        <f>+IFERROR(H$5*GETPIVOTDATA("Unique Billed Hours",'County allocation'!$S$3,"County",$D380,"HHA/CDPAP","HHA","Level of Service",$D388),0)</f>
        <v>0</v>
      </c>
      <c r="I388" s="664">
        <f t="shared" ca="1" si="145"/>
        <v>0</v>
      </c>
      <c r="J388" s="658">
        <f ca="1">+IFERROR(J$5*GETPIVOTDATA("Unique Billed Hours",'County allocation'!$S$3,"County",$D380,"HHA/CDPAP","HHA","Level of Service",$D388),0)</f>
        <v>0</v>
      </c>
      <c r="K388" s="658">
        <f ca="1">+IFERROR(K$5*GETPIVOTDATA("Unique Billed Hours",'County allocation'!$X$3,"County",$D380,"HHA/CDPAP","HHA","Level of Service",$D388),0)</f>
        <v>0</v>
      </c>
      <c r="L388" s="658">
        <f ca="1">+IFERROR(L$5*GETPIVOTDATA("Unique Billed Hours",'County allocation'!$K$19,"County",$D380,"HHA/CDPAP","HHA","Level of Service",$D388),0)</f>
        <v>0</v>
      </c>
      <c r="M388" s="658">
        <f>+IFERROR(M$5*GETPIVOTDATA("Unique Billed Hours",'County allocation'!$S$3,"County",$D380,"HHA/CDPAP","HHA","Level of Service",$D388),0)</f>
        <v>0</v>
      </c>
      <c r="N388" s="658">
        <f>+IFERROR(N$5*GETPIVOTDATA("Unique Billed Hours",'County allocation'!$S$3,"County",$D380,"HHA/CDPAP","HHA","Level of Service",$D388),0)</f>
        <v>0</v>
      </c>
      <c r="O388" s="658">
        <f>+IFERROR(O$5*GETPIVOTDATA("Unique Billed Hours",'County allocation'!$K$19,"County",$D380,"HHA/CDPAP","HHA","Level of Service",$D388),0)</f>
        <v>0</v>
      </c>
      <c r="P388" s="658">
        <f>+IFERROR(P$5*GETPIVOTDATA("Unique Billed Hours",'County allocation'!$S$3,"County",$D380,"HHA/CDPAP","HHA","Level of Service",$D388),0)</f>
        <v>0</v>
      </c>
    </row>
    <row r="389" spans="1:16" s="54" customFormat="1" ht="15.75" hidden="1" thickBot="1" x14ac:dyDescent="0.3">
      <c r="A389" s="119"/>
      <c r="B389" s="309"/>
      <c r="C389" s="322">
        <f t="shared" ca="1" si="143"/>
        <v>0</v>
      </c>
      <c r="D389" s="8" t="s">
        <v>40</v>
      </c>
      <c r="E389" s="48" t="s">
        <v>51</v>
      </c>
      <c r="F389" s="657">
        <f t="shared" ca="1" si="144"/>
        <v>0</v>
      </c>
      <c r="G389" s="658">
        <f ca="1">+IFERROR(G$5*GETPIVOTDATA("Unique Billed Hours",'County allocation'!$A$3,"County",$D380,"HHA/CDPAP","HHA","Level of Service",$D389),0)</f>
        <v>0</v>
      </c>
      <c r="H389" s="658">
        <f>+IFERROR(H$5*GETPIVOTDATA("Unique Billed Hours",'County allocation'!$S$3,"County",$D380,"HHA/CDPAP","HHA","Level of Service",$D389),0)</f>
        <v>0</v>
      </c>
      <c r="I389" s="664">
        <f t="shared" ca="1" si="145"/>
        <v>0</v>
      </c>
      <c r="J389" s="658">
        <f ca="1">+IFERROR(J$5*GETPIVOTDATA("Unique Billed Hours",'County allocation'!$S$3,"County",$D380,"HHA/CDPAP","HHA","Level of Service",$D389),0)</f>
        <v>0</v>
      </c>
      <c r="K389" s="658">
        <f ca="1">+IFERROR(K$5*GETPIVOTDATA("Unique Billed Hours",'County allocation'!$X$3,"County",$D380,"HHA/CDPAP","HHA","Level of Service",$D389),0)</f>
        <v>0</v>
      </c>
      <c r="L389" s="658">
        <f ca="1">+IFERROR(L$2*GETPIVOTDATA("Unique Billed Hours",'County allocation'!$O$3,"County",$D380,"HHA/CDPAP","HHA","Level of Service",$D389),0)</f>
        <v>0</v>
      </c>
      <c r="M389" s="658">
        <f>+IFERROR(M$5*GETPIVOTDATA("Unique Billed Hours",'County allocation'!$S$3,"County",$D380,"HHA/CDPAP","HHA","Level of Service",$D389),0)</f>
        <v>0</v>
      </c>
      <c r="N389" s="658">
        <f>+IFERROR(N$5*GETPIVOTDATA("Unique Billed Hours",'County allocation'!$S$3,"County",$D380,"HHA/CDPAP","HHA","Level of Service",$D389),0)</f>
        <v>0</v>
      </c>
      <c r="O389" s="658">
        <f>+IFERROR(O$5*GETPIVOTDATA("Unique Billed Hours",'County allocation'!$K$19,"County",$D380,"HHA/CDPAP","HHA","Level of Service",$D389),0)</f>
        <v>0</v>
      </c>
      <c r="P389" s="658">
        <f>+IFERROR(P$5*GETPIVOTDATA("Unique Billed Hours",'County allocation'!$S$3,"County",$D380,"HHA/CDPAP","HHA","Level of Service",$D389),0)</f>
        <v>0</v>
      </c>
    </row>
    <row r="390" spans="1:16" s="54" customFormat="1" ht="15.75" hidden="1" thickBot="1" x14ac:dyDescent="0.3">
      <c r="A390" s="119"/>
      <c r="B390" s="309"/>
      <c r="C390" s="322">
        <f t="shared" ca="1" si="143"/>
        <v>0</v>
      </c>
      <c r="D390" s="8" t="s">
        <v>41</v>
      </c>
      <c r="E390" s="48" t="s">
        <v>50</v>
      </c>
      <c r="F390" s="657">
        <f t="shared" ca="1" si="144"/>
        <v>0</v>
      </c>
      <c r="G390" s="658">
        <f ca="1">+IFERROR(G$5*GETPIVOTDATA("Unique Billed Hours",'County allocation'!$A$3,"County",$D380,"HHA/CDPAP","HHA","Level of Service",$D390),0)</f>
        <v>0</v>
      </c>
      <c r="H390" s="658">
        <f>+IFERROR(H$5*GETPIVOTDATA("Unique Billed Hours",'County allocation'!$S$3,"County",$D380,"HHA/CDPAP","HHA","Level of Service",$D390),0)</f>
        <v>0</v>
      </c>
      <c r="I390" s="664">
        <f t="shared" ca="1" si="145"/>
        <v>0</v>
      </c>
      <c r="J390" s="658">
        <f ca="1">+IFERROR(J$5*GETPIVOTDATA("Unique Billed Hours",'County allocation'!$S$3,"County",$D380,"HHA/CDPAP","HHA","Level of Service",$D390),0)</f>
        <v>0</v>
      </c>
      <c r="K390" s="658">
        <f ca="1">+IFERROR(K$5*GETPIVOTDATA("Unique Billed Hours",'County allocation'!$X$3,"County",$D380,"HHA/CDPAP","HHA","Level of Service",$D390),0)</f>
        <v>0</v>
      </c>
      <c r="L390" s="658">
        <f ca="1">+IFERROR(L$2*GETPIVOTDATA("Unique Billed Hours",'County allocation'!$O$3,"County",$D380,"HHA/CDPAP","HHA","Level of Service",$D390),0)</f>
        <v>0</v>
      </c>
      <c r="M390" s="658">
        <f>+IFERROR(M$5*GETPIVOTDATA("Unique Billed Hours",'County allocation'!$S$3,"County",$D380,"HHA/CDPAP","HHA","Level of Service",$D390),0)</f>
        <v>0</v>
      </c>
      <c r="N390" s="658">
        <f>+IFERROR(N$5*GETPIVOTDATA("Unique Billed Hours",'County allocation'!$S$3,"County",$D380,"HHA/CDPAP","HHA","Level of Service",$D390),0)</f>
        <v>0</v>
      </c>
      <c r="O390" s="658">
        <f>+IFERROR(O$5*GETPIVOTDATA("Unique Billed Hours",'County allocation'!$K$19,"County",$D380,"HHA/CDPAP","HHA","Level of Service",$D390),0)</f>
        <v>0</v>
      </c>
      <c r="P390" s="658">
        <f>+IFERROR(P$5*GETPIVOTDATA("Unique Billed Hours",'County allocation'!$S$3,"County",$D380,"HHA/CDPAP","HHA","Level of Service",$D390),0)</f>
        <v>0</v>
      </c>
    </row>
    <row r="391" spans="1:16" s="54" customFormat="1" ht="15.75" hidden="1" thickBot="1" x14ac:dyDescent="0.3">
      <c r="A391" s="119"/>
      <c r="B391" s="309"/>
      <c r="C391" s="322">
        <f t="shared" ca="1" si="143"/>
        <v>0</v>
      </c>
      <c r="D391" s="52" t="s">
        <v>389</v>
      </c>
      <c r="E391" s="53" t="s">
        <v>49</v>
      </c>
      <c r="F391" s="657">
        <f t="shared" ca="1" si="144"/>
        <v>0</v>
      </c>
      <c r="G391" s="661">
        <f ca="1">SUM(G383:G390)</f>
        <v>0</v>
      </c>
      <c r="H391" s="661">
        <f>SUM(H383:H390)</f>
        <v>0</v>
      </c>
      <c r="I391" s="664">
        <f t="shared" ca="1" si="145"/>
        <v>0</v>
      </c>
      <c r="J391" s="661">
        <f ca="1">SUM(J383:J390)</f>
        <v>0</v>
      </c>
      <c r="K391" s="661">
        <f t="shared" ref="K391:P391" ca="1" si="146">SUM(K383:K390)</f>
        <v>0</v>
      </c>
      <c r="L391" s="661">
        <f t="shared" ca="1" si="146"/>
        <v>0</v>
      </c>
      <c r="M391" s="661">
        <f t="shared" si="146"/>
        <v>0</v>
      </c>
      <c r="N391" s="661">
        <f t="shared" si="146"/>
        <v>0</v>
      </c>
      <c r="O391" s="661">
        <f t="shared" si="146"/>
        <v>0</v>
      </c>
      <c r="P391" s="661">
        <f t="shared" si="146"/>
        <v>0</v>
      </c>
    </row>
    <row r="392" spans="1:16" s="54" customFormat="1" ht="15.75" hidden="1" thickBot="1" x14ac:dyDescent="0.3">
      <c r="A392" s="119"/>
      <c r="B392" s="309"/>
      <c r="C392" s="322">
        <f t="shared" ca="1" si="143"/>
        <v>0</v>
      </c>
      <c r="D392" s="371" t="s">
        <v>390</v>
      </c>
      <c r="E392" s="325" t="s">
        <v>47</v>
      </c>
      <c r="F392" s="657">
        <f t="shared" ca="1" si="144"/>
        <v>0</v>
      </c>
      <c r="G392" s="665">
        <f ca="1">+IFERROR((G$5*GETPIVOTDATA("Unique Billed Hours",'County allocation'!$A$3,"County",$D380,"HHA/CDPAP","HHA","Level of Service",$D392))+($G$2*GETPIVOTDATA("Unique Billed Hours",'County allocation'!$F$7,"County",$D380,"HHA/CDPAP","HHA","Level of Service",$D392)),0)++IFERROR(J$5*GETPIVOTDATA("Unique Billed Hours",'County allocation'!$AC$3,"County",$D380,"HHA/CDPAP","HHA","Level of Service",$D392),0)+ +IFERROR(J$5*GETPIVOTDATA("Unique Billed Hours",'County allocation'!$AC$3,"County",$D380,"HHA/CDPAP","HHA","Level of Service",$D393),0)</f>
        <v>0</v>
      </c>
      <c r="H392" s="665">
        <f>+IFERROR(H$5*GETPIVOTDATA("Unique Billed Hours",'County allocation'!$S$3,"County",$D380,"HHA/CDPAP","HHA","Level of Service",$D392),0)</f>
        <v>0</v>
      </c>
      <c r="I392" s="664">
        <f t="shared" ca="1" si="145"/>
        <v>0</v>
      </c>
      <c r="J392" s="901"/>
      <c r="K392" s="665">
        <f ca="1">+IFERROR(K$5*GETPIVOTDATA("Unique Billed Hours",'County allocation'!$X$3,"County",$D380,"HHA/CDPAP","HHA","Level of Service",$D392),0)</f>
        <v>0</v>
      </c>
      <c r="L392" s="665">
        <f ca="1">+IFERROR(L$5*GETPIVOTDATA("Unique Billed Hours",'County allocation'!$K$19,"County",$D380,"HHA/CDPAP","HHA","Level of Service",$D392),0)</f>
        <v>0</v>
      </c>
      <c r="M392" s="665">
        <f>+IFERROR(M$5*GETPIVOTDATA("Unique Billed Hours",'County allocation'!$S$3,"County",$D380,"HHA/CDPAP","HHA","Level of Service",$D392),0)</f>
        <v>0</v>
      </c>
      <c r="N392" s="665">
        <f>+IFERROR(N$5*GETPIVOTDATA("Unique Billed Hours",'County allocation'!$S$3,"County",$D380,"HHA/CDPAP","HHA","Level of Service",$D392),0)</f>
        <v>0</v>
      </c>
      <c r="O392" s="665">
        <f>+IFERROR(O$5*GETPIVOTDATA("Unique Billed Hours",'County allocation'!$S$3,"County",$D380,"HHA/CDPAP","HHA","Level of Service",$D392),0)</f>
        <v>0</v>
      </c>
      <c r="P392" s="665">
        <f>+IFERROR(P$5*GETPIVOTDATA("Unique Billed Hours",'County allocation'!$S$3,"County",$D380,"HHA/CDPAP","HHA","Level of Service",$D392),0)</f>
        <v>0</v>
      </c>
    </row>
    <row r="393" spans="1:16" s="54" customFormat="1" ht="15.75" hidden="1" thickBot="1" x14ac:dyDescent="0.3">
      <c r="A393" s="119"/>
      <c r="B393" s="309"/>
      <c r="C393" s="322">
        <f t="shared" ca="1" si="143"/>
        <v>0</v>
      </c>
      <c r="D393" s="8" t="s">
        <v>391</v>
      </c>
      <c r="E393" s="370" t="s">
        <v>77</v>
      </c>
      <c r="F393" s="657">
        <f t="shared" ca="1" si="144"/>
        <v>0</v>
      </c>
      <c r="G393" s="656"/>
      <c r="H393" s="658">
        <f>+IFERROR(H$5*GETPIVOTDATA("Unique Billed Hours",'County allocation'!$S$3,"County",$D380,"HHA/CDPAP","HHA","Level of Service",$D393),0)</f>
        <v>0</v>
      </c>
      <c r="I393" s="664">
        <f t="shared" ca="1" si="145"/>
        <v>0</v>
      </c>
      <c r="J393" s="901"/>
      <c r="K393" s="665">
        <f ca="1">+IFERROR(K$5*GETPIVOTDATA("Unique Billed Hours",'County allocation'!$X$3,"County",$D380,"HHA/CDPAP","HHA","Level of Service",$D393),0)</f>
        <v>0</v>
      </c>
      <c r="L393" s="665">
        <f ca="1">+IFERROR(L$5*GETPIVOTDATA("Unique Billed Hours",'County allocation'!$K$19,"County",$D380,"HHA/CDPAP","HHA","Level of Service",$D393),0)</f>
        <v>0</v>
      </c>
      <c r="M393" s="665">
        <f>+IFERROR(M$5*GETPIVOTDATA("Unique Billed Hours",'County allocation'!$S$3,"County",$D380,"HHA/CDPAP","HHA","Level of Service",$D393),0)</f>
        <v>0</v>
      </c>
      <c r="N393" s="665">
        <f>+IFERROR(N$5*GETPIVOTDATA("Unique Billed Hours",'County allocation'!$S$3,"County",$D380,"HHA/CDPAP","HHA","Level of Service",$D393),0)</f>
        <v>0</v>
      </c>
      <c r="O393" s="665">
        <f>+IFERROR(O$5*GETPIVOTDATA("Unique Billed Hours",'County allocation'!$S$3,"County",$D380,"HHA/CDPAP","HHA","Level of Service",$D393),0)</f>
        <v>0</v>
      </c>
      <c r="P393" s="665">
        <f>+IFERROR(P$5*GETPIVOTDATA("Unique Billed Hours",'County allocation'!$S$3,"County",$D380,"HHA/CDPAP","HHA","Level of Service",$D393),0)</f>
        <v>0</v>
      </c>
    </row>
    <row r="394" spans="1:16" s="54" customFormat="1" ht="15.75" hidden="1" thickBot="1" x14ac:dyDescent="0.3">
      <c r="A394" s="119"/>
      <c r="B394" s="309"/>
      <c r="C394" s="322">
        <f t="shared" ca="1" si="143"/>
        <v>0</v>
      </c>
      <c r="D394" s="8" t="s">
        <v>374</v>
      </c>
      <c r="E394" s="370" t="s">
        <v>78</v>
      </c>
      <c r="F394" s="657">
        <f t="shared" ca="1" si="144"/>
        <v>0</v>
      </c>
      <c r="G394" s="658">
        <f ca="1">+IFERROR(G$5*GETPIVOTDATA("Unique Billed Hours",'County allocation'!$A$3,"County",$D380,"HHA/CDPAP","HHA","Level of Service",$D394),0)++IFERROR(J$5*GETPIVOTDATA("Unique Billed Hours",'County allocation'!$AC$3,"County",$D380,"HHA/CDPAP","HHA","Level of Service",$D394),0)</f>
        <v>0</v>
      </c>
      <c r="H394" s="658">
        <f>+IFERROR(H$5*GETPIVOTDATA("Unique Billed Hours",'County allocation'!$S$3,"County",$D380,"HHA/CDPAP","HHA","Level of Service",$D394),0)</f>
        <v>0</v>
      </c>
      <c r="I394" s="664">
        <f t="shared" ca="1" si="145"/>
        <v>0</v>
      </c>
      <c r="J394" s="901"/>
      <c r="K394" s="665">
        <f ca="1">+IFERROR(K$5*GETPIVOTDATA("Unique Billed Hours",'County allocation'!$X$3,"County",$D380,"HHA/CDPAP","HHA","Level of Service",$D394),0)</f>
        <v>0</v>
      </c>
      <c r="L394" s="665">
        <f ca="1">+IFERROR(L$5*GETPIVOTDATA("Unique Billed Hours",'County allocation'!$K$19,"County",$D380,"HHA/CDPAP","HHA","Level of Service",$D394),0)</f>
        <v>0</v>
      </c>
      <c r="M394" s="665">
        <f>+IFERROR(M$5*GETPIVOTDATA("Unique Billed Hours",'County allocation'!$S$3,"County",$D380,"HHA/CDPAP","HHA","Level of Service",$D394),0)</f>
        <v>0</v>
      </c>
      <c r="N394" s="665">
        <f>+IFERROR(N$5*GETPIVOTDATA("Unique Billed Hours",'County allocation'!$S$3,"County",$D380,"HHA/CDPAP","HHA","Level of Service",$D394),0)</f>
        <v>0</v>
      </c>
      <c r="O394" s="665">
        <f>+IFERROR(O$5*GETPIVOTDATA("Unique Billed Hours",'County allocation'!$S$3,"County",$D380,"HHA/CDPAP","HHA","Level of Service",$D394),0)</f>
        <v>0</v>
      </c>
      <c r="P394" s="665">
        <f>+IFERROR(P$5*GETPIVOTDATA("Unique Billed Hours",'County allocation'!$S$3,"County",$D380,"HHA/CDPAP","HHA","Level of Service",$D394),0)</f>
        <v>0</v>
      </c>
    </row>
    <row r="395" spans="1:16" s="54" customFormat="1" ht="15.75" hidden="1" thickBot="1" x14ac:dyDescent="0.3">
      <c r="A395" s="302"/>
      <c r="B395" s="309"/>
      <c r="C395" s="322">
        <f ca="1">C394</f>
        <v>0</v>
      </c>
      <c r="D395" s="52" t="s">
        <v>48</v>
      </c>
      <c r="E395" s="53" t="s">
        <v>79</v>
      </c>
      <c r="F395" s="657">
        <f t="shared" ca="1" si="144"/>
        <v>0</v>
      </c>
      <c r="G395" s="661">
        <f t="shared" ref="G395" ca="1" si="147">SUM(G391:G394)</f>
        <v>0</v>
      </c>
      <c r="H395" s="661">
        <f t="shared" ref="H395:P395" si="148">SUM(H391:H394)</f>
        <v>0</v>
      </c>
      <c r="I395" s="661">
        <f t="shared" ca="1" si="148"/>
        <v>0</v>
      </c>
      <c r="J395" s="661">
        <f t="shared" ca="1" si="148"/>
        <v>0</v>
      </c>
      <c r="K395" s="661">
        <f t="shared" ca="1" si="148"/>
        <v>0</v>
      </c>
      <c r="L395" s="661">
        <f t="shared" ca="1" si="148"/>
        <v>0</v>
      </c>
      <c r="M395" s="661">
        <f t="shared" si="148"/>
        <v>0</v>
      </c>
      <c r="N395" s="661">
        <f t="shared" si="148"/>
        <v>0</v>
      </c>
      <c r="O395" s="661">
        <f t="shared" si="148"/>
        <v>0</v>
      </c>
      <c r="P395" s="661">
        <f t="shared" si="148"/>
        <v>0</v>
      </c>
    </row>
    <row r="396" spans="1:16" ht="15.75" hidden="1" thickBot="1" x14ac:dyDescent="0.3"/>
    <row r="397" spans="1:16" s="54" customFormat="1" ht="75.75" hidden="1" thickBot="1" x14ac:dyDescent="0.3">
      <c r="A397" s="119"/>
      <c r="B397" s="309"/>
      <c r="C397" s="322">
        <f ca="1">IF(F412&gt;0,1,0)</f>
        <v>0</v>
      </c>
      <c r="D397" s="45" t="str">
        <f>A26</f>
        <v>Jefferson</v>
      </c>
      <c r="E397" s="28">
        <f>+SUMIF(A:A,D397,B:B)</f>
        <v>0</v>
      </c>
      <c r="F397" s="652" t="s">
        <v>61</v>
      </c>
      <c r="G397" s="652" t="s">
        <v>387</v>
      </c>
      <c r="H397" s="652" t="s">
        <v>388</v>
      </c>
      <c r="I397" s="652" t="s">
        <v>392</v>
      </c>
      <c r="J397" s="652" t="s">
        <v>31</v>
      </c>
      <c r="K397" s="652" t="s">
        <v>32</v>
      </c>
      <c r="L397" s="653" t="s">
        <v>33</v>
      </c>
      <c r="M397" s="653" t="s">
        <v>60</v>
      </c>
      <c r="N397" s="653" t="s">
        <v>59</v>
      </c>
      <c r="O397" s="653" t="s">
        <v>58</v>
      </c>
      <c r="P397" s="653" t="s">
        <v>16</v>
      </c>
    </row>
    <row r="398" spans="1:16" s="54" customFormat="1" ht="15.75" hidden="1" thickBot="1" x14ac:dyDescent="0.3">
      <c r="A398" s="119"/>
      <c r="B398" s="309"/>
      <c r="C398" s="322">
        <f ca="1">C397</f>
        <v>0</v>
      </c>
      <c r="D398" s="56"/>
      <c r="E398" s="57"/>
      <c r="F398" s="654" t="s">
        <v>57</v>
      </c>
      <c r="G398" s="654" t="s">
        <v>56</v>
      </c>
      <c r="H398" s="654" t="s">
        <v>55</v>
      </c>
      <c r="I398" s="654" t="s">
        <v>54</v>
      </c>
      <c r="J398" s="654" t="s">
        <v>53</v>
      </c>
      <c r="K398" s="654" t="s">
        <v>52</v>
      </c>
      <c r="L398" s="654" t="s">
        <v>51</v>
      </c>
      <c r="M398" s="654" t="s">
        <v>50</v>
      </c>
      <c r="N398" s="654" t="s">
        <v>49</v>
      </c>
      <c r="O398" s="654" t="s">
        <v>47</v>
      </c>
      <c r="P398" s="655" t="s">
        <v>77</v>
      </c>
    </row>
    <row r="399" spans="1:16" s="54" customFormat="1" ht="15.75" hidden="1" thickBot="1" x14ac:dyDescent="0.3">
      <c r="A399" s="119"/>
      <c r="B399" s="309"/>
      <c r="C399" s="322">
        <f t="shared" ref="C399:C411" ca="1" si="149">C398</f>
        <v>0</v>
      </c>
      <c r="D399" s="59" t="s">
        <v>26</v>
      </c>
      <c r="E399" s="57"/>
      <c r="F399" s="656"/>
      <c r="G399" s="656"/>
      <c r="H399" s="656"/>
      <c r="I399" s="656"/>
      <c r="J399" s="656"/>
      <c r="K399" s="656"/>
      <c r="L399" s="656"/>
      <c r="M399" s="656"/>
      <c r="N399" s="656"/>
      <c r="O399" s="656"/>
      <c r="P399" s="663"/>
    </row>
    <row r="400" spans="1:16" s="54" customFormat="1" ht="15.75" hidden="1" thickBot="1" x14ac:dyDescent="0.3">
      <c r="A400" s="119"/>
      <c r="B400" s="309"/>
      <c r="C400" s="322">
        <f t="shared" ca="1" si="149"/>
        <v>0</v>
      </c>
      <c r="D400" s="7" t="s">
        <v>34</v>
      </c>
      <c r="E400" s="48" t="s">
        <v>57</v>
      </c>
      <c r="F400" s="657">
        <f ca="1">+H400+G400+I400</f>
        <v>0</v>
      </c>
      <c r="G400" s="658">
        <f ca="1">+IFERROR(G$5*GETPIVOTDATA("Unique Billed Hours",'County allocation'!$A$3,"County",$D397,"HHA/CDPAP","HHA","Level of Service",$D400),0)</f>
        <v>0</v>
      </c>
      <c r="H400" s="658">
        <f>+IFERROR(H$5*GETPIVOTDATA("Unique Billed Hours",'County allocation'!$S$3,"County",$D397,"HHA/CDPAP","HHA","Level of Service",$D400),0)</f>
        <v>0</v>
      </c>
      <c r="I400" s="664">
        <f ca="1">SUM(J400:P400)</f>
        <v>0</v>
      </c>
      <c r="J400" s="658">
        <f ca="1">+IFERROR(J$5*GETPIVOTDATA("Unique Billed Hours",'County allocation'!$S$3,"County",$D397,"HHA/CDPAP","HHA","Level of Service",$D400),0)</f>
        <v>0</v>
      </c>
      <c r="K400" s="658">
        <f ca="1">+IFERROR(K$5*GETPIVOTDATA("Unique Billed Hours",'County allocation'!$X$3,"County",$D397,"HHA/CDPAP","HHA","Level of Service",$D400),0)</f>
        <v>0</v>
      </c>
      <c r="L400" s="658">
        <f ca="1">+IFERROR(L$2*GETPIVOTDATA("Unique Billed Hours",'County allocation'!$O$3,"County",$D397,"HHA/CDPAP","HHA","Level of Service",$D400),0)</f>
        <v>0</v>
      </c>
      <c r="M400" s="658">
        <f>+IFERROR(M$5*GETPIVOTDATA("Unique Billed Hours",'County allocation'!$S$3,"County",$D397,"HHA/CDPAP","HHA","Level of Service",$D400),0)</f>
        <v>0</v>
      </c>
      <c r="N400" s="658">
        <f>+IFERROR(N$5*GETPIVOTDATA("Unique Billed Hours",'County allocation'!$S$3,"County",$D397,"HHA/CDPAP","HHA","Level of Service",$D400),0)</f>
        <v>0</v>
      </c>
      <c r="O400" s="658">
        <f>+IFERROR(O$5*GETPIVOTDATA("Unique Billed Hours",'County allocation'!$K$19,"County",$D397,"HHA/CDPAP","HHA","Level of Service",$D400),0)</f>
        <v>0</v>
      </c>
      <c r="P400" s="658">
        <f>+IFERROR(P$5*GETPIVOTDATA("Unique Billed Hours",'County allocation'!$S$3,"County",$D397,"HHA/CDPAP","HHA","Level of Service",$D400),0)</f>
        <v>0</v>
      </c>
    </row>
    <row r="401" spans="1:18" s="54" customFormat="1" ht="15.75" hidden="1" thickBot="1" x14ac:dyDescent="0.3">
      <c r="A401" s="119"/>
      <c r="B401" s="309"/>
      <c r="C401" s="322">
        <f t="shared" ca="1" si="149"/>
        <v>0</v>
      </c>
      <c r="D401" s="7" t="s">
        <v>35</v>
      </c>
      <c r="E401" s="48" t="s">
        <v>56</v>
      </c>
      <c r="F401" s="657">
        <f t="shared" ref="F401:F412" ca="1" si="150">+H401+G401+I401</f>
        <v>0</v>
      </c>
      <c r="G401" s="658">
        <f ca="1">+IFERROR(G$5*GETPIVOTDATA("Unique Billed Hours",'County allocation'!$A$3,"County",$D397,"HHA/CDPAP","HHA","Level of Service",$D401),0)</f>
        <v>0</v>
      </c>
      <c r="H401" s="658">
        <f>+IFERROR(H$5*GETPIVOTDATA("Unique Billed Hours",'County allocation'!$S$3,"County",$D397,"HHA/CDPAP","HHA","Level of Service",$D401),0)</f>
        <v>0</v>
      </c>
      <c r="I401" s="664">
        <f t="shared" ref="I401:I411" ca="1" si="151">SUM(J401:P401)</f>
        <v>0</v>
      </c>
      <c r="J401" s="658">
        <f ca="1">+IFERROR(J$5*GETPIVOTDATA("Unique Billed Hours",'County allocation'!$S$3,"County",$D397,"HHA/CDPAP","HHA","Level of Service",$D401),0)</f>
        <v>0</v>
      </c>
      <c r="K401" s="658">
        <f ca="1">+IFERROR(K$5*GETPIVOTDATA("Unique Billed Hours",'County allocation'!$X$3,"County",$D397,"HHA/CDPAP","HHA","Level of Service",$D401),0)</f>
        <v>0</v>
      </c>
      <c r="L401" s="658">
        <f ca="1">+IFERROR(L$2*GETPIVOTDATA("Unique Billed Hours",'County allocation'!$O$3,"County",$D397,"HHA/CDPAP","HHA","Level of Service",$D401),0)</f>
        <v>0</v>
      </c>
      <c r="M401" s="658">
        <f>+IFERROR(M$5*GETPIVOTDATA("Unique Billed Hours",'County allocation'!$S$3,"County",$D397,"HHA/CDPAP","HHA","Level of Service",$D401),0)</f>
        <v>0</v>
      </c>
      <c r="N401" s="658">
        <f>+IFERROR(N$5*GETPIVOTDATA("Unique Billed Hours",'County allocation'!$S$3,"County",$D397,"HHA/CDPAP","HHA","Level of Service",$D401),0)</f>
        <v>0</v>
      </c>
      <c r="O401" s="658">
        <f>+IFERROR(O$5*GETPIVOTDATA("Unique Billed Hours",'County allocation'!$K$19,"County",$D397,"HHA/CDPAP","HHA","Level of Service",$D401),0)</f>
        <v>0</v>
      </c>
      <c r="P401" s="658">
        <f>+IFERROR(P$5*GETPIVOTDATA("Unique Billed Hours",'County allocation'!$S$3,"County",$D397,"HHA/CDPAP","HHA","Level of Service",$D401),0)</f>
        <v>0</v>
      </c>
      <c r="R401" s="61"/>
    </row>
    <row r="402" spans="1:18" s="54" customFormat="1" ht="15.75" hidden="1" thickBot="1" x14ac:dyDescent="0.3">
      <c r="A402" s="302"/>
      <c r="B402" s="309"/>
      <c r="C402" s="322">
        <f t="shared" ca="1" si="149"/>
        <v>0</v>
      </c>
      <c r="D402" s="7" t="s">
        <v>36</v>
      </c>
      <c r="E402" s="48" t="s">
        <v>55</v>
      </c>
      <c r="F402" s="657">
        <f t="shared" ca="1" si="150"/>
        <v>0</v>
      </c>
      <c r="G402" s="658">
        <f ca="1">+IFERROR(G$5*GETPIVOTDATA("Unique Billed Hours",'County allocation'!$A$3,"County",$D397,"HHA/CDPAP","HHA","Level of Service",$D402),0)</f>
        <v>0</v>
      </c>
      <c r="H402" s="658">
        <f>+IFERROR(H$5*GETPIVOTDATA("Unique Billed Hours",'County allocation'!$S$3,"County",$D397,"HHA/CDPAP","HHA","Level of Service",$D402),0)</f>
        <v>0</v>
      </c>
      <c r="I402" s="664">
        <f t="shared" ca="1" si="151"/>
        <v>0</v>
      </c>
      <c r="J402" s="658">
        <f ca="1">+IFERROR(J$5*GETPIVOTDATA("Unique Billed Hours",'County allocation'!$S$3,"County",$D397,"HHA/CDPAP","HHA","Level of Service",$D402),0)</f>
        <v>0</v>
      </c>
      <c r="K402" s="658">
        <f ca="1">+IFERROR(K$5*GETPIVOTDATA("Unique Billed Hours",'County allocation'!$X$3,"County",$D397,"HHA/CDPAP","HHA","Level of Service",$D402),0)</f>
        <v>0</v>
      </c>
      <c r="L402" s="658">
        <f ca="1">+IFERROR(L$2*GETPIVOTDATA("Unique Billed Hours",'County allocation'!$O$3,"County",$D397,"HHA/CDPAP","HHA","Level of Service",$D402),0)</f>
        <v>0</v>
      </c>
      <c r="M402" s="658">
        <f>+IFERROR(M$5*GETPIVOTDATA("Unique Billed Hours",'County allocation'!$S$3,"County",$D397,"HHA/CDPAP","HHA","Level of Service",$D402),0)</f>
        <v>0</v>
      </c>
      <c r="N402" s="658">
        <f>+IFERROR(N$5*GETPIVOTDATA("Unique Billed Hours",'County allocation'!$S$3,"County",$D397,"HHA/CDPAP","HHA","Level of Service",$D402),0)</f>
        <v>0</v>
      </c>
      <c r="O402" s="658">
        <f>+IFERROR(O$5*GETPIVOTDATA("Unique Billed Hours",'County allocation'!$K$19,"County",$D397,"HHA/CDPAP","HHA","Level of Service",$D402),0)</f>
        <v>0</v>
      </c>
      <c r="P402" s="658">
        <f>+IFERROR(P$5*GETPIVOTDATA("Unique Billed Hours",'County allocation'!$S$3,"County",$D397,"HHA/CDPAP","HHA","Level of Service",$D402),0)</f>
        <v>0</v>
      </c>
    </row>
    <row r="403" spans="1:18" s="54" customFormat="1" ht="15.75" hidden="1" thickBot="1" x14ac:dyDescent="0.3">
      <c r="A403" s="119"/>
      <c r="B403" s="309"/>
      <c r="C403" s="322">
        <f t="shared" ca="1" si="149"/>
        <v>0</v>
      </c>
      <c r="D403" s="7" t="s">
        <v>37</v>
      </c>
      <c r="E403" s="48" t="s">
        <v>54</v>
      </c>
      <c r="F403" s="657">
        <f t="shared" ca="1" si="150"/>
        <v>0</v>
      </c>
      <c r="G403" s="658">
        <f ca="1">+IFERROR(G$5*GETPIVOTDATA("Unique Billed Hours",'County allocation'!$A$3,"County",$D397,"HHA/CDPAP","HHA","Level of Service",$D403),0)</f>
        <v>0</v>
      </c>
      <c r="H403" s="658">
        <f>+IFERROR(H$5*GETPIVOTDATA("Unique Billed Hours",'County allocation'!$S$3,"County",$D397,"HHA/CDPAP","HHA","Level of Service",$D403),0)</f>
        <v>0</v>
      </c>
      <c r="I403" s="664">
        <f t="shared" ca="1" si="151"/>
        <v>0</v>
      </c>
      <c r="J403" s="658">
        <f ca="1">+IFERROR(J$5*GETPIVOTDATA("Unique Billed Hours",'County allocation'!$S$3,"County",$D397,"HHA/CDPAP","HHA","Level of Service",$D403),0)</f>
        <v>0</v>
      </c>
      <c r="K403" s="658">
        <f ca="1">+IFERROR(K$5*GETPIVOTDATA("Unique Billed Hours",'County allocation'!$X$3,"County",$D397,"HHA/CDPAP","HHA","Level of Service",$D403),0)</f>
        <v>0</v>
      </c>
      <c r="L403" s="658">
        <f ca="1">+IFERROR(L$2*GETPIVOTDATA("Unique Billed Hours",'County allocation'!$O$3,"County",$D397,"HHA/CDPAP","HHA","Level of Service",$D403),0)</f>
        <v>0</v>
      </c>
      <c r="M403" s="658">
        <f>+IFERROR(M$5*GETPIVOTDATA("Unique Billed Hours",'County allocation'!$S$3,"County",$D397,"HHA/CDPAP","HHA","Level of Service",$D403),0)</f>
        <v>0</v>
      </c>
      <c r="N403" s="658">
        <f>+IFERROR(N$5*GETPIVOTDATA("Unique Billed Hours",'County allocation'!$S$3,"County",$D397,"HHA/CDPAP","HHA","Level of Service",$D403),0)</f>
        <v>0</v>
      </c>
      <c r="O403" s="658">
        <f>+IFERROR(O$5*GETPIVOTDATA("Unique Billed Hours",'County allocation'!$K$19,"County",$D397,"HHA/CDPAP","HHA","Level of Service",$D403),0)</f>
        <v>0</v>
      </c>
      <c r="P403" s="658">
        <f>+IFERROR(P$5*GETPIVOTDATA("Unique Billed Hours",'County allocation'!$S$3,"County",$D397,"HHA/CDPAP","HHA","Level of Service",$D403),0)</f>
        <v>0</v>
      </c>
    </row>
    <row r="404" spans="1:18" s="54" customFormat="1" ht="15.75" hidden="1" thickBot="1" x14ac:dyDescent="0.3">
      <c r="A404" s="119"/>
      <c r="B404" s="309"/>
      <c r="C404" s="322">
        <f t="shared" ca="1" si="149"/>
        <v>0</v>
      </c>
      <c r="D404" s="7" t="s">
        <v>38</v>
      </c>
      <c r="E404" s="48" t="s">
        <v>53</v>
      </c>
      <c r="F404" s="657">
        <f t="shared" ca="1" si="150"/>
        <v>0</v>
      </c>
      <c r="G404" s="658">
        <f ca="1">+IFERROR(G$5*GETPIVOTDATA("Unique Billed Hours",'County allocation'!$A$3,"County",$D397,"HHA/CDPAP","HHA","Level of Service",$D404),0)</f>
        <v>0</v>
      </c>
      <c r="H404" s="658">
        <f>+IFERROR(H$5*GETPIVOTDATA("Unique Billed Hours",'County allocation'!$S$3,"County",$D397,"HHA/CDPAP","HHA","Level of Service",$D404),0)</f>
        <v>0</v>
      </c>
      <c r="I404" s="664">
        <f t="shared" ca="1" si="151"/>
        <v>0</v>
      </c>
      <c r="J404" s="658">
        <f ca="1">+IFERROR(J$5*GETPIVOTDATA("Unique Billed Hours",'County allocation'!$S$3,"County",$D397,"HHA/CDPAP","HHA","Level of Service",$D404),0)</f>
        <v>0</v>
      </c>
      <c r="K404" s="658">
        <f ca="1">+IFERROR(K$5*GETPIVOTDATA("Unique Billed Hours",'County allocation'!$X$3,"County",$D397,"HHA/CDPAP","HHA","Level of Service",$D404),0)</f>
        <v>0</v>
      </c>
      <c r="L404" s="658">
        <f ca="1">+IFERROR(L$5*GETPIVOTDATA("Unique Billed Hours",'County allocation'!$K$19,"County",$D397,"HHA/CDPAP","HHA","Level of Service",$D404),0)</f>
        <v>0</v>
      </c>
      <c r="M404" s="658">
        <f>+IFERROR(M$5*GETPIVOTDATA("Unique Billed Hours",'County allocation'!$S$3,"County",$D397,"HHA/CDPAP","HHA","Level of Service",$D404),0)</f>
        <v>0</v>
      </c>
      <c r="N404" s="658">
        <f>+IFERROR(N$5*GETPIVOTDATA("Unique Billed Hours",'County allocation'!$S$3,"County",$D397,"HHA/CDPAP","HHA","Level of Service",$D404),0)</f>
        <v>0</v>
      </c>
      <c r="O404" s="658">
        <f>+IFERROR(O$5*GETPIVOTDATA("Unique Billed Hours",'County allocation'!$K$19,"County",$D397,"HHA/CDPAP","HHA","Level of Service",$D404),0)</f>
        <v>0</v>
      </c>
      <c r="P404" s="658">
        <f>+IFERROR(P$5*GETPIVOTDATA("Unique Billed Hours",'County allocation'!$S$3,"County",$D397,"HHA/CDPAP","HHA","Level of Service",$D404),0)</f>
        <v>0</v>
      </c>
    </row>
    <row r="405" spans="1:18" s="54" customFormat="1" ht="15.75" hidden="1" thickBot="1" x14ac:dyDescent="0.3">
      <c r="A405" s="119"/>
      <c r="B405" s="309"/>
      <c r="C405" s="322">
        <f t="shared" ca="1" si="149"/>
        <v>0</v>
      </c>
      <c r="D405" s="7" t="s">
        <v>39</v>
      </c>
      <c r="E405" s="48" t="s">
        <v>52</v>
      </c>
      <c r="F405" s="657">
        <f t="shared" ca="1" si="150"/>
        <v>0</v>
      </c>
      <c r="G405" s="658">
        <f ca="1">+IFERROR(G$5*GETPIVOTDATA("Unique Billed Hours",'County allocation'!$A$3,"County",$D397,"HHA/CDPAP","HHA","Level of Service",$D405),0)</f>
        <v>0</v>
      </c>
      <c r="H405" s="658">
        <f>+IFERROR(H$5*GETPIVOTDATA("Unique Billed Hours",'County allocation'!$S$3,"County",$D397,"HHA/CDPAP","HHA","Level of Service",$D405),0)</f>
        <v>0</v>
      </c>
      <c r="I405" s="664">
        <f t="shared" ca="1" si="151"/>
        <v>0</v>
      </c>
      <c r="J405" s="658">
        <f ca="1">+IFERROR(J$5*GETPIVOTDATA("Unique Billed Hours",'County allocation'!$S$3,"County",$D397,"HHA/CDPAP","HHA","Level of Service",$D405),0)</f>
        <v>0</v>
      </c>
      <c r="K405" s="658">
        <f ca="1">+IFERROR(K$5*GETPIVOTDATA("Unique Billed Hours",'County allocation'!$X$3,"County",$D397,"HHA/CDPAP","HHA","Level of Service",$D405),0)</f>
        <v>0</v>
      </c>
      <c r="L405" s="658">
        <f ca="1">+IFERROR(L$5*GETPIVOTDATA("Unique Billed Hours",'County allocation'!$K$19,"County",$D397,"HHA/CDPAP","HHA","Level of Service",$D405),0)</f>
        <v>0</v>
      </c>
      <c r="M405" s="658">
        <f>+IFERROR(M$5*GETPIVOTDATA("Unique Billed Hours",'County allocation'!$S$3,"County",$D397,"HHA/CDPAP","HHA","Level of Service",$D405),0)</f>
        <v>0</v>
      </c>
      <c r="N405" s="658">
        <f>+IFERROR(N$5*GETPIVOTDATA("Unique Billed Hours",'County allocation'!$S$3,"County",$D397,"HHA/CDPAP","HHA","Level of Service",$D405),0)</f>
        <v>0</v>
      </c>
      <c r="O405" s="658">
        <f>+IFERROR(O$5*GETPIVOTDATA("Unique Billed Hours",'County allocation'!$K$19,"County",$D397,"HHA/CDPAP","HHA","Level of Service",$D405),0)</f>
        <v>0</v>
      </c>
      <c r="P405" s="658">
        <f>+IFERROR(P$5*GETPIVOTDATA("Unique Billed Hours",'County allocation'!$S$3,"County",$D397,"HHA/CDPAP","HHA","Level of Service",$D405),0)</f>
        <v>0</v>
      </c>
    </row>
    <row r="406" spans="1:18" s="54" customFormat="1" ht="15.75" hidden="1" thickBot="1" x14ac:dyDescent="0.3">
      <c r="A406" s="119"/>
      <c r="B406" s="309"/>
      <c r="C406" s="322">
        <f t="shared" ca="1" si="149"/>
        <v>0</v>
      </c>
      <c r="D406" s="8" t="s">
        <v>40</v>
      </c>
      <c r="E406" s="48" t="s">
        <v>51</v>
      </c>
      <c r="F406" s="657">
        <f t="shared" ca="1" si="150"/>
        <v>0</v>
      </c>
      <c r="G406" s="658">
        <f ca="1">+IFERROR(G$5*GETPIVOTDATA("Unique Billed Hours",'County allocation'!$A$3,"County",$D397,"HHA/CDPAP","HHA","Level of Service",$D406),0)</f>
        <v>0</v>
      </c>
      <c r="H406" s="658">
        <f>+IFERROR(H$5*GETPIVOTDATA("Unique Billed Hours",'County allocation'!$S$3,"County",$D397,"HHA/CDPAP","HHA","Level of Service",$D406),0)</f>
        <v>0</v>
      </c>
      <c r="I406" s="664">
        <f t="shared" ca="1" si="151"/>
        <v>0</v>
      </c>
      <c r="J406" s="658">
        <f ca="1">+IFERROR(J$5*GETPIVOTDATA("Unique Billed Hours",'County allocation'!$S$3,"County",$D397,"HHA/CDPAP","HHA","Level of Service",$D406),0)</f>
        <v>0</v>
      </c>
      <c r="K406" s="658">
        <f ca="1">+IFERROR(K$5*GETPIVOTDATA("Unique Billed Hours",'County allocation'!$X$3,"County",$D397,"HHA/CDPAP","HHA","Level of Service",$D406),0)</f>
        <v>0</v>
      </c>
      <c r="L406" s="658">
        <f ca="1">+IFERROR(L$2*GETPIVOTDATA("Unique Billed Hours",'County allocation'!$O$3,"County",$D397,"HHA/CDPAP","HHA","Level of Service",$D406),0)</f>
        <v>0</v>
      </c>
      <c r="M406" s="658">
        <f>+IFERROR(M$5*GETPIVOTDATA("Unique Billed Hours",'County allocation'!$S$3,"County",$D397,"HHA/CDPAP","HHA","Level of Service",$D406),0)</f>
        <v>0</v>
      </c>
      <c r="N406" s="658">
        <f>+IFERROR(N$5*GETPIVOTDATA("Unique Billed Hours",'County allocation'!$S$3,"County",$D397,"HHA/CDPAP","HHA","Level of Service",$D406),0)</f>
        <v>0</v>
      </c>
      <c r="O406" s="658">
        <f>+IFERROR(O$5*GETPIVOTDATA("Unique Billed Hours",'County allocation'!$K$19,"County",$D397,"HHA/CDPAP","HHA","Level of Service",$D406),0)</f>
        <v>0</v>
      </c>
      <c r="P406" s="658">
        <f>+IFERROR(P$5*GETPIVOTDATA("Unique Billed Hours",'County allocation'!$S$3,"County",$D397,"HHA/CDPAP","HHA","Level of Service",$D406),0)</f>
        <v>0</v>
      </c>
    </row>
    <row r="407" spans="1:18" s="54" customFormat="1" ht="15.75" hidden="1" thickBot="1" x14ac:dyDescent="0.3">
      <c r="A407" s="119"/>
      <c r="B407" s="309"/>
      <c r="C407" s="322">
        <f t="shared" ca="1" si="149"/>
        <v>0</v>
      </c>
      <c r="D407" s="8" t="s">
        <v>41</v>
      </c>
      <c r="E407" s="48" t="s">
        <v>50</v>
      </c>
      <c r="F407" s="657">
        <f t="shared" ca="1" si="150"/>
        <v>0</v>
      </c>
      <c r="G407" s="658">
        <f ca="1">+IFERROR(G$5*GETPIVOTDATA("Unique Billed Hours",'County allocation'!$A$3,"County",$D397,"HHA/CDPAP","HHA","Level of Service",$D407),0)</f>
        <v>0</v>
      </c>
      <c r="H407" s="658">
        <f>+IFERROR(H$5*GETPIVOTDATA("Unique Billed Hours",'County allocation'!$S$3,"County",$D397,"HHA/CDPAP","HHA","Level of Service",$D407),0)</f>
        <v>0</v>
      </c>
      <c r="I407" s="664">
        <f t="shared" ca="1" si="151"/>
        <v>0</v>
      </c>
      <c r="J407" s="658">
        <f ca="1">+IFERROR(J$5*GETPIVOTDATA("Unique Billed Hours",'County allocation'!$S$3,"County",$D397,"HHA/CDPAP","HHA","Level of Service",$D407),0)</f>
        <v>0</v>
      </c>
      <c r="K407" s="658">
        <f ca="1">+IFERROR(K$5*GETPIVOTDATA("Unique Billed Hours",'County allocation'!$X$3,"County",$D397,"HHA/CDPAP","HHA","Level of Service",$D407),0)</f>
        <v>0</v>
      </c>
      <c r="L407" s="658">
        <f ca="1">+IFERROR(L$2*GETPIVOTDATA("Unique Billed Hours",'County allocation'!$O$3,"County",$D397,"HHA/CDPAP","HHA","Level of Service",$D407),0)</f>
        <v>0</v>
      </c>
      <c r="M407" s="658">
        <f>+IFERROR(M$5*GETPIVOTDATA("Unique Billed Hours",'County allocation'!$S$3,"County",$D397,"HHA/CDPAP","HHA","Level of Service",$D407),0)</f>
        <v>0</v>
      </c>
      <c r="N407" s="658">
        <f>+IFERROR(N$5*GETPIVOTDATA("Unique Billed Hours",'County allocation'!$S$3,"County",$D397,"HHA/CDPAP","HHA","Level of Service",$D407),0)</f>
        <v>0</v>
      </c>
      <c r="O407" s="658">
        <f>+IFERROR(O$5*GETPIVOTDATA("Unique Billed Hours",'County allocation'!$K$19,"County",$D397,"HHA/CDPAP","HHA","Level of Service",$D407),0)</f>
        <v>0</v>
      </c>
      <c r="P407" s="658">
        <f>+IFERROR(P$5*GETPIVOTDATA("Unique Billed Hours",'County allocation'!$S$3,"County",$D397,"HHA/CDPAP","HHA","Level of Service",$D407),0)</f>
        <v>0</v>
      </c>
    </row>
    <row r="408" spans="1:18" s="54" customFormat="1" ht="15.75" hidden="1" thickBot="1" x14ac:dyDescent="0.3">
      <c r="A408" s="119"/>
      <c r="B408" s="309"/>
      <c r="C408" s="322">
        <f t="shared" ca="1" si="149"/>
        <v>0</v>
      </c>
      <c r="D408" s="52" t="s">
        <v>389</v>
      </c>
      <c r="E408" s="53" t="s">
        <v>49</v>
      </c>
      <c r="F408" s="657">
        <f t="shared" ca="1" si="150"/>
        <v>0</v>
      </c>
      <c r="G408" s="661">
        <f ca="1">SUM(G400:G407)</f>
        <v>0</v>
      </c>
      <c r="H408" s="661">
        <f>SUM(H400:H407)</f>
        <v>0</v>
      </c>
      <c r="I408" s="664">
        <f t="shared" ca="1" si="151"/>
        <v>0</v>
      </c>
      <c r="J408" s="661">
        <f ca="1">SUM(J400:J407)</f>
        <v>0</v>
      </c>
      <c r="K408" s="661">
        <f t="shared" ref="K408:P408" ca="1" si="152">SUM(K400:K407)</f>
        <v>0</v>
      </c>
      <c r="L408" s="661">
        <f t="shared" ca="1" si="152"/>
        <v>0</v>
      </c>
      <c r="M408" s="661">
        <f t="shared" si="152"/>
        <v>0</v>
      </c>
      <c r="N408" s="661">
        <f t="shared" si="152"/>
        <v>0</v>
      </c>
      <c r="O408" s="661">
        <f t="shared" si="152"/>
        <v>0</v>
      </c>
      <c r="P408" s="661">
        <f t="shared" si="152"/>
        <v>0</v>
      </c>
    </row>
    <row r="409" spans="1:18" s="54" customFormat="1" ht="15.75" hidden="1" thickBot="1" x14ac:dyDescent="0.3">
      <c r="A409" s="119"/>
      <c r="B409" s="309"/>
      <c r="C409" s="322">
        <f t="shared" ca="1" si="149"/>
        <v>0</v>
      </c>
      <c r="D409" s="371" t="s">
        <v>390</v>
      </c>
      <c r="E409" s="325" t="s">
        <v>47</v>
      </c>
      <c r="F409" s="657">
        <f t="shared" ca="1" si="150"/>
        <v>0</v>
      </c>
      <c r="G409" s="665">
        <f ca="1">+IFERROR((G$5*GETPIVOTDATA("Unique Billed Hours",'County allocation'!$A$3,"County",$D397,"HHA/CDPAP","HHA","Level of Service",$D409))+($G$2*GETPIVOTDATA("Unique Billed Hours",'County allocation'!$F$7,"County",$D397,"HHA/CDPAP","HHA","Level of Service",$D409)),0)++IFERROR(J$5*GETPIVOTDATA("Unique Billed Hours",'County allocation'!$AC$3,"County",$D397,"HHA/CDPAP","HHA","Level of Service",$D409),0)+ +IFERROR(J$5*GETPIVOTDATA("Unique Billed Hours",'County allocation'!$AC$3,"County",$D397,"HHA/CDPAP","HHA","Level of Service",$D410),0)</f>
        <v>0</v>
      </c>
      <c r="H409" s="665">
        <f>+IFERROR(H$5*GETPIVOTDATA("Unique Billed Hours",'County allocation'!$S$3,"County",$D397,"HHA/CDPAP","HHA","Level of Service",$D409),0)</f>
        <v>0</v>
      </c>
      <c r="I409" s="664">
        <f t="shared" ca="1" si="151"/>
        <v>0</v>
      </c>
      <c r="J409" s="901"/>
      <c r="K409" s="665">
        <f ca="1">+IFERROR(K$5*GETPIVOTDATA("Unique Billed Hours",'County allocation'!$X$3,"County",$D397,"HHA/CDPAP","HHA","Level of Service",$D409),0)</f>
        <v>0</v>
      </c>
      <c r="L409" s="665">
        <f ca="1">+IFERROR(L$5*GETPIVOTDATA("Unique Billed Hours",'County allocation'!$K$19,"County",$D397,"HHA/CDPAP","HHA","Level of Service",$D409),0)</f>
        <v>0</v>
      </c>
      <c r="M409" s="665">
        <f>+IFERROR(M$5*GETPIVOTDATA("Unique Billed Hours",'County allocation'!$S$3,"County",$D397,"HHA/CDPAP","HHA","Level of Service",$D409),0)</f>
        <v>0</v>
      </c>
      <c r="N409" s="665">
        <f>+IFERROR(N$5*GETPIVOTDATA("Unique Billed Hours",'County allocation'!$S$3,"County",$D397,"HHA/CDPAP","HHA","Level of Service",$D409),0)</f>
        <v>0</v>
      </c>
      <c r="O409" s="665">
        <f>+IFERROR(O$5*GETPIVOTDATA("Unique Billed Hours",'County allocation'!$S$3,"County",$D397,"HHA/CDPAP","HHA","Level of Service",$D409),0)</f>
        <v>0</v>
      </c>
      <c r="P409" s="665">
        <f>+IFERROR(P$5*GETPIVOTDATA("Unique Billed Hours",'County allocation'!$S$3,"County",$D397,"HHA/CDPAP","HHA","Level of Service",$D409),0)</f>
        <v>0</v>
      </c>
    </row>
    <row r="410" spans="1:18" s="54" customFormat="1" ht="15.75" hidden="1" thickBot="1" x14ac:dyDescent="0.3">
      <c r="A410" s="119"/>
      <c r="B410" s="309"/>
      <c r="C410" s="322">
        <f t="shared" ca="1" si="149"/>
        <v>0</v>
      </c>
      <c r="D410" s="8" t="s">
        <v>391</v>
      </c>
      <c r="E410" s="370" t="s">
        <v>77</v>
      </c>
      <c r="F410" s="657">
        <f t="shared" ca="1" si="150"/>
        <v>0</v>
      </c>
      <c r="G410" s="656"/>
      <c r="H410" s="658">
        <f>+IFERROR(H$5*GETPIVOTDATA("Unique Billed Hours",'County allocation'!$S$3,"County",$D397,"HHA/CDPAP","HHA","Level of Service",$D410),0)</f>
        <v>0</v>
      </c>
      <c r="I410" s="664">
        <f t="shared" ca="1" si="151"/>
        <v>0</v>
      </c>
      <c r="J410" s="901"/>
      <c r="K410" s="665">
        <f ca="1">+IFERROR(K$5*GETPIVOTDATA("Unique Billed Hours",'County allocation'!$X$3,"County",$D397,"HHA/CDPAP","HHA","Level of Service",$D410),0)</f>
        <v>0</v>
      </c>
      <c r="L410" s="665">
        <f ca="1">+IFERROR(L$5*GETPIVOTDATA("Unique Billed Hours",'County allocation'!$K$19,"County",$D397,"HHA/CDPAP","HHA","Level of Service",$D410),0)</f>
        <v>0</v>
      </c>
      <c r="M410" s="665">
        <f>+IFERROR(M$5*GETPIVOTDATA("Unique Billed Hours",'County allocation'!$S$3,"County",$D397,"HHA/CDPAP","HHA","Level of Service",$D410),0)</f>
        <v>0</v>
      </c>
      <c r="N410" s="665">
        <f>+IFERROR(N$5*GETPIVOTDATA("Unique Billed Hours",'County allocation'!$S$3,"County",$D397,"HHA/CDPAP","HHA","Level of Service",$D410),0)</f>
        <v>0</v>
      </c>
      <c r="O410" s="665">
        <f>+IFERROR(O$5*GETPIVOTDATA("Unique Billed Hours",'County allocation'!$S$3,"County",$D397,"HHA/CDPAP","HHA","Level of Service",$D410),0)</f>
        <v>0</v>
      </c>
      <c r="P410" s="665">
        <f>+IFERROR(P$5*GETPIVOTDATA("Unique Billed Hours",'County allocation'!$S$3,"County",$D397,"HHA/CDPAP","HHA","Level of Service",$D410),0)</f>
        <v>0</v>
      </c>
    </row>
    <row r="411" spans="1:18" s="54" customFormat="1" ht="15.75" hidden="1" thickBot="1" x14ac:dyDescent="0.3">
      <c r="A411" s="119"/>
      <c r="B411" s="309"/>
      <c r="C411" s="322">
        <f t="shared" ca="1" si="149"/>
        <v>0</v>
      </c>
      <c r="D411" s="8" t="s">
        <v>374</v>
      </c>
      <c r="E411" s="370" t="s">
        <v>78</v>
      </c>
      <c r="F411" s="657">
        <f t="shared" ca="1" si="150"/>
        <v>0</v>
      </c>
      <c r="G411" s="658">
        <f ca="1">+IFERROR(G$5*GETPIVOTDATA("Unique Billed Hours",'County allocation'!$A$3,"County",$D397,"HHA/CDPAP","HHA","Level of Service",$D411),0)++IFERROR(J$5*GETPIVOTDATA("Unique Billed Hours",'County allocation'!$AC$3,"County",$D397,"HHA/CDPAP","HHA","Level of Service",$D411),0)</f>
        <v>0</v>
      </c>
      <c r="H411" s="658">
        <f>+IFERROR(H$5*GETPIVOTDATA("Unique Billed Hours",'County allocation'!$S$3,"County",$D397,"HHA/CDPAP","HHA","Level of Service",$D411),0)</f>
        <v>0</v>
      </c>
      <c r="I411" s="664">
        <f t="shared" ca="1" si="151"/>
        <v>0</v>
      </c>
      <c r="J411" s="901"/>
      <c r="K411" s="665">
        <f ca="1">+IFERROR(K$5*GETPIVOTDATA("Unique Billed Hours",'County allocation'!$X$3,"County",$D397,"HHA/CDPAP","HHA","Level of Service",$D411),0)</f>
        <v>0</v>
      </c>
      <c r="L411" s="665">
        <f ca="1">+IFERROR(L$5*GETPIVOTDATA("Unique Billed Hours",'County allocation'!$K$19,"County",$D397,"HHA/CDPAP","HHA","Level of Service",$D411),0)</f>
        <v>0</v>
      </c>
      <c r="M411" s="665">
        <f>+IFERROR(M$5*GETPIVOTDATA("Unique Billed Hours",'County allocation'!$S$3,"County",$D397,"HHA/CDPAP","HHA","Level of Service",$D411),0)</f>
        <v>0</v>
      </c>
      <c r="N411" s="665">
        <f>+IFERROR(N$5*GETPIVOTDATA("Unique Billed Hours",'County allocation'!$S$3,"County",$D397,"HHA/CDPAP","HHA","Level of Service",$D411),0)</f>
        <v>0</v>
      </c>
      <c r="O411" s="665">
        <f>+IFERROR(O$5*GETPIVOTDATA("Unique Billed Hours",'County allocation'!$S$3,"County",$D397,"HHA/CDPAP","HHA","Level of Service",$D411),0)</f>
        <v>0</v>
      </c>
      <c r="P411" s="665">
        <f>+IFERROR(P$5*GETPIVOTDATA("Unique Billed Hours",'County allocation'!$S$3,"County",$D397,"HHA/CDPAP","HHA","Level of Service",$D411),0)</f>
        <v>0</v>
      </c>
    </row>
    <row r="412" spans="1:18" s="54" customFormat="1" ht="15.75" hidden="1" thickBot="1" x14ac:dyDescent="0.3">
      <c r="A412" s="302"/>
      <c r="B412" s="309"/>
      <c r="C412" s="322">
        <f ca="1">C411</f>
        <v>0</v>
      </c>
      <c r="D412" s="52" t="s">
        <v>48</v>
      </c>
      <c r="E412" s="53" t="s">
        <v>79</v>
      </c>
      <c r="F412" s="657">
        <f t="shared" ca="1" si="150"/>
        <v>0</v>
      </c>
      <c r="G412" s="661">
        <f t="shared" ref="G412" ca="1" si="153">SUM(G408:G411)</f>
        <v>0</v>
      </c>
      <c r="H412" s="661">
        <f t="shared" ref="H412:P412" si="154">SUM(H408:H411)</f>
        <v>0</v>
      </c>
      <c r="I412" s="661">
        <f t="shared" ca="1" si="154"/>
        <v>0</v>
      </c>
      <c r="J412" s="661">
        <f t="shared" ca="1" si="154"/>
        <v>0</v>
      </c>
      <c r="K412" s="661">
        <f t="shared" ca="1" si="154"/>
        <v>0</v>
      </c>
      <c r="L412" s="661">
        <f t="shared" ca="1" si="154"/>
        <v>0</v>
      </c>
      <c r="M412" s="661">
        <f t="shared" si="154"/>
        <v>0</v>
      </c>
      <c r="N412" s="661">
        <f t="shared" si="154"/>
        <v>0</v>
      </c>
      <c r="O412" s="661">
        <f t="shared" si="154"/>
        <v>0</v>
      </c>
      <c r="P412" s="661">
        <f t="shared" si="154"/>
        <v>0</v>
      </c>
    </row>
    <row r="413" spans="1:18" ht="15.75" hidden="1" thickBot="1" x14ac:dyDescent="0.3"/>
    <row r="414" spans="1:18" s="54" customFormat="1" ht="75" x14ac:dyDescent="0.25">
      <c r="A414" s="119"/>
      <c r="B414" s="309"/>
      <c r="C414" s="322">
        <f ca="1">IF(F429&gt;0,1,0)</f>
        <v>1</v>
      </c>
      <c r="D414" s="45" t="str">
        <f>A27</f>
        <v>Kings</v>
      </c>
      <c r="E414" s="28">
        <f>+SUMIF(A:A,D414,B:B)</f>
        <v>0.29256738892740358</v>
      </c>
      <c r="F414" s="652" t="s">
        <v>61</v>
      </c>
      <c r="G414" s="652" t="s">
        <v>387</v>
      </c>
      <c r="H414" s="652" t="s">
        <v>388</v>
      </c>
      <c r="I414" s="652" t="s">
        <v>392</v>
      </c>
      <c r="J414" s="652" t="s">
        <v>31</v>
      </c>
      <c r="K414" s="652" t="s">
        <v>32</v>
      </c>
      <c r="L414" s="653" t="s">
        <v>33</v>
      </c>
      <c r="M414" s="653" t="s">
        <v>60</v>
      </c>
      <c r="N414" s="653" t="s">
        <v>59</v>
      </c>
      <c r="O414" s="653" t="s">
        <v>58</v>
      </c>
      <c r="P414" s="653" t="s">
        <v>16</v>
      </c>
    </row>
    <row r="415" spans="1:18" s="54" customFormat="1" x14ac:dyDescent="0.25">
      <c r="A415" s="119"/>
      <c r="B415" s="309"/>
      <c r="C415" s="322">
        <f ca="1">C414</f>
        <v>1</v>
      </c>
      <c r="D415" s="56"/>
      <c r="E415" s="57"/>
      <c r="F415" s="654" t="s">
        <v>57</v>
      </c>
      <c r="G415" s="654" t="s">
        <v>56</v>
      </c>
      <c r="H415" s="654" t="s">
        <v>55</v>
      </c>
      <c r="I415" s="654" t="s">
        <v>54</v>
      </c>
      <c r="J415" s="654" t="s">
        <v>53</v>
      </c>
      <c r="K415" s="654" t="s">
        <v>52</v>
      </c>
      <c r="L415" s="654" t="s">
        <v>51</v>
      </c>
      <c r="M415" s="654" t="s">
        <v>50</v>
      </c>
      <c r="N415" s="654" t="s">
        <v>49</v>
      </c>
      <c r="O415" s="654" t="s">
        <v>47</v>
      </c>
      <c r="P415" s="655" t="s">
        <v>77</v>
      </c>
    </row>
    <row r="416" spans="1:18" s="54" customFormat="1" x14ac:dyDescent="0.25">
      <c r="A416" s="119"/>
      <c r="B416" s="309"/>
      <c r="C416" s="322">
        <f t="shared" ref="C416:C428" ca="1" si="155">C415</f>
        <v>1</v>
      </c>
      <c r="D416" s="59" t="s">
        <v>26</v>
      </c>
      <c r="E416" s="57"/>
      <c r="F416" s="656"/>
      <c r="G416" s="656"/>
      <c r="H416" s="656"/>
      <c r="I416" s="656"/>
      <c r="J416" s="656"/>
      <c r="K416" s="656"/>
      <c r="L416" s="656"/>
      <c r="M416" s="656"/>
      <c r="N416" s="656"/>
      <c r="O416" s="656"/>
      <c r="P416" s="663"/>
    </row>
    <row r="417" spans="1:18" s="54" customFormat="1" x14ac:dyDescent="0.25">
      <c r="A417" s="119"/>
      <c r="B417" s="309"/>
      <c r="C417" s="322">
        <f t="shared" ca="1" si="155"/>
        <v>1</v>
      </c>
      <c r="D417" s="7" t="s">
        <v>34</v>
      </c>
      <c r="E417" s="48" t="s">
        <v>57</v>
      </c>
      <c r="F417" s="657">
        <f ca="1">+H417+G417+I417</f>
        <v>11343.677606662342</v>
      </c>
      <c r="G417" s="658">
        <f ca="1">+IFERROR(G$5*GETPIVOTDATA("Unique Billed Hours",'County allocation'!$A$3,"County",$D414,"HHA/CDPAP","HHA","Level of Service",$D417),0)</f>
        <v>380.54539146682163</v>
      </c>
      <c r="H417" s="658">
        <f>+IFERROR(H$5*GETPIVOTDATA("Unique Billed Hours",'County allocation'!$S$3,"County",$D414,"HHA/CDPAP","HHA","Level of Service",$D417),0)</f>
        <v>650.96036334371161</v>
      </c>
      <c r="I417" s="664">
        <f ca="1">SUM(J417:P417)</f>
        <v>10312.171851851808</v>
      </c>
      <c r="J417" s="658">
        <f ca="1">+IFERROR(J$5*GETPIVOTDATA("Unique Billed Hours",'County allocation'!$AC$3,"County",$D414,"HHA/CDPAP","HHA","Level of Service",$D417),0)</f>
        <v>1355.3301256761888</v>
      </c>
      <c r="K417" s="658">
        <f ca="1">+IFERROR(K$5*GETPIVOTDATA("Unique Billed Hours",'County allocation'!$X$3,"County",$D414,"HHA/CDPAP","HHA","Level of Service",$D417),0)</f>
        <v>8761.6723837037971</v>
      </c>
      <c r="L417" s="658">
        <f ca="1">+IFERROR(L$2*GETPIVOTDATA("Unique Billed Hours",'County allocation'!$O$3,"County",$D414,"HHA/CDPAP","HHA","Level of Service",$D417),0)</f>
        <v>125.66722786495022</v>
      </c>
      <c r="M417" s="658">
        <f>+IFERROR(M$5*GETPIVOTDATA("Unique Billed Hours",'County allocation'!$S$3,"County",$D414,"HHA/CDPAP","HHA","Level of Service",$D417),0)</f>
        <v>64.130833303147668</v>
      </c>
      <c r="N417" s="658">
        <f>+IFERROR(N$5*GETPIVOTDATA("Unique Billed Hours",'County allocation'!$S$3,"County",$D414,"HHA/CDPAP","HHA","Level of Service",$D417),0)</f>
        <v>5.3712813037258531</v>
      </c>
      <c r="O417" s="658">
        <f>+IFERROR(O$5*GETPIVOTDATA("Unique Billed Hours",'County allocation'!$K$19,"County",$D414,"HHA/CDPAP","HHA","Level of Service",$D417),0)</f>
        <v>0</v>
      </c>
      <c r="P417" s="658">
        <f>+IFERROR(P$5*GETPIVOTDATA("Unique Billed Hours",'County allocation'!$S$3,"County",$D414,"HHA/CDPAP","HHA","Level of Service",$D417),0)</f>
        <v>0</v>
      </c>
    </row>
    <row r="418" spans="1:18" s="54" customFormat="1" x14ac:dyDescent="0.25">
      <c r="A418" s="119"/>
      <c r="B418" s="309"/>
      <c r="C418" s="322">
        <f t="shared" ca="1" si="155"/>
        <v>1</v>
      </c>
      <c r="D418" s="7" t="s">
        <v>35</v>
      </c>
      <c r="E418" s="48" t="s">
        <v>56</v>
      </c>
      <c r="F418" s="657">
        <f t="shared" ref="F418:F429" ca="1" si="156">+H418+G418+I418</f>
        <v>24568186.841730017</v>
      </c>
      <c r="G418" s="658">
        <f ca="1">+IFERROR(G$5*GETPIVOTDATA("Unique Billed Hours",'County allocation'!$A$3,"County",$D414,"HHA/CDPAP","HHA","Level of Service",$D418),0)</f>
        <v>824186.88219992677</v>
      </c>
      <c r="H418" s="658">
        <f>+IFERROR(H$5*GETPIVOTDATA("Unique Billed Hours",'County allocation'!$S$3,"County",$D414,"HHA/CDPAP","HHA","Level of Service",$D418),0)</f>
        <v>1409852.8173787168</v>
      </c>
      <c r="I418" s="664">
        <f t="shared" ref="I418:I428" ca="1" si="157">SUM(J418:P418)</f>
        <v>22334147.142151374</v>
      </c>
      <c r="J418" s="658">
        <f ca="1">+IFERROR(J$5*GETPIVOTDATA("Unique Billed Hours",'County allocation'!$AC$3,"County",$D414,"HHA/CDPAP","HHA","Level of Service",$D418),0)</f>
        <v>2935379.9459428852</v>
      </c>
      <c r="K418" s="658">
        <f ca="1">+IFERROR(K$5*GETPIVOTDATA("Unique Billed Hours",'County allocation'!$X$3,"County",$D414,"HHA/CDPAP","HHA","Level of Service",$D418),0)</f>
        <v>18976068.576070588</v>
      </c>
      <c r="L418" s="658">
        <f ca="1">+IFERROR(L$2*GETPIVOTDATA("Unique Billed Hours",'County allocation'!$O$3,"County",$D414,"HHA/CDPAP","HHA","Level of Service",$D418),0)</f>
        <v>272170.63470272318</v>
      </c>
      <c r="M418" s="658">
        <f>+IFERROR(M$5*GETPIVOTDATA("Unique Billed Hours",'County allocation'!$S$3,"County",$D414,"HHA/CDPAP","HHA","Level of Service",$D418),0)</f>
        <v>138894.84076858891</v>
      </c>
      <c r="N418" s="658">
        <f>+IFERROR(N$5*GETPIVOTDATA("Unique Billed Hours",'County allocation'!$S$3,"County",$D414,"HHA/CDPAP","HHA","Level of Service",$D418),0)</f>
        <v>11633.144666587135</v>
      </c>
      <c r="O418" s="658">
        <f>+IFERROR(O$5*GETPIVOTDATA("Unique Billed Hours",'County allocation'!$K$19,"County",$D414,"HHA/CDPAP","HHA","Level of Service",$D418),0)</f>
        <v>0</v>
      </c>
      <c r="P418" s="658">
        <f>+IFERROR(P$5*GETPIVOTDATA("Unique Billed Hours",'County allocation'!$S$3,"County",$D414,"HHA/CDPAP","HHA","Level of Service",$D418),0)</f>
        <v>0</v>
      </c>
      <c r="R418" s="61"/>
    </row>
    <row r="419" spans="1:18" s="54" customFormat="1" x14ac:dyDescent="0.25">
      <c r="A419" s="302"/>
      <c r="B419" s="309"/>
      <c r="C419" s="322">
        <f t="shared" ca="1" si="155"/>
        <v>1</v>
      </c>
      <c r="D419" s="7" t="s">
        <v>36</v>
      </c>
      <c r="E419" s="48" t="s">
        <v>55</v>
      </c>
      <c r="F419" s="657">
        <f t="shared" ca="1" si="156"/>
        <v>0</v>
      </c>
      <c r="G419" s="658">
        <f ca="1">+IFERROR(G$5*GETPIVOTDATA("Unique Billed Hours",'County allocation'!$A$3,"County",$D414,"HHA/CDPAP","HHA","Level of Service",$D419),0)</f>
        <v>0</v>
      </c>
      <c r="H419" s="658">
        <f>+IFERROR(H$5*GETPIVOTDATA("Unique Billed Hours",'County allocation'!$S$3,"County",$D414,"HHA/CDPAP","HHA","Level of Service",$D419),0)</f>
        <v>0</v>
      </c>
      <c r="I419" s="664">
        <f t="shared" ca="1" si="157"/>
        <v>0</v>
      </c>
      <c r="J419" s="658">
        <f ca="1">+IFERROR(J$5*GETPIVOTDATA("Unique Billed Hours",'County allocation'!$AC$3,"County",$D414,"HHA/CDPAP","HHA","Level of Service",$D419),0)</f>
        <v>0</v>
      </c>
      <c r="K419" s="658">
        <f ca="1">+IFERROR(K$5*GETPIVOTDATA("Unique Billed Hours",'County allocation'!$X$3,"County",$D414,"HHA/CDPAP","HHA","Level of Service",$D419),0)</f>
        <v>0</v>
      </c>
      <c r="L419" s="658">
        <f ca="1">+IFERROR(L$2*GETPIVOTDATA("Unique Billed Hours",'County allocation'!$O$3,"County",$D414,"HHA/CDPAP","HHA","Level of Service",$D419),0)</f>
        <v>0</v>
      </c>
      <c r="M419" s="658">
        <f>+IFERROR(M$5*GETPIVOTDATA("Unique Billed Hours",'County allocation'!$S$3,"County",$D414,"HHA/CDPAP","HHA","Level of Service",$D419),0)</f>
        <v>0</v>
      </c>
      <c r="N419" s="658">
        <f>+IFERROR(N$5*GETPIVOTDATA("Unique Billed Hours",'County allocation'!$S$3,"County",$D414,"HHA/CDPAP","HHA","Level of Service",$D419),0)</f>
        <v>0</v>
      </c>
      <c r="O419" s="658">
        <f>+IFERROR(O$5*GETPIVOTDATA("Unique Billed Hours",'County allocation'!$K$19,"County",$D414,"HHA/CDPAP","HHA","Level of Service",$D419),0)</f>
        <v>0</v>
      </c>
      <c r="P419" s="658">
        <f>+IFERROR(P$5*GETPIVOTDATA("Unique Billed Hours",'County allocation'!$S$3,"County",$D414,"HHA/CDPAP","HHA","Level of Service",$D419),0)</f>
        <v>0</v>
      </c>
    </row>
    <row r="420" spans="1:18" s="54" customFormat="1" x14ac:dyDescent="0.25">
      <c r="A420" s="119"/>
      <c r="B420" s="309"/>
      <c r="C420" s="322">
        <f t="shared" ca="1" si="155"/>
        <v>1</v>
      </c>
      <c r="D420" s="7" t="s">
        <v>37</v>
      </c>
      <c r="E420" s="48" t="s">
        <v>54</v>
      </c>
      <c r="F420" s="657">
        <f t="shared" ca="1" si="156"/>
        <v>4897854.2620960055</v>
      </c>
      <c r="G420" s="658">
        <f ca="1">+IFERROR(G$5*GETPIVOTDATA("Unique Billed Hours",'County allocation'!$A$3,"County",$D414,"HHA/CDPAP","HHA","Level of Service",$D420),0)</f>
        <v>164307.90191199453</v>
      </c>
      <c r="H420" s="658">
        <f>+IFERROR(H$5*GETPIVOTDATA("Unique Billed Hours",'County allocation'!$S$3,"County",$D414,"HHA/CDPAP","HHA","Level of Service",$D420),0)</f>
        <v>281064.84515974001</v>
      </c>
      <c r="I420" s="664">
        <f t="shared" ca="1" si="157"/>
        <v>4452481.5150242709</v>
      </c>
      <c r="J420" s="658">
        <f ca="1">+IFERROR(J$5*GETPIVOTDATA("Unique Billed Hours",'County allocation'!$AC$3,"County",$D414,"HHA/CDPAP","HHA","Level of Service",$D420),0)</f>
        <v>585190.24101068394</v>
      </c>
      <c r="K420" s="658">
        <f ca="1">+IFERROR(K$5*GETPIVOTDATA("Unique Billed Hours",'County allocation'!$X$3,"County",$D414,"HHA/CDPAP","HHA","Level of Service",$D420),0)</f>
        <v>3783023.1002341532</v>
      </c>
      <c r="L420" s="658">
        <f ca="1">+IFERROR(L$2*GETPIVOTDATA("Unique Billed Hours",'County allocation'!$O$3,"County",$D414,"HHA/CDPAP","HHA","Level of Service",$D420),0)</f>
        <v>54259.278952237</v>
      </c>
      <c r="M420" s="658">
        <f>+IFERROR(M$5*GETPIVOTDATA("Unique Billed Hours",'County allocation'!$S$3,"County",$D414,"HHA/CDPAP","HHA","Level of Service",$D420),0)</f>
        <v>27689.739264196978</v>
      </c>
      <c r="N420" s="658">
        <f>+IFERROR(N$5*GETPIVOTDATA("Unique Billed Hours",'County allocation'!$S$3,"County",$D414,"HHA/CDPAP","HHA","Level of Service",$D420),0)</f>
        <v>2319.1555630000671</v>
      </c>
      <c r="O420" s="658">
        <f>+IFERROR(O$5*GETPIVOTDATA("Unique Billed Hours",'County allocation'!$K$19,"County",$D414,"HHA/CDPAP","HHA","Level of Service",$D420),0)</f>
        <v>0</v>
      </c>
      <c r="P420" s="658">
        <f>+IFERROR(P$5*GETPIVOTDATA("Unique Billed Hours",'County allocation'!$S$3,"County",$D414,"HHA/CDPAP","HHA","Level of Service",$D420),0)</f>
        <v>0</v>
      </c>
    </row>
    <row r="421" spans="1:18" s="54" customFormat="1" x14ac:dyDescent="0.25">
      <c r="A421" s="119"/>
      <c r="B421" s="309"/>
      <c r="C421" s="322">
        <f t="shared" ca="1" si="155"/>
        <v>1</v>
      </c>
      <c r="D421" s="7" t="s">
        <v>38</v>
      </c>
      <c r="E421" s="48" t="s">
        <v>53</v>
      </c>
      <c r="F421" s="657">
        <f t="shared" ca="1" si="156"/>
        <v>38727.449417011361</v>
      </c>
      <c r="G421" s="658">
        <f ca="1">+IFERROR(G$5*GETPIVOTDATA("Unique Billed Hours",'County allocation'!$A$3,"County",$D414,"HHA/CDPAP","HHA","Level of Service",$D421),0)</f>
        <v>0</v>
      </c>
      <c r="H421" s="658">
        <f>+IFERROR(H$5*GETPIVOTDATA("Unique Billed Hours",'County allocation'!$S$3,"County",$D414,"HHA/CDPAP","HHA","Level of Service",$D421),0)</f>
        <v>0</v>
      </c>
      <c r="I421" s="664">
        <f t="shared" ca="1" si="157"/>
        <v>38727.449417011361</v>
      </c>
      <c r="J421" s="658">
        <f ca="1">+IFERROR(J$5*GETPIVOTDATA("Unique Billed Hours",'County allocation'!$AC$3,"County",$D414,"HHA/CDPAP","HHA","Level of Service",$D421),0)</f>
        <v>3189.4956103858149</v>
      </c>
      <c r="K421" s="658">
        <f ca="1">+IFERROR(K$5*GETPIVOTDATA("Unique Billed Hours",'County allocation'!$X$3,"County",$D414,"HHA/CDPAP","HHA","Level of Service",$D421),0)</f>
        <v>0</v>
      </c>
      <c r="L421" s="658">
        <f ca="1">+IFERROR(L$5*GETPIVOTDATA("Unique Billed Hours",'County allocation'!$K$19,"County",$D414,"HHA/CDPAP","HHA","Level of Service",$D421),0)</f>
        <v>35537.953806625548</v>
      </c>
      <c r="M421" s="658">
        <f>+IFERROR(M$5*GETPIVOTDATA("Unique Billed Hours",'County allocation'!$S$3,"County",$D414,"HHA/CDPAP","HHA","Level of Service",$D421),0)</f>
        <v>0</v>
      </c>
      <c r="N421" s="658">
        <f>+IFERROR(N$5*GETPIVOTDATA("Unique Billed Hours",'County allocation'!$S$3,"County",$D414,"HHA/CDPAP","HHA","Level of Service",$D421),0)</f>
        <v>0</v>
      </c>
      <c r="O421" s="658">
        <f>+IFERROR(O$5*GETPIVOTDATA("Unique Billed Hours",'County allocation'!$K$19,"County",$D414,"HHA/CDPAP","HHA","Level of Service",$D421),0)</f>
        <v>0</v>
      </c>
      <c r="P421" s="658">
        <f>+IFERROR(P$5*GETPIVOTDATA("Unique Billed Hours",'County allocation'!$S$3,"County",$D414,"HHA/CDPAP","HHA","Level of Service",$D421),0)</f>
        <v>0</v>
      </c>
    </row>
    <row r="422" spans="1:18" s="54" customFormat="1" x14ac:dyDescent="0.25">
      <c r="A422" s="119"/>
      <c r="B422" s="309"/>
      <c r="C422" s="322">
        <f t="shared" ca="1" si="155"/>
        <v>1</v>
      </c>
      <c r="D422" s="7" t="s">
        <v>39</v>
      </c>
      <c r="E422" s="48" t="s">
        <v>52</v>
      </c>
      <c r="F422" s="657">
        <f t="shared" ca="1" si="156"/>
        <v>13376.590543455299</v>
      </c>
      <c r="G422" s="658">
        <f ca="1">+IFERROR(G$5*GETPIVOTDATA("Unique Billed Hours",'County allocation'!$A$3,"County",$D414,"HHA/CDPAP","HHA","Level of Service",$D422),0)</f>
        <v>0</v>
      </c>
      <c r="H422" s="658">
        <f>+IFERROR(H$5*GETPIVOTDATA("Unique Billed Hours",'County allocation'!$S$3,"County",$D414,"HHA/CDPAP","HHA","Level of Service",$D422),0)</f>
        <v>0</v>
      </c>
      <c r="I422" s="664">
        <f t="shared" ca="1" si="157"/>
        <v>13376.590543455299</v>
      </c>
      <c r="J422" s="658">
        <f ca="1">+IFERROR(J$5*GETPIVOTDATA("Unique Billed Hours",'County allocation'!$AC$3,"County",$D414,"HHA/CDPAP","HHA","Level of Service",$D422),0)</f>
        <v>5318.5661338134596</v>
      </c>
      <c r="K422" s="658">
        <f ca="1">+IFERROR(K$5*GETPIVOTDATA("Unique Billed Hours",'County allocation'!$X$3,"County",$D414,"HHA/CDPAP","HHA","Level of Service",$D422),0)</f>
        <v>0</v>
      </c>
      <c r="L422" s="658">
        <f ca="1">+IFERROR(L$5*GETPIVOTDATA("Unique Billed Hours",'County allocation'!$K$19,"County",$D414,"HHA/CDPAP","HHA","Level of Service",$D422),0)</f>
        <v>8058.0244096418392</v>
      </c>
      <c r="M422" s="658">
        <f>+IFERROR(M$5*GETPIVOTDATA("Unique Billed Hours",'County allocation'!$S$3,"County",$D414,"HHA/CDPAP","HHA","Level of Service",$D422),0)</f>
        <v>0</v>
      </c>
      <c r="N422" s="658">
        <f>+IFERROR(N$5*GETPIVOTDATA("Unique Billed Hours",'County allocation'!$S$3,"County",$D414,"HHA/CDPAP","HHA","Level of Service",$D422),0)</f>
        <v>0</v>
      </c>
      <c r="O422" s="658">
        <f>+IFERROR(O$5*GETPIVOTDATA("Unique Billed Hours",'County allocation'!$K$19,"County",$D414,"HHA/CDPAP","HHA","Level of Service",$D422),0)</f>
        <v>0</v>
      </c>
      <c r="P422" s="658">
        <f>+IFERROR(P$5*GETPIVOTDATA("Unique Billed Hours",'County allocation'!$S$3,"County",$D414,"HHA/CDPAP","HHA","Level of Service",$D422),0)</f>
        <v>0</v>
      </c>
    </row>
    <row r="423" spans="1:18" s="54" customFormat="1" x14ac:dyDescent="0.25">
      <c r="A423" s="119"/>
      <c r="B423" s="309"/>
      <c r="C423" s="322">
        <f t="shared" ca="1" si="155"/>
        <v>1</v>
      </c>
      <c r="D423" s="8" t="s">
        <v>40</v>
      </c>
      <c r="E423" s="48" t="s">
        <v>51</v>
      </c>
      <c r="F423" s="657">
        <f t="shared" ca="1" si="156"/>
        <v>0</v>
      </c>
      <c r="G423" s="658">
        <f ca="1">+IFERROR(G$5*GETPIVOTDATA("Unique Billed Hours",'County allocation'!$A$3,"County",$D414,"HHA/CDPAP","HHA","Level of Service",$D423),0)</f>
        <v>0</v>
      </c>
      <c r="H423" s="658">
        <f>+IFERROR(H$5*GETPIVOTDATA("Unique Billed Hours",'County allocation'!$S$3,"County",$D414,"HHA/CDPAP","HHA","Level of Service",$D423),0)</f>
        <v>0</v>
      </c>
      <c r="I423" s="664">
        <f t="shared" ca="1" si="157"/>
        <v>0</v>
      </c>
      <c r="J423" s="658">
        <f ca="1">+IFERROR(J$5*GETPIVOTDATA("Unique Billed Hours",'County allocation'!$AC$3,"County",$D414,"HHA/CDPAP","HHA","Level of Service",$D423),0)</f>
        <v>0</v>
      </c>
      <c r="K423" s="658">
        <f ca="1">+IFERROR(K$5*GETPIVOTDATA("Unique Billed Hours",'County allocation'!$X$3,"County",$D414,"HHA/CDPAP","HHA","Level of Service",$D423),0)</f>
        <v>0</v>
      </c>
      <c r="L423" s="658">
        <f ca="1">+IFERROR(L$2*GETPIVOTDATA("Unique Billed Hours",'County allocation'!$O$3,"County",$D414,"HHA/CDPAP","HHA","Level of Service",$D423),0)</f>
        <v>0</v>
      </c>
      <c r="M423" s="658">
        <f>+IFERROR(M$5*GETPIVOTDATA("Unique Billed Hours",'County allocation'!$S$3,"County",$D414,"HHA/CDPAP","HHA","Level of Service",$D423),0)</f>
        <v>0</v>
      </c>
      <c r="N423" s="658">
        <f>+IFERROR(N$5*GETPIVOTDATA("Unique Billed Hours",'County allocation'!$S$3,"County",$D414,"HHA/CDPAP","HHA","Level of Service",$D423),0)</f>
        <v>0</v>
      </c>
      <c r="O423" s="658">
        <f>+IFERROR(O$5*GETPIVOTDATA("Unique Billed Hours",'County allocation'!$K$19,"County",$D414,"HHA/CDPAP","HHA","Level of Service",$D423),0)</f>
        <v>0</v>
      </c>
      <c r="P423" s="658">
        <f>+IFERROR(P$5*GETPIVOTDATA("Unique Billed Hours",'County allocation'!$S$3,"County",$D414,"HHA/CDPAP","HHA","Level of Service",$D423),0)</f>
        <v>0</v>
      </c>
    </row>
    <row r="424" spans="1:18" s="54" customFormat="1" x14ac:dyDescent="0.25">
      <c r="A424" s="119"/>
      <c r="B424" s="309"/>
      <c r="C424" s="322">
        <f t="shared" ca="1" si="155"/>
        <v>1</v>
      </c>
      <c r="D424" s="8" t="s">
        <v>41</v>
      </c>
      <c r="E424" s="48" t="s">
        <v>50</v>
      </c>
      <c r="F424" s="657">
        <f t="shared" ca="1" si="156"/>
        <v>141851.87145131821</v>
      </c>
      <c r="G424" s="658">
        <f ca="1">+IFERROR(G$5*GETPIVOTDATA("Unique Billed Hours",'County allocation'!$A$3,"County",$D414,"HHA/CDPAP","HHA","Level of Service",$D424),0)</f>
        <v>4758.6927117920814</v>
      </c>
      <c r="H424" s="658">
        <f>+IFERROR(H$5*GETPIVOTDATA("Unique Billed Hours",'County allocation'!$S$3,"County",$D414,"HHA/CDPAP","HHA","Level of Service",$D424),0)</f>
        <v>8140.212458674132</v>
      </c>
      <c r="I424" s="664">
        <f t="shared" ca="1" si="157"/>
        <v>128952.96628085199</v>
      </c>
      <c r="J424" s="658">
        <f ca="1">+IFERROR(J$5*GETPIVOTDATA("Unique Billed Hours",'County allocation'!$AC$3,"County",$D414,"HHA/CDPAP","HHA","Level of Service",$D424),0)</f>
        <v>16948.305604930294</v>
      </c>
      <c r="K424" s="658">
        <f ca="1">+IFERROR(K$5*GETPIVOTDATA("Unique Billed Hours",'County allocation'!$X$3,"County",$D414,"HHA/CDPAP","HHA","Level of Service",$D424),0)</f>
        <v>109564.08210523915</v>
      </c>
      <c r="L424" s="658">
        <f ca="1">+IFERROR(L$2*GETPIVOTDATA("Unique Billed Hours",'County allocation'!$O$3,"County",$D414,"HHA/CDPAP","HHA","Level of Service",$D424),0)</f>
        <v>1571.4596333620084</v>
      </c>
      <c r="M424" s="658">
        <f>+IFERROR(M$5*GETPIVOTDATA("Unique Billed Hours",'County allocation'!$S$3,"County",$D414,"HHA/CDPAP","HHA","Level of Service",$D424),0)</f>
        <v>801.95145147999835</v>
      </c>
      <c r="N424" s="658">
        <f>+IFERROR(N$5*GETPIVOTDATA("Unique Billed Hours",'County allocation'!$S$3,"County",$D414,"HHA/CDPAP","HHA","Level of Service",$D424),0)</f>
        <v>67.167485840526339</v>
      </c>
      <c r="O424" s="658">
        <f>+IFERROR(O$5*GETPIVOTDATA("Unique Billed Hours",'County allocation'!$K$19,"County",$D414,"HHA/CDPAP","HHA","Level of Service",$D424),0)</f>
        <v>0</v>
      </c>
      <c r="P424" s="658">
        <f>+IFERROR(P$5*GETPIVOTDATA("Unique Billed Hours",'County allocation'!$S$3,"County",$D414,"HHA/CDPAP","HHA","Level of Service",$D424),0)</f>
        <v>0</v>
      </c>
    </row>
    <row r="425" spans="1:18" s="54" customFormat="1" ht="15.75" thickBot="1" x14ac:dyDescent="0.3">
      <c r="A425" s="119"/>
      <c r="B425" s="309"/>
      <c r="C425" s="322">
        <f t="shared" ca="1" si="155"/>
        <v>1</v>
      </c>
      <c r="D425" s="52" t="s">
        <v>389</v>
      </c>
      <c r="E425" s="53" t="s">
        <v>49</v>
      </c>
      <c r="F425" s="657">
        <f t="shared" ca="1" si="156"/>
        <v>29671340.692844469</v>
      </c>
      <c r="G425" s="661">
        <f ca="1">SUM(G417:G424)</f>
        <v>993634.02221518022</v>
      </c>
      <c r="H425" s="661">
        <f>SUM(H417:H424)</f>
        <v>1699708.8353604747</v>
      </c>
      <c r="I425" s="664">
        <f t="shared" ca="1" si="157"/>
        <v>26977997.835268814</v>
      </c>
      <c r="J425" s="661">
        <f ca="1">SUM(J417:J424)</f>
        <v>3547381.8844283749</v>
      </c>
      <c r="K425" s="661">
        <f t="shared" ref="K425:P425" ca="1" si="158">SUM(K417:K424)</f>
        <v>22877417.430793684</v>
      </c>
      <c r="L425" s="661">
        <f t="shared" ca="1" si="158"/>
        <v>371723.01873245457</v>
      </c>
      <c r="M425" s="661">
        <f t="shared" si="158"/>
        <v>167450.66231756905</v>
      </c>
      <c r="N425" s="661">
        <f t="shared" si="158"/>
        <v>14024.838996731454</v>
      </c>
      <c r="O425" s="661">
        <f t="shared" si="158"/>
        <v>0</v>
      </c>
      <c r="P425" s="661">
        <f t="shared" si="158"/>
        <v>0</v>
      </c>
    </row>
    <row r="426" spans="1:18" s="54" customFormat="1" x14ac:dyDescent="0.25">
      <c r="A426" s="119"/>
      <c r="B426" s="309"/>
      <c r="C426" s="322">
        <f t="shared" ca="1" si="155"/>
        <v>1</v>
      </c>
      <c r="D426" s="371" t="s">
        <v>390</v>
      </c>
      <c r="E426" s="325" t="s">
        <v>47</v>
      </c>
      <c r="F426" s="657">
        <f t="shared" ca="1" si="156"/>
        <v>22781893.956005771</v>
      </c>
      <c r="G426" s="665">
        <f ca="1">+IFERROR((G$5*GETPIVOTDATA("Unique Billed Hours",'County allocation'!$A$3,"County",$D414,"HHA/CDPAP","HHA","Level of Service",$D426))+($G$2*GETPIVOTDATA("Unique Billed Hours",'County allocation'!$F$7,"County",$D414,"HHA/CDPAP","HHA","Level of Service",$D426)),0)++IFERROR(J$5*GETPIVOTDATA("Unique Billed Hours",'County allocation'!$AC$3,"County",$D414,"HHA/CDPAP","HHA","Level of Service",$D426),0)+ +IFERROR(J$5*GETPIVOTDATA("Unique Billed Hours",'County allocation'!$AC$3,"County",$D414,"HHA/CDPAP","HHA","Level of Service",$D427),0)</f>
        <v>22781893.956005771</v>
      </c>
      <c r="H426" s="665">
        <f>+IFERROR(H$5*GETPIVOTDATA("Unique Billed Hours",'County allocation'!$S$3,"County",$D414,"HHA/CDPAP","HHA","Level of Service",$D426),0)</f>
        <v>0</v>
      </c>
      <c r="I426" s="664">
        <f t="shared" ca="1" si="157"/>
        <v>0</v>
      </c>
      <c r="J426" s="901"/>
      <c r="K426" s="665">
        <f ca="1">+IFERROR(K$5*GETPIVOTDATA("Unique Billed Hours",'County allocation'!$X$3,"County",$D414,"HHA/CDPAP","HHA","Level of Service",$D426),0)</f>
        <v>0</v>
      </c>
      <c r="L426" s="665">
        <f ca="1">+IFERROR(L$5*GETPIVOTDATA("Unique Billed Hours",'County allocation'!$K$19,"County",$D414,"HHA/CDPAP","HHA","Level of Service",$D426),0)</f>
        <v>0</v>
      </c>
      <c r="M426" s="665">
        <f>+IFERROR(M$5*GETPIVOTDATA("Unique Billed Hours",'County allocation'!$S$3,"County",$D414,"HHA/CDPAP","HHA","Level of Service",$D426),0)</f>
        <v>0</v>
      </c>
      <c r="N426" s="665">
        <f>+IFERROR(N$5*GETPIVOTDATA("Unique Billed Hours",'County allocation'!$S$3,"County",$D414,"HHA/CDPAP","HHA","Level of Service",$D426),0)</f>
        <v>0</v>
      </c>
      <c r="O426" s="665">
        <f>+IFERROR(O$5*GETPIVOTDATA("Unique Billed Hours",'County allocation'!$S$3,"County",$D414,"HHA/CDPAP","HHA","Level of Service",$D426),0)</f>
        <v>0</v>
      </c>
      <c r="P426" s="665">
        <f>+IFERROR(P$5*GETPIVOTDATA("Unique Billed Hours",'County allocation'!$S$3,"County",$D414,"HHA/CDPAP","HHA","Level of Service",$D426),0)</f>
        <v>0</v>
      </c>
    </row>
    <row r="427" spans="1:18" s="54" customFormat="1" x14ac:dyDescent="0.25">
      <c r="A427" s="119"/>
      <c r="B427" s="309"/>
      <c r="C427" s="322">
        <f t="shared" ca="1" si="155"/>
        <v>1</v>
      </c>
      <c r="D427" s="8" t="s">
        <v>391</v>
      </c>
      <c r="E427" s="370" t="s">
        <v>77</v>
      </c>
      <c r="F427" s="657">
        <f t="shared" ca="1" si="156"/>
        <v>19989991.357953668</v>
      </c>
      <c r="G427" s="656"/>
      <c r="H427" s="658">
        <f>+IFERROR(H$5*GETPIVOTDATA("Unique Billed Hours",'County allocation'!$S$3,"County",$D414,"HHA/CDPAP","HHA","Level of Service",$D427),0)</f>
        <v>0</v>
      </c>
      <c r="I427" s="664">
        <f t="shared" ca="1" si="157"/>
        <v>19989991.357953668</v>
      </c>
      <c r="J427" s="901"/>
      <c r="K427" s="665">
        <f ca="1">+IFERROR(K$5*GETPIVOTDATA("Unique Billed Hours",'County allocation'!$X$3,"County",$D414,"HHA/CDPAP","HHA","Level of Service",$D427),0)</f>
        <v>19989991.357953668</v>
      </c>
      <c r="L427" s="665">
        <f ca="1">+IFERROR(L$5*GETPIVOTDATA("Unique Billed Hours",'County allocation'!$K$19,"County",$D414,"HHA/CDPAP","HHA","Level of Service",$D427),0)</f>
        <v>0</v>
      </c>
      <c r="M427" s="665">
        <f>+IFERROR(M$5*GETPIVOTDATA("Unique Billed Hours",'County allocation'!$S$3,"County",$D414,"HHA/CDPAP","HHA","Level of Service",$D427),0)</f>
        <v>0</v>
      </c>
      <c r="N427" s="665">
        <f>+IFERROR(N$5*GETPIVOTDATA("Unique Billed Hours",'County allocation'!$S$3,"County",$D414,"HHA/CDPAP","HHA","Level of Service",$D427),0)</f>
        <v>0</v>
      </c>
      <c r="O427" s="665">
        <f>+IFERROR(O$5*GETPIVOTDATA("Unique Billed Hours",'County allocation'!$S$3,"County",$D414,"HHA/CDPAP","HHA","Level of Service",$D427),0)</f>
        <v>0</v>
      </c>
      <c r="P427" s="665">
        <f>+IFERROR(P$5*GETPIVOTDATA("Unique Billed Hours",'County allocation'!$S$3,"County",$D414,"HHA/CDPAP","HHA","Level of Service",$D427),0)</f>
        <v>0</v>
      </c>
    </row>
    <row r="428" spans="1:18" s="54" customFormat="1" x14ac:dyDescent="0.25">
      <c r="A428" s="119"/>
      <c r="B428" s="309"/>
      <c r="C428" s="322">
        <f t="shared" ca="1" si="155"/>
        <v>1</v>
      </c>
      <c r="D428" s="8" t="s">
        <v>374</v>
      </c>
      <c r="E428" s="370" t="s">
        <v>78</v>
      </c>
      <c r="F428" s="657">
        <f t="shared" ca="1" si="156"/>
        <v>104909.26220550043</v>
      </c>
      <c r="G428" s="658">
        <f ca="1">+IFERROR(G$5*GETPIVOTDATA("Unique Billed Hours",'County allocation'!$A$3,"County",$D414,"HHA/CDPAP","HHA","Level of Service",$D428),0)++IFERROR(J$5*GETPIVOTDATA("Unique Billed Hours",'County allocation'!$AC$3,"County",$D414,"HHA/CDPAP","HHA","Level of Service",$D428),0)</f>
        <v>104909.26220550043</v>
      </c>
      <c r="H428" s="658">
        <f>+IFERROR(H$5*GETPIVOTDATA("Unique Billed Hours",'County allocation'!$S$3,"County",$D414,"HHA/CDPAP","HHA","Level of Service",$D428),0)</f>
        <v>0</v>
      </c>
      <c r="I428" s="664">
        <f t="shared" ca="1" si="157"/>
        <v>0</v>
      </c>
      <c r="J428" s="901"/>
      <c r="K428" s="665">
        <f ca="1">+IFERROR(K$5*GETPIVOTDATA("Unique Billed Hours",'County allocation'!$X$3,"County",$D414,"HHA/CDPAP","HHA","Level of Service",$D428),0)</f>
        <v>0</v>
      </c>
      <c r="L428" s="665">
        <f ca="1">+IFERROR(L$5*GETPIVOTDATA("Unique Billed Hours",'County allocation'!$K$19,"County",$D414,"HHA/CDPAP","HHA","Level of Service",$D428),0)</f>
        <v>0</v>
      </c>
      <c r="M428" s="665">
        <f>+IFERROR(M$5*GETPIVOTDATA("Unique Billed Hours",'County allocation'!$S$3,"County",$D414,"HHA/CDPAP","HHA","Level of Service",$D428),0)</f>
        <v>0</v>
      </c>
      <c r="N428" s="665">
        <f>+IFERROR(N$5*GETPIVOTDATA("Unique Billed Hours",'County allocation'!$S$3,"County",$D414,"HHA/CDPAP","HHA","Level of Service",$D428),0)</f>
        <v>0</v>
      </c>
      <c r="O428" s="665">
        <f>+IFERROR(O$5*GETPIVOTDATA("Unique Billed Hours",'County allocation'!$S$3,"County",$D414,"HHA/CDPAP","HHA","Level of Service",$D428),0)</f>
        <v>0</v>
      </c>
      <c r="P428" s="665">
        <f>+IFERROR(P$5*GETPIVOTDATA("Unique Billed Hours",'County allocation'!$S$3,"County",$D414,"HHA/CDPAP","HHA","Level of Service",$D428),0)</f>
        <v>0</v>
      </c>
    </row>
    <row r="429" spans="1:18" s="54" customFormat="1" ht="15.75" thickBot="1" x14ac:dyDescent="0.3">
      <c r="A429" s="302"/>
      <c r="B429" s="309"/>
      <c r="C429" s="322">
        <f ca="1">C428</f>
        <v>1</v>
      </c>
      <c r="D429" s="52" t="s">
        <v>48</v>
      </c>
      <c r="E429" s="53" t="s">
        <v>79</v>
      </c>
      <c r="F429" s="657">
        <f t="shared" ca="1" si="156"/>
        <v>72548135.269009411</v>
      </c>
      <c r="G429" s="661">
        <f t="shared" ref="G429" ca="1" si="159">SUM(G425:G428)</f>
        <v>23880437.240426451</v>
      </c>
      <c r="H429" s="661">
        <f t="shared" ref="H429:P429" si="160">SUM(H425:H428)</f>
        <v>1699708.8353604747</v>
      </c>
      <c r="I429" s="661">
        <f t="shared" ca="1" si="160"/>
        <v>46967989.193222478</v>
      </c>
      <c r="J429" s="661">
        <f t="shared" ca="1" si="160"/>
        <v>3547381.8844283749</v>
      </c>
      <c r="K429" s="661">
        <f t="shared" ca="1" si="160"/>
        <v>42867408.788747355</v>
      </c>
      <c r="L429" s="661">
        <f t="shared" ca="1" si="160"/>
        <v>371723.01873245457</v>
      </c>
      <c r="M429" s="661">
        <f t="shared" si="160"/>
        <v>167450.66231756905</v>
      </c>
      <c r="N429" s="661">
        <f t="shared" si="160"/>
        <v>14024.838996731454</v>
      </c>
      <c r="O429" s="661">
        <f t="shared" si="160"/>
        <v>0</v>
      </c>
      <c r="P429" s="661">
        <f t="shared" si="160"/>
        <v>0</v>
      </c>
    </row>
    <row r="430" spans="1:18" ht="15.75" hidden="1" thickBot="1" x14ac:dyDescent="0.3"/>
    <row r="431" spans="1:18" s="54" customFormat="1" ht="75.75" hidden="1" thickBot="1" x14ac:dyDescent="0.3">
      <c r="A431" s="119"/>
      <c r="B431" s="309"/>
      <c r="C431" s="322">
        <f ca="1">IF(F446&gt;0,1,0)</f>
        <v>0</v>
      </c>
      <c r="D431" s="45" t="str">
        <f>A28</f>
        <v>Lewis</v>
      </c>
      <c r="E431" s="28">
        <f>+SUMIF(A:A,D431,B:B)</f>
        <v>0</v>
      </c>
      <c r="F431" s="652" t="s">
        <v>61</v>
      </c>
      <c r="G431" s="652" t="s">
        <v>387</v>
      </c>
      <c r="H431" s="652" t="s">
        <v>388</v>
      </c>
      <c r="I431" s="652" t="s">
        <v>392</v>
      </c>
      <c r="J431" s="652" t="s">
        <v>31</v>
      </c>
      <c r="K431" s="652" t="s">
        <v>32</v>
      </c>
      <c r="L431" s="653" t="s">
        <v>33</v>
      </c>
      <c r="M431" s="653" t="s">
        <v>60</v>
      </c>
      <c r="N431" s="653" t="s">
        <v>59</v>
      </c>
      <c r="O431" s="653" t="s">
        <v>58</v>
      </c>
      <c r="P431" s="653" t="s">
        <v>16</v>
      </c>
    </row>
    <row r="432" spans="1:18" s="54" customFormat="1" ht="15.75" hidden="1" thickBot="1" x14ac:dyDescent="0.3">
      <c r="A432" s="119"/>
      <c r="B432" s="309"/>
      <c r="C432" s="322">
        <f ca="1">C431</f>
        <v>0</v>
      </c>
      <c r="D432" s="56"/>
      <c r="E432" s="57"/>
      <c r="F432" s="654" t="s">
        <v>57</v>
      </c>
      <c r="G432" s="654" t="s">
        <v>56</v>
      </c>
      <c r="H432" s="654" t="s">
        <v>55</v>
      </c>
      <c r="I432" s="654" t="s">
        <v>54</v>
      </c>
      <c r="J432" s="654" t="s">
        <v>53</v>
      </c>
      <c r="K432" s="654" t="s">
        <v>52</v>
      </c>
      <c r="L432" s="654" t="s">
        <v>51</v>
      </c>
      <c r="M432" s="654" t="s">
        <v>50</v>
      </c>
      <c r="N432" s="654" t="s">
        <v>49</v>
      </c>
      <c r="O432" s="654" t="s">
        <v>47</v>
      </c>
      <c r="P432" s="655" t="s">
        <v>77</v>
      </c>
    </row>
    <row r="433" spans="1:18" s="54" customFormat="1" ht="15.75" hidden="1" thickBot="1" x14ac:dyDescent="0.3">
      <c r="A433" s="119"/>
      <c r="B433" s="309"/>
      <c r="C433" s="322">
        <f t="shared" ref="C433:C445" ca="1" si="161">C432</f>
        <v>0</v>
      </c>
      <c r="D433" s="59" t="s">
        <v>26</v>
      </c>
      <c r="E433" s="57"/>
      <c r="F433" s="656"/>
      <c r="G433" s="656"/>
      <c r="H433" s="656"/>
      <c r="I433" s="656"/>
      <c r="J433" s="656"/>
      <c r="K433" s="656"/>
      <c r="L433" s="656"/>
      <c r="M433" s="656"/>
      <c r="N433" s="656"/>
      <c r="O433" s="656"/>
      <c r="P433" s="663"/>
    </row>
    <row r="434" spans="1:18" s="54" customFormat="1" ht="15.75" hidden="1" thickBot="1" x14ac:dyDescent="0.3">
      <c r="A434" s="119"/>
      <c r="B434" s="309"/>
      <c r="C434" s="322">
        <f t="shared" ca="1" si="161"/>
        <v>0</v>
      </c>
      <c r="D434" s="7" t="s">
        <v>34</v>
      </c>
      <c r="E434" s="48" t="s">
        <v>57</v>
      </c>
      <c r="F434" s="657">
        <f ca="1">+H434+G434+I434</f>
        <v>0</v>
      </c>
      <c r="G434" s="658">
        <f ca="1">+IFERROR(G$5*GETPIVOTDATA("Unique Billed Hours",'County allocation'!$A$3,"County",$D431,"HHA/CDPAP","HHA","Level of Service",$D434),0)</f>
        <v>0</v>
      </c>
      <c r="H434" s="658">
        <f>+IFERROR(H$5*GETPIVOTDATA("Unique Billed Hours",'County allocation'!$S$3,"County",$D431,"HHA/CDPAP","HHA","Level of Service",$D434),0)</f>
        <v>0</v>
      </c>
      <c r="I434" s="664">
        <f ca="1">SUM(J434:P434)</f>
        <v>0</v>
      </c>
      <c r="J434" s="658">
        <f ca="1">+IFERROR(J$5*GETPIVOTDATA("Unique Billed Hours",'County allocation'!$S$3,"County",$D431,"HHA/CDPAP","HHA","Level of Service",$D434),0)</f>
        <v>0</v>
      </c>
      <c r="K434" s="658">
        <f ca="1">+IFERROR(K$5*GETPIVOTDATA("Unique Billed Hours",'County allocation'!$X$3,"County",$D431,"HHA/CDPAP","HHA","Level of Service",$D434),0)</f>
        <v>0</v>
      </c>
      <c r="L434" s="658">
        <f ca="1">+IFERROR(L$2*GETPIVOTDATA("Unique Billed Hours",'County allocation'!$O$3,"County",$D431,"HHA/CDPAP","HHA","Level of Service",$D434),0)</f>
        <v>0</v>
      </c>
      <c r="M434" s="658">
        <f>+IFERROR(M$5*GETPIVOTDATA("Unique Billed Hours",'County allocation'!$S$3,"County",$D431,"HHA/CDPAP","HHA","Level of Service",$D434),0)</f>
        <v>0</v>
      </c>
      <c r="N434" s="658">
        <f>+IFERROR(N$5*GETPIVOTDATA("Unique Billed Hours",'County allocation'!$S$3,"County",$D431,"HHA/CDPAP","HHA","Level of Service",$D434),0)</f>
        <v>0</v>
      </c>
      <c r="O434" s="658">
        <f>+IFERROR(O$5*GETPIVOTDATA("Unique Billed Hours",'County allocation'!$K$19,"County",$D431,"HHA/CDPAP","HHA","Level of Service",$D434),0)</f>
        <v>0</v>
      </c>
      <c r="P434" s="658">
        <f>+IFERROR(P$5*GETPIVOTDATA("Unique Billed Hours",'County allocation'!$S$3,"County",$D431,"HHA/CDPAP","HHA","Level of Service",$D434),0)</f>
        <v>0</v>
      </c>
    </row>
    <row r="435" spans="1:18" s="54" customFormat="1" ht="15.75" hidden="1" thickBot="1" x14ac:dyDescent="0.3">
      <c r="A435" s="119"/>
      <c r="B435" s="309"/>
      <c r="C435" s="322">
        <f t="shared" ca="1" si="161"/>
        <v>0</v>
      </c>
      <c r="D435" s="7" t="s">
        <v>35</v>
      </c>
      <c r="E435" s="48" t="s">
        <v>56</v>
      </c>
      <c r="F435" s="657">
        <f t="shared" ref="F435:F446" ca="1" si="162">+H435+G435+I435</f>
        <v>0</v>
      </c>
      <c r="G435" s="658">
        <f ca="1">+IFERROR(G$5*GETPIVOTDATA("Unique Billed Hours",'County allocation'!$A$3,"County",$D431,"HHA/CDPAP","HHA","Level of Service",$D435),0)</f>
        <v>0</v>
      </c>
      <c r="H435" s="658">
        <f>+IFERROR(H$5*GETPIVOTDATA("Unique Billed Hours",'County allocation'!$S$3,"County",$D431,"HHA/CDPAP","HHA","Level of Service",$D435),0)</f>
        <v>0</v>
      </c>
      <c r="I435" s="664">
        <f t="shared" ref="I435:I445" ca="1" si="163">SUM(J435:P435)</f>
        <v>0</v>
      </c>
      <c r="J435" s="658">
        <f ca="1">+IFERROR(J$5*GETPIVOTDATA("Unique Billed Hours",'County allocation'!$S$3,"County",$D431,"HHA/CDPAP","HHA","Level of Service",$D435),0)</f>
        <v>0</v>
      </c>
      <c r="K435" s="658">
        <f ca="1">+IFERROR(K$5*GETPIVOTDATA("Unique Billed Hours",'County allocation'!$X$3,"County",$D431,"HHA/CDPAP","HHA","Level of Service",$D435),0)</f>
        <v>0</v>
      </c>
      <c r="L435" s="658">
        <f ca="1">+IFERROR(L$2*GETPIVOTDATA("Unique Billed Hours",'County allocation'!$O$3,"County",$D431,"HHA/CDPAP","HHA","Level of Service",$D435),0)</f>
        <v>0</v>
      </c>
      <c r="M435" s="658">
        <f>+IFERROR(M$5*GETPIVOTDATA("Unique Billed Hours",'County allocation'!$S$3,"County",$D431,"HHA/CDPAP","HHA","Level of Service",$D435),0)</f>
        <v>0</v>
      </c>
      <c r="N435" s="658">
        <f>+IFERROR(N$5*GETPIVOTDATA("Unique Billed Hours",'County allocation'!$S$3,"County",$D431,"HHA/CDPAP","HHA","Level of Service",$D435),0)</f>
        <v>0</v>
      </c>
      <c r="O435" s="658">
        <f>+IFERROR(O$5*GETPIVOTDATA("Unique Billed Hours",'County allocation'!$K$19,"County",$D431,"HHA/CDPAP","HHA","Level of Service",$D435),0)</f>
        <v>0</v>
      </c>
      <c r="P435" s="658">
        <f>+IFERROR(P$5*GETPIVOTDATA("Unique Billed Hours",'County allocation'!$S$3,"County",$D431,"HHA/CDPAP","HHA","Level of Service",$D435),0)</f>
        <v>0</v>
      </c>
      <c r="R435" s="61"/>
    </row>
    <row r="436" spans="1:18" s="54" customFormat="1" ht="15.75" hidden="1" thickBot="1" x14ac:dyDescent="0.3">
      <c r="A436" s="302"/>
      <c r="B436" s="309"/>
      <c r="C436" s="322">
        <f t="shared" ca="1" si="161"/>
        <v>0</v>
      </c>
      <c r="D436" s="7" t="s">
        <v>36</v>
      </c>
      <c r="E436" s="48" t="s">
        <v>55</v>
      </c>
      <c r="F436" s="657">
        <f t="shared" ca="1" si="162"/>
        <v>0</v>
      </c>
      <c r="G436" s="658">
        <f ca="1">+IFERROR(G$5*GETPIVOTDATA("Unique Billed Hours",'County allocation'!$A$3,"County",$D431,"HHA/CDPAP","HHA","Level of Service",$D436),0)</f>
        <v>0</v>
      </c>
      <c r="H436" s="658">
        <f>+IFERROR(H$5*GETPIVOTDATA("Unique Billed Hours",'County allocation'!$S$3,"County",$D431,"HHA/CDPAP","HHA","Level of Service",$D436),0)</f>
        <v>0</v>
      </c>
      <c r="I436" s="664">
        <f t="shared" ca="1" si="163"/>
        <v>0</v>
      </c>
      <c r="J436" s="658">
        <f ca="1">+IFERROR(J$5*GETPIVOTDATA("Unique Billed Hours",'County allocation'!$S$3,"County",$D431,"HHA/CDPAP","HHA","Level of Service",$D436),0)</f>
        <v>0</v>
      </c>
      <c r="K436" s="658">
        <f ca="1">+IFERROR(K$5*GETPIVOTDATA("Unique Billed Hours",'County allocation'!$X$3,"County",$D431,"HHA/CDPAP","HHA","Level of Service",$D436),0)</f>
        <v>0</v>
      </c>
      <c r="L436" s="658">
        <f ca="1">+IFERROR(L$2*GETPIVOTDATA("Unique Billed Hours",'County allocation'!$O$3,"County",$D431,"HHA/CDPAP","HHA","Level of Service",$D436),0)</f>
        <v>0</v>
      </c>
      <c r="M436" s="658">
        <f>+IFERROR(M$5*GETPIVOTDATA("Unique Billed Hours",'County allocation'!$S$3,"County",$D431,"HHA/CDPAP","HHA","Level of Service",$D436),0)</f>
        <v>0</v>
      </c>
      <c r="N436" s="658">
        <f>+IFERROR(N$5*GETPIVOTDATA("Unique Billed Hours",'County allocation'!$S$3,"County",$D431,"HHA/CDPAP","HHA","Level of Service",$D436),0)</f>
        <v>0</v>
      </c>
      <c r="O436" s="658">
        <f>+IFERROR(O$5*GETPIVOTDATA("Unique Billed Hours",'County allocation'!$K$19,"County",$D431,"HHA/CDPAP","HHA","Level of Service",$D436),0)</f>
        <v>0</v>
      </c>
      <c r="P436" s="658">
        <f>+IFERROR(P$5*GETPIVOTDATA("Unique Billed Hours",'County allocation'!$S$3,"County",$D431,"HHA/CDPAP","HHA","Level of Service",$D436),0)</f>
        <v>0</v>
      </c>
    </row>
    <row r="437" spans="1:18" s="54" customFormat="1" ht="15.75" hidden="1" thickBot="1" x14ac:dyDescent="0.3">
      <c r="A437" s="119"/>
      <c r="B437" s="309"/>
      <c r="C437" s="322">
        <f t="shared" ca="1" si="161"/>
        <v>0</v>
      </c>
      <c r="D437" s="7" t="s">
        <v>37</v>
      </c>
      <c r="E437" s="48" t="s">
        <v>54</v>
      </c>
      <c r="F437" s="657">
        <f t="shared" ca="1" si="162"/>
        <v>0</v>
      </c>
      <c r="G437" s="658">
        <f ca="1">+IFERROR(G$5*GETPIVOTDATA("Unique Billed Hours",'County allocation'!$A$3,"County",$D431,"HHA/CDPAP","HHA","Level of Service",$D437),0)</f>
        <v>0</v>
      </c>
      <c r="H437" s="658">
        <f>+IFERROR(H$5*GETPIVOTDATA("Unique Billed Hours",'County allocation'!$S$3,"County",$D431,"HHA/CDPAP","HHA","Level of Service",$D437),0)</f>
        <v>0</v>
      </c>
      <c r="I437" s="664">
        <f t="shared" ca="1" si="163"/>
        <v>0</v>
      </c>
      <c r="J437" s="658">
        <f ca="1">+IFERROR(J$5*GETPIVOTDATA("Unique Billed Hours",'County allocation'!$S$3,"County",$D431,"HHA/CDPAP","HHA","Level of Service",$D437),0)</f>
        <v>0</v>
      </c>
      <c r="K437" s="658">
        <f ca="1">+IFERROR(K$5*GETPIVOTDATA("Unique Billed Hours",'County allocation'!$X$3,"County",$D431,"HHA/CDPAP","HHA","Level of Service",$D437),0)</f>
        <v>0</v>
      </c>
      <c r="L437" s="658">
        <f ca="1">+IFERROR(L$2*GETPIVOTDATA("Unique Billed Hours",'County allocation'!$O$3,"County",$D431,"HHA/CDPAP","HHA","Level of Service",$D437),0)</f>
        <v>0</v>
      </c>
      <c r="M437" s="658">
        <f>+IFERROR(M$5*GETPIVOTDATA("Unique Billed Hours",'County allocation'!$S$3,"County",$D431,"HHA/CDPAP","HHA","Level of Service",$D437),0)</f>
        <v>0</v>
      </c>
      <c r="N437" s="658">
        <f>+IFERROR(N$5*GETPIVOTDATA("Unique Billed Hours",'County allocation'!$S$3,"County",$D431,"HHA/CDPAP","HHA","Level of Service",$D437),0)</f>
        <v>0</v>
      </c>
      <c r="O437" s="658">
        <f>+IFERROR(O$5*GETPIVOTDATA("Unique Billed Hours",'County allocation'!$K$19,"County",$D431,"HHA/CDPAP","HHA","Level of Service",$D437),0)</f>
        <v>0</v>
      </c>
      <c r="P437" s="658">
        <f>+IFERROR(P$5*GETPIVOTDATA("Unique Billed Hours",'County allocation'!$S$3,"County",$D431,"HHA/CDPAP","HHA","Level of Service",$D437),0)</f>
        <v>0</v>
      </c>
    </row>
    <row r="438" spans="1:18" s="54" customFormat="1" ht="15.75" hidden="1" thickBot="1" x14ac:dyDescent="0.3">
      <c r="A438" s="119"/>
      <c r="B438" s="309"/>
      <c r="C438" s="322">
        <f t="shared" ca="1" si="161"/>
        <v>0</v>
      </c>
      <c r="D438" s="7" t="s">
        <v>38</v>
      </c>
      <c r="E438" s="48" t="s">
        <v>53</v>
      </c>
      <c r="F438" s="657">
        <f t="shared" ca="1" si="162"/>
        <v>0</v>
      </c>
      <c r="G438" s="658">
        <f ca="1">+IFERROR(G$5*GETPIVOTDATA("Unique Billed Hours",'County allocation'!$A$3,"County",$D431,"HHA/CDPAP","HHA","Level of Service",$D438),0)</f>
        <v>0</v>
      </c>
      <c r="H438" s="658">
        <f>+IFERROR(H$5*GETPIVOTDATA("Unique Billed Hours",'County allocation'!$S$3,"County",$D431,"HHA/CDPAP","HHA","Level of Service",$D438),0)</f>
        <v>0</v>
      </c>
      <c r="I438" s="664">
        <f t="shared" ca="1" si="163"/>
        <v>0</v>
      </c>
      <c r="J438" s="658">
        <f ca="1">+IFERROR(J$5*GETPIVOTDATA("Unique Billed Hours",'County allocation'!$S$3,"County",$D431,"HHA/CDPAP","HHA","Level of Service",$D438),0)</f>
        <v>0</v>
      </c>
      <c r="K438" s="658">
        <f ca="1">+IFERROR(K$5*GETPIVOTDATA("Unique Billed Hours",'County allocation'!$X$3,"County",$D431,"HHA/CDPAP","HHA","Level of Service",$D438),0)</f>
        <v>0</v>
      </c>
      <c r="L438" s="658">
        <f ca="1">+IFERROR(L$5*GETPIVOTDATA("Unique Billed Hours",'County allocation'!$K$19,"County",$D431,"HHA/CDPAP","HHA","Level of Service",$D438),0)</f>
        <v>0</v>
      </c>
      <c r="M438" s="658">
        <f>+IFERROR(M$5*GETPIVOTDATA("Unique Billed Hours",'County allocation'!$S$3,"County",$D431,"HHA/CDPAP","HHA","Level of Service",$D438),0)</f>
        <v>0</v>
      </c>
      <c r="N438" s="658">
        <f>+IFERROR(N$5*GETPIVOTDATA("Unique Billed Hours",'County allocation'!$S$3,"County",$D431,"HHA/CDPAP","HHA","Level of Service",$D438),0)</f>
        <v>0</v>
      </c>
      <c r="O438" s="658">
        <f>+IFERROR(O$5*GETPIVOTDATA("Unique Billed Hours",'County allocation'!$K$19,"County",$D431,"HHA/CDPAP","HHA","Level of Service",$D438),0)</f>
        <v>0</v>
      </c>
      <c r="P438" s="658">
        <f>+IFERROR(P$5*GETPIVOTDATA("Unique Billed Hours",'County allocation'!$S$3,"County",$D431,"HHA/CDPAP","HHA","Level of Service",$D438),0)</f>
        <v>0</v>
      </c>
    </row>
    <row r="439" spans="1:18" s="54" customFormat="1" ht="15.75" hidden="1" thickBot="1" x14ac:dyDescent="0.3">
      <c r="A439" s="119"/>
      <c r="B439" s="309"/>
      <c r="C439" s="322">
        <f t="shared" ca="1" si="161"/>
        <v>0</v>
      </c>
      <c r="D439" s="7" t="s">
        <v>39</v>
      </c>
      <c r="E439" s="48" t="s">
        <v>52</v>
      </c>
      <c r="F439" s="657">
        <f t="shared" ca="1" si="162"/>
        <v>0</v>
      </c>
      <c r="G439" s="658">
        <f ca="1">+IFERROR(G$5*GETPIVOTDATA("Unique Billed Hours",'County allocation'!$A$3,"County",$D431,"HHA/CDPAP","HHA","Level of Service",$D439),0)</f>
        <v>0</v>
      </c>
      <c r="H439" s="658">
        <f>+IFERROR(H$5*GETPIVOTDATA("Unique Billed Hours",'County allocation'!$S$3,"County",$D431,"HHA/CDPAP","HHA","Level of Service",$D439),0)</f>
        <v>0</v>
      </c>
      <c r="I439" s="664">
        <f t="shared" ca="1" si="163"/>
        <v>0</v>
      </c>
      <c r="J439" s="658">
        <f ca="1">+IFERROR(J$5*GETPIVOTDATA("Unique Billed Hours",'County allocation'!$S$3,"County",$D431,"HHA/CDPAP","HHA","Level of Service",$D439),0)</f>
        <v>0</v>
      </c>
      <c r="K439" s="658">
        <f ca="1">+IFERROR(K$5*GETPIVOTDATA("Unique Billed Hours",'County allocation'!$X$3,"County",$D431,"HHA/CDPAP","HHA","Level of Service",$D439),0)</f>
        <v>0</v>
      </c>
      <c r="L439" s="658">
        <f ca="1">+IFERROR(L$5*GETPIVOTDATA("Unique Billed Hours",'County allocation'!$K$19,"County",$D431,"HHA/CDPAP","HHA","Level of Service",$D439),0)</f>
        <v>0</v>
      </c>
      <c r="M439" s="658">
        <f>+IFERROR(M$5*GETPIVOTDATA("Unique Billed Hours",'County allocation'!$S$3,"County",$D431,"HHA/CDPAP","HHA","Level of Service",$D439),0)</f>
        <v>0</v>
      </c>
      <c r="N439" s="658">
        <f>+IFERROR(N$5*GETPIVOTDATA("Unique Billed Hours",'County allocation'!$S$3,"County",$D431,"HHA/CDPAP","HHA","Level of Service",$D439),0)</f>
        <v>0</v>
      </c>
      <c r="O439" s="658">
        <f>+IFERROR(O$5*GETPIVOTDATA("Unique Billed Hours",'County allocation'!$K$19,"County",$D431,"HHA/CDPAP","HHA","Level of Service",$D439),0)</f>
        <v>0</v>
      </c>
      <c r="P439" s="658">
        <f>+IFERROR(P$5*GETPIVOTDATA("Unique Billed Hours",'County allocation'!$S$3,"County",$D431,"HHA/CDPAP","HHA","Level of Service",$D439),0)</f>
        <v>0</v>
      </c>
    </row>
    <row r="440" spans="1:18" s="54" customFormat="1" ht="15.75" hidden="1" thickBot="1" x14ac:dyDescent="0.3">
      <c r="A440" s="119"/>
      <c r="B440" s="309"/>
      <c r="C440" s="322">
        <f t="shared" ca="1" si="161"/>
        <v>0</v>
      </c>
      <c r="D440" s="8" t="s">
        <v>40</v>
      </c>
      <c r="E440" s="48" t="s">
        <v>51</v>
      </c>
      <c r="F440" s="657">
        <f t="shared" ca="1" si="162"/>
        <v>0</v>
      </c>
      <c r="G440" s="658">
        <f ca="1">+IFERROR(G$5*GETPIVOTDATA("Unique Billed Hours",'County allocation'!$A$3,"County",$D431,"HHA/CDPAP","HHA","Level of Service",$D440),0)</f>
        <v>0</v>
      </c>
      <c r="H440" s="658">
        <f>+IFERROR(H$5*GETPIVOTDATA("Unique Billed Hours",'County allocation'!$S$3,"County",$D431,"HHA/CDPAP","HHA","Level of Service",$D440),0)</f>
        <v>0</v>
      </c>
      <c r="I440" s="664">
        <f t="shared" ca="1" si="163"/>
        <v>0</v>
      </c>
      <c r="J440" s="658">
        <f ca="1">+IFERROR(J$5*GETPIVOTDATA("Unique Billed Hours",'County allocation'!$S$3,"County",$D431,"HHA/CDPAP","HHA","Level of Service",$D440),0)</f>
        <v>0</v>
      </c>
      <c r="K440" s="658">
        <f ca="1">+IFERROR(K$5*GETPIVOTDATA("Unique Billed Hours",'County allocation'!$X$3,"County",$D431,"HHA/CDPAP","HHA","Level of Service",$D440),0)</f>
        <v>0</v>
      </c>
      <c r="L440" s="658">
        <f ca="1">+IFERROR(L$2*GETPIVOTDATA("Unique Billed Hours",'County allocation'!$O$3,"County",$D431,"HHA/CDPAP","HHA","Level of Service",$D440),0)</f>
        <v>0</v>
      </c>
      <c r="M440" s="658">
        <f>+IFERROR(M$5*GETPIVOTDATA("Unique Billed Hours",'County allocation'!$S$3,"County",$D431,"HHA/CDPAP","HHA","Level of Service",$D440),0)</f>
        <v>0</v>
      </c>
      <c r="N440" s="658">
        <f>+IFERROR(N$5*GETPIVOTDATA("Unique Billed Hours",'County allocation'!$S$3,"County",$D431,"HHA/CDPAP","HHA","Level of Service",$D440),0)</f>
        <v>0</v>
      </c>
      <c r="O440" s="658">
        <f>+IFERROR(O$5*GETPIVOTDATA("Unique Billed Hours",'County allocation'!$K$19,"County",$D431,"HHA/CDPAP","HHA","Level of Service",$D440),0)</f>
        <v>0</v>
      </c>
      <c r="P440" s="658">
        <f>+IFERROR(P$5*GETPIVOTDATA("Unique Billed Hours",'County allocation'!$S$3,"County",$D431,"HHA/CDPAP","HHA","Level of Service",$D440),0)</f>
        <v>0</v>
      </c>
    </row>
    <row r="441" spans="1:18" s="54" customFormat="1" ht="15.75" hidden="1" thickBot="1" x14ac:dyDescent="0.3">
      <c r="A441" s="119"/>
      <c r="B441" s="309"/>
      <c r="C441" s="322">
        <f t="shared" ca="1" si="161"/>
        <v>0</v>
      </c>
      <c r="D441" s="8" t="s">
        <v>41</v>
      </c>
      <c r="E441" s="48" t="s">
        <v>50</v>
      </c>
      <c r="F441" s="657">
        <f t="shared" ca="1" si="162"/>
        <v>0</v>
      </c>
      <c r="G441" s="658">
        <f ca="1">+IFERROR(G$5*GETPIVOTDATA("Unique Billed Hours",'County allocation'!$A$3,"County",$D431,"HHA/CDPAP","HHA","Level of Service",$D441),0)</f>
        <v>0</v>
      </c>
      <c r="H441" s="658">
        <f>+IFERROR(H$5*GETPIVOTDATA("Unique Billed Hours",'County allocation'!$S$3,"County",$D431,"HHA/CDPAP","HHA","Level of Service",$D441),0)</f>
        <v>0</v>
      </c>
      <c r="I441" s="664">
        <f t="shared" ca="1" si="163"/>
        <v>0</v>
      </c>
      <c r="J441" s="658">
        <f ca="1">+IFERROR(J$5*GETPIVOTDATA("Unique Billed Hours",'County allocation'!$S$3,"County",$D431,"HHA/CDPAP","HHA","Level of Service",$D441),0)</f>
        <v>0</v>
      </c>
      <c r="K441" s="658">
        <f ca="1">+IFERROR(K$5*GETPIVOTDATA("Unique Billed Hours",'County allocation'!$X$3,"County",$D431,"HHA/CDPAP","HHA","Level of Service",$D441),0)</f>
        <v>0</v>
      </c>
      <c r="L441" s="658">
        <f ca="1">+IFERROR(L$2*GETPIVOTDATA("Unique Billed Hours",'County allocation'!$O$3,"County",$D431,"HHA/CDPAP","HHA","Level of Service",$D441),0)</f>
        <v>0</v>
      </c>
      <c r="M441" s="658">
        <f>+IFERROR(M$5*GETPIVOTDATA("Unique Billed Hours",'County allocation'!$S$3,"County",$D431,"HHA/CDPAP","HHA","Level of Service",$D441),0)</f>
        <v>0</v>
      </c>
      <c r="N441" s="658">
        <f>+IFERROR(N$5*GETPIVOTDATA("Unique Billed Hours",'County allocation'!$S$3,"County",$D431,"HHA/CDPAP","HHA","Level of Service",$D441),0)</f>
        <v>0</v>
      </c>
      <c r="O441" s="658">
        <f>+IFERROR(O$5*GETPIVOTDATA("Unique Billed Hours",'County allocation'!$K$19,"County",$D431,"HHA/CDPAP","HHA","Level of Service",$D441),0)</f>
        <v>0</v>
      </c>
      <c r="P441" s="658">
        <f>+IFERROR(P$5*GETPIVOTDATA("Unique Billed Hours",'County allocation'!$S$3,"County",$D431,"HHA/CDPAP","HHA","Level of Service",$D441),0)</f>
        <v>0</v>
      </c>
    </row>
    <row r="442" spans="1:18" s="54" customFormat="1" ht="15.75" hidden="1" thickBot="1" x14ac:dyDescent="0.3">
      <c r="A442" s="119"/>
      <c r="B442" s="309"/>
      <c r="C442" s="322">
        <f t="shared" ca="1" si="161"/>
        <v>0</v>
      </c>
      <c r="D442" s="52" t="s">
        <v>389</v>
      </c>
      <c r="E442" s="53" t="s">
        <v>49</v>
      </c>
      <c r="F442" s="657">
        <f t="shared" ca="1" si="162"/>
        <v>0</v>
      </c>
      <c r="G442" s="661">
        <f ca="1">SUM(G434:G441)</f>
        <v>0</v>
      </c>
      <c r="H442" s="661">
        <f>SUM(H434:H441)</f>
        <v>0</v>
      </c>
      <c r="I442" s="664">
        <f t="shared" ca="1" si="163"/>
        <v>0</v>
      </c>
      <c r="J442" s="661">
        <f ca="1">SUM(J434:J441)</f>
        <v>0</v>
      </c>
      <c r="K442" s="661">
        <f t="shared" ref="K442:P442" ca="1" si="164">SUM(K434:K441)</f>
        <v>0</v>
      </c>
      <c r="L442" s="661">
        <f t="shared" ca="1" si="164"/>
        <v>0</v>
      </c>
      <c r="M442" s="661">
        <f t="shared" si="164"/>
        <v>0</v>
      </c>
      <c r="N442" s="661">
        <f t="shared" si="164"/>
        <v>0</v>
      </c>
      <c r="O442" s="661">
        <f t="shared" si="164"/>
        <v>0</v>
      </c>
      <c r="P442" s="661">
        <f t="shared" si="164"/>
        <v>0</v>
      </c>
    </row>
    <row r="443" spans="1:18" s="54" customFormat="1" ht="15.75" hidden="1" thickBot="1" x14ac:dyDescent="0.3">
      <c r="A443" s="119"/>
      <c r="B443" s="309"/>
      <c r="C443" s="322">
        <f t="shared" ca="1" si="161"/>
        <v>0</v>
      </c>
      <c r="D443" s="371" t="s">
        <v>390</v>
      </c>
      <c r="E443" s="325" t="s">
        <v>47</v>
      </c>
      <c r="F443" s="657">
        <f t="shared" ca="1" si="162"/>
        <v>0</v>
      </c>
      <c r="G443" s="665">
        <f ca="1">+IFERROR((G$5*GETPIVOTDATA("Unique Billed Hours",'County allocation'!$A$3,"County",$D431,"HHA/CDPAP","HHA","Level of Service",$D443))+($G$2*GETPIVOTDATA("Unique Billed Hours",'County allocation'!$F$7,"County",$D431,"HHA/CDPAP","HHA","Level of Service",$D443)),0)++IFERROR(J$5*GETPIVOTDATA("Unique Billed Hours",'County allocation'!$AC$3,"County",$D431,"HHA/CDPAP","HHA","Level of Service",$D443),0)+ +IFERROR(J$5*GETPIVOTDATA("Unique Billed Hours",'County allocation'!$AC$3,"County",$D431,"HHA/CDPAP","HHA","Level of Service",$D444),0)</f>
        <v>0</v>
      </c>
      <c r="H443" s="665">
        <f>+IFERROR(H$5*GETPIVOTDATA("Unique Billed Hours",'County allocation'!$S$3,"County",$D431,"HHA/CDPAP","HHA","Level of Service",$D443),0)</f>
        <v>0</v>
      </c>
      <c r="I443" s="664">
        <f t="shared" ca="1" si="163"/>
        <v>0</v>
      </c>
      <c r="J443" s="901"/>
      <c r="K443" s="665">
        <f ca="1">+IFERROR(K$5*GETPIVOTDATA("Unique Billed Hours",'County allocation'!$X$3,"County",$D431,"HHA/CDPAP","HHA","Level of Service",$D443),0)</f>
        <v>0</v>
      </c>
      <c r="L443" s="665">
        <f ca="1">+IFERROR(L$5*GETPIVOTDATA("Unique Billed Hours",'County allocation'!$K$19,"County",$D431,"HHA/CDPAP","HHA","Level of Service",$D443),0)</f>
        <v>0</v>
      </c>
      <c r="M443" s="665">
        <f>+IFERROR(M$5*GETPIVOTDATA("Unique Billed Hours",'County allocation'!$S$3,"County",$D431,"HHA/CDPAP","HHA","Level of Service",$D443),0)</f>
        <v>0</v>
      </c>
      <c r="N443" s="665">
        <f>+IFERROR(N$5*GETPIVOTDATA("Unique Billed Hours",'County allocation'!$S$3,"County",$D431,"HHA/CDPAP","HHA","Level of Service",$D443),0)</f>
        <v>0</v>
      </c>
      <c r="O443" s="665">
        <f>+IFERROR(O$5*GETPIVOTDATA("Unique Billed Hours",'County allocation'!$S$3,"County",$D431,"HHA/CDPAP","HHA","Level of Service",$D443),0)</f>
        <v>0</v>
      </c>
      <c r="P443" s="665">
        <f>+IFERROR(P$5*GETPIVOTDATA("Unique Billed Hours",'County allocation'!$S$3,"County",$D431,"HHA/CDPAP","HHA","Level of Service",$D443),0)</f>
        <v>0</v>
      </c>
    </row>
    <row r="444" spans="1:18" s="54" customFormat="1" ht="15.75" hidden="1" thickBot="1" x14ac:dyDescent="0.3">
      <c r="A444" s="119"/>
      <c r="B444" s="309"/>
      <c r="C444" s="322">
        <f t="shared" ca="1" si="161"/>
        <v>0</v>
      </c>
      <c r="D444" s="8" t="s">
        <v>391</v>
      </c>
      <c r="E444" s="370" t="s">
        <v>77</v>
      </c>
      <c r="F444" s="657">
        <f t="shared" ca="1" si="162"/>
        <v>0</v>
      </c>
      <c r="G444" s="656"/>
      <c r="H444" s="658">
        <f>+IFERROR(H$5*GETPIVOTDATA("Unique Billed Hours",'County allocation'!$S$3,"County",$D431,"HHA/CDPAP","HHA","Level of Service",$D444),0)</f>
        <v>0</v>
      </c>
      <c r="I444" s="664">
        <f t="shared" ca="1" si="163"/>
        <v>0</v>
      </c>
      <c r="J444" s="901"/>
      <c r="K444" s="665">
        <f ca="1">+IFERROR(K$5*GETPIVOTDATA("Unique Billed Hours",'County allocation'!$X$3,"County",$D431,"HHA/CDPAP","HHA","Level of Service",$D444),0)</f>
        <v>0</v>
      </c>
      <c r="L444" s="665">
        <f ca="1">+IFERROR(L$5*GETPIVOTDATA("Unique Billed Hours",'County allocation'!$K$19,"County",$D431,"HHA/CDPAP","HHA","Level of Service",$D444),0)</f>
        <v>0</v>
      </c>
      <c r="M444" s="665">
        <f>+IFERROR(M$5*GETPIVOTDATA("Unique Billed Hours",'County allocation'!$S$3,"County",$D431,"HHA/CDPAP","HHA","Level of Service",$D444),0)</f>
        <v>0</v>
      </c>
      <c r="N444" s="665">
        <f>+IFERROR(N$5*GETPIVOTDATA("Unique Billed Hours",'County allocation'!$S$3,"County",$D431,"HHA/CDPAP","HHA","Level of Service",$D444),0)</f>
        <v>0</v>
      </c>
      <c r="O444" s="665">
        <f>+IFERROR(O$5*GETPIVOTDATA("Unique Billed Hours",'County allocation'!$S$3,"County",$D431,"HHA/CDPAP","HHA","Level of Service",$D444),0)</f>
        <v>0</v>
      </c>
      <c r="P444" s="665">
        <f>+IFERROR(P$5*GETPIVOTDATA("Unique Billed Hours",'County allocation'!$S$3,"County",$D431,"HHA/CDPAP","HHA","Level of Service",$D444),0)</f>
        <v>0</v>
      </c>
    </row>
    <row r="445" spans="1:18" s="54" customFormat="1" ht="15.75" hidden="1" thickBot="1" x14ac:dyDescent="0.3">
      <c r="A445" s="119"/>
      <c r="B445" s="309"/>
      <c r="C445" s="322">
        <f t="shared" ca="1" si="161"/>
        <v>0</v>
      </c>
      <c r="D445" s="8" t="s">
        <v>374</v>
      </c>
      <c r="E445" s="370" t="s">
        <v>78</v>
      </c>
      <c r="F445" s="657">
        <f t="shared" ca="1" si="162"/>
        <v>0</v>
      </c>
      <c r="G445" s="658">
        <f ca="1">+IFERROR(G$5*GETPIVOTDATA("Unique Billed Hours",'County allocation'!$A$3,"County",$D431,"HHA/CDPAP","HHA","Level of Service",$D445),0)++IFERROR(J$5*GETPIVOTDATA("Unique Billed Hours",'County allocation'!$AC$3,"County",$D431,"HHA/CDPAP","HHA","Level of Service",$D445),0)</f>
        <v>0</v>
      </c>
      <c r="H445" s="658">
        <f>+IFERROR(H$5*GETPIVOTDATA("Unique Billed Hours",'County allocation'!$S$3,"County",$D431,"HHA/CDPAP","HHA","Level of Service",$D445),0)</f>
        <v>0</v>
      </c>
      <c r="I445" s="664">
        <f t="shared" ca="1" si="163"/>
        <v>0</v>
      </c>
      <c r="J445" s="901"/>
      <c r="K445" s="665">
        <f ca="1">+IFERROR(K$5*GETPIVOTDATA("Unique Billed Hours",'County allocation'!$X$3,"County",$D431,"HHA/CDPAP","HHA","Level of Service",$D445),0)</f>
        <v>0</v>
      </c>
      <c r="L445" s="665">
        <f ca="1">+IFERROR(L$5*GETPIVOTDATA("Unique Billed Hours",'County allocation'!$K$19,"County",$D431,"HHA/CDPAP","HHA","Level of Service",$D445),0)</f>
        <v>0</v>
      </c>
      <c r="M445" s="665">
        <f>+IFERROR(M$5*GETPIVOTDATA("Unique Billed Hours",'County allocation'!$S$3,"County",$D431,"HHA/CDPAP","HHA","Level of Service",$D445),0)</f>
        <v>0</v>
      </c>
      <c r="N445" s="665">
        <f>+IFERROR(N$5*GETPIVOTDATA("Unique Billed Hours",'County allocation'!$S$3,"County",$D431,"HHA/CDPAP","HHA","Level of Service",$D445),0)</f>
        <v>0</v>
      </c>
      <c r="O445" s="665">
        <f>+IFERROR(O$5*GETPIVOTDATA("Unique Billed Hours",'County allocation'!$S$3,"County",$D431,"HHA/CDPAP","HHA","Level of Service",$D445),0)</f>
        <v>0</v>
      </c>
      <c r="P445" s="665">
        <f>+IFERROR(P$5*GETPIVOTDATA("Unique Billed Hours",'County allocation'!$S$3,"County",$D431,"HHA/CDPAP","HHA","Level of Service",$D445),0)</f>
        <v>0</v>
      </c>
    </row>
    <row r="446" spans="1:18" s="54" customFormat="1" ht="15.75" hidden="1" thickBot="1" x14ac:dyDescent="0.3">
      <c r="A446" s="302"/>
      <c r="B446" s="309"/>
      <c r="C446" s="322">
        <f ca="1">C445</f>
        <v>0</v>
      </c>
      <c r="D446" s="52" t="s">
        <v>48</v>
      </c>
      <c r="E446" s="53" t="s">
        <v>79</v>
      </c>
      <c r="F446" s="657">
        <f t="shared" ca="1" si="162"/>
        <v>0</v>
      </c>
      <c r="G446" s="661">
        <f t="shared" ref="G446" ca="1" si="165">SUM(G442:G445)</f>
        <v>0</v>
      </c>
      <c r="H446" s="661">
        <f t="shared" ref="H446:P446" si="166">SUM(H442:H445)</f>
        <v>0</v>
      </c>
      <c r="I446" s="661">
        <f t="shared" ca="1" si="166"/>
        <v>0</v>
      </c>
      <c r="J446" s="661">
        <f t="shared" ca="1" si="166"/>
        <v>0</v>
      </c>
      <c r="K446" s="661">
        <f t="shared" ca="1" si="166"/>
        <v>0</v>
      </c>
      <c r="L446" s="661">
        <f t="shared" ca="1" si="166"/>
        <v>0</v>
      </c>
      <c r="M446" s="661">
        <f t="shared" si="166"/>
        <v>0</v>
      </c>
      <c r="N446" s="661">
        <f t="shared" si="166"/>
        <v>0</v>
      </c>
      <c r="O446" s="661">
        <f t="shared" si="166"/>
        <v>0</v>
      </c>
      <c r="P446" s="661">
        <f t="shared" si="166"/>
        <v>0</v>
      </c>
    </row>
    <row r="447" spans="1:18" ht="15.75" hidden="1" thickBot="1" x14ac:dyDescent="0.3"/>
    <row r="448" spans="1:18" s="54" customFormat="1" ht="75.75" hidden="1" thickBot="1" x14ac:dyDescent="0.3">
      <c r="A448" s="119"/>
      <c r="B448" s="309"/>
      <c r="C448" s="322">
        <f ca="1">IF(F463&gt;0,1,0)</f>
        <v>0</v>
      </c>
      <c r="D448" s="45" t="str">
        <f>A29</f>
        <v>Livingston</v>
      </c>
      <c r="E448" s="28">
        <f>+SUMIF(A:A,D448,B:B)</f>
        <v>0</v>
      </c>
      <c r="F448" s="652" t="s">
        <v>61</v>
      </c>
      <c r="G448" s="652" t="s">
        <v>387</v>
      </c>
      <c r="H448" s="652" t="s">
        <v>388</v>
      </c>
      <c r="I448" s="652" t="s">
        <v>392</v>
      </c>
      <c r="J448" s="652" t="s">
        <v>31</v>
      </c>
      <c r="K448" s="652" t="s">
        <v>32</v>
      </c>
      <c r="L448" s="653" t="s">
        <v>33</v>
      </c>
      <c r="M448" s="653" t="s">
        <v>60</v>
      </c>
      <c r="N448" s="653" t="s">
        <v>59</v>
      </c>
      <c r="O448" s="653" t="s">
        <v>58</v>
      </c>
      <c r="P448" s="653" t="s">
        <v>16</v>
      </c>
    </row>
    <row r="449" spans="1:18" s="54" customFormat="1" ht="15.75" hidden="1" thickBot="1" x14ac:dyDescent="0.3">
      <c r="A449" s="119"/>
      <c r="B449" s="309"/>
      <c r="C449" s="322">
        <f ca="1">C448</f>
        <v>0</v>
      </c>
      <c r="D449" s="56"/>
      <c r="E449" s="57"/>
      <c r="F449" s="654" t="s">
        <v>57</v>
      </c>
      <c r="G449" s="654" t="s">
        <v>56</v>
      </c>
      <c r="H449" s="654" t="s">
        <v>55</v>
      </c>
      <c r="I449" s="654" t="s">
        <v>54</v>
      </c>
      <c r="J449" s="654" t="s">
        <v>53</v>
      </c>
      <c r="K449" s="654" t="s">
        <v>52</v>
      </c>
      <c r="L449" s="654" t="s">
        <v>51</v>
      </c>
      <c r="M449" s="654" t="s">
        <v>50</v>
      </c>
      <c r="N449" s="654" t="s">
        <v>49</v>
      </c>
      <c r="O449" s="654" t="s">
        <v>47</v>
      </c>
      <c r="P449" s="655" t="s">
        <v>77</v>
      </c>
    </row>
    <row r="450" spans="1:18" s="54" customFormat="1" ht="15.75" hidden="1" thickBot="1" x14ac:dyDescent="0.3">
      <c r="A450" s="119"/>
      <c r="B450" s="309"/>
      <c r="C450" s="322">
        <f t="shared" ref="C450:C462" ca="1" si="167">C449</f>
        <v>0</v>
      </c>
      <c r="D450" s="59" t="s">
        <v>26</v>
      </c>
      <c r="E450" s="57"/>
      <c r="F450" s="656"/>
      <c r="G450" s="656"/>
      <c r="H450" s="656"/>
      <c r="I450" s="656"/>
      <c r="J450" s="656"/>
      <c r="K450" s="656"/>
      <c r="L450" s="656"/>
      <c r="M450" s="656"/>
      <c r="N450" s="656"/>
      <c r="O450" s="656"/>
      <c r="P450" s="663"/>
    </row>
    <row r="451" spans="1:18" s="54" customFormat="1" ht="15.75" hidden="1" thickBot="1" x14ac:dyDescent="0.3">
      <c r="A451" s="119"/>
      <c r="B451" s="309"/>
      <c r="C451" s="322">
        <f t="shared" ca="1" si="167"/>
        <v>0</v>
      </c>
      <c r="D451" s="7" t="s">
        <v>34</v>
      </c>
      <c r="E451" s="48" t="s">
        <v>57</v>
      </c>
      <c r="F451" s="657">
        <f ca="1">+H451+G451+I451</f>
        <v>0</v>
      </c>
      <c r="G451" s="658">
        <f ca="1">+IFERROR(G$5*GETPIVOTDATA("Unique Billed Hours",'County allocation'!$A$3,"County",$D448,"HHA/CDPAP","HHA","Level of Service",$D451),0)</f>
        <v>0</v>
      </c>
      <c r="H451" s="658">
        <f>+IFERROR(H$5*GETPIVOTDATA("Unique Billed Hours",'County allocation'!$S$3,"County",$D448,"HHA/CDPAP","HHA","Level of Service",$D451),0)</f>
        <v>0</v>
      </c>
      <c r="I451" s="664">
        <f ca="1">SUM(J451:P451)</f>
        <v>0</v>
      </c>
      <c r="J451" s="658">
        <f ca="1">+IFERROR(J$5*GETPIVOTDATA("Unique Billed Hours",'County allocation'!$S$3,"County",$D448,"HHA/CDPAP","HHA","Level of Service",$D451),0)</f>
        <v>0</v>
      </c>
      <c r="K451" s="658">
        <f ca="1">+IFERROR(K$5*GETPIVOTDATA("Unique Billed Hours",'County allocation'!$X$3,"County",$D448,"HHA/CDPAP","HHA","Level of Service",$D451),0)</f>
        <v>0</v>
      </c>
      <c r="L451" s="658">
        <f ca="1">+IFERROR(L$2*GETPIVOTDATA("Unique Billed Hours",'County allocation'!$O$3,"County",$D448,"HHA/CDPAP","HHA","Level of Service",$D451),0)</f>
        <v>0</v>
      </c>
      <c r="M451" s="658">
        <f>+IFERROR(M$5*GETPIVOTDATA("Unique Billed Hours",'County allocation'!$S$3,"County",$D448,"HHA/CDPAP","HHA","Level of Service",$D451),0)</f>
        <v>0</v>
      </c>
      <c r="N451" s="658">
        <f>+IFERROR(N$5*GETPIVOTDATA("Unique Billed Hours",'County allocation'!$S$3,"County",$D448,"HHA/CDPAP","HHA","Level of Service",$D451),0)</f>
        <v>0</v>
      </c>
      <c r="O451" s="658">
        <f>+IFERROR(O$5*GETPIVOTDATA("Unique Billed Hours",'County allocation'!$K$19,"County",$D448,"HHA/CDPAP","HHA","Level of Service",$D451),0)</f>
        <v>0</v>
      </c>
      <c r="P451" s="658">
        <f>+IFERROR(P$5*GETPIVOTDATA("Unique Billed Hours",'County allocation'!$S$3,"County",$D448,"HHA/CDPAP","HHA","Level of Service",$D451),0)</f>
        <v>0</v>
      </c>
    </row>
    <row r="452" spans="1:18" s="54" customFormat="1" ht="15.75" hidden="1" thickBot="1" x14ac:dyDescent="0.3">
      <c r="A452" s="119"/>
      <c r="B452" s="309"/>
      <c r="C452" s="322">
        <f t="shared" ca="1" si="167"/>
        <v>0</v>
      </c>
      <c r="D452" s="7" t="s">
        <v>35</v>
      </c>
      <c r="E452" s="48" t="s">
        <v>56</v>
      </c>
      <c r="F452" s="657">
        <f t="shared" ref="F452:F463" ca="1" si="168">+H452+G452+I452</f>
        <v>0</v>
      </c>
      <c r="G452" s="658">
        <f ca="1">+IFERROR(G$5*GETPIVOTDATA("Unique Billed Hours",'County allocation'!$A$3,"County",$D448,"HHA/CDPAP","HHA","Level of Service",$D452),0)</f>
        <v>0</v>
      </c>
      <c r="H452" s="658">
        <f>+IFERROR(H$5*GETPIVOTDATA("Unique Billed Hours",'County allocation'!$S$3,"County",$D448,"HHA/CDPAP","HHA","Level of Service",$D452),0)</f>
        <v>0</v>
      </c>
      <c r="I452" s="664">
        <f t="shared" ref="I452:I462" ca="1" si="169">SUM(J452:P452)</f>
        <v>0</v>
      </c>
      <c r="J452" s="658">
        <f ca="1">+IFERROR(J$5*GETPIVOTDATA("Unique Billed Hours",'County allocation'!$S$3,"County",$D448,"HHA/CDPAP","HHA","Level of Service",$D452),0)</f>
        <v>0</v>
      </c>
      <c r="K452" s="658">
        <f ca="1">+IFERROR(K$5*GETPIVOTDATA("Unique Billed Hours",'County allocation'!$X$3,"County",$D448,"HHA/CDPAP","HHA","Level of Service",$D452),0)</f>
        <v>0</v>
      </c>
      <c r="L452" s="658">
        <f ca="1">+IFERROR(L$2*GETPIVOTDATA("Unique Billed Hours",'County allocation'!$O$3,"County",$D448,"HHA/CDPAP","HHA","Level of Service",$D452),0)</f>
        <v>0</v>
      </c>
      <c r="M452" s="658">
        <f>+IFERROR(M$5*GETPIVOTDATA("Unique Billed Hours",'County allocation'!$S$3,"County",$D448,"HHA/CDPAP","HHA","Level of Service",$D452),0)</f>
        <v>0</v>
      </c>
      <c r="N452" s="658">
        <f>+IFERROR(N$5*GETPIVOTDATA("Unique Billed Hours",'County allocation'!$S$3,"County",$D448,"HHA/CDPAP","HHA","Level of Service",$D452),0)</f>
        <v>0</v>
      </c>
      <c r="O452" s="658">
        <f>+IFERROR(O$5*GETPIVOTDATA("Unique Billed Hours",'County allocation'!$K$19,"County",$D448,"HHA/CDPAP","HHA","Level of Service",$D452),0)</f>
        <v>0</v>
      </c>
      <c r="P452" s="658">
        <f>+IFERROR(P$5*GETPIVOTDATA("Unique Billed Hours",'County allocation'!$S$3,"County",$D448,"HHA/CDPAP","HHA","Level of Service",$D452),0)</f>
        <v>0</v>
      </c>
      <c r="R452" s="61"/>
    </row>
    <row r="453" spans="1:18" s="54" customFormat="1" ht="15.75" hidden="1" thickBot="1" x14ac:dyDescent="0.3">
      <c r="A453" s="302"/>
      <c r="B453" s="309"/>
      <c r="C453" s="322">
        <f t="shared" ca="1" si="167"/>
        <v>0</v>
      </c>
      <c r="D453" s="7" t="s">
        <v>36</v>
      </c>
      <c r="E453" s="48" t="s">
        <v>55</v>
      </c>
      <c r="F453" s="657">
        <f t="shared" ca="1" si="168"/>
        <v>0</v>
      </c>
      <c r="G453" s="658">
        <f ca="1">+IFERROR(G$5*GETPIVOTDATA("Unique Billed Hours",'County allocation'!$A$3,"County",$D448,"HHA/CDPAP","HHA","Level of Service",$D453),0)</f>
        <v>0</v>
      </c>
      <c r="H453" s="658">
        <f>+IFERROR(H$5*GETPIVOTDATA("Unique Billed Hours",'County allocation'!$S$3,"County",$D448,"HHA/CDPAP","HHA","Level of Service",$D453),0)</f>
        <v>0</v>
      </c>
      <c r="I453" s="664">
        <f t="shared" ca="1" si="169"/>
        <v>0</v>
      </c>
      <c r="J453" s="658">
        <f ca="1">+IFERROR(J$5*GETPIVOTDATA("Unique Billed Hours",'County allocation'!$S$3,"County",$D448,"HHA/CDPAP","HHA","Level of Service",$D453),0)</f>
        <v>0</v>
      </c>
      <c r="K453" s="658">
        <f ca="1">+IFERROR(K$5*GETPIVOTDATA("Unique Billed Hours",'County allocation'!$X$3,"County",$D448,"HHA/CDPAP","HHA","Level of Service",$D453),0)</f>
        <v>0</v>
      </c>
      <c r="L453" s="658">
        <f ca="1">+IFERROR(L$2*GETPIVOTDATA("Unique Billed Hours",'County allocation'!$O$3,"County",$D448,"HHA/CDPAP","HHA","Level of Service",$D453),0)</f>
        <v>0</v>
      </c>
      <c r="M453" s="658">
        <f>+IFERROR(M$5*GETPIVOTDATA("Unique Billed Hours",'County allocation'!$S$3,"County",$D448,"HHA/CDPAP","HHA","Level of Service",$D453),0)</f>
        <v>0</v>
      </c>
      <c r="N453" s="658">
        <f>+IFERROR(N$5*GETPIVOTDATA("Unique Billed Hours",'County allocation'!$S$3,"County",$D448,"HHA/CDPAP","HHA","Level of Service",$D453),0)</f>
        <v>0</v>
      </c>
      <c r="O453" s="658">
        <f>+IFERROR(O$5*GETPIVOTDATA("Unique Billed Hours",'County allocation'!$K$19,"County",$D448,"HHA/CDPAP","HHA","Level of Service",$D453),0)</f>
        <v>0</v>
      </c>
      <c r="P453" s="658">
        <f>+IFERROR(P$5*GETPIVOTDATA("Unique Billed Hours",'County allocation'!$S$3,"County",$D448,"HHA/CDPAP","HHA","Level of Service",$D453),0)</f>
        <v>0</v>
      </c>
    </row>
    <row r="454" spans="1:18" s="54" customFormat="1" ht="15.75" hidden="1" thickBot="1" x14ac:dyDescent="0.3">
      <c r="A454" s="119"/>
      <c r="B454" s="309"/>
      <c r="C454" s="322">
        <f t="shared" ca="1" si="167"/>
        <v>0</v>
      </c>
      <c r="D454" s="7" t="s">
        <v>37</v>
      </c>
      <c r="E454" s="48" t="s">
        <v>54</v>
      </c>
      <c r="F454" s="657">
        <f t="shared" ca="1" si="168"/>
        <v>0</v>
      </c>
      <c r="G454" s="658">
        <f ca="1">+IFERROR(G$5*GETPIVOTDATA("Unique Billed Hours",'County allocation'!$A$3,"County",$D448,"HHA/CDPAP","HHA","Level of Service",$D454),0)</f>
        <v>0</v>
      </c>
      <c r="H454" s="658">
        <f>+IFERROR(H$5*GETPIVOTDATA("Unique Billed Hours",'County allocation'!$S$3,"County",$D448,"HHA/CDPAP","HHA","Level of Service",$D454),0)</f>
        <v>0</v>
      </c>
      <c r="I454" s="664">
        <f t="shared" ca="1" si="169"/>
        <v>0</v>
      </c>
      <c r="J454" s="658">
        <f ca="1">+IFERROR(J$5*GETPIVOTDATA("Unique Billed Hours",'County allocation'!$S$3,"County",$D448,"HHA/CDPAP","HHA","Level of Service",$D454),0)</f>
        <v>0</v>
      </c>
      <c r="K454" s="658">
        <f ca="1">+IFERROR(K$5*GETPIVOTDATA("Unique Billed Hours",'County allocation'!$X$3,"County",$D448,"HHA/CDPAP","HHA","Level of Service",$D454),0)</f>
        <v>0</v>
      </c>
      <c r="L454" s="658">
        <f ca="1">+IFERROR(L$2*GETPIVOTDATA("Unique Billed Hours",'County allocation'!$O$3,"County",$D448,"HHA/CDPAP","HHA","Level of Service",$D454),0)</f>
        <v>0</v>
      </c>
      <c r="M454" s="658">
        <f>+IFERROR(M$5*GETPIVOTDATA("Unique Billed Hours",'County allocation'!$S$3,"County",$D448,"HHA/CDPAP","HHA","Level of Service",$D454),0)</f>
        <v>0</v>
      </c>
      <c r="N454" s="658">
        <f>+IFERROR(N$5*GETPIVOTDATA("Unique Billed Hours",'County allocation'!$S$3,"County",$D448,"HHA/CDPAP","HHA","Level of Service",$D454),0)</f>
        <v>0</v>
      </c>
      <c r="O454" s="658">
        <f>+IFERROR(O$5*GETPIVOTDATA("Unique Billed Hours",'County allocation'!$K$19,"County",$D448,"HHA/CDPAP","HHA","Level of Service",$D454),0)</f>
        <v>0</v>
      </c>
      <c r="P454" s="658">
        <f>+IFERROR(P$5*GETPIVOTDATA("Unique Billed Hours",'County allocation'!$S$3,"County",$D448,"HHA/CDPAP","HHA","Level of Service",$D454),0)</f>
        <v>0</v>
      </c>
    </row>
    <row r="455" spans="1:18" s="54" customFormat="1" ht="15.75" hidden="1" thickBot="1" x14ac:dyDescent="0.3">
      <c r="A455" s="119"/>
      <c r="B455" s="309"/>
      <c r="C455" s="322">
        <f t="shared" ca="1" si="167"/>
        <v>0</v>
      </c>
      <c r="D455" s="7" t="s">
        <v>38</v>
      </c>
      <c r="E455" s="48" t="s">
        <v>53</v>
      </c>
      <c r="F455" s="657">
        <f t="shared" ca="1" si="168"/>
        <v>0</v>
      </c>
      <c r="G455" s="658">
        <f ca="1">+IFERROR(G$5*GETPIVOTDATA("Unique Billed Hours",'County allocation'!$A$3,"County",$D448,"HHA/CDPAP","HHA","Level of Service",$D455),0)</f>
        <v>0</v>
      </c>
      <c r="H455" s="658">
        <f>+IFERROR(H$5*GETPIVOTDATA("Unique Billed Hours",'County allocation'!$S$3,"County",$D448,"HHA/CDPAP","HHA","Level of Service",$D455),0)</f>
        <v>0</v>
      </c>
      <c r="I455" s="664">
        <f t="shared" ca="1" si="169"/>
        <v>0</v>
      </c>
      <c r="J455" s="658">
        <f ca="1">+IFERROR(J$5*GETPIVOTDATA("Unique Billed Hours",'County allocation'!$S$3,"County",$D448,"HHA/CDPAP","HHA","Level of Service",$D455),0)</f>
        <v>0</v>
      </c>
      <c r="K455" s="658">
        <f ca="1">+IFERROR(K$5*GETPIVOTDATA("Unique Billed Hours",'County allocation'!$X$3,"County",$D448,"HHA/CDPAP","HHA","Level of Service",$D455),0)</f>
        <v>0</v>
      </c>
      <c r="L455" s="658">
        <f ca="1">+IFERROR(L$5*GETPIVOTDATA("Unique Billed Hours",'County allocation'!$K$19,"County",$D448,"HHA/CDPAP","HHA","Level of Service",$D455),0)</f>
        <v>0</v>
      </c>
      <c r="M455" s="658">
        <f>+IFERROR(M$5*GETPIVOTDATA("Unique Billed Hours",'County allocation'!$S$3,"County",$D448,"HHA/CDPAP","HHA","Level of Service",$D455),0)</f>
        <v>0</v>
      </c>
      <c r="N455" s="658">
        <f>+IFERROR(N$5*GETPIVOTDATA("Unique Billed Hours",'County allocation'!$S$3,"County",$D448,"HHA/CDPAP","HHA","Level of Service",$D455),0)</f>
        <v>0</v>
      </c>
      <c r="O455" s="658">
        <f>+IFERROR(O$5*GETPIVOTDATA("Unique Billed Hours",'County allocation'!$K$19,"County",$D448,"HHA/CDPAP","HHA","Level of Service",$D455),0)</f>
        <v>0</v>
      </c>
      <c r="P455" s="658">
        <f>+IFERROR(P$5*GETPIVOTDATA("Unique Billed Hours",'County allocation'!$S$3,"County",$D448,"HHA/CDPAP","HHA","Level of Service",$D455),0)</f>
        <v>0</v>
      </c>
    </row>
    <row r="456" spans="1:18" s="54" customFormat="1" ht="15.75" hidden="1" thickBot="1" x14ac:dyDescent="0.3">
      <c r="A456" s="119"/>
      <c r="B456" s="309"/>
      <c r="C456" s="322">
        <f t="shared" ca="1" si="167"/>
        <v>0</v>
      </c>
      <c r="D456" s="7" t="s">
        <v>39</v>
      </c>
      <c r="E456" s="48" t="s">
        <v>52</v>
      </c>
      <c r="F456" s="657">
        <f t="shared" ca="1" si="168"/>
        <v>0</v>
      </c>
      <c r="G456" s="658">
        <f ca="1">+IFERROR(G$5*GETPIVOTDATA("Unique Billed Hours",'County allocation'!$A$3,"County",$D448,"HHA/CDPAP","HHA","Level of Service",$D456),0)</f>
        <v>0</v>
      </c>
      <c r="H456" s="658">
        <f>+IFERROR(H$5*GETPIVOTDATA("Unique Billed Hours",'County allocation'!$S$3,"County",$D448,"HHA/CDPAP","HHA","Level of Service",$D456),0)</f>
        <v>0</v>
      </c>
      <c r="I456" s="664">
        <f t="shared" ca="1" si="169"/>
        <v>0</v>
      </c>
      <c r="J456" s="658">
        <f ca="1">+IFERROR(J$5*GETPIVOTDATA("Unique Billed Hours",'County allocation'!$S$3,"County",$D448,"HHA/CDPAP","HHA","Level of Service",$D456),0)</f>
        <v>0</v>
      </c>
      <c r="K456" s="658">
        <f ca="1">+IFERROR(K$5*GETPIVOTDATA("Unique Billed Hours",'County allocation'!$X$3,"County",$D448,"HHA/CDPAP","HHA","Level of Service",$D456),0)</f>
        <v>0</v>
      </c>
      <c r="L456" s="658">
        <f ca="1">+IFERROR(L$5*GETPIVOTDATA("Unique Billed Hours",'County allocation'!$K$19,"County",$D448,"HHA/CDPAP","HHA","Level of Service",$D456),0)</f>
        <v>0</v>
      </c>
      <c r="M456" s="658">
        <f>+IFERROR(M$5*GETPIVOTDATA("Unique Billed Hours",'County allocation'!$S$3,"County",$D448,"HHA/CDPAP","HHA","Level of Service",$D456),0)</f>
        <v>0</v>
      </c>
      <c r="N456" s="658">
        <f>+IFERROR(N$5*GETPIVOTDATA("Unique Billed Hours",'County allocation'!$S$3,"County",$D448,"HHA/CDPAP","HHA","Level of Service",$D456),0)</f>
        <v>0</v>
      </c>
      <c r="O456" s="658">
        <f>+IFERROR(O$5*GETPIVOTDATA("Unique Billed Hours",'County allocation'!$K$19,"County",$D448,"HHA/CDPAP","HHA","Level of Service",$D456),0)</f>
        <v>0</v>
      </c>
      <c r="P456" s="658">
        <f>+IFERROR(P$5*GETPIVOTDATA("Unique Billed Hours",'County allocation'!$S$3,"County",$D448,"HHA/CDPAP","HHA","Level of Service",$D456),0)</f>
        <v>0</v>
      </c>
    </row>
    <row r="457" spans="1:18" s="54" customFormat="1" ht="15.75" hidden="1" thickBot="1" x14ac:dyDescent="0.3">
      <c r="A457" s="119"/>
      <c r="B457" s="309"/>
      <c r="C457" s="322">
        <f t="shared" ca="1" si="167"/>
        <v>0</v>
      </c>
      <c r="D457" s="8" t="s">
        <v>40</v>
      </c>
      <c r="E457" s="48" t="s">
        <v>51</v>
      </c>
      <c r="F457" s="657">
        <f t="shared" ca="1" si="168"/>
        <v>0</v>
      </c>
      <c r="G457" s="658">
        <f ca="1">+IFERROR(G$5*GETPIVOTDATA("Unique Billed Hours",'County allocation'!$A$3,"County",$D448,"HHA/CDPAP","HHA","Level of Service",$D457),0)</f>
        <v>0</v>
      </c>
      <c r="H457" s="658">
        <f>+IFERROR(H$5*GETPIVOTDATA("Unique Billed Hours",'County allocation'!$S$3,"County",$D448,"HHA/CDPAP","HHA","Level of Service",$D457),0)</f>
        <v>0</v>
      </c>
      <c r="I457" s="664">
        <f t="shared" ca="1" si="169"/>
        <v>0</v>
      </c>
      <c r="J457" s="658">
        <f ca="1">+IFERROR(J$5*GETPIVOTDATA("Unique Billed Hours",'County allocation'!$S$3,"County",$D448,"HHA/CDPAP","HHA","Level of Service",$D457),0)</f>
        <v>0</v>
      </c>
      <c r="K457" s="658">
        <f ca="1">+IFERROR(K$5*GETPIVOTDATA("Unique Billed Hours",'County allocation'!$X$3,"County",$D448,"HHA/CDPAP","HHA","Level of Service",$D457),0)</f>
        <v>0</v>
      </c>
      <c r="L457" s="658">
        <f ca="1">+IFERROR(L$2*GETPIVOTDATA("Unique Billed Hours",'County allocation'!$O$3,"County",$D448,"HHA/CDPAP","HHA","Level of Service",$D457),0)</f>
        <v>0</v>
      </c>
      <c r="M457" s="658">
        <f>+IFERROR(M$5*GETPIVOTDATA("Unique Billed Hours",'County allocation'!$S$3,"County",$D448,"HHA/CDPAP","HHA","Level of Service",$D457),0)</f>
        <v>0</v>
      </c>
      <c r="N457" s="658">
        <f>+IFERROR(N$5*GETPIVOTDATA("Unique Billed Hours",'County allocation'!$S$3,"County",$D448,"HHA/CDPAP","HHA","Level of Service",$D457),0)</f>
        <v>0</v>
      </c>
      <c r="O457" s="658">
        <f>+IFERROR(O$5*GETPIVOTDATA("Unique Billed Hours",'County allocation'!$K$19,"County",$D448,"HHA/CDPAP","HHA","Level of Service",$D457),0)</f>
        <v>0</v>
      </c>
      <c r="P457" s="658">
        <f>+IFERROR(P$5*GETPIVOTDATA("Unique Billed Hours",'County allocation'!$S$3,"County",$D448,"HHA/CDPAP","HHA","Level of Service",$D457),0)</f>
        <v>0</v>
      </c>
    </row>
    <row r="458" spans="1:18" s="54" customFormat="1" ht="15.75" hidden="1" thickBot="1" x14ac:dyDescent="0.3">
      <c r="A458" s="119"/>
      <c r="B458" s="309"/>
      <c r="C458" s="322">
        <f t="shared" ca="1" si="167"/>
        <v>0</v>
      </c>
      <c r="D458" s="8" t="s">
        <v>41</v>
      </c>
      <c r="E458" s="48" t="s">
        <v>50</v>
      </c>
      <c r="F458" s="657">
        <f t="shared" ca="1" si="168"/>
        <v>0</v>
      </c>
      <c r="G458" s="658">
        <f ca="1">+IFERROR(G$5*GETPIVOTDATA("Unique Billed Hours",'County allocation'!$A$3,"County",$D448,"HHA/CDPAP","HHA","Level of Service",$D458),0)</f>
        <v>0</v>
      </c>
      <c r="H458" s="658">
        <f>+IFERROR(H$5*GETPIVOTDATA("Unique Billed Hours",'County allocation'!$S$3,"County",$D448,"HHA/CDPAP","HHA","Level of Service",$D458),0)</f>
        <v>0</v>
      </c>
      <c r="I458" s="664">
        <f t="shared" ca="1" si="169"/>
        <v>0</v>
      </c>
      <c r="J458" s="658">
        <f ca="1">+IFERROR(J$5*GETPIVOTDATA("Unique Billed Hours",'County allocation'!$S$3,"County",$D448,"HHA/CDPAP","HHA","Level of Service",$D458),0)</f>
        <v>0</v>
      </c>
      <c r="K458" s="658">
        <f ca="1">+IFERROR(K$5*GETPIVOTDATA("Unique Billed Hours",'County allocation'!$X$3,"County",$D448,"HHA/CDPAP","HHA","Level of Service",$D458),0)</f>
        <v>0</v>
      </c>
      <c r="L458" s="658">
        <f ca="1">+IFERROR(L$2*GETPIVOTDATA("Unique Billed Hours",'County allocation'!$O$3,"County",$D448,"HHA/CDPAP","HHA","Level of Service",$D458),0)</f>
        <v>0</v>
      </c>
      <c r="M458" s="658">
        <f>+IFERROR(M$5*GETPIVOTDATA("Unique Billed Hours",'County allocation'!$S$3,"County",$D448,"HHA/CDPAP","HHA","Level of Service",$D458),0)</f>
        <v>0</v>
      </c>
      <c r="N458" s="658">
        <f>+IFERROR(N$5*GETPIVOTDATA("Unique Billed Hours",'County allocation'!$S$3,"County",$D448,"HHA/CDPAP","HHA","Level of Service",$D458),0)</f>
        <v>0</v>
      </c>
      <c r="O458" s="658">
        <f>+IFERROR(O$5*GETPIVOTDATA("Unique Billed Hours",'County allocation'!$K$19,"County",$D448,"HHA/CDPAP","HHA","Level of Service",$D458),0)</f>
        <v>0</v>
      </c>
      <c r="P458" s="658">
        <f>+IFERROR(P$5*GETPIVOTDATA("Unique Billed Hours",'County allocation'!$S$3,"County",$D448,"HHA/CDPAP","HHA","Level of Service",$D458),0)</f>
        <v>0</v>
      </c>
    </row>
    <row r="459" spans="1:18" s="54" customFormat="1" ht="15.75" hidden="1" thickBot="1" x14ac:dyDescent="0.3">
      <c r="A459" s="119"/>
      <c r="B459" s="309"/>
      <c r="C459" s="322">
        <f t="shared" ca="1" si="167"/>
        <v>0</v>
      </c>
      <c r="D459" s="52" t="s">
        <v>389</v>
      </c>
      <c r="E459" s="53" t="s">
        <v>49</v>
      </c>
      <c r="F459" s="657">
        <f t="shared" ca="1" si="168"/>
        <v>0</v>
      </c>
      <c r="G459" s="661">
        <f ca="1">SUM(G451:G458)</f>
        <v>0</v>
      </c>
      <c r="H459" s="661">
        <f>SUM(H451:H458)</f>
        <v>0</v>
      </c>
      <c r="I459" s="664">
        <f t="shared" ca="1" si="169"/>
        <v>0</v>
      </c>
      <c r="J459" s="661">
        <f ca="1">SUM(J451:J458)</f>
        <v>0</v>
      </c>
      <c r="K459" s="661">
        <f t="shared" ref="K459:P459" ca="1" si="170">SUM(K451:K458)</f>
        <v>0</v>
      </c>
      <c r="L459" s="661">
        <f t="shared" ca="1" si="170"/>
        <v>0</v>
      </c>
      <c r="M459" s="661">
        <f t="shared" si="170"/>
        <v>0</v>
      </c>
      <c r="N459" s="661">
        <f t="shared" si="170"/>
        <v>0</v>
      </c>
      <c r="O459" s="661">
        <f t="shared" si="170"/>
        <v>0</v>
      </c>
      <c r="P459" s="661">
        <f t="shared" si="170"/>
        <v>0</v>
      </c>
    </row>
    <row r="460" spans="1:18" s="54" customFormat="1" ht="15.75" hidden="1" thickBot="1" x14ac:dyDescent="0.3">
      <c r="A460" s="119"/>
      <c r="B460" s="309"/>
      <c r="C460" s="322">
        <f t="shared" ca="1" si="167"/>
        <v>0</v>
      </c>
      <c r="D460" s="371" t="s">
        <v>390</v>
      </c>
      <c r="E460" s="325" t="s">
        <v>47</v>
      </c>
      <c r="F460" s="657">
        <f t="shared" ca="1" si="168"/>
        <v>0</v>
      </c>
      <c r="G460" s="665">
        <f ca="1">+IFERROR((G$5*GETPIVOTDATA("Unique Billed Hours",'County allocation'!$A$3,"County",$D448,"HHA/CDPAP","HHA","Level of Service",$D460))+($G$2*GETPIVOTDATA("Unique Billed Hours",'County allocation'!$F$7,"County",$D448,"HHA/CDPAP","HHA","Level of Service",$D460)),0)++IFERROR(J$5*GETPIVOTDATA("Unique Billed Hours",'County allocation'!$AC$3,"County",$D448,"HHA/CDPAP","HHA","Level of Service",$D460),0)+ +IFERROR(J$5*GETPIVOTDATA("Unique Billed Hours",'County allocation'!$AC$3,"County",$D448,"HHA/CDPAP","HHA","Level of Service",$D461),0)</f>
        <v>0</v>
      </c>
      <c r="H460" s="665">
        <f>+IFERROR(H$5*GETPIVOTDATA("Unique Billed Hours",'County allocation'!$S$3,"County",$D448,"HHA/CDPAP","HHA","Level of Service",$D460),0)</f>
        <v>0</v>
      </c>
      <c r="I460" s="664">
        <f t="shared" ca="1" si="169"/>
        <v>0</v>
      </c>
      <c r="J460" s="901"/>
      <c r="K460" s="665">
        <f ca="1">+IFERROR(K$5*GETPIVOTDATA("Unique Billed Hours",'County allocation'!$X$3,"County",$D448,"HHA/CDPAP","HHA","Level of Service",$D460),0)</f>
        <v>0</v>
      </c>
      <c r="L460" s="665">
        <f ca="1">+IFERROR(L$5*GETPIVOTDATA("Unique Billed Hours",'County allocation'!$K$19,"County",$D448,"HHA/CDPAP","HHA","Level of Service",$D460),0)</f>
        <v>0</v>
      </c>
      <c r="M460" s="665">
        <f>+IFERROR(M$5*GETPIVOTDATA("Unique Billed Hours",'County allocation'!$S$3,"County",$D448,"HHA/CDPAP","HHA","Level of Service",$D460),0)</f>
        <v>0</v>
      </c>
      <c r="N460" s="665">
        <f>+IFERROR(N$5*GETPIVOTDATA("Unique Billed Hours",'County allocation'!$S$3,"County",$D448,"HHA/CDPAP","HHA","Level of Service",$D460),0)</f>
        <v>0</v>
      </c>
      <c r="O460" s="665">
        <f>+IFERROR(O$5*GETPIVOTDATA("Unique Billed Hours",'County allocation'!$S$3,"County",$D448,"HHA/CDPAP","HHA","Level of Service",$D460),0)</f>
        <v>0</v>
      </c>
      <c r="P460" s="665">
        <f>+IFERROR(P$5*GETPIVOTDATA("Unique Billed Hours",'County allocation'!$S$3,"County",$D448,"HHA/CDPAP","HHA","Level of Service",$D460),0)</f>
        <v>0</v>
      </c>
    </row>
    <row r="461" spans="1:18" s="54" customFormat="1" ht="15.75" hidden="1" thickBot="1" x14ac:dyDescent="0.3">
      <c r="A461" s="119"/>
      <c r="B461" s="309"/>
      <c r="C461" s="322">
        <f t="shared" ca="1" si="167"/>
        <v>0</v>
      </c>
      <c r="D461" s="8" t="s">
        <v>391</v>
      </c>
      <c r="E461" s="370" t="s">
        <v>77</v>
      </c>
      <c r="F461" s="657">
        <f t="shared" ca="1" si="168"/>
        <v>0</v>
      </c>
      <c r="G461" s="656"/>
      <c r="H461" s="658">
        <f>+IFERROR(H$5*GETPIVOTDATA("Unique Billed Hours",'County allocation'!$S$3,"County",$D448,"HHA/CDPAP","HHA","Level of Service",$D461),0)</f>
        <v>0</v>
      </c>
      <c r="I461" s="664">
        <f t="shared" ca="1" si="169"/>
        <v>0</v>
      </c>
      <c r="J461" s="901"/>
      <c r="K461" s="665">
        <f ca="1">+IFERROR(K$5*GETPIVOTDATA("Unique Billed Hours",'County allocation'!$X$3,"County",$D448,"HHA/CDPAP","HHA","Level of Service",$D461),0)</f>
        <v>0</v>
      </c>
      <c r="L461" s="665">
        <f ca="1">+IFERROR(L$5*GETPIVOTDATA("Unique Billed Hours",'County allocation'!$K$19,"County",$D448,"HHA/CDPAP","HHA","Level of Service",$D461),0)</f>
        <v>0</v>
      </c>
      <c r="M461" s="665">
        <f>+IFERROR(M$5*GETPIVOTDATA("Unique Billed Hours",'County allocation'!$S$3,"County",$D448,"HHA/CDPAP","HHA","Level of Service",$D461),0)</f>
        <v>0</v>
      </c>
      <c r="N461" s="665">
        <f>+IFERROR(N$5*GETPIVOTDATA("Unique Billed Hours",'County allocation'!$S$3,"County",$D448,"HHA/CDPAP","HHA","Level of Service",$D461),0)</f>
        <v>0</v>
      </c>
      <c r="O461" s="665">
        <f>+IFERROR(O$5*GETPIVOTDATA("Unique Billed Hours",'County allocation'!$S$3,"County",$D448,"HHA/CDPAP","HHA","Level of Service",$D461),0)</f>
        <v>0</v>
      </c>
      <c r="P461" s="665">
        <f>+IFERROR(P$5*GETPIVOTDATA("Unique Billed Hours",'County allocation'!$S$3,"County",$D448,"HHA/CDPAP","HHA","Level of Service",$D461),0)</f>
        <v>0</v>
      </c>
    </row>
    <row r="462" spans="1:18" s="54" customFormat="1" ht="15.75" hidden="1" thickBot="1" x14ac:dyDescent="0.3">
      <c r="A462" s="119"/>
      <c r="B462" s="309"/>
      <c r="C462" s="322">
        <f t="shared" ca="1" si="167"/>
        <v>0</v>
      </c>
      <c r="D462" s="8" t="s">
        <v>374</v>
      </c>
      <c r="E462" s="370" t="s">
        <v>78</v>
      </c>
      <c r="F462" s="657">
        <f t="shared" ca="1" si="168"/>
        <v>0</v>
      </c>
      <c r="G462" s="658">
        <f ca="1">+IFERROR(G$5*GETPIVOTDATA("Unique Billed Hours",'County allocation'!$A$3,"County",$D448,"HHA/CDPAP","HHA","Level of Service",$D462),0)++IFERROR(J$5*GETPIVOTDATA("Unique Billed Hours",'County allocation'!$AC$3,"County",$D448,"HHA/CDPAP","HHA","Level of Service",$D462),0)</f>
        <v>0</v>
      </c>
      <c r="H462" s="658">
        <f>+IFERROR(H$5*GETPIVOTDATA("Unique Billed Hours",'County allocation'!$S$3,"County",$D448,"HHA/CDPAP","HHA","Level of Service",$D462),0)</f>
        <v>0</v>
      </c>
      <c r="I462" s="664">
        <f t="shared" ca="1" si="169"/>
        <v>0</v>
      </c>
      <c r="J462" s="901"/>
      <c r="K462" s="665">
        <f ca="1">+IFERROR(K$5*GETPIVOTDATA("Unique Billed Hours",'County allocation'!$X$3,"County",$D448,"HHA/CDPAP","HHA","Level of Service",$D462),0)</f>
        <v>0</v>
      </c>
      <c r="L462" s="665">
        <f ca="1">+IFERROR(L$5*GETPIVOTDATA("Unique Billed Hours",'County allocation'!$K$19,"County",$D448,"HHA/CDPAP","HHA","Level of Service",$D462),0)</f>
        <v>0</v>
      </c>
      <c r="M462" s="665">
        <f>+IFERROR(M$5*GETPIVOTDATA("Unique Billed Hours",'County allocation'!$S$3,"County",$D448,"HHA/CDPAP","HHA","Level of Service",$D462),0)</f>
        <v>0</v>
      </c>
      <c r="N462" s="665">
        <f>+IFERROR(N$5*GETPIVOTDATA("Unique Billed Hours",'County allocation'!$S$3,"County",$D448,"HHA/CDPAP","HHA","Level of Service",$D462),0)</f>
        <v>0</v>
      </c>
      <c r="O462" s="665">
        <f>+IFERROR(O$5*GETPIVOTDATA("Unique Billed Hours",'County allocation'!$S$3,"County",$D448,"HHA/CDPAP","HHA","Level of Service",$D462),0)</f>
        <v>0</v>
      </c>
      <c r="P462" s="665">
        <f>+IFERROR(P$5*GETPIVOTDATA("Unique Billed Hours",'County allocation'!$S$3,"County",$D448,"HHA/CDPAP","HHA","Level of Service",$D462),0)</f>
        <v>0</v>
      </c>
    </row>
    <row r="463" spans="1:18" s="54" customFormat="1" ht="15.75" hidden="1" thickBot="1" x14ac:dyDescent="0.3">
      <c r="A463" s="302"/>
      <c r="B463" s="309"/>
      <c r="C463" s="322">
        <f ca="1">C462</f>
        <v>0</v>
      </c>
      <c r="D463" s="52" t="s">
        <v>48</v>
      </c>
      <c r="E463" s="53" t="s">
        <v>79</v>
      </c>
      <c r="F463" s="657">
        <f t="shared" ca="1" si="168"/>
        <v>0</v>
      </c>
      <c r="G463" s="661">
        <f t="shared" ref="G463" ca="1" si="171">SUM(G459:G462)</f>
        <v>0</v>
      </c>
      <c r="H463" s="661">
        <f t="shared" ref="H463:P463" si="172">SUM(H459:H462)</f>
        <v>0</v>
      </c>
      <c r="I463" s="661">
        <f t="shared" ca="1" si="172"/>
        <v>0</v>
      </c>
      <c r="J463" s="661">
        <f t="shared" ca="1" si="172"/>
        <v>0</v>
      </c>
      <c r="K463" s="661">
        <f t="shared" ca="1" si="172"/>
        <v>0</v>
      </c>
      <c r="L463" s="661">
        <f t="shared" ca="1" si="172"/>
        <v>0</v>
      </c>
      <c r="M463" s="661">
        <f t="shared" si="172"/>
        <v>0</v>
      </c>
      <c r="N463" s="661">
        <f t="shared" si="172"/>
        <v>0</v>
      </c>
      <c r="O463" s="661">
        <f t="shared" si="172"/>
        <v>0</v>
      </c>
      <c r="P463" s="661">
        <f t="shared" si="172"/>
        <v>0</v>
      </c>
    </row>
    <row r="464" spans="1:18" ht="15.75" hidden="1" thickBot="1" x14ac:dyDescent="0.3"/>
    <row r="465" spans="1:18" s="54" customFormat="1" ht="75.75" hidden="1" thickBot="1" x14ac:dyDescent="0.3">
      <c r="A465" s="119"/>
      <c r="B465" s="309"/>
      <c r="C465" s="322">
        <f ca="1">IF(F480&gt;0,1,0)</f>
        <v>0</v>
      </c>
      <c r="D465" s="45" t="str">
        <f>A30</f>
        <v>Madison</v>
      </c>
      <c r="E465" s="28">
        <f>+SUMIF(A:A,D465,B:B)</f>
        <v>0</v>
      </c>
      <c r="F465" s="652" t="s">
        <v>61</v>
      </c>
      <c r="G465" s="652" t="s">
        <v>387</v>
      </c>
      <c r="H465" s="652" t="s">
        <v>388</v>
      </c>
      <c r="I465" s="652" t="s">
        <v>392</v>
      </c>
      <c r="J465" s="652" t="s">
        <v>31</v>
      </c>
      <c r="K465" s="652" t="s">
        <v>32</v>
      </c>
      <c r="L465" s="653" t="s">
        <v>33</v>
      </c>
      <c r="M465" s="653" t="s">
        <v>60</v>
      </c>
      <c r="N465" s="653" t="s">
        <v>59</v>
      </c>
      <c r="O465" s="653" t="s">
        <v>58</v>
      </c>
      <c r="P465" s="653" t="s">
        <v>16</v>
      </c>
    </row>
    <row r="466" spans="1:18" s="54" customFormat="1" ht="15.75" hidden="1" thickBot="1" x14ac:dyDescent="0.3">
      <c r="A466" s="119"/>
      <c r="B466" s="309"/>
      <c r="C466" s="322">
        <f ca="1">C465</f>
        <v>0</v>
      </c>
      <c r="D466" s="56"/>
      <c r="E466" s="57"/>
      <c r="F466" s="654" t="s">
        <v>57</v>
      </c>
      <c r="G466" s="654" t="s">
        <v>56</v>
      </c>
      <c r="H466" s="654" t="s">
        <v>55</v>
      </c>
      <c r="I466" s="654" t="s">
        <v>54</v>
      </c>
      <c r="J466" s="654" t="s">
        <v>53</v>
      </c>
      <c r="K466" s="654" t="s">
        <v>52</v>
      </c>
      <c r="L466" s="654" t="s">
        <v>51</v>
      </c>
      <c r="M466" s="654" t="s">
        <v>50</v>
      </c>
      <c r="N466" s="654" t="s">
        <v>49</v>
      </c>
      <c r="O466" s="654" t="s">
        <v>47</v>
      </c>
      <c r="P466" s="655" t="s">
        <v>77</v>
      </c>
    </row>
    <row r="467" spans="1:18" s="54" customFormat="1" ht="15.75" hidden="1" thickBot="1" x14ac:dyDescent="0.3">
      <c r="A467" s="119"/>
      <c r="B467" s="309"/>
      <c r="C467" s="322">
        <f t="shared" ref="C467:C479" ca="1" si="173">C466</f>
        <v>0</v>
      </c>
      <c r="D467" s="59" t="s">
        <v>26</v>
      </c>
      <c r="E467" s="57"/>
      <c r="F467" s="656"/>
      <c r="G467" s="656"/>
      <c r="H467" s="656"/>
      <c r="I467" s="656"/>
      <c r="J467" s="656"/>
      <c r="K467" s="656"/>
      <c r="L467" s="656"/>
      <c r="M467" s="656"/>
      <c r="N467" s="656"/>
      <c r="O467" s="656"/>
      <c r="P467" s="663"/>
    </row>
    <row r="468" spans="1:18" s="54" customFormat="1" ht="15.75" hidden="1" thickBot="1" x14ac:dyDescent="0.3">
      <c r="A468" s="119"/>
      <c r="B468" s="309"/>
      <c r="C468" s="322">
        <f t="shared" ca="1" si="173"/>
        <v>0</v>
      </c>
      <c r="D468" s="7" t="s">
        <v>34</v>
      </c>
      <c r="E468" s="48" t="s">
        <v>57</v>
      </c>
      <c r="F468" s="657">
        <f ca="1">+H468+G468+I468</f>
        <v>0</v>
      </c>
      <c r="G468" s="658">
        <f ca="1">+IFERROR(G$5*GETPIVOTDATA("Unique Billed Hours",'County allocation'!$A$3,"County",$D465,"HHA/CDPAP","HHA","Level of Service",$D468),0)</f>
        <v>0</v>
      </c>
      <c r="H468" s="658">
        <f>+IFERROR(H$5*GETPIVOTDATA("Unique Billed Hours",'County allocation'!$S$3,"County",$D465,"HHA/CDPAP","HHA","Level of Service",$D468),0)</f>
        <v>0</v>
      </c>
      <c r="I468" s="664">
        <f ca="1">SUM(J468:P468)</f>
        <v>0</v>
      </c>
      <c r="J468" s="658">
        <f ca="1">+IFERROR(J$5*GETPIVOTDATA("Unique Billed Hours",'County allocation'!$S$3,"County",$D465,"HHA/CDPAP","HHA","Level of Service",$D468),0)</f>
        <v>0</v>
      </c>
      <c r="K468" s="658">
        <f ca="1">+IFERROR(K$5*GETPIVOTDATA("Unique Billed Hours",'County allocation'!$X$3,"County",$D465,"HHA/CDPAP","HHA","Level of Service",$D468),0)</f>
        <v>0</v>
      </c>
      <c r="L468" s="658">
        <f ca="1">+IFERROR(L$2*GETPIVOTDATA("Unique Billed Hours",'County allocation'!$O$3,"County",$D465,"HHA/CDPAP","HHA","Level of Service",$D468),0)</f>
        <v>0</v>
      </c>
      <c r="M468" s="658">
        <f>+IFERROR(M$5*GETPIVOTDATA("Unique Billed Hours",'County allocation'!$S$3,"County",$D465,"HHA/CDPAP","HHA","Level of Service",$D468),0)</f>
        <v>0</v>
      </c>
      <c r="N468" s="658">
        <f>+IFERROR(N$5*GETPIVOTDATA("Unique Billed Hours",'County allocation'!$S$3,"County",$D465,"HHA/CDPAP","HHA","Level of Service",$D468),0)</f>
        <v>0</v>
      </c>
      <c r="O468" s="658">
        <f>+IFERROR(O$5*GETPIVOTDATA("Unique Billed Hours",'County allocation'!$K$19,"County",$D465,"HHA/CDPAP","HHA","Level of Service",$D468),0)</f>
        <v>0</v>
      </c>
      <c r="P468" s="658">
        <f>+IFERROR(P$5*GETPIVOTDATA("Unique Billed Hours",'County allocation'!$S$3,"County",$D465,"HHA/CDPAP","HHA","Level of Service",$D468),0)</f>
        <v>0</v>
      </c>
    </row>
    <row r="469" spans="1:18" s="54" customFormat="1" ht="15.75" hidden="1" thickBot="1" x14ac:dyDescent="0.3">
      <c r="A469" s="119"/>
      <c r="B469" s="309"/>
      <c r="C469" s="322">
        <f t="shared" ca="1" si="173"/>
        <v>0</v>
      </c>
      <c r="D469" s="7" t="s">
        <v>35</v>
      </c>
      <c r="E469" s="48" t="s">
        <v>56</v>
      </c>
      <c r="F469" s="657">
        <f t="shared" ref="F469:F480" ca="1" si="174">+H469+G469+I469</f>
        <v>0</v>
      </c>
      <c r="G469" s="658">
        <f ca="1">+IFERROR(G$5*GETPIVOTDATA("Unique Billed Hours",'County allocation'!$A$3,"County",$D465,"HHA/CDPAP","HHA","Level of Service",$D469),0)</f>
        <v>0</v>
      </c>
      <c r="H469" s="658">
        <f>+IFERROR(H$5*GETPIVOTDATA("Unique Billed Hours",'County allocation'!$S$3,"County",$D465,"HHA/CDPAP","HHA","Level of Service",$D469),0)</f>
        <v>0</v>
      </c>
      <c r="I469" s="664">
        <f t="shared" ref="I469:I479" ca="1" si="175">SUM(J469:P469)</f>
        <v>0</v>
      </c>
      <c r="J469" s="658">
        <f ca="1">+IFERROR(J$5*GETPIVOTDATA("Unique Billed Hours",'County allocation'!$S$3,"County",$D465,"HHA/CDPAP","HHA","Level of Service",$D469),0)</f>
        <v>0</v>
      </c>
      <c r="K469" s="658">
        <f ca="1">+IFERROR(K$5*GETPIVOTDATA("Unique Billed Hours",'County allocation'!$X$3,"County",$D465,"HHA/CDPAP","HHA","Level of Service",$D469),0)</f>
        <v>0</v>
      </c>
      <c r="L469" s="658">
        <f ca="1">+IFERROR(L$2*GETPIVOTDATA("Unique Billed Hours",'County allocation'!$O$3,"County",$D465,"HHA/CDPAP","HHA","Level of Service",$D469),0)</f>
        <v>0</v>
      </c>
      <c r="M469" s="658">
        <f>+IFERROR(M$5*GETPIVOTDATA("Unique Billed Hours",'County allocation'!$S$3,"County",$D465,"HHA/CDPAP","HHA","Level of Service",$D469),0)</f>
        <v>0</v>
      </c>
      <c r="N469" s="658">
        <f>+IFERROR(N$5*GETPIVOTDATA("Unique Billed Hours",'County allocation'!$S$3,"County",$D465,"HHA/CDPAP","HHA","Level of Service",$D469),0)</f>
        <v>0</v>
      </c>
      <c r="O469" s="658">
        <f>+IFERROR(O$5*GETPIVOTDATA("Unique Billed Hours",'County allocation'!$K$19,"County",$D465,"HHA/CDPAP","HHA","Level of Service",$D469),0)</f>
        <v>0</v>
      </c>
      <c r="P469" s="658">
        <f>+IFERROR(P$5*GETPIVOTDATA("Unique Billed Hours",'County allocation'!$S$3,"County",$D465,"HHA/CDPAP","HHA","Level of Service",$D469),0)</f>
        <v>0</v>
      </c>
      <c r="R469" s="61"/>
    </row>
    <row r="470" spans="1:18" s="54" customFormat="1" ht="15.75" hidden="1" thickBot="1" x14ac:dyDescent="0.3">
      <c r="A470" s="302"/>
      <c r="B470" s="309"/>
      <c r="C470" s="322">
        <f t="shared" ca="1" si="173"/>
        <v>0</v>
      </c>
      <c r="D470" s="7" t="s">
        <v>36</v>
      </c>
      <c r="E470" s="48" t="s">
        <v>55</v>
      </c>
      <c r="F470" s="657">
        <f t="shared" ca="1" si="174"/>
        <v>0</v>
      </c>
      <c r="G470" s="658">
        <f ca="1">+IFERROR(G$5*GETPIVOTDATA("Unique Billed Hours",'County allocation'!$A$3,"County",$D465,"HHA/CDPAP","HHA","Level of Service",$D470),0)</f>
        <v>0</v>
      </c>
      <c r="H470" s="658">
        <f>+IFERROR(H$5*GETPIVOTDATA("Unique Billed Hours",'County allocation'!$S$3,"County",$D465,"HHA/CDPAP","HHA","Level of Service",$D470),0)</f>
        <v>0</v>
      </c>
      <c r="I470" s="664">
        <f t="shared" ca="1" si="175"/>
        <v>0</v>
      </c>
      <c r="J470" s="658">
        <f ca="1">+IFERROR(J$5*GETPIVOTDATA("Unique Billed Hours",'County allocation'!$S$3,"County",$D465,"HHA/CDPAP","HHA","Level of Service",$D470),0)</f>
        <v>0</v>
      </c>
      <c r="K470" s="658">
        <f ca="1">+IFERROR(K$5*GETPIVOTDATA("Unique Billed Hours",'County allocation'!$X$3,"County",$D465,"HHA/CDPAP","HHA","Level of Service",$D470),0)</f>
        <v>0</v>
      </c>
      <c r="L470" s="658">
        <f ca="1">+IFERROR(L$2*GETPIVOTDATA("Unique Billed Hours",'County allocation'!$O$3,"County",$D465,"HHA/CDPAP","HHA","Level of Service",$D470),0)</f>
        <v>0</v>
      </c>
      <c r="M470" s="658">
        <f>+IFERROR(M$5*GETPIVOTDATA("Unique Billed Hours",'County allocation'!$S$3,"County",$D465,"HHA/CDPAP","HHA","Level of Service",$D470),0)</f>
        <v>0</v>
      </c>
      <c r="N470" s="658">
        <f>+IFERROR(N$5*GETPIVOTDATA("Unique Billed Hours",'County allocation'!$S$3,"County",$D465,"HHA/CDPAP","HHA","Level of Service",$D470),0)</f>
        <v>0</v>
      </c>
      <c r="O470" s="658">
        <f>+IFERROR(O$5*GETPIVOTDATA("Unique Billed Hours",'County allocation'!$K$19,"County",$D465,"HHA/CDPAP","HHA","Level of Service",$D470),0)</f>
        <v>0</v>
      </c>
      <c r="P470" s="658">
        <f>+IFERROR(P$5*GETPIVOTDATA("Unique Billed Hours",'County allocation'!$S$3,"County",$D465,"HHA/CDPAP","HHA","Level of Service",$D470),0)</f>
        <v>0</v>
      </c>
    </row>
    <row r="471" spans="1:18" s="54" customFormat="1" ht="15.75" hidden="1" thickBot="1" x14ac:dyDescent="0.3">
      <c r="A471" s="119"/>
      <c r="B471" s="309"/>
      <c r="C471" s="322">
        <f t="shared" ca="1" si="173"/>
        <v>0</v>
      </c>
      <c r="D471" s="7" t="s">
        <v>37</v>
      </c>
      <c r="E471" s="48" t="s">
        <v>54</v>
      </c>
      <c r="F471" s="657">
        <f t="shared" ca="1" si="174"/>
        <v>0</v>
      </c>
      <c r="G471" s="658">
        <f ca="1">+IFERROR(G$5*GETPIVOTDATA("Unique Billed Hours",'County allocation'!$A$3,"County",$D465,"HHA/CDPAP","HHA","Level of Service",$D471),0)</f>
        <v>0</v>
      </c>
      <c r="H471" s="658">
        <f>+IFERROR(H$5*GETPIVOTDATA("Unique Billed Hours",'County allocation'!$S$3,"County",$D465,"HHA/CDPAP","HHA","Level of Service",$D471),0)</f>
        <v>0</v>
      </c>
      <c r="I471" s="664">
        <f t="shared" ca="1" si="175"/>
        <v>0</v>
      </c>
      <c r="J471" s="658">
        <f ca="1">+IFERROR(J$5*GETPIVOTDATA("Unique Billed Hours",'County allocation'!$S$3,"County",$D465,"HHA/CDPAP","HHA","Level of Service",$D471),0)</f>
        <v>0</v>
      </c>
      <c r="K471" s="658">
        <f ca="1">+IFERROR(K$5*GETPIVOTDATA("Unique Billed Hours",'County allocation'!$X$3,"County",$D465,"HHA/CDPAP","HHA","Level of Service",$D471),0)</f>
        <v>0</v>
      </c>
      <c r="L471" s="658">
        <f ca="1">+IFERROR(L$2*GETPIVOTDATA("Unique Billed Hours",'County allocation'!$O$3,"County",$D465,"HHA/CDPAP","HHA","Level of Service",$D471),0)</f>
        <v>0</v>
      </c>
      <c r="M471" s="658">
        <f>+IFERROR(M$5*GETPIVOTDATA("Unique Billed Hours",'County allocation'!$S$3,"County",$D465,"HHA/CDPAP","HHA","Level of Service",$D471),0)</f>
        <v>0</v>
      </c>
      <c r="N471" s="658">
        <f>+IFERROR(N$5*GETPIVOTDATA("Unique Billed Hours",'County allocation'!$S$3,"County",$D465,"HHA/CDPAP","HHA","Level of Service",$D471),0)</f>
        <v>0</v>
      </c>
      <c r="O471" s="658">
        <f>+IFERROR(O$5*GETPIVOTDATA("Unique Billed Hours",'County allocation'!$K$19,"County",$D465,"HHA/CDPAP","HHA","Level of Service",$D471),0)</f>
        <v>0</v>
      </c>
      <c r="P471" s="658">
        <f>+IFERROR(P$5*GETPIVOTDATA("Unique Billed Hours",'County allocation'!$S$3,"County",$D465,"HHA/CDPAP","HHA","Level of Service",$D471),0)</f>
        <v>0</v>
      </c>
    </row>
    <row r="472" spans="1:18" s="54" customFormat="1" ht="15.75" hidden="1" thickBot="1" x14ac:dyDescent="0.3">
      <c r="A472" s="119"/>
      <c r="B472" s="309"/>
      <c r="C472" s="322">
        <f t="shared" ca="1" si="173"/>
        <v>0</v>
      </c>
      <c r="D472" s="7" t="s">
        <v>38</v>
      </c>
      <c r="E472" s="48" t="s">
        <v>53</v>
      </c>
      <c r="F472" s="657">
        <f t="shared" ca="1" si="174"/>
        <v>0</v>
      </c>
      <c r="G472" s="658">
        <f ca="1">+IFERROR(G$5*GETPIVOTDATA("Unique Billed Hours",'County allocation'!$A$3,"County",$D465,"HHA/CDPAP","HHA","Level of Service",$D472),0)</f>
        <v>0</v>
      </c>
      <c r="H472" s="658">
        <f>+IFERROR(H$5*GETPIVOTDATA("Unique Billed Hours",'County allocation'!$S$3,"County",$D465,"HHA/CDPAP","HHA","Level of Service",$D472),0)</f>
        <v>0</v>
      </c>
      <c r="I472" s="664">
        <f t="shared" ca="1" si="175"/>
        <v>0</v>
      </c>
      <c r="J472" s="658">
        <f ca="1">+IFERROR(J$5*GETPIVOTDATA("Unique Billed Hours",'County allocation'!$S$3,"County",$D465,"HHA/CDPAP","HHA","Level of Service",$D472),0)</f>
        <v>0</v>
      </c>
      <c r="K472" s="658">
        <f ca="1">+IFERROR(K$5*GETPIVOTDATA("Unique Billed Hours",'County allocation'!$X$3,"County",$D465,"HHA/CDPAP","HHA","Level of Service",$D472),0)</f>
        <v>0</v>
      </c>
      <c r="L472" s="658">
        <f ca="1">+IFERROR(L$5*GETPIVOTDATA("Unique Billed Hours",'County allocation'!$K$19,"County",$D465,"HHA/CDPAP","HHA","Level of Service",$D472),0)</f>
        <v>0</v>
      </c>
      <c r="M472" s="658">
        <f>+IFERROR(M$5*GETPIVOTDATA("Unique Billed Hours",'County allocation'!$S$3,"County",$D465,"HHA/CDPAP","HHA","Level of Service",$D472),0)</f>
        <v>0</v>
      </c>
      <c r="N472" s="658">
        <f>+IFERROR(N$5*GETPIVOTDATA("Unique Billed Hours",'County allocation'!$S$3,"County",$D465,"HHA/CDPAP","HHA","Level of Service",$D472),0)</f>
        <v>0</v>
      </c>
      <c r="O472" s="658">
        <f>+IFERROR(O$5*GETPIVOTDATA("Unique Billed Hours",'County allocation'!$K$19,"County",$D465,"HHA/CDPAP","HHA","Level of Service",$D472),0)</f>
        <v>0</v>
      </c>
      <c r="P472" s="658">
        <f>+IFERROR(P$5*GETPIVOTDATA("Unique Billed Hours",'County allocation'!$S$3,"County",$D465,"HHA/CDPAP","HHA","Level of Service",$D472),0)</f>
        <v>0</v>
      </c>
    </row>
    <row r="473" spans="1:18" s="54" customFormat="1" ht="15.75" hidden="1" thickBot="1" x14ac:dyDescent="0.3">
      <c r="A473" s="119"/>
      <c r="B473" s="309"/>
      <c r="C473" s="322">
        <f t="shared" ca="1" si="173"/>
        <v>0</v>
      </c>
      <c r="D473" s="7" t="s">
        <v>39</v>
      </c>
      <c r="E473" s="48" t="s">
        <v>52</v>
      </c>
      <c r="F473" s="657">
        <f t="shared" ca="1" si="174"/>
        <v>0</v>
      </c>
      <c r="G473" s="658">
        <f ca="1">+IFERROR(G$5*GETPIVOTDATA("Unique Billed Hours",'County allocation'!$A$3,"County",$D465,"HHA/CDPAP","HHA","Level of Service",$D473),0)</f>
        <v>0</v>
      </c>
      <c r="H473" s="658">
        <f>+IFERROR(H$5*GETPIVOTDATA("Unique Billed Hours",'County allocation'!$S$3,"County",$D465,"HHA/CDPAP","HHA","Level of Service",$D473),0)</f>
        <v>0</v>
      </c>
      <c r="I473" s="664">
        <f t="shared" ca="1" si="175"/>
        <v>0</v>
      </c>
      <c r="J473" s="658">
        <f ca="1">+IFERROR(J$5*GETPIVOTDATA("Unique Billed Hours",'County allocation'!$S$3,"County",$D465,"HHA/CDPAP","HHA","Level of Service",$D473),0)</f>
        <v>0</v>
      </c>
      <c r="K473" s="658">
        <f ca="1">+IFERROR(K$5*GETPIVOTDATA("Unique Billed Hours",'County allocation'!$X$3,"County",$D465,"HHA/CDPAP","HHA","Level of Service",$D473),0)</f>
        <v>0</v>
      </c>
      <c r="L473" s="658">
        <f ca="1">+IFERROR(L$5*GETPIVOTDATA("Unique Billed Hours",'County allocation'!$K$19,"County",$D465,"HHA/CDPAP","HHA","Level of Service",$D473),0)</f>
        <v>0</v>
      </c>
      <c r="M473" s="658">
        <f>+IFERROR(M$5*GETPIVOTDATA("Unique Billed Hours",'County allocation'!$S$3,"County",$D465,"HHA/CDPAP","HHA","Level of Service",$D473),0)</f>
        <v>0</v>
      </c>
      <c r="N473" s="658">
        <f>+IFERROR(N$5*GETPIVOTDATA("Unique Billed Hours",'County allocation'!$S$3,"County",$D465,"HHA/CDPAP","HHA","Level of Service",$D473),0)</f>
        <v>0</v>
      </c>
      <c r="O473" s="658">
        <f>+IFERROR(O$5*GETPIVOTDATA("Unique Billed Hours",'County allocation'!$K$19,"County",$D465,"HHA/CDPAP","HHA","Level of Service",$D473),0)</f>
        <v>0</v>
      </c>
      <c r="P473" s="658">
        <f>+IFERROR(P$5*GETPIVOTDATA("Unique Billed Hours",'County allocation'!$S$3,"County",$D465,"HHA/CDPAP","HHA","Level of Service",$D473),0)</f>
        <v>0</v>
      </c>
    </row>
    <row r="474" spans="1:18" s="54" customFormat="1" ht="15.75" hidden="1" thickBot="1" x14ac:dyDescent="0.3">
      <c r="A474" s="119"/>
      <c r="B474" s="309"/>
      <c r="C474" s="322">
        <f t="shared" ca="1" si="173"/>
        <v>0</v>
      </c>
      <c r="D474" s="8" t="s">
        <v>40</v>
      </c>
      <c r="E474" s="48" t="s">
        <v>51</v>
      </c>
      <c r="F474" s="657">
        <f t="shared" ca="1" si="174"/>
        <v>0</v>
      </c>
      <c r="G474" s="658">
        <f ca="1">+IFERROR(G$5*GETPIVOTDATA("Unique Billed Hours",'County allocation'!$A$3,"County",$D465,"HHA/CDPAP","HHA","Level of Service",$D474),0)</f>
        <v>0</v>
      </c>
      <c r="H474" s="658">
        <f>+IFERROR(H$5*GETPIVOTDATA("Unique Billed Hours",'County allocation'!$S$3,"County",$D465,"HHA/CDPAP","HHA","Level of Service",$D474),0)</f>
        <v>0</v>
      </c>
      <c r="I474" s="664">
        <f t="shared" ca="1" si="175"/>
        <v>0</v>
      </c>
      <c r="J474" s="658">
        <f ca="1">+IFERROR(J$5*GETPIVOTDATA("Unique Billed Hours",'County allocation'!$S$3,"County",$D465,"HHA/CDPAP","HHA","Level of Service",$D474),0)</f>
        <v>0</v>
      </c>
      <c r="K474" s="658">
        <f ca="1">+IFERROR(K$5*GETPIVOTDATA("Unique Billed Hours",'County allocation'!$X$3,"County",$D465,"HHA/CDPAP","HHA","Level of Service",$D474),0)</f>
        <v>0</v>
      </c>
      <c r="L474" s="658">
        <f ca="1">+IFERROR(L$2*GETPIVOTDATA("Unique Billed Hours",'County allocation'!$O$3,"County",$D465,"HHA/CDPAP","HHA","Level of Service",$D474),0)</f>
        <v>0</v>
      </c>
      <c r="M474" s="658">
        <f>+IFERROR(M$5*GETPIVOTDATA("Unique Billed Hours",'County allocation'!$S$3,"County",$D465,"HHA/CDPAP","HHA","Level of Service",$D474),0)</f>
        <v>0</v>
      </c>
      <c r="N474" s="658">
        <f>+IFERROR(N$5*GETPIVOTDATA("Unique Billed Hours",'County allocation'!$S$3,"County",$D465,"HHA/CDPAP","HHA","Level of Service",$D474),0)</f>
        <v>0</v>
      </c>
      <c r="O474" s="658">
        <f>+IFERROR(O$5*GETPIVOTDATA("Unique Billed Hours",'County allocation'!$K$19,"County",$D465,"HHA/CDPAP","HHA","Level of Service",$D474),0)</f>
        <v>0</v>
      </c>
      <c r="P474" s="658">
        <f>+IFERROR(P$5*GETPIVOTDATA("Unique Billed Hours",'County allocation'!$S$3,"County",$D465,"HHA/CDPAP","HHA","Level of Service",$D474),0)</f>
        <v>0</v>
      </c>
    </row>
    <row r="475" spans="1:18" s="54" customFormat="1" ht="15.75" hidden="1" thickBot="1" x14ac:dyDescent="0.3">
      <c r="A475" s="119"/>
      <c r="B475" s="309"/>
      <c r="C475" s="322">
        <f t="shared" ca="1" si="173"/>
        <v>0</v>
      </c>
      <c r="D475" s="8" t="s">
        <v>41</v>
      </c>
      <c r="E475" s="48" t="s">
        <v>50</v>
      </c>
      <c r="F475" s="657">
        <f t="shared" ca="1" si="174"/>
        <v>0</v>
      </c>
      <c r="G475" s="658">
        <f ca="1">+IFERROR(G$5*GETPIVOTDATA("Unique Billed Hours",'County allocation'!$A$3,"County",$D465,"HHA/CDPAP","HHA","Level of Service",$D475),0)</f>
        <v>0</v>
      </c>
      <c r="H475" s="658">
        <f>+IFERROR(H$5*GETPIVOTDATA("Unique Billed Hours",'County allocation'!$S$3,"County",$D465,"HHA/CDPAP","HHA","Level of Service",$D475),0)</f>
        <v>0</v>
      </c>
      <c r="I475" s="664">
        <f t="shared" ca="1" si="175"/>
        <v>0</v>
      </c>
      <c r="J475" s="658">
        <f ca="1">+IFERROR(J$5*GETPIVOTDATA("Unique Billed Hours",'County allocation'!$S$3,"County",$D465,"HHA/CDPAP","HHA","Level of Service",$D475),0)</f>
        <v>0</v>
      </c>
      <c r="K475" s="658">
        <f ca="1">+IFERROR(K$5*GETPIVOTDATA("Unique Billed Hours",'County allocation'!$X$3,"County",$D465,"HHA/CDPAP","HHA","Level of Service",$D475),0)</f>
        <v>0</v>
      </c>
      <c r="L475" s="658">
        <f ca="1">+IFERROR(L$2*GETPIVOTDATA("Unique Billed Hours",'County allocation'!$O$3,"County",$D465,"HHA/CDPAP","HHA","Level of Service",$D475),0)</f>
        <v>0</v>
      </c>
      <c r="M475" s="658">
        <f>+IFERROR(M$5*GETPIVOTDATA("Unique Billed Hours",'County allocation'!$S$3,"County",$D465,"HHA/CDPAP","HHA","Level of Service",$D475),0)</f>
        <v>0</v>
      </c>
      <c r="N475" s="658">
        <f>+IFERROR(N$5*GETPIVOTDATA("Unique Billed Hours",'County allocation'!$S$3,"County",$D465,"HHA/CDPAP","HHA","Level of Service",$D475),0)</f>
        <v>0</v>
      </c>
      <c r="O475" s="658">
        <f>+IFERROR(O$5*GETPIVOTDATA("Unique Billed Hours",'County allocation'!$K$19,"County",$D465,"HHA/CDPAP","HHA","Level of Service",$D475),0)</f>
        <v>0</v>
      </c>
      <c r="P475" s="658">
        <f>+IFERROR(P$5*GETPIVOTDATA("Unique Billed Hours",'County allocation'!$S$3,"County",$D465,"HHA/CDPAP","HHA","Level of Service",$D475),0)</f>
        <v>0</v>
      </c>
    </row>
    <row r="476" spans="1:18" s="54" customFormat="1" ht="15.75" hidden="1" thickBot="1" x14ac:dyDescent="0.3">
      <c r="A476" s="119"/>
      <c r="B476" s="309"/>
      <c r="C476" s="322">
        <f t="shared" ca="1" si="173"/>
        <v>0</v>
      </c>
      <c r="D476" s="52" t="s">
        <v>389</v>
      </c>
      <c r="E476" s="53" t="s">
        <v>49</v>
      </c>
      <c r="F476" s="657">
        <f t="shared" ca="1" si="174"/>
        <v>0</v>
      </c>
      <c r="G476" s="661">
        <f ca="1">SUM(G468:G475)</f>
        <v>0</v>
      </c>
      <c r="H476" s="661">
        <f>SUM(H468:H475)</f>
        <v>0</v>
      </c>
      <c r="I476" s="664">
        <f t="shared" ca="1" si="175"/>
        <v>0</v>
      </c>
      <c r="J476" s="661">
        <f ca="1">SUM(J468:J475)</f>
        <v>0</v>
      </c>
      <c r="K476" s="661">
        <f t="shared" ref="K476:P476" ca="1" si="176">SUM(K468:K475)</f>
        <v>0</v>
      </c>
      <c r="L476" s="661">
        <f t="shared" ca="1" si="176"/>
        <v>0</v>
      </c>
      <c r="M476" s="661">
        <f t="shared" si="176"/>
        <v>0</v>
      </c>
      <c r="N476" s="661">
        <f t="shared" si="176"/>
        <v>0</v>
      </c>
      <c r="O476" s="661">
        <f t="shared" si="176"/>
        <v>0</v>
      </c>
      <c r="P476" s="661">
        <f t="shared" si="176"/>
        <v>0</v>
      </c>
    </row>
    <row r="477" spans="1:18" s="54" customFormat="1" ht="15.75" hidden="1" thickBot="1" x14ac:dyDescent="0.3">
      <c r="A477" s="119"/>
      <c r="B477" s="309"/>
      <c r="C477" s="322">
        <f t="shared" ca="1" si="173"/>
        <v>0</v>
      </c>
      <c r="D477" s="371" t="s">
        <v>390</v>
      </c>
      <c r="E477" s="325" t="s">
        <v>47</v>
      </c>
      <c r="F477" s="657">
        <f t="shared" ca="1" si="174"/>
        <v>0</v>
      </c>
      <c r="G477" s="665">
        <f ca="1">+IFERROR((G$5*GETPIVOTDATA("Unique Billed Hours",'County allocation'!$A$3,"County",$D465,"HHA/CDPAP","HHA","Level of Service",$D477))+($G$2*GETPIVOTDATA("Unique Billed Hours",'County allocation'!$F$7,"County",$D465,"HHA/CDPAP","HHA","Level of Service",$D477)),0)++IFERROR(J$5*GETPIVOTDATA("Unique Billed Hours",'County allocation'!$AC$3,"County",$D465,"HHA/CDPAP","HHA","Level of Service",$D477),0)+ +IFERROR(J$5*GETPIVOTDATA("Unique Billed Hours",'County allocation'!$AC$3,"County",$D465,"HHA/CDPAP","HHA","Level of Service",$D478),0)</f>
        <v>0</v>
      </c>
      <c r="H477" s="665">
        <f>+IFERROR(H$5*GETPIVOTDATA("Unique Billed Hours",'County allocation'!$S$3,"County",$D465,"HHA/CDPAP","HHA","Level of Service",$D477),0)</f>
        <v>0</v>
      </c>
      <c r="I477" s="664">
        <f t="shared" ca="1" si="175"/>
        <v>0</v>
      </c>
      <c r="J477" s="901"/>
      <c r="K477" s="665">
        <f ca="1">+IFERROR(K$5*GETPIVOTDATA("Unique Billed Hours",'County allocation'!$X$3,"County",$D465,"HHA/CDPAP","HHA","Level of Service",$D477),0)</f>
        <v>0</v>
      </c>
      <c r="L477" s="665">
        <f ca="1">+IFERROR(L$5*GETPIVOTDATA("Unique Billed Hours",'County allocation'!$K$19,"County",$D465,"HHA/CDPAP","HHA","Level of Service",$D477),0)</f>
        <v>0</v>
      </c>
      <c r="M477" s="665">
        <f>+IFERROR(M$5*GETPIVOTDATA("Unique Billed Hours",'County allocation'!$S$3,"County",$D465,"HHA/CDPAP","HHA","Level of Service",$D477),0)</f>
        <v>0</v>
      </c>
      <c r="N477" s="665">
        <f>+IFERROR(N$5*GETPIVOTDATA("Unique Billed Hours",'County allocation'!$S$3,"County",$D465,"HHA/CDPAP","HHA","Level of Service",$D477),0)</f>
        <v>0</v>
      </c>
      <c r="O477" s="665">
        <f>+IFERROR(O$5*GETPIVOTDATA("Unique Billed Hours",'County allocation'!$S$3,"County",$D465,"HHA/CDPAP","HHA","Level of Service",$D477),0)</f>
        <v>0</v>
      </c>
      <c r="P477" s="665">
        <f>+IFERROR(P$5*GETPIVOTDATA("Unique Billed Hours",'County allocation'!$S$3,"County",$D465,"HHA/CDPAP","HHA","Level of Service",$D477),0)</f>
        <v>0</v>
      </c>
    </row>
    <row r="478" spans="1:18" s="54" customFormat="1" ht="15.75" hidden="1" thickBot="1" x14ac:dyDescent="0.3">
      <c r="A478" s="119"/>
      <c r="B478" s="309"/>
      <c r="C478" s="322">
        <f t="shared" ca="1" si="173"/>
        <v>0</v>
      </c>
      <c r="D478" s="8" t="s">
        <v>391</v>
      </c>
      <c r="E478" s="370" t="s">
        <v>77</v>
      </c>
      <c r="F478" s="657">
        <f t="shared" ca="1" si="174"/>
        <v>0</v>
      </c>
      <c r="G478" s="656"/>
      <c r="H478" s="658">
        <f>+IFERROR(H$5*GETPIVOTDATA("Unique Billed Hours",'County allocation'!$S$3,"County",$D465,"HHA/CDPAP","HHA","Level of Service",$D478),0)</f>
        <v>0</v>
      </c>
      <c r="I478" s="664">
        <f t="shared" ca="1" si="175"/>
        <v>0</v>
      </c>
      <c r="J478" s="901"/>
      <c r="K478" s="665">
        <f ca="1">+IFERROR(K$5*GETPIVOTDATA("Unique Billed Hours",'County allocation'!$X$3,"County",$D465,"HHA/CDPAP","HHA","Level of Service",$D478),0)</f>
        <v>0</v>
      </c>
      <c r="L478" s="665">
        <f ca="1">+IFERROR(L$5*GETPIVOTDATA("Unique Billed Hours",'County allocation'!$K$19,"County",$D465,"HHA/CDPAP","HHA","Level of Service",$D478),0)</f>
        <v>0</v>
      </c>
      <c r="M478" s="665">
        <f>+IFERROR(M$5*GETPIVOTDATA("Unique Billed Hours",'County allocation'!$S$3,"County",$D465,"HHA/CDPAP","HHA","Level of Service",$D478),0)</f>
        <v>0</v>
      </c>
      <c r="N478" s="665">
        <f>+IFERROR(N$5*GETPIVOTDATA("Unique Billed Hours",'County allocation'!$S$3,"County",$D465,"HHA/CDPAP","HHA","Level of Service",$D478),0)</f>
        <v>0</v>
      </c>
      <c r="O478" s="665">
        <f>+IFERROR(O$5*GETPIVOTDATA("Unique Billed Hours",'County allocation'!$S$3,"County",$D465,"HHA/CDPAP","HHA","Level of Service",$D478),0)</f>
        <v>0</v>
      </c>
      <c r="P478" s="665">
        <f>+IFERROR(P$5*GETPIVOTDATA("Unique Billed Hours",'County allocation'!$S$3,"County",$D465,"HHA/CDPAP","HHA","Level of Service",$D478),0)</f>
        <v>0</v>
      </c>
    </row>
    <row r="479" spans="1:18" s="54" customFormat="1" ht="15.75" hidden="1" thickBot="1" x14ac:dyDescent="0.3">
      <c r="A479" s="119"/>
      <c r="B479" s="309"/>
      <c r="C479" s="322">
        <f t="shared" ca="1" si="173"/>
        <v>0</v>
      </c>
      <c r="D479" s="8" t="s">
        <v>374</v>
      </c>
      <c r="E479" s="370" t="s">
        <v>78</v>
      </c>
      <c r="F479" s="657">
        <f t="shared" ca="1" si="174"/>
        <v>0</v>
      </c>
      <c r="G479" s="658">
        <f ca="1">+IFERROR(G$5*GETPIVOTDATA("Unique Billed Hours",'County allocation'!$A$3,"County",$D465,"HHA/CDPAP","HHA","Level of Service",$D479),0)++IFERROR(J$5*GETPIVOTDATA("Unique Billed Hours",'County allocation'!$AC$3,"County",$D465,"HHA/CDPAP","HHA","Level of Service",$D479),0)</f>
        <v>0</v>
      </c>
      <c r="H479" s="658">
        <f>+IFERROR(H$5*GETPIVOTDATA("Unique Billed Hours",'County allocation'!$S$3,"County",$D465,"HHA/CDPAP","HHA","Level of Service",$D479),0)</f>
        <v>0</v>
      </c>
      <c r="I479" s="664">
        <f t="shared" ca="1" si="175"/>
        <v>0</v>
      </c>
      <c r="J479" s="901"/>
      <c r="K479" s="665">
        <f ca="1">+IFERROR(K$5*GETPIVOTDATA("Unique Billed Hours",'County allocation'!$X$3,"County",$D465,"HHA/CDPAP","HHA","Level of Service",$D479),0)</f>
        <v>0</v>
      </c>
      <c r="L479" s="665">
        <f ca="1">+IFERROR(L$5*GETPIVOTDATA("Unique Billed Hours",'County allocation'!$K$19,"County",$D465,"HHA/CDPAP","HHA","Level of Service",$D479),0)</f>
        <v>0</v>
      </c>
      <c r="M479" s="665">
        <f>+IFERROR(M$5*GETPIVOTDATA("Unique Billed Hours",'County allocation'!$S$3,"County",$D465,"HHA/CDPAP","HHA","Level of Service",$D479),0)</f>
        <v>0</v>
      </c>
      <c r="N479" s="665">
        <f>+IFERROR(N$5*GETPIVOTDATA("Unique Billed Hours",'County allocation'!$S$3,"County",$D465,"HHA/CDPAP","HHA","Level of Service",$D479),0)</f>
        <v>0</v>
      </c>
      <c r="O479" s="665">
        <f>+IFERROR(O$5*GETPIVOTDATA("Unique Billed Hours",'County allocation'!$S$3,"County",$D465,"HHA/CDPAP","HHA","Level of Service",$D479),0)</f>
        <v>0</v>
      </c>
      <c r="P479" s="665">
        <f>+IFERROR(P$5*GETPIVOTDATA("Unique Billed Hours",'County allocation'!$S$3,"County",$D465,"HHA/CDPAP","HHA","Level of Service",$D479),0)</f>
        <v>0</v>
      </c>
    </row>
    <row r="480" spans="1:18" s="54" customFormat="1" ht="15.75" hidden="1" thickBot="1" x14ac:dyDescent="0.3">
      <c r="A480" s="302"/>
      <c r="B480" s="309"/>
      <c r="C480" s="322">
        <f ca="1">C479</f>
        <v>0</v>
      </c>
      <c r="D480" s="52" t="s">
        <v>48</v>
      </c>
      <c r="E480" s="53" t="s">
        <v>79</v>
      </c>
      <c r="F480" s="657">
        <f t="shared" ca="1" si="174"/>
        <v>0</v>
      </c>
      <c r="G480" s="661">
        <f t="shared" ref="G480" ca="1" si="177">SUM(G476:G479)</f>
        <v>0</v>
      </c>
      <c r="H480" s="661">
        <f t="shared" ref="H480:P480" si="178">SUM(H476:H479)</f>
        <v>0</v>
      </c>
      <c r="I480" s="661">
        <f t="shared" ca="1" si="178"/>
        <v>0</v>
      </c>
      <c r="J480" s="661">
        <f t="shared" ca="1" si="178"/>
        <v>0</v>
      </c>
      <c r="K480" s="661">
        <f t="shared" ca="1" si="178"/>
        <v>0</v>
      </c>
      <c r="L480" s="661">
        <f t="shared" ca="1" si="178"/>
        <v>0</v>
      </c>
      <c r="M480" s="661">
        <f t="shared" si="178"/>
        <v>0</v>
      </c>
      <c r="N480" s="661">
        <f t="shared" si="178"/>
        <v>0</v>
      </c>
      <c r="O480" s="661">
        <f t="shared" si="178"/>
        <v>0</v>
      </c>
      <c r="P480" s="661">
        <f t="shared" si="178"/>
        <v>0</v>
      </c>
    </row>
    <row r="481" spans="1:18" ht="15.75" hidden="1" thickBot="1" x14ac:dyDescent="0.3"/>
    <row r="482" spans="1:18" s="54" customFormat="1" ht="75.75" hidden="1" thickBot="1" x14ac:dyDescent="0.3">
      <c r="A482" s="119"/>
      <c r="B482" s="309"/>
      <c r="C482" s="322">
        <f ca="1">IF(F497&gt;0,1,0)</f>
        <v>0</v>
      </c>
      <c r="D482" s="45" t="str">
        <f>A31</f>
        <v>Monroe</v>
      </c>
      <c r="E482" s="28">
        <f>+SUMIF(A:A,D482,B:B)</f>
        <v>0</v>
      </c>
      <c r="F482" s="652" t="s">
        <v>61</v>
      </c>
      <c r="G482" s="652" t="s">
        <v>387</v>
      </c>
      <c r="H482" s="652" t="s">
        <v>388</v>
      </c>
      <c r="I482" s="652" t="s">
        <v>392</v>
      </c>
      <c r="J482" s="652" t="s">
        <v>31</v>
      </c>
      <c r="K482" s="652" t="s">
        <v>32</v>
      </c>
      <c r="L482" s="653" t="s">
        <v>33</v>
      </c>
      <c r="M482" s="653" t="s">
        <v>60</v>
      </c>
      <c r="N482" s="653" t="s">
        <v>59</v>
      </c>
      <c r="O482" s="653" t="s">
        <v>58</v>
      </c>
      <c r="P482" s="653" t="s">
        <v>16</v>
      </c>
    </row>
    <row r="483" spans="1:18" s="54" customFormat="1" ht="15.75" hidden="1" thickBot="1" x14ac:dyDescent="0.3">
      <c r="A483" s="119"/>
      <c r="B483" s="309"/>
      <c r="C483" s="322">
        <f ca="1">C482</f>
        <v>0</v>
      </c>
      <c r="D483" s="56"/>
      <c r="E483" s="57"/>
      <c r="F483" s="654" t="s">
        <v>57</v>
      </c>
      <c r="G483" s="654" t="s">
        <v>56</v>
      </c>
      <c r="H483" s="654" t="s">
        <v>55</v>
      </c>
      <c r="I483" s="654" t="s">
        <v>54</v>
      </c>
      <c r="J483" s="654" t="s">
        <v>53</v>
      </c>
      <c r="K483" s="654" t="s">
        <v>52</v>
      </c>
      <c r="L483" s="654" t="s">
        <v>51</v>
      </c>
      <c r="M483" s="654" t="s">
        <v>50</v>
      </c>
      <c r="N483" s="654" t="s">
        <v>49</v>
      </c>
      <c r="O483" s="654" t="s">
        <v>47</v>
      </c>
      <c r="P483" s="655" t="s">
        <v>77</v>
      </c>
    </row>
    <row r="484" spans="1:18" s="54" customFormat="1" ht="15.75" hidden="1" thickBot="1" x14ac:dyDescent="0.3">
      <c r="A484" s="119"/>
      <c r="B484" s="309"/>
      <c r="C484" s="322">
        <f t="shared" ref="C484:C496" ca="1" si="179">C483</f>
        <v>0</v>
      </c>
      <c r="D484" s="59" t="s">
        <v>26</v>
      </c>
      <c r="E484" s="57"/>
      <c r="F484" s="656"/>
      <c r="G484" s="656"/>
      <c r="H484" s="656"/>
      <c r="I484" s="656"/>
      <c r="J484" s="656"/>
      <c r="K484" s="656"/>
      <c r="L484" s="656"/>
      <c r="M484" s="656"/>
      <c r="N484" s="656"/>
      <c r="O484" s="656"/>
      <c r="P484" s="663"/>
    </row>
    <row r="485" spans="1:18" s="54" customFormat="1" ht="15.75" hidden="1" thickBot="1" x14ac:dyDescent="0.3">
      <c r="A485" s="119"/>
      <c r="B485" s="309"/>
      <c r="C485" s="322">
        <f t="shared" ca="1" si="179"/>
        <v>0</v>
      </c>
      <c r="D485" s="7" t="s">
        <v>34</v>
      </c>
      <c r="E485" s="48" t="s">
        <v>57</v>
      </c>
      <c r="F485" s="657">
        <f ca="1">+H485+G485+I485</f>
        <v>0</v>
      </c>
      <c r="G485" s="658">
        <f ca="1">+IFERROR(G$5*GETPIVOTDATA("Unique Billed Hours",'County allocation'!$A$3,"County",$D482,"HHA/CDPAP","HHA","Level of Service",$D485),0)</f>
        <v>0</v>
      </c>
      <c r="H485" s="658">
        <f>+IFERROR(H$5*GETPIVOTDATA("Unique Billed Hours",'County allocation'!$S$3,"County",$D482,"HHA/CDPAP","HHA","Level of Service",$D485),0)</f>
        <v>0</v>
      </c>
      <c r="I485" s="664">
        <f ca="1">SUM(J485:P485)</f>
        <v>0</v>
      </c>
      <c r="J485" s="658">
        <f ca="1">+IFERROR(J$5*GETPIVOTDATA("Unique Billed Hours",'County allocation'!$S$3,"County",$D482,"HHA/CDPAP","HHA","Level of Service",$D485),0)</f>
        <v>0</v>
      </c>
      <c r="K485" s="658">
        <f ca="1">+IFERROR(K$5*GETPIVOTDATA("Unique Billed Hours",'County allocation'!$X$3,"County",$D482,"HHA/CDPAP","HHA","Level of Service",$D485),0)</f>
        <v>0</v>
      </c>
      <c r="L485" s="658">
        <f ca="1">+IFERROR(L$2*GETPIVOTDATA("Unique Billed Hours",'County allocation'!$O$3,"County",$D482,"HHA/CDPAP","HHA","Level of Service",$D485),0)</f>
        <v>0</v>
      </c>
      <c r="M485" s="658">
        <f>+IFERROR(M$5*GETPIVOTDATA("Unique Billed Hours",'County allocation'!$S$3,"County",$D482,"HHA/CDPAP","HHA","Level of Service",$D485),0)</f>
        <v>0</v>
      </c>
      <c r="N485" s="658">
        <f>+IFERROR(N$5*GETPIVOTDATA("Unique Billed Hours",'County allocation'!$S$3,"County",$D482,"HHA/CDPAP","HHA","Level of Service",$D485),0)</f>
        <v>0</v>
      </c>
      <c r="O485" s="658">
        <f>+IFERROR(O$5*GETPIVOTDATA("Unique Billed Hours",'County allocation'!$K$19,"County",$D482,"HHA/CDPAP","HHA","Level of Service",$D485),0)</f>
        <v>0</v>
      </c>
      <c r="P485" s="658">
        <f>+IFERROR(P$5*GETPIVOTDATA("Unique Billed Hours",'County allocation'!$S$3,"County",$D482,"HHA/CDPAP","HHA","Level of Service",$D485),0)</f>
        <v>0</v>
      </c>
    </row>
    <row r="486" spans="1:18" s="54" customFormat="1" ht="15.75" hidden="1" thickBot="1" x14ac:dyDescent="0.3">
      <c r="A486" s="119"/>
      <c r="B486" s="309"/>
      <c r="C486" s="322">
        <f t="shared" ca="1" si="179"/>
        <v>0</v>
      </c>
      <c r="D486" s="7" t="s">
        <v>35</v>
      </c>
      <c r="E486" s="48" t="s">
        <v>56</v>
      </c>
      <c r="F486" s="657">
        <f t="shared" ref="F486:F497" ca="1" si="180">+H486+G486+I486</f>
        <v>0</v>
      </c>
      <c r="G486" s="658">
        <f ca="1">+IFERROR(G$5*GETPIVOTDATA("Unique Billed Hours",'County allocation'!$A$3,"County",$D482,"HHA/CDPAP","HHA","Level of Service",$D486),0)</f>
        <v>0</v>
      </c>
      <c r="H486" s="658">
        <f>+IFERROR(H$5*GETPIVOTDATA("Unique Billed Hours",'County allocation'!$S$3,"County",$D482,"HHA/CDPAP","HHA","Level of Service",$D486),0)</f>
        <v>0</v>
      </c>
      <c r="I486" s="664">
        <f t="shared" ref="I486:I496" ca="1" si="181">SUM(J486:P486)</f>
        <v>0</v>
      </c>
      <c r="J486" s="658">
        <f ca="1">+IFERROR(J$5*GETPIVOTDATA("Unique Billed Hours",'County allocation'!$S$3,"County",$D482,"HHA/CDPAP","HHA","Level of Service",$D486),0)</f>
        <v>0</v>
      </c>
      <c r="K486" s="658">
        <f ca="1">+IFERROR(K$5*GETPIVOTDATA("Unique Billed Hours",'County allocation'!$X$3,"County",$D482,"HHA/CDPAP","HHA","Level of Service",$D486),0)</f>
        <v>0</v>
      </c>
      <c r="L486" s="658">
        <f ca="1">+IFERROR(L$2*GETPIVOTDATA("Unique Billed Hours",'County allocation'!$O$3,"County",$D482,"HHA/CDPAP","HHA","Level of Service",$D486),0)</f>
        <v>0</v>
      </c>
      <c r="M486" s="658">
        <f>+IFERROR(M$5*GETPIVOTDATA("Unique Billed Hours",'County allocation'!$S$3,"County",$D482,"HHA/CDPAP","HHA","Level of Service",$D486),0)</f>
        <v>0</v>
      </c>
      <c r="N486" s="658">
        <f>+IFERROR(N$5*GETPIVOTDATA("Unique Billed Hours",'County allocation'!$S$3,"County",$D482,"HHA/CDPAP","HHA","Level of Service",$D486),0)</f>
        <v>0</v>
      </c>
      <c r="O486" s="658">
        <f>+IFERROR(O$5*GETPIVOTDATA("Unique Billed Hours",'County allocation'!$K$19,"County",$D482,"HHA/CDPAP","HHA","Level of Service",$D486),0)</f>
        <v>0</v>
      </c>
      <c r="P486" s="658">
        <f>+IFERROR(P$5*GETPIVOTDATA("Unique Billed Hours",'County allocation'!$S$3,"County",$D482,"HHA/CDPAP","HHA","Level of Service",$D486),0)</f>
        <v>0</v>
      </c>
      <c r="R486" s="61"/>
    </row>
    <row r="487" spans="1:18" s="54" customFormat="1" ht="15.75" hidden="1" thickBot="1" x14ac:dyDescent="0.3">
      <c r="A487" s="302"/>
      <c r="B487" s="309"/>
      <c r="C487" s="322">
        <f t="shared" ca="1" si="179"/>
        <v>0</v>
      </c>
      <c r="D487" s="7" t="s">
        <v>36</v>
      </c>
      <c r="E487" s="48" t="s">
        <v>55</v>
      </c>
      <c r="F487" s="657">
        <f t="shared" ca="1" si="180"/>
        <v>0</v>
      </c>
      <c r="G487" s="658">
        <f ca="1">+IFERROR(G$5*GETPIVOTDATA("Unique Billed Hours",'County allocation'!$A$3,"County",$D482,"HHA/CDPAP","HHA","Level of Service",$D487),0)</f>
        <v>0</v>
      </c>
      <c r="H487" s="658">
        <f>+IFERROR(H$5*GETPIVOTDATA("Unique Billed Hours",'County allocation'!$S$3,"County",$D482,"HHA/CDPAP","HHA","Level of Service",$D487),0)</f>
        <v>0</v>
      </c>
      <c r="I487" s="664">
        <f t="shared" ca="1" si="181"/>
        <v>0</v>
      </c>
      <c r="J487" s="658">
        <f ca="1">+IFERROR(J$5*GETPIVOTDATA("Unique Billed Hours",'County allocation'!$S$3,"County",$D482,"HHA/CDPAP","HHA","Level of Service",$D487),0)</f>
        <v>0</v>
      </c>
      <c r="K487" s="658">
        <f ca="1">+IFERROR(K$5*GETPIVOTDATA("Unique Billed Hours",'County allocation'!$X$3,"County",$D482,"HHA/CDPAP","HHA","Level of Service",$D487),0)</f>
        <v>0</v>
      </c>
      <c r="L487" s="658">
        <f ca="1">+IFERROR(L$2*GETPIVOTDATA("Unique Billed Hours",'County allocation'!$O$3,"County",$D482,"HHA/CDPAP","HHA","Level of Service",$D487),0)</f>
        <v>0</v>
      </c>
      <c r="M487" s="658">
        <f>+IFERROR(M$5*GETPIVOTDATA("Unique Billed Hours",'County allocation'!$S$3,"County",$D482,"HHA/CDPAP","HHA","Level of Service",$D487),0)</f>
        <v>0</v>
      </c>
      <c r="N487" s="658">
        <f>+IFERROR(N$5*GETPIVOTDATA("Unique Billed Hours",'County allocation'!$S$3,"County",$D482,"HHA/CDPAP","HHA","Level of Service",$D487),0)</f>
        <v>0</v>
      </c>
      <c r="O487" s="658">
        <f>+IFERROR(O$5*GETPIVOTDATA("Unique Billed Hours",'County allocation'!$K$19,"County",$D482,"HHA/CDPAP","HHA","Level of Service",$D487),0)</f>
        <v>0</v>
      </c>
      <c r="P487" s="658">
        <f>+IFERROR(P$5*GETPIVOTDATA("Unique Billed Hours",'County allocation'!$S$3,"County",$D482,"HHA/CDPAP","HHA","Level of Service",$D487),0)</f>
        <v>0</v>
      </c>
    </row>
    <row r="488" spans="1:18" s="54" customFormat="1" ht="15.75" hidden="1" thickBot="1" x14ac:dyDescent="0.3">
      <c r="A488" s="119"/>
      <c r="B488" s="309"/>
      <c r="C488" s="322">
        <f t="shared" ca="1" si="179"/>
        <v>0</v>
      </c>
      <c r="D488" s="7" t="s">
        <v>37</v>
      </c>
      <c r="E488" s="48" t="s">
        <v>54</v>
      </c>
      <c r="F488" s="657">
        <f t="shared" ca="1" si="180"/>
        <v>0</v>
      </c>
      <c r="G488" s="658">
        <f ca="1">+IFERROR(G$5*GETPIVOTDATA("Unique Billed Hours",'County allocation'!$A$3,"County",$D482,"HHA/CDPAP","HHA","Level of Service",$D488),0)</f>
        <v>0</v>
      </c>
      <c r="H488" s="658">
        <f>+IFERROR(H$5*GETPIVOTDATA("Unique Billed Hours",'County allocation'!$S$3,"County",$D482,"HHA/CDPAP","HHA","Level of Service",$D488),0)</f>
        <v>0</v>
      </c>
      <c r="I488" s="664">
        <f t="shared" ca="1" si="181"/>
        <v>0</v>
      </c>
      <c r="J488" s="658">
        <f ca="1">+IFERROR(J$5*GETPIVOTDATA("Unique Billed Hours",'County allocation'!$S$3,"County",$D482,"HHA/CDPAP","HHA","Level of Service",$D488),0)</f>
        <v>0</v>
      </c>
      <c r="K488" s="658">
        <f ca="1">+IFERROR(K$5*GETPIVOTDATA("Unique Billed Hours",'County allocation'!$X$3,"County",$D482,"HHA/CDPAP","HHA","Level of Service",$D488),0)</f>
        <v>0</v>
      </c>
      <c r="L488" s="658">
        <f ca="1">+IFERROR(L$2*GETPIVOTDATA("Unique Billed Hours",'County allocation'!$O$3,"County",$D482,"HHA/CDPAP","HHA","Level of Service",$D488),0)</f>
        <v>0</v>
      </c>
      <c r="M488" s="658">
        <f>+IFERROR(M$5*GETPIVOTDATA("Unique Billed Hours",'County allocation'!$S$3,"County",$D482,"HHA/CDPAP","HHA","Level of Service",$D488),0)</f>
        <v>0</v>
      </c>
      <c r="N488" s="658">
        <f>+IFERROR(N$5*GETPIVOTDATA("Unique Billed Hours",'County allocation'!$S$3,"County",$D482,"HHA/CDPAP","HHA","Level of Service",$D488),0)</f>
        <v>0</v>
      </c>
      <c r="O488" s="658">
        <f>+IFERROR(O$5*GETPIVOTDATA("Unique Billed Hours",'County allocation'!$K$19,"County",$D482,"HHA/CDPAP","HHA","Level of Service",$D488),0)</f>
        <v>0</v>
      </c>
      <c r="P488" s="658">
        <f>+IFERROR(P$5*GETPIVOTDATA("Unique Billed Hours",'County allocation'!$S$3,"County",$D482,"HHA/CDPAP","HHA","Level of Service",$D488),0)</f>
        <v>0</v>
      </c>
    </row>
    <row r="489" spans="1:18" s="54" customFormat="1" ht="15.75" hidden="1" thickBot="1" x14ac:dyDescent="0.3">
      <c r="A489" s="119"/>
      <c r="B489" s="309"/>
      <c r="C489" s="322">
        <f t="shared" ca="1" si="179"/>
        <v>0</v>
      </c>
      <c r="D489" s="7" t="s">
        <v>38</v>
      </c>
      <c r="E489" s="48" t="s">
        <v>53</v>
      </c>
      <c r="F489" s="657">
        <f t="shared" ca="1" si="180"/>
        <v>0</v>
      </c>
      <c r="G489" s="658">
        <f ca="1">+IFERROR(G$5*GETPIVOTDATA("Unique Billed Hours",'County allocation'!$A$3,"County",$D482,"HHA/CDPAP","HHA","Level of Service",$D489),0)</f>
        <v>0</v>
      </c>
      <c r="H489" s="658">
        <f>+IFERROR(H$5*GETPIVOTDATA("Unique Billed Hours",'County allocation'!$S$3,"County",$D482,"HHA/CDPAP","HHA","Level of Service",$D489),0)</f>
        <v>0</v>
      </c>
      <c r="I489" s="664">
        <f t="shared" ca="1" si="181"/>
        <v>0</v>
      </c>
      <c r="J489" s="658">
        <f ca="1">+IFERROR(J$5*GETPIVOTDATA("Unique Billed Hours",'County allocation'!$S$3,"County",$D482,"HHA/CDPAP","HHA","Level of Service",$D489),0)</f>
        <v>0</v>
      </c>
      <c r="K489" s="658">
        <f ca="1">+IFERROR(K$5*GETPIVOTDATA("Unique Billed Hours",'County allocation'!$X$3,"County",$D482,"HHA/CDPAP","HHA","Level of Service",$D489),0)</f>
        <v>0</v>
      </c>
      <c r="L489" s="658">
        <f ca="1">+IFERROR(L$5*GETPIVOTDATA("Unique Billed Hours",'County allocation'!$K$19,"County",$D482,"HHA/CDPAP","HHA","Level of Service",$D489),0)</f>
        <v>0</v>
      </c>
      <c r="M489" s="658">
        <f>+IFERROR(M$5*GETPIVOTDATA("Unique Billed Hours",'County allocation'!$S$3,"County",$D482,"HHA/CDPAP","HHA","Level of Service",$D489),0)</f>
        <v>0</v>
      </c>
      <c r="N489" s="658">
        <f>+IFERROR(N$5*GETPIVOTDATA("Unique Billed Hours",'County allocation'!$S$3,"County",$D482,"HHA/CDPAP","HHA","Level of Service",$D489),0)</f>
        <v>0</v>
      </c>
      <c r="O489" s="658">
        <f>+IFERROR(O$5*GETPIVOTDATA("Unique Billed Hours",'County allocation'!$K$19,"County",$D482,"HHA/CDPAP","HHA","Level of Service",$D489),0)</f>
        <v>0</v>
      </c>
      <c r="P489" s="658">
        <f>+IFERROR(P$5*GETPIVOTDATA("Unique Billed Hours",'County allocation'!$S$3,"County",$D482,"HHA/CDPAP","HHA","Level of Service",$D489),0)</f>
        <v>0</v>
      </c>
    </row>
    <row r="490" spans="1:18" s="54" customFormat="1" ht="15.75" hidden="1" thickBot="1" x14ac:dyDescent="0.3">
      <c r="A490" s="119"/>
      <c r="B490" s="309"/>
      <c r="C490" s="322">
        <f t="shared" ca="1" si="179"/>
        <v>0</v>
      </c>
      <c r="D490" s="7" t="s">
        <v>39</v>
      </c>
      <c r="E490" s="48" t="s">
        <v>52</v>
      </c>
      <c r="F490" s="657">
        <f t="shared" ca="1" si="180"/>
        <v>0</v>
      </c>
      <c r="G490" s="658">
        <f ca="1">+IFERROR(G$5*GETPIVOTDATA("Unique Billed Hours",'County allocation'!$A$3,"County",$D482,"HHA/CDPAP","HHA","Level of Service",$D490),0)</f>
        <v>0</v>
      </c>
      <c r="H490" s="658">
        <f>+IFERROR(H$5*GETPIVOTDATA("Unique Billed Hours",'County allocation'!$S$3,"County",$D482,"HHA/CDPAP","HHA","Level of Service",$D490),0)</f>
        <v>0</v>
      </c>
      <c r="I490" s="664">
        <f t="shared" ca="1" si="181"/>
        <v>0</v>
      </c>
      <c r="J490" s="658">
        <f ca="1">+IFERROR(J$5*GETPIVOTDATA("Unique Billed Hours",'County allocation'!$S$3,"County",$D482,"HHA/CDPAP","HHA","Level of Service",$D490),0)</f>
        <v>0</v>
      </c>
      <c r="K490" s="658">
        <f ca="1">+IFERROR(K$5*GETPIVOTDATA("Unique Billed Hours",'County allocation'!$X$3,"County",$D482,"HHA/CDPAP","HHA","Level of Service",$D490),0)</f>
        <v>0</v>
      </c>
      <c r="L490" s="658">
        <f ca="1">+IFERROR(L$5*GETPIVOTDATA("Unique Billed Hours",'County allocation'!$K$19,"County",$D482,"HHA/CDPAP","HHA","Level of Service",$D490),0)</f>
        <v>0</v>
      </c>
      <c r="M490" s="658">
        <f>+IFERROR(M$5*GETPIVOTDATA("Unique Billed Hours",'County allocation'!$S$3,"County",$D482,"HHA/CDPAP","HHA","Level of Service",$D490),0)</f>
        <v>0</v>
      </c>
      <c r="N490" s="658">
        <f>+IFERROR(N$5*GETPIVOTDATA("Unique Billed Hours",'County allocation'!$S$3,"County",$D482,"HHA/CDPAP","HHA","Level of Service",$D490),0)</f>
        <v>0</v>
      </c>
      <c r="O490" s="658">
        <f>+IFERROR(O$5*GETPIVOTDATA("Unique Billed Hours",'County allocation'!$K$19,"County",$D482,"HHA/CDPAP","HHA","Level of Service",$D490),0)</f>
        <v>0</v>
      </c>
      <c r="P490" s="658">
        <f>+IFERROR(P$5*GETPIVOTDATA("Unique Billed Hours",'County allocation'!$S$3,"County",$D482,"HHA/CDPAP","HHA","Level of Service",$D490),0)</f>
        <v>0</v>
      </c>
    </row>
    <row r="491" spans="1:18" s="54" customFormat="1" ht="15.75" hidden="1" thickBot="1" x14ac:dyDescent="0.3">
      <c r="A491" s="119"/>
      <c r="B491" s="309"/>
      <c r="C491" s="322">
        <f t="shared" ca="1" si="179"/>
        <v>0</v>
      </c>
      <c r="D491" s="8" t="s">
        <v>40</v>
      </c>
      <c r="E491" s="48" t="s">
        <v>51</v>
      </c>
      <c r="F491" s="657">
        <f t="shared" ca="1" si="180"/>
        <v>0</v>
      </c>
      <c r="G491" s="658">
        <f ca="1">+IFERROR(G$5*GETPIVOTDATA("Unique Billed Hours",'County allocation'!$A$3,"County",$D482,"HHA/CDPAP","HHA","Level of Service",$D491),0)</f>
        <v>0</v>
      </c>
      <c r="H491" s="658">
        <f>+IFERROR(H$5*GETPIVOTDATA("Unique Billed Hours",'County allocation'!$S$3,"County",$D482,"HHA/CDPAP","HHA","Level of Service",$D491),0)</f>
        <v>0</v>
      </c>
      <c r="I491" s="664">
        <f t="shared" ca="1" si="181"/>
        <v>0</v>
      </c>
      <c r="J491" s="658">
        <f ca="1">+IFERROR(J$5*GETPIVOTDATA("Unique Billed Hours",'County allocation'!$S$3,"County",$D482,"HHA/CDPAP","HHA","Level of Service",$D491),0)</f>
        <v>0</v>
      </c>
      <c r="K491" s="658">
        <f ca="1">+IFERROR(K$5*GETPIVOTDATA("Unique Billed Hours",'County allocation'!$X$3,"County",$D482,"HHA/CDPAP","HHA","Level of Service",$D491),0)</f>
        <v>0</v>
      </c>
      <c r="L491" s="658">
        <f ca="1">+IFERROR(L$2*GETPIVOTDATA("Unique Billed Hours",'County allocation'!$O$3,"County",$D482,"HHA/CDPAP","HHA","Level of Service",$D491),0)</f>
        <v>0</v>
      </c>
      <c r="M491" s="658">
        <f>+IFERROR(M$5*GETPIVOTDATA("Unique Billed Hours",'County allocation'!$S$3,"County",$D482,"HHA/CDPAP","HHA","Level of Service",$D491),0)</f>
        <v>0</v>
      </c>
      <c r="N491" s="658">
        <f>+IFERROR(N$5*GETPIVOTDATA("Unique Billed Hours",'County allocation'!$S$3,"County",$D482,"HHA/CDPAP","HHA","Level of Service",$D491),0)</f>
        <v>0</v>
      </c>
      <c r="O491" s="658">
        <f>+IFERROR(O$5*GETPIVOTDATA("Unique Billed Hours",'County allocation'!$K$19,"County",$D482,"HHA/CDPAP","HHA","Level of Service",$D491),0)</f>
        <v>0</v>
      </c>
      <c r="P491" s="658">
        <f>+IFERROR(P$5*GETPIVOTDATA("Unique Billed Hours",'County allocation'!$S$3,"County",$D482,"HHA/CDPAP","HHA","Level of Service",$D491),0)</f>
        <v>0</v>
      </c>
    </row>
    <row r="492" spans="1:18" s="54" customFormat="1" ht="15.75" hidden="1" thickBot="1" x14ac:dyDescent="0.3">
      <c r="A492" s="119"/>
      <c r="B492" s="309"/>
      <c r="C492" s="322">
        <f t="shared" ca="1" si="179"/>
        <v>0</v>
      </c>
      <c r="D492" s="8" t="s">
        <v>41</v>
      </c>
      <c r="E492" s="48" t="s">
        <v>50</v>
      </c>
      <c r="F492" s="657">
        <f t="shared" ca="1" si="180"/>
        <v>0</v>
      </c>
      <c r="G492" s="658">
        <f ca="1">+IFERROR(G$5*GETPIVOTDATA("Unique Billed Hours",'County allocation'!$A$3,"County",$D482,"HHA/CDPAP","HHA","Level of Service",$D492),0)</f>
        <v>0</v>
      </c>
      <c r="H492" s="658">
        <f>+IFERROR(H$5*GETPIVOTDATA("Unique Billed Hours",'County allocation'!$S$3,"County",$D482,"HHA/CDPAP","HHA","Level of Service",$D492),0)</f>
        <v>0</v>
      </c>
      <c r="I492" s="664">
        <f t="shared" ca="1" si="181"/>
        <v>0</v>
      </c>
      <c r="J492" s="658">
        <f ca="1">+IFERROR(J$5*GETPIVOTDATA("Unique Billed Hours",'County allocation'!$S$3,"County",$D482,"HHA/CDPAP","HHA","Level of Service",$D492),0)</f>
        <v>0</v>
      </c>
      <c r="K492" s="658">
        <f ca="1">+IFERROR(K$5*GETPIVOTDATA("Unique Billed Hours",'County allocation'!$X$3,"County",$D482,"HHA/CDPAP","HHA","Level of Service",$D492),0)</f>
        <v>0</v>
      </c>
      <c r="L492" s="658">
        <f ca="1">+IFERROR(L$2*GETPIVOTDATA("Unique Billed Hours",'County allocation'!$O$3,"County",$D482,"HHA/CDPAP","HHA","Level of Service",$D492),0)</f>
        <v>0</v>
      </c>
      <c r="M492" s="658">
        <f>+IFERROR(M$5*GETPIVOTDATA("Unique Billed Hours",'County allocation'!$S$3,"County",$D482,"HHA/CDPAP","HHA","Level of Service",$D492),0)</f>
        <v>0</v>
      </c>
      <c r="N492" s="658">
        <f>+IFERROR(N$5*GETPIVOTDATA("Unique Billed Hours",'County allocation'!$S$3,"County",$D482,"HHA/CDPAP","HHA","Level of Service",$D492),0)</f>
        <v>0</v>
      </c>
      <c r="O492" s="658">
        <f>+IFERROR(O$5*GETPIVOTDATA("Unique Billed Hours",'County allocation'!$K$19,"County",$D482,"HHA/CDPAP","HHA","Level of Service",$D492),0)</f>
        <v>0</v>
      </c>
      <c r="P492" s="658">
        <f>+IFERROR(P$5*GETPIVOTDATA("Unique Billed Hours",'County allocation'!$S$3,"County",$D482,"HHA/CDPAP","HHA","Level of Service",$D492),0)</f>
        <v>0</v>
      </c>
    </row>
    <row r="493" spans="1:18" s="54" customFormat="1" ht="15.75" hidden="1" thickBot="1" x14ac:dyDescent="0.3">
      <c r="A493" s="119"/>
      <c r="B493" s="309"/>
      <c r="C493" s="322">
        <f t="shared" ca="1" si="179"/>
        <v>0</v>
      </c>
      <c r="D493" s="52" t="s">
        <v>389</v>
      </c>
      <c r="E493" s="53" t="s">
        <v>49</v>
      </c>
      <c r="F493" s="657">
        <f t="shared" ca="1" si="180"/>
        <v>0</v>
      </c>
      <c r="G493" s="661">
        <f ca="1">SUM(G485:G492)</f>
        <v>0</v>
      </c>
      <c r="H493" s="661">
        <f>SUM(H485:H492)</f>
        <v>0</v>
      </c>
      <c r="I493" s="664">
        <f t="shared" ca="1" si="181"/>
        <v>0</v>
      </c>
      <c r="J493" s="661">
        <f ca="1">SUM(J485:J492)</f>
        <v>0</v>
      </c>
      <c r="K493" s="661">
        <f t="shared" ref="K493:P493" ca="1" si="182">SUM(K485:K492)</f>
        <v>0</v>
      </c>
      <c r="L493" s="661">
        <f t="shared" ca="1" si="182"/>
        <v>0</v>
      </c>
      <c r="M493" s="661">
        <f t="shared" si="182"/>
        <v>0</v>
      </c>
      <c r="N493" s="661">
        <f t="shared" si="182"/>
        <v>0</v>
      </c>
      <c r="O493" s="661">
        <f t="shared" si="182"/>
        <v>0</v>
      </c>
      <c r="P493" s="661">
        <f t="shared" si="182"/>
        <v>0</v>
      </c>
    </row>
    <row r="494" spans="1:18" s="54" customFormat="1" ht="15.75" hidden="1" thickBot="1" x14ac:dyDescent="0.3">
      <c r="A494" s="119"/>
      <c r="B494" s="309"/>
      <c r="C494" s="322">
        <f t="shared" ca="1" si="179"/>
        <v>0</v>
      </c>
      <c r="D494" s="371" t="s">
        <v>390</v>
      </c>
      <c r="E494" s="325" t="s">
        <v>47</v>
      </c>
      <c r="F494" s="657">
        <f t="shared" ca="1" si="180"/>
        <v>0</v>
      </c>
      <c r="G494" s="665">
        <f ca="1">+IFERROR((G$5*GETPIVOTDATA("Unique Billed Hours",'County allocation'!$A$3,"County",$D482,"HHA/CDPAP","HHA","Level of Service",$D494))+($G$2*GETPIVOTDATA("Unique Billed Hours",'County allocation'!$F$7,"County",$D482,"HHA/CDPAP","HHA","Level of Service",$D494)),0)++IFERROR(J$5*GETPIVOTDATA("Unique Billed Hours",'County allocation'!$AC$3,"County",$D482,"HHA/CDPAP","HHA","Level of Service",$D494),0)+ +IFERROR(J$5*GETPIVOTDATA("Unique Billed Hours",'County allocation'!$AC$3,"County",$D482,"HHA/CDPAP","HHA","Level of Service",$D495),0)</f>
        <v>0</v>
      </c>
      <c r="H494" s="665">
        <f>+IFERROR(H$5*GETPIVOTDATA("Unique Billed Hours",'County allocation'!$S$3,"County",$D482,"HHA/CDPAP","HHA","Level of Service",$D494),0)</f>
        <v>0</v>
      </c>
      <c r="I494" s="664">
        <f t="shared" ca="1" si="181"/>
        <v>0</v>
      </c>
      <c r="J494" s="901"/>
      <c r="K494" s="665">
        <f ca="1">+IFERROR(K$5*GETPIVOTDATA("Unique Billed Hours",'County allocation'!$X$3,"County",$D482,"HHA/CDPAP","HHA","Level of Service",$D494),0)</f>
        <v>0</v>
      </c>
      <c r="L494" s="665">
        <f ca="1">+IFERROR(L$5*GETPIVOTDATA("Unique Billed Hours",'County allocation'!$K$19,"County",$D482,"HHA/CDPAP","HHA","Level of Service",$D494),0)</f>
        <v>0</v>
      </c>
      <c r="M494" s="665">
        <f>+IFERROR(M$5*GETPIVOTDATA("Unique Billed Hours",'County allocation'!$S$3,"County",$D482,"HHA/CDPAP","HHA","Level of Service",$D494),0)</f>
        <v>0</v>
      </c>
      <c r="N494" s="665">
        <f>+IFERROR(N$5*GETPIVOTDATA("Unique Billed Hours",'County allocation'!$S$3,"County",$D482,"HHA/CDPAP","HHA","Level of Service",$D494),0)</f>
        <v>0</v>
      </c>
      <c r="O494" s="665">
        <f>+IFERROR(O$5*GETPIVOTDATA("Unique Billed Hours",'County allocation'!$S$3,"County",$D482,"HHA/CDPAP","HHA","Level of Service",$D494),0)</f>
        <v>0</v>
      </c>
      <c r="P494" s="665">
        <f>+IFERROR(P$5*GETPIVOTDATA("Unique Billed Hours",'County allocation'!$S$3,"County",$D482,"HHA/CDPAP","HHA","Level of Service",$D494),0)</f>
        <v>0</v>
      </c>
    </row>
    <row r="495" spans="1:18" s="54" customFormat="1" ht="15.75" hidden="1" thickBot="1" x14ac:dyDescent="0.3">
      <c r="A495" s="119"/>
      <c r="B495" s="309"/>
      <c r="C495" s="322">
        <f t="shared" ca="1" si="179"/>
        <v>0</v>
      </c>
      <c r="D495" s="8" t="s">
        <v>391</v>
      </c>
      <c r="E495" s="370" t="s">
        <v>77</v>
      </c>
      <c r="F495" s="657">
        <f t="shared" ca="1" si="180"/>
        <v>0</v>
      </c>
      <c r="G495" s="656"/>
      <c r="H495" s="658">
        <f>+IFERROR(H$5*GETPIVOTDATA("Unique Billed Hours",'County allocation'!$S$3,"County",$D482,"HHA/CDPAP","HHA","Level of Service",$D495),0)</f>
        <v>0</v>
      </c>
      <c r="I495" s="664">
        <f t="shared" ca="1" si="181"/>
        <v>0</v>
      </c>
      <c r="J495" s="901"/>
      <c r="K495" s="665">
        <f ca="1">+IFERROR(K$5*GETPIVOTDATA("Unique Billed Hours",'County allocation'!$X$3,"County",$D482,"HHA/CDPAP","HHA","Level of Service",$D495),0)</f>
        <v>0</v>
      </c>
      <c r="L495" s="665">
        <f ca="1">+IFERROR(L$5*GETPIVOTDATA("Unique Billed Hours",'County allocation'!$K$19,"County",$D482,"HHA/CDPAP","HHA","Level of Service",$D495),0)</f>
        <v>0</v>
      </c>
      <c r="M495" s="665">
        <f>+IFERROR(M$5*GETPIVOTDATA("Unique Billed Hours",'County allocation'!$S$3,"County",$D482,"HHA/CDPAP","HHA","Level of Service",$D495),0)</f>
        <v>0</v>
      </c>
      <c r="N495" s="665">
        <f>+IFERROR(N$5*GETPIVOTDATA("Unique Billed Hours",'County allocation'!$S$3,"County",$D482,"HHA/CDPAP","HHA","Level of Service",$D495),0)</f>
        <v>0</v>
      </c>
      <c r="O495" s="665">
        <f>+IFERROR(O$5*GETPIVOTDATA("Unique Billed Hours",'County allocation'!$S$3,"County",$D482,"HHA/CDPAP","HHA","Level of Service",$D495),0)</f>
        <v>0</v>
      </c>
      <c r="P495" s="665">
        <f>+IFERROR(P$5*GETPIVOTDATA("Unique Billed Hours",'County allocation'!$S$3,"County",$D482,"HHA/CDPAP","HHA","Level of Service",$D495),0)</f>
        <v>0</v>
      </c>
    </row>
    <row r="496" spans="1:18" s="54" customFormat="1" ht="15.75" hidden="1" thickBot="1" x14ac:dyDescent="0.3">
      <c r="A496" s="119"/>
      <c r="B496" s="309"/>
      <c r="C496" s="322">
        <f t="shared" ca="1" si="179"/>
        <v>0</v>
      </c>
      <c r="D496" s="8" t="s">
        <v>374</v>
      </c>
      <c r="E496" s="370" t="s">
        <v>78</v>
      </c>
      <c r="F496" s="657">
        <f t="shared" ca="1" si="180"/>
        <v>0</v>
      </c>
      <c r="G496" s="658">
        <f ca="1">+IFERROR(G$5*GETPIVOTDATA("Unique Billed Hours",'County allocation'!$A$3,"County",$D482,"HHA/CDPAP","HHA","Level of Service",$D496),0)++IFERROR(J$5*GETPIVOTDATA("Unique Billed Hours",'County allocation'!$AC$3,"County",$D482,"HHA/CDPAP","HHA","Level of Service",$D496),0)</f>
        <v>0</v>
      </c>
      <c r="H496" s="658">
        <f>+IFERROR(H$5*GETPIVOTDATA("Unique Billed Hours",'County allocation'!$S$3,"County",$D482,"HHA/CDPAP","HHA","Level of Service",$D496),0)</f>
        <v>0</v>
      </c>
      <c r="I496" s="664">
        <f t="shared" ca="1" si="181"/>
        <v>0</v>
      </c>
      <c r="J496" s="901"/>
      <c r="K496" s="665">
        <f ca="1">+IFERROR(K$5*GETPIVOTDATA("Unique Billed Hours",'County allocation'!$X$3,"County",$D482,"HHA/CDPAP","HHA","Level of Service",$D496),0)</f>
        <v>0</v>
      </c>
      <c r="L496" s="665">
        <f ca="1">+IFERROR(L$5*GETPIVOTDATA("Unique Billed Hours",'County allocation'!$K$19,"County",$D482,"HHA/CDPAP","HHA","Level of Service",$D496),0)</f>
        <v>0</v>
      </c>
      <c r="M496" s="665">
        <f>+IFERROR(M$5*GETPIVOTDATA("Unique Billed Hours",'County allocation'!$S$3,"County",$D482,"HHA/CDPAP","HHA","Level of Service",$D496),0)</f>
        <v>0</v>
      </c>
      <c r="N496" s="665">
        <f>+IFERROR(N$5*GETPIVOTDATA("Unique Billed Hours",'County allocation'!$S$3,"County",$D482,"HHA/CDPAP","HHA","Level of Service",$D496),0)</f>
        <v>0</v>
      </c>
      <c r="O496" s="665">
        <f>+IFERROR(O$5*GETPIVOTDATA("Unique Billed Hours",'County allocation'!$S$3,"County",$D482,"HHA/CDPAP","HHA","Level of Service",$D496),0)</f>
        <v>0</v>
      </c>
      <c r="P496" s="665">
        <f>+IFERROR(P$5*GETPIVOTDATA("Unique Billed Hours",'County allocation'!$S$3,"County",$D482,"HHA/CDPAP","HHA","Level of Service",$D496),0)</f>
        <v>0</v>
      </c>
    </row>
    <row r="497" spans="1:18" s="54" customFormat="1" ht="15.75" hidden="1" thickBot="1" x14ac:dyDescent="0.3">
      <c r="A497" s="302"/>
      <c r="B497" s="309"/>
      <c r="C497" s="322">
        <f ca="1">C496</f>
        <v>0</v>
      </c>
      <c r="D497" s="52" t="s">
        <v>48</v>
      </c>
      <c r="E497" s="53" t="s">
        <v>79</v>
      </c>
      <c r="F497" s="657">
        <f t="shared" ca="1" si="180"/>
        <v>0</v>
      </c>
      <c r="G497" s="661">
        <f t="shared" ref="G497" ca="1" si="183">SUM(G493:G496)</f>
        <v>0</v>
      </c>
      <c r="H497" s="661">
        <f t="shared" ref="H497:P497" si="184">SUM(H493:H496)</f>
        <v>0</v>
      </c>
      <c r="I497" s="661">
        <f t="shared" ca="1" si="184"/>
        <v>0</v>
      </c>
      <c r="J497" s="661">
        <f t="shared" ca="1" si="184"/>
        <v>0</v>
      </c>
      <c r="K497" s="661">
        <f t="shared" ca="1" si="184"/>
        <v>0</v>
      </c>
      <c r="L497" s="661">
        <f t="shared" ca="1" si="184"/>
        <v>0</v>
      </c>
      <c r="M497" s="661">
        <f t="shared" si="184"/>
        <v>0</v>
      </c>
      <c r="N497" s="661">
        <f t="shared" si="184"/>
        <v>0</v>
      </c>
      <c r="O497" s="661">
        <f t="shared" si="184"/>
        <v>0</v>
      </c>
      <c r="P497" s="661">
        <f t="shared" si="184"/>
        <v>0</v>
      </c>
    </row>
    <row r="498" spans="1:18" ht="15.75" hidden="1" thickBot="1" x14ac:dyDescent="0.3"/>
    <row r="499" spans="1:18" s="54" customFormat="1" ht="75" x14ac:dyDescent="0.25">
      <c r="A499" s="119"/>
      <c r="B499" s="309"/>
      <c r="C499" s="322">
        <f ca="1">IF(F514&gt;0,1,0)</f>
        <v>1</v>
      </c>
      <c r="D499" s="45" t="str">
        <f>A32</f>
        <v>Montgomery</v>
      </c>
      <c r="E499" s="28">
        <f>+SUMIF(A:A,D499,B:B)</f>
        <v>1.7109272327241044E-4</v>
      </c>
      <c r="F499" s="652" t="s">
        <v>61</v>
      </c>
      <c r="G499" s="652" t="s">
        <v>387</v>
      </c>
      <c r="H499" s="652" t="s">
        <v>388</v>
      </c>
      <c r="I499" s="652" t="s">
        <v>392</v>
      </c>
      <c r="J499" s="652" t="s">
        <v>31</v>
      </c>
      <c r="K499" s="652" t="s">
        <v>32</v>
      </c>
      <c r="L499" s="653" t="s">
        <v>33</v>
      </c>
      <c r="M499" s="653" t="s">
        <v>60</v>
      </c>
      <c r="N499" s="653" t="s">
        <v>59</v>
      </c>
      <c r="O499" s="653" t="s">
        <v>58</v>
      </c>
      <c r="P499" s="653" t="s">
        <v>16</v>
      </c>
    </row>
    <row r="500" spans="1:18" s="54" customFormat="1" x14ac:dyDescent="0.25">
      <c r="A500" s="119"/>
      <c r="B500" s="309"/>
      <c r="C500" s="322">
        <f ca="1">C499</f>
        <v>1</v>
      </c>
      <c r="D500" s="56"/>
      <c r="E500" s="57"/>
      <c r="F500" s="654" t="s">
        <v>57</v>
      </c>
      <c r="G500" s="654" t="s">
        <v>56</v>
      </c>
      <c r="H500" s="654" t="s">
        <v>55</v>
      </c>
      <c r="I500" s="654" t="s">
        <v>54</v>
      </c>
      <c r="J500" s="654" t="s">
        <v>53</v>
      </c>
      <c r="K500" s="654" t="s">
        <v>52</v>
      </c>
      <c r="L500" s="654" t="s">
        <v>51</v>
      </c>
      <c r="M500" s="654" t="s">
        <v>50</v>
      </c>
      <c r="N500" s="654" t="s">
        <v>49</v>
      </c>
      <c r="O500" s="654" t="s">
        <v>47</v>
      </c>
      <c r="P500" s="655" t="s">
        <v>77</v>
      </c>
    </row>
    <row r="501" spans="1:18" s="54" customFormat="1" x14ac:dyDescent="0.25">
      <c r="A501" s="119"/>
      <c r="B501" s="309"/>
      <c r="C501" s="322">
        <f t="shared" ref="C501:C513" ca="1" si="185">C500</f>
        <v>1</v>
      </c>
      <c r="D501" s="59" t="s">
        <v>26</v>
      </c>
      <c r="E501" s="57"/>
      <c r="F501" s="656"/>
      <c r="G501" s="656"/>
      <c r="H501" s="656"/>
      <c r="I501" s="656"/>
      <c r="J501" s="656"/>
      <c r="K501" s="656"/>
      <c r="L501" s="656"/>
      <c r="M501" s="656"/>
      <c r="N501" s="656"/>
      <c r="O501" s="656"/>
      <c r="P501" s="663"/>
    </row>
    <row r="502" spans="1:18" s="54" customFormat="1" x14ac:dyDescent="0.25">
      <c r="A502" s="119"/>
      <c r="B502" s="309"/>
      <c r="C502" s="322">
        <f t="shared" ca="1" si="185"/>
        <v>1</v>
      </c>
      <c r="D502" s="7" t="s">
        <v>34</v>
      </c>
      <c r="E502" s="48" t="s">
        <v>57</v>
      </c>
      <c r="F502" s="657">
        <f ca="1">+H502+G502+I502</f>
        <v>0</v>
      </c>
      <c r="G502" s="658">
        <f ca="1">+IFERROR(G$5*GETPIVOTDATA("Unique Billed Hours",'County allocation'!$A$3,"County",$D499,"HHA/CDPAP","HHA","Level of Service",$D502),0)</f>
        <v>0</v>
      </c>
      <c r="H502" s="658">
        <f>+IFERROR(H$5*GETPIVOTDATA("Unique Billed Hours",'County allocation'!$S$3,"County",$D499,"HHA/CDPAP","HHA","Level of Service",$D502),0)</f>
        <v>0</v>
      </c>
      <c r="I502" s="664">
        <f ca="1">SUM(J502:P502)</f>
        <v>0</v>
      </c>
      <c r="J502" s="658">
        <f ca="1">+IFERROR(J$5*GETPIVOTDATA("Unique Billed Hours",'County allocation'!$AC$3,"County",$D499,"HHA/CDPAP","HHA","Level of Service",$D502),0)</f>
        <v>0</v>
      </c>
      <c r="K502" s="658">
        <f ca="1">+IFERROR(K$5*GETPIVOTDATA("Unique Billed Hours",'County allocation'!$X$3,"County",$D499,"HHA/CDPAP","HHA","Level of Service",$D502),0)</f>
        <v>0</v>
      </c>
      <c r="L502" s="658">
        <f ca="1">+IFERROR(L$2*GETPIVOTDATA("Unique Billed Hours",'County allocation'!$O$3,"County",$D499,"HHA/CDPAP","HHA","Level of Service",$D502),0)</f>
        <v>0</v>
      </c>
      <c r="M502" s="658">
        <f>+IFERROR(M$5*GETPIVOTDATA("Unique Billed Hours",'County allocation'!$S$3,"County",$D499,"HHA/CDPAP","HHA","Level of Service",$D502),0)</f>
        <v>0</v>
      </c>
      <c r="N502" s="658">
        <f>+IFERROR(N$5*GETPIVOTDATA("Unique Billed Hours",'County allocation'!$S$3,"County",$D499,"HHA/CDPAP","HHA","Level of Service",$D502),0)</f>
        <v>0</v>
      </c>
      <c r="O502" s="658">
        <f>+IFERROR(O$5*GETPIVOTDATA("Unique Billed Hours",'County allocation'!$K$19,"County",$D499,"HHA/CDPAP","HHA","Level of Service",$D502),0)</f>
        <v>0</v>
      </c>
      <c r="P502" s="658">
        <f>+IFERROR(P$5*GETPIVOTDATA("Unique Billed Hours",'County allocation'!$S$3,"County",$D499,"HHA/CDPAP","HHA","Level of Service",$D502),0)</f>
        <v>0</v>
      </c>
    </row>
    <row r="503" spans="1:18" s="54" customFormat="1" x14ac:dyDescent="0.25">
      <c r="A503" s="119"/>
      <c r="B503" s="309"/>
      <c r="C503" s="322">
        <f t="shared" ca="1" si="185"/>
        <v>1</v>
      </c>
      <c r="D503" s="7" t="s">
        <v>35</v>
      </c>
      <c r="E503" s="48" t="s">
        <v>56</v>
      </c>
      <c r="F503" s="657">
        <f t="shared" ref="F503:F514" ca="1" si="186">+H503+G503+I503</f>
        <v>32758.201670793685</v>
      </c>
      <c r="G503" s="658">
        <f ca="1">+IFERROR(G$5*GETPIVOTDATA("Unique Billed Hours",'County allocation'!$A$3,"County",$D499,"HHA/CDPAP","HHA","Level of Service",$D503),0)</f>
        <v>1098.9366156915266</v>
      </c>
      <c r="H503" s="658">
        <f>+IFERROR(H$5*GETPIVOTDATA("Unique Billed Hours",'County allocation'!$S$3,"County",$D499,"HHA/CDPAP","HHA","Level of Service",$D503),0)</f>
        <v>1879.8392903534477</v>
      </c>
      <c r="I503" s="664">
        <f t="shared" ref="I503:I513" ca="1" si="187">SUM(J503:P503)</f>
        <v>29779.42576474871</v>
      </c>
      <c r="J503" s="658">
        <f ca="1">+IFERROR(J$5*GETPIVOTDATA("Unique Billed Hours",'County allocation'!$AC$3,"County",$D499,"HHA/CDPAP","HHA","Level of Service",$D503),0)</f>
        <v>3913.9139110694491</v>
      </c>
      <c r="K503" s="658">
        <f ca="1">+IFERROR(K$5*GETPIVOTDATA("Unique Billed Hours",'County allocation'!$X$3,"County",$D499,"HHA/CDPAP","HHA","Level of Service",$D503),0)</f>
        <v>25301.90303982393</v>
      </c>
      <c r="L503" s="658">
        <f ca="1">+IFERROR(L$2*GETPIVOTDATA("Unique Billed Hours",'County allocation'!$O$3,"County",$D499,"HHA/CDPAP","HHA","Level of Service",$D503),0)</f>
        <v>362.90103937649388</v>
      </c>
      <c r="M503" s="658">
        <f>+IFERROR(M$5*GETPIVOTDATA("Unique Billed Hours",'County allocation'!$S$3,"County",$D499,"HHA/CDPAP","HHA","Level of Service",$D503),0)</f>
        <v>185.19662172228166</v>
      </c>
      <c r="N503" s="658">
        <f>+IFERROR(N$5*GETPIVOTDATA("Unique Billed Hours",'County allocation'!$S$3,"County",$D499,"HHA/CDPAP","HHA","Level of Service",$D503),0)</f>
        <v>15.511152756551764</v>
      </c>
      <c r="O503" s="658">
        <f>+IFERROR(O$5*GETPIVOTDATA("Unique Billed Hours",'County allocation'!$K$19,"County",$D499,"HHA/CDPAP","HHA","Level of Service",$D503),0)</f>
        <v>0</v>
      </c>
      <c r="P503" s="658">
        <f>+IFERROR(P$5*GETPIVOTDATA("Unique Billed Hours",'County allocation'!$S$3,"County",$D499,"HHA/CDPAP","HHA","Level of Service",$D503),0)</f>
        <v>0</v>
      </c>
      <c r="R503" s="61"/>
    </row>
    <row r="504" spans="1:18" s="54" customFormat="1" x14ac:dyDescent="0.25">
      <c r="A504" s="302"/>
      <c r="B504" s="309"/>
      <c r="C504" s="322">
        <f t="shared" ca="1" si="185"/>
        <v>1</v>
      </c>
      <c r="D504" s="7" t="s">
        <v>36</v>
      </c>
      <c r="E504" s="48" t="s">
        <v>55</v>
      </c>
      <c r="F504" s="657">
        <f t="shared" ca="1" si="186"/>
        <v>0</v>
      </c>
      <c r="G504" s="658">
        <f ca="1">+IFERROR(G$5*GETPIVOTDATA("Unique Billed Hours",'County allocation'!$A$3,"County",$D499,"HHA/CDPAP","HHA","Level of Service",$D504),0)</f>
        <v>0</v>
      </c>
      <c r="H504" s="658">
        <f>+IFERROR(H$5*GETPIVOTDATA("Unique Billed Hours",'County allocation'!$S$3,"County",$D499,"HHA/CDPAP","HHA","Level of Service",$D504),0)</f>
        <v>0</v>
      </c>
      <c r="I504" s="664">
        <f t="shared" ca="1" si="187"/>
        <v>0</v>
      </c>
      <c r="J504" s="658">
        <f ca="1">+IFERROR(J$5*GETPIVOTDATA("Unique Billed Hours",'County allocation'!$AC$3,"County",$D499,"HHA/CDPAP","HHA","Level of Service",$D504),0)</f>
        <v>0</v>
      </c>
      <c r="K504" s="658">
        <f ca="1">+IFERROR(K$5*GETPIVOTDATA("Unique Billed Hours",'County allocation'!$X$3,"County",$D499,"HHA/CDPAP","HHA","Level of Service",$D504),0)</f>
        <v>0</v>
      </c>
      <c r="L504" s="658">
        <f ca="1">+IFERROR(L$2*GETPIVOTDATA("Unique Billed Hours",'County allocation'!$O$3,"County",$D499,"HHA/CDPAP","HHA","Level of Service",$D504),0)</f>
        <v>0</v>
      </c>
      <c r="M504" s="658">
        <f>+IFERROR(M$5*GETPIVOTDATA("Unique Billed Hours",'County allocation'!$S$3,"County",$D499,"HHA/CDPAP","HHA","Level of Service",$D504),0)</f>
        <v>0</v>
      </c>
      <c r="N504" s="658">
        <f>+IFERROR(N$5*GETPIVOTDATA("Unique Billed Hours",'County allocation'!$S$3,"County",$D499,"HHA/CDPAP","HHA","Level of Service",$D504),0)</f>
        <v>0</v>
      </c>
      <c r="O504" s="658">
        <f>+IFERROR(O$5*GETPIVOTDATA("Unique Billed Hours",'County allocation'!$K$19,"County",$D499,"HHA/CDPAP","HHA","Level of Service",$D504),0)</f>
        <v>0</v>
      </c>
      <c r="P504" s="658">
        <f>+IFERROR(P$5*GETPIVOTDATA("Unique Billed Hours",'County allocation'!$S$3,"County",$D499,"HHA/CDPAP","HHA","Level of Service",$D504),0)</f>
        <v>0</v>
      </c>
    </row>
    <row r="505" spans="1:18" s="54" customFormat="1" x14ac:dyDescent="0.25">
      <c r="A505" s="119"/>
      <c r="B505" s="309"/>
      <c r="C505" s="322">
        <f t="shared" ca="1" si="185"/>
        <v>1</v>
      </c>
      <c r="D505" s="7" t="s">
        <v>37</v>
      </c>
      <c r="E505" s="48" t="s">
        <v>54</v>
      </c>
      <c r="F505" s="657">
        <f t="shared" ca="1" si="186"/>
        <v>0</v>
      </c>
      <c r="G505" s="658">
        <f ca="1">+IFERROR(G$5*GETPIVOTDATA("Unique Billed Hours",'County allocation'!$A$3,"County",$D499,"HHA/CDPAP","HHA","Level of Service",$D505),0)</f>
        <v>0</v>
      </c>
      <c r="H505" s="658">
        <f>+IFERROR(H$5*GETPIVOTDATA("Unique Billed Hours",'County allocation'!$S$3,"County",$D499,"HHA/CDPAP","HHA","Level of Service",$D505),0)</f>
        <v>0</v>
      </c>
      <c r="I505" s="664">
        <f t="shared" ca="1" si="187"/>
        <v>0</v>
      </c>
      <c r="J505" s="658">
        <f ca="1">+IFERROR(J$5*GETPIVOTDATA("Unique Billed Hours",'County allocation'!$AC$3,"County",$D499,"HHA/CDPAP","HHA","Level of Service",$D505),0)</f>
        <v>0</v>
      </c>
      <c r="K505" s="658">
        <f ca="1">+IFERROR(K$5*GETPIVOTDATA("Unique Billed Hours",'County allocation'!$X$3,"County",$D499,"HHA/CDPAP","HHA","Level of Service",$D505),0)</f>
        <v>0</v>
      </c>
      <c r="L505" s="658">
        <f ca="1">+IFERROR(L$2*GETPIVOTDATA("Unique Billed Hours",'County allocation'!$O$3,"County",$D499,"HHA/CDPAP","HHA","Level of Service",$D505),0)</f>
        <v>0</v>
      </c>
      <c r="M505" s="658">
        <f>+IFERROR(M$5*GETPIVOTDATA("Unique Billed Hours",'County allocation'!$S$3,"County",$D499,"HHA/CDPAP","HHA","Level of Service",$D505),0)</f>
        <v>0</v>
      </c>
      <c r="N505" s="658">
        <f>+IFERROR(N$5*GETPIVOTDATA("Unique Billed Hours",'County allocation'!$S$3,"County",$D499,"HHA/CDPAP","HHA","Level of Service",$D505),0)</f>
        <v>0</v>
      </c>
      <c r="O505" s="658">
        <f>+IFERROR(O$5*GETPIVOTDATA("Unique Billed Hours",'County allocation'!$K$19,"County",$D499,"HHA/CDPAP","HHA","Level of Service",$D505),0)</f>
        <v>0</v>
      </c>
      <c r="P505" s="658">
        <f>+IFERROR(P$5*GETPIVOTDATA("Unique Billed Hours",'County allocation'!$S$3,"County",$D499,"HHA/CDPAP","HHA","Level of Service",$D505),0)</f>
        <v>0</v>
      </c>
    </row>
    <row r="506" spans="1:18" s="54" customFormat="1" x14ac:dyDescent="0.25">
      <c r="A506" s="119"/>
      <c r="B506" s="309"/>
      <c r="C506" s="322">
        <f t="shared" ca="1" si="185"/>
        <v>1</v>
      </c>
      <c r="D506" s="7" t="s">
        <v>38</v>
      </c>
      <c r="E506" s="48" t="s">
        <v>53</v>
      </c>
      <c r="F506" s="657">
        <f t="shared" ca="1" si="186"/>
        <v>0</v>
      </c>
      <c r="G506" s="658">
        <f ca="1">+IFERROR(G$5*GETPIVOTDATA("Unique Billed Hours",'County allocation'!$A$3,"County",$D499,"HHA/CDPAP","HHA","Level of Service",$D506),0)</f>
        <v>0</v>
      </c>
      <c r="H506" s="658">
        <f>+IFERROR(H$5*GETPIVOTDATA("Unique Billed Hours",'County allocation'!$S$3,"County",$D499,"HHA/CDPAP","HHA","Level of Service",$D506),0)</f>
        <v>0</v>
      </c>
      <c r="I506" s="664">
        <f t="shared" ca="1" si="187"/>
        <v>0</v>
      </c>
      <c r="J506" s="658">
        <f ca="1">+IFERROR(J$5*GETPIVOTDATA("Unique Billed Hours",'County allocation'!$AC$3,"County",$D499,"HHA/CDPAP","HHA","Level of Service",$D506),0)</f>
        <v>0</v>
      </c>
      <c r="K506" s="658">
        <f ca="1">+IFERROR(K$5*GETPIVOTDATA("Unique Billed Hours",'County allocation'!$X$3,"County",$D499,"HHA/CDPAP","HHA","Level of Service",$D506),0)</f>
        <v>0</v>
      </c>
      <c r="L506" s="658">
        <f ca="1">+IFERROR(L$5*GETPIVOTDATA("Unique Billed Hours",'County allocation'!$K$19,"County",$D499,"HHA/CDPAP","HHA","Level of Service",$D506),0)</f>
        <v>0</v>
      </c>
      <c r="M506" s="658">
        <f>+IFERROR(M$5*GETPIVOTDATA("Unique Billed Hours",'County allocation'!$S$3,"County",$D499,"HHA/CDPAP","HHA","Level of Service",$D506),0)</f>
        <v>0</v>
      </c>
      <c r="N506" s="658">
        <f>+IFERROR(N$5*GETPIVOTDATA("Unique Billed Hours",'County allocation'!$S$3,"County",$D499,"HHA/CDPAP","HHA","Level of Service",$D506),0)</f>
        <v>0</v>
      </c>
      <c r="O506" s="658">
        <f>+IFERROR(O$5*GETPIVOTDATA("Unique Billed Hours",'County allocation'!$K$19,"County",$D499,"HHA/CDPAP","HHA","Level of Service",$D506),0)</f>
        <v>0</v>
      </c>
      <c r="P506" s="658">
        <f>+IFERROR(P$5*GETPIVOTDATA("Unique Billed Hours",'County allocation'!$S$3,"County",$D499,"HHA/CDPAP","HHA","Level of Service",$D506),0)</f>
        <v>0</v>
      </c>
    </row>
    <row r="507" spans="1:18" s="54" customFormat="1" x14ac:dyDescent="0.25">
      <c r="A507" s="119"/>
      <c r="B507" s="309"/>
      <c r="C507" s="322">
        <f t="shared" ca="1" si="185"/>
        <v>1</v>
      </c>
      <c r="D507" s="7" t="s">
        <v>39</v>
      </c>
      <c r="E507" s="48" t="s">
        <v>52</v>
      </c>
      <c r="F507" s="657">
        <f t="shared" ca="1" si="186"/>
        <v>442.00324429683656</v>
      </c>
      <c r="G507" s="658">
        <f ca="1">+IFERROR(G$5*GETPIVOTDATA("Unique Billed Hours",'County allocation'!$A$3,"County",$D499,"HHA/CDPAP","HHA","Level of Service",$D507),0)</f>
        <v>0</v>
      </c>
      <c r="H507" s="658">
        <f>+IFERROR(H$5*GETPIVOTDATA("Unique Billed Hours",'County allocation'!$S$3,"County",$D499,"HHA/CDPAP","HHA","Level of Service",$D507),0)</f>
        <v>0</v>
      </c>
      <c r="I507" s="664">
        <f t="shared" ca="1" si="187"/>
        <v>442.00324429683656</v>
      </c>
      <c r="J507" s="658">
        <f ca="1">+IFERROR(J$5*GETPIVOTDATA("Unique Billed Hours",'County allocation'!$AC$3,"County",$D499,"HHA/CDPAP","HHA","Level of Service",$D507),0)</f>
        <v>28.771223289562766</v>
      </c>
      <c r="K507" s="658">
        <f ca="1">+IFERROR(K$5*GETPIVOTDATA("Unique Billed Hours",'County allocation'!$X$3,"County",$D499,"HHA/CDPAP","HHA","Level of Service",$D507),0)</f>
        <v>0</v>
      </c>
      <c r="L507" s="658">
        <f ca="1">+IFERROR(L$5*GETPIVOTDATA("Unique Billed Hours",'County allocation'!$K$19,"County",$D499,"HHA/CDPAP","HHA","Level of Service",$D507),0)</f>
        <v>413.23202100727377</v>
      </c>
      <c r="M507" s="658">
        <f>+IFERROR(M$5*GETPIVOTDATA("Unique Billed Hours",'County allocation'!$S$3,"County",$D499,"HHA/CDPAP","HHA","Level of Service",$D507),0)</f>
        <v>0</v>
      </c>
      <c r="N507" s="658">
        <f>+IFERROR(N$5*GETPIVOTDATA("Unique Billed Hours",'County allocation'!$S$3,"County",$D499,"HHA/CDPAP","HHA","Level of Service",$D507),0)</f>
        <v>0</v>
      </c>
      <c r="O507" s="658">
        <f>+IFERROR(O$5*GETPIVOTDATA("Unique Billed Hours",'County allocation'!$K$19,"County",$D499,"HHA/CDPAP","HHA","Level of Service",$D507),0)</f>
        <v>0</v>
      </c>
      <c r="P507" s="658">
        <f>+IFERROR(P$5*GETPIVOTDATA("Unique Billed Hours",'County allocation'!$S$3,"County",$D499,"HHA/CDPAP","HHA","Level of Service",$D507),0)</f>
        <v>0</v>
      </c>
    </row>
    <row r="508" spans="1:18" s="54" customFormat="1" x14ac:dyDescent="0.25">
      <c r="A508" s="119"/>
      <c r="B508" s="309"/>
      <c r="C508" s="322">
        <f t="shared" ca="1" si="185"/>
        <v>1</v>
      </c>
      <c r="D508" s="8" t="s">
        <v>40</v>
      </c>
      <c r="E508" s="48" t="s">
        <v>51</v>
      </c>
      <c r="F508" s="657">
        <f t="shared" ca="1" si="186"/>
        <v>0</v>
      </c>
      <c r="G508" s="658">
        <f ca="1">+IFERROR(G$5*GETPIVOTDATA("Unique Billed Hours",'County allocation'!$A$3,"County",$D499,"HHA/CDPAP","HHA","Level of Service",$D508),0)</f>
        <v>0</v>
      </c>
      <c r="H508" s="658">
        <f>+IFERROR(H$5*GETPIVOTDATA("Unique Billed Hours",'County allocation'!$S$3,"County",$D499,"HHA/CDPAP","HHA","Level of Service",$D508),0)</f>
        <v>0</v>
      </c>
      <c r="I508" s="664">
        <f t="shared" ca="1" si="187"/>
        <v>0</v>
      </c>
      <c r="J508" s="658">
        <f ca="1">+IFERROR(J$5*GETPIVOTDATA("Unique Billed Hours",'County allocation'!$AC$3,"County",$D499,"HHA/CDPAP","HHA","Level of Service",$D508),0)</f>
        <v>0</v>
      </c>
      <c r="K508" s="658">
        <f ca="1">+IFERROR(K$5*GETPIVOTDATA("Unique Billed Hours",'County allocation'!$X$3,"County",$D499,"HHA/CDPAP","HHA","Level of Service",$D508),0)</f>
        <v>0</v>
      </c>
      <c r="L508" s="658">
        <f ca="1">+IFERROR(L$2*GETPIVOTDATA("Unique Billed Hours",'County allocation'!$O$3,"County",$D499,"HHA/CDPAP","HHA","Level of Service",$D508),0)</f>
        <v>0</v>
      </c>
      <c r="M508" s="658">
        <f>+IFERROR(M$5*GETPIVOTDATA("Unique Billed Hours",'County allocation'!$S$3,"County",$D499,"HHA/CDPAP","HHA","Level of Service",$D508),0)</f>
        <v>0</v>
      </c>
      <c r="N508" s="658">
        <f>+IFERROR(N$5*GETPIVOTDATA("Unique Billed Hours",'County allocation'!$S$3,"County",$D499,"HHA/CDPAP","HHA","Level of Service",$D508),0)</f>
        <v>0</v>
      </c>
      <c r="O508" s="658">
        <f>+IFERROR(O$5*GETPIVOTDATA("Unique Billed Hours",'County allocation'!$K$19,"County",$D499,"HHA/CDPAP","HHA","Level of Service",$D508),0)</f>
        <v>0</v>
      </c>
      <c r="P508" s="658">
        <f>+IFERROR(P$5*GETPIVOTDATA("Unique Billed Hours",'County allocation'!$S$3,"County",$D499,"HHA/CDPAP","HHA","Level of Service",$D508),0)</f>
        <v>0</v>
      </c>
    </row>
    <row r="509" spans="1:18" s="54" customFormat="1" x14ac:dyDescent="0.25">
      <c r="A509" s="119"/>
      <c r="B509" s="309"/>
      <c r="C509" s="322">
        <f t="shared" ca="1" si="185"/>
        <v>1</v>
      </c>
      <c r="D509" s="8" t="s">
        <v>41</v>
      </c>
      <c r="E509" s="48" t="s">
        <v>50</v>
      </c>
      <c r="F509" s="657">
        <f t="shared" ca="1" si="186"/>
        <v>0</v>
      </c>
      <c r="G509" s="658">
        <f ca="1">+IFERROR(G$5*GETPIVOTDATA("Unique Billed Hours",'County allocation'!$A$3,"County",$D499,"HHA/CDPAP","HHA","Level of Service",$D509),0)</f>
        <v>0</v>
      </c>
      <c r="H509" s="658">
        <f>+IFERROR(H$5*GETPIVOTDATA("Unique Billed Hours",'County allocation'!$S$3,"County",$D499,"HHA/CDPAP","HHA","Level of Service",$D509),0)</f>
        <v>0</v>
      </c>
      <c r="I509" s="664">
        <f t="shared" ca="1" si="187"/>
        <v>0</v>
      </c>
      <c r="J509" s="658">
        <f ca="1">+IFERROR(J$5*GETPIVOTDATA("Unique Billed Hours",'County allocation'!$AC$3,"County",$D499,"HHA/CDPAP","HHA","Level of Service",$D509),0)</f>
        <v>0</v>
      </c>
      <c r="K509" s="658">
        <f ca="1">+IFERROR(K$5*GETPIVOTDATA("Unique Billed Hours",'County allocation'!$X$3,"County",$D499,"HHA/CDPAP","HHA","Level of Service",$D509),0)</f>
        <v>0</v>
      </c>
      <c r="L509" s="658">
        <f ca="1">+IFERROR(L$2*GETPIVOTDATA("Unique Billed Hours",'County allocation'!$O$3,"County",$D499,"HHA/CDPAP","HHA","Level of Service",$D509),0)</f>
        <v>0</v>
      </c>
      <c r="M509" s="658">
        <f>+IFERROR(M$5*GETPIVOTDATA("Unique Billed Hours",'County allocation'!$S$3,"County",$D499,"HHA/CDPAP","HHA","Level of Service",$D509),0)</f>
        <v>0</v>
      </c>
      <c r="N509" s="658">
        <f>+IFERROR(N$5*GETPIVOTDATA("Unique Billed Hours",'County allocation'!$S$3,"County",$D499,"HHA/CDPAP","HHA","Level of Service",$D509),0)</f>
        <v>0</v>
      </c>
      <c r="O509" s="658">
        <f>+IFERROR(O$5*GETPIVOTDATA("Unique Billed Hours",'County allocation'!$K$19,"County",$D499,"HHA/CDPAP","HHA","Level of Service",$D509),0)</f>
        <v>0</v>
      </c>
      <c r="P509" s="658">
        <f>+IFERROR(P$5*GETPIVOTDATA("Unique Billed Hours",'County allocation'!$S$3,"County",$D499,"HHA/CDPAP","HHA","Level of Service",$D509),0)</f>
        <v>0</v>
      </c>
    </row>
    <row r="510" spans="1:18" s="54" customFormat="1" ht="15.75" thickBot="1" x14ac:dyDescent="0.3">
      <c r="A510" s="119"/>
      <c r="B510" s="309"/>
      <c r="C510" s="322">
        <f t="shared" ca="1" si="185"/>
        <v>1</v>
      </c>
      <c r="D510" s="52" t="s">
        <v>389</v>
      </c>
      <c r="E510" s="53" t="s">
        <v>49</v>
      </c>
      <c r="F510" s="657">
        <f t="shared" ca="1" si="186"/>
        <v>33200.204915090522</v>
      </c>
      <c r="G510" s="661">
        <f ca="1">SUM(G502:G509)</f>
        <v>1098.9366156915266</v>
      </c>
      <c r="H510" s="661">
        <f>SUM(H502:H509)</f>
        <v>1879.8392903534477</v>
      </c>
      <c r="I510" s="664">
        <f t="shared" ca="1" si="187"/>
        <v>30221.429009045547</v>
      </c>
      <c r="J510" s="661">
        <f ca="1">SUM(J502:J509)</f>
        <v>3942.685134359012</v>
      </c>
      <c r="K510" s="661">
        <f t="shared" ref="K510:P510" ca="1" si="188">SUM(K502:K509)</f>
        <v>25301.90303982393</v>
      </c>
      <c r="L510" s="661">
        <f t="shared" ca="1" si="188"/>
        <v>776.13306038376766</v>
      </c>
      <c r="M510" s="661">
        <f t="shared" si="188"/>
        <v>185.19662172228166</v>
      </c>
      <c r="N510" s="661">
        <f t="shared" si="188"/>
        <v>15.511152756551764</v>
      </c>
      <c r="O510" s="661">
        <f t="shared" si="188"/>
        <v>0</v>
      </c>
      <c r="P510" s="661">
        <f t="shared" si="188"/>
        <v>0</v>
      </c>
    </row>
    <row r="511" spans="1:18" s="54" customFormat="1" x14ac:dyDescent="0.25">
      <c r="A511" s="119"/>
      <c r="B511" s="309"/>
      <c r="C511" s="322">
        <f t="shared" ca="1" si="185"/>
        <v>1</v>
      </c>
      <c r="D511" s="371" t="s">
        <v>390</v>
      </c>
      <c r="E511" s="325" t="s">
        <v>47</v>
      </c>
      <c r="F511" s="657">
        <f t="shared" ca="1" si="186"/>
        <v>0</v>
      </c>
      <c r="G511" s="665">
        <f ca="1">+IFERROR((G$5*GETPIVOTDATA("Unique Billed Hours",'County allocation'!$A$3,"County",$D499,"HHA/CDPAP","HHA","Level of Service",$D511))+($G$2*GETPIVOTDATA("Unique Billed Hours",'County allocation'!$F$7,"County",$D499,"HHA/CDPAP","HHA","Level of Service",$D511)),0)++IFERROR(J$5*GETPIVOTDATA("Unique Billed Hours",'County allocation'!$AC$3,"County",$D499,"HHA/CDPAP","HHA","Level of Service",$D511),0)+ +IFERROR(J$5*GETPIVOTDATA("Unique Billed Hours",'County allocation'!$AC$3,"County",$D499,"HHA/CDPAP","HHA","Level of Service",$D512),0)</f>
        <v>0</v>
      </c>
      <c r="H511" s="665">
        <f>+IFERROR(H$5*GETPIVOTDATA("Unique Billed Hours",'County allocation'!$S$3,"County",$D499,"HHA/CDPAP","HHA","Level of Service",$D511),0)</f>
        <v>0</v>
      </c>
      <c r="I511" s="664">
        <f t="shared" ca="1" si="187"/>
        <v>0</v>
      </c>
      <c r="J511" s="901"/>
      <c r="K511" s="665">
        <f ca="1">+IFERROR(K$5*GETPIVOTDATA("Unique Billed Hours",'County allocation'!$X$3,"County",$D499,"HHA/CDPAP","HHA","Level of Service",$D511),0)</f>
        <v>0</v>
      </c>
      <c r="L511" s="665">
        <f ca="1">+IFERROR(L$5*GETPIVOTDATA("Unique Billed Hours",'County allocation'!$K$19,"County",$D499,"HHA/CDPAP","HHA","Level of Service",$D511),0)</f>
        <v>0</v>
      </c>
      <c r="M511" s="665">
        <f>+IFERROR(M$5*GETPIVOTDATA("Unique Billed Hours",'County allocation'!$S$3,"County",$D499,"HHA/CDPAP","HHA","Level of Service",$D511),0)</f>
        <v>0</v>
      </c>
      <c r="N511" s="665">
        <f>+IFERROR(N$5*GETPIVOTDATA("Unique Billed Hours",'County allocation'!$S$3,"County",$D499,"HHA/CDPAP","HHA","Level of Service",$D511),0)</f>
        <v>0</v>
      </c>
      <c r="O511" s="665">
        <f>+IFERROR(O$5*GETPIVOTDATA("Unique Billed Hours",'County allocation'!$S$3,"County",$D499,"HHA/CDPAP","HHA","Level of Service",$D511),0)</f>
        <v>0</v>
      </c>
      <c r="P511" s="665">
        <f>+IFERROR(P$5*GETPIVOTDATA("Unique Billed Hours",'County allocation'!$S$3,"County",$D499,"HHA/CDPAP","HHA","Level of Service",$D511),0)</f>
        <v>0</v>
      </c>
    </row>
    <row r="512" spans="1:18" s="54" customFormat="1" x14ac:dyDescent="0.25">
      <c r="A512" s="119"/>
      <c r="B512" s="309"/>
      <c r="C512" s="322">
        <f t="shared" ca="1" si="185"/>
        <v>1</v>
      </c>
      <c r="D512" s="8" t="s">
        <v>391</v>
      </c>
      <c r="E512" s="370" t="s">
        <v>77</v>
      </c>
      <c r="F512" s="657">
        <f t="shared" ca="1" si="186"/>
        <v>0</v>
      </c>
      <c r="G512" s="656"/>
      <c r="H512" s="658">
        <f>+IFERROR(H$5*GETPIVOTDATA("Unique Billed Hours",'County allocation'!$S$3,"County",$D499,"HHA/CDPAP","HHA","Level of Service",$D512),0)</f>
        <v>0</v>
      </c>
      <c r="I512" s="664">
        <f t="shared" ca="1" si="187"/>
        <v>0</v>
      </c>
      <c r="J512" s="901"/>
      <c r="K512" s="665">
        <f ca="1">+IFERROR(K$5*GETPIVOTDATA("Unique Billed Hours",'County allocation'!$X$3,"County",$D499,"HHA/CDPAP","HHA","Level of Service",$D512),0)</f>
        <v>0</v>
      </c>
      <c r="L512" s="665">
        <f ca="1">+IFERROR(L$5*GETPIVOTDATA("Unique Billed Hours",'County allocation'!$K$19,"County",$D499,"HHA/CDPAP","HHA","Level of Service",$D512),0)</f>
        <v>0</v>
      </c>
      <c r="M512" s="665">
        <f>+IFERROR(M$5*GETPIVOTDATA("Unique Billed Hours",'County allocation'!$S$3,"County",$D499,"HHA/CDPAP","HHA","Level of Service",$D512),0)</f>
        <v>0</v>
      </c>
      <c r="N512" s="665">
        <f>+IFERROR(N$5*GETPIVOTDATA("Unique Billed Hours",'County allocation'!$S$3,"County",$D499,"HHA/CDPAP","HHA","Level of Service",$D512),0)</f>
        <v>0</v>
      </c>
      <c r="O512" s="665">
        <f>+IFERROR(O$5*GETPIVOTDATA("Unique Billed Hours",'County allocation'!$S$3,"County",$D499,"HHA/CDPAP","HHA","Level of Service",$D512),0)</f>
        <v>0</v>
      </c>
      <c r="P512" s="665">
        <f>+IFERROR(P$5*GETPIVOTDATA("Unique Billed Hours",'County allocation'!$S$3,"County",$D499,"HHA/CDPAP","HHA","Level of Service",$D512),0)</f>
        <v>0</v>
      </c>
    </row>
    <row r="513" spans="1:18" s="54" customFormat="1" x14ac:dyDescent="0.25">
      <c r="A513" s="119"/>
      <c r="B513" s="309"/>
      <c r="C513" s="322">
        <f t="shared" ca="1" si="185"/>
        <v>1</v>
      </c>
      <c r="D513" s="8" t="s">
        <v>374</v>
      </c>
      <c r="E513" s="370" t="s">
        <v>78</v>
      </c>
      <c r="F513" s="657">
        <f t="shared" ca="1" si="186"/>
        <v>0</v>
      </c>
      <c r="G513" s="658">
        <f ca="1">+IFERROR(G$5*GETPIVOTDATA("Unique Billed Hours",'County allocation'!$A$3,"County",$D499,"HHA/CDPAP","HHA","Level of Service",$D513),0)++IFERROR(J$5*GETPIVOTDATA("Unique Billed Hours",'County allocation'!$AC$3,"County",$D499,"HHA/CDPAP","HHA","Level of Service",$D513),0)</f>
        <v>0</v>
      </c>
      <c r="H513" s="658">
        <f>+IFERROR(H$5*GETPIVOTDATA("Unique Billed Hours",'County allocation'!$S$3,"County",$D499,"HHA/CDPAP","HHA","Level of Service",$D513),0)</f>
        <v>0</v>
      </c>
      <c r="I513" s="664">
        <f t="shared" ca="1" si="187"/>
        <v>0</v>
      </c>
      <c r="J513" s="901"/>
      <c r="K513" s="665">
        <f ca="1">+IFERROR(K$5*GETPIVOTDATA("Unique Billed Hours",'County allocation'!$X$3,"County",$D499,"HHA/CDPAP","HHA","Level of Service",$D513),0)</f>
        <v>0</v>
      </c>
      <c r="L513" s="665">
        <f ca="1">+IFERROR(L$5*GETPIVOTDATA("Unique Billed Hours",'County allocation'!$K$19,"County",$D499,"HHA/CDPAP","HHA","Level of Service",$D513),0)</f>
        <v>0</v>
      </c>
      <c r="M513" s="665">
        <f>+IFERROR(M$5*GETPIVOTDATA("Unique Billed Hours",'County allocation'!$S$3,"County",$D499,"HHA/CDPAP","HHA","Level of Service",$D513),0)</f>
        <v>0</v>
      </c>
      <c r="N513" s="665">
        <f>+IFERROR(N$5*GETPIVOTDATA("Unique Billed Hours",'County allocation'!$S$3,"County",$D499,"HHA/CDPAP","HHA","Level of Service",$D513),0)</f>
        <v>0</v>
      </c>
      <c r="O513" s="665">
        <f>+IFERROR(O$5*GETPIVOTDATA("Unique Billed Hours",'County allocation'!$S$3,"County",$D499,"HHA/CDPAP","HHA","Level of Service",$D513),0)</f>
        <v>0</v>
      </c>
      <c r="P513" s="665">
        <f>+IFERROR(P$5*GETPIVOTDATA("Unique Billed Hours",'County allocation'!$S$3,"County",$D499,"HHA/CDPAP","HHA","Level of Service",$D513),0)</f>
        <v>0</v>
      </c>
    </row>
    <row r="514" spans="1:18" s="54" customFormat="1" ht="15.75" thickBot="1" x14ac:dyDescent="0.3">
      <c r="A514" s="302"/>
      <c r="B514" s="309"/>
      <c r="C514" s="322">
        <f ca="1">C513</f>
        <v>1</v>
      </c>
      <c r="D514" s="52" t="s">
        <v>48</v>
      </c>
      <c r="E514" s="53" t="s">
        <v>79</v>
      </c>
      <c r="F514" s="657">
        <f t="shared" ca="1" si="186"/>
        <v>33200.204915090522</v>
      </c>
      <c r="G514" s="661">
        <f t="shared" ref="G514" ca="1" si="189">SUM(G510:G513)</f>
        <v>1098.9366156915266</v>
      </c>
      <c r="H514" s="661">
        <f t="shared" ref="H514:P514" si="190">SUM(H510:H513)</f>
        <v>1879.8392903534477</v>
      </c>
      <c r="I514" s="661">
        <f t="shared" ca="1" si="190"/>
        <v>30221.429009045547</v>
      </c>
      <c r="J514" s="661">
        <f t="shared" ca="1" si="190"/>
        <v>3942.685134359012</v>
      </c>
      <c r="K514" s="661">
        <f t="shared" ca="1" si="190"/>
        <v>25301.90303982393</v>
      </c>
      <c r="L514" s="661">
        <f t="shared" ca="1" si="190"/>
        <v>776.13306038376766</v>
      </c>
      <c r="M514" s="661">
        <f t="shared" si="190"/>
        <v>185.19662172228166</v>
      </c>
      <c r="N514" s="661">
        <f t="shared" si="190"/>
        <v>15.511152756551764</v>
      </c>
      <c r="O514" s="661">
        <f t="shared" si="190"/>
        <v>0</v>
      </c>
      <c r="P514" s="661">
        <f t="shared" si="190"/>
        <v>0</v>
      </c>
    </row>
    <row r="515" spans="1:18" ht="15.75" hidden="1" thickBot="1" x14ac:dyDescent="0.3"/>
    <row r="516" spans="1:18" s="54" customFormat="1" ht="75" x14ac:dyDescent="0.25">
      <c r="A516" s="119"/>
      <c r="B516" s="309"/>
      <c r="C516" s="322">
        <f ca="1">IF(F531&gt;0,1,0)</f>
        <v>1</v>
      </c>
      <c r="D516" s="45" t="str">
        <f>A33</f>
        <v>Nassau</v>
      </c>
      <c r="E516" s="28">
        <f>+SUMIF(A:A,D516,B:B)</f>
        <v>0.12769760760357801</v>
      </c>
      <c r="F516" s="652" t="s">
        <v>61</v>
      </c>
      <c r="G516" s="652" t="s">
        <v>387</v>
      </c>
      <c r="H516" s="652" t="s">
        <v>388</v>
      </c>
      <c r="I516" s="652" t="s">
        <v>392</v>
      </c>
      <c r="J516" s="652" t="s">
        <v>31</v>
      </c>
      <c r="K516" s="652" t="s">
        <v>32</v>
      </c>
      <c r="L516" s="653" t="s">
        <v>33</v>
      </c>
      <c r="M516" s="653" t="s">
        <v>60</v>
      </c>
      <c r="N516" s="653" t="s">
        <v>59</v>
      </c>
      <c r="O516" s="653" t="s">
        <v>58</v>
      </c>
      <c r="P516" s="653" t="s">
        <v>16</v>
      </c>
    </row>
    <row r="517" spans="1:18" s="54" customFormat="1" x14ac:dyDescent="0.25">
      <c r="A517" s="119"/>
      <c r="B517" s="309"/>
      <c r="C517" s="322">
        <f ca="1">C516</f>
        <v>1</v>
      </c>
      <c r="D517" s="56"/>
      <c r="E517" s="57"/>
      <c r="F517" s="654" t="s">
        <v>57</v>
      </c>
      <c r="G517" s="654" t="s">
        <v>56</v>
      </c>
      <c r="H517" s="654" t="s">
        <v>55</v>
      </c>
      <c r="I517" s="654" t="s">
        <v>54</v>
      </c>
      <c r="J517" s="654" t="s">
        <v>53</v>
      </c>
      <c r="K517" s="654" t="s">
        <v>52</v>
      </c>
      <c r="L517" s="654" t="s">
        <v>51</v>
      </c>
      <c r="M517" s="654" t="s">
        <v>50</v>
      </c>
      <c r="N517" s="654" t="s">
        <v>49</v>
      </c>
      <c r="O517" s="654" t="s">
        <v>47</v>
      </c>
      <c r="P517" s="655" t="s">
        <v>77</v>
      </c>
    </row>
    <row r="518" spans="1:18" s="54" customFormat="1" x14ac:dyDescent="0.25">
      <c r="A518" s="119"/>
      <c r="B518" s="309"/>
      <c r="C518" s="322">
        <f t="shared" ref="C518:C530" ca="1" si="191">C517</f>
        <v>1</v>
      </c>
      <c r="D518" s="59" t="s">
        <v>26</v>
      </c>
      <c r="E518" s="57"/>
      <c r="F518" s="656"/>
      <c r="G518" s="656"/>
      <c r="H518" s="656"/>
      <c r="I518" s="656"/>
      <c r="J518" s="656"/>
      <c r="K518" s="656"/>
      <c r="L518" s="656"/>
      <c r="M518" s="656"/>
      <c r="N518" s="656"/>
      <c r="O518" s="656"/>
      <c r="P518" s="663"/>
    </row>
    <row r="519" spans="1:18" s="54" customFormat="1" x14ac:dyDescent="0.25">
      <c r="A519" s="119"/>
      <c r="B519" s="309"/>
      <c r="C519" s="322">
        <f t="shared" ca="1" si="191"/>
        <v>1</v>
      </c>
      <c r="D519" s="7" t="s">
        <v>34</v>
      </c>
      <c r="E519" s="48" t="s">
        <v>57</v>
      </c>
      <c r="F519" s="657">
        <f ca="1">+H519+G519+I519</f>
        <v>825.62020488217206</v>
      </c>
      <c r="G519" s="658">
        <f ca="1">+IFERROR(G$5*GETPIVOTDATA("Unique Billed Hours",'County allocation'!$A$3,"County",$D516,"HHA/CDPAP","HHA","Level of Service",$D519),0)</f>
        <v>27.697011054446456</v>
      </c>
      <c r="H519" s="658">
        <f>+IFERROR(H$5*GETPIVOTDATA("Unique Billed Hours",'County allocation'!$S$3,"County",$D516,"HHA/CDPAP","HHA","Level of Service",$D519),0)</f>
        <v>47.378464655797053</v>
      </c>
      <c r="I519" s="664">
        <f ca="1">SUM(J519:P519)</f>
        <v>750.54472917192857</v>
      </c>
      <c r="J519" s="658">
        <f ca="1">+IFERROR(J$5*GETPIVOTDATA("Unique Billed Hours",'County allocation'!$AC$3,"County",$D516,"HHA/CDPAP","HHA","Level of Service",$D519),0)</f>
        <v>98.644194135643758</v>
      </c>
      <c r="K519" s="658">
        <f ca="1">+IFERROR(K$5*GETPIVOTDATA("Unique Billed Hours",'County allocation'!$X$3,"County",$D516,"HHA/CDPAP","HHA","Level of Service",$D519),0)</f>
        <v>637.69563975402934</v>
      </c>
      <c r="L519" s="658">
        <f ca="1">+IFERROR(L$2*GETPIVOTDATA("Unique Billed Hours",'County allocation'!$O$3,"County",$D516,"HHA/CDPAP","HHA","Level of Service",$D519),0)</f>
        <v>9.1463638173125261</v>
      </c>
      <c r="M519" s="658">
        <f>+IFERROR(M$5*GETPIVOTDATA("Unique Billed Hours",'County allocation'!$S$3,"County",$D516,"HHA/CDPAP","HHA","Level of Service",$D519),0)</f>
        <v>4.6675966619425147</v>
      </c>
      <c r="N519" s="658">
        <f>+IFERROR(N$5*GETPIVOTDATA("Unique Billed Hours",'County allocation'!$S$3,"County",$D516,"HHA/CDPAP","HHA","Level of Service",$D519),0)</f>
        <v>0.39093480300051703</v>
      </c>
      <c r="O519" s="658">
        <f>+IFERROR(O$5*GETPIVOTDATA("Unique Billed Hours",'County allocation'!$K$19,"County",$D516,"HHA/CDPAP","HHA","Level of Service",$D519),0)</f>
        <v>0</v>
      </c>
      <c r="P519" s="658">
        <f>+IFERROR(P$5*GETPIVOTDATA("Unique Billed Hours",'County allocation'!$S$3,"County",$D516,"HHA/CDPAP","HHA","Level of Service",$D519),0)</f>
        <v>0</v>
      </c>
    </row>
    <row r="520" spans="1:18" s="54" customFormat="1" x14ac:dyDescent="0.25">
      <c r="A520" s="119"/>
      <c r="B520" s="309"/>
      <c r="C520" s="322">
        <f t="shared" ca="1" si="191"/>
        <v>1</v>
      </c>
      <c r="D520" s="7" t="s">
        <v>35</v>
      </c>
      <c r="E520" s="48" t="s">
        <v>56</v>
      </c>
      <c r="F520" s="657">
        <f t="shared" ref="F520:F531" ca="1" si="192">+H520+G520+I520</f>
        <v>7921094.8479547016</v>
      </c>
      <c r="G520" s="658">
        <f ca="1">+IFERROR(G$5*GETPIVOTDATA("Unique Billed Hours",'County allocation'!$A$3,"County",$D516,"HHA/CDPAP","HHA","Level of Service",$D520),0)</f>
        <v>265728.29767220933</v>
      </c>
      <c r="H520" s="658">
        <f>+IFERROR(H$5*GETPIVOTDATA("Unique Billed Hours",'County allocation'!$S$3,"County",$D516,"HHA/CDPAP","HHA","Level of Service",$D520),0)</f>
        <v>454554.4186901254</v>
      </c>
      <c r="I520" s="664">
        <f t="shared" ref="I520:I530" ca="1" si="193">SUM(J520:P520)</f>
        <v>7200812.1315923668</v>
      </c>
      <c r="J520" s="658">
        <f ca="1">+IFERROR(J$5*GETPIVOTDATA("Unique Billed Hours",'County allocation'!$AC$3,"County",$D516,"HHA/CDPAP","HHA","Level of Service",$D520),0)</f>
        <v>946403.70151794422</v>
      </c>
      <c r="K520" s="658">
        <f ca="1">+IFERROR(K$5*GETPIVOTDATA("Unique Billed Hours",'County allocation'!$X$3,"County",$D516,"HHA/CDPAP","HHA","Level of Service",$D520),0)</f>
        <v>6118125.0370922117</v>
      </c>
      <c r="L520" s="658">
        <f ca="1">+IFERROR(L$2*GETPIVOTDATA("Unique Billed Hours",'County allocation'!$O$3,"County",$D516,"HHA/CDPAP","HHA","Level of Service",$D520),0)</f>
        <v>87751.262484150429</v>
      </c>
      <c r="M520" s="658">
        <f>+IFERROR(M$5*GETPIVOTDATA("Unique Billed Hours",'County allocation'!$S$3,"County",$D516,"HHA/CDPAP","HHA","Level of Service",$D520),0)</f>
        <v>44781.457203460668</v>
      </c>
      <c r="N520" s="658">
        <f>+IFERROR(N$5*GETPIVOTDATA("Unique Billed Hours",'County allocation'!$S$3,"County",$D516,"HHA/CDPAP","HHA","Level of Service",$D520),0)</f>
        <v>3750.6732945998037</v>
      </c>
      <c r="O520" s="658">
        <f>+IFERROR(O$5*GETPIVOTDATA("Unique Billed Hours",'County allocation'!$K$19,"County",$D516,"HHA/CDPAP","HHA","Level of Service",$D520),0)</f>
        <v>0</v>
      </c>
      <c r="P520" s="658">
        <f>+IFERROR(P$5*GETPIVOTDATA("Unique Billed Hours",'County allocation'!$S$3,"County",$D516,"HHA/CDPAP","HHA","Level of Service",$D520),0)</f>
        <v>0</v>
      </c>
      <c r="R520" s="61"/>
    </row>
    <row r="521" spans="1:18" s="54" customFormat="1" x14ac:dyDescent="0.25">
      <c r="A521" s="302"/>
      <c r="B521" s="309"/>
      <c r="C521" s="322">
        <f t="shared" ca="1" si="191"/>
        <v>1</v>
      </c>
      <c r="D521" s="7" t="s">
        <v>36</v>
      </c>
      <c r="E521" s="48" t="s">
        <v>55</v>
      </c>
      <c r="F521" s="657">
        <f t="shared" ca="1" si="192"/>
        <v>20640.505122054299</v>
      </c>
      <c r="G521" s="658">
        <f ca="1">+IFERROR(G$5*GETPIVOTDATA("Unique Billed Hours",'County allocation'!$A$3,"County",$D516,"HHA/CDPAP","HHA","Level of Service",$D521),0)</f>
        <v>692.42527636116142</v>
      </c>
      <c r="H521" s="658">
        <f>+IFERROR(H$5*GETPIVOTDATA("Unique Billed Hours",'County allocation'!$S$3,"County",$D516,"HHA/CDPAP","HHA","Level of Service",$D521),0)</f>
        <v>1184.4616163949263</v>
      </c>
      <c r="I521" s="664">
        <f t="shared" ca="1" si="193"/>
        <v>18763.618229298212</v>
      </c>
      <c r="J521" s="658">
        <f ca="1">+IFERROR(J$5*GETPIVOTDATA("Unique Billed Hours",'County allocation'!$AC$3,"County",$D516,"HHA/CDPAP","HHA","Level of Service",$D521),0)</f>
        <v>2466.1048533910939</v>
      </c>
      <c r="K521" s="658">
        <f ca="1">+IFERROR(K$5*GETPIVOTDATA("Unique Billed Hours",'County allocation'!$X$3,"County",$D516,"HHA/CDPAP","HHA","Level of Service",$D521),0)</f>
        <v>15942.39099385073</v>
      </c>
      <c r="L521" s="658">
        <f ca="1">+IFERROR(L$2*GETPIVOTDATA("Unique Billed Hours",'County allocation'!$O$3,"County",$D516,"HHA/CDPAP","HHA","Level of Service",$D521),0)</f>
        <v>228.65909543281313</v>
      </c>
      <c r="M521" s="658">
        <f>+IFERROR(M$5*GETPIVOTDATA("Unique Billed Hours",'County allocation'!$S$3,"County",$D516,"HHA/CDPAP","HHA","Level of Service",$D521),0)</f>
        <v>116.68991654856286</v>
      </c>
      <c r="N521" s="658">
        <f>+IFERROR(N$5*GETPIVOTDATA("Unique Billed Hours",'County allocation'!$S$3,"County",$D516,"HHA/CDPAP","HHA","Level of Service",$D521),0)</f>
        <v>9.7733700750129255</v>
      </c>
      <c r="O521" s="658">
        <f>+IFERROR(O$5*GETPIVOTDATA("Unique Billed Hours",'County allocation'!$K$19,"County",$D516,"HHA/CDPAP","HHA","Level of Service",$D521),0)</f>
        <v>0</v>
      </c>
      <c r="P521" s="658">
        <f>+IFERROR(P$5*GETPIVOTDATA("Unique Billed Hours",'County allocation'!$S$3,"County",$D516,"HHA/CDPAP","HHA","Level of Service",$D521),0)</f>
        <v>0</v>
      </c>
    </row>
    <row r="522" spans="1:18" s="54" customFormat="1" x14ac:dyDescent="0.25">
      <c r="A522" s="119"/>
      <c r="B522" s="309"/>
      <c r="C522" s="322">
        <f t="shared" ca="1" si="191"/>
        <v>1</v>
      </c>
      <c r="D522" s="7" t="s">
        <v>37</v>
      </c>
      <c r="E522" s="48" t="s">
        <v>54</v>
      </c>
      <c r="F522" s="657">
        <f t="shared" ca="1" si="192"/>
        <v>365818.55244654248</v>
      </c>
      <c r="G522" s="658">
        <f ca="1">+IFERROR(G$5*GETPIVOTDATA("Unique Billed Hours",'County allocation'!$A$3,"County",$D516,"HHA/CDPAP","HHA","Level of Service",$D522),0)</f>
        <v>12272.083981374319</v>
      </c>
      <c r="H522" s="658">
        <f>+IFERROR(H$5*GETPIVOTDATA("Unique Billed Hours",'County allocation'!$S$3,"County",$D516,"HHA/CDPAP","HHA","Level of Service",$D522),0)</f>
        <v>20992.608047906077</v>
      </c>
      <c r="I522" s="664">
        <f t="shared" ca="1" si="193"/>
        <v>332553.86041726207</v>
      </c>
      <c r="J522" s="658">
        <f ca="1">+IFERROR(J$5*GETPIVOTDATA("Unique Billed Hours",'County allocation'!$AC$3,"County",$D516,"HHA/CDPAP","HHA","Level of Service",$D522),0)</f>
        <v>43707.598351601489</v>
      </c>
      <c r="K522" s="658">
        <f ca="1">+IFERROR(K$5*GETPIVOTDATA("Unique Billed Hours",'County allocation'!$X$3,"County",$D516,"HHA/CDPAP","HHA","Level of Service",$D522),0)</f>
        <v>282552.30971434782</v>
      </c>
      <c r="L522" s="658">
        <f ca="1">+IFERROR(L$2*GETPIVOTDATA("Unique Billed Hours",'County allocation'!$O$3,"County",$D516,"HHA/CDPAP","HHA","Level of Service",$D522),0)</f>
        <v>4052.6013680542251</v>
      </c>
      <c r="M522" s="658">
        <f>+IFERROR(M$5*GETPIVOTDATA("Unique Billed Hours",'County allocation'!$S$3,"County",$D516,"HHA/CDPAP","HHA","Level of Service",$D522),0)</f>
        <v>2068.1342876290291</v>
      </c>
      <c r="N522" s="658">
        <f>+IFERROR(N$5*GETPIVOTDATA("Unique Billed Hours",'County allocation'!$S$3,"County",$D516,"HHA/CDPAP","HHA","Level of Service",$D522),0)</f>
        <v>173.21669562947909</v>
      </c>
      <c r="O522" s="658">
        <f>+IFERROR(O$5*GETPIVOTDATA("Unique Billed Hours",'County allocation'!$K$19,"County",$D516,"HHA/CDPAP","HHA","Level of Service",$D522),0)</f>
        <v>0</v>
      </c>
      <c r="P522" s="658">
        <f>+IFERROR(P$5*GETPIVOTDATA("Unique Billed Hours",'County allocation'!$S$3,"County",$D516,"HHA/CDPAP","HHA","Level of Service",$D522),0)</f>
        <v>0</v>
      </c>
    </row>
    <row r="523" spans="1:18" s="54" customFormat="1" x14ac:dyDescent="0.25">
      <c r="A523" s="119"/>
      <c r="B523" s="309"/>
      <c r="C523" s="322">
        <f t="shared" ca="1" si="191"/>
        <v>1</v>
      </c>
      <c r="D523" s="7" t="s">
        <v>38</v>
      </c>
      <c r="E523" s="48" t="s">
        <v>53</v>
      </c>
      <c r="F523" s="657">
        <f t="shared" ca="1" si="192"/>
        <v>0</v>
      </c>
      <c r="G523" s="658">
        <f ca="1">+IFERROR(G$5*GETPIVOTDATA("Unique Billed Hours",'County allocation'!$A$3,"County",$D516,"HHA/CDPAP","HHA","Level of Service",$D523),0)</f>
        <v>0</v>
      </c>
      <c r="H523" s="658">
        <f>+IFERROR(H$5*GETPIVOTDATA("Unique Billed Hours",'County allocation'!$S$3,"County",$D516,"HHA/CDPAP","HHA","Level of Service",$D523),0)</f>
        <v>0</v>
      </c>
      <c r="I523" s="664">
        <f t="shared" ca="1" si="193"/>
        <v>0</v>
      </c>
      <c r="J523" s="658">
        <f ca="1">+IFERROR(J$5*GETPIVOTDATA("Unique Billed Hours",'County allocation'!$AC$3,"County",$D516,"HHA/CDPAP","HHA","Level of Service",$D523),0)</f>
        <v>0</v>
      </c>
      <c r="K523" s="658">
        <f ca="1">+IFERROR(K$5*GETPIVOTDATA("Unique Billed Hours",'County allocation'!$X$3,"County",$D516,"HHA/CDPAP","HHA","Level of Service",$D523),0)</f>
        <v>0</v>
      </c>
      <c r="L523" s="658">
        <f ca="1">+IFERROR(L$5*GETPIVOTDATA("Unique Billed Hours",'County allocation'!$K$19,"County",$D516,"HHA/CDPAP","HHA","Level of Service",$D523),0)</f>
        <v>0</v>
      </c>
      <c r="M523" s="658">
        <f>+IFERROR(M$5*GETPIVOTDATA("Unique Billed Hours",'County allocation'!$S$3,"County",$D516,"HHA/CDPAP","HHA","Level of Service",$D523),0)</f>
        <v>0</v>
      </c>
      <c r="N523" s="658">
        <f>+IFERROR(N$5*GETPIVOTDATA("Unique Billed Hours",'County allocation'!$S$3,"County",$D516,"HHA/CDPAP","HHA","Level of Service",$D523),0)</f>
        <v>0</v>
      </c>
      <c r="O523" s="658">
        <f>+IFERROR(O$5*GETPIVOTDATA("Unique Billed Hours",'County allocation'!$K$19,"County",$D516,"HHA/CDPAP","HHA","Level of Service",$D523),0)</f>
        <v>0</v>
      </c>
      <c r="P523" s="658">
        <f>+IFERROR(P$5*GETPIVOTDATA("Unique Billed Hours",'County allocation'!$S$3,"County",$D516,"HHA/CDPAP","HHA","Level of Service",$D523),0)</f>
        <v>0</v>
      </c>
    </row>
    <row r="524" spans="1:18" s="54" customFormat="1" x14ac:dyDescent="0.25">
      <c r="A524" s="119"/>
      <c r="B524" s="309"/>
      <c r="C524" s="322">
        <f t="shared" ca="1" si="191"/>
        <v>1</v>
      </c>
      <c r="D524" s="7" t="s">
        <v>39</v>
      </c>
      <c r="E524" s="48" t="s">
        <v>52</v>
      </c>
      <c r="F524" s="657">
        <f t="shared" ca="1" si="192"/>
        <v>7002.6483783672875</v>
      </c>
      <c r="G524" s="658">
        <f ca="1">+IFERROR(G$5*GETPIVOTDATA("Unique Billed Hours",'County allocation'!$A$3,"County",$D516,"HHA/CDPAP","HHA","Level of Service",$D524),0)</f>
        <v>0</v>
      </c>
      <c r="H524" s="658">
        <f>+IFERROR(H$5*GETPIVOTDATA("Unique Billed Hours",'County allocation'!$S$3,"County",$D516,"HHA/CDPAP","HHA","Level of Service",$D524),0)</f>
        <v>0</v>
      </c>
      <c r="I524" s="664">
        <f t="shared" ca="1" si="193"/>
        <v>7002.6483783672875</v>
      </c>
      <c r="J524" s="658">
        <f ca="1">+IFERROR(J$5*GETPIVOTDATA("Unique Billed Hours",'County allocation'!$AC$3,"County",$D516,"HHA/CDPAP","HHA","Level of Service",$D524),0)</f>
        <v>1837.248115776365</v>
      </c>
      <c r="K524" s="658">
        <f ca="1">+IFERROR(K$5*GETPIVOTDATA("Unique Billed Hours",'County allocation'!$X$3,"County",$D516,"HHA/CDPAP","HHA","Level of Service",$D524),0)</f>
        <v>0</v>
      </c>
      <c r="L524" s="658">
        <f ca="1">+IFERROR(L$5*GETPIVOTDATA("Unique Billed Hours",'County allocation'!$K$19,"County",$D516,"HHA/CDPAP","HHA","Level of Service",$D524),0)</f>
        <v>5165.4002625909225</v>
      </c>
      <c r="M524" s="658">
        <f>+IFERROR(M$5*GETPIVOTDATA("Unique Billed Hours",'County allocation'!$S$3,"County",$D516,"HHA/CDPAP","HHA","Level of Service",$D524),0)</f>
        <v>0</v>
      </c>
      <c r="N524" s="658">
        <f>+IFERROR(N$5*GETPIVOTDATA("Unique Billed Hours",'County allocation'!$S$3,"County",$D516,"HHA/CDPAP","HHA","Level of Service",$D524),0)</f>
        <v>0</v>
      </c>
      <c r="O524" s="658">
        <f>+IFERROR(O$5*GETPIVOTDATA("Unique Billed Hours",'County allocation'!$K$19,"County",$D516,"HHA/CDPAP","HHA","Level of Service",$D524),0)</f>
        <v>0</v>
      </c>
      <c r="P524" s="658">
        <f>+IFERROR(P$5*GETPIVOTDATA("Unique Billed Hours",'County allocation'!$S$3,"County",$D516,"HHA/CDPAP","HHA","Level of Service",$D524),0)</f>
        <v>0</v>
      </c>
    </row>
    <row r="525" spans="1:18" s="54" customFormat="1" x14ac:dyDescent="0.25">
      <c r="A525" s="119"/>
      <c r="B525" s="309"/>
      <c r="C525" s="322">
        <f t="shared" ca="1" si="191"/>
        <v>1</v>
      </c>
      <c r="D525" s="8" t="s">
        <v>40</v>
      </c>
      <c r="E525" s="48" t="s">
        <v>51</v>
      </c>
      <c r="F525" s="657">
        <f t="shared" ca="1" si="192"/>
        <v>0</v>
      </c>
      <c r="G525" s="658">
        <f ca="1">+IFERROR(G$5*GETPIVOTDATA("Unique Billed Hours",'County allocation'!$A$3,"County",$D516,"HHA/CDPAP","HHA","Level of Service",$D525),0)</f>
        <v>0</v>
      </c>
      <c r="H525" s="658">
        <f>+IFERROR(H$5*GETPIVOTDATA("Unique Billed Hours",'County allocation'!$S$3,"County",$D516,"HHA/CDPAP","HHA","Level of Service",$D525),0)</f>
        <v>0</v>
      </c>
      <c r="I525" s="664">
        <f t="shared" ca="1" si="193"/>
        <v>0</v>
      </c>
      <c r="J525" s="658">
        <f ca="1">+IFERROR(J$5*GETPIVOTDATA("Unique Billed Hours",'County allocation'!$AC$3,"County",$D516,"HHA/CDPAP","HHA","Level of Service",$D525),0)</f>
        <v>0</v>
      </c>
      <c r="K525" s="658">
        <f ca="1">+IFERROR(K$5*GETPIVOTDATA("Unique Billed Hours",'County allocation'!$X$3,"County",$D516,"HHA/CDPAP","HHA","Level of Service",$D525),0)</f>
        <v>0</v>
      </c>
      <c r="L525" s="658">
        <f ca="1">+IFERROR(L$2*GETPIVOTDATA("Unique Billed Hours",'County allocation'!$O$3,"County",$D516,"HHA/CDPAP","HHA","Level of Service",$D525),0)</f>
        <v>0</v>
      </c>
      <c r="M525" s="658">
        <f>+IFERROR(M$5*GETPIVOTDATA("Unique Billed Hours",'County allocation'!$S$3,"County",$D516,"HHA/CDPAP","HHA","Level of Service",$D525),0)</f>
        <v>0</v>
      </c>
      <c r="N525" s="658">
        <f>+IFERROR(N$5*GETPIVOTDATA("Unique Billed Hours",'County allocation'!$S$3,"County",$D516,"HHA/CDPAP","HHA","Level of Service",$D525),0)</f>
        <v>0</v>
      </c>
      <c r="O525" s="658">
        <f>+IFERROR(O$5*GETPIVOTDATA("Unique Billed Hours",'County allocation'!$K$19,"County",$D516,"HHA/CDPAP","HHA","Level of Service",$D525),0)</f>
        <v>0</v>
      </c>
      <c r="P525" s="658">
        <f>+IFERROR(P$5*GETPIVOTDATA("Unique Billed Hours",'County allocation'!$S$3,"County",$D516,"HHA/CDPAP","HHA","Level of Service",$D525),0)</f>
        <v>0</v>
      </c>
    </row>
    <row r="526" spans="1:18" s="54" customFormat="1" x14ac:dyDescent="0.25">
      <c r="A526" s="119"/>
      <c r="B526" s="309"/>
      <c r="C526" s="322">
        <f t="shared" ca="1" si="191"/>
        <v>1</v>
      </c>
      <c r="D526" s="8" t="s">
        <v>41</v>
      </c>
      <c r="E526" s="48" t="s">
        <v>50</v>
      </c>
      <c r="F526" s="657">
        <f t="shared" ca="1" si="192"/>
        <v>427980.87370579591</v>
      </c>
      <c r="G526" s="658">
        <f ca="1">+IFERROR(G$5*GETPIVOTDATA("Unique Billed Hours",'County allocation'!$A$3,"County",$D516,"HHA/CDPAP","HHA","Level of Service",$D526),0)</f>
        <v>14357.438105348683</v>
      </c>
      <c r="H526" s="658">
        <f>+IFERROR(H$5*GETPIVOTDATA("Unique Billed Hours",'County allocation'!$S$3,"County",$D516,"HHA/CDPAP","HHA","Level of Service",$D526),0)</f>
        <v>24559.811615948798</v>
      </c>
      <c r="I526" s="664">
        <f t="shared" ca="1" si="193"/>
        <v>389063.62398449844</v>
      </c>
      <c r="J526" s="658">
        <f ca="1">+IFERROR(J$5*GETPIVOTDATA("Unique Billed Hours",'County allocation'!$AC$3,"County",$D516,"HHA/CDPAP","HHA","Level of Service",$D526),0)</f>
        <v>51134.684135064337</v>
      </c>
      <c r="K526" s="658">
        <f ca="1">+IFERROR(K$5*GETPIVOTDATA("Unique Billed Hours",'County allocation'!$X$3,"County",$D516,"HHA/CDPAP","HHA","Level of Service",$D526),0)</f>
        <v>330565.47725749487</v>
      </c>
      <c r="L526" s="658">
        <f ca="1">+IFERROR(L$2*GETPIVOTDATA("Unique Billed Hours",'County allocation'!$O$3,"County",$D516,"HHA/CDPAP","HHA","Level of Service",$D526),0)</f>
        <v>4741.2463437993802</v>
      </c>
      <c r="M526" s="658">
        <f>+IFERROR(M$5*GETPIVOTDATA("Unique Billed Hours",'County allocation'!$S$3,"County",$D516,"HHA/CDPAP","HHA","Level of Service",$D526),0)</f>
        <v>2419.5654196344512</v>
      </c>
      <c r="N526" s="658">
        <f>+IFERROR(N$5*GETPIVOTDATA("Unique Billed Hours",'County allocation'!$S$3,"County",$D516,"HHA/CDPAP","HHA","Level of Service",$D526),0)</f>
        <v>202.65082850539301</v>
      </c>
      <c r="O526" s="658">
        <f>+IFERROR(O$5*GETPIVOTDATA("Unique Billed Hours",'County allocation'!$K$19,"County",$D516,"HHA/CDPAP","HHA","Level of Service",$D526),0)</f>
        <v>0</v>
      </c>
      <c r="P526" s="658">
        <f>+IFERROR(P$5*GETPIVOTDATA("Unique Billed Hours",'County allocation'!$S$3,"County",$D516,"HHA/CDPAP","HHA","Level of Service",$D526),0)</f>
        <v>0</v>
      </c>
    </row>
    <row r="527" spans="1:18" s="54" customFormat="1" ht="15.75" thickBot="1" x14ac:dyDescent="0.3">
      <c r="A527" s="119"/>
      <c r="B527" s="309"/>
      <c r="C527" s="322">
        <f t="shared" ca="1" si="191"/>
        <v>1</v>
      </c>
      <c r="D527" s="52" t="s">
        <v>389</v>
      </c>
      <c r="E527" s="53" t="s">
        <v>49</v>
      </c>
      <c r="F527" s="657">
        <f t="shared" ca="1" si="192"/>
        <v>8743363.0478123426</v>
      </c>
      <c r="G527" s="661">
        <f ca="1">SUM(G519:G526)</f>
        <v>293077.94204634795</v>
      </c>
      <c r="H527" s="661">
        <f>SUM(H519:H526)</f>
        <v>501338.67843503098</v>
      </c>
      <c r="I527" s="664">
        <f t="shared" ca="1" si="193"/>
        <v>7948946.4273309642</v>
      </c>
      <c r="J527" s="661">
        <f ca="1">SUM(J519:J526)</f>
        <v>1045647.9811679132</v>
      </c>
      <c r="K527" s="661">
        <f t="shared" ref="K527:P527" ca="1" si="194">SUM(K519:K526)</f>
        <v>6747822.9106976585</v>
      </c>
      <c r="L527" s="661">
        <f t="shared" ca="1" si="194"/>
        <v>101948.31591784509</v>
      </c>
      <c r="M527" s="661">
        <f t="shared" si="194"/>
        <v>49390.514423934655</v>
      </c>
      <c r="N527" s="661">
        <f t="shared" si="194"/>
        <v>4136.705123612689</v>
      </c>
      <c r="O527" s="661">
        <f t="shared" si="194"/>
        <v>0</v>
      </c>
      <c r="P527" s="661">
        <f t="shared" si="194"/>
        <v>0</v>
      </c>
    </row>
    <row r="528" spans="1:18" s="54" customFormat="1" x14ac:dyDescent="0.25">
      <c r="A528" s="119"/>
      <c r="B528" s="309"/>
      <c r="C528" s="322">
        <f t="shared" ca="1" si="191"/>
        <v>1</v>
      </c>
      <c r="D528" s="371" t="s">
        <v>390</v>
      </c>
      <c r="E528" s="325" t="s">
        <v>47</v>
      </c>
      <c r="F528" s="657">
        <f t="shared" ca="1" si="192"/>
        <v>12029024.590415465</v>
      </c>
      <c r="G528" s="665">
        <f ca="1">+IFERROR((G$5*GETPIVOTDATA("Unique Billed Hours",'County allocation'!$A$3,"County",$D516,"HHA/CDPAP","HHA","Level of Service",$D528))+($G$2*GETPIVOTDATA("Unique Billed Hours",'County allocation'!$F$7,"County",$D516,"HHA/CDPAP","HHA","Level of Service",$D528)),0)++IFERROR(J$5*GETPIVOTDATA("Unique Billed Hours",'County allocation'!$AC$3,"County",$D516,"HHA/CDPAP","HHA","Level of Service",$D528),0)+ +IFERROR(J$5*GETPIVOTDATA("Unique Billed Hours",'County allocation'!$AC$3,"County",$D516,"HHA/CDPAP","HHA","Level of Service",$D529),0)</f>
        <v>12029024.590415465</v>
      </c>
      <c r="H528" s="665">
        <f>+IFERROR(H$5*GETPIVOTDATA("Unique Billed Hours",'County allocation'!$S$3,"County",$D516,"HHA/CDPAP","HHA","Level of Service",$D528),0)</f>
        <v>0</v>
      </c>
      <c r="I528" s="664">
        <f t="shared" ca="1" si="193"/>
        <v>0</v>
      </c>
      <c r="J528" s="901"/>
      <c r="K528" s="665">
        <f ca="1">+IFERROR(K$5*GETPIVOTDATA("Unique Billed Hours",'County allocation'!$X$3,"County",$D516,"HHA/CDPAP","HHA","Level of Service",$D528),0)</f>
        <v>0</v>
      </c>
      <c r="L528" s="665">
        <f ca="1">+IFERROR(L$5*GETPIVOTDATA("Unique Billed Hours",'County allocation'!$K$19,"County",$D516,"HHA/CDPAP","HHA","Level of Service",$D528),0)</f>
        <v>0</v>
      </c>
      <c r="M528" s="665">
        <f>+IFERROR(M$5*GETPIVOTDATA("Unique Billed Hours",'County allocation'!$S$3,"County",$D516,"HHA/CDPAP","HHA","Level of Service",$D528),0)</f>
        <v>0</v>
      </c>
      <c r="N528" s="665">
        <f>+IFERROR(N$5*GETPIVOTDATA("Unique Billed Hours",'County allocation'!$S$3,"County",$D516,"HHA/CDPAP","HHA","Level of Service",$D528),0)</f>
        <v>0</v>
      </c>
      <c r="O528" s="665">
        <f>+IFERROR(O$5*GETPIVOTDATA("Unique Billed Hours",'County allocation'!$S$3,"County",$D516,"HHA/CDPAP","HHA","Level of Service",$D528),0)</f>
        <v>0</v>
      </c>
      <c r="P528" s="665">
        <f>+IFERROR(P$5*GETPIVOTDATA("Unique Billed Hours",'County allocation'!$S$3,"County",$D516,"HHA/CDPAP","HHA","Level of Service",$D528),0)</f>
        <v>0</v>
      </c>
    </row>
    <row r="529" spans="1:18" s="54" customFormat="1" x14ac:dyDescent="0.25">
      <c r="A529" s="119"/>
      <c r="B529" s="309"/>
      <c r="C529" s="322">
        <f t="shared" ca="1" si="191"/>
        <v>1</v>
      </c>
      <c r="D529" s="8" t="s">
        <v>391</v>
      </c>
      <c r="E529" s="370" t="s">
        <v>77</v>
      </c>
      <c r="F529" s="657">
        <f t="shared" ca="1" si="192"/>
        <v>1940574.2584006519</v>
      </c>
      <c r="G529" s="656"/>
      <c r="H529" s="658">
        <f>+IFERROR(H$5*GETPIVOTDATA("Unique Billed Hours",'County allocation'!$S$3,"County",$D516,"HHA/CDPAP","HHA","Level of Service",$D529),0)</f>
        <v>0</v>
      </c>
      <c r="I529" s="664">
        <f t="shared" ca="1" si="193"/>
        <v>1940574.2584006519</v>
      </c>
      <c r="J529" s="901"/>
      <c r="K529" s="665">
        <f ca="1">+IFERROR(K$5*GETPIVOTDATA("Unique Billed Hours",'County allocation'!$X$3,"County",$D516,"HHA/CDPAP","HHA","Level of Service",$D529),0)</f>
        <v>1940574.2584006519</v>
      </c>
      <c r="L529" s="665">
        <f ca="1">+IFERROR(L$5*GETPIVOTDATA("Unique Billed Hours",'County allocation'!$K$19,"County",$D516,"HHA/CDPAP","HHA","Level of Service",$D529),0)</f>
        <v>0</v>
      </c>
      <c r="M529" s="665">
        <f>+IFERROR(M$5*GETPIVOTDATA("Unique Billed Hours",'County allocation'!$S$3,"County",$D516,"HHA/CDPAP","HHA","Level of Service",$D529),0)</f>
        <v>0</v>
      </c>
      <c r="N529" s="665">
        <f>+IFERROR(N$5*GETPIVOTDATA("Unique Billed Hours",'County allocation'!$S$3,"County",$D516,"HHA/CDPAP","HHA","Level of Service",$D529),0)</f>
        <v>0</v>
      </c>
      <c r="O529" s="665">
        <f>+IFERROR(O$5*GETPIVOTDATA("Unique Billed Hours",'County allocation'!$S$3,"County",$D516,"HHA/CDPAP","HHA","Level of Service",$D529),0)</f>
        <v>0</v>
      </c>
      <c r="P529" s="665">
        <f>+IFERROR(P$5*GETPIVOTDATA("Unique Billed Hours",'County allocation'!$S$3,"County",$D516,"HHA/CDPAP","HHA","Level of Service",$D529),0)</f>
        <v>0</v>
      </c>
    </row>
    <row r="530" spans="1:18" s="54" customFormat="1" x14ac:dyDescent="0.25">
      <c r="A530" s="119"/>
      <c r="B530" s="309"/>
      <c r="C530" s="322">
        <f t="shared" ca="1" si="191"/>
        <v>1</v>
      </c>
      <c r="D530" s="8" t="s">
        <v>374</v>
      </c>
      <c r="E530" s="370" t="s">
        <v>78</v>
      </c>
      <c r="F530" s="657">
        <f t="shared" ca="1" si="192"/>
        <v>60791.176563965069</v>
      </c>
      <c r="G530" s="658">
        <f ca="1">+IFERROR(G$5*GETPIVOTDATA("Unique Billed Hours",'County allocation'!$A$3,"County",$D516,"HHA/CDPAP","HHA","Level of Service",$D530),0)++IFERROR(J$5*GETPIVOTDATA("Unique Billed Hours",'County allocation'!$AC$3,"County",$D516,"HHA/CDPAP","HHA","Level of Service",$D530),0)</f>
        <v>60791.176563965069</v>
      </c>
      <c r="H530" s="658">
        <f>+IFERROR(H$5*GETPIVOTDATA("Unique Billed Hours",'County allocation'!$S$3,"County",$D516,"HHA/CDPAP","HHA","Level of Service",$D530),0)</f>
        <v>0</v>
      </c>
      <c r="I530" s="664">
        <f t="shared" ca="1" si="193"/>
        <v>0</v>
      </c>
      <c r="J530" s="901"/>
      <c r="K530" s="665">
        <f ca="1">+IFERROR(K$5*GETPIVOTDATA("Unique Billed Hours",'County allocation'!$X$3,"County",$D516,"HHA/CDPAP","HHA","Level of Service",$D530),0)</f>
        <v>0</v>
      </c>
      <c r="L530" s="665">
        <f ca="1">+IFERROR(L$5*GETPIVOTDATA("Unique Billed Hours",'County allocation'!$K$19,"County",$D516,"HHA/CDPAP","HHA","Level of Service",$D530),0)</f>
        <v>0</v>
      </c>
      <c r="M530" s="665">
        <f>+IFERROR(M$5*GETPIVOTDATA("Unique Billed Hours",'County allocation'!$S$3,"County",$D516,"HHA/CDPAP","HHA","Level of Service",$D530),0)</f>
        <v>0</v>
      </c>
      <c r="N530" s="665">
        <f>+IFERROR(N$5*GETPIVOTDATA("Unique Billed Hours",'County allocation'!$S$3,"County",$D516,"HHA/CDPAP","HHA","Level of Service",$D530),0)</f>
        <v>0</v>
      </c>
      <c r="O530" s="665">
        <f>+IFERROR(O$5*GETPIVOTDATA("Unique Billed Hours",'County allocation'!$S$3,"County",$D516,"HHA/CDPAP","HHA","Level of Service",$D530),0)</f>
        <v>0</v>
      </c>
      <c r="P530" s="665">
        <f>+IFERROR(P$5*GETPIVOTDATA("Unique Billed Hours",'County allocation'!$S$3,"County",$D516,"HHA/CDPAP","HHA","Level of Service",$D530),0)</f>
        <v>0</v>
      </c>
    </row>
    <row r="531" spans="1:18" s="54" customFormat="1" ht="15.75" thickBot="1" x14ac:dyDescent="0.3">
      <c r="A531" s="302"/>
      <c r="B531" s="309"/>
      <c r="C531" s="322">
        <f ca="1">C530</f>
        <v>1</v>
      </c>
      <c r="D531" s="52" t="s">
        <v>48</v>
      </c>
      <c r="E531" s="53" t="s">
        <v>79</v>
      </c>
      <c r="F531" s="657">
        <f t="shared" ca="1" si="192"/>
        <v>22773753.073192425</v>
      </c>
      <c r="G531" s="661">
        <f t="shared" ref="G531" ca="1" si="195">SUM(G527:G530)</f>
        <v>12382893.709025778</v>
      </c>
      <c r="H531" s="661">
        <f t="shared" ref="H531:P531" si="196">SUM(H527:H530)</f>
        <v>501338.67843503098</v>
      </c>
      <c r="I531" s="661">
        <f t="shared" ca="1" si="196"/>
        <v>9889520.6857316159</v>
      </c>
      <c r="J531" s="661">
        <f t="shared" ca="1" si="196"/>
        <v>1045647.9811679132</v>
      </c>
      <c r="K531" s="661">
        <f t="shared" ca="1" si="196"/>
        <v>8688397.1690983102</v>
      </c>
      <c r="L531" s="661">
        <f t="shared" ca="1" si="196"/>
        <v>101948.31591784509</v>
      </c>
      <c r="M531" s="661">
        <f t="shared" si="196"/>
        <v>49390.514423934655</v>
      </c>
      <c r="N531" s="661">
        <f t="shared" si="196"/>
        <v>4136.705123612689</v>
      </c>
      <c r="O531" s="661">
        <f t="shared" si="196"/>
        <v>0</v>
      </c>
      <c r="P531" s="661">
        <f t="shared" si="196"/>
        <v>0</v>
      </c>
    </row>
    <row r="532" spans="1:18" ht="15.75" hidden="1" thickBot="1" x14ac:dyDescent="0.3"/>
    <row r="533" spans="1:18" s="54" customFormat="1" ht="75" x14ac:dyDescent="0.25">
      <c r="A533" s="119"/>
      <c r="B533" s="309"/>
      <c r="C533" s="322">
        <f ca="1">IF(F548&gt;0,1,0)</f>
        <v>1</v>
      </c>
      <c r="D533" s="45" t="str">
        <f>A34</f>
        <v>New York</v>
      </c>
      <c r="E533" s="28">
        <f>+SUMIF(A:A,D533,B:B)</f>
        <v>0.11860817754043497</v>
      </c>
      <c r="F533" s="652" t="s">
        <v>61</v>
      </c>
      <c r="G533" s="652" t="s">
        <v>387</v>
      </c>
      <c r="H533" s="652" t="s">
        <v>388</v>
      </c>
      <c r="I533" s="652" t="s">
        <v>392</v>
      </c>
      <c r="J533" s="652" t="s">
        <v>31</v>
      </c>
      <c r="K533" s="652" t="s">
        <v>32</v>
      </c>
      <c r="L533" s="653" t="s">
        <v>33</v>
      </c>
      <c r="M533" s="653" t="s">
        <v>60</v>
      </c>
      <c r="N533" s="653" t="s">
        <v>59</v>
      </c>
      <c r="O533" s="653" t="s">
        <v>58</v>
      </c>
      <c r="P533" s="653" t="s">
        <v>16</v>
      </c>
    </row>
    <row r="534" spans="1:18" s="54" customFormat="1" x14ac:dyDescent="0.25">
      <c r="A534" s="119"/>
      <c r="B534" s="309"/>
      <c r="C534" s="322">
        <f ca="1">C533</f>
        <v>1</v>
      </c>
      <c r="D534" s="56"/>
      <c r="E534" s="57"/>
      <c r="F534" s="654" t="s">
        <v>57</v>
      </c>
      <c r="G534" s="654" t="s">
        <v>56</v>
      </c>
      <c r="H534" s="654" t="s">
        <v>55</v>
      </c>
      <c r="I534" s="654" t="s">
        <v>54</v>
      </c>
      <c r="J534" s="654" t="s">
        <v>53</v>
      </c>
      <c r="K534" s="654" t="s">
        <v>52</v>
      </c>
      <c r="L534" s="654" t="s">
        <v>51</v>
      </c>
      <c r="M534" s="654" t="s">
        <v>50</v>
      </c>
      <c r="N534" s="654" t="s">
        <v>49</v>
      </c>
      <c r="O534" s="654" t="s">
        <v>47</v>
      </c>
      <c r="P534" s="655" t="s">
        <v>77</v>
      </c>
    </row>
    <row r="535" spans="1:18" s="54" customFormat="1" x14ac:dyDescent="0.25">
      <c r="A535" s="119"/>
      <c r="B535" s="309"/>
      <c r="C535" s="322">
        <f t="shared" ref="C535:C547" ca="1" si="197">C534</f>
        <v>1</v>
      </c>
      <c r="D535" s="59" t="s">
        <v>26</v>
      </c>
      <c r="E535" s="57"/>
      <c r="F535" s="656"/>
      <c r="G535" s="656"/>
      <c r="H535" s="656"/>
      <c r="I535" s="656"/>
      <c r="J535" s="656"/>
      <c r="K535" s="656"/>
      <c r="L535" s="656"/>
      <c r="M535" s="656"/>
      <c r="N535" s="656"/>
      <c r="O535" s="656"/>
      <c r="P535" s="663"/>
    </row>
    <row r="536" spans="1:18" s="54" customFormat="1" x14ac:dyDescent="0.25">
      <c r="A536" s="119"/>
      <c r="B536" s="309"/>
      <c r="C536" s="322">
        <f t="shared" ca="1" si="197"/>
        <v>1</v>
      </c>
      <c r="D536" s="7" t="s">
        <v>34</v>
      </c>
      <c r="E536" s="48" t="s">
        <v>57</v>
      </c>
      <c r="F536" s="657">
        <f ca="1">+H536+G536+I536</f>
        <v>2442.4597727764258</v>
      </c>
      <c r="G536" s="658">
        <f ca="1">+IFERROR(G$5*GETPIVOTDATA("Unique Billed Hours",'County allocation'!$A$3,"County",$D533,"HHA/CDPAP","HHA","Level of Service",$D536),0)</f>
        <v>81.936991036070765</v>
      </c>
      <c r="H536" s="658">
        <f>+IFERROR(H$5*GETPIVOTDATA("Unique Billed Hours",'County allocation'!$S$3,"County",$D533,"HHA/CDPAP","HHA","Level of Service",$D536),0)</f>
        <v>140.16129127339963</v>
      </c>
      <c r="I536" s="664">
        <f ca="1">SUM(J536:P536)</f>
        <v>2220.3614904669553</v>
      </c>
      <c r="J536" s="658">
        <f ca="1">+IFERROR(J$5*GETPIVOTDATA("Unique Billed Hours",'County allocation'!$AC$3,"County",$D533,"HHA/CDPAP","HHA","Level of Service",$D536),0)</f>
        <v>291.82240765127943</v>
      </c>
      <c r="K536" s="658">
        <f ca="1">+IFERROR(K$5*GETPIVOTDATA("Unique Billed Hours",'County allocation'!$X$3,"County",$D533,"HHA/CDPAP","HHA","Level of Service",$D536),0)</f>
        <v>1886.5162676056698</v>
      </c>
      <c r="L536" s="658">
        <f ca="1">+IFERROR(L$2*GETPIVOTDATA("Unique Billed Hours",'County allocation'!$O$3,"County",$D533,"HHA/CDPAP","HHA","Level of Service",$D536),0)</f>
        <v>27.057992959549555</v>
      </c>
      <c r="M536" s="658">
        <f>+IFERROR(M$5*GETPIVOTDATA("Unique Billed Hours",'County allocation'!$S$3,"County",$D533,"HHA/CDPAP","HHA","Level of Service",$D536),0)</f>
        <v>13.808306791579939</v>
      </c>
      <c r="N536" s="658">
        <f>+IFERROR(N$5*GETPIVOTDATA("Unique Billed Hours",'County allocation'!$S$3,"County",$D533,"HHA/CDPAP","HHA","Level of Service",$D536),0)</f>
        <v>1.1565154588765294</v>
      </c>
      <c r="O536" s="658">
        <f>+IFERROR(O$5*GETPIVOTDATA("Unique Billed Hours",'County allocation'!$K$19,"County",$D533,"HHA/CDPAP","HHA","Level of Service",$D536),0)</f>
        <v>0</v>
      </c>
      <c r="P536" s="658">
        <f>+IFERROR(P$5*GETPIVOTDATA("Unique Billed Hours",'County allocation'!$S$3,"County",$D533,"HHA/CDPAP","HHA","Level of Service",$D536),0)</f>
        <v>0</v>
      </c>
    </row>
    <row r="537" spans="1:18" s="54" customFormat="1" x14ac:dyDescent="0.25">
      <c r="A537" s="119"/>
      <c r="B537" s="309"/>
      <c r="C537" s="322">
        <f t="shared" ca="1" si="197"/>
        <v>1</v>
      </c>
      <c r="D537" s="7" t="s">
        <v>35</v>
      </c>
      <c r="E537" s="48" t="s">
        <v>56</v>
      </c>
      <c r="F537" s="657">
        <f t="shared" ref="F537:F548" ca="1" si="198">+H537+G537+I537</f>
        <v>12435190.518568913</v>
      </c>
      <c r="G537" s="658">
        <f ca="1">+IFERROR(G$5*GETPIVOTDATA("Unique Billed Hours",'County allocation'!$A$3,"County",$D533,"HHA/CDPAP","HHA","Level of Service",$D537),0)</f>
        <v>417162.2826334589</v>
      </c>
      <c r="H537" s="658">
        <f>+IFERROR(H$5*GETPIVOTDATA("Unique Billed Hours",'County allocation'!$S$3,"County",$D533,"HHA/CDPAP","HHA","Level of Service",$D537),0)</f>
        <v>713597.16124704271</v>
      </c>
      <c r="I537" s="664">
        <f t="shared" ref="I537:I547" ca="1" si="199">SUM(J537:P537)</f>
        <v>11304431.07468841</v>
      </c>
      <c r="J537" s="658">
        <f ca="1">+IFERROR(J$5*GETPIVOTDATA("Unique Billed Hours",'County allocation'!$AC$3,"County",$D533,"HHA/CDPAP","HHA","Level of Service",$D537),0)</f>
        <v>1485742.8880419543</v>
      </c>
      <c r="K537" s="658">
        <f ca="1">+IFERROR(K$5*GETPIVOTDATA("Unique Billed Hours",'County allocation'!$X$3,"County",$D533,"HHA/CDPAP","HHA","Level of Service",$D537),0)</f>
        <v>9604739.232773196</v>
      </c>
      <c r="L537" s="658">
        <f ca="1">+IFERROR(L$2*GETPIVOTDATA("Unique Billed Hours",'County allocation'!$O$3,"County",$D533,"HHA/CDPAP","HHA","Level of Service",$D537),0)</f>
        <v>137759.19720455285</v>
      </c>
      <c r="M537" s="658">
        <f>+IFERROR(M$5*GETPIVOTDATA("Unique Billed Hours",'County allocation'!$S$3,"County",$D533,"HHA/CDPAP","HHA","Level of Service",$D537),0)</f>
        <v>70301.639194228483</v>
      </c>
      <c r="N537" s="658">
        <f>+IFERROR(N$5*GETPIVOTDATA("Unique Billed Hours",'County allocation'!$S$3,"County",$D533,"HHA/CDPAP","HHA","Level of Service",$D537),0)</f>
        <v>5888.1174744801929</v>
      </c>
      <c r="O537" s="658">
        <f>+IFERROR(O$5*GETPIVOTDATA("Unique Billed Hours",'County allocation'!$K$19,"County",$D533,"HHA/CDPAP","HHA","Level of Service",$D537),0)</f>
        <v>0</v>
      </c>
      <c r="P537" s="658">
        <f>+IFERROR(P$5*GETPIVOTDATA("Unique Billed Hours",'County allocation'!$S$3,"County",$D533,"HHA/CDPAP","HHA","Level of Service",$D537),0)</f>
        <v>0</v>
      </c>
      <c r="R537" s="61"/>
    </row>
    <row r="538" spans="1:18" s="54" customFormat="1" x14ac:dyDescent="0.25">
      <c r="A538" s="302"/>
      <c r="B538" s="309"/>
      <c r="C538" s="322">
        <f t="shared" ca="1" si="197"/>
        <v>1</v>
      </c>
      <c r="D538" s="7" t="s">
        <v>36</v>
      </c>
      <c r="E538" s="48" t="s">
        <v>55</v>
      </c>
      <c r="F538" s="657">
        <f t="shared" ca="1" si="198"/>
        <v>0</v>
      </c>
      <c r="G538" s="658">
        <f ca="1">+IFERROR(G$5*GETPIVOTDATA("Unique Billed Hours",'County allocation'!$A$3,"County",$D533,"HHA/CDPAP","HHA","Level of Service",$D538),0)</f>
        <v>0</v>
      </c>
      <c r="H538" s="658">
        <f>+IFERROR(H$5*GETPIVOTDATA("Unique Billed Hours",'County allocation'!$S$3,"County",$D533,"HHA/CDPAP","HHA","Level of Service",$D538),0)</f>
        <v>0</v>
      </c>
      <c r="I538" s="664">
        <f t="shared" ca="1" si="199"/>
        <v>0</v>
      </c>
      <c r="J538" s="658">
        <f ca="1">+IFERROR(J$5*GETPIVOTDATA("Unique Billed Hours",'County allocation'!$AC$3,"County",$D533,"HHA/CDPAP","HHA","Level of Service",$D538),0)</f>
        <v>0</v>
      </c>
      <c r="K538" s="658">
        <f ca="1">+IFERROR(K$5*GETPIVOTDATA("Unique Billed Hours",'County allocation'!$X$3,"County",$D533,"HHA/CDPAP","HHA","Level of Service",$D538),0)</f>
        <v>0</v>
      </c>
      <c r="L538" s="658">
        <f ca="1">+IFERROR(L$2*GETPIVOTDATA("Unique Billed Hours",'County allocation'!$O$3,"County",$D533,"HHA/CDPAP","HHA","Level of Service",$D538),0)</f>
        <v>0</v>
      </c>
      <c r="M538" s="658">
        <f>+IFERROR(M$5*GETPIVOTDATA("Unique Billed Hours",'County allocation'!$S$3,"County",$D533,"HHA/CDPAP","HHA","Level of Service",$D538),0)</f>
        <v>0</v>
      </c>
      <c r="N538" s="658">
        <f>+IFERROR(N$5*GETPIVOTDATA("Unique Billed Hours",'County allocation'!$S$3,"County",$D533,"HHA/CDPAP","HHA","Level of Service",$D538),0)</f>
        <v>0</v>
      </c>
      <c r="O538" s="658">
        <f>+IFERROR(O$5*GETPIVOTDATA("Unique Billed Hours",'County allocation'!$K$19,"County",$D533,"HHA/CDPAP","HHA","Level of Service",$D538),0)</f>
        <v>0</v>
      </c>
      <c r="P538" s="658">
        <f>+IFERROR(P$5*GETPIVOTDATA("Unique Billed Hours",'County allocation'!$S$3,"County",$D533,"HHA/CDPAP","HHA","Level of Service",$D538),0)</f>
        <v>0</v>
      </c>
    </row>
    <row r="539" spans="1:18" s="54" customFormat="1" x14ac:dyDescent="0.25">
      <c r="A539" s="119"/>
      <c r="B539" s="309"/>
      <c r="C539" s="322">
        <f t="shared" ca="1" si="197"/>
        <v>1</v>
      </c>
      <c r="D539" s="7" t="s">
        <v>37</v>
      </c>
      <c r="E539" s="48" t="s">
        <v>54</v>
      </c>
      <c r="F539" s="657">
        <f t="shared" ca="1" si="198"/>
        <v>882794.40407026256</v>
      </c>
      <c r="G539" s="658">
        <f ca="1">+IFERROR(G$5*GETPIVOTDATA("Unique Billed Hours",'County allocation'!$A$3,"County",$D533,"HHA/CDPAP","HHA","Level of Service",$D539),0)</f>
        <v>29615.029069966877</v>
      </c>
      <c r="H539" s="658">
        <f>+IFERROR(H$5*GETPIVOTDATA("Unique Billed Hours",'County allocation'!$S$3,"County",$D533,"HHA/CDPAP","HHA","Level of Service",$D539),0)</f>
        <v>50659.423333210994</v>
      </c>
      <c r="I539" s="664">
        <f t="shared" ca="1" si="199"/>
        <v>802519.95166708471</v>
      </c>
      <c r="J539" s="658">
        <f ca="1">+IFERROR(J$5*GETPIVOTDATA("Unique Billed Hours",'County allocation'!$AC$3,"County",$D533,"HHA/CDPAP","HHA","Level of Service",$D539),0)</f>
        <v>105475.30457953709</v>
      </c>
      <c r="K539" s="658">
        <f ca="1">+IFERROR(K$5*GETPIVOTDATA("Unique Billed Hours",'County allocation'!$X$3,"County",$D533,"HHA/CDPAP","HHA","Level of Service",$D539),0)</f>
        <v>681856.06280699582</v>
      </c>
      <c r="L539" s="658">
        <f ca="1">+IFERROR(L$2*GETPIVOTDATA("Unique Billed Hours",'County allocation'!$O$3,"County",$D533,"HHA/CDPAP","HHA","Level of Service",$D539),0)</f>
        <v>9779.7495116614173</v>
      </c>
      <c r="M539" s="658">
        <f>+IFERROR(M$5*GETPIVOTDATA("Unique Billed Hours",'County allocation'!$S$3,"County",$D533,"HHA/CDPAP","HHA","Level of Service",$D539),0)</f>
        <v>4990.8277307820335</v>
      </c>
      <c r="N539" s="658">
        <f>+IFERROR(N$5*GETPIVOTDATA("Unique Billed Hours",'County allocation'!$S$3,"County",$D533,"HHA/CDPAP","HHA","Level of Service",$D539),0)</f>
        <v>418.00703810830282</v>
      </c>
      <c r="O539" s="658">
        <f>+IFERROR(O$5*GETPIVOTDATA("Unique Billed Hours",'County allocation'!$K$19,"County",$D533,"HHA/CDPAP","HHA","Level of Service",$D539),0)</f>
        <v>0</v>
      </c>
      <c r="P539" s="658">
        <f>+IFERROR(P$5*GETPIVOTDATA("Unique Billed Hours",'County allocation'!$S$3,"County",$D533,"HHA/CDPAP","HHA","Level of Service",$D539),0)</f>
        <v>0</v>
      </c>
    </row>
    <row r="540" spans="1:18" s="54" customFormat="1" x14ac:dyDescent="0.25">
      <c r="A540" s="119"/>
      <c r="B540" s="309"/>
      <c r="C540" s="322">
        <f t="shared" ca="1" si="197"/>
        <v>1</v>
      </c>
      <c r="D540" s="7" t="s">
        <v>38</v>
      </c>
      <c r="E540" s="48" t="s">
        <v>53</v>
      </c>
      <c r="F540" s="657">
        <f t="shared" ca="1" si="198"/>
        <v>20018.987599632426</v>
      </c>
      <c r="G540" s="658">
        <f ca="1">+IFERROR(G$5*GETPIVOTDATA("Unique Billed Hours",'County allocation'!$A$3,"County",$D533,"HHA/CDPAP","HHA","Level of Service",$D540),0)</f>
        <v>0</v>
      </c>
      <c r="H540" s="658">
        <f>+IFERROR(H$5*GETPIVOTDATA("Unique Billed Hours",'County allocation'!$S$3,"County",$D533,"HHA/CDPAP","HHA","Level of Service",$D540),0)</f>
        <v>0</v>
      </c>
      <c r="I540" s="664">
        <f t="shared" ca="1" si="199"/>
        <v>20018.987599632426</v>
      </c>
      <c r="J540" s="658">
        <f ca="1">+IFERROR(J$5*GETPIVOTDATA("Unique Billed Hours",'County allocation'!$AC$3,"County",$D533,"HHA/CDPAP","HHA","Level of Service",$D540),0)</f>
        <v>390.46660178692321</v>
      </c>
      <c r="K540" s="658">
        <f ca="1">+IFERROR(K$5*GETPIVOTDATA("Unique Billed Hours",'County allocation'!$X$3,"County",$D533,"HHA/CDPAP","HHA","Level of Service",$D540),0)</f>
        <v>0</v>
      </c>
      <c r="L540" s="658">
        <f ca="1">+IFERROR(L$5*GETPIVOTDATA("Unique Billed Hours",'County allocation'!$K$19,"County",$D533,"HHA/CDPAP","HHA","Level of Service",$D540),0)</f>
        <v>19628.520997845502</v>
      </c>
      <c r="M540" s="658">
        <f>+IFERROR(M$5*GETPIVOTDATA("Unique Billed Hours",'County allocation'!$S$3,"County",$D533,"HHA/CDPAP","HHA","Level of Service",$D540),0)</f>
        <v>0</v>
      </c>
      <c r="N540" s="658">
        <f>+IFERROR(N$5*GETPIVOTDATA("Unique Billed Hours",'County allocation'!$S$3,"County",$D533,"HHA/CDPAP","HHA","Level of Service",$D540),0)</f>
        <v>0</v>
      </c>
      <c r="O540" s="658">
        <f>+IFERROR(O$5*GETPIVOTDATA("Unique Billed Hours",'County allocation'!$K$19,"County",$D533,"HHA/CDPAP","HHA","Level of Service",$D540),0)</f>
        <v>0</v>
      </c>
      <c r="P540" s="658">
        <f>+IFERROR(P$5*GETPIVOTDATA("Unique Billed Hours",'County allocation'!$S$3,"County",$D533,"HHA/CDPAP","HHA","Level of Service",$D540),0)</f>
        <v>0</v>
      </c>
    </row>
    <row r="541" spans="1:18" s="54" customFormat="1" x14ac:dyDescent="0.25">
      <c r="A541" s="119"/>
      <c r="B541" s="309"/>
      <c r="C541" s="322">
        <f t="shared" ca="1" si="197"/>
        <v>1</v>
      </c>
      <c r="D541" s="7" t="s">
        <v>39</v>
      </c>
      <c r="E541" s="48" t="s">
        <v>52</v>
      </c>
      <c r="F541" s="657">
        <f t="shared" ca="1" si="198"/>
        <v>77769.336136558893</v>
      </c>
      <c r="G541" s="658">
        <f ca="1">+IFERROR(G$5*GETPIVOTDATA("Unique Billed Hours",'County allocation'!$A$3,"County",$D533,"HHA/CDPAP","HHA","Level of Service",$D541),0)</f>
        <v>0</v>
      </c>
      <c r="H541" s="658">
        <f>+IFERROR(H$5*GETPIVOTDATA("Unique Billed Hours",'County allocation'!$S$3,"County",$D533,"HHA/CDPAP","HHA","Level of Service",$D541),0)</f>
        <v>0</v>
      </c>
      <c r="I541" s="664">
        <f t="shared" ca="1" si="199"/>
        <v>77769.336136558893</v>
      </c>
      <c r="J541" s="658">
        <f ca="1">+IFERROR(J$5*GETPIVOTDATA("Unique Billed Hours",'County allocation'!$AC$3,"County",$D533,"HHA/CDPAP","HHA","Level of Service",$D541),0)</f>
        <v>4007.4203867605279</v>
      </c>
      <c r="K541" s="658">
        <f ca="1">+IFERROR(K$5*GETPIVOTDATA("Unique Billed Hours",'County allocation'!$X$3,"County",$D533,"HHA/CDPAP","HHA","Level of Service",$D541),0)</f>
        <v>0</v>
      </c>
      <c r="L541" s="658">
        <f ca="1">+IFERROR(L$5*GETPIVOTDATA("Unique Billed Hours",'County allocation'!$K$19,"County",$D533,"HHA/CDPAP","HHA","Level of Service",$D541),0)</f>
        <v>73761.915749798369</v>
      </c>
      <c r="M541" s="658">
        <f>+IFERROR(M$5*GETPIVOTDATA("Unique Billed Hours",'County allocation'!$S$3,"County",$D533,"HHA/CDPAP","HHA","Level of Service",$D541),0)</f>
        <v>0</v>
      </c>
      <c r="N541" s="658">
        <f>+IFERROR(N$5*GETPIVOTDATA("Unique Billed Hours",'County allocation'!$S$3,"County",$D533,"HHA/CDPAP","HHA","Level of Service",$D541),0)</f>
        <v>0</v>
      </c>
      <c r="O541" s="658">
        <f>+IFERROR(O$5*GETPIVOTDATA("Unique Billed Hours",'County allocation'!$K$19,"County",$D533,"HHA/CDPAP","HHA","Level of Service",$D541),0)</f>
        <v>0</v>
      </c>
      <c r="P541" s="658">
        <f>+IFERROR(P$5*GETPIVOTDATA("Unique Billed Hours",'County allocation'!$S$3,"County",$D533,"HHA/CDPAP","HHA","Level of Service",$D541),0)</f>
        <v>0</v>
      </c>
    </row>
    <row r="542" spans="1:18" s="54" customFormat="1" x14ac:dyDescent="0.25">
      <c r="A542" s="119"/>
      <c r="B542" s="309"/>
      <c r="C542" s="322">
        <f t="shared" ca="1" si="197"/>
        <v>1</v>
      </c>
      <c r="D542" s="8" t="s">
        <v>40</v>
      </c>
      <c r="E542" s="48" t="s">
        <v>51</v>
      </c>
      <c r="F542" s="657">
        <f t="shared" ca="1" si="198"/>
        <v>0</v>
      </c>
      <c r="G542" s="658">
        <f ca="1">+IFERROR(G$5*GETPIVOTDATA("Unique Billed Hours",'County allocation'!$A$3,"County",$D533,"HHA/CDPAP","HHA","Level of Service",$D542),0)</f>
        <v>0</v>
      </c>
      <c r="H542" s="658">
        <f>+IFERROR(H$5*GETPIVOTDATA("Unique Billed Hours",'County allocation'!$S$3,"County",$D533,"HHA/CDPAP","HHA","Level of Service",$D542),0)</f>
        <v>0</v>
      </c>
      <c r="I542" s="664">
        <f t="shared" ca="1" si="199"/>
        <v>0</v>
      </c>
      <c r="J542" s="658">
        <f ca="1">+IFERROR(J$5*GETPIVOTDATA("Unique Billed Hours",'County allocation'!$AC$3,"County",$D533,"HHA/CDPAP","HHA","Level of Service",$D542),0)</f>
        <v>0</v>
      </c>
      <c r="K542" s="658">
        <f ca="1">+IFERROR(K$5*GETPIVOTDATA("Unique Billed Hours",'County allocation'!$X$3,"County",$D533,"HHA/CDPAP","HHA","Level of Service",$D542),0)</f>
        <v>0</v>
      </c>
      <c r="L542" s="658">
        <f ca="1">+IFERROR(L$2*GETPIVOTDATA("Unique Billed Hours",'County allocation'!$O$3,"County",$D533,"HHA/CDPAP","HHA","Level of Service",$D542),0)</f>
        <v>0</v>
      </c>
      <c r="M542" s="658">
        <f>+IFERROR(M$5*GETPIVOTDATA("Unique Billed Hours",'County allocation'!$S$3,"County",$D533,"HHA/CDPAP","HHA","Level of Service",$D542),0)</f>
        <v>0</v>
      </c>
      <c r="N542" s="658">
        <f>+IFERROR(N$5*GETPIVOTDATA("Unique Billed Hours",'County allocation'!$S$3,"County",$D533,"HHA/CDPAP","HHA","Level of Service",$D542),0)</f>
        <v>0</v>
      </c>
      <c r="O542" s="658">
        <f>+IFERROR(O$5*GETPIVOTDATA("Unique Billed Hours",'County allocation'!$K$19,"County",$D533,"HHA/CDPAP","HHA","Level of Service",$D542),0)</f>
        <v>0</v>
      </c>
      <c r="P542" s="658">
        <f>+IFERROR(P$5*GETPIVOTDATA("Unique Billed Hours",'County allocation'!$S$3,"County",$D533,"HHA/CDPAP","HHA","Level of Service",$D542),0)</f>
        <v>0</v>
      </c>
    </row>
    <row r="543" spans="1:18" s="54" customFormat="1" x14ac:dyDescent="0.25">
      <c r="A543" s="119"/>
      <c r="B543" s="309"/>
      <c r="C543" s="322">
        <f t="shared" ca="1" si="197"/>
        <v>1</v>
      </c>
      <c r="D543" s="8" t="s">
        <v>41</v>
      </c>
      <c r="E543" s="48" t="s">
        <v>50</v>
      </c>
      <c r="F543" s="657">
        <f t="shared" ca="1" si="198"/>
        <v>145756.36700357342</v>
      </c>
      <c r="G543" s="658">
        <f ca="1">+IFERROR(G$5*GETPIVOTDATA("Unique Billed Hours",'County allocation'!$A$3,"County",$D533,"HHA/CDPAP","HHA","Level of Service",$D543),0)</f>
        <v>4889.6764932370688</v>
      </c>
      <c r="H543" s="658">
        <f>+IFERROR(H$5*GETPIVOTDATA("Unique Billed Hours",'County allocation'!$S$3,"County",$D533,"HHA/CDPAP","HHA","Level of Service",$D543),0)</f>
        <v>8364.2731144421705</v>
      </c>
      <c r="I543" s="664">
        <f t="shared" ca="1" si="199"/>
        <v>132502.41739589418</v>
      </c>
      <c r="J543" s="658">
        <f ca="1">+IFERROR(J$5*GETPIVOTDATA("Unique Billed Hours",'County allocation'!$AC$3,"County",$D533,"HHA/CDPAP","HHA","Level of Service",$D543),0)</f>
        <v>17414.810439696776</v>
      </c>
      <c r="K543" s="658">
        <f ca="1">+IFERROR(K$5*GETPIVOTDATA("Unique Billed Hours",'County allocation'!$X$3,"County",$D533,"HHA/CDPAP","HHA","Level of Service",$D543),0)</f>
        <v>112579.85106824257</v>
      </c>
      <c r="L543" s="658">
        <f ca="1">+IFERROR(L$2*GETPIVOTDATA("Unique Billed Hours",'County allocation'!$O$3,"County",$D533,"HHA/CDPAP","HHA","Level of Service",$D543),0)</f>
        <v>1614.7143122480486</v>
      </c>
      <c r="M543" s="658">
        <f>+IFERROR(M$5*GETPIVOTDATA("Unique Billed Hours",'County allocation'!$S$3,"County",$D533,"HHA/CDPAP","HHA","Level of Service",$D543),0)</f>
        <v>824.02529402710138</v>
      </c>
      <c r="N543" s="658">
        <f>+IFERROR(N$5*GETPIVOTDATA("Unique Billed Hours",'County allocation'!$S$3,"County",$D533,"HHA/CDPAP","HHA","Level of Service",$D543),0)</f>
        <v>69.016281679716272</v>
      </c>
      <c r="O543" s="658">
        <f>+IFERROR(O$5*GETPIVOTDATA("Unique Billed Hours",'County allocation'!$K$19,"County",$D533,"HHA/CDPAP","HHA","Level of Service",$D543),0)</f>
        <v>0</v>
      </c>
      <c r="P543" s="658">
        <f>+IFERROR(P$5*GETPIVOTDATA("Unique Billed Hours",'County allocation'!$S$3,"County",$D533,"HHA/CDPAP","HHA","Level of Service",$D543),0)</f>
        <v>0</v>
      </c>
    </row>
    <row r="544" spans="1:18" s="54" customFormat="1" ht="15.75" thickBot="1" x14ac:dyDescent="0.3">
      <c r="A544" s="119"/>
      <c r="B544" s="309"/>
      <c r="C544" s="322">
        <f t="shared" ca="1" si="197"/>
        <v>1</v>
      </c>
      <c r="D544" s="52" t="s">
        <v>389</v>
      </c>
      <c r="E544" s="53" t="s">
        <v>49</v>
      </c>
      <c r="F544" s="657">
        <f t="shared" ca="1" si="198"/>
        <v>13563972.073151715</v>
      </c>
      <c r="G544" s="661">
        <f ca="1">SUM(G536:G543)</f>
        <v>451748.92518769891</v>
      </c>
      <c r="H544" s="661">
        <f>SUM(H536:H543)</f>
        <v>772761.01898596925</v>
      </c>
      <c r="I544" s="664">
        <f t="shared" ca="1" si="199"/>
        <v>12339462.128978048</v>
      </c>
      <c r="J544" s="661">
        <f ca="1">SUM(J536:J543)</f>
        <v>1613322.7124573868</v>
      </c>
      <c r="K544" s="661">
        <f t="shared" ref="K544:P544" ca="1" si="200">SUM(K536:K543)</f>
        <v>10401061.66291604</v>
      </c>
      <c r="L544" s="661">
        <f t="shared" ca="1" si="200"/>
        <v>242571.15576906572</v>
      </c>
      <c r="M544" s="661">
        <f t="shared" si="200"/>
        <v>76130.300525829211</v>
      </c>
      <c r="N544" s="661">
        <f t="shared" si="200"/>
        <v>6376.2973097270878</v>
      </c>
      <c r="O544" s="661">
        <f t="shared" si="200"/>
        <v>0</v>
      </c>
      <c r="P544" s="661">
        <f t="shared" si="200"/>
        <v>0</v>
      </c>
    </row>
    <row r="545" spans="1:18" s="54" customFormat="1" x14ac:dyDescent="0.25">
      <c r="A545" s="119"/>
      <c r="B545" s="309"/>
      <c r="C545" s="322">
        <f t="shared" ca="1" si="197"/>
        <v>1</v>
      </c>
      <c r="D545" s="371" t="s">
        <v>390</v>
      </c>
      <c r="E545" s="325" t="s">
        <v>47</v>
      </c>
      <c r="F545" s="657">
        <f t="shared" ca="1" si="198"/>
        <v>7242533.2607148411</v>
      </c>
      <c r="G545" s="665">
        <f ca="1">+IFERROR((G$5*GETPIVOTDATA("Unique Billed Hours",'County allocation'!$A$3,"County",$D533,"HHA/CDPAP","HHA","Level of Service",$D545))+($G$2*GETPIVOTDATA("Unique Billed Hours",'County allocation'!$F$7,"County",$D533,"HHA/CDPAP","HHA","Level of Service",$D545)),0)++IFERROR(J$5*GETPIVOTDATA("Unique Billed Hours",'County allocation'!$AC$3,"County",$D533,"HHA/CDPAP","HHA","Level of Service",$D545),0)+ +IFERROR(J$5*GETPIVOTDATA("Unique Billed Hours",'County allocation'!$AC$3,"County",$D533,"HHA/CDPAP","HHA","Level of Service",$D546),0)</f>
        <v>7242533.2607148411</v>
      </c>
      <c r="H545" s="665">
        <f>+IFERROR(H$5*GETPIVOTDATA("Unique Billed Hours",'County allocation'!$S$3,"County",$D533,"HHA/CDPAP","HHA","Level of Service",$D545),0)</f>
        <v>0</v>
      </c>
      <c r="I545" s="664">
        <f t="shared" ca="1" si="199"/>
        <v>0</v>
      </c>
      <c r="J545" s="901"/>
      <c r="K545" s="665">
        <f ca="1">+IFERROR(K$5*GETPIVOTDATA("Unique Billed Hours",'County allocation'!$X$3,"County",$D533,"HHA/CDPAP","HHA","Level of Service",$D545),0)</f>
        <v>0</v>
      </c>
      <c r="L545" s="665">
        <f ca="1">+IFERROR(L$5*GETPIVOTDATA("Unique Billed Hours",'County allocation'!$K$19,"County",$D533,"HHA/CDPAP","HHA","Level of Service",$D545),0)</f>
        <v>0</v>
      </c>
      <c r="M545" s="665">
        <f>+IFERROR(M$5*GETPIVOTDATA("Unique Billed Hours",'County allocation'!$S$3,"County",$D533,"HHA/CDPAP","HHA","Level of Service",$D545),0)</f>
        <v>0</v>
      </c>
      <c r="N545" s="665">
        <f>+IFERROR(N$5*GETPIVOTDATA("Unique Billed Hours",'County allocation'!$S$3,"County",$D533,"HHA/CDPAP","HHA","Level of Service",$D545),0)</f>
        <v>0</v>
      </c>
      <c r="O545" s="665">
        <f>+IFERROR(O$5*GETPIVOTDATA("Unique Billed Hours",'County allocation'!$S$3,"County",$D533,"HHA/CDPAP","HHA","Level of Service",$D545),0)</f>
        <v>0</v>
      </c>
      <c r="P545" s="665">
        <f>+IFERROR(P$5*GETPIVOTDATA("Unique Billed Hours",'County allocation'!$S$3,"County",$D533,"HHA/CDPAP","HHA","Level of Service",$D545),0)</f>
        <v>0</v>
      </c>
    </row>
    <row r="546" spans="1:18" s="54" customFormat="1" x14ac:dyDescent="0.25">
      <c r="A546" s="119"/>
      <c r="B546" s="309"/>
      <c r="C546" s="322">
        <f t="shared" ca="1" si="197"/>
        <v>1</v>
      </c>
      <c r="D546" s="8" t="s">
        <v>391</v>
      </c>
      <c r="E546" s="370" t="s">
        <v>77</v>
      </c>
      <c r="F546" s="657">
        <f t="shared" ca="1" si="198"/>
        <v>3489470.540734048</v>
      </c>
      <c r="G546" s="656"/>
      <c r="H546" s="658">
        <f>+IFERROR(H$5*GETPIVOTDATA("Unique Billed Hours",'County allocation'!$S$3,"County",$D533,"HHA/CDPAP","HHA","Level of Service",$D546),0)</f>
        <v>0</v>
      </c>
      <c r="I546" s="664">
        <f t="shared" ca="1" si="199"/>
        <v>3489470.540734048</v>
      </c>
      <c r="J546" s="901"/>
      <c r="K546" s="665">
        <f ca="1">+IFERROR(K$5*GETPIVOTDATA("Unique Billed Hours",'County allocation'!$X$3,"County",$D533,"HHA/CDPAP","HHA","Level of Service",$D546),0)</f>
        <v>3489470.540734048</v>
      </c>
      <c r="L546" s="665">
        <f ca="1">+IFERROR(L$5*GETPIVOTDATA("Unique Billed Hours",'County allocation'!$K$19,"County",$D533,"HHA/CDPAP","HHA","Level of Service",$D546),0)</f>
        <v>0</v>
      </c>
      <c r="M546" s="665">
        <f>+IFERROR(M$5*GETPIVOTDATA("Unique Billed Hours",'County allocation'!$S$3,"County",$D533,"HHA/CDPAP","HHA","Level of Service",$D546),0)</f>
        <v>0</v>
      </c>
      <c r="N546" s="665">
        <f>+IFERROR(N$5*GETPIVOTDATA("Unique Billed Hours",'County allocation'!$S$3,"County",$D533,"HHA/CDPAP","HHA","Level of Service",$D546),0)</f>
        <v>0</v>
      </c>
      <c r="O546" s="665">
        <f>+IFERROR(O$5*GETPIVOTDATA("Unique Billed Hours",'County allocation'!$S$3,"County",$D533,"HHA/CDPAP","HHA","Level of Service",$D546),0)</f>
        <v>0</v>
      </c>
      <c r="P546" s="665">
        <f>+IFERROR(P$5*GETPIVOTDATA("Unique Billed Hours",'County allocation'!$S$3,"County",$D533,"HHA/CDPAP","HHA","Level of Service",$D546),0)</f>
        <v>0</v>
      </c>
    </row>
    <row r="547" spans="1:18" s="54" customFormat="1" x14ac:dyDescent="0.25">
      <c r="A547" s="119"/>
      <c r="B547" s="309"/>
      <c r="C547" s="322">
        <f t="shared" ca="1" si="197"/>
        <v>1</v>
      </c>
      <c r="D547" s="8" t="s">
        <v>374</v>
      </c>
      <c r="E547" s="370" t="s">
        <v>78</v>
      </c>
      <c r="F547" s="657">
        <f t="shared" ca="1" si="198"/>
        <v>75041.411666030675</v>
      </c>
      <c r="G547" s="658">
        <f ca="1">+IFERROR(G$5*GETPIVOTDATA("Unique Billed Hours",'County allocation'!$A$3,"County",$D533,"HHA/CDPAP","HHA","Level of Service",$D547),0)++IFERROR(J$5*GETPIVOTDATA("Unique Billed Hours",'County allocation'!$AC$3,"County",$D533,"HHA/CDPAP","HHA","Level of Service",$D547),0)</f>
        <v>75041.411666030675</v>
      </c>
      <c r="H547" s="658">
        <f>+IFERROR(H$5*GETPIVOTDATA("Unique Billed Hours",'County allocation'!$S$3,"County",$D533,"HHA/CDPAP","HHA","Level of Service",$D547),0)</f>
        <v>0</v>
      </c>
      <c r="I547" s="664">
        <f t="shared" ca="1" si="199"/>
        <v>0</v>
      </c>
      <c r="J547" s="901"/>
      <c r="K547" s="665">
        <f ca="1">+IFERROR(K$5*GETPIVOTDATA("Unique Billed Hours",'County allocation'!$X$3,"County",$D533,"HHA/CDPAP","HHA","Level of Service",$D547),0)</f>
        <v>0</v>
      </c>
      <c r="L547" s="665">
        <f ca="1">+IFERROR(L$5*GETPIVOTDATA("Unique Billed Hours",'County allocation'!$K$19,"County",$D533,"HHA/CDPAP","HHA","Level of Service",$D547),0)</f>
        <v>0</v>
      </c>
      <c r="M547" s="665">
        <f>+IFERROR(M$5*GETPIVOTDATA("Unique Billed Hours",'County allocation'!$S$3,"County",$D533,"HHA/CDPAP","HHA","Level of Service",$D547),0)</f>
        <v>0</v>
      </c>
      <c r="N547" s="665">
        <f>+IFERROR(N$5*GETPIVOTDATA("Unique Billed Hours",'County allocation'!$S$3,"County",$D533,"HHA/CDPAP","HHA","Level of Service",$D547),0)</f>
        <v>0</v>
      </c>
      <c r="O547" s="665">
        <f>+IFERROR(O$5*GETPIVOTDATA("Unique Billed Hours",'County allocation'!$S$3,"County",$D533,"HHA/CDPAP","HHA","Level of Service",$D547),0)</f>
        <v>0</v>
      </c>
      <c r="P547" s="665">
        <f>+IFERROR(P$5*GETPIVOTDATA("Unique Billed Hours",'County allocation'!$S$3,"County",$D533,"HHA/CDPAP","HHA","Level of Service",$D547),0)</f>
        <v>0</v>
      </c>
    </row>
    <row r="548" spans="1:18" s="54" customFormat="1" ht="15.75" thickBot="1" x14ac:dyDescent="0.3">
      <c r="A548" s="302"/>
      <c r="B548" s="309"/>
      <c r="C548" s="322">
        <f ca="1">C547</f>
        <v>1</v>
      </c>
      <c r="D548" s="52" t="s">
        <v>48</v>
      </c>
      <c r="E548" s="53" t="s">
        <v>79</v>
      </c>
      <c r="F548" s="657">
        <f t="shared" ca="1" si="198"/>
        <v>24371017.286266636</v>
      </c>
      <c r="G548" s="661">
        <f t="shared" ref="G548" ca="1" si="201">SUM(G544:G547)</f>
        <v>7769323.5975685706</v>
      </c>
      <c r="H548" s="661">
        <f t="shared" ref="H548:P548" si="202">SUM(H544:H547)</f>
        <v>772761.01898596925</v>
      </c>
      <c r="I548" s="661">
        <f t="shared" ca="1" si="202"/>
        <v>15828932.669712096</v>
      </c>
      <c r="J548" s="661">
        <f t="shared" ca="1" si="202"/>
        <v>1613322.7124573868</v>
      </c>
      <c r="K548" s="661">
        <f t="shared" ca="1" si="202"/>
        <v>13890532.203650087</v>
      </c>
      <c r="L548" s="661">
        <f t="shared" ca="1" si="202"/>
        <v>242571.15576906572</v>
      </c>
      <c r="M548" s="661">
        <f t="shared" si="202"/>
        <v>76130.300525829211</v>
      </c>
      <c r="N548" s="661">
        <f t="shared" si="202"/>
        <v>6376.2973097270878</v>
      </c>
      <c r="O548" s="661">
        <f t="shared" si="202"/>
        <v>0</v>
      </c>
      <c r="P548" s="661">
        <f t="shared" si="202"/>
        <v>0</v>
      </c>
    </row>
    <row r="549" spans="1:18" ht="15.75" hidden="1" thickBot="1" x14ac:dyDescent="0.3"/>
    <row r="550" spans="1:18" s="54" customFormat="1" ht="75.75" hidden="1" thickBot="1" x14ac:dyDescent="0.3">
      <c r="A550" s="119"/>
      <c r="B550" s="309"/>
      <c r="C550" s="322">
        <f ca="1">IF(F565&gt;0,1,0)</f>
        <v>0</v>
      </c>
      <c r="D550" s="45" t="str">
        <f>A35</f>
        <v>Niagara</v>
      </c>
      <c r="E550" s="28">
        <f>+SUMIF(A:A,D550,B:B)</f>
        <v>0</v>
      </c>
      <c r="F550" s="652" t="s">
        <v>61</v>
      </c>
      <c r="G550" s="652" t="s">
        <v>387</v>
      </c>
      <c r="H550" s="652" t="s">
        <v>388</v>
      </c>
      <c r="I550" s="652" t="s">
        <v>392</v>
      </c>
      <c r="J550" s="652" t="s">
        <v>31</v>
      </c>
      <c r="K550" s="652" t="s">
        <v>32</v>
      </c>
      <c r="L550" s="653" t="s">
        <v>33</v>
      </c>
      <c r="M550" s="653" t="s">
        <v>60</v>
      </c>
      <c r="N550" s="653" t="s">
        <v>59</v>
      </c>
      <c r="O550" s="653" t="s">
        <v>58</v>
      </c>
      <c r="P550" s="653" t="s">
        <v>16</v>
      </c>
    </row>
    <row r="551" spans="1:18" s="54" customFormat="1" ht="15.75" hidden="1" thickBot="1" x14ac:dyDescent="0.3">
      <c r="A551" s="119"/>
      <c r="B551" s="309"/>
      <c r="C551" s="322">
        <f ca="1">C550</f>
        <v>0</v>
      </c>
      <c r="D551" s="56"/>
      <c r="E551" s="57"/>
      <c r="F551" s="654" t="s">
        <v>57</v>
      </c>
      <c r="G551" s="654" t="s">
        <v>56</v>
      </c>
      <c r="H551" s="654" t="s">
        <v>55</v>
      </c>
      <c r="I551" s="654" t="s">
        <v>54</v>
      </c>
      <c r="J551" s="654" t="s">
        <v>53</v>
      </c>
      <c r="K551" s="654" t="s">
        <v>52</v>
      </c>
      <c r="L551" s="654" t="s">
        <v>51</v>
      </c>
      <c r="M551" s="654" t="s">
        <v>50</v>
      </c>
      <c r="N551" s="654" t="s">
        <v>49</v>
      </c>
      <c r="O551" s="654" t="s">
        <v>47</v>
      </c>
      <c r="P551" s="655" t="s">
        <v>77</v>
      </c>
    </row>
    <row r="552" spans="1:18" s="54" customFormat="1" ht="15.75" hidden="1" thickBot="1" x14ac:dyDescent="0.3">
      <c r="A552" s="119"/>
      <c r="B552" s="309"/>
      <c r="C552" s="322">
        <f t="shared" ref="C552:C564" ca="1" si="203">C551</f>
        <v>0</v>
      </c>
      <c r="D552" s="59" t="s">
        <v>26</v>
      </c>
      <c r="E552" s="57"/>
      <c r="F552" s="656"/>
      <c r="G552" s="656"/>
      <c r="H552" s="656"/>
      <c r="I552" s="656"/>
      <c r="J552" s="656"/>
      <c r="K552" s="656"/>
      <c r="L552" s="656"/>
      <c r="M552" s="656"/>
      <c r="N552" s="656"/>
      <c r="O552" s="656"/>
      <c r="P552" s="663"/>
    </row>
    <row r="553" spans="1:18" s="54" customFormat="1" ht="15.75" hidden="1" thickBot="1" x14ac:dyDescent="0.3">
      <c r="A553" s="119"/>
      <c r="B553" s="309"/>
      <c r="C553" s="322">
        <f t="shared" ca="1" si="203"/>
        <v>0</v>
      </c>
      <c r="D553" s="7" t="s">
        <v>34</v>
      </c>
      <c r="E553" s="48" t="s">
        <v>57</v>
      </c>
      <c r="F553" s="657">
        <f ca="1">+H553+G553+I553</f>
        <v>0</v>
      </c>
      <c r="G553" s="658">
        <f ca="1">+IFERROR(G$5*GETPIVOTDATA("Unique Billed Hours",'County allocation'!$A$3,"County",$D550,"HHA/CDPAP","HHA","Level of Service",$D553),0)</f>
        <v>0</v>
      </c>
      <c r="H553" s="658">
        <f>+IFERROR(H$5*GETPIVOTDATA("Unique Billed Hours",'County allocation'!$S$3,"County",$D550,"HHA/CDPAP","HHA","Level of Service",$D553),0)</f>
        <v>0</v>
      </c>
      <c r="I553" s="664">
        <f ca="1">SUM(J553:P553)</f>
        <v>0</v>
      </c>
      <c r="J553" s="658">
        <f ca="1">+IFERROR(J$5*GETPIVOTDATA("Unique Billed Hours",'County allocation'!$S$3,"County",$D550,"HHA/CDPAP","HHA","Level of Service",$D553),0)</f>
        <v>0</v>
      </c>
      <c r="K553" s="658">
        <f ca="1">+IFERROR(K$5*GETPIVOTDATA("Unique Billed Hours",'County allocation'!$X$3,"County",$D550,"HHA/CDPAP","HHA","Level of Service",$D553),0)</f>
        <v>0</v>
      </c>
      <c r="L553" s="658">
        <f ca="1">+IFERROR(L$2*GETPIVOTDATA("Unique Billed Hours",'County allocation'!$O$3,"County",$D550,"HHA/CDPAP","HHA","Level of Service",$D553),0)</f>
        <v>0</v>
      </c>
      <c r="M553" s="658">
        <f>+IFERROR(M$5*GETPIVOTDATA("Unique Billed Hours",'County allocation'!$S$3,"County",$D550,"HHA/CDPAP","HHA","Level of Service",$D553),0)</f>
        <v>0</v>
      </c>
      <c r="N553" s="658">
        <f>+IFERROR(N$5*GETPIVOTDATA("Unique Billed Hours",'County allocation'!$S$3,"County",$D550,"HHA/CDPAP","HHA","Level of Service",$D553),0)</f>
        <v>0</v>
      </c>
      <c r="O553" s="658">
        <f>+IFERROR(O$5*GETPIVOTDATA("Unique Billed Hours",'County allocation'!$K$19,"County",$D550,"HHA/CDPAP","HHA","Level of Service",$D553),0)</f>
        <v>0</v>
      </c>
      <c r="P553" s="658">
        <f>+IFERROR(P$5*GETPIVOTDATA("Unique Billed Hours",'County allocation'!$S$3,"County",$D550,"HHA/CDPAP","HHA","Level of Service",$D553),0)</f>
        <v>0</v>
      </c>
    </row>
    <row r="554" spans="1:18" s="54" customFormat="1" ht="15.75" hidden="1" thickBot="1" x14ac:dyDescent="0.3">
      <c r="A554" s="119"/>
      <c r="B554" s="309"/>
      <c r="C554" s="322">
        <f t="shared" ca="1" si="203"/>
        <v>0</v>
      </c>
      <c r="D554" s="7" t="s">
        <v>35</v>
      </c>
      <c r="E554" s="48" t="s">
        <v>56</v>
      </c>
      <c r="F554" s="657">
        <f t="shared" ref="F554:F565" ca="1" si="204">+H554+G554+I554</f>
        <v>0</v>
      </c>
      <c r="G554" s="658">
        <f ca="1">+IFERROR(G$5*GETPIVOTDATA("Unique Billed Hours",'County allocation'!$A$3,"County",$D550,"HHA/CDPAP","HHA","Level of Service",$D554),0)</f>
        <v>0</v>
      </c>
      <c r="H554" s="658">
        <f>+IFERROR(H$5*GETPIVOTDATA("Unique Billed Hours",'County allocation'!$S$3,"County",$D550,"HHA/CDPAP","HHA","Level of Service",$D554),0)</f>
        <v>0</v>
      </c>
      <c r="I554" s="664">
        <f t="shared" ref="I554:I564" ca="1" si="205">SUM(J554:P554)</f>
        <v>0</v>
      </c>
      <c r="J554" s="658">
        <f ca="1">+IFERROR(J$5*GETPIVOTDATA("Unique Billed Hours",'County allocation'!$S$3,"County",$D550,"HHA/CDPAP","HHA","Level of Service",$D554),0)</f>
        <v>0</v>
      </c>
      <c r="K554" s="658">
        <f ca="1">+IFERROR(K$5*GETPIVOTDATA("Unique Billed Hours",'County allocation'!$X$3,"County",$D550,"HHA/CDPAP","HHA","Level of Service",$D554),0)</f>
        <v>0</v>
      </c>
      <c r="L554" s="658">
        <f ca="1">+IFERROR(L$2*GETPIVOTDATA("Unique Billed Hours",'County allocation'!$O$3,"County",$D550,"HHA/CDPAP","HHA","Level of Service",$D554),0)</f>
        <v>0</v>
      </c>
      <c r="M554" s="658">
        <f>+IFERROR(M$5*GETPIVOTDATA("Unique Billed Hours",'County allocation'!$S$3,"County",$D550,"HHA/CDPAP","HHA","Level of Service",$D554),0)</f>
        <v>0</v>
      </c>
      <c r="N554" s="658">
        <f>+IFERROR(N$5*GETPIVOTDATA("Unique Billed Hours",'County allocation'!$S$3,"County",$D550,"HHA/CDPAP","HHA","Level of Service",$D554),0)</f>
        <v>0</v>
      </c>
      <c r="O554" s="658">
        <f>+IFERROR(O$5*GETPIVOTDATA("Unique Billed Hours",'County allocation'!$K$19,"County",$D550,"HHA/CDPAP","HHA","Level of Service",$D554),0)</f>
        <v>0</v>
      </c>
      <c r="P554" s="658">
        <f>+IFERROR(P$5*GETPIVOTDATA("Unique Billed Hours",'County allocation'!$S$3,"County",$D550,"HHA/CDPAP","HHA","Level of Service",$D554),0)</f>
        <v>0</v>
      </c>
      <c r="R554" s="61"/>
    </row>
    <row r="555" spans="1:18" s="54" customFormat="1" ht="15.75" hidden="1" thickBot="1" x14ac:dyDescent="0.3">
      <c r="A555" s="302"/>
      <c r="B555" s="309"/>
      <c r="C555" s="322">
        <f t="shared" ca="1" si="203"/>
        <v>0</v>
      </c>
      <c r="D555" s="7" t="s">
        <v>36</v>
      </c>
      <c r="E555" s="48" t="s">
        <v>55</v>
      </c>
      <c r="F555" s="657">
        <f t="shared" ca="1" si="204"/>
        <v>0</v>
      </c>
      <c r="G555" s="658">
        <f ca="1">+IFERROR(G$5*GETPIVOTDATA("Unique Billed Hours",'County allocation'!$A$3,"County",$D550,"HHA/CDPAP","HHA","Level of Service",$D555),0)</f>
        <v>0</v>
      </c>
      <c r="H555" s="658">
        <f>+IFERROR(H$5*GETPIVOTDATA("Unique Billed Hours",'County allocation'!$S$3,"County",$D550,"HHA/CDPAP","HHA","Level of Service",$D555),0)</f>
        <v>0</v>
      </c>
      <c r="I555" s="664">
        <f t="shared" ca="1" si="205"/>
        <v>0</v>
      </c>
      <c r="J555" s="658">
        <f ca="1">+IFERROR(J$5*GETPIVOTDATA("Unique Billed Hours",'County allocation'!$S$3,"County",$D550,"HHA/CDPAP","HHA","Level of Service",$D555),0)</f>
        <v>0</v>
      </c>
      <c r="K555" s="658">
        <f ca="1">+IFERROR(K$5*GETPIVOTDATA("Unique Billed Hours",'County allocation'!$X$3,"County",$D550,"HHA/CDPAP","HHA","Level of Service",$D555),0)</f>
        <v>0</v>
      </c>
      <c r="L555" s="658">
        <f ca="1">+IFERROR(L$2*GETPIVOTDATA("Unique Billed Hours",'County allocation'!$O$3,"County",$D550,"HHA/CDPAP","HHA","Level of Service",$D555),0)</f>
        <v>0</v>
      </c>
      <c r="M555" s="658">
        <f>+IFERROR(M$5*GETPIVOTDATA("Unique Billed Hours",'County allocation'!$S$3,"County",$D550,"HHA/CDPAP","HHA","Level of Service",$D555),0)</f>
        <v>0</v>
      </c>
      <c r="N555" s="658">
        <f>+IFERROR(N$5*GETPIVOTDATA("Unique Billed Hours",'County allocation'!$S$3,"County",$D550,"HHA/CDPAP","HHA","Level of Service",$D555),0)</f>
        <v>0</v>
      </c>
      <c r="O555" s="658">
        <f>+IFERROR(O$5*GETPIVOTDATA("Unique Billed Hours",'County allocation'!$K$19,"County",$D550,"HHA/CDPAP","HHA","Level of Service",$D555),0)</f>
        <v>0</v>
      </c>
      <c r="P555" s="658">
        <f>+IFERROR(P$5*GETPIVOTDATA("Unique Billed Hours",'County allocation'!$S$3,"County",$D550,"HHA/CDPAP","HHA","Level of Service",$D555),0)</f>
        <v>0</v>
      </c>
    </row>
    <row r="556" spans="1:18" s="54" customFormat="1" ht="15.75" hidden="1" thickBot="1" x14ac:dyDescent="0.3">
      <c r="A556" s="119"/>
      <c r="B556" s="309"/>
      <c r="C556" s="322">
        <f t="shared" ca="1" si="203"/>
        <v>0</v>
      </c>
      <c r="D556" s="7" t="s">
        <v>37</v>
      </c>
      <c r="E556" s="48" t="s">
        <v>54</v>
      </c>
      <c r="F556" s="657">
        <f t="shared" ca="1" si="204"/>
        <v>0</v>
      </c>
      <c r="G556" s="658">
        <f ca="1">+IFERROR(G$5*GETPIVOTDATA("Unique Billed Hours",'County allocation'!$A$3,"County",$D550,"HHA/CDPAP","HHA","Level of Service",$D556),0)</f>
        <v>0</v>
      </c>
      <c r="H556" s="658">
        <f>+IFERROR(H$5*GETPIVOTDATA("Unique Billed Hours",'County allocation'!$S$3,"County",$D550,"HHA/CDPAP","HHA","Level of Service",$D556),0)</f>
        <v>0</v>
      </c>
      <c r="I556" s="664">
        <f t="shared" ca="1" si="205"/>
        <v>0</v>
      </c>
      <c r="J556" s="658">
        <f ca="1">+IFERROR(J$5*GETPIVOTDATA("Unique Billed Hours",'County allocation'!$S$3,"County",$D550,"HHA/CDPAP","HHA","Level of Service",$D556),0)</f>
        <v>0</v>
      </c>
      <c r="K556" s="658">
        <f ca="1">+IFERROR(K$5*GETPIVOTDATA("Unique Billed Hours",'County allocation'!$X$3,"County",$D550,"HHA/CDPAP","HHA","Level of Service",$D556),0)</f>
        <v>0</v>
      </c>
      <c r="L556" s="658">
        <f ca="1">+IFERROR(L$2*GETPIVOTDATA("Unique Billed Hours",'County allocation'!$O$3,"County",$D550,"HHA/CDPAP","HHA","Level of Service",$D556),0)</f>
        <v>0</v>
      </c>
      <c r="M556" s="658">
        <f>+IFERROR(M$5*GETPIVOTDATA("Unique Billed Hours",'County allocation'!$S$3,"County",$D550,"HHA/CDPAP","HHA","Level of Service",$D556),0)</f>
        <v>0</v>
      </c>
      <c r="N556" s="658">
        <f>+IFERROR(N$5*GETPIVOTDATA("Unique Billed Hours",'County allocation'!$S$3,"County",$D550,"HHA/CDPAP","HHA","Level of Service",$D556),0)</f>
        <v>0</v>
      </c>
      <c r="O556" s="658">
        <f>+IFERROR(O$5*GETPIVOTDATA("Unique Billed Hours",'County allocation'!$K$19,"County",$D550,"HHA/CDPAP","HHA","Level of Service",$D556),0)</f>
        <v>0</v>
      </c>
      <c r="P556" s="658">
        <f>+IFERROR(P$5*GETPIVOTDATA("Unique Billed Hours",'County allocation'!$S$3,"County",$D550,"HHA/CDPAP","HHA","Level of Service",$D556),0)</f>
        <v>0</v>
      </c>
    </row>
    <row r="557" spans="1:18" s="54" customFormat="1" ht="15.75" hidden="1" thickBot="1" x14ac:dyDescent="0.3">
      <c r="A557" s="119"/>
      <c r="B557" s="309"/>
      <c r="C557" s="322">
        <f t="shared" ca="1" si="203"/>
        <v>0</v>
      </c>
      <c r="D557" s="7" t="s">
        <v>38</v>
      </c>
      <c r="E557" s="48" t="s">
        <v>53</v>
      </c>
      <c r="F557" s="657">
        <f t="shared" ca="1" si="204"/>
        <v>0</v>
      </c>
      <c r="G557" s="658">
        <f ca="1">+IFERROR(G$5*GETPIVOTDATA("Unique Billed Hours",'County allocation'!$A$3,"County",$D550,"HHA/CDPAP","HHA","Level of Service",$D557),0)</f>
        <v>0</v>
      </c>
      <c r="H557" s="658">
        <f>+IFERROR(H$5*GETPIVOTDATA("Unique Billed Hours",'County allocation'!$S$3,"County",$D550,"HHA/CDPAP","HHA","Level of Service",$D557),0)</f>
        <v>0</v>
      </c>
      <c r="I557" s="664">
        <f t="shared" ca="1" si="205"/>
        <v>0</v>
      </c>
      <c r="J557" s="658">
        <f ca="1">+IFERROR(J$5*GETPIVOTDATA("Unique Billed Hours",'County allocation'!$S$3,"County",$D550,"HHA/CDPAP","HHA","Level of Service",$D557),0)</f>
        <v>0</v>
      </c>
      <c r="K557" s="658">
        <f ca="1">+IFERROR(K$5*GETPIVOTDATA("Unique Billed Hours",'County allocation'!$X$3,"County",$D550,"HHA/CDPAP","HHA","Level of Service",$D557),0)</f>
        <v>0</v>
      </c>
      <c r="L557" s="658">
        <f ca="1">+IFERROR(L$5*GETPIVOTDATA("Unique Billed Hours",'County allocation'!$K$19,"County",$D550,"HHA/CDPAP","HHA","Level of Service",$D557),0)</f>
        <v>0</v>
      </c>
      <c r="M557" s="658">
        <f>+IFERROR(M$5*GETPIVOTDATA("Unique Billed Hours",'County allocation'!$S$3,"County",$D550,"HHA/CDPAP","HHA","Level of Service",$D557),0)</f>
        <v>0</v>
      </c>
      <c r="N557" s="658">
        <f>+IFERROR(N$5*GETPIVOTDATA("Unique Billed Hours",'County allocation'!$S$3,"County",$D550,"HHA/CDPAP","HHA","Level of Service",$D557),0)</f>
        <v>0</v>
      </c>
      <c r="O557" s="658">
        <f>+IFERROR(O$5*GETPIVOTDATA("Unique Billed Hours",'County allocation'!$K$19,"County",$D550,"HHA/CDPAP","HHA","Level of Service",$D557),0)</f>
        <v>0</v>
      </c>
      <c r="P557" s="658">
        <f>+IFERROR(P$5*GETPIVOTDATA("Unique Billed Hours",'County allocation'!$S$3,"County",$D550,"HHA/CDPAP","HHA","Level of Service",$D557),0)</f>
        <v>0</v>
      </c>
    </row>
    <row r="558" spans="1:18" s="54" customFormat="1" ht="15.75" hidden="1" thickBot="1" x14ac:dyDescent="0.3">
      <c r="A558" s="119"/>
      <c r="B558" s="309"/>
      <c r="C558" s="322">
        <f t="shared" ca="1" si="203"/>
        <v>0</v>
      </c>
      <c r="D558" s="7" t="s">
        <v>39</v>
      </c>
      <c r="E558" s="48" t="s">
        <v>52</v>
      </c>
      <c r="F558" s="657">
        <f t="shared" ca="1" si="204"/>
        <v>0</v>
      </c>
      <c r="G558" s="658">
        <f ca="1">+IFERROR(G$5*GETPIVOTDATA("Unique Billed Hours",'County allocation'!$A$3,"County",$D550,"HHA/CDPAP","HHA","Level of Service",$D558),0)</f>
        <v>0</v>
      </c>
      <c r="H558" s="658">
        <f>+IFERROR(H$5*GETPIVOTDATA("Unique Billed Hours",'County allocation'!$S$3,"County",$D550,"HHA/CDPAP","HHA","Level of Service",$D558),0)</f>
        <v>0</v>
      </c>
      <c r="I558" s="664">
        <f t="shared" ca="1" si="205"/>
        <v>0</v>
      </c>
      <c r="J558" s="658">
        <f ca="1">+IFERROR(J$5*GETPIVOTDATA("Unique Billed Hours",'County allocation'!$S$3,"County",$D550,"HHA/CDPAP","HHA","Level of Service",$D558),0)</f>
        <v>0</v>
      </c>
      <c r="K558" s="658">
        <f ca="1">+IFERROR(K$5*GETPIVOTDATA("Unique Billed Hours",'County allocation'!$X$3,"County",$D550,"HHA/CDPAP","HHA","Level of Service",$D558),0)</f>
        <v>0</v>
      </c>
      <c r="L558" s="658">
        <f ca="1">+IFERROR(L$5*GETPIVOTDATA("Unique Billed Hours",'County allocation'!$K$19,"County",$D550,"HHA/CDPAP","HHA","Level of Service",$D558),0)</f>
        <v>0</v>
      </c>
      <c r="M558" s="658">
        <f>+IFERROR(M$5*GETPIVOTDATA("Unique Billed Hours",'County allocation'!$S$3,"County",$D550,"HHA/CDPAP","HHA","Level of Service",$D558),0)</f>
        <v>0</v>
      </c>
      <c r="N558" s="658">
        <f>+IFERROR(N$5*GETPIVOTDATA("Unique Billed Hours",'County allocation'!$S$3,"County",$D550,"HHA/CDPAP","HHA","Level of Service",$D558),0)</f>
        <v>0</v>
      </c>
      <c r="O558" s="658">
        <f>+IFERROR(O$5*GETPIVOTDATA("Unique Billed Hours",'County allocation'!$K$19,"County",$D550,"HHA/CDPAP","HHA","Level of Service",$D558),0)</f>
        <v>0</v>
      </c>
      <c r="P558" s="658">
        <f>+IFERROR(P$5*GETPIVOTDATA("Unique Billed Hours",'County allocation'!$S$3,"County",$D550,"HHA/CDPAP","HHA","Level of Service",$D558),0)</f>
        <v>0</v>
      </c>
    </row>
    <row r="559" spans="1:18" s="54" customFormat="1" ht="15.75" hidden="1" thickBot="1" x14ac:dyDescent="0.3">
      <c r="A559" s="119"/>
      <c r="B559" s="309"/>
      <c r="C559" s="322">
        <f t="shared" ca="1" si="203"/>
        <v>0</v>
      </c>
      <c r="D559" s="8" t="s">
        <v>40</v>
      </c>
      <c r="E559" s="48" t="s">
        <v>51</v>
      </c>
      <c r="F559" s="657">
        <f t="shared" ca="1" si="204"/>
        <v>0</v>
      </c>
      <c r="G559" s="658">
        <f ca="1">+IFERROR(G$5*GETPIVOTDATA("Unique Billed Hours",'County allocation'!$A$3,"County",$D550,"HHA/CDPAP","HHA","Level of Service",$D559),0)</f>
        <v>0</v>
      </c>
      <c r="H559" s="658">
        <f>+IFERROR(H$5*GETPIVOTDATA("Unique Billed Hours",'County allocation'!$S$3,"County",$D550,"HHA/CDPAP","HHA","Level of Service",$D559),0)</f>
        <v>0</v>
      </c>
      <c r="I559" s="664">
        <f t="shared" ca="1" si="205"/>
        <v>0</v>
      </c>
      <c r="J559" s="658">
        <f ca="1">+IFERROR(J$5*GETPIVOTDATA("Unique Billed Hours",'County allocation'!$S$3,"County",$D550,"HHA/CDPAP","HHA","Level of Service",$D559),0)</f>
        <v>0</v>
      </c>
      <c r="K559" s="658">
        <f ca="1">+IFERROR(K$5*GETPIVOTDATA("Unique Billed Hours",'County allocation'!$X$3,"County",$D550,"HHA/CDPAP","HHA","Level of Service",$D559),0)</f>
        <v>0</v>
      </c>
      <c r="L559" s="658">
        <f ca="1">+IFERROR(L$2*GETPIVOTDATA("Unique Billed Hours",'County allocation'!$O$3,"County",$D550,"HHA/CDPAP","HHA","Level of Service",$D559),0)</f>
        <v>0</v>
      </c>
      <c r="M559" s="658">
        <f>+IFERROR(M$5*GETPIVOTDATA("Unique Billed Hours",'County allocation'!$S$3,"County",$D550,"HHA/CDPAP","HHA","Level of Service",$D559),0)</f>
        <v>0</v>
      </c>
      <c r="N559" s="658">
        <f>+IFERROR(N$5*GETPIVOTDATA("Unique Billed Hours",'County allocation'!$S$3,"County",$D550,"HHA/CDPAP","HHA","Level of Service",$D559),0)</f>
        <v>0</v>
      </c>
      <c r="O559" s="658">
        <f>+IFERROR(O$5*GETPIVOTDATA("Unique Billed Hours",'County allocation'!$K$19,"County",$D550,"HHA/CDPAP","HHA","Level of Service",$D559),0)</f>
        <v>0</v>
      </c>
      <c r="P559" s="658">
        <f>+IFERROR(P$5*GETPIVOTDATA("Unique Billed Hours",'County allocation'!$S$3,"County",$D550,"HHA/CDPAP","HHA","Level of Service",$D559),0)</f>
        <v>0</v>
      </c>
    </row>
    <row r="560" spans="1:18" s="54" customFormat="1" ht="15.75" hidden="1" thickBot="1" x14ac:dyDescent="0.3">
      <c r="A560" s="119"/>
      <c r="B560" s="309"/>
      <c r="C560" s="322">
        <f t="shared" ca="1" si="203"/>
        <v>0</v>
      </c>
      <c r="D560" s="8" t="s">
        <v>41</v>
      </c>
      <c r="E560" s="48" t="s">
        <v>50</v>
      </c>
      <c r="F560" s="657">
        <f t="shared" ca="1" si="204"/>
        <v>0</v>
      </c>
      <c r="G560" s="658">
        <f ca="1">+IFERROR(G$5*GETPIVOTDATA("Unique Billed Hours",'County allocation'!$A$3,"County",$D550,"HHA/CDPAP","HHA","Level of Service",$D560),0)</f>
        <v>0</v>
      </c>
      <c r="H560" s="658">
        <f>+IFERROR(H$5*GETPIVOTDATA("Unique Billed Hours",'County allocation'!$S$3,"County",$D550,"HHA/CDPAP","HHA","Level of Service",$D560),0)</f>
        <v>0</v>
      </c>
      <c r="I560" s="664">
        <f t="shared" ca="1" si="205"/>
        <v>0</v>
      </c>
      <c r="J560" s="658">
        <f ca="1">+IFERROR(J$5*GETPIVOTDATA("Unique Billed Hours",'County allocation'!$S$3,"County",$D550,"HHA/CDPAP","HHA","Level of Service",$D560),0)</f>
        <v>0</v>
      </c>
      <c r="K560" s="658">
        <f ca="1">+IFERROR(K$5*GETPIVOTDATA("Unique Billed Hours",'County allocation'!$X$3,"County",$D550,"HHA/CDPAP","HHA","Level of Service",$D560),0)</f>
        <v>0</v>
      </c>
      <c r="L560" s="658">
        <f ca="1">+IFERROR(L$2*GETPIVOTDATA("Unique Billed Hours",'County allocation'!$O$3,"County",$D550,"HHA/CDPAP","HHA","Level of Service",$D560),0)</f>
        <v>0</v>
      </c>
      <c r="M560" s="658">
        <f>+IFERROR(M$5*GETPIVOTDATA("Unique Billed Hours",'County allocation'!$S$3,"County",$D550,"HHA/CDPAP","HHA","Level of Service",$D560),0)</f>
        <v>0</v>
      </c>
      <c r="N560" s="658">
        <f>+IFERROR(N$5*GETPIVOTDATA("Unique Billed Hours",'County allocation'!$S$3,"County",$D550,"HHA/CDPAP","HHA","Level of Service",$D560),0)</f>
        <v>0</v>
      </c>
      <c r="O560" s="658">
        <f>+IFERROR(O$5*GETPIVOTDATA("Unique Billed Hours",'County allocation'!$K$19,"County",$D550,"HHA/CDPAP","HHA","Level of Service",$D560),0)</f>
        <v>0</v>
      </c>
      <c r="P560" s="658">
        <f>+IFERROR(P$5*GETPIVOTDATA("Unique Billed Hours",'County allocation'!$S$3,"County",$D550,"HHA/CDPAP","HHA","Level of Service",$D560),0)</f>
        <v>0</v>
      </c>
    </row>
    <row r="561" spans="1:18" s="54" customFormat="1" ht="15.75" hidden="1" thickBot="1" x14ac:dyDescent="0.3">
      <c r="A561" s="119"/>
      <c r="B561" s="309"/>
      <c r="C561" s="322">
        <f t="shared" ca="1" si="203"/>
        <v>0</v>
      </c>
      <c r="D561" s="52" t="s">
        <v>389</v>
      </c>
      <c r="E561" s="53" t="s">
        <v>49</v>
      </c>
      <c r="F561" s="657">
        <f t="shared" ca="1" si="204"/>
        <v>0</v>
      </c>
      <c r="G561" s="661">
        <f ca="1">SUM(G553:G560)</f>
        <v>0</v>
      </c>
      <c r="H561" s="661">
        <f>SUM(H553:H560)</f>
        <v>0</v>
      </c>
      <c r="I561" s="664">
        <f t="shared" ca="1" si="205"/>
        <v>0</v>
      </c>
      <c r="J561" s="661">
        <f ca="1">SUM(J553:J560)</f>
        <v>0</v>
      </c>
      <c r="K561" s="661">
        <f t="shared" ref="K561:P561" ca="1" si="206">SUM(K553:K560)</f>
        <v>0</v>
      </c>
      <c r="L561" s="661">
        <f t="shared" ca="1" si="206"/>
        <v>0</v>
      </c>
      <c r="M561" s="661">
        <f t="shared" si="206"/>
        <v>0</v>
      </c>
      <c r="N561" s="661">
        <f t="shared" si="206"/>
        <v>0</v>
      </c>
      <c r="O561" s="661">
        <f t="shared" si="206"/>
        <v>0</v>
      </c>
      <c r="P561" s="661">
        <f t="shared" si="206"/>
        <v>0</v>
      </c>
    </row>
    <row r="562" spans="1:18" s="54" customFormat="1" ht="15.75" hidden="1" thickBot="1" x14ac:dyDescent="0.3">
      <c r="A562" s="119"/>
      <c r="B562" s="309"/>
      <c r="C562" s="322">
        <f t="shared" ca="1" si="203"/>
        <v>0</v>
      </c>
      <c r="D562" s="371" t="s">
        <v>390</v>
      </c>
      <c r="E562" s="325" t="s">
        <v>47</v>
      </c>
      <c r="F562" s="657">
        <f t="shared" ca="1" si="204"/>
        <v>0</v>
      </c>
      <c r="G562" s="665">
        <f ca="1">+IFERROR((G$5*GETPIVOTDATA("Unique Billed Hours",'County allocation'!$A$3,"County",$D550,"HHA/CDPAP","HHA","Level of Service",$D562))+($G$2*GETPIVOTDATA("Unique Billed Hours",'County allocation'!$F$7,"County",$D550,"HHA/CDPAP","HHA","Level of Service",$D562)),0)++IFERROR(J$5*GETPIVOTDATA("Unique Billed Hours",'County allocation'!$AC$3,"County",$D550,"HHA/CDPAP","HHA","Level of Service",$D562),0)+ +IFERROR(J$5*GETPIVOTDATA("Unique Billed Hours",'County allocation'!$AC$3,"County",$D550,"HHA/CDPAP","HHA","Level of Service",$D563),0)</f>
        <v>0</v>
      </c>
      <c r="H562" s="665">
        <f>+IFERROR(H$5*GETPIVOTDATA("Unique Billed Hours",'County allocation'!$S$3,"County",$D550,"HHA/CDPAP","HHA","Level of Service",$D562),0)</f>
        <v>0</v>
      </c>
      <c r="I562" s="664">
        <f t="shared" ca="1" si="205"/>
        <v>0</v>
      </c>
      <c r="J562" s="901"/>
      <c r="K562" s="665">
        <f ca="1">+IFERROR(K$5*GETPIVOTDATA("Unique Billed Hours",'County allocation'!$X$3,"County",$D550,"HHA/CDPAP","HHA","Level of Service",$D562),0)</f>
        <v>0</v>
      </c>
      <c r="L562" s="665">
        <f ca="1">+IFERROR(L$5*GETPIVOTDATA("Unique Billed Hours",'County allocation'!$K$19,"County",$D550,"HHA/CDPAP","HHA","Level of Service",$D562),0)</f>
        <v>0</v>
      </c>
      <c r="M562" s="665">
        <f>+IFERROR(M$5*GETPIVOTDATA("Unique Billed Hours",'County allocation'!$S$3,"County",$D550,"HHA/CDPAP","HHA","Level of Service",$D562),0)</f>
        <v>0</v>
      </c>
      <c r="N562" s="665">
        <f>+IFERROR(N$5*GETPIVOTDATA("Unique Billed Hours",'County allocation'!$S$3,"County",$D550,"HHA/CDPAP","HHA","Level of Service",$D562),0)</f>
        <v>0</v>
      </c>
      <c r="O562" s="665">
        <f>+IFERROR(O$5*GETPIVOTDATA("Unique Billed Hours",'County allocation'!$S$3,"County",$D550,"HHA/CDPAP","HHA","Level of Service",$D562),0)</f>
        <v>0</v>
      </c>
      <c r="P562" s="665">
        <f>+IFERROR(P$5*GETPIVOTDATA("Unique Billed Hours",'County allocation'!$S$3,"County",$D550,"HHA/CDPAP","HHA","Level of Service",$D562),0)</f>
        <v>0</v>
      </c>
    </row>
    <row r="563" spans="1:18" s="54" customFormat="1" ht="15.75" hidden="1" thickBot="1" x14ac:dyDescent="0.3">
      <c r="A563" s="119"/>
      <c r="B563" s="309"/>
      <c r="C563" s="322">
        <f t="shared" ca="1" si="203"/>
        <v>0</v>
      </c>
      <c r="D563" s="8" t="s">
        <v>391</v>
      </c>
      <c r="E563" s="370" t="s">
        <v>77</v>
      </c>
      <c r="F563" s="657">
        <f t="shared" ca="1" si="204"/>
        <v>0</v>
      </c>
      <c r="G563" s="656"/>
      <c r="H563" s="658">
        <f>+IFERROR(H$5*GETPIVOTDATA("Unique Billed Hours",'County allocation'!$S$3,"County",$D550,"HHA/CDPAP","HHA","Level of Service",$D563),0)</f>
        <v>0</v>
      </c>
      <c r="I563" s="664">
        <f t="shared" ca="1" si="205"/>
        <v>0</v>
      </c>
      <c r="J563" s="901"/>
      <c r="K563" s="665">
        <f ca="1">+IFERROR(K$5*GETPIVOTDATA("Unique Billed Hours",'County allocation'!$X$3,"County",$D550,"HHA/CDPAP","HHA","Level of Service",$D563),0)</f>
        <v>0</v>
      </c>
      <c r="L563" s="665">
        <f ca="1">+IFERROR(L$5*GETPIVOTDATA("Unique Billed Hours",'County allocation'!$K$19,"County",$D550,"HHA/CDPAP","HHA","Level of Service",$D563),0)</f>
        <v>0</v>
      </c>
      <c r="M563" s="665">
        <f>+IFERROR(M$5*GETPIVOTDATA("Unique Billed Hours",'County allocation'!$S$3,"County",$D550,"HHA/CDPAP","HHA","Level of Service",$D563),0)</f>
        <v>0</v>
      </c>
      <c r="N563" s="665">
        <f>+IFERROR(N$5*GETPIVOTDATA("Unique Billed Hours",'County allocation'!$S$3,"County",$D550,"HHA/CDPAP","HHA","Level of Service",$D563),0)</f>
        <v>0</v>
      </c>
      <c r="O563" s="665">
        <f>+IFERROR(O$5*GETPIVOTDATA("Unique Billed Hours",'County allocation'!$S$3,"County",$D550,"HHA/CDPAP","HHA","Level of Service",$D563),0)</f>
        <v>0</v>
      </c>
      <c r="P563" s="665">
        <f>+IFERROR(P$5*GETPIVOTDATA("Unique Billed Hours",'County allocation'!$S$3,"County",$D550,"HHA/CDPAP","HHA","Level of Service",$D563),0)</f>
        <v>0</v>
      </c>
    </row>
    <row r="564" spans="1:18" s="54" customFormat="1" ht="15.75" hidden="1" thickBot="1" x14ac:dyDescent="0.3">
      <c r="A564" s="119"/>
      <c r="B564" s="309"/>
      <c r="C564" s="322">
        <f t="shared" ca="1" si="203"/>
        <v>0</v>
      </c>
      <c r="D564" s="8" t="s">
        <v>374</v>
      </c>
      <c r="E564" s="370" t="s">
        <v>78</v>
      </c>
      <c r="F564" s="657">
        <f t="shared" ca="1" si="204"/>
        <v>0</v>
      </c>
      <c r="G564" s="658">
        <f ca="1">+IFERROR(G$5*GETPIVOTDATA("Unique Billed Hours",'County allocation'!$A$3,"County",$D550,"HHA/CDPAP","HHA","Level of Service",$D564),0)++IFERROR(J$5*GETPIVOTDATA("Unique Billed Hours",'County allocation'!$AC$3,"County",$D550,"HHA/CDPAP","HHA","Level of Service",$D564),0)</f>
        <v>0</v>
      </c>
      <c r="H564" s="658">
        <f>+IFERROR(H$5*GETPIVOTDATA("Unique Billed Hours",'County allocation'!$S$3,"County",$D550,"HHA/CDPAP","HHA","Level of Service",$D564),0)</f>
        <v>0</v>
      </c>
      <c r="I564" s="664">
        <f t="shared" ca="1" si="205"/>
        <v>0</v>
      </c>
      <c r="J564" s="901"/>
      <c r="K564" s="665">
        <f ca="1">+IFERROR(K$5*GETPIVOTDATA("Unique Billed Hours",'County allocation'!$X$3,"County",$D550,"HHA/CDPAP","HHA","Level of Service",$D564),0)</f>
        <v>0</v>
      </c>
      <c r="L564" s="665">
        <f ca="1">+IFERROR(L$5*GETPIVOTDATA("Unique Billed Hours",'County allocation'!$K$19,"County",$D550,"HHA/CDPAP","HHA","Level of Service",$D564),0)</f>
        <v>0</v>
      </c>
      <c r="M564" s="665">
        <f>+IFERROR(M$5*GETPIVOTDATA("Unique Billed Hours",'County allocation'!$S$3,"County",$D550,"HHA/CDPAP","HHA","Level of Service",$D564),0)</f>
        <v>0</v>
      </c>
      <c r="N564" s="665">
        <f>+IFERROR(N$5*GETPIVOTDATA("Unique Billed Hours",'County allocation'!$S$3,"County",$D550,"HHA/CDPAP","HHA","Level of Service",$D564),0)</f>
        <v>0</v>
      </c>
      <c r="O564" s="665">
        <f>+IFERROR(O$5*GETPIVOTDATA("Unique Billed Hours",'County allocation'!$S$3,"County",$D550,"HHA/CDPAP","HHA","Level of Service",$D564),0)</f>
        <v>0</v>
      </c>
      <c r="P564" s="665">
        <f>+IFERROR(P$5*GETPIVOTDATA("Unique Billed Hours",'County allocation'!$S$3,"County",$D550,"HHA/CDPAP","HHA","Level of Service",$D564),0)</f>
        <v>0</v>
      </c>
    </row>
    <row r="565" spans="1:18" s="54" customFormat="1" ht="15.75" hidden="1" thickBot="1" x14ac:dyDescent="0.3">
      <c r="A565" s="302"/>
      <c r="B565" s="309"/>
      <c r="C565" s="322">
        <f ca="1">C564</f>
        <v>0</v>
      </c>
      <c r="D565" s="52" t="s">
        <v>48</v>
      </c>
      <c r="E565" s="53" t="s">
        <v>79</v>
      </c>
      <c r="F565" s="657">
        <f t="shared" ca="1" si="204"/>
        <v>0</v>
      </c>
      <c r="G565" s="661">
        <f t="shared" ref="G565" ca="1" si="207">SUM(G561:G564)</f>
        <v>0</v>
      </c>
      <c r="H565" s="661">
        <f t="shared" ref="H565:P565" si="208">SUM(H561:H564)</f>
        <v>0</v>
      </c>
      <c r="I565" s="661">
        <f t="shared" ca="1" si="208"/>
        <v>0</v>
      </c>
      <c r="J565" s="661">
        <f t="shared" ca="1" si="208"/>
        <v>0</v>
      </c>
      <c r="K565" s="661">
        <f t="shared" ca="1" si="208"/>
        <v>0</v>
      </c>
      <c r="L565" s="661">
        <f t="shared" ca="1" si="208"/>
        <v>0</v>
      </c>
      <c r="M565" s="661">
        <f t="shared" si="208"/>
        <v>0</v>
      </c>
      <c r="N565" s="661">
        <f t="shared" si="208"/>
        <v>0</v>
      </c>
      <c r="O565" s="661">
        <f t="shared" si="208"/>
        <v>0</v>
      </c>
      <c r="P565" s="661">
        <f t="shared" si="208"/>
        <v>0</v>
      </c>
    </row>
    <row r="566" spans="1:18" ht="15.75" hidden="1" thickBot="1" x14ac:dyDescent="0.3"/>
    <row r="567" spans="1:18" s="54" customFormat="1" ht="75.75" hidden="1" thickBot="1" x14ac:dyDescent="0.3">
      <c r="A567" s="119"/>
      <c r="B567" s="309"/>
      <c r="C567" s="322">
        <f ca="1">IF(F582&gt;0,1,0)</f>
        <v>0</v>
      </c>
      <c r="D567" s="45" t="str">
        <f>A36</f>
        <v>Oneida</v>
      </c>
      <c r="E567" s="28">
        <f>+SUMIF(A:A,D567,B:B)</f>
        <v>0</v>
      </c>
      <c r="F567" s="652" t="s">
        <v>61</v>
      </c>
      <c r="G567" s="652" t="s">
        <v>387</v>
      </c>
      <c r="H567" s="652" t="s">
        <v>388</v>
      </c>
      <c r="I567" s="652" t="s">
        <v>392</v>
      </c>
      <c r="J567" s="652" t="s">
        <v>31</v>
      </c>
      <c r="K567" s="652" t="s">
        <v>32</v>
      </c>
      <c r="L567" s="653" t="s">
        <v>33</v>
      </c>
      <c r="M567" s="653" t="s">
        <v>60</v>
      </c>
      <c r="N567" s="653" t="s">
        <v>59</v>
      </c>
      <c r="O567" s="653" t="s">
        <v>58</v>
      </c>
      <c r="P567" s="653" t="s">
        <v>16</v>
      </c>
    </row>
    <row r="568" spans="1:18" s="54" customFormat="1" ht="15.75" hidden="1" thickBot="1" x14ac:dyDescent="0.3">
      <c r="A568" s="119"/>
      <c r="B568" s="309"/>
      <c r="C568" s="322">
        <f ca="1">C567</f>
        <v>0</v>
      </c>
      <c r="D568" s="56"/>
      <c r="E568" s="57"/>
      <c r="F568" s="654" t="s">
        <v>57</v>
      </c>
      <c r="G568" s="654" t="s">
        <v>56</v>
      </c>
      <c r="H568" s="654" t="s">
        <v>55</v>
      </c>
      <c r="I568" s="654" t="s">
        <v>54</v>
      </c>
      <c r="J568" s="654" t="s">
        <v>53</v>
      </c>
      <c r="K568" s="654" t="s">
        <v>52</v>
      </c>
      <c r="L568" s="654" t="s">
        <v>51</v>
      </c>
      <c r="M568" s="654" t="s">
        <v>50</v>
      </c>
      <c r="N568" s="654" t="s">
        <v>49</v>
      </c>
      <c r="O568" s="654" t="s">
        <v>47</v>
      </c>
      <c r="P568" s="655" t="s">
        <v>77</v>
      </c>
    </row>
    <row r="569" spans="1:18" s="54" customFormat="1" ht="15.75" hidden="1" thickBot="1" x14ac:dyDescent="0.3">
      <c r="A569" s="119"/>
      <c r="B569" s="309"/>
      <c r="C569" s="322">
        <f t="shared" ref="C569:C581" ca="1" si="209">C568</f>
        <v>0</v>
      </c>
      <c r="D569" s="59" t="s">
        <v>26</v>
      </c>
      <c r="E569" s="57"/>
      <c r="F569" s="656"/>
      <c r="G569" s="656"/>
      <c r="H569" s="656"/>
      <c r="I569" s="656"/>
      <c r="J569" s="656"/>
      <c r="K569" s="656"/>
      <c r="L569" s="656"/>
      <c r="M569" s="656"/>
      <c r="N569" s="656"/>
      <c r="O569" s="656"/>
      <c r="P569" s="663"/>
    </row>
    <row r="570" spans="1:18" s="54" customFormat="1" ht="15.75" hidden="1" thickBot="1" x14ac:dyDescent="0.3">
      <c r="A570" s="119"/>
      <c r="B570" s="309"/>
      <c r="C570" s="322">
        <f t="shared" ca="1" si="209"/>
        <v>0</v>
      </c>
      <c r="D570" s="7" t="s">
        <v>34</v>
      </c>
      <c r="E570" s="48" t="s">
        <v>57</v>
      </c>
      <c r="F570" s="657">
        <f ca="1">+H570+G570+I570</f>
        <v>0</v>
      </c>
      <c r="G570" s="658">
        <f ca="1">+IFERROR(G$5*GETPIVOTDATA("Unique Billed Hours",'County allocation'!$A$3,"County",$D567,"HHA/CDPAP","HHA","Level of Service",$D570),0)</f>
        <v>0</v>
      </c>
      <c r="H570" s="658">
        <f>+IFERROR(H$5*GETPIVOTDATA("Unique Billed Hours",'County allocation'!$S$3,"County",$D567,"HHA/CDPAP","HHA","Level of Service",$D570),0)</f>
        <v>0</v>
      </c>
      <c r="I570" s="664">
        <f ca="1">SUM(J570:P570)</f>
        <v>0</v>
      </c>
      <c r="J570" s="658">
        <f ca="1">+IFERROR(J$5*GETPIVOTDATA("Unique Billed Hours",'County allocation'!$S$3,"County",$D567,"HHA/CDPAP","HHA","Level of Service",$D570),0)</f>
        <v>0</v>
      </c>
      <c r="K570" s="658">
        <f ca="1">+IFERROR(K$5*GETPIVOTDATA("Unique Billed Hours",'County allocation'!$X$3,"County",$D567,"HHA/CDPAP","HHA","Level of Service",$D570),0)</f>
        <v>0</v>
      </c>
      <c r="L570" s="658">
        <f ca="1">+IFERROR(L$2*GETPIVOTDATA("Unique Billed Hours",'County allocation'!$O$3,"County",$D567,"HHA/CDPAP","HHA","Level of Service",$D570),0)</f>
        <v>0</v>
      </c>
      <c r="M570" s="658">
        <f>+IFERROR(M$5*GETPIVOTDATA("Unique Billed Hours",'County allocation'!$S$3,"County",$D567,"HHA/CDPAP","HHA","Level of Service",$D570),0)</f>
        <v>0</v>
      </c>
      <c r="N570" s="658">
        <f>+IFERROR(N$5*GETPIVOTDATA("Unique Billed Hours",'County allocation'!$S$3,"County",$D567,"HHA/CDPAP","HHA","Level of Service",$D570),0)</f>
        <v>0</v>
      </c>
      <c r="O570" s="658">
        <f>+IFERROR(O$5*GETPIVOTDATA("Unique Billed Hours",'County allocation'!$K$19,"County",$D567,"HHA/CDPAP","HHA","Level of Service",$D570),0)</f>
        <v>0</v>
      </c>
      <c r="P570" s="658">
        <f>+IFERROR(P$5*GETPIVOTDATA("Unique Billed Hours",'County allocation'!$S$3,"County",$D567,"HHA/CDPAP","HHA","Level of Service",$D570),0)</f>
        <v>0</v>
      </c>
    </row>
    <row r="571" spans="1:18" s="54" customFormat="1" ht="15.75" hidden="1" thickBot="1" x14ac:dyDescent="0.3">
      <c r="A571" s="119"/>
      <c r="B571" s="309"/>
      <c r="C571" s="322">
        <f t="shared" ca="1" si="209"/>
        <v>0</v>
      </c>
      <c r="D571" s="7" t="s">
        <v>35</v>
      </c>
      <c r="E571" s="48" t="s">
        <v>56</v>
      </c>
      <c r="F571" s="657">
        <f t="shared" ref="F571:F582" ca="1" si="210">+H571+G571+I571</f>
        <v>0</v>
      </c>
      <c r="G571" s="658">
        <f ca="1">+IFERROR(G$5*GETPIVOTDATA("Unique Billed Hours",'County allocation'!$A$3,"County",$D567,"HHA/CDPAP","HHA","Level of Service",$D571),0)</f>
        <v>0</v>
      </c>
      <c r="H571" s="658">
        <f>+IFERROR(H$5*GETPIVOTDATA("Unique Billed Hours",'County allocation'!$S$3,"County",$D567,"HHA/CDPAP","HHA","Level of Service",$D571),0)</f>
        <v>0</v>
      </c>
      <c r="I571" s="664">
        <f t="shared" ref="I571:I581" ca="1" si="211">SUM(J571:P571)</f>
        <v>0</v>
      </c>
      <c r="J571" s="658">
        <f ca="1">+IFERROR(J$5*GETPIVOTDATA("Unique Billed Hours",'County allocation'!$S$3,"County",$D567,"HHA/CDPAP","HHA","Level of Service",$D571),0)</f>
        <v>0</v>
      </c>
      <c r="K571" s="658">
        <f ca="1">+IFERROR(K$5*GETPIVOTDATA("Unique Billed Hours",'County allocation'!$X$3,"County",$D567,"HHA/CDPAP","HHA","Level of Service",$D571),0)</f>
        <v>0</v>
      </c>
      <c r="L571" s="658">
        <f ca="1">+IFERROR(L$2*GETPIVOTDATA("Unique Billed Hours",'County allocation'!$O$3,"County",$D567,"HHA/CDPAP","HHA","Level of Service",$D571),0)</f>
        <v>0</v>
      </c>
      <c r="M571" s="658">
        <f>+IFERROR(M$5*GETPIVOTDATA("Unique Billed Hours",'County allocation'!$S$3,"County",$D567,"HHA/CDPAP","HHA","Level of Service",$D571),0)</f>
        <v>0</v>
      </c>
      <c r="N571" s="658">
        <f>+IFERROR(N$5*GETPIVOTDATA("Unique Billed Hours",'County allocation'!$S$3,"County",$D567,"HHA/CDPAP","HHA","Level of Service",$D571),0)</f>
        <v>0</v>
      </c>
      <c r="O571" s="658">
        <f>+IFERROR(O$5*GETPIVOTDATA("Unique Billed Hours",'County allocation'!$K$19,"County",$D567,"HHA/CDPAP","HHA","Level of Service",$D571),0)</f>
        <v>0</v>
      </c>
      <c r="P571" s="658">
        <f>+IFERROR(P$5*GETPIVOTDATA("Unique Billed Hours",'County allocation'!$S$3,"County",$D567,"HHA/CDPAP","HHA","Level of Service",$D571),0)</f>
        <v>0</v>
      </c>
      <c r="R571" s="61"/>
    </row>
    <row r="572" spans="1:18" s="54" customFormat="1" ht="15.75" hidden="1" thickBot="1" x14ac:dyDescent="0.3">
      <c r="A572" s="302"/>
      <c r="B572" s="309"/>
      <c r="C572" s="322">
        <f t="shared" ca="1" si="209"/>
        <v>0</v>
      </c>
      <c r="D572" s="7" t="s">
        <v>36</v>
      </c>
      <c r="E572" s="48" t="s">
        <v>55</v>
      </c>
      <c r="F572" s="657">
        <f t="shared" ca="1" si="210"/>
        <v>0</v>
      </c>
      <c r="G572" s="658">
        <f ca="1">+IFERROR(G$5*GETPIVOTDATA("Unique Billed Hours",'County allocation'!$A$3,"County",$D567,"HHA/CDPAP","HHA","Level of Service",$D572),0)</f>
        <v>0</v>
      </c>
      <c r="H572" s="658">
        <f>+IFERROR(H$5*GETPIVOTDATA("Unique Billed Hours",'County allocation'!$S$3,"County",$D567,"HHA/CDPAP","HHA","Level of Service",$D572),0)</f>
        <v>0</v>
      </c>
      <c r="I572" s="664">
        <f t="shared" ca="1" si="211"/>
        <v>0</v>
      </c>
      <c r="J572" s="658">
        <f ca="1">+IFERROR(J$5*GETPIVOTDATA("Unique Billed Hours",'County allocation'!$S$3,"County",$D567,"HHA/CDPAP","HHA","Level of Service",$D572),0)</f>
        <v>0</v>
      </c>
      <c r="K572" s="658">
        <f ca="1">+IFERROR(K$5*GETPIVOTDATA("Unique Billed Hours",'County allocation'!$X$3,"County",$D567,"HHA/CDPAP","HHA","Level of Service",$D572),0)</f>
        <v>0</v>
      </c>
      <c r="L572" s="658">
        <f ca="1">+IFERROR(L$2*GETPIVOTDATA("Unique Billed Hours",'County allocation'!$O$3,"County",$D567,"HHA/CDPAP","HHA","Level of Service",$D572),0)</f>
        <v>0</v>
      </c>
      <c r="M572" s="658">
        <f>+IFERROR(M$5*GETPIVOTDATA("Unique Billed Hours",'County allocation'!$S$3,"County",$D567,"HHA/CDPAP","HHA","Level of Service",$D572),0)</f>
        <v>0</v>
      </c>
      <c r="N572" s="658">
        <f>+IFERROR(N$5*GETPIVOTDATA("Unique Billed Hours",'County allocation'!$S$3,"County",$D567,"HHA/CDPAP","HHA","Level of Service",$D572),0)</f>
        <v>0</v>
      </c>
      <c r="O572" s="658">
        <f>+IFERROR(O$5*GETPIVOTDATA("Unique Billed Hours",'County allocation'!$K$19,"County",$D567,"HHA/CDPAP","HHA","Level of Service",$D572),0)</f>
        <v>0</v>
      </c>
      <c r="P572" s="658">
        <f>+IFERROR(P$5*GETPIVOTDATA("Unique Billed Hours",'County allocation'!$S$3,"County",$D567,"HHA/CDPAP","HHA","Level of Service",$D572),0)</f>
        <v>0</v>
      </c>
    </row>
    <row r="573" spans="1:18" s="54" customFormat="1" ht="15.75" hidden="1" thickBot="1" x14ac:dyDescent="0.3">
      <c r="A573" s="119"/>
      <c r="B573" s="309"/>
      <c r="C573" s="322">
        <f t="shared" ca="1" si="209"/>
        <v>0</v>
      </c>
      <c r="D573" s="7" t="s">
        <v>37</v>
      </c>
      <c r="E573" s="48" t="s">
        <v>54</v>
      </c>
      <c r="F573" s="657">
        <f t="shared" ca="1" si="210"/>
        <v>0</v>
      </c>
      <c r="G573" s="658">
        <f ca="1">+IFERROR(G$5*GETPIVOTDATA("Unique Billed Hours",'County allocation'!$A$3,"County",$D567,"HHA/CDPAP","HHA","Level of Service",$D573),0)</f>
        <v>0</v>
      </c>
      <c r="H573" s="658">
        <f>+IFERROR(H$5*GETPIVOTDATA("Unique Billed Hours",'County allocation'!$S$3,"County",$D567,"HHA/CDPAP","HHA","Level of Service",$D573),0)</f>
        <v>0</v>
      </c>
      <c r="I573" s="664">
        <f t="shared" ca="1" si="211"/>
        <v>0</v>
      </c>
      <c r="J573" s="658">
        <f ca="1">+IFERROR(J$5*GETPIVOTDATA("Unique Billed Hours",'County allocation'!$S$3,"County",$D567,"HHA/CDPAP","HHA","Level of Service",$D573),0)</f>
        <v>0</v>
      </c>
      <c r="K573" s="658">
        <f ca="1">+IFERROR(K$5*GETPIVOTDATA("Unique Billed Hours",'County allocation'!$X$3,"County",$D567,"HHA/CDPAP","HHA","Level of Service",$D573),0)</f>
        <v>0</v>
      </c>
      <c r="L573" s="658">
        <f ca="1">+IFERROR(L$2*GETPIVOTDATA("Unique Billed Hours",'County allocation'!$O$3,"County",$D567,"HHA/CDPAP","HHA","Level of Service",$D573),0)</f>
        <v>0</v>
      </c>
      <c r="M573" s="658">
        <f>+IFERROR(M$5*GETPIVOTDATA("Unique Billed Hours",'County allocation'!$S$3,"County",$D567,"HHA/CDPAP","HHA","Level of Service",$D573),0)</f>
        <v>0</v>
      </c>
      <c r="N573" s="658">
        <f>+IFERROR(N$5*GETPIVOTDATA("Unique Billed Hours",'County allocation'!$S$3,"County",$D567,"HHA/CDPAP","HHA","Level of Service",$D573),0)</f>
        <v>0</v>
      </c>
      <c r="O573" s="658">
        <f>+IFERROR(O$5*GETPIVOTDATA("Unique Billed Hours",'County allocation'!$K$19,"County",$D567,"HHA/CDPAP","HHA","Level of Service",$D573),0)</f>
        <v>0</v>
      </c>
      <c r="P573" s="658">
        <f>+IFERROR(P$5*GETPIVOTDATA("Unique Billed Hours",'County allocation'!$S$3,"County",$D567,"HHA/CDPAP","HHA","Level of Service",$D573),0)</f>
        <v>0</v>
      </c>
    </row>
    <row r="574" spans="1:18" s="54" customFormat="1" ht="15.75" hidden="1" thickBot="1" x14ac:dyDescent="0.3">
      <c r="A574" s="119"/>
      <c r="B574" s="309"/>
      <c r="C574" s="322">
        <f t="shared" ca="1" si="209"/>
        <v>0</v>
      </c>
      <c r="D574" s="7" t="s">
        <v>38</v>
      </c>
      <c r="E574" s="48" t="s">
        <v>53</v>
      </c>
      <c r="F574" s="657">
        <f t="shared" ca="1" si="210"/>
        <v>0</v>
      </c>
      <c r="G574" s="658">
        <f ca="1">+IFERROR(G$5*GETPIVOTDATA("Unique Billed Hours",'County allocation'!$A$3,"County",$D567,"HHA/CDPAP","HHA","Level of Service",$D574),0)</f>
        <v>0</v>
      </c>
      <c r="H574" s="658">
        <f>+IFERROR(H$5*GETPIVOTDATA("Unique Billed Hours",'County allocation'!$S$3,"County",$D567,"HHA/CDPAP","HHA","Level of Service",$D574),0)</f>
        <v>0</v>
      </c>
      <c r="I574" s="664">
        <f t="shared" ca="1" si="211"/>
        <v>0</v>
      </c>
      <c r="J574" s="658">
        <f ca="1">+IFERROR(J$5*GETPIVOTDATA("Unique Billed Hours",'County allocation'!$S$3,"County",$D567,"HHA/CDPAP","HHA","Level of Service",$D574),0)</f>
        <v>0</v>
      </c>
      <c r="K574" s="658">
        <f ca="1">+IFERROR(K$5*GETPIVOTDATA("Unique Billed Hours",'County allocation'!$X$3,"County",$D567,"HHA/CDPAP","HHA","Level of Service",$D574),0)</f>
        <v>0</v>
      </c>
      <c r="L574" s="658">
        <f ca="1">+IFERROR(L$5*GETPIVOTDATA("Unique Billed Hours",'County allocation'!$K$19,"County",$D567,"HHA/CDPAP","HHA","Level of Service",$D574),0)</f>
        <v>0</v>
      </c>
      <c r="M574" s="658">
        <f>+IFERROR(M$5*GETPIVOTDATA("Unique Billed Hours",'County allocation'!$S$3,"County",$D567,"HHA/CDPAP","HHA","Level of Service",$D574),0)</f>
        <v>0</v>
      </c>
      <c r="N574" s="658">
        <f>+IFERROR(N$5*GETPIVOTDATA("Unique Billed Hours",'County allocation'!$S$3,"County",$D567,"HHA/CDPAP","HHA","Level of Service",$D574),0)</f>
        <v>0</v>
      </c>
      <c r="O574" s="658">
        <f>+IFERROR(O$5*GETPIVOTDATA("Unique Billed Hours",'County allocation'!$K$19,"County",$D567,"HHA/CDPAP","HHA","Level of Service",$D574),0)</f>
        <v>0</v>
      </c>
      <c r="P574" s="658">
        <f>+IFERROR(P$5*GETPIVOTDATA("Unique Billed Hours",'County allocation'!$S$3,"County",$D567,"HHA/CDPAP","HHA","Level of Service",$D574),0)</f>
        <v>0</v>
      </c>
    </row>
    <row r="575" spans="1:18" s="54" customFormat="1" ht="15.75" hidden="1" thickBot="1" x14ac:dyDescent="0.3">
      <c r="A575" s="119"/>
      <c r="B575" s="309"/>
      <c r="C575" s="322">
        <f t="shared" ca="1" si="209"/>
        <v>0</v>
      </c>
      <c r="D575" s="7" t="s">
        <v>39</v>
      </c>
      <c r="E575" s="48" t="s">
        <v>52</v>
      </c>
      <c r="F575" s="657">
        <f t="shared" ca="1" si="210"/>
        <v>0</v>
      </c>
      <c r="G575" s="658">
        <f ca="1">+IFERROR(G$5*GETPIVOTDATA("Unique Billed Hours",'County allocation'!$A$3,"County",$D567,"HHA/CDPAP","HHA","Level of Service",$D575),0)</f>
        <v>0</v>
      </c>
      <c r="H575" s="658">
        <f>+IFERROR(H$5*GETPIVOTDATA("Unique Billed Hours",'County allocation'!$S$3,"County",$D567,"HHA/CDPAP","HHA","Level of Service",$D575),0)</f>
        <v>0</v>
      </c>
      <c r="I575" s="664">
        <f t="shared" ca="1" si="211"/>
        <v>0</v>
      </c>
      <c r="J575" s="658">
        <f ca="1">+IFERROR(J$5*GETPIVOTDATA("Unique Billed Hours",'County allocation'!$S$3,"County",$D567,"HHA/CDPAP","HHA","Level of Service",$D575),0)</f>
        <v>0</v>
      </c>
      <c r="K575" s="658">
        <f ca="1">+IFERROR(K$5*GETPIVOTDATA("Unique Billed Hours",'County allocation'!$X$3,"County",$D567,"HHA/CDPAP","HHA","Level of Service",$D575),0)</f>
        <v>0</v>
      </c>
      <c r="L575" s="658">
        <f ca="1">+IFERROR(L$5*GETPIVOTDATA("Unique Billed Hours",'County allocation'!$K$19,"County",$D567,"HHA/CDPAP","HHA","Level of Service",$D575),0)</f>
        <v>0</v>
      </c>
      <c r="M575" s="658">
        <f>+IFERROR(M$5*GETPIVOTDATA("Unique Billed Hours",'County allocation'!$S$3,"County",$D567,"HHA/CDPAP","HHA","Level of Service",$D575),0)</f>
        <v>0</v>
      </c>
      <c r="N575" s="658">
        <f>+IFERROR(N$5*GETPIVOTDATA("Unique Billed Hours",'County allocation'!$S$3,"County",$D567,"HHA/CDPAP","HHA","Level of Service",$D575),0)</f>
        <v>0</v>
      </c>
      <c r="O575" s="658">
        <f>+IFERROR(O$5*GETPIVOTDATA("Unique Billed Hours",'County allocation'!$K$19,"County",$D567,"HHA/CDPAP","HHA","Level of Service",$D575),0)</f>
        <v>0</v>
      </c>
      <c r="P575" s="658">
        <f>+IFERROR(P$5*GETPIVOTDATA("Unique Billed Hours",'County allocation'!$S$3,"County",$D567,"HHA/CDPAP","HHA","Level of Service",$D575),0)</f>
        <v>0</v>
      </c>
    </row>
    <row r="576" spans="1:18" s="54" customFormat="1" ht="15.75" hidden="1" thickBot="1" x14ac:dyDescent="0.3">
      <c r="A576" s="119"/>
      <c r="B576" s="309"/>
      <c r="C576" s="322">
        <f t="shared" ca="1" si="209"/>
        <v>0</v>
      </c>
      <c r="D576" s="8" t="s">
        <v>40</v>
      </c>
      <c r="E576" s="48" t="s">
        <v>51</v>
      </c>
      <c r="F576" s="657">
        <f t="shared" ca="1" si="210"/>
        <v>0</v>
      </c>
      <c r="G576" s="658">
        <f ca="1">+IFERROR(G$5*GETPIVOTDATA("Unique Billed Hours",'County allocation'!$A$3,"County",$D567,"HHA/CDPAP","HHA","Level of Service",$D576),0)</f>
        <v>0</v>
      </c>
      <c r="H576" s="658">
        <f>+IFERROR(H$5*GETPIVOTDATA("Unique Billed Hours",'County allocation'!$S$3,"County",$D567,"HHA/CDPAP","HHA","Level of Service",$D576),0)</f>
        <v>0</v>
      </c>
      <c r="I576" s="664">
        <f t="shared" ca="1" si="211"/>
        <v>0</v>
      </c>
      <c r="J576" s="658">
        <f ca="1">+IFERROR(J$5*GETPIVOTDATA("Unique Billed Hours",'County allocation'!$S$3,"County",$D567,"HHA/CDPAP","HHA","Level of Service",$D576),0)</f>
        <v>0</v>
      </c>
      <c r="K576" s="658">
        <f ca="1">+IFERROR(K$5*GETPIVOTDATA("Unique Billed Hours",'County allocation'!$X$3,"County",$D567,"HHA/CDPAP","HHA","Level of Service",$D576),0)</f>
        <v>0</v>
      </c>
      <c r="L576" s="658">
        <f ca="1">+IFERROR(L$2*GETPIVOTDATA("Unique Billed Hours",'County allocation'!$O$3,"County",$D567,"HHA/CDPAP","HHA","Level of Service",$D576),0)</f>
        <v>0</v>
      </c>
      <c r="M576" s="658">
        <f>+IFERROR(M$5*GETPIVOTDATA("Unique Billed Hours",'County allocation'!$S$3,"County",$D567,"HHA/CDPAP","HHA","Level of Service",$D576),0)</f>
        <v>0</v>
      </c>
      <c r="N576" s="658">
        <f>+IFERROR(N$5*GETPIVOTDATA("Unique Billed Hours",'County allocation'!$S$3,"County",$D567,"HHA/CDPAP","HHA","Level of Service",$D576),0)</f>
        <v>0</v>
      </c>
      <c r="O576" s="658">
        <f>+IFERROR(O$5*GETPIVOTDATA("Unique Billed Hours",'County allocation'!$K$19,"County",$D567,"HHA/CDPAP","HHA","Level of Service",$D576),0)</f>
        <v>0</v>
      </c>
      <c r="P576" s="658">
        <f>+IFERROR(P$5*GETPIVOTDATA("Unique Billed Hours",'County allocation'!$S$3,"County",$D567,"HHA/CDPAP","HHA","Level of Service",$D576),0)</f>
        <v>0</v>
      </c>
    </row>
    <row r="577" spans="1:18" s="54" customFormat="1" ht="15.75" hidden="1" thickBot="1" x14ac:dyDescent="0.3">
      <c r="A577" s="119"/>
      <c r="B577" s="309"/>
      <c r="C577" s="322">
        <f t="shared" ca="1" si="209"/>
        <v>0</v>
      </c>
      <c r="D577" s="8" t="s">
        <v>41</v>
      </c>
      <c r="E577" s="48" t="s">
        <v>50</v>
      </c>
      <c r="F577" s="657">
        <f t="shared" ca="1" si="210"/>
        <v>0</v>
      </c>
      <c r="G577" s="658">
        <f ca="1">+IFERROR(G$5*GETPIVOTDATA("Unique Billed Hours",'County allocation'!$A$3,"County",$D567,"HHA/CDPAP","HHA","Level of Service",$D577),0)</f>
        <v>0</v>
      </c>
      <c r="H577" s="658">
        <f>+IFERROR(H$5*GETPIVOTDATA("Unique Billed Hours",'County allocation'!$S$3,"County",$D567,"HHA/CDPAP","HHA","Level of Service",$D577),0)</f>
        <v>0</v>
      </c>
      <c r="I577" s="664">
        <f t="shared" ca="1" si="211"/>
        <v>0</v>
      </c>
      <c r="J577" s="658">
        <f ca="1">+IFERROR(J$5*GETPIVOTDATA("Unique Billed Hours",'County allocation'!$S$3,"County",$D567,"HHA/CDPAP","HHA","Level of Service",$D577),0)</f>
        <v>0</v>
      </c>
      <c r="K577" s="658">
        <f ca="1">+IFERROR(K$5*GETPIVOTDATA("Unique Billed Hours",'County allocation'!$X$3,"County",$D567,"HHA/CDPAP","HHA","Level of Service",$D577),0)</f>
        <v>0</v>
      </c>
      <c r="L577" s="658">
        <f ca="1">+IFERROR(L$2*GETPIVOTDATA("Unique Billed Hours",'County allocation'!$O$3,"County",$D567,"HHA/CDPAP","HHA","Level of Service",$D577),0)</f>
        <v>0</v>
      </c>
      <c r="M577" s="658">
        <f>+IFERROR(M$5*GETPIVOTDATA("Unique Billed Hours",'County allocation'!$S$3,"County",$D567,"HHA/CDPAP","HHA","Level of Service",$D577),0)</f>
        <v>0</v>
      </c>
      <c r="N577" s="658">
        <f>+IFERROR(N$5*GETPIVOTDATA("Unique Billed Hours",'County allocation'!$S$3,"County",$D567,"HHA/CDPAP","HHA","Level of Service",$D577),0)</f>
        <v>0</v>
      </c>
      <c r="O577" s="658">
        <f>+IFERROR(O$5*GETPIVOTDATA("Unique Billed Hours",'County allocation'!$K$19,"County",$D567,"HHA/CDPAP","HHA","Level of Service",$D577),0)</f>
        <v>0</v>
      </c>
      <c r="P577" s="658">
        <f>+IFERROR(P$5*GETPIVOTDATA("Unique Billed Hours",'County allocation'!$S$3,"County",$D567,"HHA/CDPAP","HHA","Level of Service",$D577),0)</f>
        <v>0</v>
      </c>
    </row>
    <row r="578" spans="1:18" s="54" customFormat="1" ht="15.75" hidden="1" thickBot="1" x14ac:dyDescent="0.3">
      <c r="A578" s="119"/>
      <c r="B578" s="309"/>
      <c r="C578" s="322">
        <f t="shared" ca="1" si="209"/>
        <v>0</v>
      </c>
      <c r="D578" s="52" t="s">
        <v>389</v>
      </c>
      <c r="E578" s="53" t="s">
        <v>49</v>
      </c>
      <c r="F578" s="657">
        <f t="shared" ca="1" si="210"/>
        <v>0</v>
      </c>
      <c r="G578" s="661">
        <f ca="1">SUM(G570:G577)</f>
        <v>0</v>
      </c>
      <c r="H578" s="661">
        <f>SUM(H570:H577)</f>
        <v>0</v>
      </c>
      <c r="I578" s="664">
        <f t="shared" ca="1" si="211"/>
        <v>0</v>
      </c>
      <c r="J578" s="661">
        <f ca="1">SUM(J570:J577)</f>
        <v>0</v>
      </c>
      <c r="K578" s="661">
        <f t="shared" ref="K578:P578" ca="1" si="212">SUM(K570:K577)</f>
        <v>0</v>
      </c>
      <c r="L578" s="661">
        <f t="shared" ca="1" si="212"/>
        <v>0</v>
      </c>
      <c r="M578" s="661">
        <f t="shared" si="212"/>
        <v>0</v>
      </c>
      <c r="N578" s="661">
        <f t="shared" si="212"/>
        <v>0</v>
      </c>
      <c r="O578" s="661">
        <f t="shared" si="212"/>
        <v>0</v>
      </c>
      <c r="P578" s="661">
        <f t="shared" si="212"/>
        <v>0</v>
      </c>
    </row>
    <row r="579" spans="1:18" s="54" customFormat="1" ht="15.75" hidden="1" thickBot="1" x14ac:dyDescent="0.3">
      <c r="A579" s="119"/>
      <c r="B579" s="309"/>
      <c r="C579" s="322">
        <f t="shared" ca="1" si="209"/>
        <v>0</v>
      </c>
      <c r="D579" s="371" t="s">
        <v>390</v>
      </c>
      <c r="E579" s="325" t="s">
        <v>47</v>
      </c>
      <c r="F579" s="657">
        <f t="shared" ca="1" si="210"/>
        <v>0</v>
      </c>
      <c r="G579" s="665">
        <f ca="1">+IFERROR((G$5*GETPIVOTDATA("Unique Billed Hours",'County allocation'!$A$3,"County",$D567,"HHA/CDPAP","HHA","Level of Service",$D579))+($G$2*GETPIVOTDATA("Unique Billed Hours",'County allocation'!$F$7,"County",$D567,"HHA/CDPAP","HHA","Level of Service",$D579)),0)++IFERROR(J$5*GETPIVOTDATA("Unique Billed Hours",'County allocation'!$AC$3,"County",$D567,"HHA/CDPAP","HHA","Level of Service",$D579),0)+ +IFERROR(J$5*GETPIVOTDATA("Unique Billed Hours",'County allocation'!$AC$3,"County",$D567,"HHA/CDPAP","HHA","Level of Service",$D580),0)</f>
        <v>0</v>
      </c>
      <c r="H579" s="665">
        <f>+IFERROR(H$5*GETPIVOTDATA("Unique Billed Hours",'County allocation'!$S$3,"County",$D567,"HHA/CDPAP","HHA","Level of Service",$D579),0)</f>
        <v>0</v>
      </c>
      <c r="I579" s="664">
        <f t="shared" ca="1" si="211"/>
        <v>0</v>
      </c>
      <c r="J579" s="901"/>
      <c r="K579" s="665">
        <f ca="1">+IFERROR(K$5*GETPIVOTDATA("Unique Billed Hours",'County allocation'!$X$3,"County",$D567,"HHA/CDPAP","HHA","Level of Service",$D579),0)</f>
        <v>0</v>
      </c>
      <c r="L579" s="665">
        <f ca="1">+IFERROR(L$5*GETPIVOTDATA("Unique Billed Hours",'County allocation'!$K$19,"County",$D567,"HHA/CDPAP","HHA","Level of Service",$D579),0)</f>
        <v>0</v>
      </c>
      <c r="M579" s="665">
        <f>+IFERROR(M$5*GETPIVOTDATA("Unique Billed Hours",'County allocation'!$S$3,"County",$D567,"HHA/CDPAP","HHA","Level of Service",$D579),0)</f>
        <v>0</v>
      </c>
      <c r="N579" s="665">
        <f>+IFERROR(N$5*GETPIVOTDATA("Unique Billed Hours",'County allocation'!$S$3,"County",$D567,"HHA/CDPAP","HHA","Level of Service",$D579),0)</f>
        <v>0</v>
      </c>
      <c r="O579" s="665">
        <f>+IFERROR(O$5*GETPIVOTDATA("Unique Billed Hours",'County allocation'!$S$3,"County",$D567,"HHA/CDPAP","HHA","Level of Service",$D579),0)</f>
        <v>0</v>
      </c>
      <c r="P579" s="665">
        <f>+IFERROR(P$5*GETPIVOTDATA("Unique Billed Hours",'County allocation'!$S$3,"County",$D567,"HHA/CDPAP","HHA","Level of Service",$D579),0)</f>
        <v>0</v>
      </c>
    </row>
    <row r="580" spans="1:18" s="54" customFormat="1" ht="15.75" hidden="1" thickBot="1" x14ac:dyDescent="0.3">
      <c r="A580" s="119"/>
      <c r="B580" s="309"/>
      <c r="C580" s="322">
        <f t="shared" ca="1" si="209"/>
        <v>0</v>
      </c>
      <c r="D580" s="8" t="s">
        <v>391</v>
      </c>
      <c r="E580" s="370" t="s">
        <v>77</v>
      </c>
      <c r="F580" s="657">
        <f t="shared" ca="1" si="210"/>
        <v>0</v>
      </c>
      <c r="G580" s="656"/>
      <c r="H580" s="658">
        <f>+IFERROR(H$5*GETPIVOTDATA("Unique Billed Hours",'County allocation'!$S$3,"County",$D567,"HHA/CDPAP","HHA","Level of Service",$D580),0)</f>
        <v>0</v>
      </c>
      <c r="I580" s="664">
        <f t="shared" ca="1" si="211"/>
        <v>0</v>
      </c>
      <c r="J580" s="901"/>
      <c r="K580" s="665">
        <f ca="1">+IFERROR(K$5*GETPIVOTDATA("Unique Billed Hours",'County allocation'!$X$3,"County",$D567,"HHA/CDPAP","HHA","Level of Service",$D580),0)</f>
        <v>0</v>
      </c>
      <c r="L580" s="665">
        <f ca="1">+IFERROR(L$5*GETPIVOTDATA("Unique Billed Hours",'County allocation'!$K$19,"County",$D567,"HHA/CDPAP","HHA","Level of Service",$D580),0)</f>
        <v>0</v>
      </c>
      <c r="M580" s="665">
        <f>+IFERROR(M$5*GETPIVOTDATA("Unique Billed Hours",'County allocation'!$S$3,"County",$D567,"HHA/CDPAP","HHA","Level of Service",$D580),0)</f>
        <v>0</v>
      </c>
      <c r="N580" s="665">
        <f>+IFERROR(N$5*GETPIVOTDATA("Unique Billed Hours",'County allocation'!$S$3,"County",$D567,"HHA/CDPAP","HHA","Level of Service",$D580),0)</f>
        <v>0</v>
      </c>
      <c r="O580" s="665">
        <f>+IFERROR(O$5*GETPIVOTDATA("Unique Billed Hours",'County allocation'!$S$3,"County",$D567,"HHA/CDPAP","HHA","Level of Service",$D580),0)</f>
        <v>0</v>
      </c>
      <c r="P580" s="665">
        <f>+IFERROR(P$5*GETPIVOTDATA("Unique Billed Hours",'County allocation'!$S$3,"County",$D567,"HHA/CDPAP","HHA","Level of Service",$D580),0)</f>
        <v>0</v>
      </c>
    </row>
    <row r="581" spans="1:18" s="54" customFormat="1" ht="15.75" hidden="1" thickBot="1" x14ac:dyDescent="0.3">
      <c r="A581" s="119"/>
      <c r="B581" s="309"/>
      <c r="C581" s="322">
        <f t="shared" ca="1" si="209"/>
        <v>0</v>
      </c>
      <c r="D581" s="8" t="s">
        <v>374</v>
      </c>
      <c r="E581" s="370" t="s">
        <v>78</v>
      </c>
      <c r="F581" s="657">
        <f t="shared" ca="1" si="210"/>
        <v>0</v>
      </c>
      <c r="G581" s="658">
        <f ca="1">+IFERROR(G$5*GETPIVOTDATA("Unique Billed Hours",'County allocation'!$A$3,"County",$D567,"HHA/CDPAP","HHA","Level of Service",$D581),0)++IFERROR(J$5*GETPIVOTDATA("Unique Billed Hours",'County allocation'!$AC$3,"County",$D567,"HHA/CDPAP","HHA","Level of Service",$D581),0)</f>
        <v>0</v>
      </c>
      <c r="H581" s="658">
        <f>+IFERROR(H$5*GETPIVOTDATA("Unique Billed Hours",'County allocation'!$S$3,"County",$D567,"HHA/CDPAP","HHA","Level of Service",$D581),0)</f>
        <v>0</v>
      </c>
      <c r="I581" s="664">
        <f t="shared" ca="1" si="211"/>
        <v>0</v>
      </c>
      <c r="J581" s="901"/>
      <c r="K581" s="665">
        <f ca="1">+IFERROR(K$5*GETPIVOTDATA("Unique Billed Hours",'County allocation'!$X$3,"County",$D567,"HHA/CDPAP","HHA","Level of Service",$D581),0)</f>
        <v>0</v>
      </c>
      <c r="L581" s="665">
        <f ca="1">+IFERROR(L$5*GETPIVOTDATA("Unique Billed Hours",'County allocation'!$K$19,"County",$D567,"HHA/CDPAP","HHA","Level of Service",$D581),0)</f>
        <v>0</v>
      </c>
      <c r="M581" s="665">
        <f>+IFERROR(M$5*GETPIVOTDATA("Unique Billed Hours",'County allocation'!$S$3,"County",$D567,"HHA/CDPAP","HHA","Level of Service",$D581),0)</f>
        <v>0</v>
      </c>
      <c r="N581" s="665">
        <f>+IFERROR(N$5*GETPIVOTDATA("Unique Billed Hours",'County allocation'!$S$3,"County",$D567,"HHA/CDPAP","HHA","Level of Service",$D581),0)</f>
        <v>0</v>
      </c>
      <c r="O581" s="665">
        <f>+IFERROR(O$5*GETPIVOTDATA("Unique Billed Hours",'County allocation'!$S$3,"County",$D567,"HHA/CDPAP","HHA","Level of Service",$D581),0)</f>
        <v>0</v>
      </c>
      <c r="P581" s="665">
        <f>+IFERROR(P$5*GETPIVOTDATA("Unique Billed Hours",'County allocation'!$S$3,"County",$D567,"HHA/CDPAP","HHA","Level of Service",$D581),0)</f>
        <v>0</v>
      </c>
    </row>
    <row r="582" spans="1:18" s="54" customFormat="1" ht="15.75" hidden="1" thickBot="1" x14ac:dyDescent="0.3">
      <c r="A582" s="302"/>
      <c r="B582" s="309"/>
      <c r="C582" s="322">
        <f ca="1">C581</f>
        <v>0</v>
      </c>
      <c r="D582" s="52" t="s">
        <v>48</v>
      </c>
      <c r="E582" s="53" t="s">
        <v>79</v>
      </c>
      <c r="F582" s="657">
        <f t="shared" ca="1" si="210"/>
        <v>0</v>
      </c>
      <c r="G582" s="661">
        <f t="shared" ref="G582" ca="1" si="213">SUM(G578:G581)</f>
        <v>0</v>
      </c>
      <c r="H582" s="661">
        <f t="shared" ref="H582:P582" si="214">SUM(H578:H581)</f>
        <v>0</v>
      </c>
      <c r="I582" s="661">
        <f t="shared" ca="1" si="214"/>
        <v>0</v>
      </c>
      <c r="J582" s="661">
        <f t="shared" ca="1" si="214"/>
        <v>0</v>
      </c>
      <c r="K582" s="661">
        <f t="shared" ca="1" si="214"/>
        <v>0</v>
      </c>
      <c r="L582" s="661">
        <f t="shared" ca="1" si="214"/>
        <v>0</v>
      </c>
      <c r="M582" s="661">
        <f t="shared" si="214"/>
        <v>0</v>
      </c>
      <c r="N582" s="661">
        <f t="shared" si="214"/>
        <v>0</v>
      </c>
      <c r="O582" s="661">
        <f t="shared" si="214"/>
        <v>0</v>
      </c>
      <c r="P582" s="661">
        <f t="shared" si="214"/>
        <v>0</v>
      </c>
    </row>
    <row r="583" spans="1:18" ht="15.75" hidden="1" thickBot="1" x14ac:dyDescent="0.3"/>
    <row r="584" spans="1:18" s="54" customFormat="1" ht="75.75" hidden="1" thickBot="1" x14ac:dyDescent="0.3">
      <c r="A584" s="119"/>
      <c r="B584" s="309"/>
      <c r="C584" s="322">
        <f ca="1">IF(F599&gt;0,1,0)</f>
        <v>0</v>
      </c>
      <c r="D584" s="45" t="str">
        <f>A37</f>
        <v>Onondaga</v>
      </c>
      <c r="E584" s="28">
        <f>+SUMIF(A:A,D584,B:B)</f>
        <v>0</v>
      </c>
      <c r="F584" s="652" t="s">
        <v>61</v>
      </c>
      <c r="G584" s="652" t="s">
        <v>387</v>
      </c>
      <c r="H584" s="652" t="s">
        <v>388</v>
      </c>
      <c r="I584" s="652" t="s">
        <v>392</v>
      </c>
      <c r="J584" s="652" t="s">
        <v>31</v>
      </c>
      <c r="K584" s="652" t="s">
        <v>32</v>
      </c>
      <c r="L584" s="653" t="s">
        <v>33</v>
      </c>
      <c r="M584" s="653" t="s">
        <v>60</v>
      </c>
      <c r="N584" s="653" t="s">
        <v>59</v>
      </c>
      <c r="O584" s="653" t="s">
        <v>58</v>
      </c>
      <c r="P584" s="653" t="s">
        <v>16</v>
      </c>
    </row>
    <row r="585" spans="1:18" s="54" customFormat="1" ht="15.75" hidden="1" thickBot="1" x14ac:dyDescent="0.3">
      <c r="A585" s="119"/>
      <c r="B585" s="309"/>
      <c r="C585" s="322">
        <f ca="1">C584</f>
        <v>0</v>
      </c>
      <c r="D585" s="56"/>
      <c r="E585" s="57"/>
      <c r="F585" s="654" t="s">
        <v>57</v>
      </c>
      <c r="G585" s="654" t="s">
        <v>56</v>
      </c>
      <c r="H585" s="654" t="s">
        <v>55</v>
      </c>
      <c r="I585" s="654" t="s">
        <v>54</v>
      </c>
      <c r="J585" s="654" t="s">
        <v>53</v>
      </c>
      <c r="K585" s="654" t="s">
        <v>52</v>
      </c>
      <c r="L585" s="654" t="s">
        <v>51</v>
      </c>
      <c r="M585" s="654" t="s">
        <v>50</v>
      </c>
      <c r="N585" s="654" t="s">
        <v>49</v>
      </c>
      <c r="O585" s="654" t="s">
        <v>47</v>
      </c>
      <c r="P585" s="655" t="s">
        <v>77</v>
      </c>
    </row>
    <row r="586" spans="1:18" s="54" customFormat="1" ht="15.75" hidden="1" thickBot="1" x14ac:dyDescent="0.3">
      <c r="A586" s="119"/>
      <c r="B586" s="309"/>
      <c r="C586" s="322">
        <f t="shared" ref="C586:C598" ca="1" si="215">C585</f>
        <v>0</v>
      </c>
      <c r="D586" s="59" t="s">
        <v>26</v>
      </c>
      <c r="E586" s="57"/>
      <c r="F586" s="656"/>
      <c r="G586" s="656"/>
      <c r="H586" s="656"/>
      <c r="I586" s="656"/>
      <c r="J586" s="656"/>
      <c r="K586" s="656"/>
      <c r="L586" s="656"/>
      <c r="M586" s="656"/>
      <c r="N586" s="656"/>
      <c r="O586" s="656"/>
      <c r="P586" s="663"/>
    </row>
    <row r="587" spans="1:18" s="54" customFormat="1" ht="15.75" hidden="1" thickBot="1" x14ac:dyDescent="0.3">
      <c r="A587" s="119"/>
      <c r="B587" s="309"/>
      <c r="C587" s="322">
        <f t="shared" ca="1" si="215"/>
        <v>0</v>
      </c>
      <c r="D587" s="7" t="s">
        <v>34</v>
      </c>
      <c r="E587" s="48" t="s">
        <v>57</v>
      </c>
      <c r="F587" s="657">
        <f ca="1">+H587+G587+I587</f>
        <v>0</v>
      </c>
      <c r="G587" s="658">
        <f ca="1">+IFERROR(G$5*GETPIVOTDATA("Unique Billed Hours",'County allocation'!$A$3,"County",$D584,"HHA/CDPAP","HHA","Level of Service",$D587),0)</f>
        <v>0</v>
      </c>
      <c r="H587" s="658">
        <f>+IFERROR(H$5*GETPIVOTDATA("Unique Billed Hours",'County allocation'!$S$3,"County",$D584,"HHA/CDPAP","HHA","Level of Service",$D587),0)</f>
        <v>0</v>
      </c>
      <c r="I587" s="664">
        <f ca="1">SUM(J587:P587)</f>
        <v>0</v>
      </c>
      <c r="J587" s="658">
        <f ca="1">+IFERROR(J$5*GETPIVOTDATA("Unique Billed Hours",'County allocation'!$S$3,"County",$D584,"HHA/CDPAP","HHA","Level of Service",$D587),0)</f>
        <v>0</v>
      </c>
      <c r="K587" s="658">
        <f ca="1">+IFERROR(K$5*GETPIVOTDATA("Unique Billed Hours",'County allocation'!$X$3,"County",$D584,"HHA/CDPAP","HHA","Level of Service",$D587),0)</f>
        <v>0</v>
      </c>
      <c r="L587" s="658">
        <f ca="1">+IFERROR(L$2*GETPIVOTDATA("Unique Billed Hours",'County allocation'!$O$3,"County",$D584,"HHA/CDPAP","HHA","Level of Service",$D587),0)</f>
        <v>0</v>
      </c>
      <c r="M587" s="658">
        <f>+IFERROR(M$5*GETPIVOTDATA("Unique Billed Hours",'County allocation'!$S$3,"County",$D584,"HHA/CDPAP","HHA","Level of Service",$D587),0)</f>
        <v>0</v>
      </c>
      <c r="N587" s="658">
        <f>+IFERROR(N$5*GETPIVOTDATA("Unique Billed Hours",'County allocation'!$S$3,"County",$D584,"HHA/CDPAP","HHA","Level of Service",$D587),0)</f>
        <v>0</v>
      </c>
      <c r="O587" s="658">
        <f>+IFERROR(O$5*GETPIVOTDATA("Unique Billed Hours",'County allocation'!$K$19,"County",$D584,"HHA/CDPAP","HHA","Level of Service",$D587),0)</f>
        <v>0</v>
      </c>
      <c r="P587" s="658">
        <f>+IFERROR(P$5*GETPIVOTDATA("Unique Billed Hours",'County allocation'!$S$3,"County",$D584,"HHA/CDPAP","HHA","Level of Service",$D587),0)</f>
        <v>0</v>
      </c>
    </row>
    <row r="588" spans="1:18" s="54" customFormat="1" ht="15.75" hidden="1" thickBot="1" x14ac:dyDescent="0.3">
      <c r="A588" s="119"/>
      <c r="B588" s="309"/>
      <c r="C588" s="322">
        <f t="shared" ca="1" si="215"/>
        <v>0</v>
      </c>
      <c r="D588" s="7" t="s">
        <v>35</v>
      </c>
      <c r="E588" s="48" t="s">
        <v>56</v>
      </c>
      <c r="F588" s="657">
        <f t="shared" ref="F588:F599" ca="1" si="216">+H588+G588+I588</f>
        <v>0</v>
      </c>
      <c r="G588" s="658">
        <f ca="1">+IFERROR(G$5*GETPIVOTDATA("Unique Billed Hours",'County allocation'!$A$3,"County",$D584,"HHA/CDPAP","HHA","Level of Service",$D588),0)</f>
        <v>0</v>
      </c>
      <c r="H588" s="658">
        <f>+IFERROR(H$5*GETPIVOTDATA("Unique Billed Hours",'County allocation'!$S$3,"County",$D584,"HHA/CDPAP","HHA","Level of Service",$D588),0)</f>
        <v>0</v>
      </c>
      <c r="I588" s="664">
        <f t="shared" ref="I588:I598" ca="1" si="217">SUM(J588:P588)</f>
        <v>0</v>
      </c>
      <c r="J588" s="658">
        <f ca="1">+IFERROR(J$5*GETPIVOTDATA("Unique Billed Hours",'County allocation'!$S$3,"County",$D584,"HHA/CDPAP","HHA","Level of Service",$D588),0)</f>
        <v>0</v>
      </c>
      <c r="K588" s="658">
        <f ca="1">+IFERROR(K$5*GETPIVOTDATA("Unique Billed Hours",'County allocation'!$X$3,"County",$D584,"HHA/CDPAP","HHA","Level of Service",$D588),0)</f>
        <v>0</v>
      </c>
      <c r="L588" s="658">
        <f ca="1">+IFERROR(L$2*GETPIVOTDATA("Unique Billed Hours",'County allocation'!$O$3,"County",$D584,"HHA/CDPAP","HHA","Level of Service",$D588),0)</f>
        <v>0</v>
      </c>
      <c r="M588" s="658">
        <f>+IFERROR(M$5*GETPIVOTDATA("Unique Billed Hours",'County allocation'!$S$3,"County",$D584,"HHA/CDPAP","HHA","Level of Service",$D588),0)</f>
        <v>0</v>
      </c>
      <c r="N588" s="658">
        <f>+IFERROR(N$5*GETPIVOTDATA("Unique Billed Hours",'County allocation'!$S$3,"County",$D584,"HHA/CDPAP","HHA","Level of Service",$D588),0)</f>
        <v>0</v>
      </c>
      <c r="O588" s="658">
        <f>+IFERROR(O$5*GETPIVOTDATA("Unique Billed Hours",'County allocation'!$K$19,"County",$D584,"HHA/CDPAP","HHA","Level of Service",$D588),0)</f>
        <v>0</v>
      </c>
      <c r="P588" s="658">
        <f>+IFERROR(P$5*GETPIVOTDATA("Unique Billed Hours",'County allocation'!$S$3,"County",$D584,"HHA/CDPAP","HHA","Level of Service",$D588),0)</f>
        <v>0</v>
      </c>
      <c r="R588" s="61"/>
    </row>
    <row r="589" spans="1:18" s="54" customFormat="1" ht="15.75" hidden="1" thickBot="1" x14ac:dyDescent="0.3">
      <c r="A589" s="302"/>
      <c r="B589" s="309"/>
      <c r="C589" s="322">
        <f t="shared" ca="1" si="215"/>
        <v>0</v>
      </c>
      <c r="D589" s="7" t="s">
        <v>36</v>
      </c>
      <c r="E589" s="48" t="s">
        <v>55</v>
      </c>
      <c r="F589" s="657">
        <f t="shared" ca="1" si="216"/>
        <v>0</v>
      </c>
      <c r="G589" s="658">
        <f ca="1">+IFERROR(G$5*GETPIVOTDATA("Unique Billed Hours",'County allocation'!$A$3,"County",$D584,"HHA/CDPAP","HHA","Level of Service",$D589),0)</f>
        <v>0</v>
      </c>
      <c r="H589" s="658">
        <f>+IFERROR(H$5*GETPIVOTDATA("Unique Billed Hours",'County allocation'!$S$3,"County",$D584,"HHA/CDPAP","HHA","Level of Service",$D589),0)</f>
        <v>0</v>
      </c>
      <c r="I589" s="664">
        <f t="shared" ca="1" si="217"/>
        <v>0</v>
      </c>
      <c r="J589" s="658">
        <f ca="1">+IFERROR(J$5*GETPIVOTDATA("Unique Billed Hours",'County allocation'!$S$3,"County",$D584,"HHA/CDPAP","HHA","Level of Service",$D589),0)</f>
        <v>0</v>
      </c>
      <c r="K589" s="658">
        <f ca="1">+IFERROR(K$5*GETPIVOTDATA("Unique Billed Hours",'County allocation'!$X$3,"County",$D584,"HHA/CDPAP","HHA","Level of Service",$D589),0)</f>
        <v>0</v>
      </c>
      <c r="L589" s="658">
        <f ca="1">+IFERROR(L$2*GETPIVOTDATA("Unique Billed Hours",'County allocation'!$O$3,"County",$D584,"HHA/CDPAP","HHA","Level of Service",$D589),0)</f>
        <v>0</v>
      </c>
      <c r="M589" s="658">
        <f>+IFERROR(M$5*GETPIVOTDATA("Unique Billed Hours",'County allocation'!$S$3,"County",$D584,"HHA/CDPAP","HHA","Level of Service",$D589),0)</f>
        <v>0</v>
      </c>
      <c r="N589" s="658">
        <f>+IFERROR(N$5*GETPIVOTDATA("Unique Billed Hours",'County allocation'!$S$3,"County",$D584,"HHA/CDPAP","HHA","Level of Service",$D589),0)</f>
        <v>0</v>
      </c>
      <c r="O589" s="658">
        <f>+IFERROR(O$5*GETPIVOTDATA("Unique Billed Hours",'County allocation'!$K$19,"County",$D584,"HHA/CDPAP","HHA","Level of Service",$D589),0)</f>
        <v>0</v>
      </c>
      <c r="P589" s="658">
        <f>+IFERROR(P$5*GETPIVOTDATA("Unique Billed Hours",'County allocation'!$S$3,"County",$D584,"HHA/CDPAP","HHA","Level of Service",$D589),0)</f>
        <v>0</v>
      </c>
    </row>
    <row r="590" spans="1:18" s="54" customFormat="1" ht="15.75" hidden="1" thickBot="1" x14ac:dyDescent="0.3">
      <c r="A590" s="119"/>
      <c r="B590" s="309"/>
      <c r="C590" s="322">
        <f t="shared" ca="1" si="215"/>
        <v>0</v>
      </c>
      <c r="D590" s="7" t="s">
        <v>37</v>
      </c>
      <c r="E590" s="48" t="s">
        <v>54</v>
      </c>
      <c r="F590" s="657">
        <f t="shared" ca="1" si="216"/>
        <v>0</v>
      </c>
      <c r="G590" s="658">
        <f ca="1">+IFERROR(G$5*GETPIVOTDATA("Unique Billed Hours",'County allocation'!$A$3,"County",$D584,"HHA/CDPAP","HHA","Level of Service",$D590),0)</f>
        <v>0</v>
      </c>
      <c r="H590" s="658">
        <f>+IFERROR(H$5*GETPIVOTDATA("Unique Billed Hours",'County allocation'!$S$3,"County",$D584,"HHA/CDPAP","HHA","Level of Service",$D590),0)</f>
        <v>0</v>
      </c>
      <c r="I590" s="664">
        <f t="shared" ca="1" si="217"/>
        <v>0</v>
      </c>
      <c r="J590" s="658">
        <f ca="1">+IFERROR(J$5*GETPIVOTDATA("Unique Billed Hours",'County allocation'!$S$3,"County",$D584,"HHA/CDPAP","HHA","Level of Service",$D590),0)</f>
        <v>0</v>
      </c>
      <c r="K590" s="658">
        <f ca="1">+IFERROR(K$5*GETPIVOTDATA("Unique Billed Hours",'County allocation'!$X$3,"County",$D584,"HHA/CDPAP","HHA","Level of Service",$D590),0)</f>
        <v>0</v>
      </c>
      <c r="L590" s="658">
        <f ca="1">+IFERROR(L$2*GETPIVOTDATA("Unique Billed Hours",'County allocation'!$O$3,"County",$D584,"HHA/CDPAP","HHA","Level of Service",$D590),0)</f>
        <v>0</v>
      </c>
      <c r="M590" s="658">
        <f>+IFERROR(M$5*GETPIVOTDATA("Unique Billed Hours",'County allocation'!$S$3,"County",$D584,"HHA/CDPAP","HHA","Level of Service",$D590),0)</f>
        <v>0</v>
      </c>
      <c r="N590" s="658">
        <f>+IFERROR(N$5*GETPIVOTDATA("Unique Billed Hours",'County allocation'!$S$3,"County",$D584,"HHA/CDPAP","HHA","Level of Service",$D590),0)</f>
        <v>0</v>
      </c>
      <c r="O590" s="658">
        <f>+IFERROR(O$5*GETPIVOTDATA("Unique Billed Hours",'County allocation'!$K$19,"County",$D584,"HHA/CDPAP","HHA","Level of Service",$D590),0)</f>
        <v>0</v>
      </c>
      <c r="P590" s="658">
        <f>+IFERROR(P$5*GETPIVOTDATA("Unique Billed Hours",'County allocation'!$S$3,"County",$D584,"HHA/CDPAP","HHA","Level of Service",$D590),0)</f>
        <v>0</v>
      </c>
    </row>
    <row r="591" spans="1:18" s="54" customFormat="1" ht="15.75" hidden="1" thickBot="1" x14ac:dyDescent="0.3">
      <c r="A591" s="119"/>
      <c r="B591" s="309"/>
      <c r="C591" s="322">
        <f t="shared" ca="1" si="215"/>
        <v>0</v>
      </c>
      <c r="D591" s="7" t="s">
        <v>38</v>
      </c>
      <c r="E591" s="48" t="s">
        <v>53</v>
      </c>
      <c r="F591" s="657">
        <f t="shared" ca="1" si="216"/>
        <v>0</v>
      </c>
      <c r="G591" s="658">
        <f ca="1">+IFERROR(G$5*GETPIVOTDATA("Unique Billed Hours",'County allocation'!$A$3,"County",$D584,"HHA/CDPAP","HHA","Level of Service",$D591),0)</f>
        <v>0</v>
      </c>
      <c r="H591" s="658">
        <f>+IFERROR(H$5*GETPIVOTDATA("Unique Billed Hours",'County allocation'!$S$3,"County",$D584,"HHA/CDPAP","HHA","Level of Service",$D591),0)</f>
        <v>0</v>
      </c>
      <c r="I591" s="664">
        <f t="shared" ca="1" si="217"/>
        <v>0</v>
      </c>
      <c r="J591" s="658">
        <f ca="1">+IFERROR(J$5*GETPIVOTDATA("Unique Billed Hours",'County allocation'!$S$3,"County",$D584,"HHA/CDPAP","HHA","Level of Service",$D591),0)</f>
        <v>0</v>
      </c>
      <c r="K591" s="658">
        <f ca="1">+IFERROR(K$5*GETPIVOTDATA("Unique Billed Hours",'County allocation'!$X$3,"County",$D584,"HHA/CDPAP","HHA","Level of Service",$D591),0)</f>
        <v>0</v>
      </c>
      <c r="L591" s="658">
        <f ca="1">+IFERROR(L$5*GETPIVOTDATA("Unique Billed Hours",'County allocation'!$K$19,"County",$D584,"HHA/CDPAP","HHA","Level of Service",$D591),0)</f>
        <v>0</v>
      </c>
      <c r="M591" s="658">
        <f>+IFERROR(M$5*GETPIVOTDATA("Unique Billed Hours",'County allocation'!$S$3,"County",$D584,"HHA/CDPAP","HHA","Level of Service",$D591),0)</f>
        <v>0</v>
      </c>
      <c r="N591" s="658">
        <f>+IFERROR(N$5*GETPIVOTDATA("Unique Billed Hours",'County allocation'!$S$3,"County",$D584,"HHA/CDPAP","HHA","Level of Service",$D591),0)</f>
        <v>0</v>
      </c>
      <c r="O591" s="658">
        <f>+IFERROR(O$5*GETPIVOTDATA("Unique Billed Hours",'County allocation'!$K$19,"County",$D584,"HHA/CDPAP","HHA","Level of Service",$D591),0)</f>
        <v>0</v>
      </c>
      <c r="P591" s="658">
        <f>+IFERROR(P$5*GETPIVOTDATA("Unique Billed Hours",'County allocation'!$S$3,"County",$D584,"HHA/CDPAP","HHA","Level of Service",$D591),0)</f>
        <v>0</v>
      </c>
    </row>
    <row r="592" spans="1:18" s="54" customFormat="1" ht="15.75" hidden="1" thickBot="1" x14ac:dyDescent="0.3">
      <c r="A592" s="119"/>
      <c r="B592" s="309"/>
      <c r="C592" s="322">
        <f t="shared" ca="1" si="215"/>
        <v>0</v>
      </c>
      <c r="D592" s="7" t="s">
        <v>39</v>
      </c>
      <c r="E592" s="48" t="s">
        <v>52</v>
      </c>
      <c r="F592" s="657">
        <f t="shared" ca="1" si="216"/>
        <v>0</v>
      </c>
      <c r="G592" s="658">
        <f ca="1">+IFERROR(G$5*GETPIVOTDATA("Unique Billed Hours",'County allocation'!$A$3,"County",$D584,"HHA/CDPAP","HHA","Level of Service",$D592),0)</f>
        <v>0</v>
      </c>
      <c r="H592" s="658">
        <f>+IFERROR(H$5*GETPIVOTDATA("Unique Billed Hours",'County allocation'!$S$3,"County",$D584,"HHA/CDPAP","HHA","Level of Service",$D592),0)</f>
        <v>0</v>
      </c>
      <c r="I592" s="664">
        <f t="shared" ca="1" si="217"/>
        <v>0</v>
      </c>
      <c r="J592" s="658">
        <f ca="1">+IFERROR(J$5*GETPIVOTDATA("Unique Billed Hours",'County allocation'!$S$3,"County",$D584,"HHA/CDPAP","HHA","Level of Service",$D592),0)</f>
        <v>0</v>
      </c>
      <c r="K592" s="658">
        <f ca="1">+IFERROR(K$5*GETPIVOTDATA("Unique Billed Hours",'County allocation'!$X$3,"County",$D584,"HHA/CDPAP","HHA","Level of Service",$D592),0)</f>
        <v>0</v>
      </c>
      <c r="L592" s="658">
        <f ca="1">+IFERROR(L$5*GETPIVOTDATA("Unique Billed Hours",'County allocation'!$K$19,"County",$D584,"HHA/CDPAP","HHA","Level of Service",$D592),0)</f>
        <v>0</v>
      </c>
      <c r="M592" s="658">
        <f>+IFERROR(M$5*GETPIVOTDATA("Unique Billed Hours",'County allocation'!$S$3,"County",$D584,"HHA/CDPAP","HHA","Level of Service",$D592),0)</f>
        <v>0</v>
      </c>
      <c r="N592" s="658">
        <f>+IFERROR(N$5*GETPIVOTDATA("Unique Billed Hours",'County allocation'!$S$3,"County",$D584,"HHA/CDPAP","HHA","Level of Service",$D592),0)</f>
        <v>0</v>
      </c>
      <c r="O592" s="658">
        <f>+IFERROR(O$5*GETPIVOTDATA("Unique Billed Hours",'County allocation'!$K$19,"County",$D584,"HHA/CDPAP","HHA","Level of Service",$D592),0)</f>
        <v>0</v>
      </c>
      <c r="P592" s="658">
        <f>+IFERROR(P$5*GETPIVOTDATA("Unique Billed Hours",'County allocation'!$S$3,"County",$D584,"HHA/CDPAP","HHA","Level of Service",$D592),0)</f>
        <v>0</v>
      </c>
    </row>
    <row r="593" spans="1:18" s="54" customFormat="1" ht="15.75" hidden="1" thickBot="1" x14ac:dyDescent="0.3">
      <c r="A593" s="119"/>
      <c r="B593" s="309"/>
      <c r="C593" s="322">
        <f t="shared" ca="1" si="215"/>
        <v>0</v>
      </c>
      <c r="D593" s="8" t="s">
        <v>40</v>
      </c>
      <c r="E593" s="48" t="s">
        <v>51</v>
      </c>
      <c r="F593" s="657">
        <f t="shared" ca="1" si="216"/>
        <v>0</v>
      </c>
      <c r="G593" s="658">
        <f ca="1">+IFERROR(G$5*GETPIVOTDATA("Unique Billed Hours",'County allocation'!$A$3,"County",$D584,"HHA/CDPAP","HHA","Level of Service",$D593),0)</f>
        <v>0</v>
      </c>
      <c r="H593" s="658">
        <f>+IFERROR(H$5*GETPIVOTDATA("Unique Billed Hours",'County allocation'!$S$3,"County",$D584,"HHA/CDPAP","HHA","Level of Service",$D593),0)</f>
        <v>0</v>
      </c>
      <c r="I593" s="664">
        <f t="shared" ca="1" si="217"/>
        <v>0</v>
      </c>
      <c r="J593" s="658">
        <f ca="1">+IFERROR(J$5*GETPIVOTDATA("Unique Billed Hours",'County allocation'!$S$3,"County",$D584,"HHA/CDPAP","HHA","Level of Service",$D593),0)</f>
        <v>0</v>
      </c>
      <c r="K593" s="658">
        <f ca="1">+IFERROR(K$5*GETPIVOTDATA("Unique Billed Hours",'County allocation'!$X$3,"County",$D584,"HHA/CDPAP","HHA","Level of Service",$D593),0)</f>
        <v>0</v>
      </c>
      <c r="L593" s="658">
        <f ca="1">+IFERROR(L$2*GETPIVOTDATA("Unique Billed Hours",'County allocation'!$O$3,"County",$D584,"HHA/CDPAP","HHA","Level of Service",$D593),0)</f>
        <v>0</v>
      </c>
      <c r="M593" s="658">
        <f>+IFERROR(M$5*GETPIVOTDATA("Unique Billed Hours",'County allocation'!$S$3,"County",$D584,"HHA/CDPAP","HHA","Level of Service",$D593),0)</f>
        <v>0</v>
      </c>
      <c r="N593" s="658">
        <f>+IFERROR(N$5*GETPIVOTDATA("Unique Billed Hours",'County allocation'!$S$3,"County",$D584,"HHA/CDPAP","HHA","Level of Service",$D593),0)</f>
        <v>0</v>
      </c>
      <c r="O593" s="658">
        <f>+IFERROR(O$5*GETPIVOTDATA("Unique Billed Hours",'County allocation'!$K$19,"County",$D584,"HHA/CDPAP","HHA","Level of Service",$D593),0)</f>
        <v>0</v>
      </c>
      <c r="P593" s="658">
        <f>+IFERROR(P$5*GETPIVOTDATA("Unique Billed Hours",'County allocation'!$S$3,"County",$D584,"HHA/CDPAP","HHA","Level of Service",$D593),0)</f>
        <v>0</v>
      </c>
    </row>
    <row r="594" spans="1:18" s="54" customFormat="1" ht="15.75" hidden="1" thickBot="1" x14ac:dyDescent="0.3">
      <c r="A594" s="119"/>
      <c r="B594" s="309"/>
      <c r="C594" s="322">
        <f t="shared" ca="1" si="215"/>
        <v>0</v>
      </c>
      <c r="D594" s="8" t="s">
        <v>41</v>
      </c>
      <c r="E594" s="48" t="s">
        <v>50</v>
      </c>
      <c r="F594" s="657">
        <f t="shared" ca="1" si="216"/>
        <v>0</v>
      </c>
      <c r="G594" s="658">
        <f ca="1">+IFERROR(G$5*GETPIVOTDATA("Unique Billed Hours",'County allocation'!$A$3,"County",$D584,"HHA/CDPAP","HHA","Level of Service",$D594),0)</f>
        <v>0</v>
      </c>
      <c r="H594" s="658">
        <f>+IFERROR(H$5*GETPIVOTDATA("Unique Billed Hours",'County allocation'!$S$3,"County",$D584,"HHA/CDPAP","HHA","Level of Service",$D594),0)</f>
        <v>0</v>
      </c>
      <c r="I594" s="664">
        <f t="shared" ca="1" si="217"/>
        <v>0</v>
      </c>
      <c r="J594" s="658">
        <f ca="1">+IFERROR(J$5*GETPIVOTDATA("Unique Billed Hours",'County allocation'!$S$3,"County",$D584,"HHA/CDPAP","HHA","Level of Service",$D594),0)</f>
        <v>0</v>
      </c>
      <c r="K594" s="658">
        <f ca="1">+IFERROR(K$5*GETPIVOTDATA("Unique Billed Hours",'County allocation'!$X$3,"County",$D584,"HHA/CDPAP","HHA","Level of Service",$D594),0)</f>
        <v>0</v>
      </c>
      <c r="L594" s="658">
        <f ca="1">+IFERROR(L$2*GETPIVOTDATA("Unique Billed Hours",'County allocation'!$O$3,"County",$D584,"HHA/CDPAP","HHA","Level of Service",$D594),0)</f>
        <v>0</v>
      </c>
      <c r="M594" s="658">
        <f>+IFERROR(M$5*GETPIVOTDATA("Unique Billed Hours",'County allocation'!$S$3,"County",$D584,"HHA/CDPAP","HHA","Level of Service",$D594),0)</f>
        <v>0</v>
      </c>
      <c r="N594" s="658">
        <f>+IFERROR(N$5*GETPIVOTDATA("Unique Billed Hours",'County allocation'!$S$3,"County",$D584,"HHA/CDPAP","HHA","Level of Service",$D594),0)</f>
        <v>0</v>
      </c>
      <c r="O594" s="658">
        <f>+IFERROR(O$5*GETPIVOTDATA("Unique Billed Hours",'County allocation'!$K$19,"County",$D584,"HHA/CDPAP","HHA","Level of Service",$D594),0)</f>
        <v>0</v>
      </c>
      <c r="P594" s="658">
        <f>+IFERROR(P$5*GETPIVOTDATA("Unique Billed Hours",'County allocation'!$S$3,"County",$D584,"HHA/CDPAP","HHA","Level of Service",$D594),0)</f>
        <v>0</v>
      </c>
    </row>
    <row r="595" spans="1:18" s="54" customFormat="1" ht="15.75" hidden="1" thickBot="1" x14ac:dyDescent="0.3">
      <c r="A595" s="119"/>
      <c r="B595" s="309"/>
      <c r="C595" s="322">
        <f t="shared" ca="1" si="215"/>
        <v>0</v>
      </c>
      <c r="D595" s="52" t="s">
        <v>389</v>
      </c>
      <c r="E595" s="53" t="s">
        <v>49</v>
      </c>
      <c r="F595" s="657">
        <f t="shared" ca="1" si="216"/>
        <v>0</v>
      </c>
      <c r="G595" s="661">
        <f ca="1">SUM(G587:G594)</f>
        <v>0</v>
      </c>
      <c r="H595" s="661">
        <f>SUM(H587:H594)</f>
        <v>0</v>
      </c>
      <c r="I595" s="664">
        <f t="shared" ca="1" si="217"/>
        <v>0</v>
      </c>
      <c r="J595" s="661">
        <f ca="1">SUM(J587:J594)</f>
        <v>0</v>
      </c>
      <c r="K595" s="661">
        <f t="shared" ref="K595:P595" ca="1" si="218">SUM(K587:K594)</f>
        <v>0</v>
      </c>
      <c r="L595" s="661">
        <f t="shared" ca="1" si="218"/>
        <v>0</v>
      </c>
      <c r="M595" s="661">
        <f t="shared" si="218"/>
        <v>0</v>
      </c>
      <c r="N595" s="661">
        <f t="shared" si="218"/>
        <v>0</v>
      </c>
      <c r="O595" s="661">
        <f t="shared" si="218"/>
        <v>0</v>
      </c>
      <c r="P595" s="661">
        <f t="shared" si="218"/>
        <v>0</v>
      </c>
    </row>
    <row r="596" spans="1:18" s="54" customFormat="1" ht="15.75" hidden="1" thickBot="1" x14ac:dyDescent="0.3">
      <c r="A596" s="119"/>
      <c r="B596" s="309"/>
      <c r="C596" s="322">
        <f t="shared" ca="1" si="215"/>
        <v>0</v>
      </c>
      <c r="D596" s="371" t="s">
        <v>390</v>
      </c>
      <c r="E596" s="325" t="s">
        <v>47</v>
      </c>
      <c r="F596" s="657">
        <f t="shared" ca="1" si="216"/>
        <v>0</v>
      </c>
      <c r="G596" s="665">
        <f ca="1">+IFERROR((G$5*GETPIVOTDATA("Unique Billed Hours",'County allocation'!$A$3,"County",$D584,"HHA/CDPAP","HHA","Level of Service",$D596))+($G$2*GETPIVOTDATA("Unique Billed Hours",'County allocation'!$F$7,"County",$D584,"HHA/CDPAP","HHA","Level of Service",$D596)),0)++IFERROR(J$5*GETPIVOTDATA("Unique Billed Hours",'County allocation'!$AC$3,"County",$D584,"HHA/CDPAP","HHA","Level of Service",$D596),0)+ +IFERROR(J$5*GETPIVOTDATA("Unique Billed Hours",'County allocation'!$AC$3,"County",$D584,"HHA/CDPAP","HHA","Level of Service",$D597),0)</f>
        <v>0</v>
      </c>
      <c r="H596" s="665">
        <f>+IFERROR(H$5*GETPIVOTDATA("Unique Billed Hours",'County allocation'!$S$3,"County",$D584,"HHA/CDPAP","HHA","Level of Service",$D596),0)</f>
        <v>0</v>
      </c>
      <c r="I596" s="664">
        <f t="shared" ca="1" si="217"/>
        <v>0</v>
      </c>
      <c r="J596" s="901"/>
      <c r="K596" s="665">
        <f ca="1">+IFERROR(K$5*GETPIVOTDATA("Unique Billed Hours",'County allocation'!$X$3,"County",$D584,"HHA/CDPAP","HHA","Level of Service",$D596),0)</f>
        <v>0</v>
      </c>
      <c r="L596" s="665">
        <f ca="1">+IFERROR(L$5*GETPIVOTDATA("Unique Billed Hours",'County allocation'!$K$19,"County",$D584,"HHA/CDPAP","HHA","Level of Service",$D596),0)</f>
        <v>0</v>
      </c>
      <c r="M596" s="665">
        <f>+IFERROR(M$5*GETPIVOTDATA("Unique Billed Hours",'County allocation'!$S$3,"County",$D584,"HHA/CDPAP","HHA","Level of Service",$D596),0)</f>
        <v>0</v>
      </c>
      <c r="N596" s="665">
        <f>+IFERROR(N$5*GETPIVOTDATA("Unique Billed Hours",'County allocation'!$S$3,"County",$D584,"HHA/CDPAP","HHA","Level of Service",$D596),0)</f>
        <v>0</v>
      </c>
      <c r="O596" s="665">
        <f>+IFERROR(O$5*GETPIVOTDATA("Unique Billed Hours",'County allocation'!$S$3,"County",$D584,"HHA/CDPAP","HHA","Level of Service",$D596),0)</f>
        <v>0</v>
      </c>
      <c r="P596" s="665">
        <f>+IFERROR(P$5*GETPIVOTDATA("Unique Billed Hours",'County allocation'!$S$3,"County",$D584,"HHA/CDPAP","HHA","Level of Service",$D596),0)</f>
        <v>0</v>
      </c>
    </row>
    <row r="597" spans="1:18" s="54" customFormat="1" ht="15.75" hidden="1" thickBot="1" x14ac:dyDescent="0.3">
      <c r="A597" s="119"/>
      <c r="B597" s="309"/>
      <c r="C597" s="322">
        <f t="shared" ca="1" si="215"/>
        <v>0</v>
      </c>
      <c r="D597" s="8" t="s">
        <v>391</v>
      </c>
      <c r="E597" s="370" t="s">
        <v>77</v>
      </c>
      <c r="F597" s="657">
        <f t="shared" ca="1" si="216"/>
        <v>0</v>
      </c>
      <c r="G597" s="656"/>
      <c r="H597" s="658">
        <f>+IFERROR(H$5*GETPIVOTDATA("Unique Billed Hours",'County allocation'!$S$3,"County",$D584,"HHA/CDPAP","HHA","Level of Service",$D597),0)</f>
        <v>0</v>
      </c>
      <c r="I597" s="664">
        <f t="shared" ca="1" si="217"/>
        <v>0</v>
      </c>
      <c r="J597" s="901"/>
      <c r="K597" s="665">
        <f ca="1">+IFERROR(K$5*GETPIVOTDATA("Unique Billed Hours",'County allocation'!$X$3,"County",$D584,"HHA/CDPAP","HHA","Level of Service",$D597),0)</f>
        <v>0</v>
      </c>
      <c r="L597" s="665">
        <f ca="1">+IFERROR(L$5*GETPIVOTDATA("Unique Billed Hours",'County allocation'!$K$19,"County",$D584,"HHA/CDPAP","HHA","Level of Service",$D597),0)</f>
        <v>0</v>
      </c>
      <c r="M597" s="665">
        <f>+IFERROR(M$5*GETPIVOTDATA("Unique Billed Hours",'County allocation'!$S$3,"County",$D584,"HHA/CDPAP","HHA","Level of Service",$D597),0)</f>
        <v>0</v>
      </c>
      <c r="N597" s="665">
        <f>+IFERROR(N$5*GETPIVOTDATA("Unique Billed Hours",'County allocation'!$S$3,"County",$D584,"HHA/CDPAP","HHA","Level of Service",$D597),0)</f>
        <v>0</v>
      </c>
      <c r="O597" s="665">
        <f>+IFERROR(O$5*GETPIVOTDATA("Unique Billed Hours",'County allocation'!$S$3,"County",$D584,"HHA/CDPAP","HHA","Level of Service",$D597),0)</f>
        <v>0</v>
      </c>
      <c r="P597" s="665">
        <f>+IFERROR(P$5*GETPIVOTDATA("Unique Billed Hours",'County allocation'!$S$3,"County",$D584,"HHA/CDPAP","HHA","Level of Service",$D597),0)</f>
        <v>0</v>
      </c>
    </row>
    <row r="598" spans="1:18" s="54" customFormat="1" ht="15.75" hidden="1" thickBot="1" x14ac:dyDescent="0.3">
      <c r="A598" s="119"/>
      <c r="B598" s="309"/>
      <c r="C598" s="322">
        <f t="shared" ca="1" si="215"/>
        <v>0</v>
      </c>
      <c r="D598" s="8" t="s">
        <v>374</v>
      </c>
      <c r="E598" s="370" t="s">
        <v>78</v>
      </c>
      <c r="F598" s="657">
        <f t="shared" ca="1" si="216"/>
        <v>0</v>
      </c>
      <c r="G598" s="658">
        <f ca="1">+IFERROR(G$5*GETPIVOTDATA("Unique Billed Hours",'County allocation'!$A$3,"County",$D584,"HHA/CDPAP","HHA","Level of Service",$D598),0)++IFERROR(J$5*GETPIVOTDATA("Unique Billed Hours",'County allocation'!$AC$3,"County",$D584,"HHA/CDPAP","HHA","Level of Service",$D598),0)</f>
        <v>0</v>
      </c>
      <c r="H598" s="658">
        <f>+IFERROR(H$5*GETPIVOTDATA("Unique Billed Hours",'County allocation'!$S$3,"County",$D584,"HHA/CDPAP","HHA","Level of Service",$D598),0)</f>
        <v>0</v>
      </c>
      <c r="I598" s="664">
        <f t="shared" ca="1" si="217"/>
        <v>0</v>
      </c>
      <c r="J598" s="901"/>
      <c r="K598" s="665">
        <f ca="1">+IFERROR(K$5*GETPIVOTDATA("Unique Billed Hours",'County allocation'!$X$3,"County",$D584,"HHA/CDPAP","HHA","Level of Service",$D598),0)</f>
        <v>0</v>
      </c>
      <c r="L598" s="665">
        <f ca="1">+IFERROR(L$5*GETPIVOTDATA("Unique Billed Hours",'County allocation'!$K$19,"County",$D584,"HHA/CDPAP","HHA","Level of Service",$D598),0)</f>
        <v>0</v>
      </c>
      <c r="M598" s="665">
        <f>+IFERROR(M$5*GETPIVOTDATA("Unique Billed Hours",'County allocation'!$S$3,"County",$D584,"HHA/CDPAP","HHA","Level of Service",$D598),0)</f>
        <v>0</v>
      </c>
      <c r="N598" s="665">
        <f>+IFERROR(N$5*GETPIVOTDATA("Unique Billed Hours",'County allocation'!$S$3,"County",$D584,"HHA/CDPAP","HHA","Level of Service",$D598),0)</f>
        <v>0</v>
      </c>
      <c r="O598" s="665">
        <f>+IFERROR(O$5*GETPIVOTDATA("Unique Billed Hours",'County allocation'!$S$3,"County",$D584,"HHA/CDPAP","HHA","Level of Service",$D598),0)</f>
        <v>0</v>
      </c>
      <c r="P598" s="665">
        <f>+IFERROR(P$5*GETPIVOTDATA("Unique Billed Hours",'County allocation'!$S$3,"County",$D584,"HHA/CDPAP","HHA","Level of Service",$D598),0)</f>
        <v>0</v>
      </c>
    </row>
    <row r="599" spans="1:18" s="54" customFormat="1" ht="15.75" hidden="1" thickBot="1" x14ac:dyDescent="0.3">
      <c r="A599" s="302"/>
      <c r="B599" s="309"/>
      <c r="C599" s="322">
        <f ca="1">C598</f>
        <v>0</v>
      </c>
      <c r="D599" s="52" t="s">
        <v>48</v>
      </c>
      <c r="E599" s="53" t="s">
        <v>79</v>
      </c>
      <c r="F599" s="657">
        <f t="shared" ca="1" si="216"/>
        <v>0</v>
      </c>
      <c r="G599" s="661">
        <f t="shared" ref="G599" ca="1" si="219">SUM(G595:G598)</f>
        <v>0</v>
      </c>
      <c r="H599" s="661">
        <f t="shared" ref="H599:P599" si="220">SUM(H595:H598)</f>
        <v>0</v>
      </c>
      <c r="I599" s="661">
        <f t="shared" ca="1" si="220"/>
        <v>0</v>
      </c>
      <c r="J599" s="661">
        <f t="shared" ca="1" si="220"/>
        <v>0</v>
      </c>
      <c r="K599" s="661">
        <f t="shared" ca="1" si="220"/>
        <v>0</v>
      </c>
      <c r="L599" s="661">
        <f t="shared" ca="1" si="220"/>
        <v>0</v>
      </c>
      <c r="M599" s="661">
        <f t="shared" si="220"/>
        <v>0</v>
      </c>
      <c r="N599" s="661">
        <f t="shared" si="220"/>
        <v>0</v>
      </c>
      <c r="O599" s="661">
        <f t="shared" si="220"/>
        <v>0</v>
      </c>
      <c r="P599" s="661">
        <f t="shared" si="220"/>
        <v>0</v>
      </c>
    </row>
    <row r="600" spans="1:18" ht="15.75" hidden="1" thickBot="1" x14ac:dyDescent="0.3"/>
    <row r="601" spans="1:18" s="54" customFormat="1" ht="75.75" hidden="1" thickBot="1" x14ac:dyDescent="0.3">
      <c r="A601" s="119"/>
      <c r="B601" s="309"/>
      <c r="C601" s="322">
        <f ca="1">IF(F616&gt;0,1,0)</f>
        <v>0</v>
      </c>
      <c r="D601" s="45" t="str">
        <f>A38</f>
        <v>Ontario</v>
      </c>
      <c r="E601" s="28">
        <f>+SUMIF(A:A,D601,B:B)</f>
        <v>0</v>
      </c>
      <c r="F601" s="652" t="s">
        <v>61</v>
      </c>
      <c r="G601" s="652" t="s">
        <v>387</v>
      </c>
      <c r="H601" s="652" t="s">
        <v>388</v>
      </c>
      <c r="I601" s="652" t="s">
        <v>392</v>
      </c>
      <c r="J601" s="652" t="s">
        <v>31</v>
      </c>
      <c r="K601" s="652" t="s">
        <v>32</v>
      </c>
      <c r="L601" s="653" t="s">
        <v>33</v>
      </c>
      <c r="M601" s="653" t="s">
        <v>60</v>
      </c>
      <c r="N601" s="653" t="s">
        <v>59</v>
      </c>
      <c r="O601" s="653" t="s">
        <v>58</v>
      </c>
      <c r="P601" s="653" t="s">
        <v>16</v>
      </c>
    </row>
    <row r="602" spans="1:18" s="54" customFormat="1" ht="15.75" hidden="1" thickBot="1" x14ac:dyDescent="0.3">
      <c r="A602" s="119"/>
      <c r="B602" s="309"/>
      <c r="C602" s="322">
        <f ca="1">C601</f>
        <v>0</v>
      </c>
      <c r="D602" s="56"/>
      <c r="E602" s="57"/>
      <c r="F602" s="654" t="s">
        <v>57</v>
      </c>
      <c r="G602" s="654" t="s">
        <v>56</v>
      </c>
      <c r="H602" s="654" t="s">
        <v>55</v>
      </c>
      <c r="I602" s="654" t="s">
        <v>54</v>
      </c>
      <c r="J602" s="654" t="s">
        <v>53</v>
      </c>
      <c r="K602" s="654" t="s">
        <v>52</v>
      </c>
      <c r="L602" s="654" t="s">
        <v>51</v>
      </c>
      <c r="M602" s="654" t="s">
        <v>50</v>
      </c>
      <c r="N602" s="654" t="s">
        <v>49</v>
      </c>
      <c r="O602" s="654" t="s">
        <v>47</v>
      </c>
      <c r="P602" s="655" t="s">
        <v>77</v>
      </c>
    </row>
    <row r="603" spans="1:18" s="54" customFormat="1" ht="15.75" hidden="1" thickBot="1" x14ac:dyDescent="0.3">
      <c r="A603" s="119"/>
      <c r="B603" s="309"/>
      <c r="C603" s="322">
        <f t="shared" ref="C603:C615" ca="1" si="221">C602</f>
        <v>0</v>
      </c>
      <c r="D603" s="59" t="s">
        <v>26</v>
      </c>
      <c r="E603" s="57"/>
      <c r="F603" s="656"/>
      <c r="G603" s="656"/>
      <c r="H603" s="656"/>
      <c r="I603" s="656"/>
      <c r="J603" s="656"/>
      <c r="K603" s="656"/>
      <c r="L603" s="656"/>
      <c r="M603" s="656"/>
      <c r="N603" s="656"/>
      <c r="O603" s="656"/>
      <c r="P603" s="663"/>
    </row>
    <row r="604" spans="1:18" s="54" customFormat="1" ht="15.75" hidden="1" thickBot="1" x14ac:dyDescent="0.3">
      <c r="A604" s="119"/>
      <c r="B604" s="309"/>
      <c r="C604" s="322">
        <f t="shared" ca="1" si="221"/>
        <v>0</v>
      </c>
      <c r="D604" s="7" t="s">
        <v>34</v>
      </c>
      <c r="E604" s="48" t="s">
        <v>57</v>
      </c>
      <c r="F604" s="657">
        <f ca="1">+H604+G604+I604</f>
        <v>0</v>
      </c>
      <c r="G604" s="658">
        <f ca="1">+IFERROR(G$5*GETPIVOTDATA("Unique Billed Hours",'County allocation'!$A$3,"County",$D601,"HHA/CDPAP","HHA","Level of Service",$D604),0)</f>
        <v>0</v>
      </c>
      <c r="H604" s="658">
        <f>+IFERROR(H$5*GETPIVOTDATA("Unique Billed Hours",'County allocation'!$S$3,"County",$D601,"HHA/CDPAP","HHA","Level of Service",$D604),0)</f>
        <v>0</v>
      </c>
      <c r="I604" s="664">
        <f ca="1">SUM(J604:P604)</f>
        <v>0</v>
      </c>
      <c r="J604" s="658">
        <f ca="1">+IFERROR(J$5*GETPIVOTDATA("Unique Billed Hours",'County allocation'!$S$3,"County",$D601,"HHA/CDPAP","HHA","Level of Service",$D604),0)</f>
        <v>0</v>
      </c>
      <c r="K604" s="658">
        <f ca="1">+IFERROR(K$5*GETPIVOTDATA("Unique Billed Hours",'County allocation'!$X$3,"County",$D601,"HHA/CDPAP","HHA","Level of Service",$D604),0)</f>
        <v>0</v>
      </c>
      <c r="L604" s="658">
        <f ca="1">+IFERROR(L$2*GETPIVOTDATA("Unique Billed Hours",'County allocation'!$O$3,"County",$D601,"HHA/CDPAP","HHA","Level of Service",$D604),0)</f>
        <v>0</v>
      </c>
      <c r="M604" s="658">
        <f>+IFERROR(M$5*GETPIVOTDATA("Unique Billed Hours",'County allocation'!$S$3,"County",$D601,"HHA/CDPAP","HHA","Level of Service",$D604),0)</f>
        <v>0</v>
      </c>
      <c r="N604" s="658">
        <f>+IFERROR(N$5*GETPIVOTDATA("Unique Billed Hours",'County allocation'!$S$3,"County",$D601,"HHA/CDPAP","HHA","Level of Service",$D604),0)</f>
        <v>0</v>
      </c>
      <c r="O604" s="658">
        <f>+IFERROR(O$5*GETPIVOTDATA("Unique Billed Hours",'County allocation'!$K$19,"County",$D601,"HHA/CDPAP","HHA","Level of Service",$D604),0)</f>
        <v>0</v>
      </c>
      <c r="P604" s="658">
        <f>+IFERROR(P$5*GETPIVOTDATA("Unique Billed Hours",'County allocation'!$S$3,"County",$D601,"HHA/CDPAP","HHA","Level of Service",$D604),0)</f>
        <v>0</v>
      </c>
    </row>
    <row r="605" spans="1:18" s="54" customFormat="1" ht="15.75" hidden="1" thickBot="1" x14ac:dyDescent="0.3">
      <c r="A605" s="119"/>
      <c r="B605" s="309"/>
      <c r="C605" s="322">
        <f t="shared" ca="1" si="221"/>
        <v>0</v>
      </c>
      <c r="D605" s="7" t="s">
        <v>35</v>
      </c>
      <c r="E605" s="48" t="s">
        <v>56</v>
      </c>
      <c r="F605" s="657">
        <f t="shared" ref="F605:F616" ca="1" si="222">+H605+G605+I605</f>
        <v>0</v>
      </c>
      <c r="G605" s="658">
        <f ca="1">+IFERROR(G$5*GETPIVOTDATA("Unique Billed Hours",'County allocation'!$A$3,"County",$D601,"HHA/CDPAP","HHA","Level of Service",$D605),0)</f>
        <v>0</v>
      </c>
      <c r="H605" s="658">
        <f>+IFERROR(H$5*GETPIVOTDATA("Unique Billed Hours",'County allocation'!$S$3,"County",$D601,"HHA/CDPAP","HHA","Level of Service",$D605),0)</f>
        <v>0</v>
      </c>
      <c r="I605" s="664">
        <f t="shared" ref="I605:I615" ca="1" si="223">SUM(J605:P605)</f>
        <v>0</v>
      </c>
      <c r="J605" s="658">
        <f ca="1">+IFERROR(J$5*GETPIVOTDATA("Unique Billed Hours",'County allocation'!$S$3,"County",$D601,"HHA/CDPAP","HHA","Level of Service",$D605),0)</f>
        <v>0</v>
      </c>
      <c r="K605" s="658">
        <f ca="1">+IFERROR(K$5*GETPIVOTDATA("Unique Billed Hours",'County allocation'!$X$3,"County",$D601,"HHA/CDPAP","HHA","Level of Service",$D605),0)</f>
        <v>0</v>
      </c>
      <c r="L605" s="658">
        <f ca="1">+IFERROR(L$2*GETPIVOTDATA("Unique Billed Hours",'County allocation'!$O$3,"County",$D601,"HHA/CDPAP","HHA","Level of Service",$D605),0)</f>
        <v>0</v>
      </c>
      <c r="M605" s="658">
        <f>+IFERROR(M$5*GETPIVOTDATA("Unique Billed Hours",'County allocation'!$S$3,"County",$D601,"HHA/CDPAP","HHA","Level of Service",$D605),0)</f>
        <v>0</v>
      </c>
      <c r="N605" s="658">
        <f>+IFERROR(N$5*GETPIVOTDATA("Unique Billed Hours",'County allocation'!$S$3,"County",$D601,"HHA/CDPAP","HHA","Level of Service",$D605),0)</f>
        <v>0</v>
      </c>
      <c r="O605" s="658">
        <f>+IFERROR(O$5*GETPIVOTDATA("Unique Billed Hours",'County allocation'!$K$19,"County",$D601,"HHA/CDPAP","HHA","Level of Service",$D605),0)</f>
        <v>0</v>
      </c>
      <c r="P605" s="658">
        <f>+IFERROR(P$5*GETPIVOTDATA("Unique Billed Hours",'County allocation'!$S$3,"County",$D601,"HHA/CDPAP","HHA","Level of Service",$D605),0)</f>
        <v>0</v>
      </c>
      <c r="R605" s="61"/>
    </row>
    <row r="606" spans="1:18" s="54" customFormat="1" ht="15.75" hidden="1" thickBot="1" x14ac:dyDescent="0.3">
      <c r="A606" s="302"/>
      <c r="B606" s="309"/>
      <c r="C606" s="322">
        <f t="shared" ca="1" si="221"/>
        <v>0</v>
      </c>
      <c r="D606" s="7" t="s">
        <v>36</v>
      </c>
      <c r="E606" s="48" t="s">
        <v>55</v>
      </c>
      <c r="F606" s="657">
        <f t="shared" ca="1" si="222"/>
        <v>0</v>
      </c>
      <c r="G606" s="658">
        <f ca="1">+IFERROR(G$5*GETPIVOTDATA("Unique Billed Hours",'County allocation'!$A$3,"County",$D601,"HHA/CDPAP","HHA","Level of Service",$D606),0)</f>
        <v>0</v>
      </c>
      <c r="H606" s="658">
        <f>+IFERROR(H$5*GETPIVOTDATA("Unique Billed Hours",'County allocation'!$S$3,"County",$D601,"HHA/CDPAP","HHA","Level of Service",$D606),0)</f>
        <v>0</v>
      </c>
      <c r="I606" s="664">
        <f t="shared" ca="1" si="223"/>
        <v>0</v>
      </c>
      <c r="J606" s="658">
        <f ca="1">+IFERROR(J$5*GETPIVOTDATA("Unique Billed Hours",'County allocation'!$S$3,"County",$D601,"HHA/CDPAP","HHA","Level of Service",$D606),0)</f>
        <v>0</v>
      </c>
      <c r="K606" s="658">
        <f ca="1">+IFERROR(K$5*GETPIVOTDATA("Unique Billed Hours",'County allocation'!$X$3,"County",$D601,"HHA/CDPAP","HHA","Level of Service",$D606),0)</f>
        <v>0</v>
      </c>
      <c r="L606" s="658">
        <f ca="1">+IFERROR(L$2*GETPIVOTDATA("Unique Billed Hours",'County allocation'!$O$3,"County",$D601,"HHA/CDPAP","HHA","Level of Service",$D606),0)</f>
        <v>0</v>
      </c>
      <c r="M606" s="658">
        <f>+IFERROR(M$5*GETPIVOTDATA("Unique Billed Hours",'County allocation'!$S$3,"County",$D601,"HHA/CDPAP","HHA","Level of Service",$D606),0)</f>
        <v>0</v>
      </c>
      <c r="N606" s="658">
        <f>+IFERROR(N$5*GETPIVOTDATA("Unique Billed Hours",'County allocation'!$S$3,"County",$D601,"HHA/CDPAP","HHA","Level of Service",$D606),0)</f>
        <v>0</v>
      </c>
      <c r="O606" s="658">
        <f>+IFERROR(O$5*GETPIVOTDATA("Unique Billed Hours",'County allocation'!$K$19,"County",$D601,"HHA/CDPAP","HHA","Level of Service",$D606),0)</f>
        <v>0</v>
      </c>
      <c r="P606" s="658">
        <f>+IFERROR(P$5*GETPIVOTDATA("Unique Billed Hours",'County allocation'!$S$3,"County",$D601,"HHA/CDPAP","HHA","Level of Service",$D606),0)</f>
        <v>0</v>
      </c>
    </row>
    <row r="607" spans="1:18" s="54" customFormat="1" ht="15.75" hidden="1" thickBot="1" x14ac:dyDescent="0.3">
      <c r="A607" s="119"/>
      <c r="B607" s="309"/>
      <c r="C607" s="322">
        <f t="shared" ca="1" si="221"/>
        <v>0</v>
      </c>
      <c r="D607" s="7" t="s">
        <v>37</v>
      </c>
      <c r="E607" s="48" t="s">
        <v>54</v>
      </c>
      <c r="F607" s="657">
        <f t="shared" ca="1" si="222"/>
        <v>0</v>
      </c>
      <c r="G607" s="658">
        <f ca="1">+IFERROR(G$5*GETPIVOTDATA("Unique Billed Hours",'County allocation'!$A$3,"County",$D601,"HHA/CDPAP","HHA","Level of Service",$D607),0)</f>
        <v>0</v>
      </c>
      <c r="H607" s="658">
        <f>+IFERROR(H$5*GETPIVOTDATA("Unique Billed Hours",'County allocation'!$S$3,"County",$D601,"HHA/CDPAP","HHA","Level of Service",$D607),0)</f>
        <v>0</v>
      </c>
      <c r="I607" s="664">
        <f t="shared" ca="1" si="223"/>
        <v>0</v>
      </c>
      <c r="J607" s="658">
        <f ca="1">+IFERROR(J$5*GETPIVOTDATA("Unique Billed Hours",'County allocation'!$S$3,"County",$D601,"HHA/CDPAP","HHA","Level of Service",$D607),0)</f>
        <v>0</v>
      </c>
      <c r="K607" s="658">
        <f ca="1">+IFERROR(K$5*GETPIVOTDATA("Unique Billed Hours",'County allocation'!$X$3,"County",$D601,"HHA/CDPAP","HHA","Level of Service",$D607),0)</f>
        <v>0</v>
      </c>
      <c r="L607" s="658">
        <f ca="1">+IFERROR(L$2*GETPIVOTDATA("Unique Billed Hours",'County allocation'!$O$3,"County",$D601,"HHA/CDPAP","HHA","Level of Service",$D607),0)</f>
        <v>0</v>
      </c>
      <c r="M607" s="658">
        <f>+IFERROR(M$5*GETPIVOTDATA("Unique Billed Hours",'County allocation'!$S$3,"County",$D601,"HHA/CDPAP","HHA","Level of Service",$D607),0)</f>
        <v>0</v>
      </c>
      <c r="N607" s="658">
        <f>+IFERROR(N$5*GETPIVOTDATA("Unique Billed Hours",'County allocation'!$S$3,"County",$D601,"HHA/CDPAP","HHA","Level of Service",$D607),0)</f>
        <v>0</v>
      </c>
      <c r="O607" s="658">
        <f>+IFERROR(O$5*GETPIVOTDATA("Unique Billed Hours",'County allocation'!$K$19,"County",$D601,"HHA/CDPAP","HHA","Level of Service",$D607),0)</f>
        <v>0</v>
      </c>
      <c r="P607" s="658">
        <f>+IFERROR(P$5*GETPIVOTDATA("Unique Billed Hours",'County allocation'!$S$3,"County",$D601,"HHA/CDPAP","HHA","Level of Service",$D607),0)</f>
        <v>0</v>
      </c>
    </row>
    <row r="608" spans="1:18" s="54" customFormat="1" ht="15.75" hidden="1" thickBot="1" x14ac:dyDescent="0.3">
      <c r="A608" s="119"/>
      <c r="B608" s="309"/>
      <c r="C608" s="322">
        <f t="shared" ca="1" si="221"/>
        <v>0</v>
      </c>
      <c r="D608" s="7" t="s">
        <v>38</v>
      </c>
      <c r="E608" s="48" t="s">
        <v>53</v>
      </c>
      <c r="F608" s="657">
        <f t="shared" ca="1" si="222"/>
        <v>0</v>
      </c>
      <c r="G608" s="658">
        <f ca="1">+IFERROR(G$5*GETPIVOTDATA("Unique Billed Hours",'County allocation'!$A$3,"County",$D601,"HHA/CDPAP","HHA","Level of Service",$D608),0)</f>
        <v>0</v>
      </c>
      <c r="H608" s="658">
        <f>+IFERROR(H$5*GETPIVOTDATA("Unique Billed Hours",'County allocation'!$S$3,"County",$D601,"HHA/CDPAP","HHA","Level of Service",$D608),0)</f>
        <v>0</v>
      </c>
      <c r="I608" s="664">
        <f t="shared" ca="1" si="223"/>
        <v>0</v>
      </c>
      <c r="J608" s="658">
        <f ca="1">+IFERROR(J$5*GETPIVOTDATA("Unique Billed Hours",'County allocation'!$S$3,"County",$D601,"HHA/CDPAP","HHA","Level of Service",$D608),0)</f>
        <v>0</v>
      </c>
      <c r="K608" s="658">
        <f ca="1">+IFERROR(K$5*GETPIVOTDATA("Unique Billed Hours",'County allocation'!$X$3,"County",$D601,"HHA/CDPAP","HHA","Level of Service",$D608),0)</f>
        <v>0</v>
      </c>
      <c r="L608" s="658">
        <f ca="1">+IFERROR(L$5*GETPIVOTDATA("Unique Billed Hours",'County allocation'!$K$19,"County",$D601,"HHA/CDPAP","HHA","Level of Service",$D608),0)</f>
        <v>0</v>
      </c>
      <c r="M608" s="658">
        <f>+IFERROR(M$5*GETPIVOTDATA("Unique Billed Hours",'County allocation'!$S$3,"County",$D601,"HHA/CDPAP","HHA","Level of Service",$D608),0)</f>
        <v>0</v>
      </c>
      <c r="N608" s="658">
        <f>+IFERROR(N$5*GETPIVOTDATA("Unique Billed Hours",'County allocation'!$S$3,"County",$D601,"HHA/CDPAP","HHA","Level of Service",$D608),0)</f>
        <v>0</v>
      </c>
      <c r="O608" s="658">
        <f>+IFERROR(O$5*GETPIVOTDATA("Unique Billed Hours",'County allocation'!$K$19,"County",$D601,"HHA/CDPAP","HHA","Level of Service",$D608),0)</f>
        <v>0</v>
      </c>
      <c r="P608" s="658">
        <f>+IFERROR(P$5*GETPIVOTDATA("Unique Billed Hours",'County allocation'!$S$3,"County",$D601,"HHA/CDPAP","HHA","Level of Service",$D608),0)</f>
        <v>0</v>
      </c>
    </row>
    <row r="609" spans="1:18" s="54" customFormat="1" ht="15.75" hidden="1" thickBot="1" x14ac:dyDescent="0.3">
      <c r="A609" s="119"/>
      <c r="B609" s="309"/>
      <c r="C609" s="322">
        <f t="shared" ca="1" si="221"/>
        <v>0</v>
      </c>
      <c r="D609" s="7" t="s">
        <v>39</v>
      </c>
      <c r="E609" s="48" t="s">
        <v>52</v>
      </c>
      <c r="F609" s="657">
        <f t="shared" ca="1" si="222"/>
        <v>0</v>
      </c>
      <c r="G609" s="658">
        <f ca="1">+IFERROR(G$5*GETPIVOTDATA("Unique Billed Hours",'County allocation'!$A$3,"County",$D601,"HHA/CDPAP","HHA","Level of Service",$D609),0)</f>
        <v>0</v>
      </c>
      <c r="H609" s="658">
        <f>+IFERROR(H$5*GETPIVOTDATA("Unique Billed Hours",'County allocation'!$S$3,"County",$D601,"HHA/CDPAP","HHA","Level of Service",$D609),0)</f>
        <v>0</v>
      </c>
      <c r="I609" s="664">
        <f t="shared" ca="1" si="223"/>
        <v>0</v>
      </c>
      <c r="J609" s="658">
        <f ca="1">+IFERROR(J$5*GETPIVOTDATA("Unique Billed Hours",'County allocation'!$S$3,"County",$D601,"HHA/CDPAP","HHA","Level of Service",$D609),0)</f>
        <v>0</v>
      </c>
      <c r="K609" s="658">
        <f ca="1">+IFERROR(K$5*GETPIVOTDATA("Unique Billed Hours",'County allocation'!$X$3,"County",$D601,"HHA/CDPAP","HHA","Level of Service",$D609),0)</f>
        <v>0</v>
      </c>
      <c r="L609" s="658">
        <f ca="1">+IFERROR(L$5*GETPIVOTDATA("Unique Billed Hours",'County allocation'!$K$19,"County",$D601,"HHA/CDPAP","HHA","Level of Service",$D609),0)</f>
        <v>0</v>
      </c>
      <c r="M609" s="658">
        <f>+IFERROR(M$5*GETPIVOTDATA("Unique Billed Hours",'County allocation'!$S$3,"County",$D601,"HHA/CDPAP","HHA","Level of Service",$D609),0)</f>
        <v>0</v>
      </c>
      <c r="N609" s="658">
        <f>+IFERROR(N$5*GETPIVOTDATA("Unique Billed Hours",'County allocation'!$S$3,"County",$D601,"HHA/CDPAP","HHA","Level of Service",$D609),0)</f>
        <v>0</v>
      </c>
      <c r="O609" s="658">
        <f>+IFERROR(O$5*GETPIVOTDATA("Unique Billed Hours",'County allocation'!$K$19,"County",$D601,"HHA/CDPAP","HHA","Level of Service",$D609),0)</f>
        <v>0</v>
      </c>
      <c r="P609" s="658">
        <f>+IFERROR(P$5*GETPIVOTDATA("Unique Billed Hours",'County allocation'!$S$3,"County",$D601,"HHA/CDPAP","HHA","Level of Service",$D609),0)</f>
        <v>0</v>
      </c>
    </row>
    <row r="610" spans="1:18" s="54" customFormat="1" ht="15.75" hidden="1" thickBot="1" x14ac:dyDescent="0.3">
      <c r="A610" s="119"/>
      <c r="B610" s="309"/>
      <c r="C610" s="322">
        <f t="shared" ca="1" si="221"/>
        <v>0</v>
      </c>
      <c r="D610" s="8" t="s">
        <v>40</v>
      </c>
      <c r="E610" s="48" t="s">
        <v>51</v>
      </c>
      <c r="F610" s="657">
        <f t="shared" ca="1" si="222"/>
        <v>0</v>
      </c>
      <c r="G610" s="658">
        <f ca="1">+IFERROR(G$5*GETPIVOTDATA("Unique Billed Hours",'County allocation'!$A$3,"County",$D601,"HHA/CDPAP","HHA","Level of Service",$D610),0)</f>
        <v>0</v>
      </c>
      <c r="H610" s="658">
        <f>+IFERROR(H$5*GETPIVOTDATA("Unique Billed Hours",'County allocation'!$S$3,"County",$D601,"HHA/CDPAP","HHA","Level of Service",$D610),0)</f>
        <v>0</v>
      </c>
      <c r="I610" s="664">
        <f t="shared" ca="1" si="223"/>
        <v>0</v>
      </c>
      <c r="J610" s="658">
        <f ca="1">+IFERROR(J$5*GETPIVOTDATA("Unique Billed Hours",'County allocation'!$S$3,"County",$D601,"HHA/CDPAP","HHA","Level of Service",$D610),0)</f>
        <v>0</v>
      </c>
      <c r="K610" s="658">
        <f ca="1">+IFERROR(K$5*GETPIVOTDATA("Unique Billed Hours",'County allocation'!$X$3,"County",$D601,"HHA/CDPAP","HHA","Level of Service",$D610),0)</f>
        <v>0</v>
      </c>
      <c r="L610" s="658">
        <f ca="1">+IFERROR(L$2*GETPIVOTDATA("Unique Billed Hours",'County allocation'!$O$3,"County",$D601,"HHA/CDPAP","HHA","Level of Service",$D610),0)</f>
        <v>0</v>
      </c>
      <c r="M610" s="658">
        <f>+IFERROR(M$5*GETPIVOTDATA("Unique Billed Hours",'County allocation'!$S$3,"County",$D601,"HHA/CDPAP","HHA","Level of Service",$D610),0)</f>
        <v>0</v>
      </c>
      <c r="N610" s="658">
        <f>+IFERROR(N$5*GETPIVOTDATA("Unique Billed Hours",'County allocation'!$S$3,"County",$D601,"HHA/CDPAP","HHA","Level of Service",$D610),0)</f>
        <v>0</v>
      </c>
      <c r="O610" s="658">
        <f>+IFERROR(O$5*GETPIVOTDATA("Unique Billed Hours",'County allocation'!$K$19,"County",$D601,"HHA/CDPAP","HHA","Level of Service",$D610),0)</f>
        <v>0</v>
      </c>
      <c r="P610" s="658">
        <f>+IFERROR(P$5*GETPIVOTDATA("Unique Billed Hours",'County allocation'!$S$3,"County",$D601,"HHA/CDPAP","HHA","Level of Service",$D610),0)</f>
        <v>0</v>
      </c>
    </row>
    <row r="611" spans="1:18" s="54" customFormat="1" ht="15.75" hidden="1" thickBot="1" x14ac:dyDescent="0.3">
      <c r="A611" s="119"/>
      <c r="B611" s="309"/>
      <c r="C611" s="322">
        <f t="shared" ca="1" si="221"/>
        <v>0</v>
      </c>
      <c r="D611" s="8" t="s">
        <v>41</v>
      </c>
      <c r="E611" s="48" t="s">
        <v>50</v>
      </c>
      <c r="F611" s="657">
        <f t="shared" ca="1" si="222"/>
        <v>0</v>
      </c>
      <c r="G611" s="658">
        <f ca="1">+IFERROR(G$5*GETPIVOTDATA("Unique Billed Hours",'County allocation'!$A$3,"County",$D601,"HHA/CDPAP","HHA","Level of Service",$D611),0)</f>
        <v>0</v>
      </c>
      <c r="H611" s="658">
        <f>+IFERROR(H$5*GETPIVOTDATA("Unique Billed Hours",'County allocation'!$S$3,"County",$D601,"HHA/CDPAP","HHA","Level of Service",$D611),0)</f>
        <v>0</v>
      </c>
      <c r="I611" s="664">
        <f t="shared" ca="1" si="223"/>
        <v>0</v>
      </c>
      <c r="J611" s="658">
        <f ca="1">+IFERROR(J$5*GETPIVOTDATA("Unique Billed Hours",'County allocation'!$S$3,"County",$D601,"HHA/CDPAP","HHA","Level of Service",$D611),0)</f>
        <v>0</v>
      </c>
      <c r="K611" s="658">
        <f ca="1">+IFERROR(K$5*GETPIVOTDATA("Unique Billed Hours",'County allocation'!$X$3,"County",$D601,"HHA/CDPAP","HHA","Level of Service",$D611),0)</f>
        <v>0</v>
      </c>
      <c r="L611" s="658">
        <f ca="1">+IFERROR(L$2*GETPIVOTDATA("Unique Billed Hours",'County allocation'!$O$3,"County",$D601,"HHA/CDPAP","HHA","Level of Service",$D611),0)</f>
        <v>0</v>
      </c>
      <c r="M611" s="658">
        <f>+IFERROR(M$5*GETPIVOTDATA("Unique Billed Hours",'County allocation'!$S$3,"County",$D601,"HHA/CDPAP","HHA","Level of Service",$D611),0)</f>
        <v>0</v>
      </c>
      <c r="N611" s="658">
        <f>+IFERROR(N$5*GETPIVOTDATA("Unique Billed Hours",'County allocation'!$S$3,"County",$D601,"HHA/CDPAP","HHA","Level of Service",$D611),0)</f>
        <v>0</v>
      </c>
      <c r="O611" s="658">
        <f>+IFERROR(O$5*GETPIVOTDATA("Unique Billed Hours",'County allocation'!$K$19,"County",$D601,"HHA/CDPAP","HHA","Level of Service",$D611),0)</f>
        <v>0</v>
      </c>
      <c r="P611" s="658">
        <f>+IFERROR(P$5*GETPIVOTDATA("Unique Billed Hours",'County allocation'!$S$3,"County",$D601,"HHA/CDPAP","HHA","Level of Service",$D611),0)</f>
        <v>0</v>
      </c>
    </row>
    <row r="612" spans="1:18" s="54" customFormat="1" ht="15.75" hidden="1" thickBot="1" x14ac:dyDescent="0.3">
      <c r="A612" s="119"/>
      <c r="B612" s="309"/>
      <c r="C612" s="322">
        <f t="shared" ca="1" si="221"/>
        <v>0</v>
      </c>
      <c r="D612" s="52" t="s">
        <v>389</v>
      </c>
      <c r="E612" s="53" t="s">
        <v>49</v>
      </c>
      <c r="F612" s="657">
        <f t="shared" ca="1" si="222"/>
        <v>0</v>
      </c>
      <c r="G612" s="661">
        <f ca="1">SUM(G604:G611)</f>
        <v>0</v>
      </c>
      <c r="H612" s="661">
        <f>SUM(H604:H611)</f>
        <v>0</v>
      </c>
      <c r="I612" s="664">
        <f t="shared" ca="1" si="223"/>
        <v>0</v>
      </c>
      <c r="J612" s="661">
        <f ca="1">SUM(J604:J611)</f>
        <v>0</v>
      </c>
      <c r="K612" s="661">
        <f t="shared" ref="K612:P612" ca="1" si="224">SUM(K604:K611)</f>
        <v>0</v>
      </c>
      <c r="L612" s="661">
        <f t="shared" ca="1" si="224"/>
        <v>0</v>
      </c>
      <c r="M612" s="661">
        <f t="shared" si="224"/>
        <v>0</v>
      </c>
      <c r="N612" s="661">
        <f t="shared" si="224"/>
        <v>0</v>
      </c>
      <c r="O612" s="661">
        <f t="shared" si="224"/>
        <v>0</v>
      </c>
      <c r="P612" s="661">
        <f t="shared" si="224"/>
        <v>0</v>
      </c>
    </row>
    <row r="613" spans="1:18" s="54" customFormat="1" ht="15.75" hidden="1" thickBot="1" x14ac:dyDescent="0.3">
      <c r="A613" s="119"/>
      <c r="B613" s="309"/>
      <c r="C613" s="322">
        <f t="shared" ca="1" si="221"/>
        <v>0</v>
      </c>
      <c r="D613" s="371" t="s">
        <v>390</v>
      </c>
      <c r="E613" s="325" t="s">
        <v>47</v>
      </c>
      <c r="F613" s="657">
        <f t="shared" ca="1" si="222"/>
        <v>0</v>
      </c>
      <c r="G613" s="665">
        <f ca="1">+IFERROR((G$5*GETPIVOTDATA("Unique Billed Hours",'County allocation'!$A$3,"County",$D601,"HHA/CDPAP","HHA","Level of Service",$D613))+($G$2*GETPIVOTDATA("Unique Billed Hours",'County allocation'!$F$7,"County",$D601,"HHA/CDPAP","HHA","Level of Service",$D613)),0)++IFERROR(J$5*GETPIVOTDATA("Unique Billed Hours",'County allocation'!$AC$3,"County",$D601,"HHA/CDPAP","HHA","Level of Service",$D613),0)+ +IFERROR(J$5*GETPIVOTDATA("Unique Billed Hours",'County allocation'!$AC$3,"County",$D601,"HHA/CDPAP","HHA","Level of Service",$D614),0)</f>
        <v>0</v>
      </c>
      <c r="H613" s="665">
        <f>+IFERROR(H$5*GETPIVOTDATA("Unique Billed Hours",'County allocation'!$S$3,"County",$D601,"HHA/CDPAP","HHA","Level of Service",$D613),0)</f>
        <v>0</v>
      </c>
      <c r="I613" s="664">
        <f t="shared" ca="1" si="223"/>
        <v>0</v>
      </c>
      <c r="J613" s="901"/>
      <c r="K613" s="665">
        <f ca="1">+IFERROR(K$5*GETPIVOTDATA("Unique Billed Hours",'County allocation'!$X$3,"County",$D601,"HHA/CDPAP","HHA","Level of Service",$D613),0)</f>
        <v>0</v>
      </c>
      <c r="L613" s="665">
        <f ca="1">+IFERROR(L$5*GETPIVOTDATA("Unique Billed Hours",'County allocation'!$K$19,"County",$D601,"HHA/CDPAP","HHA","Level of Service",$D613),0)</f>
        <v>0</v>
      </c>
      <c r="M613" s="665">
        <f>+IFERROR(M$5*GETPIVOTDATA("Unique Billed Hours",'County allocation'!$S$3,"County",$D601,"HHA/CDPAP","HHA","Level of Service",$D613),0)</f>
        <v>0</v>
      </c>
      <c r="N613" s="665">
        <f>+IFERROR(N$5*GETPIVOTDATA("Unique Billed Hours",'County allocation'!$S$3,"County",$D601,"HHA/CDPAP","HHA","Level of Service",$D613),0)</f>
        <v>0</v>
      </c>
      <c r="O613" s="665">
        <f>+IFERROR(O$5*GETPIVOTDATA("Unique Billed Hours",'County allocation'!$S$3,"County",$D601,"HHA/CDPAP","HHA","Level of Service",$D613),0)</f>
        <v>0</v>
      </c>
      <c r="P613" s="665">
        <f>+IFERROR(P$5*GETPIVOTDATA("Unique Billed Hours",'County allocation'!$S$3,"County",$D601,"HHA/CDPAP","HHA","Level of Service",$D613),0)</f>
        <v>0</v>
      </c>
    </row>
    <row r="614" spans="1:18" s="54" customFormat="1" ht="15.75" hidden="1" thickBot="1" x14ac:dyDescent="0.3">
      <c r="A614" s="119"/>
      <c r="B614" s="309"/>
      <c r="C614" s="322">
        <f t="shared" ca="1" si="221"/>
        <v>0</v>
      </c>
      <c r="D614" s="8" t="s">
        <v>391</v>
      </c>
      <c r="E614" s="370" t="s">
        <v>77</v>
      </c>
      <c r="F614" s="657">
        <f t="shared" ca="1" si="222"/>
        <v>0</v>
      </c>
      <c r="G614" s="656"/>
      <c r="H614" s="658">
        <f>+IFERROR(H$5*GETPIVOTDATA("Unique Billed Hours",'County allocation'!$S$3,"County",$D601,"HHA/CDPAP","HHA","Level of Service",$D614),0)</f>
        <v>0</v>
      </c>
      <c r="I614" s="664">
        <f t="shared" ca="1" si="223"/>
        <v>0</v>
      </c>
      <c r="J614" s="901"/>
      <c r="K614" s="665">
        <f ca="1">+IFERROR(K$5*GETPIVOTDATA("Unique Billed Hours",'County allocation'!$X$3,"County",$D601,"HHA/CDPAP","HHA","Level of Service",$D614),0)</f>
        <v>0</v>
      </c>
      <c r="L614" s="665">
        <f ca="1">+IFERROR(L$5*GETPIVOTDATA("Unique Billed Hours",'County allocation'!$K$19,"County",$D601,"HHA/CDPAP","HHA","Level of Service",$D614),0)</f>
        <v>0</v>
      </c>
      <c r="M614" s="665">
        <f>+IFERROR(M$5*GETPIVOTDATA("Unique Billed Hours",'County allocation'!$S$3,"County",$D601,"HHA/CDPAP","HHA","Level of Service",$D614),0)</f>
        <v>0</v>
      </c>
      <c r="N614" s="665">
        <f>+IFERROR(N$5*GETPIVOTDATA("Unique Billed Hours",'County allocation'!$S$3,"County",$D601,"HHA/CDPAP","HHA","Level of Service",$D614),0)</f>
        <v>0</v>
      </c>
      <c r="O614" s="665">
        <f>+IFERROR(O$5*GETPIVOTDATA("Unique Billed Hours",'County allocation'!$S$3,"County",$D601,"HHA/CDPAP","HHA","Level of Service",$D614),0)</f>
        <v>0</v>
      </c>
      <c r="P614" s="665">
        <f>+IFERROR(P$5*GETPIVOTDATA("Unique Billed Hours",'County allocation'!$S$3,"County",$D601,"HHA/CDPAP","HHA","Level of Service",$D614),0)</f>
        <v>0</v>
      </c>
    </row>
    <row r="615" spans="1:18" s="54" customFormat="1" ht="15.75" hidden="1" thickBot="1" x14ac:dyDescent="0.3">
      <c r="A615" s="119"/>
      <c r="B615" s="309"/>
      <c r="C615" s="322">
        <f t="shared" ca="1" si="221"/>
        <v>0</v>
      </c>
      <c r="D615" s="8" t="s">
        <v>374</v>
      </c>
      <c r="E615" s="370" t="s">
        <v>78</v>
      </c>
      <c r="F615" s="657">
        <f t="shared" ca="1" si="222"/>
        <v>0</v>
      </c>
      <c r="G615" s="658">
        <f ca="1">+IFERROR(G$5*GETPIVOTDATA("Unique Billed Hours",'County allocation'!$A$3,"County",$D601,"HHA/CDPAP","HHA","Level of Service",$D615),0)++IFERROR(J$5*GETPIVOTDATA("Unique Billed Hours",'County allocation'!$AC$3,"County",$D601,"HHA/CDPAP","HHA","Level of Service",$D615),0)</f>
        <v>0</v>
      </c>
      <c r="H615" s="658">
        <f>+IFERROR(H$5*GETPIVOTDATA("Unique Billed Hours",'County allocation'!$S$3,"County",$D601,"HHA/CDPAP","HHA","Level of Service",$D615),0)</f>
        <v>0</v>
      </c>
      <c r="I615" s="664">
        <f t="shared" ca="1" si="223"/>
        <v>0</v>
      </c>
      <c r="J615" s="901"/>
      <c r="K615" s="665">
        <f ca="1">+IFERROR(K$5*GETPIVOTDATA("Unique Billed Hours",'County allocation'!$X$3,"County",$D601,"HHA/CDPAP","HHA","Level of Service",$D615),0)</f>
        <v>0</v>
      </c>
      <c r="L615" s="665">
        <f ca="1">+IFERROR(L$5*GETPIVOTDATA("Unique Billed Hours",'County allocation'!$K$19,"County",$D601,"HHA/CDPAP","HHA","Level of Service",$D615),0)</f>
        <v>0</v>
      </c>
      <c r="M615" s="665">
        <f>+IFERROR(M$5*GETPIVOTDATA("Unique Billed Hours",'County allocation'!$S$3,"County",$D601,"HHA/CDPAP","HHA","Level of Service",$D615),0)</f>
        <v>0</v>
      </c>
      <c r="N615" s="665">
        <f>+IFERROR(N$5*GETPIVOTDATA("Unique Billed Hours",'County allocation'!$S$3,"County",$D601,"HHA/CDPAP","HHA","Level of Service",$D615),0)</f>
        <v>0</v>
      </c>
      <c r="O615" s="665">
        <f>+IFERROR(O$5*GETPIVOTDATA("Unique Billed Hours",'County allocation'!$S$3,"County",$D601,"HHA/CDPAP","HHA","Level of Service",$D615),0)</f>
        <v>0</v>
      </c>
      <c r="P615" s="665">
        <f>+IFERROR(P$5*GETPIVOTDATA("Unique Billed Hours",'County allocation'!$S$3,"County",$D601,"HHA/CDPAP","HHA","Level of Service",$D615),0)</f>
        <v>0</v>
      </c>
    </row>
    <row r="616" spans="1:18" s="54" customFormat="1" ht="15.75" hidden="1" thickBot="1" x14ac:dyDescent="0.3">
      <c r="A616" s="302"/>
      <c r="B616" s="309"/>
      <c r="C616" s="322">
        <f ca="1">C615</f>
        <v>0</v>
      </c>
      <c r="D616" s="52" t="s">
        <v>48</v>
      </c>
      <c r="E616" s="53" t="s">
        <v>79</v>
      </c>
      <c r="F616" s="657">
        <f t="shared" ca="1" si="222"/>
        <v>0</v>
      </c>
      <c r="G616" s="661">
        <f t="shared" ref="G616" ca="1" si="225">SUM(G612:G615)</f>
        <v>0</v>
      </c>
      <c r="H616" s="661">
        <f t="shared" ref="H616:P616" si="226">SUM(H612:H615)</f>
        <v>0</v>
      </c>
      <c r="I616" s="661">
        <f t="shared" ca="1" si="226"/>
        <v>0</v>
      </c>
      <c r="J616" s="661">
        <f t="shared" ca="1" si="226"/>
        <v>0</v>
      </c>
      <c r="K616" s="661">
        <f t="shared" ca="1" si="226"/>
        <v>0</v>
      </c>
      <c r="L616" s="661">
        <f t="shared" ca="1" si="226"/>
        <v>0</v>
      </c>
      <c r="M616" s="661">
        <f t="shared" si="226"/>
        <v>0</v>
      </c>
      <c r="N616" s="661">
        <f t="shared" si="226"/>
        <v>0</v>
      </c>
      <c r="O616" s="661">
        <f t="shared" si="226"/>
        <v>0</v>
      </c>
      <c r="P616" s="661">
        <f t="shared" si="226"/>
        <v>0</v>
      </c>
    </row>
    <row r="617" spans="1:18" ht="15.75" hidden="1" thickBot="1" x14ac:dyDescent="0.3"/>
    <row r="618" spans="1:18" s="54" customFormat="1" ht="75" x14ac:dyDescent="0.25">
      <c r="A618" s="119"/>
      <c r="B618" s="309"/>
      <c r="C618" s="322">
        <f ca="1">IF(F633&gt;0,1,0)</f>
        <v>1</v>
      </c>
      <c r="D618" s="45" t="str">
        <f>A39</f>
        <v>Orange</v>
      </c>
      <c r="E618" s="28">
        <f>+SUMIF(A:A,D618,B:B)</f>
        <v>1.886556675621223E-6</v>
      </c>
      <c r="F618" s="652" t="s">
        <v>61</v>
      </c>
      <c r="G618" s="652" t="s">
        <v>387</v>
      </c>
      <c r="H618" s="652" t="s">
        <v>388</v>
      </c>
      <c r="I618" s="652" t="s">
        <v>392</v>
      </c>
      <c r="J618" s="652" t="s">
        <v>31</v>
      </c>
      <c r="K618" s="652" t="s">
        <v>32</v>
      </c>
      <c r="L618" s="653" t="s">
        <v>33</v>
      </c>
      <c r="M618" s="653" t="s">
        <v>60</v>
      </c>
      <c r="N618" s="653" t="s">
        <v>59</v>
      </c>
      <c r="O618" s="653" t="s">
        <v>58</v>
      </c>
      <c r="P618" s="653" t="s">
        <v>16</v>
      </c>
    </row>
    <row r="619" spans="1:18" s="54" customFormat="1" x14ac:dyDescent="0.25">
      <c r="A619" s="119"/>
      <c r="B619" s="309"/>
      <c r="C619" s="322">
        <f ca="1">C618</f>
        <v>1</v>
      </c>
      <c r="D619" s="56"/>
      <c r="E619" s="57"/>
      <c r="F619" s="654" t="s">
        <v>57</v>
      </c>
      <c r="G619" s="654" t="s">
        <v>56</v>
      </c>
      <c r="H619" s="654" t="s">
        <v>55</v>
      </c>
      <c r="I619" s="654" t="s">
        <v>54</v>
      </c>
      <c r="J619" s="654" t="s">
        <v>53</v>
      </c>
      <c r="K619" s="654" t="s">
        <v>52</v>
      </c>
      <c r="L619" s="654" t="s">
        <v>51</v>
      </c>
      <c r="M619" s="654" t="s">
        <v>50</v>
      </c>
      <c r="N619" s="654" t="s">
        <v>49</v>
      </c>
      <c r="O619" s="654" t="s">
        <v>47</v>
      </c>
      <c r="P619" s="655" t="s">
        <v>77</v>
      </c>
    </row>
    <row r="620" spans="1:18" s="54" customFormat="1" x14ac:dyDescent="0.25">
      <c r="A620" s="119"/>
      <c r="B620" s="309"/>
      <c r="C620" s="322">
        <f t="shared" ref="C620:C632" ca="1" si="227">C619</f>
        <v>1</v>
      </c>
      <c r="D620" s="59" t="s">
        <v>26</v>
      </c>
      <c r="E620" s="57"/>
      <c r="F620" s="656"/>
      <c r="G620" s="656"/>
      <c r="H620" s="656"/>
      <c r="I620" s="656"/>
      <c r="J620" s="656"/>
      <c r="K620" s="656"/>
      <c r="L620" s="656"/>
      <c r="M620" s="656"/>
      <c r="N620" s="656"/>
      <c r="O620" s="656"/>
      <c r="P620" s="663"/>
    </row>
    <row r="621" spans="1:18" s="54" customFormat="1" x14ac:dyDescent="0.25">
      <c r="A621" s="119"/>
      <c r="B621" s="309"/>
      <c r="C621" s="322">
        <f t="shared" ca="1" si="227"/>
        <v>1</v>
      </c>
      <c r="D621" s="7" t="s">
        <v>34</v>
      </c>
      <c r="E621" s="48" t="s">
        <v>57</v>
      </c>
      <c r="F621" s="657">
        <f ca="1">+H621+G621+I621</f>
        <v>0</v>
      </c>
      <c r="G621" s="658">
        <f ca="1">+IFERROR(G$5*GETPIVOTDATA("Unique Billed Hours",'County allocation'!$A$3,"County",$D618,"HHA/CDPAP","HHA","Level of Service",$D621),0)</f>
        <v>0</v>
      </c>
      <c r="H621" s="658">
        <f>+IFERROR(H$5*GETPIVOTDATA("Unique Billed Hours",'County allocation'!$S$3,"County",$D618,"HHA/CDPAP","HHA","Level of Service",$D621),0)</f>
        <v>0</v>
      </c>
      <c r="I621" s="664">
        <f ca="1">SUM(J621:P621)</f>
        <v>0</v>
      </c>
      <c r="J621" s="658">
        <f ca="1">+IFERROR(J$5*GETPIVOTDATA("Unique Billed Hours",'County allocation'!$AC$3,"County",$D618,"HHA/CDPAP","HHA","Level of Service",$D621),0)</f>
        <v>0</v>
      </c>
      <c r="K621" s="658">
        <f ca="1">+IFERROR(K$5*GETPIVOTDATA("Unique Billed Hours",'County allocation'!$X$3,"County",$D618,"HHA/CDPAP","HHA","Level of Service",$D621),0)</f>
        <v>0</v>
      </c>
      <c r="L621" s="658">
        <f ca="1">+IFERROR(L$2*GETPIVOTDATA("Unique Billed Hours",'County allocation'!$O$3,"County",$D618,"HHA/CDPAP","HHA","Level of Service",$D621),0)</f>
        <v>0</v>
      </c>
      <c r="M621" s="658">
        <f>+IFERROR(M$5*GETPIVOTDATA("Unique Billed Hours",'County allocation'!$S$3,"County",$D618,"HHA/CDPAP","HHA","Level of Service",$D621),0)</f>
        <v>0</v>
      </c>
      <c r="N621" s="658">
        <f>+IFERROR(N$5*GETPIVOTDATA("Unique Billed Hours",'County allocation'!$S$3,"County",$D618,"HHA/CDPAP","HHA","Level of Service",$D621),0)</f>
        <v>0</v>
      </c>
      <c r="O621" s="658">
        <f>+IFERROR(O$5*GETPIVOTDATA("Unique Billed Hours",'County allocation'!$K$19,"County",$D618,"HHA/CDPAP","HHA","Level of Service",$D621),0)</f>
        <v>0</v>
      </c>
      <c r="P621" s="658">
        <f>+IFERROR(P$5*GETPIVOTDATA("Unique Billed Hours",'County allocation'!$S$3,"County",$D618,"HHA/CDPAP","HHA","Level of Service",$D621),0)</f>
        <v>0</v>
      </c>
    </row>
    <row r="622" spans="1:18" s="54" customFormat="1" x14ac:dyDescent="0.25">
      <c r="A622" s="119"/>
      <c r="B622" s="309"/>
      <c r="C622" s="322">
        <f t="shared" ca="1" si="227"/>
        <v>1</v>
      </c>
      <c r="D622" s="7" t="s">
        <v>35</v>
      </c>
      <c r="E622" s="48" t="s">
        <v>56</v>
      </c>
      <c r="F622" s="657">
        <f t="shared" ref="F622:F633" ca="1" si="228">+H622+G622+I622</f>
        <v>361.20883963595037</v>
      </c>
      <c r="G622" s="658">
        <f ca="1">+IFERROR(G$5*GETPIVOTDATA("Unique Billed Hours",'County allocation'!$A$3,"County",$D618,"HHA/CDPAP","HHA","Level of Service",$D622),0)</f>
        <v>12.117442336320325</v>
      </c>
      <c r="H622" s="658">
        <f>+IFERROR(H$5*GETPIVOTDATA("Unique Billed Hours",'County allocation'!$S$3,"County",$D618,"HHA/CDPAP","HHA","Level of Service",$D622),0)</f>
        <v>20.728078286911209</v>
      </c>
      <c r="I622" s="664">
        <f t="shared" ref="I622:I632" ca="1" si="229">SUM(J622:P622)</f>
        <v>328.36331901271882</v>
      </c>
      <c r="J622" s="658">
        <f ca="1">+IFERROR(J$5*GETPIVOTDATA("Unique Billed Hours",'County allocation'!$AC$3,"County",$D618,"HHA/CDPAP","HHA","Level of Service",$D622),0)</f>
        <v>43.156834934344147</v>
      </c>
      <c r="K622" s="658">
        <f ca="1">+IFERROR(K$5*GETPIVOTDATA("Unique Billed Hours",'County allocation'!$X$3,"County",$D618,"HHA/CDPAP","HHA","Level of Service",$D622),0)</f>
        <v>278.99184239238781</v>
      </c>
      <c r="L622" s="658">
        <f ca="1">+IFERROR(L$2*GETPIVOTDATA("Unique Billed Hours",'County allocation'!$O$3,"County",$D618,"HHA/CDPAP","HHA","Level of Service",$D622),0)</f>
        <v>4.0015341700742297</v>
      </c>
      <c r="M622" s="658">
        <f>+IFERROR(M$5*GETPIVOTDATA("Unique Billed Hours",'County allocation'!$S$3,"County",$D618,"HHA/CDPAP","HHA","Level of Service",$D622),0)</f>
        <v>2.0420735395998499</v>
      </c>
      <c r="N622" s="658">
        <f>+IFERROR(N$5*GETPIVOTDATA("Unique Billed Hours",'County allocation'!$S$3,"County",$D618,"HHA/CDPAP","HHA","Level of Service",$D622),0)</f>
        <v>0.17103397631272618</v>
      </c>
      <c r="O622" s="658">
        <f>+IFERROR(O$5*GETPIVOTDATA("Unique Billed Hours",'County allocation'!$K$19,"County",$D618,"HHA/CDPAP","HHA","Level of Service",$D622),0)</f>
        <v>0</v>
      </c>
      <c r="P622" s="658">
        <f>+IFERROR(P$5*GETPIVOTDATA("Unique Billed Hours",'County allocation'!$S$3,"County",$D618,"HHA/CDPAP","HHA","Level of Service",$D622),0)</f>
        <v>0</v>
      </c>
      <c r="R622" s="61"/>
    </row>
    <row r="623" spans="1:18" s="54" customFormat="1" x14ac:dyDescent="0.25">
      <c r="A623" s="302"/>
      <c r="B623" s="309"/>
      <c r="C623" s="322">
        <f t="shared" ca="1" si="227"/>
        <v>1</v>
      </c>
      <c r="D623" s="7" t="s">
        <v>36</v>
      </c>
      <c r="E623" s="48" t="s">
        <v>55</v>
      </c>
      <c r="F623" s="657">
        <f t="shared" ca="1" si="228"/>
        <v>0</v>
      </c>
      <c r="G623" s="658">
        <f ca="1">+IFERROR(G$5*GETPIVOTDATA("Unique Billed Hours",'County allocation'!$A$3,"County",$D618,"HHA/CDPAP","HHA","Level of Service",$D623),0)</f>
        <v>0</v>
      </c>
      <c r="H623" s="658">
        <f>+IFERROR(H$5*GETPIVOTDATA("Unique Billed Hours",'County allocation'!$S$3,"County",$D618,"HHA/CDPAP","HHA","Level of Service",$D623),0)</f>
        <v>0</v>
      </c>
      <c r="I623" s="664">
        <f t="shared" ca="1" si="229"/>
        <v>0</v>
      </c>
      <c r="J623" s="658">
        <f ca="1">+IFERROR(J$5*GETPIVOTDATA("Unique Billed Hours",'County allocation'!$AC$3,"County",$D618,"HHA/CDPAP","HHA","Level of Service",$D623),0)</f>
        <v>0</v>
      </c>
      <c r="K623" s="658">
        <f ca="1">+IFERROR(K$5*GETPIVOTDATA("Unique Billed Hours",'County allocation'!$X$3,"County",$D618,"HHA/CDPAP","HHA","Level of Service",$D623),0)</f>
        <v>0</v>
      </c>
      <c r="L623" s="658">
        <f ca="1">+IFERROR(L$2*GETPIVOTDATA("Unique Billed Hours",'County allocation'!$O$3,"County",$D618,"HHA/CDPAP","HHA","Level of Service",$D623),0)</f>
        <v>0</v>
      </c>
      <c r="M623" s="658">
        <f>+IFERROR(M$5*GETPIVOTDATA("Unique Billed Hours",'County allocation'!$S$3,"County",$D618,"HHA/CDPAP","HHA","Level of Service",$D623),0)</f>
        <v>0</v>
      </c>
      <c r="N623" s="658">
        <f>+IFERROR(N$5*GETPIVOTDATA("Unique Billed Hours",'County allocation'!$S$3,"County",$D618,"HHA/CDPAP","HHA","Level of Service",$D623),0)</f>
        <v>0</v>
      </c>
      <c r="O623" s="658">
        <f>+IFERROR(O$5*GETPIVOTDATA("Unique Billed Hours",'County allocation'!$K$19,"County",$D618,"HHA/CDPAP","HHA","Level of Service",$D623),0)</f>
        <v>0</v>
      </c>
      <c r="P623" s="658">
        <f>+IFERROR(P$5*GETPIVOTDATA("Unique Billed Hours",'County allocation'!$S$3,"County",$D618,"HHA/CDPAP","HHA","Level of Service",$D623),0)</f>
        <v>0</v>
      </c>
    </row>
    <row r="624" spans="1:18" s="54" customFormat="1" x14ac:dyDescent="0.25">
      <c r="A624" s="119"/>
      <c r="B624" s="309"/>
      <c r="C624" s="322">
        <f t="shared" ca="1" si="227"/>
        <v>1</v>
      </c>
      <c r="D624" s="7" t="s">
        <v>37</v>
      </c>
      <c r="E624" s="48" t="s">
        <v>54</v>
      </c>
      <c r="F624" s="657">
        <f t="shared" ca="1" si="228"/>
        <v>0</v>
      </c>
      <c r="G624" s="658">
        <f ca="1">+IFERROR(G$5*GETPIVOTDATA("Unique Billed Hours",'County allocation'!$A$3,"County",$D618,"HHA/CDPAP","HHA","Level of Service",$D624),0)</f>
        <v>0</v>
      </c>
      <c r="H624" s="658">
        <f>+IFERROR(H$5*GETPIVOTDATA("Unique Billed Hours",'County allocation'!$S$3,"County",$D618,"HHA/CDPAP","HHA","Level of Service",$D624),0)</f>
        <v>0</v>
      </c>
      <c r="I624" s="664">
        <f t="shared" ca="1" si="229"/>
        <v>0</v>
      </c>
      <c r="J624" s="658">
        <f ca="1">+IFERROR(J$5*GETPIVOTDATA("Unique Billed Hours",'County allocation'!$AC$3,"County",$D618,"HHA/CDPAP","HHA","Level of Service",$D624),0)</f>
        <v>0</v>
      </c>
      <c r="K624" s="658">
        <f ca="1">+IFERROR(K$5*GETPIVOTDATA("Unique Billed Hours",'County allocation'!$X$3,"County",$D618,"HHA/CDPAP","HHA","Level of Service",$D624),0)</f>
        <v>0</v>
      </c>
      <c r="L624" s="658">
        <f ca="1">+IFERROR(L$2*GETPIVOTDATA("Unique Billed Hours",'County allocation'!$O$3,"County",$D618,"HHA/CDPAP","HHA","Level of Service",$D624),0)</f>
        <v>0</v>
      </c>
      <c r="M624" s="658">
        <f>+IFERROR(M$5*GETPIVOTDATA("Unique Billed Hours",'County allocation'!$S$3,"County",$D618,"HHA/CDPAP","HHA","Level of Service",$D624),0)</f>
        <v>0</v>
      </c>
      <c r="N624" s="658">
        <f>+IFERROR(N$5*GETPIVOTDATA("Unique Billed Hours",'County allocation'!$S$3,"County",$D618,"HHA/CDPAP","HHA","Level of Service",$D624),0)</f>
        <v>0</v>
      </c>
      <c r="O624" s="658">
        <f>+IFERROR(O$5*GETPIVOTDATA("Unique Billed Hours",'County allocation'!$K$19,"County",$D618,"HHA/CDPAP","HHA","Level of Service",$D624),0)</f>
        <v>0</v>
      </c>
      <c r="P624" s="658">
        <f>+IFERROR(P$5*GETPIVOTDATA("Unique Billed Hours",'County allocation'!$S$3,"County",$D618,"HHA/CDPAP","HHA","Level of Service",$D624),0)</f>
        <v>0</v>
      </c>
    </row>
    <row r="625" spans="1:18" s="54" customFormat="1" x14ac:dyDescent="0.25">
      <c r="A625" s="119"/>
      <c r="B625" s="309"/>
      <c r="C625" s="322">
        <f t="shared" ca="1" si="227"/>
        <v>1</v>
      </c>
      <c r="D625" s="7" t="s">
        <v>38</v>
      </c>
      <c r="E625" s="48" t="s">
        <v>53</v>
      </c>
      <c r="F625" s="657">
        <f t="shared" ca="1" si="228"/>
        <v>0</v>
      </c>
      <c r="G625" s="658">
        <f ca="1">+IFERROR(G$5*GETPIVOTDATA("Unique Billed Hours",'County allocation'!$A$3,"County",$D618,"HHA/CDPAP","HHA","Level of Service",$D625),0)</f>
        <v>0</v>
      </c>
      <c r="H625" s="658">
        <f>+IFERROR(H$5*GETPIVOTDATA("Unique Billed Hours",'County allocation'!$S$3,"County",$D618,"HHA/CDPAP","HHA","Level of Service",$D625),0)</f>
        <v>0</v>
      </c>
      <c r="I625" s="664">
        <f t="shared" ca="1" si="229"/>
        <v>0</v>
      </c>
      <c r="J625" s="658">
        <f ca="1">+IFERROR(J$5*GETPIVOTDATA("Unique Billed Hours",'County allocation'!$AC$3,"County",$D618,"HHA/CDPAP","HHA","Level of Service",$D625),0)</f>
        <v>0</v>
      </c>
      <c r="K625" s="658">
        <f ca="1">+IFERROR(K$5*GETPIVOTDATA("Unique Billed Hours",'County allocation'!$X$3,"County",$D618,"HHA/CDPAP","HHA","Level of Service",$D625),0)</f>
        <v>0</v>
      </c>
      <c r="L625" s="658">
        <f ca="1">+IFERROR(L$5*GETPIVOTDATA("Unique Billed Hours",'County allocation'!$K$19,"County",$D618,"HHA/CDPAP","HHA","Level of Service",$D625),0)</f>
        <v>0</v>
      </c>
      <c r="M625" s="658">
        <f>+IFERROR(M$5*GETPIVOTDATA("Unique Billed Hours",'County allocation'!$S$3,"County",$D618,"HHA/CDPAP","HHA","Level of Service",$D625),0)</f>
        <v>0</v>
      </c>
      <c r="N625" s="658">
        <f>+IFERROR(N$5*GETPIVOTDATA("Unique Billed Hours",'County allocation'!$S$3,"County",$D618,"HHA/CDPAP","HHA","Level of Service",$D625),0)</f>
        <v>0</v>
      </c>
      <c r="O625" s="658">
        <f>+IFERROR(O$5*GETPIVOTDATA("Unique Billed Hours",'County allocation'!$K$19,"County",$D618,"HHA/CDPAP","HHA","Level of Service",$D625),0)</f>
        <v>0</v>
      </c>
      <c r="P625" s="658">
        <f>+IFERROR(P$5*GETPIVOTDATA("Unique Billed Hours",'County allocation'!$S$3,"County",$D618,"HHA/CDPAP","HHA","Level of Service",$D625),0)</f>
        <v>0</v>
      </c>
    </row>
    <row r="626" spans="1:18" s="54" customFormat="1" x14ac:dyDescent="0.25">
      <c r="A626" s="119"/>
      <c r="B626" s="309"/>
      <c r="C626" s="322">
        <f t="shared" ca="1" si="227"/>
        <v>1</v>
      </c>
      <c r="D626" s="7" t="s">
        <v>39</v>
      </c>
      <c r="E626" s="48" t="s">
        <v>52</v>
      </c>
      <c r="F626" s="657">
        <f t="shared" ca="1" si="228"/>
        <v>0</v>
      </c>
      <c r="G626" s="658">
        <f ca="1">+IFERROR(G$5*GETPIVOTDATA("Unique Billed Hours",'County allocation'!$A$3,"County",$D618,"HHA/CDPAP","HHA","Level of Service",$D626),0)</f>
        <v>0</v>
      </c>
      <c r="H626" s="658">
        <f>+IFERROR(H$5*GETPIVOTDATA("Unique Billed Hours",'County allocation'!$S$3,"County",$D618,"HHA/CDPAP","HHA","Level of Service",$D626),0)</f>
        <v>0</v>
      </c>
      <c r="I626" s="664">
        <f t="shared" ca="1" si="229"/>
        <v>0</v>
      </c>
      <c r="J626" s="658">
        <f ca="1">+IFERROR(J$5*GETPIVOTDATA("Unique Billed Hours",'County allocation'!$AC$3,"County",$D618,"HHA/CDPAP","HHA","Level of Service",$D626),0)</f>
        <v>0</v>
      </c>
      <c r="K626" s="658">
        <f ca="1">+IFERROR(K$5*GETPIVOTDATA("Unique Billed Hours",'County allocation'!$X$3,"County",$D618,"HHA/CDPAP","HHA","Level of Service",$D626),0)</f>
        <v>0</v>
      </c>
      <c r="L626" s="658">
        <f ca="1">+IFERROR(L$5*GETPIVOTDATA("Unique Billed Hours",'County allocation'!$K$19,"County",$D618,"HHA/CDPAP","HHA","Level of Service",$D626),0)</f>
        <v>0</v>
      </c>
      <c r="M626" s="658">
        <f>+IFERROR(M$5*GETPIVOTDATA("Unique Billed Hours",'County allocation'!$S$3,"County",$D618,"HHA/CDPAP","HHA","Level of Service",$D626),0)</f>
        <v>0</v>
      </c>
      <c r="N626" s="658">
        <f>+IFERROR(N$5*GETPIVOTDATA("Unique Billed Hours",'County allocation'!$S$3,"County",$D618,"HHA/CDPAP","HHA","Level of Service",$D626),0)</f>
        <v>0</v>
      </c>
      <c r="O626" s="658">
        <f>+IFERROR(O$5*GETPIVOTDATA("Unique Billed Hours",'County allocation'!$K$19,"County",$D618,"HHA/CDPAP","HHA","Level of Service",$D626),0)</f>
        <v>0</v>
      </c>
      <c r="P626" s="658">
        <f>+IFERROR(P$5*GETPIVOTDATA("Unique Billed Hours",'County allocation'!$S$3,"County",$D618,"HHA/CDPAP","HHA","Level of Service",$D626),0)</f>
        <v>0</v>
      </c>
    </row>
    <row r="627" spans="1:18" s="54" customFormat="1" x14ac:dyDescent="0.25">
      <c r="A627" s="119"/>
      <c r="B627" s="309"/>
      <c r="C627" s="322">
        <f t="shared" ca="1" si="227"/>
        <v>1</v>
      </c>
      <c r="D627" s="8" t="s">
        <v>40</v>
      </c>
      <c r="E627" s="48" t="s">
        <v>51</v>
      </c>
      <c r="F627" s="657">
        <f t="shared" ca="1" si="228"/>
        <v>0</v>
      </c>
      <c r="G627" s="658">
        <f ca="1">+IFERROR(G$5*GETPIVOTDATA("Unique Billed Hours",'County allocation'!$A$3,"County",$D618,"HHA/CDPAP","HHA","Level of Service",$D627),0)</f>
        <v>0</v>
      </c>
      <c r="H627" s="658">
        <f>+IFERROR(H$5*GETPIVOTDATA("Unique Billed Hours",'County allocation'!$S$3,"County",$D618,"HHA/CDPAP","HHA","Level of Service",$D627),0)</f>
        <v>0</v>
      </c>
      <c r="I627" s="664">
        <f t="shared" ca="1" si="229"/>
        <v>0</v>
      </c>
      <c r="J627" s="658">
        <f ca="1">+IFERROR(J$5*GETPIVOTDATA("Unique Billed Hours",'County allocation'!$AC$3,"County",$D618,"HHA/CDPAP","HHA","Level of Service",$D627),0)</f>
        <v>0</v>
      </c>
      <c r="K627" s="658">
        <f ca="1">+IFERROR(K$5*GETPIVOTDATA("Unique Billed Hours",'County allocation'!$X$3,"County",$D618,"HHA/CDPAP","HHA","Level of Service",$D627),0)</f>
        <v>0</v>
      </c>
      <c r="L627" s="658">
        <f ca="1">+IFERROR(L$2*GETPIVOTDATA("Unique Billed Hours",'County allocation'!$O$3,"County",$D618,"HHA/CDPAP","HHA","Level of Service",$D627),0)</f>
        <v>0</v>
      </c>
      <c r="M627" s="658">
        <f>+IFERROR(M$5*GETPIVOTDATA("Unique Billed Hours",'County allocation'!$S$3,"County",$D618,"HHA/CDPAP","HHA","Level of Service",$D627),0)</f>
        <v>0</v>
      </c>
      <c r="N627" s="658">
        <f>+IFERROR(N$5*GETPIVOTDATA("Unique Billed Hours",'County allocation'!$S$3,"County",$D618,"HHA/CDPAP","HHA","Level of Service",$D627),0)</f>
        <v>0</v>
      </c>
      <c r="O627" s="658">
        <f>+IFERROR(O$5*GETPIVOTDATA("Unique Billed Hours",'County allocation'!$K$19,"County",$D618,"HHA/CDPAP","HHA","Level of Service",$D627),0)</f>
        <v>0</v>
      </c>
      <c r="P627" s="658">
        <f>+IFERROR(P$5*GETPIVOTDATA("Unique Billed Hours",'County allocation'!$S$3,"County",$D618,"HHA/CDPAP","HHA","Level of Service",$D627),0)</f>
        <v>0</v>
      </c>
    </row>
    <row r="628" spans="1:18" s="54" customFormat="1" x14ac:dyDescent="0.25">
      <c r="A628" s="119"/>
      <c r="B628" s="309"/>
      <c r="C628" s="322">
        <f t="shared" ca="1" si="227"/>
        <v>1</v>
      </c>
      <c r="D628" s="8" t="s">
        <v>41</v>
      </c>
      <c r="E628" s="48" t="s">
        <v>50</v>
      </c>
      <c r="F628" s="657">
        <f t="shared" ca="1" si="228"/>
        <v>0</v>
      </c>
      <c r="G628" s="658">
        <f ca="1">+IFERROR(G$5*GETPIVOTDATA("Unique Billed Hours",'County allocation'!$A$3,"County",$D618,"HHA/CDPAP","HHA","Level of Service",$D628),0)</f>
        <v>0</v>
      </c>
      <c r="H628" s="658">
        <f>+IFERROR(H$5*GETPIVOTDATA("Unique Billed Hours",'County allocation'!$S$3,"County",$D618,"HHA/CDPAP","HHA","Level of Service",$D628),0)</f>
        <v>0</v>
      </c>
      <c r="I628" s="664">
        <f t="shared" ca="1" si="229"/>
        <v>0</v>
      </c>
      <c r="J628" s="658">
        <f ca="1">+IFERROR(J$5*GETPIVOTDATA("Unique Billed Hours",'County allocation'!$AC$3,"County",$D618,"HHA/CDPAP","HHA","Level of Service",$D628),0)</f>
        <v>0</v>
      </c>
      <c r="K628" s="658">
        <f ca="1">+IFERROR(K$5*GETPIVOTDATA("Unique Billed Hours",'County allocation'!$X$3,"County",$D618,"HHA/CDPAP","HHA","Level of Service",$D628),0)</f>
        <v>0</v>
      </c>
      <c r="L628" s="658">
        <f ca="1">+IFERROR(L$2*GETPIVOTDATA("Unique Billed Hours",'County allocation'!$O$3,"County",$D618,"HHA/CDPAP","HHA","Level of Service",$D628),0)</f>
        <v>0</v>
      </c>
      <c r="M628" s="658">
        <f>+IFERROR(M$5*GETPIVOTDATA("Unique Billed Hours",'County allocation'!$S$3,"County",$D618,"HHA/CDPAP","HHA","Level of Service",$D628),0)</f>
        <v>0</v>
      </c>
      <c r="N628" s="658">
        <f>+IFERROR(N$5*GETPIVOTDATA("Unique Billed Hours",'County allocation'!$S$3,"County",$D618,"HHA/CDPAP","HHA","Level of Service",$D628),0)</f>
        <v>0</v>
      </c>
      <c r="O628" s="658">
        <f>+IFERROR(O$5*GETPIVOTDATA("Unique Billed Hours",'County allocation'!$K$19,"County",$D618,"HHA/CDPAP","HHA","Level of Service",$D628),0)</f>
        <v>0</v>
      </c>
      <c r="P628" s="658">
        <f>+IFERROR(P$5*GETPIVOTDATA("Unique Billed Hours",'County allocation'!$S$3,"County",$D618,"HHA/CDPAP","HHA","Level of Service",$D628),0)</f>
        <v>0</v>
      </c>
    </row>
    <row r="629" spans="1:18" s="54" customFormat="1" ht="15.75" thickBot="1" x14ac:dyDescent="0.3">
      <c r="A629" s="119"/>
      <c r="B629" s="309"/>
      <c r="C629" s="322">
        <f t="shared" ca="1" si="227"/>
        <v>1</v>
      </c>
      <c r="D629" s="52" t="s">
        <v>389</v>
      </c>
      <c r="E629" s="53" t="s">
        <v>49</v>
      </c>
      <c r="F629" s="657">
        <f t="shared" ca="1" si="228"/>
        <v>361.20883963595037</v>
      </c>
      <c r="G629" s="661">
        <f ca="1">SUM(G621:G628)</f>
        <v>12.117442336320325</v>
      </c>
      <c r="H629" s="661">
        <f>SUM(H621:H628)</f>
        <v>20.728078286911209</v>
      </c>
      <c r="I629" s="664">
        <f t="shared" ca="1" si="229"/>
        <v>328.36331901271882</v>
      </c>
      <c r="J629" s="661">
        <f ca="1">SUM(J621:J628)</f>
        <v>43.156834934344147</v>
      </c>
      <c r="K629" s="661">
        <f t="shared" ref="K629:P629" ca="1" si="230">SUM(K621:K628)</f>
        <v>278.99184239238781</v>
      </c>
      <c r="L629" s="661">
        <f t="shared" ca="1" si="230"/>
        <v>4.0015341700742297</v>
      </c>
      <c r="M629" s="661">
        <f t="shared" si="230"/>
        <v>2.0420735395998499</v>
      </c>
      <c r="N629" s="661">
        <f t="shared" si="230"/>
        <v>0.17103397631272618</v>
      </c>
      <c r="O629" s="661">
        <f t="shared" si="230"/>
        <v>0</v>
      </c>
      <c r="P629" s="661">
        <f t="shared" si="230"/>
        <v>0</v>
      </c>
    </row>
    <row r="630" spans="1:18" s="54" customFormat="1" x14ac:dyDescent="0.25">
      <c r="A630" s="119"/>
      <c r="B630" s="309"/>
      <c r="C630" s="322">
        <f t="shared" ca="1" si="227"/>
        <v>1</v>
      </c>
      <c r="D630" s="371" t="s">
        <v>390</v>
      </c>
      <c r="E630" s="325" t="s">
        <v>47</v>
      </c>
      <c r="F630" s="657">
        <f t="shared" ca="1" si="228"/>
        <v>0</v>
      </c>
      <c r="G630" s="665">
        <f ca="1">+IFERROR((G$5*GETPIVOTDATA("Unique Billed Hours",'County allocation'!$A$3,"County",$D618,"HHA/CDPAP","HHA","Level of Service",$D630))+($G$2*GETPIVOTDATA("Unique Billed Hours",'County allocation'!$F$7,"County",$D618,"HHA/CDPAP","HHA","Level of Service",$D630)),0)++IFERROR(J$5*GETPIVOTDATA("Unique Billed Hours",'County allocation'!$AC$3,"County",$D618,"HHA/CDPAP","HHA","Level of Service",$D630),0)+ +IFERROR(J$5*GETPIVOTDATA("Unique Billed Hours",'County allocation'!$AC$3,"County",$D618,"HHA/CDPAP","HHA","Level of Service",$D631),0)</f>
        <v>0</v>
      </c>
      <c r="H630" s="665">
        <f>+IFERROR(H$5*GETPIVOTDATA("Unique Billed Hours",'County allocation'!$S$3,"County",$D618,"HHA/CDPAP","HHA","Level of Service",$D630),0)</f>
        <v>0</v>
      </c>
      <c r="I630" s="664">
        <f t="shared" ca="1" si="229"/>
        <v>0</v>
      </c>
      <c r="J630" s="901"/>
      <c r="K630" s="665">
        <f ca="1">+IFERROR(K$5*GETPIVOTDATA("Unique Billed Hours",'County allocation'!$X$3,"County",$D618,"HHA/CDPAP","HHA","Level of Service",$D630),0)</f>
        <v>0</v>
      </c>
      <c r="L630" s="665">
        <f ca="1">+IFERROR(L$5*GETPIVOTDATA("Unique Billed Hours",'County allocation'!$K$19,"County",$D618,"HHA/CDPAP","HHA","Level of Service",$D630),0)</f>
        <v>0</v>
      </c>
      <c r="M630" s="665">
        <f>+IFERROR(M$5*GETPIVOTDATA("Unique Billed Hours",'County allocation'!$S$3,"County",$D618,"HHA/CDPAP","HHA","Level of Service",$D630),0)</f>
        <v>0</v>
      </c>
      <c r="N630" s="665">
        <f>+IFERROR(N$5*GETPIVOTDATA("Unique Billed Hours",'County allocation'!$S$3,"County",$D618,"HHA/CDPAP","HHA","Level of Service",$D630),0)</f>
        <v>0</v>
      </c>
      <c r="O630" s="665">
        <f>+IFERROR(O$5*GETPIVOTDATA("Unique Billed Hours",'County allocation'!$S$3,"County",$D618,"HHA/CDPAP","HHA","Level of Service",$D630),0)</f>
        <v>0</v>
      </c>
      <c r="P630" s="665">
        <f>+IFERROR(P$5*GETPIVOTDATA("Unique Billed Hours",'County allocation'!$S$3,"County",$D618,"HHA/CDPAP","HHA","Level of Service",$D630),0)</f>
        <v>0</v>
      </c>
    </row>
    <row r="631" spans="1:18" s="54" customFormat="1" x14ac:dyDescent="0.25">
      <c r="A631" s="119"/>
      <c r="B631" s="309"/>
      <c r="C631" s="322">
        <f t="shared" ca="1" si="227"/>
        <v>1</v>
      </c>
      <c r="D631" s="8" t="s">
        <v>391</v>
      </c>
      <c r="E631" s="370" t="s">
        <v>77</v>
      </c>
      <c r="F631" s="657">
        <f t="shared" ca="1" si="228"/>
        <v>0</v>
      </c>
      <c r="G631" s="656"/>
      <c r="H631" s="658">
        <f>+IFERROR(H$5*GETPIVOTDATA("Unique Billed Hours",'County allocation'!$S$3,"County",$D618,"HHA/CDPAP","HHA","Level of Service",$D631),0)</f>
        <v>0</v>
      </c>
      <c r="I631" s="664">
        <f t="shared" ca="1" si="229"/>
        <v>0</v>
      </c>
      <c r="J631" s="901"/>
      <c r="K631" s="665">
        <f ca="1">+IFERROR(K$5*GETPIVOTDATA("Unique Billed Hours",'County allocation'!$X$3,"County",$D618,"HHA/CDPAP","HHA","Level of Service",$D631),0)</f>
        <v>0</v>
      </c>
      <c r="L631" s="665">
        <f ca="1">+IFERROR(L$5*GETPIVOTDATA("Unique Billed Hours",'County allocation'!$K$19,"County",$D618,"HHA/CDPAP","HHA","Level of Service",$D631),0)</f>
        <v>0</v>
      </c>
      <c r="M631" s="665">
        <f>+IFERROR(M$5*GETPIVOTDATA("Unique Billed Hours",'County allocation'!$S$3,"County",$D618,"HHA/CDPAP","HHA","Level of Service",$D631),0)</f>
        <v>0</v>
      </c>
      <c r="N631" s="665">
        <f>+IFERROR(N$5*GETPIVOTDATA("Unique Billed Hours",'County allocation'!$S$3,"County",$D618,"HHA/CDPAP","HHA","Level of Service",$D631),0)</f>
        <v>0</v>
      </c>
      <c r="O631" s="665">
        <f>+IFERROR(O$5*GETPIVOTDATA("Unique Billed Hours",'County allocation'!$S$3,"County",$D618,"HHA/CDPAP","HHA","Level of Service",$D631),0)</f>
        <v>0</v>
      </c>
      <c r="P631" s="665">
        <f>+IFERROR(P$5*GETPIVOTDATA("Unique Billed Hours",'County allocation'!$S$3,"County",$D618,"HHA/CDPAP","HHA","Level of Service",$D631),0)</f>
        <v>0</v>
      </c>
    </row>
    <row r="632" spans="1:18" s="54" customFormat="1" x14ac:dyDescent="0.25">
      <c r="A632" s="119"/>
      <c r="B632" s="309"/>
      <c r="C632" s="322">
        <f t="shared" ca="1" si="227"/>
        <v>1</v>
      </c>
      <c r="D632" s="8" t="s">
        <v>374</v>
      </c>
      <c r="E632" s="370" t="s">
        <v>78</v>
      </c>
      <c r="F632" s="657">
        <f t="shared" ca="1" si="228"/>
        <v>0</v>
      </c>
      <c r="G632" s="658">
        <f ca="1">+IFERROR(G$5*GETPIVOTDATA("Unique Billed Hours",'County allocation'!$A$3,"County",$D618,"HHA/CDPAP","HHA","Level of Service",$D632),0)++IFERROR(J$5*GETPIVOTDATA("Unique Billed Hours",'County allocation'!$AC$3,"County",$D618,"HHA/CDPAP","HHA","Level of Service",$D632),0)</f>
        <v>0</v>
      </c>
      <c r="H632" s="658">
        <f>+IFERROR(H$5*GETPIVOTDATA("Unique Billed Hours",'County allocation'!$S$3,"County",$D618,"HHA/CDPAP","HHA","Level of Service",$D632),0)</f>
        <v>0</v>
      </c>
      <c r="I632" s="664">
        <f t="shared" ca="1" si="229"/>
        <v>0</v>
      </c>
      <c r="J632" s="901"/>
      <c r="K632" s="665">
        <f ca="1">+IFERROR(K$5*GETPIVOTDATA("Unique Billed Hours",'County allocation'!$X$3,"County",$D618,"HHA/CDPAP","HHA","Level of Service",$D632),0)</f>
        <v>0</v>
      </c>
      <c r="L632" s="665">
        <f ca="1">+IFERROR(L$5*GETPIVOTDATA("Unique Billed Hours",'County allocation'!$K$19,"County",$D618,"HHA/CDPAP","HHA","Level of Service",$D632),0)</f>
        <v>0</v>
      </c>
      <c r="M632" s="665">
        <f>+IFERROR(M$5*GETPIVOTDATA("Unique Billed Hours",'County allocation'!$S$3,"County",$D618,"HHA/CDPAP","HHA","Level of Service",$D632),0)</f>
        <v>0</v>
      </c>
      <c r="N632" s="665">
        <f>+IFERROR(N$5*GETPIVOTDATA("Unique Billed Hours",'County allocation'!$S$3,"County",$D618,"HHA/CDPAP","HHA","Level of Service",$D632),0)</f>
        <v>0</v>
      </c>
      <c r="O632" s="665">
        <f>+IFERROR(O$5*GETPIVOTDATA("Unique Billed Hours",'County allocation'!$S$3,"County",$D618,"HHA/CDPAP","HHA","Level of Service",$D632),0)</f>
        <v>0</v>
      </c>
      <c r="P632" s="665">
        <f>+IFERROR(P$5*GETPIVOTDATA("Unique Billed Hours",'County allocation'!$S$3,"County",$D618,"HHA/CDPAP","HHA","Level of Service",$D632),0)</f>
        <v>0</v>
      </c>
    </row>
    <row r="633" spans="1:18" s="54" customFormat="1" ht="15.75" thickBot="1" x14ac:dyDescent="0.3">
      <c r="A633" s="302"/>
      <c r="B633" s="309"/>
      <c r="C633" s="322">
        <f ca="1">C632</f>
        <v>1</v>
      </c>
      <c r="D633" s="52" t="s">
        <v>48</v>
      </c>
      <c r="E633" s="53" t="s">
        <v>79</v>
      </c>
      <c r="F633" s="657">
        <f t="shared" ca="1" si="228"/>
        <v>361.20883963595037</v>
      </c>
      <c r="G633" s="661">
        <f t="shared" ref="G633" ca="1" si="231">SUM(G629:G632)</f>
        <v>12.117442336320325</v>
      </c>
      <c r="H633" s="661">
        <f t="shared" ref="H633:P633" si="232">SUM(H629:H632)</f>
        <v>20.728078286911209</v>
      </c>
      <c r="I633" s="661">
        <f t="shared" ca="1" si="232"/>
        <v>328.36331901271882</v>
      </c>
      <c r="J633" s="661">
        <f t="shared" ca="1" si="232"/>
        <v>43.156834934344147</v>
      </c>
      <c r="K633" s="661">
        <f t="shared" ca="1" si="232"/>
        <v>278.99184239238781</v>
      </c>
      <c r="L633" s="661">
        <f t="shared" ca="1" si="232"/>
        <v>4.0015341700742297</v>
      </c>
      <c r="M633" s="661">
        <f t="shared" si="232"/>
        <v>2.0420735395998499</v>
      </c>
      <c r="N633" s="661">
        <f t="shared" si="232"/>
        <v>0.17103397631272618</v>
      </c>
      <c r="O633" s="661">
        <f t="shared" si="232"/>
        <v>0</v>
      </c>
      <c r="P633" s="661">
        <f t="shared" si="232"/>
        <v>0</v>
      </c>
    </row>
    <row r="634" spans="1:18" ht="15.75" hidden="1" thickBot="1" x14ac:dyDescent="0.3"/>
    <row r="635" spans="1:18" s="54" customFormat="1" ht="75.75" hidden="1" thickBot="1" x14ac:dyDescent="0.3">
      <c r="A635" s="119"/>
      <c r="B635" s="309"/>
      <c r="C635" s="322">
        <f ca="1">IF(F650&gt;0,1,0)</f>
        <v>0</v>
      </c>
      <c r="D635" s="45" t="str">
        <f>A40</f>
        <v>Orleans</v>
      </c>
      <c r="E635" s="28">
        <f>+SUMIF(A:A,D635,B:B)</f>
        <v>0</v>
      </c>
      <c r="F635" s="652" t="s">
        <v>61</v>
      </c>
      <c r="G635" s="652" t="s">
        <v>387</v>
      </c>
      <c r="H635" s="652" t="s">
        <v>388</v>
      </c>
      <c r="I635" s="652" t="s">
        <v>392</v>
      </c>
      <c r="J635" s="652" t="s">
        <v>31</v>
      </c>
      <c r="K635" s="652" t="s">
        <v>32</v>
      </c>
      <c r="L635" s="653" t="s">
        <v>33</v>
      </c>
      <c r="M635" s="653" t="s">
        <v>60</v>
      </c>
      <c r="N635" s="653" t="s">
        <v>59</v>
      </c>
      <c r="O635" s="653" t="s">
        <v>58</v>
      </c>
      <c r="P635" s="653" t="s">
        <v>16</v>
      </c>
    </row>
    <row r="636" spans="1:18" s="54" customFormat="1" ht="15.75" hidden="1" thickBot="1" x14ac:dyDescent="0.3">
      <c r="A636" s="119"/>
      <c r="B636" s="309"/>
      <c r="C636" s="322">
        <f ca="1">C635</f>
        <v>0</v>
      </c>
      <c r="D636" s="56"/>
      <c r="E636" s="57"/>
      <c r="F636" s="654" t="s">
        <v>57</v>
      </c>
      <c r="G636" s="654" t="s">
        <v>56</v>
      </c>
      <c r="H636" s="654" t="s">
        <v>55</v>
      </c>
      <c r="I636" s="654" t="s">
        <v>54</v>
      </c>
      <c r="J636" s="654" t="s">
        <v>53</v>
      </c>
      <c r="K636" s="654" t="s">
        <v>52</v>
      </c>
      <c r="L636" s="654" t="s">
        <v>51</v>
      </c>
      <c r="M636" s="654" t="s">
        <v>50</v>
      </c>
      <c r="N636" s="654" t="s">
        <v>49</v>
      </c>
      <c r="O636" s="654" t="s">
        <v>47</v>
      </c>
      <c r="P636" s="655" t="s">
        <v>77</v>
      </c>
    </row>
    <row r="637" spans="1:18" s="54" customFormat="1" ht="15.75" hidden="1" thickBot="1" x14ac:dyDescent="0.3">
      <c r="A637" s="119"/>
      <c r="B637" s="309"/>
      <c r="C637" s="322">
        <f t="shared" ref="C637:C649" ca="1" si="233">C636</f>
        <v>0</v>
      </c>
      <c r="D637" s="59" t="s">
        <v>26</v>
      </c>
      <c r="E637" s="57"/>
      <c r="F637" s="656"/>
      <c r="G637" s="656"/>
      <c r="H637" s="656"/>
      <c r="I637" s="656"/>
      <c r="J637" s="656"/>
      <c r="K637" s="656"/>
      <c r="L637" s="656"/>
      <c r="M637" s="656"/>
      <c r="N637" s="656"/>
      <c r="O637" s="656"/>
      <c r="P637" s="663"/>
    </row>
    <row r="638" spans="1:18" s="54" customFormat="1" ht="15.75" hidden="1" thickBot="1" x14ac:dyDescent="0.3">
      <c r="A638" s="119"/>
      <c r="B638" s="309"/>
      <c r="C638" s="322">
        <f t="shared" ca="1" si="233"/>
        <v>0</v>
      </c>
      <c r="D638" s="7" t="s">
        <v>34</v>
      </c>
      <c r="E638" s="48" t="s">
        <v>57</v>
      </c>
      <c r="F638" s="657">
        <f ca="1">+H638+G638+I638</f>
        <v>0</v>
      </c>
      <c r="G638" s="658">
        <f ca="1">+IFERROR(G$5*GETPIVOTDATA("Unique Billed Hours",'County allocation'!$A$3,"County",$D635,"HHA/CDPAP","HHA","Level of Service",$D638),0)</f>
        <v>0</v>
      </c>
      <c r="H638" s="658">
        <f>+IFERROR(H$5*GETPIVOTDATA("Unique Billed Hours",'County allocation'!$S$3,"County",$D635,"HHA/CDPAP","HHA","Level of Service",$D638),0)</f>
        <v>0</v>
      </c>
      <c r="I638" s="664">
        <f ca="1">SUM(J638:P638)</f>
        <v>0</v>
      </c>
      <c r="J638" s="658">
        <f ca="1">+IFERROR(J$5*GETPIVOTDATA("Unique Billed Hours",'County allocation'!$S$3,"County",$D635,"HHA/CDPAP","HHA","Level of Service",$D638),0)</f>
        <v>0</v>
      </c>
      <c r="K638" s="658">
        <f ca="1">+IFERROR(K$5*GETPIVOTDATA("Unique Billed Hours",'County allocation'!$X$3,"County",$D635,"HHA/CDPAP","HHA","Level of Service",$D638),0)</f>
        <v>0</v>
      </c>
      <c r="L638" s="658">
        <f ca="1">+IFERROR(L$2*GETPIVOTDATA("Unique Billed Hours",'County allocation'!$O$3,"County",$D635,"HHA/CDPAP","HHA","Level of Service",$D638),0)</f>
        <v>0</v>
      </c>
      <c r="M638" s="658">
        <f>+IFERROR(M$5*GETPIVOTDATA("Unique Billed Hours",'County allocation'!$S$3,"County",$D635,"HHA/CDPAP","HHA","Level of Service",$D638),0)</f>
        <v>0</v>
      </c>
      <c r="N638" s="658">
        <f>+IFERROR(N$5*GETPIVOTDATA("Unique Billed Hours",'County allocation'!$S$3,"County",$D635,"HHA/CDPAP","HHA","Level of Service",$D638),0)</f>
        <v>0</v>
      </c>
      <c r="O638" s="658">
        <f>+IFERROR(O$5*GETPIVOTDATA("Unique Billed Hours",'County allocation'!$K$19,"County",$D635,"HHA/CDPAP","HHA","Level of Service",$D638),0)</f>
        <v>0</v>
      </c>
      <c r="P638" s="658">
        <f>+IFERROR(P$5*GETPIVOTDATA("Unique Billed Hours",'County allocation'!$S$3,"County",$D635,"HHA/CDPAP","HHA","Level of Service",$D638),0)</f>
        <v>0</v>
      </c>
    </row>
    <row r="639" spans="1:18" s="54" customFormat="1" ht="15.75" hidden="1" thickBot="1" x14ac:dyDescent="0.3">
      <c r="A639" s="119"/>
      <c r="B639" s="309"/>
      <c r="C639" s="322">
        <f t="shared" ca="1" si="233"/>
        <v>0</v>
      </c>
      <c r="D639" s="7" t="s">
        <v>35</v>
      </c>
      <c r="E639" s="48" t="s">
        <v>56</v>
      </c>
      <c r="F639" s="657">
        <f t="shared" ref="F639:F650" ca="1" si="234">+H639+G639+I639</f>
        <v>0</v>
      </c>
      <c r="G639" s="658">
        <f ca="1">+IFERROR(G$5*GETPIVOTDATA("Unique Billed Hours",'County allocation'!$A$3,"County",$D635,"HHA/CDPAP","HHA","Level of Service",$D639),0)</f>
        <v>0</v>
      </c>
      <c r="H639" s="658">
        <f>+IFERROR(H$5*GETPIVOTDATA("Unique Billed Hours",'County allocation'!$S$3,"County",$D635,"HHA/CDPAP","HHA","Level of Service",$D639),0)</f>
        <v>0</v>
      </c>
      <c r="I639" s="664">
        <f t="shared" ref="I639:I649" ca="1" si="235">SUM(J639:P639)</f>
        <v>0</v>
      </c>
      <c r="J639" s="658">
        <f ca="1">+IFERROR(J$5*GETPIVOTDATA("Unique Billed Hours",'County allocation'!$S$3,"County",$D635,"HHA/CDPAP","HHA","Level of Service",$D639),0)</f>
        <v>0</v>
      </c>
      <c r="K639" s="658">
        <f ca="1">+IFERROR(K$5*GETPIVOTDATA("Unique Billed Hours",'County allocation'!$X$3,"County",$D635,"HHA/CDPAP","HHA","Level of Service",$D639),0)</f>
        <v>0</v>
      </c>
      <c r="L639" s="658">
        <f ca="1">+IFERROR(L$2*GETPIVOTDATA("Unique Billed Hours",'County allocation'!$O$3,"County",$D635,"HHA/CDPAP","HHA","Level of Service",$D639),0)</f>
        <v>0</v>
      </c>
      <c r="M639" s="658">
        <f>+IFERROR(M$5*GETPIVOTDATA("Unique Billed Hours",'County allocation'!$S$3,"County",$D635,"HHA/CDPAP","HHA","Level of Service",$D639),0)</f>
        <v>0</v>
      </c>
      <c r="N639" s="658">
        <f>+IFERROR(N$5*GETPIVOTDATA("Unique Billed Hours",'County allocation'!$S$3,"County",$D635,"HHA/CDPAP","HHA","Level of Service",$D639),0)</f>
        <v>0</v>
      </c>
      <c r="O639" s="658">
        <f>+IFERROR(O$5*GETPIVOTDATA("Unique Billed Hours",'County allocation'!$K$19,"County",$D635,"HHA/CDPAP","HHA","Level of Service",$D639),0)</f>
        <v>0</v>
      </c>
      <c r="P639" s="658">
        <f>+IFERROR(P$5*GETPIVOTDATA("Unique Billed Hours",'County allocation'!$S$3,"County",$D635,"HHA/CDPAP","HHA","Level of Service",$D639),0)</f>
        <v>0</v>
      </c>
      <c r="R639" s="61"/>
    </row>
    <row r="640" spans="1:18" s="54" customFormat="1" ht="15.75" hidden="1" thickBot="1" x14ac:dyDescent="0.3">
      <c r="A640" s="302"/>
      <c r="B640" s="309"/>
      <c r="C640" s="322">
        <f t="shared" ca="1" si="233"/>
        <v>0</v>
      </c>
      <c r="D640" s="7" t="s">
        <v>36</v>
      </c>
      <c r="E640" s="48" t="s">
        <v>55</v>
      </c>
      <c r="F640" s="657">
        <f t="shared" ca="1" si="234"/>
        <v>0</v>
      </c>
      <c r="G640" s="658">
        <f ca="1">+IFERROR(G$5*GETPIVOTDATA("Unique Billed Hours",'County allocation'!$A$3,"County",$D635,"HHA/CDPAP","HHA","Level of Service",$D640),0)</f>
        <v>0</v>
      </c>
      <c r="H640" s="658">
        <f>+IFERROR(H$5*GETPIVOTDATA("Unique Billed Hours",'County allocation'!$S$3,"County",$D635,"HHA/CDPAP","HHA","Level of Service",$D640),0)</f>
        <v>0</v>
      </c>
      <c r="I640" s="664">
        <f t="shared" ca="1" si="235"/>
        <v>0</v>
      </c>
      <c r="J640" s="658">
        <f ca="1">+IFERROR(J$5*GETPIVOTDATA("Unique Billed Hours",'County allocation'!$S$3,"County",$D635,"HHA/CDPAP","HHA","Level of Service",$D640),0)</f>
        <v>0</v>
      </c>
      <c r="K640" s="658">
        <f ca="1">+IFERROR(K$5*GETPIVOTDATA("Unique Billed Hours",'County allocation'!$X$3,"County",$D635,"HHA/CDPAP","HHA","Level of Service",$D640),0)</f>
        <v>0</v>
      </c>
      <c r="L640" s="658">
        <f ca="1">+IFERROR(L$2*GETPIVOTDATA("Unique Billed Hours",'County allocation'!$O$3,"County",$D635,"HHA/CDPAP","HHA","Level of Service",$D640),0)</f>
        <v>0</v>
      </c>
      <c r="M640" s="658">
        <f>+IFERROR(M$5*GETPIVOTDATA("Unique Billed Hours",'County allocation'!$S$3,"County",$D635,"HHA/CDPAP","HHA","Level of Service",$D640),0)</f>
        <v>0</v>
      </c>
      <c r="N640" s="658">
        <f>+IFERROR(N$5*GETPIVOTDATA("Unique Billed Hours",'County allocation'!$S$3,"County",$D635,"HHA/CDPAP","HHA","Level of Service",$D640),0)</f>
        <v>0</v>
      </c>
      <c r="O640" s="658">
        <f>+IFERROR(O$5*GETPIVOTDATA("Unique Billed Hours",'County allocation'!$K$19,"County",$D635,"HHA/CDPAP","HHA","Level of Service",$D640),0)</f>
        <v>0</v>
      </c>
      <c r="P640" s="658">
        <f>+IFERROR(P$5*GETPIVOTDATA("Unique Billed Hours",'County allocation'!$S$3,"County",$D635,"HHA/CDPAP","HHA","Level of Service",$D640),0)</f>
        <v>0</v>
      </c>
    </row>
    <row r="641" spans="1:18" s="54" customFormat="1" ht="15.75" hidden="1" thickBot="1" x14ac:dyDescent="0.3">
      <c r="A641" s="119"/>
      <c r="B641" s="309"/>
      <c r="C641" s="322">
        <f t="shared" ca="1" si="233"/>
        <v>0</v>
      </c>
      <c r="D641" s="7" t="s">
        <v>37</v>
      </c>
      <c r="E641" s="48" t="s">
        <v>54</v>
      </c>
      <c r="F641" s="657">
        <f t="shared" ca="1" si="234"/>
        <v>0</v>
      </c>
      <c r="G641" s="658">
        <f ca="1">+IFERROR(G$5*GETPIVOTDATA("Unique Billed Hours",'County allocation'!$A$3,"County",$D635,"HHA/CDPAP","HHA","Level of Service",$D641),0)</f>
        <v>0</v>
      </c>
      <c r="H641" s="658">
        <f>+IFERROR(H$5*GETPIVOTDATA("Unique Billed Hours",'County allocation'!$S$3,"County",$D635,"HHA/CDPAP","HHA","Level of Service",$D641),0)</f>
        <v>0</v>
      </c>
      <c r="I641" s="664">
        <f t="shared" ca="1" si="235"/>
        <v>0</v>
      </c>
      <c r="J641" s="658">
        <f ca="1">+IFERROR(J$5*GETPIVOTDATA("Unique Billed Hours",'County allocation'!$S$3,"County",$D635,"HHA/CDPAP","HHA","Level of Service",$D641),0)</f>
        <v>0</v>
      </c>
      <c r="K641" s="658">
        <f ca="1">+IFERROR(K$5*GETPIVOTDATA("Unique Billed Hours",'County allocation'!$X$3,"County",$D635,"HHA/CDPAP","HHA","Level of Service",$D641),0)</f>
        <v>0</v>
      </c>
      <c r="L641" s="658">
        <f ca="1">+IFERROR(L$2*GETPIVOTDATA("Unique Billed Hours",'County allocation'!$O$3,"County",$D635,"HHA/CDPAP","HHA","Level of Service",$D641),0)</f>
        <v>0</v>
      </c>
      <c r="M641" s="658">
        <f>+IFERROR(M$5*GETPIVOTDATA("Unique Billed Hours",'County allocation'!$S$3,"County",$D635,"HHA/CDPAP","HHA","Level of Service",$D641),0)</f>
        <v>0</v>
      </c>
      <c r="N641" s="658">
        <f>+IFERROR(N$5*GETPIVOTDATA("Unique Billed Hours",'County allocation'!$S$3,"County",$D635,"HHA/CDPAP","HHA","Level of Service",$D641),0)</f>
        <v>0</v>
      </c>
      <c r="O641" s="658">
        <f>+IFERROR(O$5*GETPIVOTDATA("Unique Billed Hours",'County allocation'!$K$19,"County",$D635,"HHA/CDPAP","HHA","Level of Service",$D641),0)</f>
        <v>0</v>
      </c>
      <c r="P641" s="658">
        <f>+IFERROR(P$5*GETPIVOTDATA("Unique Billed Hours",'County allocation'!$S$3,"County",$D635,"HHA/CDPAP","HHA","Level of Service",$D641),0)</f>
        <v>0</v>
      </c>
    </row>
    <row r="642" spans="1:18" s="54" customFormat="1" ht="15.75" hidden="1" thickBot="1" x14ac:dyDescent="0.3">
      <c r="A642" s="119"/>
      <c r="B642" s="309"/>
      <c r="C642" s="322">
        <f t="shared" ca="1" si="233"/>
        <v>0</v>
      </c>
      <c r="D642" s="7" t="s">
        <v>38</v>
      </c>
      <c r="E642" s="48" t="s">
        <v>53</v>
      </c>
      <c r="F642" s="657">
        <f t="shared" ca="1" si="234"/>
        <v>0</v>
      </c>
      <c r="G642" s="658">
        <f ca="1">+IFERROR(G$5*GETPIVOTDATA("Unique Billed Hours",'County allocation'!$A$3,"County",$D635,"HHA/CDPAP","HHA","Level of Service",$D642),0)</f>
        <v>0</v>
      </c>
      <c r="H642" s="658">
        <f>+IFERROR(H$5*GETPIVOTDATA("Unique Billed Hours",'County allocation'!$S$3,"County",$D635,"HHA/CDPAP","HHA","Level of Service",$D642),0)</f>
        <v>0</v>
      </c>
      <c r="I642" s="664">
        <f t="shared" ca="1" si="235"/>
        <v>0</v>
      </c>
      <c r="J642" s="658">
        <f ca="1">+IFERROR(J$5*GETPIVOTDATA("Unique Billed Hours",'County allocation'!$S$3,"County",$D635,"HHA/CDPAP","HHA","Level of Service",$D642),0)</f>
        <v>0</v>
      </c>
      <c r="K642" s="658">
        <f ca="1">+IFERROR(K$5*GETPIVOTDATA("Unique Billed Hours",'County allocation'!$X$3,"County",$D635,"HHA/CDPAP","HHA","Level of Service",$D642),0)</f>
        <v>0</v>
      </c>
      <c r="L642" s="658">
        <f ca="1">+IFERROR(L$5*GETPIVOTDATA("Unique Billed Hours",'County allocation'!$K$19,"County",$D635,"HHA/CDPAP","HHA","Level of Service",$D642),0)</f>
        <v>0</v>
      </c>
      <c r="M642" s="658">
        <f>+IFERROR(M$5*GETPIVOTDATA("Unique Billed Hours",'County allocation'!$S$3,"County",$D635,"HHA/CDPAP","HHA","Level of Service",$D642),0)</f>
        <v>0</v>
      </c>
      <c r="N642" s="658">
        <f>+IFERROR(N$5*GETPIVOTDATA("Unique Billed Hours",'County allocation'!$S$3,"County",$D635,"HHA/CDPAP","HHA","Level of Service",$D642),0)</f>
        <v>0</v>
      </c>
      <c r="O642" s="658">
        <f>+IFERROR(O$5*GETPIVOTDATA("Unique Billed Hours",'County allocation'!$K$19,"County",$D635,"HHA/CDPAP","HHA","Level of Service",$D642),0)</f>
        <v>0</v>
      </c>
      <c r="P642" s="658">
        <f>+IFERROR(P$5*GETPIVOTDATA("Unique Billed Hours",'County allocation'!$S$3,"County",$D635,"HHA/CDPAP","HHA","Level of Service",$D642),0)</f>
        <v>0</v>
      </c>
    </row>
    <row r="643" spans="1:18" s="54" customFormat="1" ht="15.75" hidden="1" thickBot="1" x14ac:dyDescent="0.3">
      <c r="A643" s="119"/>
      <c r="B643" s="309"/>
      <c r="C643" s="322">
        <f t="shared" ca="1" si="233"/>
        <v>0</v>
      </c>
      <c r="D643" s="7" t="s">
        <v>39</v>
      </c>
      <c r="E643" s="48" t="s">
        <v>52</v>
      </c>
      <c r="F643" s="657">
        <f t="shared" ca="1" si="234"/>
        <v>0</v>
      </c>
      <c r="G643" s="658">
        <f ca="1">+IFERROR(G$5*GETPIVOTDATA("Unique Billed Hours",'County allocation'!$A$3,"County",$D635,"HHA/CDPAP","HHA","Level of Service",$D643),0)</f>
        <v>0</v>
      </c>
      <c r="H643" s="658">
        <f>+IFERROR(H$5*GETPIVOTDATA("Unique Billed Hours",'County allocation'!$S$3,"County",$D635,"HHA/CDPAP","HHA","Level of Service",$D643),0)</f>
        <v>0</v>
      </c>
      <c r="I643" s="664">
        <f t="shared" ca="1" si="235"/>
        <v>0</v>
      </c>
      <c r="J643" s="658">
        <f ca="1">+IFERROR(J$5*GETPIVOTDATA("Unique Billed Hours",'County allocation'!$S$3,"County",$D635,"HHA/CDPAP","HHA","Level of Service",$D643),0)</f>
        <v>0</v>
      </c>
      <c r="K643" s="658">
        <f ca="1">+IFERROR(K$5*GETPIVOTDATA("Unique Billed Hours",'County allocation'!$X$3,"County",$D635,"HHA/CDPAP","HHA","Level of Service",$D643),0)</f>
        <v>0</v>
      </c>
      <c r="L643" s="658">
        <f ca="1">+IFERROR(L$5*GETPIVOTDATA("Unique Billed Hours",'County allocation'!$K$19,"County",$D635,"HHA/CDPAP","HHA","Level of Service",$D643),0)</f>
        <v>0</v>
      </c>
      <c r="M643" s="658">
        <f>+IFERROR(M$5*GETPIVOTDATA("Unique Billed Hours",'County allocation'!$S$3,"County",$D635,"HHA/CDPAP","HHA","Level of Service",$D643),0)</f>
        <v>0</v>
      </c>
      <c r="N643" s="658">
        <f>+IFERROR(N$5*GETPIVOTDATA("Unique Billed Hours",'County allocation'!$S$3,"County",$D635,"HHA/CDPAP","HHA","Level of Service",$D643),0)</f>
        <v>0</v>
      </c>
      <c r="O643" s="658">
        <f>+IFERROR(O$5*GETPIVOTDATA("Unique Billed Hours",'County allocation'!$K$19,"County",$D635,"HHA/CDPAP","HHA","Level of Service",$D643),0)</f>
        <v>0</v>
      </c>
      <c r="P643" s="658">
        <f>+IFERROR(P$5*GETPIVOTDATA("Unique Billed Hours",'County allocation'!$S$3,"County",$D635,"HHA/CDPAP","HHA","Level of Service",$D643),0)</f>
        <v>0</v>
      </c>
    </row>
    <row r="644" spans="1:18" s="54" customFormat="1" ht="15.75" hidden="1" thickBot="1" x14ac:dyDescent="0.3">
      <c r="A644" s="119"/>
      <c r="B644" s="309"/>
      <c r="C644" s="322">
        <f t="shared" ca="1" si="233"/>
        <v>0</v>
      </c>
      <c r="D644" s="8" t="s">
        <v>40</v>
      </c>
      <c r="E644" s="48" t="s">
        <v>51</v>
      </c>
      <c r="F644" s="657">
        <f t="shared" ca="1" si="234"/>
        <v>0</v>
      </c>
      <c r="G644" s="658">
        <f ca="1">+IFERROR(G$5*GETPIVOTDATA("Unique Billed Hours",'County allocation'!$A$3,"County",$D635,"HHA/CDPAP","HHA","Level of Service",$D644),0)</f>
        <v>0</v>
      </c>
      <c r="H644" s="658">
        <f>+IFERROR(H$5*GETPIVOTDATA("Unique Billed Hours",'County allocation'!$S$3,"County",$D635,"HHA/CDPAP","HHA","Level of Service",$D644),0)</f>
        <v>0</v>
      </c>
      <c r="I644" s="664">
        <f t="shared" ca="1" si="235"/>
        <v>0</v>
      </c>
      <c r="J644" s="658">
        <f ca="1">+IFERROR(J$5*GETPIVOTDATA("Unique Billed Hours",'County allocation'!$S$3,"County",$D635,"HHA/CDPAP","HHA","Level of Service",$D644),0)</f>
        <v>0</v>
      </c>
      <c r="K644" s="658">
        <f ca="1">+IFERROR(K$5*GETPIVOTDATA("Unique Billed Hours",'County allocation'!$X$3,"County",$D635,"HHA/CDPAP","HHA","Level of Service",$D644),0)</f>
        <v>0</v>
      </c>
      <c r="L644" s="658">
        <f ca="1">+IFERROR(L$2*GETPIVOTDATA("Unique Billed Hours",'County allocation'!$O$3,"County",$D635,"HHA/CDPAP","HHA","Level of Service",$D644),0)</f>
        <v>0</v>
      </c>
      <c r="M644" s="658">
        <f>+IFERROR(M$5*GETPIVOTDATA("Unique Billed Hours",'County allocation'!$S$3,"County",$D635,"HHA/CDPAP","HHA","Level of Service",$D644),0)</f>
        <v>0</v>
      </c>
      <c r="N644" s="658">
        <f>+IFERROR(N$5*GETPIVOTDATA("Unique Billed Hours",'County allocation'!$S$3,"County",$D635,"HHA/CDPAP","HHA","Level of Service",$D644),0)</f>
        <v>0</v>
      </c>
      <c r="O644" s="658">
        <f>+IFERROR(O$5*GETPIVOTDATA("Unique Billed Hours",'County allocation'!$K$19,"County",$D635,"HHA/CDPAP","HHA","Level of Service",$D644),0)</f>
        <v>0</v>
      </c>
      <c r="P644" s="658">
        <f>+IFERROR(P$5*GETPIVOTDATA("Unique Billed Hours",'County allocation'!$S$3,"County",$D635,"HHA/CDPAP","HHA","Level of Service",$D644),0)</f>
        <v>0</v>
      </c>
    </row>
    <row r="645" spans="1:18" s="54" customFormat="1" ht="15.75" hidden="1" thickBot="1" x14ac:dyDescent="0.3">
      <c r="A645" s="119"/>
      <c r="B645" s="309"/>
      <c r="C645" s="322">
        <f t="shared" ca="1" si="233"/>
        <v>0</v>
      </c>
      <c r="D645" s="8" t="s">
        <v>41</v>
      </c>
      <c r="E645" s="48" t="s">
        <v>50</v>
      </c>
      <c r="F645" s="657">
        <f t="shared" ca="1" si="234"/>
        <v>0</v>
      </c>
      <c r="G645" s="658">
        <f ca="1">+IFERROR(G$5*GETPIVOTDATA("Unique Billed Hours",'County allocation'!$A$3,"County",$D635,"HHA/CDPAP","HHA","Level of Service",$D645),0)</f>
        <v>0</v>
      </c>
      <c r="H645" s="658">
        <f>+IFERROR(H$5*GETPIVOTDATA("Unique Billed Hours",'County allocation'!$S$3,"County",$D635,"HHA/CDPAP","HHA","Level of Service",$D645),0)</f>
        <v>0</v>
      </c>
      <c r="I645" s="664">
        <f t="shared" ca="1" si="235"/>
        <v>0</v>
      </c>
      <c r="J645" s="658">
        <f ca="1">+IFERROR(J$5*GETPIVOTDATA("Unique Billed Hours",'County allocation'!$S$3,"County",$D635,"HHA/CDPAP","HHA","Level of Service",$D645),0)</f>
        <v>0</v>
      </c>
      <c r="K645" s="658">
        <f ca="1">+IFERROR(K$5*GETPIVOTDATA("Unique Billed Hours",'County allocation'!$X$3,"County",$D635,"HHA/CDPAP","HHA","Level of Service",$D645),0)</f>
        <v>0</v>
      </c>
      <c r="L645" s="658">
        <f ca="1">+IFERROR(L$2*GETPIVOTDATA("Unique Billed Hours",'County allocation'!$O$3,"County",$D635,"HHA/CDPAP","HHA","Level of Service",$D645),0)</f>
        <v>0</v>
      </c>
      <c r="M645" s="658">
        <f>+IFERROR(M$5*GETPIVOTDATA("Unique Billed Hours",'County allocation'!$S$3,"County",$D635,"HHA/CDPAP","HHA","Level of Service",$D645),0)</f>
        <v>0</v>
      </c>
      <c r="N645" s="658">
        <f>+IFERROR(N$5*GETPIVOTDATA("Unique Billed Hours",'County allocation'!$S$3,"County",$D635,"HHA/CDPAP","HHA","Level of Service",$D645),0)</f>
        <v>0</v>
      </c>
      <c r="O645" s="658">
        <f>+IFERROR(O$5*GETPIVOTDATA("Unique Billed Hours",'County allocation'!$K$19,"County",$D635,"HHA/CDPAP","HHA","Level of Service",$D645),0)</f>
        <v>0</v>
      </c>
      <c r="P645" s="658">
        <f>+IFERROR(P$5*GETPIVOTDATA("Unique Billed Hours",'County allocation'!$S$3,"County",$D635,"HHA/CDPAP","HHA","Level of Service",$D645),0)</f>
        <v>0</v>
      </c>
    </row>
    <row r="646" spans="1:18" s="54" customFormat="1" ht="15.75" hidden="1" thickBot="1" x14ac:dyDescent="0.3">
      <c r="A646" s="119"/>
      <c r="B646" s="309"/>
      <c r="C646" s="322">
        <f t="shared" ca="1" si="233"/>
        <v>0</v>
      </c>
      <c r="D646" s="52" t="s">
        <v>389</v>
      </c>
      <c r="E646" s="53" t="s">
        <v>49</v>
      </c>
      <c r="F646" s="657">
        <f t="shared" ca="1" si="234"/>
        <v>0</v>
      </c>
      <c r="G646" s="661">
        <f ca="1">SUM(G638:G645)</f>
        <v>0</v>
      </c>
      <c r="H646" s="661">
        <f>SUM(H638:H645)</f>
        <v>0</v>
      </c>
      <c r="I646" s="664">
        <f t="shared" ca="1" si="235"/>
        <v>0</v>
      </c>
      <c r="J646" s="661">
        <f ca="1">SUM(J638:J645)</f>
        <v>0</v>
      </c>
      <c r="K646" s="661">
        <f t="shared" ref="K646:P646" ca="1" si="236">SUM(K638:K645)</f>
        <v>0</v>
      </c>
      <c r="L646" s="661">
        <f t="shared" ca="1" si="236"/>
        <v>0</v>
      </c>
      <c r="M646" s="661">
        <f t="shared" si="236"/>
        <v>0</v>
      </c>
      <c r="N646" s="661">
        <f t="shared" si="236"/>
        <v>0</v>
      </c>
      <c r="O646" s="661">
        <f t="shared" si="236"/>
        <v>0</v>
      </c>
      <c r="P646" s="661">
        <f t="shared" si="236"/>
        <v>0</v>
      </c>
    </row>
    <row r="647" spans="1:18" s="54" customFormat="1" ht="15.75" hidden="1" thickBot="1" x14ac:dyDescent="0.3">
      <c r="A647" s="119"/>
      <c r="B647" s="309"/>
      <c r="C647" s="322">
        <f t="shared" ca="1" si="233"/>
        <v>0</v>
      </c>
      <c r="D647" s="371" t="s">
        <v>390</v>
      </c>
      <c r="E647" s="325" t="s">
        <v>47</v>
      </c>
      <c r="F647" s="657">
        <f t="shared" ca="1" si="234"/>
        <v>0</v>
      </c>
      <c r="G647" s="665">
        <f ca="1">+IFERROR((G$5*GETPIVOTDATA("Unique Billed Hours",'County allocation'!$A$3,"County",$D635,"HHA/CDPAP","HHA","Level of Service",$D647))+($G$2*GETPIVOTDATA("Unique Billed Hours",'County allocation'!$F$7,"County",$D635,"HHA/CDPAP","HHA","Level of Service",$D647)),0)++IFERROR(J$5*GETPIVOTDATA("Unique Billed Hours",'County allocation'!$AC$3,"County",$D635,"HHA/CDPAP","HHA","Level of Service",$D647),0)+ +IFERROR(J$5*GETPIVOTDATA("Unique Billed Hours",'County allocation'!$AC$3,"County",$D635,"HHA/CDPAP","HHA","Level of Service",$D648),0)</f>
        <v>0</v>
      </c>
      <c r="H647" s="665">
        <f>+IFERROR(H$5*GETPIVOTDATA("Unique Billed Hours",'County allocation'!$S$3,"County",$D635,"HHA/CDPAP","HHA","Level of Service",$D647),0)</f>
        <v>0</v>
      </c>
      <c r="I647" s="664">
        <f t="shared" ca="1" si="235"/>
        <v>0</v>
      </c>
      <c r="J647" s="901"/>
      <c r="K647" s="665">
        <f ca="1">+IFERROR(K$5*GETPIVOTDATA("Unique Billed Hours",'County allocation'!$X$3,"County",$D635,"HHA/CDPAP","HHA","Level of Service",$D647),0)</f>
        <v>0</v>
      </c>
      <c r="L647" s="665">
        <f ca="1">+IFERROR(L$5*GETPIVOTDATA("Unique Billed Hours",'County allocation'!$K$19,"County",$D635,"HHA/CDPAP","HHA","Level of Service",$D647),0)</f>
        <v>0</v>
      </c>
      <c r="M647" s="665">
        <f>+IFERROR(M$5*GETPIVOTDATA("Unique Billed Hours",'County allocation'!$S$3,"County",$D635,"HHA/CDPAP","HHA","Level of Service",$D647),0)</f>
        <v>0</v>
      </c>
      <c r="N647" s="665">
        <f>+IFERROR(N$5*GETPIVOTDATA("Unique Billed Hours",'County allocation'!$S$3,"County",$D635,"HHA/CDPAP","HHA","Level of Service",$D647),0)</f>
        <v>0</v>
      </c>
      <c r="O647" s="665">
        <f>+IFERROR(O$5*GETPIVOTDATA("Unique Billed Hours",'County allocation'!$S$3,"County",$D635,"HHA/CDPAP","HHA","Level of Service",$D647),0)</f>
        <v>0</v>
      </c>
      <c r="P647" s="665">
        <f>+IFERROR(P$5*GETPIVOTDATA("Unique Billed Hours",'County allocation'!$S$3,"County",$D635,"HHA/CDPAP","HHA","Level of Service",$D647),0)</f>
        <v>0</v>
      </c>
    </row>
    <row r="648" spans="1:18" s="54" customFormat="1" ht="15.75" hidden="1" thickBot="1" x14ac:dyDescent="0.3">
      <c r="A648" s="119"/>
      <c r="B648" s="309"/>
      <c r="C648" s="322">
        <f t="shared" ca="1" si="233"/>
        <v>0</v>
      </c>
      <c r="D648" s="8" t="s">
        <v>391</v>
      </c>
      <c r="E648" s="370" t="s">
        <v>77</v>
      </c>
      <c r="F648" s="657">
        <f t="shared" ca="1" si="234"/>
        <v>0</v>
      </c>
      <c r="G648" s="656"/>
      <c r="H648" s="658">
        <f>+IFERROR(H$5*GETPIVOTDATA("Unique Billed Hours",'County allocation'!$S$3,"County",$D635,"HHA/CDPAP","HHA","Level of Service",$D648),0)</f>
        <v>0</v>
      </c>
      <c r="I648" s="664">
        <f t="shared" ca="1" si="235"/>
        <v>0</v>
      </c>
      <c r="J648" s="901"/>
      <c r="K648" s="665">
        <f ca="1">+IFERROR(K$5*GETPIVOTDATA("Unique Billed Hours",'County allocation'!$X$3,"County",$D635,"HHA/CDPAP","HHA","Level of Service",$D648),0)</f>
        <v>0</v>
      </c>
      <c r="L648" s="665">
        <f ca="1">+IFERROR(L$5*GETPIVOTDATA("Unique Billed Hours",'County allocation'!$K$19,"County",$D635,"HHA/CDPAP","HHA","Level of Service",$D648),0)</f>
        <v>0</v>
      </c>
      <c r="M648" s="665">
        <f>+IFERROR(M$5*GETPIVOTDATA("Unique Billed Hours",'County allocation'!$S$3,"County",$D635,"HHA/CDPAP","HHA","Level of Service",$D648),0)</f>
        <v>0</v>
      </c>
      <c r="N648" s="665">
        <f>+IFERROR(N$5*GETPIVOTDATA("Unique Billed Hours",'County allocation'!$S$3,"County",$D635,"HHA/CDPAP","HHA","Level of Service",$D648),0)</f>
        <v>0</v>
      </c>
      <c r="O648" s="665">
        <f>+IFERROR(O$5*GETPIVOTDATA("Unique Billed Hours",'County allocation'!$S$3,"County",$D635,"HHA/CDPAP","HHA","Level of Service",$D648),0)</f>
        <v>0</v>
      </c>
      <c r="P648" s="665">
        <f>+IFERROR(P$5*GETPIVOTDATA("Unique Billed Hours",'County allocation'!$S$3,"County",$D635,"HHA/CDPAP","HHA","Level of Service",$D648),0)</f>
        <v>0</v>
      </c>
    </row>
    <row r="649" spans="1:18" s="54" customFormat="1" ht="15.75" hidden="1" thickBot="1" x14ac:dyDescent="0.3">
      <c r="A649" s="119"/>
      <c r="B649" s="309"/>
      <c r="C649" s="322">
        <f t="shared" ca="1" si="233"/>
        <v>0</v>
      </c>
      <c r="D649" s="8" t="s">
        <v>374</v>
      </c>
      <c r="E649" s="370" t="s">
        <v>78</v>
      </c>
      <c r="F649" s="657">
        <f t="shared" ca="1" si="234"/>
        <v>0</v>
      </c>
      <c r="G649" s="658">
        <f ca="1">+IFERROR(G$5*GETPIVOTDATA("Unique Billed Hours",'County allocation'!$A$3,"County",$D635,"HHA/CDPAP","HHA","Level of Service",$D649),0)++IFERROR(J$5*GETPIVOTDATA("Unique Billed Hours",'County allocation'!$AC$3,"County",$D635,"HHA/CDPAP","HHA","Level of Service",$D649),0)</f>
        <v>0</v>
      </c>
      <c r="H649" s="658">
        <f>+IFERROR(H$5*GETPIVOTDATA("Unique Billed Hours",'County allocation'!$S$3,"County",$D635,"HHA/CDPAP","HHA","Level of Service",$D649),0)</f>
        <v>0</v>
      </c>
      <c r="I649" s="664">
        <f t="shared" ca="1" si="235"/>
        <v>0</v>
      </c>
      <c r="J649" s="901"/>
      <c r="K649" s="665">
        <f ca="1">+IFERROR(K$5*GETPIVOTDATA("Unique Billed Hours",'County allocation'!$X$3,"County",$D635,"HHA/CDPAP","HHA","Level of Service",$D649),0)</f>
        <v>0</v>
      </c>
      <c r="L649" s="665">
        <f ca="1">+IFERROR(L$5*GETPIVOTDATA("Unique Billed Hours",'County allocation'!$K$19,"County",$D635,"HHA/CDPAP","HHA","Level of Service",$D649),0)</f>
        <v>0</v>
      </c>
      <c r="M649" s="665">
        <f>+IFERROR(M$5*GETPIVOTDATA("Unique Billed Hours",'County allocation'!$S$3,"County",$D635,"HHA/CDPAP","HHA","Level of Service",$D649),0)</f>
        <v>0</v>
      </c>
      <c r="N649" s="665">
        <f>+IFERROR(N$5*GETPIVOTDATA("Unique Billed Hours",'County allocation'!$S$3,"County",$D635,"HHA/CDPAP","HHA","Level of Service",$D649),0)</f>
        <v>0</v>
      </c>
      <c r="O649" s="665">
        <f>+IFERROR(O$5*GETPIVOTDATA("Unique Billed Hours",'County allocation'!$S$3,"County",$D635,"HHA/CDPAP","HHA","Level of Service",$D649),0)</f>
        <v>0</v>
      </c>
      <c r="P649" s="665">
        <f>+IFERROR(P$5*GETPIVOTDATA("Unique Billed Hours",'County allocation'!$S$3,"County",$D635,"HHA/CDPAP","HHA","Level of Service",$D649),0)</f>
        <v>0</v>
      </c>
    </row>
    <row r="650" spans="1:18" s="54" customFormat="1" ht="15.75" hidden="1" thickBot="1" x14ac:dyDescent="0.3">
      <c r="A650" s="302"/>
      <c r="B650" s="309"/>
      <c r="C650" s="322">
        <f ca="1">C649</f>
        <v>0</v>
      </c>
      <c r="D650" s="52" t="s">
        <v>48</v>
      </c>
      <c r="E650" s="53" t="s">
        <v>79</v>
      </c>
      <c r="F650" s="657">
        <f t="shared" ca="1" si="234"/>
        <v>0</v>
      </c>
      <c r="G650" s="661">
        <f t="shared" ref="G650" ca="1" si="237">SUM(G646:G649)</f>
        <v>0</v>
      </c>
      <c r="H650" s="661">
        <f t="shared" ref="H650:P650" si="238">SUM(H646:H649)</f>
        <v>0</v>
      </c>
      <c r="I650" s="661">
        <f t="shared" ca="1" si="238"/>
        <v>0</v>
      </c>
      <c r="J650" s="661">
        <f t="shared" ca="1" si="238"/>
        <v>0</v>
      </c>
      <c r="K650" s="661">
        <f t="shared" ca="1" si="238"/>
        <v>0</v>
      </c>
      <c r="L650" s="661">
        <f t="shared" ca="1" si="238"/>
        <v>0</v>
      </c>
      <c r="M650" s="661">
        <f t="shared" si="238"/>
        <v>0</v>
      </c>
      <c r="N650" s="661">
        <f t="shared" si="238"/>
        <v>0</v>
      </c>
      <c r="O650" s="661">
        <f t="shared" si="238"/>
        <v>0</v>
      </c>
      <c r="P650" s="661">
        <f t="shared" si="238"/>
        <v>0</v>
      </c>
    </row>
    <row r="651" spans="1:18" ht="15.75" hidden="1" thickBot="1" x14ac:dyDescent="0.3"/>
    <row r="652" spans="1:18" s="54" customFormat="1" ht="75.75" hidden="1" thickBot="1" x14ac:dyDescent="0.3">
      <c r="A652" s="119"/>
      <c r="B652" s="309"/>
      <c r="C652" s="322">
        <f ca="1">IF(F667&gt;0,1,0)</f>
        <v>0</v>
      </c>
      <c r="D652" s="45" t="str">
        <f>A41</f>
        <v>Oswego</v>
      </c>
      <c r="E652" s="28">
        <f>+SUMIF(A:A,D652,B:B)</f>
        <v>0</v>
      </c>
      <c r="F652" s="652" t="s">
        <v>61</v>
      </c>
      <c r="G652" s="652" t="s">
        <v>387</v>
      </c>
      <c r="H652" s="652" t="s">
        <v>388</v>
      </c>
      <c r="I652" s="652" t="s">
        <v>392</v>
      </c>
      <c r="J652" s="652" t="s">
        <v>31</v>
      </c>
      <c r="K652" s="652" t="s">
        <v>32</v>
      </c>
      <c r="L652" s="653" t="s">
        <v>33</v>
      </c>
      <c r="M652" s="653" t="s">
        <v>60</v>
      </c>
      <c r="N652" s="653" t="s">
        <v>59</v>
      </c>
      <c r="O652" s="653" t="s">
        <v>58</v>
      </c>
      <c r="P652" s="653" t="s">
        <v>16</v>
      </c>
    </row>
    <row r="653" spans="1:18" s="54" customFormat="1" ht="15.75" hidden="1" thickBot="1" x14ac:dyDescent="0.3">
      <c r="A653" s="119"/>
      <c r="B653" s="309"/>
      <c r="C653" s="322">
        <f ca="1">C652</f>
        <v>0</v>
      </c>
      <c r="D653" s="56"/>
      <c r="E653" s="57"/>
      <c r="F653" s="654" t="s">
        <v>57</v>
      </c>
      <c r="G653" s="654" t="s">
        <v>56</v>
      </c>
      <c r="H653" s="654" t="s">
        <v>55</v>
      </c>
      <c r="I653" s="654" t="s">
        <v>54</v>
      </c>
      <c r="J653" s="654" t="s">
        <v>53</v>
      </c>
      <c r="K653" s="654" t="s">
        <v>52</v>
      </c>
      <c r="L653" s="654" t="s">
        <v>51</v>
      </c>
      <c r="M653" s="654" t="s">
        <v>50</v>
      </c>
      <c r="N653" s="654" t="s">
        <v>49</v>
      </c>
      <c r="O653" s="654" t="s">
        <v>47</v>
      </c>
      <c r="P653" s="655" t="s">
        <v>77</v>
      </c>
    </row>
    <row r="654" spans="1:18" s="54" customFormat="1" ht="15.75" hidden="1" thickBot="1" x14ac:dyDescent="0.3">
      <c r="A654" s="119"/>
      <c r="B654" s="309"/>
      <c r="C654" s="322">
        <f t="shared" ref="C654:C666" ca="1" si="239">C653</f>
        <v>0</v>
      </c>
      <c r="D654" s="59" t="s">
        <v>26</v>
      </c>
      <c r="E654" s="57"/>
      <c r="F654" s="656"/>
      <c r="G654" s="656"/>
      <c r="H654" s="656"/>
      <c r="I654" s="656"/>
      <c r="J654" s="656"/>
      <c r="K654" s="656"/>
      <c r="L654" s="656"/>
      <c r="M654" s="656"/>
      <c r="N654" s="656"/>
      <c r="O654" s="656"/>
      <c r="P654" s="663"/>
    </row>
    <row r="655" spans="1:18" s="54" customFormat="1" ht="15.75" hidden="1" thickBot="1" x14ac:dyDescent="0.3">
      <c r="A655" s="119"/>
      <c r="B655" s="309"/>
      <c r="C655" s="322">
        <f t="shared" ca="1" si="239"/>
        <v>0</v>
      </c>
      <c r="D655" s="7" t="s">
        <v>34</v>
      </c>
      <c r="E655" s="48" t="s">
        <v>57</v>
      </c>
      <c r="F655" s="657">
        <f ca="1">+H655+G655+I655</f>
        <v>0</v>
      </c>
      <c r="G655" s="658">
        <f ca="1">+IFERROR(G$5*GETPIVOTDATA("Unique Billed Hours",'County allocation'!$A$3,"County",$D652,"HHA/CDPAP","HHA","Level of Service",$D655),0)</f>
        <v>0</v>
      </c>
      <c r="H655" s="658">
        <f>+IFERROR(H$5*GETPIVOTDATA("Unique Billed Hours",'County allocation'!$S$3,"County",$D652,"HHA/CDPAP","HHA","Level of Service",$D655),0)</f>
        <v>0</v>
      </c>
      <c r="I655" s="664">
        <f ca="1">SUM(J655:P655)</f>
        <v>0</v>
      </c>
      <c r="J655" s="658">
        <f ca="1">+IFERROR(J$5*GETPIVOTDATA("Unique Billed Hours",'County allocation'!$S$3,"County",$D652,"HHA/CDPAP","HHA","Level of Service",$D655),0)</f>
        <v>0</v>
      </c>
      <c r="K655" s="658">
        <f ca="1">+IFERROR(K$5*GETPIVOTDATA("Unique Billed Hours",'County allocation'!$X$3,"County",$D652,"HHA/CDPAP","HHA","Level of Service",$D655),0)</f>
        <v>0</v>
      </c>
      <c r="L655" s="658">
        <f ca="1">+IFERROR(L$2*GETPIVOTDATA("Unique Billed Hours",'County allocation'!$O$3,"County",$D652,"HHA/CDPAP","HHA","Level of Service",$D655),0)</f>
        <v>0</v>
      </c>
      <c r="M655" s="658">
        <f>+IFERROR(M$5*GETPIVOTDATA("Unique Billed Hours",'County allocation'!$S$3,"County",$D652,"HHA/CDPAP","HHA","Level of Service",$D655),0)</f>
        <v>0</v>
      </c>
      <c r="N655" s="658">
        <f>+IFERROR(N$5*GETPIVOTDATA("Unique Billed Hours",'County allocation'!$S$3,"County",$D652,"HHA/CDPAP","HHA","Level of Service",$D655),0)</f>
        <v>0</v>
      </c>
      <c r="O655" s="658">
        <f>+IFERROR(O$5*GETPIVOTDATA("Unique Billed Hours",'County allocation'!$K$19,"County",$D652,"HHA/CDPAP","HHA","Level of Service",$D655),0)</f>
        <v>0</v>
      </c>
      <c r="P655" s="658">
        <f>+IFERROR(P$5*GETPIVOTDATA("Unique Billed Hours",'County allocation'!$S$3,"County",$D652,"HHA/CDPAP","HHA","Level of Service",$D655),0)</f>
        <v>0</v>
      </c>
    </row>
    <row r="656" spans="1:18" s="54" customFormat="1" ht="15.75" hidden="1" thickBot="1" x14ac:dyDescent="0.3">
      <c r="A656" s="119"/>
      <c r="B656" s="309"/>
      <c r="C656" s="322">
        <f t="shared" ca="1" si="239"/>
        <v>0</v>
      </c>
      <c r="D656" s="7" t="s">
        <v>35</v>
      </c>
      <c r="E656" s="48" t="s">
        <v>56</v>
      </c>
      <c r="F656" s="657">
        <f t="shared" ref="F656:F667" ca="1" si="240">+H656+G656+I656</f>
        <v>0</v>
      </c>
      <c r="G656" s="658">
        <f ca="1">+IFERROR(G$5*GETPIVOTDATA("Unique Billed Hours",'County allocation'!$A$3,"County",$D652,"HHA/CDPAP","HHA","Level of Service",$D656),0)</f>
        <v>0</v>
      </c>
      <c r="H656" s="658">
        <f>+IFERROR(H$5*GETPIVOTDATA("Unique Billed Hours",'County allocation'!$S$3,"County",$D652,"HHA/CDPAP","HHA","Level of Service",$D656),0)</f>
        <v>0</v>
      </c>
      <c r="I656" s="664">
        <f t="shared" ref="I656:I666" ca="1" si="241">SUM(J656:P656)</f>
        <v>0</v>
      </c>
      <c r="J656" s="658">
        <f ca="1">+IFERROR(J$5*GETPIVOTDATA("Unique Billed Hours",'County allocation'!$S$3,"County",$D652,"HHA/CDPAP","HHA","Level of Service",$D656),0)</f>
        <v>0</v>
      </c>
      <c r="K656" s="658">
        <f ca="1">+IFERROR(K$5*GETPIVOTDATA("Unique Billed Hours",'County allocation'!$X$3,"County",$D652,"HHA/CDPAP","HHA","Level of Service",$D656),0)</f>
        <v>0</v>
      </c>
      <c r="L656" s="658">
        <f ca="1">+IFERROR(L$2*GETPIVOTDATA("Unique Billed Hours",'County allocation'!$O$3,"County",$D652,"HHA/CDPAP","HHA","Level of Service",$D656),0)</f>
        <v>0</v>
      </c>
      <c r="M656" s="658">
        <f>+IFERROR(M$5*GETPIVOTDATA("Unique Billed Hours",'County allocation'!$S$3,"County",$D652,"HHA/CDPAP","HHA","Level of Service",$D656),0)</f>
        <v>0</v>
      </c>
      <c r="N656" s="658">
        <f>+IFERROR(N$5*GETPIVOTDATA("Unique Billed Hours",'County allocation'!$S$3,"County",$D652,"HHA/CDPAP","HHA","Level of Service",$D656),0)</f>
        <v>0</v>
      </c>
      <c r="O656" s="658">
        <f>+IFERROR(O$5*GETPIVOTDATA("Unique Billed Hours",'County allocation'!$K$19,"County",$D652,"HHA/CDPAP","HHA","Level of Service",$D656),0)</f>
        <v>0</v>
      </c>
      <c r="P656" s="658">
        <f>+IFERROR(P$5*GETPIVOTDATA("Unique Billed Hours",'County allocation'!$S$3,"County",$D652,"HHA/CDPAP","HHA","Level of Service",$D656),0)</f>
        <v>0</v>
      </c>
      <c r="R656" s="61"/>
    </row>
    <row r="657" spans="1:16" s="54" customFormat="1" ht="15.75" hidden="1" thickBot="1" x14ac:dyDescent="0.3">
      <c r="A657" s="302"/>
      <c r="B657" s="309"/>
      <c r="C657" s="322">
        <f t="shared" ca="1" si="239"/>
        <v>0</v>
      </c>
      <c r="D657" s="7" t="s">
        <v>36</v>
      </c>
      <c r="E657" s="48" t="s">
        <v>55</v>
      </c>
      <c r="F657" s="657">
        <f t="shared" ca="1" si="240"/>
        <v>0</v>
      </c>
      <c r="G657" s="658">
        <f ca="1">+IFERROR(G$5*GETPIVOTDATA("Unique Billed Hours",'County allocation'!$A$3,"County",$D652,"HHA/CDPAP","HHA","Level of Service",$D657),0)</f>
        <v>0</v>
      </c>
      <c r="H657" s="658">
        <f>+IFERROR(H$5*GETPIVOTDATA("Unique Billed Hours",'County allocation'!$S$3,"County",$D652,"HHA/CDPAP","HHA","Level of Service",$D657),0)</f>
        <v>0</v>
      </c>
      <c r="I657" s="664">
        <f t="shared" ca="1" si="241"/>
        <v>0</v>
      </c>
      <c r="J657" s="658">
        <f ca="1">+IFERROR(J$5*GETPIVOTDATA("Unique Billed Hours",'County allocation'!$S$3,"County",$D652,"HHA/CDPAP","HHA","Level of Service",$D657),0)</f>
        <v>0</v>
      </c>
      <c r="K657" s="658">
        <f ca="1">+IFERROR(K$5*GETPIVOTDATA("Unique Billed Hours",'County allocation'!$X$3,"County",$D652,"HHA/CDPAP","HHA","Level of Service",$D657),0)</f>
        <v>0</v>
      </c>
      <c r="L657" s="658">
        <f ca="1">+IFERROR(L$2*GETPIVOTDATA("Unique Billed Hours",'County allocation'!$O$3,"County",$D652,"HHA/CDPAP","HHA","Level of Service",$D657),0)</f>
        <v>0</v>
      </c>
      <c r="M657" s="658">
        <f>+IFERROR(M$5*GETPIVOTDATA("Unique Billed Hours",'County allocation'!$S$3,"County",$D652,"HHA/CDPAP","HHA","Level of Service",$D657),0)</f>
        <v>0</v>
      </c>
      <c r="N657" s="658">
        <f>+IFERROR(N$5*GETPIVOTDATA("Unique Billed Hours",'County allocation'!$S$3,"County",$D652,"HHA/CDPAP","HHA","Level of Service",$D657),0)</f>
        <v>0</v>
      </c>
      <c r="O657" s="658">
        <f>+IFERROR(O$5*GETPIVOTDATA("Unique Billed Hours",'County allocation'!$K$19,"County",$D652,"HHA/CDPAP","HHA","Level of Service",$D657),0)</f>
        <v>0</v>
      </c>
      <c r="P657" s="658">
        <f>+IFERROR(P$5*GETPIVOTDATA("Unique Billed Hours",'County allocation'!$S$3,"County",$D652,"HHA/CDPAP","HHA","Level of Service",$D657),0)</f>
        <v>0</v>
      </c>
    </row>
    <row r="658" spans="1:16" s="54" customFormat="1" ht="15.75" hidden="1" thickBot="1" x14ac:dyDescent="0.3">
      <c r="A658" s="119"/>
      <c r="B658" s="309"/>
      <c r="C658" s="322">
        <f t="shared" ca="1" si="239"/>
        <v>0</v>
      </c>
      <c r="D658" s="7" t="s">
        <v>37</v>
      </c>
      <c r="E658" s="48" t="s">
        <v>54</v>
      </c>
      <c r="F658" s="657">
        <f t="shared" ca="1" si="240"/>
        <v>0</v>
      </c>
      <c r="G658" s="658">
        <f ca="1">+IFERROR(G$5*GETPIVOTDATA("Unique Billed Hours",'County allocation'!$A$3,"County",$D652,"HHA/CDPAP","HHA","Level of Service",$D658),0)</f>
        <v>0</v>
      </c>
      <c r="H658" s="658">
        <f>+IFERROR(H$5*GETPIVOTDATA("Unique Billed Hours",'County allocation'!$S$3,"County",$D652,"HHA/CDPAP","HHA","Level of Service",$D658),0)</f>
        <v>0</v>
      </c>
      <c r="I658" s="664">
        <f t="shared" ca="1" si="241"/>
        <v>0</v>
      </c>
      <c r="J658" s="658">
        <f ca="1">+IFERROR(J$5*GETPIVOTDATA("Unique Billed Hours",'County allocation'!$S$3,"County",$D652,"HHA/CDPAP","HHA","Level of Service",$D658),0)</f>
        <v>0</v>
      </c>
      <c r="K658" s="658">
        <f ca="1">+IFERROR(K$5*GETPIVOTDATA("Unique Billed Hours",'County allocation'!$X$3,"County",$D652,"HHA/CDPAP","HHA","Level of Service",$D658),0)</f>
        <v>0</v>
      </c>
      <c r="L658" s="658">
        <f ca="1">+IFERROR(L$2*GETPIVOTDATA("Unique Billed Hours",'County allocation'!$O$3,"County",$D652,"HHA/CDPAP","HHA","Level of Service",$D658),0)</f>
        <v>0</v>
      </c>
      <c r="M658" s="658">
        <f>+IFERROR(M$5*GETPIVOTDATA("Unique Billed Hours",'County allocation'!$S$3,"County",$D652,"HHA/CDPAP","HHA","Level of Service",$D658),0)</f>
        <v>0</v>
      </c>
      <c r="N658" s="658">
        <f>+IFERROR(N$5*GETPIVOTDATA("Unique Billed Hours",'County allocation'!$S$3,"County",$D652,"HHA/CDPAP","HHA","Level of Service",$D658),0)</f>
        <v>0</v>
      </c>
      <c r="O658" s="658">
        <f>+IFERROR(O$5*GETPIVOTDATA("Unique Billed Hours",'County allocation'!$K$19,"County",$D652,"HHA/CDPAP","HHA","Level of Service",$D658),0)</f>
        <v>0</v>
      </c>
      <c r="P658" s="658">
        <f>+IFERROR(P$5*GETPIVOTDATA("Unique Billed Hours",'County allocation'!$S$3,"County",$D652,"HHA/CDPAP","HHA","Level of Service",$D658),0)</f>
        <v>0</v>
      </c>
    </row>
    <row r="659" spans="1:16" s="54" customFormat="1" ht="15.75" hidden="1" thickBot="1" x14ac:dyDescent="0.3">
      <c r="A659" s="119"/>
      <c r="B659" s="309"/>
      <c r="C659" s="322">
        <f t="shared" ca="1" si="239"/>
        <v>0</v>
      </c>
      <c r="D659" s="7" t="s">
        <v>38</v>
      </c>
      <c r="E659" s="48" t="s">
        <v>53</v>
      </c>
      <c r="F659" s="657">
        <f t="shared" ca="1" si="240"/>
        <v>0</v>
      </c>
      <c r="G659" s="658">
        <f ca="1">+IFERROR(G$5*GETPIVOTDATA("Unique Billed Hours",'County allocation'!$A$3,"County",$D652,"HHA/CDPAP","HHA","Level of Service",$D659),0)</f>
        <v>0</v>
      </c>
      <c r="H659" s="658">
        <f>+IFERROR(H$5*GETPIVOTDATA("Unique Billed Hours",'County allocation'!$S$3,"County",$D652,"HHA/CDPAP","HHA","Level of Service",$D659),0)</f>
        <v>0</v>
      </c>
      <c r="I659" s="664">
        <f t="shared" ca="1" si="241"/>
        <v>0</v>
      </c>
      <c r="J659" s="658">
        <f ca="1">+IFERROR(J$5*GETPIVOTDATA("Unique Billed Hours",'County allocation'!$S$3,"County",$D652,"HHA/CDPAP","HHA","Level of Service",$D659),0)</f>
        <v>0</v>
      </c>
      <c r="K659" s="658">
        <f ca="1">+IFERROR(K$5*GETPIVOTDATA("Unique Billed Hours",'County allocation'!$X$3,"County",$D652,"HHA/CDPAP","HHA","Level of Service",$D659),0)</f>
        <v>0</v>
      </c>
      <c r="L659" s="658">
        <f ca="1">+IFERROR(L$5*GETPIVOTDATA("Unique Billed Hours",'County allocation'!$K$19,"County",$D652,"HHA/CDPAP","HHA","Level of Service",$D659),0)</f>
        <v>0</v>
      </c>
      <c r="M659" s="658">
        <f>+IFERROR(M$5*GETPIVOTDATA("Unique Billed Hours",'County allocation'!$S$3,"County",$D652,"HHA/CDPAP","HHA","Level of Service",$D659),0)</f>
        <v>0</v>
      </c>
      <c r="N659" s="658">
        <f>+IFERROR(N$5*GETPIVOTDATA("Unique Billed Hours",'County allocation'!$S$3,"County",$D652,"HHA/CDPAP","HHA","Level of Service",$D659),0)</f>
        <v>0</v>
      </c>
      <c r="O659" s="658">
        <f>+IFERROR(O$5*GETPIVOTDATA("Unique Billed Hours",'County allocation'!$K$19,"County",$D652,"HHA/CDPAP","HHA","Level of Service",$D659),0)</f>
        <v>0</v>
      </c>
      <c r="P659" s="658">
        <f>+IFERROR(P$5*GETPIVOTDATA("Unique Billed Hours",'County allocation'!$S$3,"County",$D652,"HHA/CDPAP","HHA","Level of Service",$D659),0)</f>
        <v>0</v>
      </c>
    </row>
    <row r="660" spans="1:16" s="54" customFormat="1" ht="15.75" hidden="1" thickBot="1" x14ac:dyDescent="0.3">
      <c r="A660" s="119"/>
      <c r="B660" s="309"/>
      <c r="C660" s="322">
        <f t="shared" ca="1" si="239"/>
        <v>0</v>
      </c>
      <c r="D660" s="7" t="s">
        <v>39</v>
      </c>
      <c r="E660" s="48" t="s">
        <v>52</v>
      </c>
      <c r="F660" s="657">
        <f t="shared" ca="1" si="240"/>
        <v>0</v>
      </c>
      <c r="G660" s="658">
        <f ca="1">+IFERROR(G$5*GETPIVOTDATA("Unique Billed Hours",'County allocation'!$A$3,"County",$D652,"HHA/CDPAP","HHA","Level of Service",$D660),0)</f>
        <v>0</v>
      </c>
      <c r="H660" s="658">
        <f>+IFERROR(H$5*GETPIVOTDATA("Unique Billed Hours",'County allocation'!$S$3,"County",$D652,"HHA/CDPAP","HHA","Level of Service",$D660),0)</f>
        <v>0</v>
      </c>
      <c r="I660" s="664">
        <f t="shared" ca="1" si="241"/>
        <v>0</v>
      </c>
      <c r="J660" s="658">
        <f ca="1">+IFERROR(J$5*GETPIVOTDATA("Unique Billed Hours",'County allocation'!$S$3,"County",$D652,"HHA/CDPAP","HHA","Level of Service",$D660),0)</f>
        <v>0</v>
      </c>
      <c r="K660" s="658">
        <f ca="1">+IFERROR(K$5*GETPIVOTDATA("Unique Billed Hours",'County allocation'!$X$3,"County",$D652,"HHA/CDPAP","HHA","Level of Service",$D660),0)</f>
        <v>0</v>
      </c>
      <c r="L660" s="658">
        <f ca="1">+IFERROR(L$5*GETPIVOTDATA("Unique Billed Hours",'County allocation'!$K$19,"County",$D652,"HHA/CDPAP","HHA","Level of Service",$D660),0)</f>
        <v>0</v>
      </c>
      <c r="M660" s="658">
        <f>+IFERROR(M$5*GETPIVOTDATA("Unique Billed Hours",'County allocation'!$S$3,"County",$D652,"HHA/CDPAP","HHA","Level of Service",$D660),0)</f>
        <v>0</v>
      </c>
      <c r="N660" s="658">
        <f>+IFERROR(N$5*GETPIVOTDATA("Unique Billed Hours",'County allocation'!$S$3,"County",$D652,"HHA/CDPAP","HHA","Level of Service",$D660),0)</f>
        <v>0</v>
      </c>
      <c r="O660" s="658">
        <f>+IFERROR(O$5*GETPIVOTDATA("Unique Billed Hours",'County allocation'!$K$19,"County",$D652,"HHA/CDPAP","HHA","Level of Service",$D660),0)</f>
        <v>0</v>
      </c>
      <c r="P660" s="658">
        <f>+IFERROR(P$5*GETPIVOTDATA("Unique Billed Hours",'County allocation'!$S$3,"County",$D652,"HHA/CDPAP","HHA","Level of Service",$D660),0)</f>
        <v>0</v>
      </c>
    </row>
    <row r="661" spans="1:16" s="54" customFormat="1" ht="15.75" hidden="1" thickBot="1" x14ac:dyDescent="0.3">
      <c r="A661" s="119"/>
      <c r="B661" s="309"/>
      <c r="C661" s="322">
        <f t="shared" ca="1" si="239"/>
        <v>0</v>
      </c>
      <c r="D661" s="8" t="s">
        <v>40</v>
      </c>
      <c r="E661" s="48" t="s">
        <v>51</v>
      </c>
      <c r="F661" s="657">
        <f t="shared" ca="1" si="240"/>
        <v>0</v>
      </c>
      <c r="G661" s="658">
        <f ca="1">+IFERROR(G$5*GETPIVOTDATA("Unique Billed Hours",'County allocation'!$A$3,"County",$D652,"HHA/CDPAP","HHA","Level of Service",$D661),0)</f>
        <v>0</v>
      </c>
      <c r="H661" s="658">
        <f>+IFERROR(H$5*GETPIVOTDATA("Unique Billed Hours",'County allocation'!$S$3,"County",$D652,"HHA/CDPAP","HHA","Level of Service",$D661),0)</f>
        <v>0</v>
      </c>
      <c r="I661" s="664">
        <f t="shared" ca="1" si="241"/>
        <v>0</v>
      </c>
      <c r="J661" s="658">
        <f ca="1">+IFERROR(J$5*GETPIVOTDATA("Unique Billed Hours",'County allocation'!$S$3,"County",$D652,"HHA/CDPAP","HHA","Level of Service",$D661),0)</f>
        <v>0</v>
      </c>
      <c r="K661" s="658">
        <f ca="1">+IFERROR(K$5*GETPIVOTDATA("Unique Billed Hours",'County allocation'!$X$3,"County",$D652,"HHA/CDPAP","HHA","Level of Service",$D661),0)</f>
        <v>0</v>
      </c>
      <c r="L661" s="658">
        <f ca="1">+IFERROR(L$2*GETPIVOTDATA("Unique Billed Hours",'County allocation'!$O$3,"County",$D652,"HHA/CDPAP","HHA","Level of Service",$D661),0)</f>
        <v>0</v>
      </c>
      <c r="M661" s="658">
        <f>+IFERROR(M$5*GETPIVOTDATA("Unique Billed Hours",'County allocation'!$S$3,"County",$D652,"HHA/CDPAP","HHA","Level of Service",$D661),0)</f>
        <v>0</v>
      </c>
      <c r="N661" s="658">
        <f>+IFERROR(N$5*GETPIVOTDATA("Unique Billed Hours",'County allocation'!$S$3,"County",$D652,"HHA/CDPAP","HHA","Level of Service",$D661),0)</f>
        <v>0</v>
      </c>
      <c r="O661" s="658">
        <f>+IFERROR(O$5*GETPIVOTDATA("Unique Billed Hours",'County allocation'!$K$19,"County",$D652,"HHA/CDPAP","HHA","Level of Service",$D661),0)</f>
        <v>0</v>
      </c>
      <c r="P661" s="658">
        <f>+IFERROR(P$5*GETPIVOTDATA("Unique Billed Hours",'County allocation'!$S$3,"County",$D652,"HHA/CDPAP","HHA","Level of Service",$D661),0)</f>
        <v>0</v>
      </c>
    </row>
    <row r="662" spans="1:16" s="54" customFormat="1" ht="15.75" hidden="1" thickBot="1" x14ac:dyDescent="0.3">
      <c r="A662" s="119"/>
      <c r="B662" s="309"/>
      <c r="C662" s="322">
        <f t="shared" ca="1" si="239"/>
        <v>0</v>
      </c>
      <c r="D662" s="8" t="s">
        <v>41</v>
      </c>
      <c r="E662" s="48" t="s">
        <v>50</v>
      </c>
      <c r="F662" s="657">
        <f t="shared" ca="1" si="240"/>
        <v>0</v>
      </c>
      <c r="G662" s="658">
        <f ca="1">+IFERROR(G$5*GETPIVOTDATA("Unique Billed Hours",'County allocation'!$A$3,"County",$D652,"HHA/CDPAP","HHA","Level of Service",$D662),0)</f>
        <v>0</v>
      </c>
      <c r="H662" s="658">
        <f>+IFERROR(H$5*GETPIVOTDATA("Unique Billed Hours",'County allocation'!$S$3,"County",$D652,"HHA/CDPAP","HHA","Level of Service",$D662),0)</f>
        <v>0</v>
      </c>
      <c r="I662" s="664">
        <f t="shared" ca="1" si="241"/>
        <v>0</v>
      </c>
      <c r="J662" s="658">
        <f ca="1">+IFERROR(J$5*GETPIVOTDATA("Unique Billed Hours",'County allocation'!$S$3,"County",$D652,"HHA/CDPAP","HHA","Level of Service",$D662),0)</f>
        <v>0</v>
      </c>
      <c r="K662" s="658">
        <f ca="1">+IFERROR(K$5*GETPIVOTDATA("Unique Billed Hours",'County allocation'!$X$3,"County",$D652,"HHA/CDPAP","HHA","Level of Service",$D662),0)</f>
        <v>0</v>
      </c>
      <c r="L662" s="658">
        <f ca="1">+IFERROR(L$2*GETPIVOTDATA("Unique Billed Hours",'County allocation'!$O$3,"County",$D652,"HHA/CDPAP","HHA","Level of Service",$D662),0)</f>
        <v>0</v>
      </c>
      <c r="M662" s="658">
        <f>+IFERROR(M$5*GETPIVOTDATA("Unique Billed Hours",'County allocation'!$S$3,"County",$D652,"HHA/CDPAP","HHA","Level of Service",$D662),0)</f>
        <v>0</v>
      </c>
      <c r="N662" s="658">
        <f>+IFERROR(N$5*GETPIVOTDATA("Unique Billed Hours",'County allocation'!$S$3,"County",$D652,"HHA/CDPAP","HHA","Level of Service",$D662),0)</f>
        <v>0</v>
      </c>
      <c r="O662" s="658">
        <f>+IFERROR(O$5*GETPIVOTDATA("Unique Billed Hours",'County allocation'!$K$19,"County",$D652,"HHA/CDPAP","HHA","Level of Service",$D662),0)</f>
        <v>0</v>
      </c>
      <c r="P662" s="658">
        <f>+IFERROR(P$5*GETPIVOTDATA("Unique Billed Hours",'County allocation'!$S$3,"County",$D652,"HHA/CDPAP","HHA","Level of Service",$D662),0)</f>
        <v>0</v>
      </c>
    </row>
    <row r="663" spans="1:16" s="54" customFormat="1" ht="15.75" hidden="1" thickBot="1" x14ac:dyDescent="0.3">
      <c r="A663" s="119"/>
      <c r="B663" s="309"/>
      <c r="C663" s="322">
        <f t="shared" ca="1" si="239"/>
        <v>0</v>
      </c>
      <c r="D663" s="52" t="s">
        <v>389</v>
      </c>
      <c r="E663" s="53" t="s">
        <v>49</v>
      </c>
      <c r="F663" s="657">
        <f t="shared" ca="1" si="240"/>
        <v>0</v>
      </c>
      <c r="G663" s="661">
        <f ca="1">SUM(G655:G662)</f>
        <v>0</v>
      </c>
      <c r="H663" s="661">
        <f>SUM(H655:H662)</f>
        <v>0</v>
      </c>
      <c r="I663" s="664">
        <f t="shared" ca="1" si="241"/>
        <v>0</v>
      </c>
      <c r="J663" s="661">
        <f ca="1">SUM(J655:J662)</f>
        <v>0</v>
      </c>
      <c r="K663" s="661">
        <f t="shared" ref="K663:P663" ca="1" si="242">SUM(K655:K662)</f>
        <v>0</v>
      </c>
      <c r="L663" s="661">
        <f t="shared" ca="1" si="242"/>
        <v>0</v>
      </c>
      <c r="M663" s="661">
        <f t="shared" si="242"/>
        <v>0</v>
      </c>
      <c r="N663" s="661">
        <f t="shared" si="242"/>
        <v>0</v>
      </c>
      <c r="O663" s="661">
        <f t="shared" si="242"/>
        <v>0</v>
      </c>
      <c r="P663" s="661">
        <f t="shared" si="242"/>
        <v>0</v>
      </c>
    </row>
    <row r="664" spans="1:16" s="54" customFormat="1" ht="15.75" hidden="1" thickBot="1" x14ac:dyDescent="0.3">
      <c r="A664" s="119"/>
      <c r="B664" s="309"/>
      <c r="C664" s="322">
        <f t="shared" ca="1" si="239"/>
        <v>0</v>
      </c>
      <c r="D664" s="371" t="s">
        <v>390</v>
      </c>
      <c r="E664" s="325" t="s">
        <v>47</v>
      </c>
      <c r="F664" s="657">
        <f t="shared" ca="1" si="240"/>
        <v>0</v>
      </c>
      <c r="G664" s="665">
        <f ca="1">+IFERROR((G$5*GETPIVOTDATA("Unique Billed Hours",'County allocation'!$A$3,"County",$D652,"HHA/CDPAP","HHA","Level of Service",$D664))+($G$2*GETPIVOTDATA("Unique Billed Hours",'County allocation'!$F$7,"County",$D652,"HHA/CDPAP","HHA","Level of Service",$D664)),0)++IFERROR(J$5*GETPIVOTDATA("Unique Billed Hours",'County allocation'!$AC$3,"County",$D652,"HHA/CDPAP","HHA","Level of Service",$D664),0)+ +IFERROR(J$5*GETPIVOTDATA("Unique Billed Hours",'County allocation'!$AC$3,"County",$D652,"HHA/CDPAP","HHA","Level of Service",$D665),0)</f>
        <v>0</v>
      </c>
      <c r="H664" s="665">
        <f>+IFERROR(H$5*GETPIVOTDATA("Unique Billed Hours",'County allocation'!$S$3,"County",$D652,"HHA/CDPAP","HHA","Level of Service",$D664),0)</f>
        <v>0</v>
      </c>
      <c r="I664" s="664">
        <f t="shared" ca="1" si="241"/>
        <v>0</v>
      </c>
      <c r="J664" s="901"/>
      <c r="K664" s="665">
        <f ca="1">+IFERROR(K$5*GETPIVOTDATA("Unique Billed Hours",'County allocation'!$X$3,"County",$D652,"HHA/CDPAP","HHA","Level of Service",$D664),0)</f>
        <v>0</v>
      </c>
      <c r="L664" s="665">
        <f ca="1">+IFERROR(L$5*GETPIVOTDATA("Unique Billed Hours",'County allocation'!$K$19,"County",$D652,"HHA/CDPAP","HHA","Level of Service",$D664),0)</f>
        <v>0</v>
      </c>
      <c r="M664" s="665">
        <f>+IFERROR(M$5*GETPIVOTDATA("Unique Billed Hours",'County allocation'!$S$3,"County",$D652,"HHA/CDPAP","HHA","Level of Service",$D664),0)</f>
        <v>0</v>
      </c>
      <c r="N664" s="665">
        <f>+IFERROR(N$5*GETPIVOTDATA("Unique Billed Hours",'County allocation'!$S$3,"County",$D652,"HHA/CDPAP","HHA","Level of Service",$D664),0)</f>
        <v>0</v>
      </c>
      <c r="O664" s="665">
        <f>+IFERROR(O$5*GETPIVOTDATA("Unique Billed Hours",'County allocation'!$S$3,"County",$D652,"HHA/CDPAP","HHA","Level of Service",$D664),0)</f>
        <v>0</v>
      </c>
      <c r="P664" s="665">
        <f>+IFERROR(P$5*GETPIVOTDATA("Unique Billed Hours",'County allocation'!$S$3,"County",$D652,"HHA/CDPAP","HHA","Level of Service",$D664),0)</f>
        <v>0</v>
      </c>
    </row>
    <row r="665" spans="1:16" s="54" customFormat="1" ht="15.75" hidden="1" thickBot="1" x14ac:dyDescent="0.3">
      <c r="A665" s="119"/>
      <c r="B665" s="309"/>
      <c r="C665" s="322">
        <f t="shared" ca="1" si="239"/>
        <v>0</v>
      </c>
      <c r="D665" s="8" t="s">
        <v>391</v>
      </c>
      <c r="E665" s="370" t="s">
        <v>77</v>
      </c>
      <c r="F665" s="657">
        <f t="shared" ca="1" si="240"/>
        <v>0</v>
      </c>
      <c r="G665" s="656"/>
      <c r="H665" s="658">
        <f>+IFERROR(H$5*GETPIVOTDATA("Unique Billed Hours",'County allocation'!$S$3,"County",$D652,"HHA/CDPAP","HHA","Level of Service",$D665),0)</f>
        <v>0</v>
      </c>
      <c r="I665" s="664">
        <f t="shared" ca="1" si="241"/>
        <v>0</v>
      </c>
      <c r="J665" s="901"/>
      <c r="K665" s="665">
        <f ca="1">+IFERROR(K$5*GETPIVOTDATA("Unique Billed Hours",'County allocation'!$X$3,"County",$D652,"HHA/CDPAP","HHA","Level of Service",$D665),0)</f>
        <v>0</v>
      </c>
      <c r="L665" s="665">
        <f ca="1">+IFERROR(L$5*GETPIVOTDATA("Unique Billed Hours",'County allocation'!$K$19,"County",$D652,"HHA/CDPAP","HHA","Level of Service",$D665),0)</f>
        <v>0</v>
      </c>
      <c r="M665" s="665">
        <f>+IFERROR(M$5*GETPIVOTDATA("Unique Billed Hours",'County allocation'!$S$3,"County",$D652,"HHA/CDPAP","HHA","Level of Service",$D665),0)</f>
        <v>0</v>
      </c>
      <c r="N665" s="665">
        <f>+IFERROR(N$5*GETPIVOTDATA("Unique Billed Hours",'County allocation'!$S$3,"County",$D652,"HHA/CDPAP","HHA","Level of Service",$D665),0)</f>
        <v>0</v>
      </c>
      <c r="O665" s="665">
        <f>+IFERROR(O$5*GETPIVOTDATA("Unique Billed Hours",'County allocation'!$S$3,"County",$D652,"HHA/CDPAP","HHA","Level of Service",$D665),0)</f>
        <v>0</v>
      </c>
      <c r="P665" s="665">
        <f>+IFERROR(P$5*GETPIVOTDATA("Unique Billed Hours",'County allocation'!$S$3,"County",$D652,"HHA/CDPAP","HHA","Level of Service",$D665),0)</f>
        <v>0</v>
      </c>
    </row>
    <row r="666" spans="1:16" s="54" customFormat="1" ht="15.75" hidden="1" thickBot="1" x14ac:dyDescent="0.3">
      <c r="A666" s="119"/>
      <c r="B666" s="309"/>
      <c r="C666" s="322">
        <f t="shared" ca="1" si="239"/>
        <v>0</v>
      </c>
      <c r="D666" s="8" t="s">
        <v>374</v>
      </c>
      <c r="E666" s="370" t="s">
        <v>78</v>
      </c>
      <c r="F666" s="657">
        <f t="shared" ca="1" si="240"/>
        <v>0</v>
      </c>
      <c r="G666" s="658">
        <f ca="1">+IFERROR(G$5*GETPIVOTDATA("Unique Billed Hours",'County allocation'!$A$3,"County",$D652,"HHA/CDPAP","HHA","Level of Service",$D666),0)++IFERROR(J$5*GETPIVOTDATA("Unique Billed Hours",'County allocation'!$AC$3,"County",$D652,"HHA/CDPAP","HHA","Level of Service",$D666),0)</f>
        <v>0</v>
      </c>
      <c r="H666" s="658">
        <f>+IFERROR(H$5*GETPIVOTDATA("Unique Billed Hours",'County allocation'!$S$3,"County",$D652,"HHA/CDPAP","HHA","Level of Service",$D666),0)</f>
        <v>0</v>
      </c>
      <c r="I666" s="664">
        <f t="shared" ca="1" si="241"/>
        <v>0</v>
      </c>
      <c r="J666" s="901"/>
      <c r="K666" s="665">
        <f ca="1">+IFERROR(K$5*GETPIVOTDATA("Unique Billed Hours",'County allocation'!$X$3,"County",$D652,"HHA/CDPAP","HHA","Level of Service",$D666),0)</f>
        <v>0</v>
      </c>
      <c r="L666" s="665">
        <f ca="1">+IFERROR(L$5*GETPIVOTDATA("Unique Billed Hours",'County allocation'!$K$19,"County",$D652,"HHA/CDPAP","HHA","Level of Service",$D666),0)</f>
        <v>0</v>
      </c>
      <c r="M666" s="665">
        <f>+IFERROR(M$5*GETPIVOTDATA("Unique Billed Hours",'County allocation'!$S$3,"County",$D652,"HHA/CDPAP","HHA","Level of Service",$D666),0)</f>
        <v>0</v>
      </c>
      <c r="N666" s="665">
        <f>+IFERROR(N$5*GETPIVOTDATA("Unique Billed Hours",'County allocation'!$S$3,"County",$D652,"HHA/CDPAP","HHA","Level of Service",$D666),0)</f>
        <v>0</v>
      </c>
      <c r="O666" s="665">
        <f>+IFERROR(O$5*GETPIVOTDATA("Unique Billed Hours",'County allocation'!$S$3,"County",$D652,"HHA/CDPAP","HHA","Level of Service",$D666),0)</f>
        <v>0</v>
      </c>
      <c r="P666" s="665">
        <f>+IFERROR(P$5*GETPIVOTDATA("Unique Billed Hours",'County allocation'!$S$3,"County",$D652,"HHA/CDPAP","HHA","Level of Service",$D666),0)</f>
        <v>0</v>
      </c>
    </row>
    <row r="667" spans="1:16" s="54" customFormat="1" ht="15.75" hidden="1" thickBot="1" x14ac:dyDescent="0.3">
      <c r="A667" s="302"/>
      <c r="B667" s="309"/>
      <c r="C667" s="322">
        <f ca="1">C666</f>
        <v>0</v>
      </c>
      <c r="D667" s="52" t="s">
        <v>48</v>
      </c>
      <c r="E667" s="53" t="s">
        <v>79</v>
      </c>
      <c r="F667" s="657">
        <f t="shared" ca="1" si="240"/>
        <v>0</v>
      </c>
      <c r="G667" s="661">
        <f t="shared" ref="G667" ca="1" si="243">SUM(G663:G666)</f>
        <v>0</v>
      </c>
      <c r="H667" s="661">
        <f t="shared" ref="H667:P667" si="244">SUM(H663:H666)</f>
        <v>0</v>
      </c>
      <c r="I667" s="661">
        <f t="shared" ca="1" si="244"/>
        <v>0</v>
      </c>
      <c r="J667" s="661">
        <f t="shared" ca="1" si="244"/>
        <v>0</v>
      </c>
      <c r="K667" s="661">
        <f t="shared" ca="1" si="244"/>
        <v>0</v>
      </c>
      <c r="L667" s="661">
        <f t="shared" ca="1" si="244"/>
        <v>0</v>
      </c>
      <c r="M667" s="661">
        <f t="shared" si="244"/>
        <v>0</v>
      </c>
      <c r="N667" s="661">
        <f t="shared" si="244"/>
        <v>0</v>
      </c>
      <c r="O667" s="661">
        <f t="shared" si="244"/>
        <v>0</v>
      </c>
      <c r="P667" s="661">
        <f t="shared" si="244"/>
        <v>0</v>
      </c>
    </row>
    <row r="668" spans="1:16" ht="15.75" hidden="1" thickBot="1" x14ac:dyDescent="0.3"/>
    <row r="669" spans="1:16" s="54" customFormat="1" ht="75.75" hidden="1" thickBot="1" x14ac:dyDescent="0.3">
      <c r="A669" s="119"/>
      <c r="B669" s="309"/>
      <c r="C669" s="322">
        <f ca="1">IF(F684&gt;0,1,0)</f>
        <v>0</v>
      </c>
      <c r="D669" s="45" t="str">
        <f>A42</f>
        <v>Otsego</v>
      </c>
      <c r="E669" s="28">
        <f>+SUMIF(A:A,D669,B:B)</f>
        <v>0</v>
      </c>
      <c r="F669" s="652" t="s">
        <v>61</v>
      </c>
      <c r="G669" s="652" t="s">
        <v>387</v>
      </c>
      <c r="H669" s="652" t="s">
        <v>388</v>
      </c>
      <c r="I669" s="652" t="s">
        <v>392</v>
      </c>
      <c r="J669" s="652" t="s">
        <v>31</v>
      </c>
      <c r="K669" s="652" t="s">
        <v>32</v>
      </c>
      <c r="L669" s="653" t="s">
        <v>33</v>
      </c>
      <c r="M669" s="653" t="s">
        <v>60</v>
      </c>
      <c r="N669" s="653" t="s">
        <v>59</v>
      </c>
      <c r="O669" s="653" t="s">
        <v>58</v>
      </c>
      <c r="P669" s="653" t="s">
        <v>16</v>
      </c>
    </row>
    <row r="670" spans="1:16" s="54" customFormat="1" ht="15.75" hidden="1" thickBot="1" x14ac:dyDescent="0.3">
      <c r="A670" s="119"/>
      <c r="B670" s="309"/>
      <c r="C670" s="322">
        <f ca="1">C669</f>
        <v>0</v>
      </c>
      <c r="D670" s="56"/>
      <c r="E670" s="57"/>
      <c r="F670" s="654" t="s">
        <v>57</v>
      </c>
      <c r="G670" s="654" t="s">
        <v>56</v>
      </c>
      <c r="H670" s="654" t="s">
        <v>55</v>
      </c>
      <c r="I670" s="654" t="s">
        <v>54</v>
      </c>
      <c r="J670" s="654" t="s">
        <v>53</v>
      </c>
      <c r="K670" s="654" t="s">
        <v>52</v>
      </c>
      <c r="L670" s="654" t="s">
        <v>51</v>
      </c>
      <c r="M670" s="654" t="s">
        <v>50</v>
      </c>
      <c r="N670" s="654" t="s">
        <v>49</v>
      </c>
      <c r="O670" s="654" t="s">
        <v>47</v>
      </c>
      <c r="P670" s="655" t="s">
        <v>77</v>
      </c>
    </row>
    <row r="671" spans="1:16" s="54" customFormat="1" ht="15.75" hidden="1" thickBot="1" x14ac:dyDescent="0.3">
      <c r="A671" s="119"/>
      <c r="B671" s="309"/>
      <c r="C671" s="322">
        <f t="shared" ref="C671:C683" ca="1" si="245">C670</f>
        <v>0</v>
      </c>
      <c r="D671" s="59" t="s">
        <v>26</v>
      </c>
      <c r="E671" s="57"/>
      <c r="F671" s="656"/>
      <c r="G671" s="656"/>
      <c r="H671" s="656"/>
      <c r="I671" s="656"/>
      <c r="J671" s="656"/>
      <c r="K671" s="656"/>
      <c r="L671" s="656"/>
      <c r="M671" s="656"/>
      <c r="N671" s="656"/>
      <c r="O671" s="656"/>
      <c r="P671" s="663"/>
    </row>
    <row r="672" spans="1:16" s="54" customFormat="1" ht="15.75" hidden="1" thickBot="1" x14ac:dyDescent="0.3">
      <c r="A672" s="119"/>
      <c r="B672" s="309"/>
      <c r="C672" s="322">
        <f t="shared" ca="1" si="245"/>
        <v>0</v>
      </c>
      <c r="D672" s="7" t="s">
        <v>34</v>
      </c>
      <c r="E672" s="48" t="s">
        <v>57</v>
      </c>
      <c r="F672" s="657">
        <f ca="1">+H672+G672+I672</f>
        <v>0</v>
      </c>
      <c r="G672" s="658">
        <f ca="1">+IFERROR(G$5*GETPIVOTDATA("Unique Billed Hours",'County allocation'!$A$3,"County",$D669,"HHA/CDPAP","HHA","Level of Service",$D672),0)</f>
        <v>0</v>
      </c>
      <c r="H672" s="658">
        <f>+IFERROR(H$5*GETPIVOTDATA("Unique Billed Hours",'County allocation'!$S$3,"County",$D669,"HHA/CDPAP","HHA","Level of Service",$D672),0)</f>
        <v>0</v>
      </c>
      <c r="I672" s="664">
        <f ca="1">SUM(J672:P672)</f>
        <v>0</v>
      </c>
      <c r="J672" s="658">
        <f ca="1">+IFERROR(J$5*GETPIVOTDATA("Unique Billed Hours",'County allocation'!$S$3,"County",$D669,"HHA/CDPAP","HHA","Level of Service",$D672),0)</f>
        <v>0</v>
      </c>
      <c r="K672" s="658">
        <f ca="1">+IFERROR(K$5*GETPIVOTDATA("Unique Billed Hours",'County allocation'!$X$3,"County",$D669,"HHA/CDPAP","HHA","Level of Service",$D672),0)</f>
        <v>0</v>
      </c>
      <c r="L672" s="658">
        <f ca="1">+IFERROR(L$2*GETPIVOTDATA("Unique Billed Hours",'County allocation'!$O$3,"County",$D669,"HHA/CDPAP","HHA","Level of Service",$D672),0)</f>
        <v>0</v>
      </c>
      <c r="M672" s="658">
        <f>+IFERROR(M$5*GETPIVOTDATA("Unique Billed Hours",'County allocation'!$S$3,"County",$D669,"HHA/CDPAP","HHA","Level of Service",$D672),0)</f>
        <v>0</v>
      </c>
      <c r="N672" s="658">
        <f>+IFERROR(N$5*GETPIVOTDATA("Unique Billed Hours",'County allocation'!$S$3,"County",$D669,"HHA/CDPAP","HHA","Level of Service",$D672),0)</f>
        <v>0</v>
      </c>
      <c r="O672" s="658">
        <f>+IFERROR(O$5*GETPIVOTDATA("Unique Billed Hours",'County allocation'!$K$19,"County",$D669,"HHA/CDPAP","HHA","Level of Service",$D672),0)</f>
        <v>0</v>
      </c>
      <c r="P672" s="658">
        <f>+IFERROR(P$5*GETPIVOTDATA("Unique Billed Hours",'County allocation'!$S$3,"County",$D669,"HHA/CDPAP","HHA","Level of Service",$D672),0)</f>
        <v>0</v>
      </c>
    </row>
    <row r="673" spans="1:18" s="54" customFormat="1" ht="15.75" hidden="1" thickBot="1" x14ac:dyDescent="0.3">
      <c r="A673" s="119"/>
      <c r="B673" s="309"/>
      <c r="C673" s="322">
        <f t="shared" ca="1" si="245"/>
        <v>0</v>
      </c>
      <c r="D673" s="7" t="s">
        <v>35</v>
      </c>
      <c r="E673" s="48" t="s">
        <v>56</v>
      </c>
      <c r="F673" s="657">
        <f t="shared" ref="F673:F684" ca="1" si="246">+H673+G673+I673</f>
        <v>0</v>
      </c>
      <c r="G673" s="658">
        <f ca="1">+IFERROR(G$5*GETPIVOTDATA("Unique Billed Hours",'County allocation'!$A$3,"County",$D669,"HHA/CDPAP","HHA","Level of Service",$D673),0)</f>
        <v>0</v>
      </c>
      <c r="H673" s="658">
        <f>+IFERROR(H$5*GETPIVOTDATA("Unique Billed Hours",'County allocation'!$S$3,"County",$D669,"HHA/CDPAP","HHA","Level of Service",$D673),0)</f>
        <v>0</v>
      </c>
      <c r="I673" s="664">
        <f t="shared" ref="I673:I683" ca="1" si="247">SUM(J673:P673)</f>
        <v>0</v>
      </c>
      <c r="J673" s="658">
        <f ca="1">+IFERROR(J$5*GETPIVOTDATA("Unique Billed Hours",'County allocation'!$S$3,"County",$D669,"HHA/CDPAP","HHA","Level of Service",$D673),0)</f>
        <v>0</v>
      </c>
      <c r="K673" s="658">
        <f ca="1">+IFERROR(K$5*GETPIVOTDATA("Unique Billed Hours",'County allocation'!$X$3,"County",$D669,"HHA/CDPAP","HHA","Level of Service",$D673),0)</f>
        <v>0</v>
      </c>
      <c r="L673" s="658">
        <f ca="1">+IFERROR(L$2*GETPIVOTDATA("Unique Billed Hours",'County allocation'!$O$3,"County",$D669,"HHA/CDPAP","HHA","Level of Service",$D673),0)</f>
        <v>0</v>
      </c>
      <c r="M673" s="658">
        <f>+IFERROR(M$5*GETPIVOTDATA("Unique Billed Hours",'County allocation'!$S$3,"County",$D669,"HHA/CDPAP","HHA","Level of Service",$D673),0)</f>
        <v>0</v>
      </c>
      <c r="N673" s="658">
        <f>+IFERROR(N$5*GETPIVOTDATA("Unique Billed Hours",'County allocation'!$S$3,"County",$D669,"HHA/CDPAP","HHA","Level of Service",$D673),0)</f>
        <v>0</v>
      </c>
      <c r="O673" s="658">
        <f>+IFERROR(O$5*GETPIVOTDATA("Unique Billed Hours",'County allocation'!$K$19,"County",$D669,"HHA/CDPAP","HHA","Level of Service",$D673),0)</f>
        <v>0</v>
      </c>
      <c r="P673" s="658">
        <f>+IFERROR(P$5*GETPIVOTDATA("Unique Billed Hours",'County allocation'!$S$3,"County",$D669,"HHA/CDPAP","HHA","Level of Service",$D673),0)</f>
        <v>0</v>
      </c>
      <c r="R673" s="61"/>
    </row>
    <row r="674" spans="1:18" s="54" customFormat="1" ht="15.75" hidden="1" thickBot="1" x14ac:dyDescent="0.3">
      <c r="A674" s="302"/>
      <c r="B674" s="309"/>
      <c r="C674" s="322">
        <f t="shared" ca="1" si="245"/>
        <v>0</v>
      </c>
      <c r="D674" s="7" t="s">
        <v>36</v>
      </c>
      <c r="E674" s="48" t="s">
        <v>55</v>
      </c>
      <c r="F674" s="657">
        <f t="shared" ca="1" si="246"/>
        <v>0</v>
      </c>
      <c r="G674" s="658">
        <f ca="1">+IFERROR(G$5*GETPIVOTDATA("Unique Billed Hours",'County allocation'!$A$3,"County",$D669,"HHA/CDPAP","HHA","Level of Service",$D674),0)</f>
        <v>0</v>
      </c>
      <c r="H674" s="658">
        <f>+IFERROR(H$5*GETPIVOTDATA("Unique Billed Hours",'County allocation'!$S$3,"County",$D669,"HHA/CDPAP","HHA","Level of Service",$D674),0)</f>
        <v>0</v>
      </c>
      <c r="I674" s="664">
        <f t="shared" ca="1" si="247"/>
        <v>0</v>
      </c>
      <c r="J674" s="658">
        <f ca="1">+IFERROR(J$5*GETPIVOTDATA("Unique Billed Hours",'County allocation'!$S$3,"County",$D669,"HHA/CDPAP","HHA","Level of Service",$D674),0)</f>
        <v>0</v>
      </c>
      <c r="K674" s="658">
        <f ca="1">+IFERROR(K$5*GETPIVOTDATA("Unique Billed Hours",'County allocation'!$X$3,"County",$D669,"HHA/CDPAP","HHA","Level of Service",$D674),0)</f>
        <v>0</v>
      </c>
      <c r="L674" s="658">
        <f ca="1">+IFERROR(L$2*GETPIVOTDATA("Unique Billed Hours",'County allocation'!$O$3,"County",$D669,"HHA/CDPAP","HHA","Level of Service",$D674),0)</f>
        <v>0</v>
      </c>
      <c r="M674" s="658">
        <f>+IFERROR(M$5*GETPIVOTDATA("Unique Billed Hours",'County allocation'!$S$3,"County",$D669,"HHA/CDPAP","HHA","Level of Service",$D674),0)</f>
        <v>0</v>
      </c>
      <c r="N674" s="658">
        <f>+IFERROR(N$5*GETPIVOTDATA("Unique Billed Hours",'County allocation'!$S$3,"County",$D669,"HHA/CDPAP","HHA","Level of Service",$D674),0)</f>
        <v>0</v>
      </c>
      <c r="O674" s="658">
        <f>+IFERROR(O$5*GETPIVOTDATA("Unique Billed Hours",'County allocation'!$K$19,"County",$D669,"HHA/CDPAP","HHA","Level of Service",$D674),0)</f>
        <v>0</v>
      </c>
      <c r="P674" s="658">
        <f>+IFERROR(P$5*GETPIVOTDATA("Unique Billed Hours",'County allocation'!$S$3,"County",$D669,"HHA/CDPAP","HHA","Level of Service",$D674),0)</f>
        <v>0</v>
      </c>
    </row>
    <row r="675" spans="1:18" s="54" customFormat="1" ht="15.75" hidden="1" thickBot="1" x14ac:dyDescent="0.3">
      <c r="A675" s="119"/>
      <c r="B675" s="309"/>
      <c r="C675" s="322">
        <f t="shared" ca="1" si="245"/>
        <v>0</v>
      </c>
      <c r="D675" s="7" t="s">
        <v>37</v>
      </c>
      <c r="E675" s="48" t="s">
        <v>54</v>
      </c>
      <c r="F675" s="657">
        <f t="shared" ca="1" si="246"/>
        <v>0</v>
      </c>
      <c r="G675" s="658">
        <f ca="1">+IFERROR(G$5*GETPIVOTDATA("Unique Billed Hours",'County allocation'!$A$3,"County",$D669,"HHA/CDPAP","HHA","Level of Service",$D675),0)</f>
        <v>0</v>
      </c>
      <c r="H675" s="658">
        <f>+IFERROR(H$5*GETPIVOTDATA("Unique Billed Hours",'County allocation'!$S$3,"County",$D669,"HHA/CDPAP","HHA","Level of Service",$D675),0)</f>
        <v>0</v>
      </c>
      <c r="I675" s="664">
        <f t="shared" ca="1" si="247"/>
        <v>0</v>
      </c>
      <c r="J675" s="658">
        <f ca="1">+IFERROR(J$5*GETPIVOTDATA("Unique Billed Hours",'County allocation'!$S$3,"County",$D669,"HHA/CDPAP","HHA","Level of Service",$D675),0)</f>
        <v>0</v>
      </c>
      <c r="K675" s="658">
        <f ca="1">+IFERROR(K$5*GETPIVOTDATA("Unique Billed Hours",'County allocation'!$X$3,"County",$D669,"HHA/CDPAP","HHA","Level of Service",$D675),0)</f>
        <v>0</v>
      </c>
      <c r="L675" s="658">
        <f ca="1">+IFERROR(L$2*GETPIVOTDATA("Unique Billed Hours",'County allocation'!$O$3,"County",$D669,"HHA/CDPAP","HHA","Level of Service",$D675),0)</f>
        <v>0</v>
      </c>
      <c r="M675" s="658">
        <f>+IFERROR(M$5*GETPIVOTDATA("Unique Billed Hours",'County allocation'!$S$3,"County",$D669,"HHA/CDPAP","HHA","Level of Service",$D675),0)</f>
        <v>0</v>
      </c>
      <c r="N675" s="658">
        <f>+IFERROR(N$5*GETPIVOTDATA("Unique Billed Hours",'County allocation'!$S$3,"County",$D669,"HHA/CDPAP","HHA","Level of Service",$D675),0)</f>
        <v>0</v>
      </c>
      <c r="O675" s="658">
        <f>+IFERROR(O$5*GETPIVOTDATA("Unique Billed Hours",'County allocation'!$K$19,"County",$D669,"HHA/CDPAP","HHA","Level of Service",$D675),0)</f>
        <v>0</v>
      </c>
      <c r="P675" s="658">
        <f>+IFERROR(P$5*GETPIVOTDATA("Unique Billed Hours",'County allocation'!$S$3,"County",$D669,"HHA/CDPAP","HHA","Level of Service",$D675),0)</f>
        <v>0</v>
      </c>
    </row>
    <row r="676" spans="1:18" s="54" customFormat="1" ht="15.75" hidden="1" thickBot="1" x14ac:dyDescent="0.3">
      <c r="A676" s="119"/>
      <c r="B676" s="309"/>
      <c r="C676" s="322">
        <f t="shared" ca="1" si="245"/>
        <v>0</v>
      </c>
      <c r="D676" s="7" t="s">
        <v>38</v>
      </c>
      <c r="E676" s="48" t="s">
        <v>53</v>
      </c>
      <c r="F676" s="657">
        <f t="shared" ca="1" si="246"/>
        <v>0</v>
      </c>
      <c r="G676" s="658">
        <f ca="1">+IFERROR(G$5*GETPIVOTDATA("Unique Billed Hours",'County allocation'!$A$3,"County",$D669,"HHA/CDPAP","HHA","Level of Service",$D676),0)</f>
        <v>0</v>
      </c>
      <c r="H676" s="658">
        <f>+IFERROR(H$5*GETPIVOTDATA("Unique Billed Hours",'County allocation'!$S$3,"County",$D669,"HHA/CDPAP","HHA","Level of Service",$D676),0)</f>
        <v>0</v>
      </c>
      <c r="I676" s="664">
        <f t="shared" ca="1" si="247"/>
        <v>0</v>
      </c>
      <c r="J676" s="658">
        <f ca="1">+IFERROR(J$5*GETPIVOTDATA("Unique Billed Hours",'County allocation'!$S$3,"County",$D669,"HHA/CDPAP","HHA","Level of Service",$D676),0)</f>
        <v>0</v>
      </c>
      <c r="K676" s="658">
        <f ca="1">+IFERROR(K$5*GETPIVOTDATA("Unique Billed Hours",'County allocation'!$X$3,"County",$D669,"HHA/CDPAP","HHA","Level of Service",$D676),0)</f>
        <v>0</v>
      </c>
      <c r="L676" s="658">
        <f ca="1">+IFERROR(L$5*GETPIVOTDATA("Unique Billed Hours",'County allocation'!$K$19,"County",$D669,"HHA/CDPAP","HHA","Level of Service",$D676),0)</f>
        <v>0</v>
      </c>
      <c r="M676" s="658">
        <f>+IFERROR(M$5*GETPIVOTDATA("Unique Billed Hours",'County allocation'!$S$3,"County",$D669,"HHA/CDPAP","HHA","Level of Service",$D676),0)</f>
        <v>0</v>
      </c>
      <c r="N676" s="658">
        <f>+IFERROR(N$5*GETPIVOTDATA("Unique Billed Hours",'County allocation'!$S$3,"County",$D669,"HHA/CDPAP","HHA","Level of Service",$D676),0)</f>
        <v>0</v>
      </c>
      <c r="O676" s="658">
        <f>+IFERROR(O$5*GETPIVOTDATA("Unique Billed Hours",'County allocation'!$K$19,"County",$D669,"HHA/CDPAP","HHA","Level of Service",$D676),0)</f>
        <v>0</v>
      </c>
      <c r="P676" s="658">
        <f>+IFERROR(P$5*GETPIVOTDATA("Unique Billed Hours",'County allocation'!$S$3,"County",$D669,"HHA/CDPAP","HHA","Level of Service",$D676),0)</f>
        <v>0</v>
      </c>
    </row>
    <row r="677" spans="1:18" s="54" customFormat="1" ht="15.75" hidden="1" thickBot="1" x14ac:dyDescent="0.3">
      <c r="A677" s="119"/>
      <c r="B677" s="309"/>
      <c r="C677" s="322">
        <f t="shared" ca="1" si="245"/>
        <v>0</v>
      </c>
      <c r="D677" s="7" t="s">
        <v>39</v>
      </c>
      <c r="E677" s="48" t="s">
        <v>52</v>
      </c>
      <c r="F677" s="657">
        <f t="shared" ca="1" si="246"/>
        <v>0</v>
      </c>
      <c r="G677" s="658">
        <f ca="1">+IFERROR(G$5*GETPIVOTDATA("Unique Billed Hours",'County allocation'!$A$3,"County",$D669,"HHA/CDPAP","HHA","Level of Service",$D677),0)</f>
        <v>0</v>
      </c>
      <c r="H677" s="658">
        <f>+IFERROR(H$5*GETPIVOTDATA("Unique Billed Hours",'County allocation'!$S$3,"County",$D669,"HHA/CDPAP","HHA","Level of Service",$D677),0)</f>
        <v>0</v>
      </c>
      <c r="I677" s="664">
        <f t="shared" ca="1" si="247"/>
        <v>0</v>
      </c>
      <c r="J677" s="658">
        <f ca="1">+IFERROR(J$5*GETPIVOTDATA("Unique Billed Hours",'County allocation'!$S$3,"County",$D669,"HHA/CDPAP","HHA","Level of Service",$D677),0)</f>
        <v>0</v>
      </c>
      <c r="K677" s="658">
        <f ca="1">+IFERROR(K$5*GETPIVOTDATA("Unique Billed Hours",'County allocation'!$X$3,"County",$D669,"HHA/CDPAP","HHA","Level of Service",$D677),0)</f>
        <v>0</v>
      </c>
      <c r="L677" s="658">
        <f ca="1">+IFERROR(L$5*GETPIVOTDATA("Unique Billed Hours",'County allocation'!$K$19,"County",$D669,"HHA/CDPAP","HHA","Level of Service",$D677),0)</f>
        <v>0</v>
      </c>
      <c r="M677" s="658">
        <f>+IFERROR(M$5*GETPIVOTDATA("Unique Billed Hours",'County allocation'!$S$3,"County",$D669,"HHA/CDPAP","HHA","Level of Service",$D677),0)</f>
        <v>0</v>
      </c>
      <c r="N677" s="658">
        <f>+IFERROR(N$5*GETPIVOTDATA("Unique Billed Hours",'County allocation'!$S$3,"County",$D669,"HHA/CDPAP","HHA","Level of Service",$D677),0)</f>
        <v>0</v>
      </c>
      <c r="O677" s="658">
        <f>+IFERROR(O$5*GETPIVOTDATA("Unique Billed Hours",'County allocation'!$K$19,"County",$D669,"HHA/CDPAP","HHA","Level of Service",$D677),0)</f>
        <v>0</v>
      </c>
      <c r="P677" s="658">
        <f>+IFERROR(P$5*GETPIVOTDATA("Unique Billed Hours",'County allocation'!$S$3,"County",$D669,"HHA/CDPAP","HHA","Level of Service",$D677),0)</f>
        <v>0</v>
      </c>
    </row>
    <row r="678" spans="1:18" s="54" customFormat="1" ht="15.75" hidden="1" thickBot="1" x14ac:dyDescent="0.3">
      <c r="A678" s="119"/>
      <c r="B678" s="309"/>
      <c r="C678" s="322">
        <f t="shared" ca="1" si="245"/>
        <v>0</v>
      </c>
      <c r="D678" s="8" t="s">
        <v>40</v>
      </c>
      <c r="E678" s="48" t="s">
        <v>51</v>
      </c>
      <c r="F678" s="657">
        <f t="shared" ca="1" si="246"/>
        <v>0</v>
      </c>
      <c r="G678" s="658">
        <f ca="1">+IFERROR(G$5*GETPIVOTDATA("Unique Billed Hours",'County allocation'!$A$3,"County",$D669,"HHA/CDPAP","HHA","Level of Service",$D678),0)</f>
        <v>0</v>
      </c>
      <c r="H678" s="658">
        <f>+IFERROR(H$5*GETPIVOTDATA("Unique Billed Hours",'County allocation'!$S$3,"County",$D669,"HHA/CDPAP","HHA","Level of Service",$D678),0)</f>
        <v>0</v>
      </c>
      <c r="I678" s="664">
        <f t="shared" ca="1" si="247"/>
        <v>0</v>
      </c>
      <c r="J678" s="658">
        <f ca="1">+IFERROR(J$5*GETPIVOTDATA("Unique Billed Hours",'County allocation'!$S$3,"County",$D669,"HHA/CDPAP","HHA","Level of Service",$D678),0)</f>
        <v>0</v>
      </c>
      <c r="K678" s="658">
        <f ca="1">+IFERROR(K$5*GETPIVOTDATA("Unique Billed Hours",'County allocation'!$X$3,"County",$D669,"HHA/CDPAP","HHA","Level of Service",$D678),0)</f>
        <v>0</v>
      </c>
      <c r="L678" s="658">
        <f ca="1">+IFERROR(L$2*GETPIVOTDATA("Unique Billed Hours",'County allocation'!$O$3,"County",$D669,"HHA/CDPAP","HHA","Level of Service",$D678),0)</f>
        <v>0</v>
      </c>
      <c r="M678" s="658">
        <f>+IFERROR(M$5*GETPIVOTDATA("Unique Billed Hours",'County allocation'!$S$3,"County",$D669,"HHA/CDPAP","HHA","Level of Service",$D678),0)</f>
        <v>0</v>
      </c>
      <c r="N678" s="658">
        <f>+IFERROR(N$5*GETPIVOTDATA("Unique Billed Hours",'County allocation'!$S$3,"County",$D669,"HHA/CDPAP","HHA","Level of Service",$D678),0)</f>
        <v>0</v>
      </c>
      <c r="O678" s="658">
        <f>+IFERROR(O$5*GETPIVOTDATA("Unique Billed Hours",'County allocation'!$K$19,"County",$D669,"HHA/CDPAP","HHA","Level of Service",$D678),0)</f>
        <v>0</v>
      </c>
      <c r="P678" s="658">
        <f>+IFERROR(P$5*GETPIVOTDATA("Unique Billed Hours",'County allocation'!$S$3,"County",$D669,"HHA/CDPAP","HHA","Level of Service",$D678),0)</f>
        <v>0</v>
      </c>
    </row>
    <row r="679" spans="1:18" s="54" customFormat="1" ht="15.75" hidden="1" thickBot="1" x14ac:dyDescent="0.3">
      <c r="A679" s="119"/>
      <c r="B679" s="309"/>
      <c r="C679" s="322">
        <f t="shared" ca="1" si="245"/>
        <v>0</v>
      </c>
      <c r="D679" s="8" t="s">
        <v>41</v>
      </c>
      <c r="E679" s="48" t="s">
        <v>50</v>
      </c>
      <c r="F679" s="657">
        <f t="shared" ca="1" si="246"/>
        <v>0</v>
      </c>
      <c r="G679" s="658">
        <f ca="1">+IFERROR(G$5*GETPIVOTDATA("Unique Billed Hours",'County allocation'!$A$3,"County",$D669,"HHA/CDPAP","HHA","Level of Service",$D679),0)</f>
        <v>0</v>
      </c>
      <c r="H679" s="658">
        <f>+IFERROR(H$5*GETPIVOTDATA("Unique Billed Hours",'County allocation'!$S$3,"County",$D669,"HHA/CDPAP","HHA","Level of Service",$D679),0)</f>
        <v>0</v>
      </c>
      <c r="I679" s="664">
        <f t="shared" ca="1" si="247"/>
        <v>0</v>
      </c>
      <c r="J679" s="658">
        <f ca="1">+IFERROR(J$5*GETPIVOTDATA("Unique Billed Hours",'County allocation'!$S$3,"County",$D669,"HHA/CDPAP","HHA","Level of Service",$D679),0)</f>
        <v>0</v>
      </c>
      <c r="K679" s="658">
        <f ca="1">+IFERROR(K$5*GETPIVOTDATA("Unique Billed Hours",'County allocation'!$X$3,"County",$D669,"HHA/CDPAP","HHA","Level of Service",$D679),0)</f>
        <v>0</v>
      </c>
      <c r="L679" s="658">
        <f ca="1">+IFERROR(L$2*GETPIVOTDATA("Unique Billed Hours",'County allocation'!$O$3,"County",$D669,"HHA/CDPAP","HHA","Level of Service",$D679),0)</f>
        <v>0</v>
      </c>
      <c r="M679" s="658">
        <f>+IFERROR(M$5*GETPIVOTDATA("Unique Billed Hours",'County allocation'!$S$3,"County",$D669,"HHA/CDPAP","HHA","Level of Service",$D679),0)</f>
        <v>0</v>
      </c>
      <c r="N679" s="658">
        <f>+IFERROR(N$5*GETPIVOTDATA("Unique Billed Hours",'County allocation'!$S$3,"County",$D669,"HHA/CDPAP","HHA","Level of Service",$D679),0)</f>
        <v>0</v>
      </c>
      <c r="O679" s="658">
        <f>+IFERROR(O$5*GETPIVOTDATA("Unique Billed Hours",'County allocation'!$K$19,"County",$D669,"HHA/CDPAP","HHA","Level of Service",$D679),0)</f>
        <v>0</v>
      </c>
      <c r="P679" s="658">
        <f>+IFERROR(P$5*GETPIVOTDATA("Unique Billed Hours",'County allocation'!$S$3,"County",$D669,"HHA/CDPAP","HHA","Level of Service",$D679),0)</f>
        <v>0</v>
      </c>
    </row>
    <row r="680" spans="1:18" s="54" customFormat="1" ht="15.75" hidden="1" thickBot="1" x14ac:dyDescent="0.3">
      <c r="A680" s="119"/>
      <c r="B680" s="309"/>
      <c r="C680" s="322">
        <f t="shared" ca="1" si="245"/>
        <v>0</v>
      </c>
      <c r="D680" s="52" t="s">
        <v>389</v>
      </c>
      <c r="E680" s="53" t="s">
        <v>49</v>
      </c>
      <c r="F680" s="657">
        <f t="shared" ca="1" si="246"/>
        <v>0</v>
      </c>
      <c r="G680" s="661">
        <f ca="1">SUM(G672:G679)</f>
        <v>0</v>
      </c>
      <c r="H680" s="661">
        <f>SUM(H672:H679)</f>
        <v>0</v>
      </c>
      <c r="I680" s="664">
        <f t="shared" ca="1" si="247"/>
        <v>0</v>
      </c>
      <c r="J680" s="661">
        <f ca="1">SUM(J672:J679)</f>
        <v>0</v>
      </c>
      <c r="K680" s="661">
        <f t="shared" ref="K680:P680" ca="1" si="248">SUM(K672:K679)</f>
        <v>0</v>
      </c>
      <c r="L680" s="661">
        <f t="shared" ca="1" si="248"/>
        <v>0</v>
      </c>
      <c r="M680" s="661">
        <f t="shared" si="248"/>
        <v>0</v>
      </c>
      <c r="N680" s="661">
        <f t="shared" si="248"/>
        <v>0</v>
      </c>
      <c r="O680" s="661">
        <f t="shared" si="248"/>
        <v>0</v>
      </c>
      <c r="P680" s="661">
        <f t="shared" si="248"/>
        <v>0</v>
      </c>
    </row>
    <row r="681" spans="1:18" s="54" customFormat="1" ht="15.75" hidden="1" thickBot="1" x14ac:dyDescent="0.3">
      <c r="A681" s="119"/>
      <c r="B681" s="309"/>
      <c r="C681" s="322">
        <f t="shared" ca="1" si="245"/>
        <v>0</v>
      </c>
      <c r="D681" s="371" t="s">
        <v>390</v>
      </c>
      <c r="E681" s="325" t="s">
        <v>47</v>
      </c>
      <c r="F681" s="657">
        <f t="shared" ca="1" si="246"/>
        <v>0</v>
      </c>
      <c r="G681" s="665">
        <f ca="1">+IFERROR((G$5*GETPIVOTDATA("Unique Billed Hours",'County allocation'!$A$3,"County",$D669,"HHA/CDPAP","HHA","Level of Service",$D681))+($G$2*GETPIVOTDATA("Unique Billed Hours",'County allocation'!$F$7,"County",$D669,"HHA/CDPAP","HHA","Level of Service",$D681)),0)++IFERROR(J$5*GETPIVOTDATA("Unique Billed Hours",'County allocation'!$AC$3,"County",$D669,"HHA/CDPAP","HHA","Level of Service",$D681),0)+ +IFERROR(J$5*GETPIVOTDATA("Unique Billed Hours",'County allocation'!$AC$3,"County",$D669,"HHA/CDPAP","HHA","Level of Service",$D682),0)</f>
        <v>0</v>
      </c>
      <c r="H681" s="665">
        <f>+IFERROR(H$5*GETPIVOTDATA("Unique Billed Hours",'County allocation'!$S$3,"County",$D669,"HHA/CDPAP","HHA","Level of Service",$D681),0)</f>
        <v>0</v>
      </c>
      <c r="I681" s="664">
        <f t="shared" ca="1" si="247"/>
        <v>0</v>
      </c>
      <c r="J681" s="901"/>
      <c r="K681" s="665">
        <f ca="1">+IFERROR(K$5*GETPIVOTDATA("Unique Billed Hours",'County allocation'!$X$3,"County",$D669,"HHA/CDPAP","HHA","Level of Service",$D681),0)</f>
        <v>0</v>
      </c>
      <c r="L681" s="665">
        <f ca="1">+IFERROR(L$5*GETPIVOTDATA("Unique Billed Hours",'County allocation'!$K$19,"County",$D669,"HHA/CDPAP","HHA","Level of Service",$D681),0)</f>
        <v>0</v>
      </c>
      <c r="M681" s="665">
        <f>+IFERROR(M$5*GETPIVOTDATA("Unique Billed Hours",'County allocation'!$S$3,"County",$D669,"HHA/CDPAP","HHA","Level of Service",$D681),0)</f>
        <v>0</v>
      </c>
      <c r="N681" s="665">
        <f>+IFERROR(N$5*GETPIVOTDATA("Unique Billed Hours",'County allocation'!$S$3,"County",$D669,"HHA/CDPAP","HHA","Level of Service",$D681),0)</f>
        <v>0</v>
      </c>
      <c r="O681" s="665">
        <f>+IFERROR(O$5*GETPIVOTDATA("Unique Billed Hours",'County allocation'!$S$3,"County",$D669,"HHA/CDPAP","HHA","Level of Service",$D681),0)</f>
        <v>0</v>
      </c>
      <c r="P681" s="665">
        <f>+IFERROR(P$5*GETPIVOTDATA("Unique Billed Hours",'County allocation'!$S$3,"County",$D669,"HHA/CDPAP","HHA","Level of Service",$D681),0)</f>
        <v>0</v>
      </c>
    </row>
    <row r="682" spans="1:18" s="54" customFormat="1" ht="15.75" hidden="1" thickBot="1" x14ac:dyDescent="0.3">
      <c r="A682" s="119"/>
      <c r="B682" s="309"/>
      <c r="C682" s="322">
        <f t="shared" ca="1" si="245"/>
        <v>0</v>
      </c>
      <c r="D682" s="8" t="s">
        <v>391</v>
      </c>
      <c r="E682" s="370" t="s">
        <v>77</v>
      </c>
      <c r="F682" s="657">
        <f t="shared" ca="1" si="246"/>
        <v>0</v>
      </c>
      <c r="G682" s="656"/>
      <c r="H682" s="658">
        <f>+IFERROR(H$5*GETPIVOTDATA("Unique Billed Hours",'County allocation'!$S$3,"County",$D669,"HHA/CDPAP","HHA","Level of Service",$D682),0)</f>
        <v>0</v>
      </c>
      <c r="I682" s="664">
        <f t="shared" ca="1" si="247"/>
        <v>0</v>
      </c>
      <c r="J682" s="901"/>
      <c r="K682" s="665">
        <f ca="1">+IFERROR(K$5*GETPIVOTDATA("Unique Billed Hours",'County allocation'!$X$3,"County",$D669,"HHA/CDPAP","HHA","Level of Service",$D682),0)</f>
        <v>0</v>
      </c>
      <c r="L682" s="665">
        <f ca="1">+IFERROR(L$5*GETPIVOTDATA("Unique Billed Hours",'County allocation'!$K$19,"County",$D669,"HHA/CDPAP","HHA","Level of Service",$D682),0)</f>
        <v>0</v>
      </c>
      <c r="M682" s="665">
        <f>+IFERROR(M$5*GETPIVOTDATA("Unique Billed Hours",'County allocation'!$S$3,"County",$D669,"HHA/CDPAP","HHA","Level of Service",$D682),0)</f>
        <v>0</v>
      </c>
      <c r="N682" s="665">
        <f>+IFERROR(N$5*GETPIVOTDATA("Unique Billed Hours",'County allocation'!$S$3,"County",$D669,"HHA/CDPAP","HHA","Level of Service",$D682),0)</f>
        <v>0</v>
      </c>
      <c r="O682" s="665">
        <f>+IFERROR(O$5*GETPIVOTDATA("Unique Billed Hours",'County allocation'!$S$3,"County",$D669,"HHA/CDPAP","HHA","Level of Service",$D682),0)</f>
        <v>0</v>
      </c>
      <c r="P682" s="665">
        <f>+IFERROR(P$5*GETPIVOTDATA("Unique Billed Hours",'County allocation'!$S$3,"County",$D669,"HHA/CDPAP","HHA","Level of Service",$D682),0)</f>
        <v>0</v>
      </c>
    </row>
    <row r="683" spans="1:18" s="54" customFormat="1" ht="15.75" hidden="1" thickBot="1" x14ac:dyDescent="0.3">
      <c r="A683" s="119"/>
      <c r="B683" s="309"/>
      <c r="C683" s="322">
        <f t="shared" ca="1" si="245"/>
        <v>0</v>
      </c>
      <c r="D683" s="8" t="s">
        <v>374</v>
      </c>
      <c r="E683" s="370" t="s">
        <v>78</v>
      </c>
      <c r="F683" s="657">
        <f t="shared" ca="1" si="246"/>
        <v>0</v>
      </c>
      <c r="G683" s="658">
        <f ca="1">+IFERROR(G$5*GETPIVOTDATA("Unique Billed Hours",'County allocation'!$A$3,"County",$D669,"HHA/CDPAP","HHA","Level of Service",$D683),0)++IFERROR(J$5*GETPIVOTDATA("Unique Billed Hours",'County allocation'!$AC$3,"County",$D669,"HHA/CDPAP","HHA","Level of Service",$D683),0)</f>
        <v>0</v>
      </c>
      <c r="H683" s="658">
        <f>+IFERROR(H$5*GETPIVOTDATA("Unique Billed Hours",'County allocation'!$S$3,"County",$D669,"HHA/CDPAP","HHA","Level of Service",$D683),0)</f>
        <v>0</v>
      </c>
      <c r="I683" s="664">
        <f t="shared" ca="1" si="247"/>
        <v>0</v>
      </c>
      <c r="J683" s="901"/>
      <c r="K683" s="665">
        <f ca="1">+IFERROR(K$5*GETPIVOTDATA("Unique Billed Hours",'County allocation'!$X$3,"County",$D669,"HHA/CDPAP","HHA","Level of Service",$D683),0)</f>
        <v>0</v>
      </c>
      <c r="L683" s="665">
        <f ca="1">+IFERROR(L$5*GETPIVOTDATA("Unique Billed Hours",'County allocation'!$K$19,"County",$D669,"HHA/CDPAP","HHA","Level of Service",$D683),0)</f>
        <v>0</v>
      </c>
      <c r="M683" s="665">
        <f>+IFERROR(M$5*GETPIVOTDATA("Unique Billed Hours",'County allocation'!$S$3,"County",$D669,"HHA/CDPAP","HHA","Level of Service",$D683),0)</f>
        <v>0</v>
      </c>
      <c r="N683" s="665">
        <f>+IFERROR(N$5*GETPIVOTDATA("Unique Billed Hours",'County allocation'!$S$3,"County",$D669,"HHA/CDPAP","HHA","Level of Service",$D683),0)</f>
        <v>0</v>
      </c>
      <c r="O683" s="665">
        <f>+IFERROR(O$5*GETPIVOTDATA("Unique Billed Hours",'County allocation'!$S$3,"County",$D669,"HHA/CDPAP","HHA","Level of Service",$D683),0)</f>
        <v>0</v>
      </c>
      <c r="P683" s="665">
        <f>+IFERROR(P$5*GETPIVOTDATA("Unique Billed Hours",'County allocation'!$S$3,"County",$D669,"HHA/CDPAP","HHA","Level of Service",$D683),0)</f>
        <v>0</v>
      </c>
    </row>
    <row r="684" spans="1:18" s="54" customFormat="1" ht="15.75" hidden="1" thickBot="1" x14ac:dyDescent="0.3">
      <c r="A684" s="302"/>
      <c r="B684" s="309"/>
      <c r="C684" s="322">
        <f ca="1">C683</f>
        <v>0</v>
      </c>
      <c r="D684" s="52" t="s">
        <v>48</v>
      </c>
      <c r="E684" s="53" t="s">
        <v>79</v>
      </c>
      <c r="F684" s="657">
        <f t="shared" ca="1" si="246"/>
        <v>0</v>
      </c>
      <c r="G684" s="661">
        <f t="shared" ref="G684" ca="1" si="249">SUM(G680:G683)</f>
        <v>0</v>
      </c>
      <c r="H684" s="661">
        <f t="shared" ref="H684:P684" si="250">SUM(H680:H683)</f>
        <v>0</v>
      </c>
      <c r="I684" s="661">
        <f t="shared" ca="1" si="250"/>
        <v>0</v>
      </c>
      <c r="J684" s="661">
        <f t="shared" ca="1" si="250"/>
        <v>0</v>
      </c>
      <c r="K684" s="661">
        <f t="shared" ca="1" si="250"/>
        <v>0</v>
      </c>
      <c r="L684" s="661">
        <f t="shared" ca="1" si="250"/>
        <v>0</v>
      </c>
      <c r="M684" s="661">
        <f t="shared" si="250"/>
        <v>0</v>
      </c>
      <c r="N684" s="661">
        <f t="shared" si="250"/>
        <v>0</v>
      </c>
      <c r="O684" s="661">
        <f t="shared" si="250"/>
        <v>0</v>
      </c>
      <c r="P684" s="661">
        <f t="shared" si="250"/>
        <v>0</v>
      </c>
    </row>
    <row r="685" spans="1:18" ht="15.75" hidden="1" thickBot="1" x14ac:dyDescent="0.3"/>
    <row r="686" spans="1:18" s="54" customFormat="1" ht="75.75" hidden="1" thickBot="1" x14ac:dyDescent="0.3">
      <c r="A686" s="119"/>
      <c r="B686" s="309"/>
      <c r="C686" s="322">
        <f ca="1">IF(F701&gt;0,1,0)</f>
        <v>0</v>
      </c>
      <c r="D686" s="45" t="str">
        <f>A43</f>
        <v>Putnam</v>
      </c>
      <c r="E686" s="28">
        <f>+SUMIF(A:A,D686,B:B)</f>
        <v>0</v>
      </c>
      <c r="F686" s="652" t="s">
        <v>61</v>
      </c>
      <c r="G686" s="652" t="s">
        <v>387</v>
      </c>
      <c r="H686" s="652" t="s">
        <v>388</v>
      </c>
      <c r="I686" s="652" t="s">
        <v>392</v>
      </c>
      <c r="J686" s="652" t="s">
        <v>31</v>
      </c>
      <c r="K686" s="652" t="s">
        <v>32</v>
      </c>
      <c r="L686" s="653" t="s">
        <v>33</v>
      </c>
      <c r="M686" s="653" t="s">
        <v>60</v>
      </c>
      <c r="N686" s="653" t="s">
        <v>59</v>
      </c>
      <c r="O686" s="653" t="s">
        <v>58</v>
      </c>
      <c r="P686" s="653" t="s">
        <v>16</v>
      </c>
    </row>
    <row r="687" spans="1:18" s="54" customFormat="1" ht="15.75" hidden="1" thickBot="1" x14ac:dyDescent="0.3">
      <c r="A687" s="119"/>
      <c r="B687" s="309"/>
      <c r="C687" s="322">
        <f ca="1">C686</f>
        <v>0</v>
      </c>
      <c r="D687" s="56"/>
      <c r="E687" s="57"/>
      <c r="F687" s="654" t="s">
        <v>57</v>
      </c>
      <c r="G687" s="654" t="s">
        <v>56</v>
      </c>
      <c r="H687" s="654" t="s">
        <v>55</v>
      </c>
      <c r="I687" s="654" t="s">
        <v>54</v>
      </c>
      <c r="J687" s="654" t="s">
        <v>53</v>
      </c>
      <c r="K687" s="654" t="s">
        <v>52</v>
      </c>
      <c r="L687" s="654" t="s">
        <v>51</v>
      </c>
      <c r="M687" s="654" t="s">
        <v>50</v>
      </c>
      <c r="N687" s="654" t="s">
        <v>49</v>
      </c>
      <c r="O687" s="654" t="s">
        <v>47</v>
      </c>
      <c r="P687" s="655" t="s">
        <v>77</v>
      </c>
    </row>
    <row r="688" spans="1:18" s="54" customFormat="1" ht="15.75" hidden="1" thickBot="1" x14ac:dyDescent="0.3">
      <c r="A688" s="119"/>
      <c r="B688" s="309"/>
      <c r="C688" s="322">
        <f t="shared" ref="C688:C700" ca="1" si="251">C687</f>
        <v>0</v>
      </c>
      <c r="D688" s="59" t="s">
        <v>26</v>
      </c>
      <c r="E688" s="57"/>
      <c r="F688" s="656"/>
      <c r="G688" s="656"/>
      <c r="H688" s="656"/>
      <c r="I688" s="656"/>
      <c r="J688" s="656"/>
      <c r="K688" s="656"/>
      <c r="L688" s="656"/>
      <c r="M688" s="656"/>
      <c r="N688" s="656"/>
      <c r="O688" s="656"/>
      <c r="P688" s="663"/>
    </row>
    <row r="689" spans="1:18" s="54" customFormat="1" ht="15.75" hidden="1" thickBot="1" x14ac:dyDescent="0.3">
      <c r="A689" s="119"/>
      <c r="B689" s="309"/>
      <c r="C689" s="322">
        <f t="shared" ca="1" si="251"/>
        <v>0</v>
      </c>
      <c r="D689" s="7" t="s">
        <v>34</v>
      </c>
      <c r="E689" s="48" t="s">
        <v>57</v>
      </c>
      <c r="F689" s="657">
        <f ca="1">+H689+G689+I689</f>
        <v>0</v>
      </c>
      <c r="G689" s="658">
        <f ca="1">+IFERROR(G$5*GETPIVOTDATA("Unique Billed Hours",'County allocation'!$A$3,"County",$D686,"HHA/CDPAP","HHA","Level of Service",$D689),0)</f>
        <v>0</v>
      </c>
      <c r="H689" s="658">
        <f>+IFERROR(H$5*GETPIVOTDATA("Unique Billed Hours",'County allocation'!$S$3,"County",$D686,"HHA/CDPAP","HHA","Level of Service",$D689),0)</f>
        <v>0</v>
      </c>
      <c r="I689" s="664">
        <f ca="1">SUM(J689:P689)</f>
        <v>0</v>
      </c>
      <c r="J689" s="658">
        <f ca="1">+IFERROR(J$5*GETPIVOTDATA("Unique Billed Hours",'County allocation'!$S$3,"County",$D686,"HHA/CDPAP","HHA","Level of Service",$D689),0)</f>
        <v>0</v>
      </c>
      <c r="K689" s="658">
        <f ca="1">+IFERROR(K$5*GETPIVOTDATA("Unique Billed Hours",'County allocation'!$X$3,"County",$D686,"HHA/CDPAP","HHA","Level of Service",$D689),0)</f>
        <v>0</v>
      </c>
      <c r="L689" s="658">
        <f ca="1">+IFERROR(L$2*GETPIVOTDATA("Unique Billed Hours",'County allocation'!$O$3,"County",$D686,"HHA/CDPAP","HHA","Level of Service",$D689),0)</f>
        <v>0</v>
      </c>
      <c r="M689" s="658">
        <f>+IFERROR(M$5*GETPIVOTDATA("Unique Billed Hours",'County allocation'!$S$3,"County",$D686,"HHA/CDPAP","HHA","Level of Service",$D689),0)</f>
        <v>0</v>
      </c>
      <c r="N689" s="658">
        <f>+IFERROR(N$5*GETPIVOTDATA("Unique Billed Hours",'County allocation'!$S$3,"County",$D686,"HHA/CDPAP","HHA","Level of Service",$D689),0)</f>
        <v>0</v>
      </c>
      <c r="O689" s="658">
        <f>+IFERROR(O$5*GETPIVOTDATA("Unique Billed Hours",'County allocation'!$K$19,"County",$D686,"HHA/CDPAP","HHA","Level of Service",$D689),0)</f>
        <v>0</v>
      </c>
      <c r="P689" s="658">
        <f>+IFERROR(P$5*GETPIVOTDATA("Unique Billed Hours",'County allocation'!$S$3,"County",$D686,"HHA/CDPAP","HHA","Level of Service",$D689),0)</f>
        <v>0</v>
      </c>
    </row>
    <row r="690" spans="1:18" s="54" customFormat="1" ht="15.75" hidden="1" thickBot="1" x14ac:dyDescent="0.3">
      <c r="A690" s="119"/>
      <c r="B690" s="309"/>
      <c r="C690" s="322">
        <f t="shared" ca="1" si="251"/>
        <v>0</v>
      </c>
      <c r="D690" s="7" t="s">
        <v>35</v>
      </c>
      <c r="E690" s="48" t="s">
        <v>56</v>
      </c>
      <c r="F690" s="657">
        <f t="shared" ref="F690:F701" ca="1" si="252">+H690+G690+I690</f>
        <v>0</v>
      </c>
      <c r="G690" s="658">
        <f ca="1">+IFERROR(G$5*GETPIVOTDATA("Unique Billed Hours",'County allocation'!$A$3,"County",$D686,"HHA/CDPAP","HHA","Level of Service",$D690),0)</f>
        <v>0</v>
      </c>
      <c r="H690" s="658">
        <f>+IFERROR(H$5*GETPIVOTDATA("Unique Billed Hours",'County allocation'!$S$3,"County",$D686,"HHA/CDPAP","HHA","Level of Service",$D690),0)</f>
        <v>0</v>
      </c>
      <c r="I690" s="664">
        <f t="shared" ref="I690:I700" ca="1" si="253">SUM(J690:P690)</f>
        <v>0</v>
      </c>
      <c r="J690" s="658">
        <f ca="1">+IFERROR(J$5*GETPIVOTDATA("Unique Billed Hours",'County allocation'!$S$3,"County",$D686,"HHA/CDPAP","HHA","Level of Service",$D690),0)</f>
        <v>0</v>
      </c>
      <c r="K690" s="658">
        <f ca="1">+IFERROR(K$5*GETPIVOTDATA("Unique Billed Hours",'County allocation'!$X$3,"County",$D686,"HHA/CDPAP","HHA","Level of Service",$D690),0)</f>
        <v>0</v>
      </c>
      <c r="L690" s="658">
        <f ca="1">+IFERROR(L$2*GETPIVOTDATA("Unique Billed Hours",'County allocation'!$O$3,"County",$D686,"HHA/CDPAP","HHA","Level of Service",$D690),0)</f>
        <v>0</v>
      </c>
      <c r="M690" s="658">
        <f>+IFERROR(M$5*GETPIVOTDATA("Unique Billed Hours",'County allocation'!$S$3,"County",$D686,"HHA/CDPAP","HHA","Level of Service",$D690),0)</f>
        <v>0</v>
      </c>
      <c r="N690" s="658">
        <f>+IFERROR(N$5*GETPIVOTDATA("Unique Billed Hours",'County allocation'!$S$3,"County",$D686,"HHA/CDPAP","HHA","Level of Service",$D690),0)</f>
        <v>0</v>
      </c>
      <c r="O690" s="658">
        <f>+IFERROR(O$5*GETPIVOTDATA("Unique Billed Hours",'County allocation'!$K$19,"County",$D686,"HHA/CDPAP","HHA","Level of Service",$D690),0)</f>
        <v>0</v>
      </c>
      <c r="P690" s="658">
        <f>+IFERROR(P$5*GETPIVOTDATA("Unique Billed Hours",'County allocation'!$S$3,"County",$D686,"HHA/CDPAP","HHA","Level of Service",$D690),0)</f>
        <v>0</v>
      </c>
      <c r="R690" s="61"/>
    </row>
    <row r="691" spans="1:18" s="54" customFormat="1" ht="15.75" hidden="1" thickBot="1" x14ac:dyDescent="0.3">
      <c r="A691" s="302"/>
      <c r="B691" s="309"/>
      <c r="C691" s="322">
        <f t="shared" ca="1" si="251"/>
        <v>0</v>
      </c>
      <c r="D691" s="7" t="s">
        <v>36</v>
      </c>
      <c r="E691" s="48" t="s">
        <v>55</v>
      </c>
      <c r="F691" s="657">
        <f t="shared" ca="1" si="252"/>
        <v>0</v>
      </c>
      <c r="G691" s="658">
        <f ca="1">+IFERROR(G$5*GETPIVOTDATA("Unique Billed Hours",'County allocation'!$A$3,"County",$D686,"HHA/CDPAP","HHA","Level of Service",$D691),0)</f>
        <v>0</v>
      </c>
      <c r="H691" s="658">
        <f>+IFERROR(H$5*GETPIVOTDATA("Unique Billed Hours",'County allocation'!$S$3,"County",$D686,"HHA/CDPAP","HHA","Level of Service",$D691),0)</f>
        <v>0</v>
      </c>
      <c r="I691" s="664">
        <f t="shared" ca="1" si="253"/>
        <v>0</v>
      </c>
      <c r="J691" s="658">
        <f ca="1">+IFERROR(J$5*GETPIVOTDATA("Unique Billed Hours",'County allocation'!$S$3,"County",$D686,"HHA/CDPAP","HHA","Level of Service",$D691),0)</f>
        <v>0</v>
      </c>
      <c r="K691" s="658">
        <f ca="1">+IFERROR(K$5*GETPIVOTDATA("Unique Billed Hours",'County allocation'!$X$3,"County",$D686,"HHA/CDPAP","HHA","Level of Service",$D691),0)</f>
        <v>0</v>
      </c>
      <c r="L691" s="658">
        <f ca="1">+IFERROR(L$2*GETPIVOTDATA("Unique Billed Hours",'County allocation'!$O$3,"County",$D686,"HHA/CDPAP","HHA","Level of Service",$D691),0)</f>
        <v>0</v>
      </c>
      <c r="M691" s="658">
        <f>+IFERROR(M$5*GETPIVOTDATA("Unique Billed Hours",'County allocation'!$S$3,"County",$D686,"HHA/CDPAP","HHA","Level of Service",$D691),0)</f>
        <v>0</v>
      </c>
      <c r="N691" s="658">
        <f>+IFERROR(N$5*GETPIVOTDATA("Unique Billed Hours",'County allocation'!$S$3,"County",$D686,"HHA/CDPAP","HHA","Level of Service",$D691),0)</f>
        <v>0</v>
      </c>
      <c r="O691" s="658">
        <f>+IFERROR(O$5*GETPIVOTDATA("Unique Billed Hours",'County allocation'!$K$19,"County",$D686,"HHA/CDPAP","HHA","Level of Service",$D691),0)</f>
        <v>0</v>
      </c>
      <c r="P691" s="658">
        <f>+IFERROR(P$5*GETPIVOTDATA("Unique Billed Hours",'County allocation'!$S$3,"County",$D686,"HHA/CDPAP","HHA","Level of Service",$D691),0)</f>
        <v>0</v>
      </c>
    </row>
    <row r="692" spans="1:18" s="54" customFormat="1" ht="15.75" hidden="1" thickBot="1" x14ac:dyDescent="0.3">
      <c r="A692" s="119"/>
      <c r="B692" s="309"/>
      <c r="C692" s="322">
        <f t="shared" ca="1" si="251"/>
        <v>0</v>
      </c>
      <c r="D692" s="7" t="s">
        <v>37</v>
      </c>
      <c r="E692" s="48" t="s">
        <v>54</v>
      </c>
      <c r="F692" s="657">
        <f t="shared" ca="1" si="252"/>
        <v>0</v>
      </c>
      <c r="G692" s="658">
        <f ca="1">+IFERROR(G$5*GETPIVOTDATA("Unique Billed Hours",'County allocation'!$A$3,"County",$D686,"HHA/CDPAP","HHA","Level of Service",$D692),0)</f>
        <v>0</v>
      </c>
      <c r="H692" s="658">
        <f>+IFERROR(H$5*GETPIVOTDATA("Unique Billed Hours",'County allocation'!$S$3,"County",$D686,"HHA/CDPAP","HHA","Level of Service",$D692),0)</f>
        <v>0</v>
      </c>
      <c r="I692" s="664">
        <f t="shared" ca="1" si="253"/>
        <v>0</v>
      </c>
      <c r="J692" s="658">
        <f ca="1">+IFERROR(J$5*GETPIVOTDATA("Unique Billed Hours",'County allocation'!$S$3,"County",$D686,"HHA/CDPAP","HHA","Level of Service",$D692),0)</f>
        <v>0</v>
      </c>
      <c r="K692" s="658">
        <f ca="1">+IFERROR(K$5*GETPIVOTDATA("Unique Billed Hours",'County allocation'!$X$3,"County",$D686,"HHA/CDPAP","HHA","Level of Service",$D692),0)</f>
        <v>0</v>
      </c>
      <c r="L692" s="658">
        <f ca="1">+IFERROR(L$2*GETPIVOTDATA("Unique Billed Hours",'County allocation'!$O$3,"County",$D686,"HHA/CDPAP","HHA","Level of Service",$D692),0)</f>
        <v>0</v>
      </c>
      <c r="M692" s="658">
        <f>+IFERROR(M$5*GETPIVOTDATA("Unique Billed Hours",'County allocation'!$S$3,"County",$D686,"HHA/CDPAP","HHA","Level of Service",$D692),0)</f>
        <v>0</v>
      </c>
      <c r="N692" s="658">
        <f>+IFERROR(N$5*GETPIVOTDATA("Unique Billed Hours",'County allocation'!$S$3,"County",$D686,"HHA/CDPAP","HHA","Level of Service",$D692),0)</f>
        <v>0</v>
      </c>
      <c r="O692" s="658">
        <f>+IFERROR(O$5*GETPIVOTDATA("Unique Billed Hours",'County allocation'!$K$19,"County",$D686,"HHA/CDPAP","HHA","Level of Service",$D692),0)</f>
        <v>0</v>
      </c>
      <c r="P692" s="658">
        <f>+IFERROR(P$5*GETPIVOTDATA("Unique Billed Hours",'County allocation'!$S$3,"County",$D686,"HHA/CDPAP","HHA","Level of Service",$D692),0)</f>
        <v>0</v>
      </c>
    </row>
    <row r="693" spans="1:18" s="54" customFormat="1" ht="15.75" hidden="1" thickBot="1" x14ac:dyDescent="0.3">
      <c r="A693" s="119"/>
      <c r="B693" s="309"/>
      <c r="C693" s="322">
        <f t="shared" ca="1" si="251"/>
        <v>0</v>
      </c>
      <c r="D693" s="7" t="s">
        <v>38</v>
      </c>
      <c r="E693" s="48" t="s">
        <v>53</v>
      </c>
      <c r="F693" s="657">
        <f t="shared" ca="1" si="252"/>
        <v>0</v>
      </c>
      <c r="G693" s="658">
        <f ca="1">+IFERROR(G$5*GETPIVOTDATA("Unique Billed Hours",'County allocation'!$A$3,"County",$D686,"HHA/CDPAP","HHA","Level of Service",$D693),0)</f>
        <v>0</v>
      </c>
      <c r="H693" s="658">
        <f>+IFERROR(H$5*GETPIVOTDATA("Unique Billed Hours",'County allocation'!$S$3,"County",$D686,"HHA/CDPAP","HHA","Level of Service",$D693),0)</f>
        <v>0</v>
      </c>
      <c r="I693" s="664">
        <f t="shared" ca="1" si="253"/>
        <v>0</v>
      </c>
      <c r="J693" s="658">
        <f ca="1">+IFERROR(J$5*GETPIVOTDATA("Unique Billed Hours",'County allocation'!$S$3,"County",$D686,"HHA/CDPAP","HHA","Level of Service",$D693),0)</f>
        <v>0</v>
      </c>
      <c r="K693" s="658">
        <f ca="1">+IFERROR(K$5*GETPIVOTDATA("Unique Billed Hours",'County allocation'!$X$3,"County",$D686,"HHA/CDPAP","HHA","Level of Service",$D693),0)</f>
        <v>0</v>
      </c>
      <c r="L693" s="658">
        <f ca="1">+IFERROR(L$5*GETPIVOTDATA("Unique Billed Hours",'County allocation'!$K$19,"County",$D686,"HHA/CDPAP","HHA","Level of Service",$D693),0)</f>
        <v>0</v>
      </c>
      <c r="M693" s="658">
        <f>+IFERROR(M$5*GETPIVOTDATA("Unique Billed Hours",'County allocation'!$S$3,"County",$D686,"HHA/CDPAP","HHA","Level of Service",$D693),0)</f>
        <v>0</v>
      </c>
      <c r="N693" s="658">
        <f>+IFERROR(N$5*GETPIVOTDATA("Unique Billed Hours",'County allocation'!$S$3,"County",$D686,"HHA/CDPAP","HHA","Level of Service",$D693),0)</f>
        <v>0</v>
      </c>
      <c r="O693" s="658">
        <f>+IFERROR(O$5*GETPIVOTDATA("Unique Billed Hours",'County allocation'!$K$19,"County",$D686,"HHA/CDPAP","HHA","Level of Service",$D693),0)</f>
        <v>0</v>
      </c>
      <c r="P693" s="658">
        <f>+IFERROR(P$5*GETPIVOTDATA("Unique Billed Hours",'County allocation'!$S$3,"County",$D686,"HHA/CDPAP","HHA","Level of Service",$D693),0)</f>
        <v>0</v>
      </c>
    </row>
    <row r="694" spans="1:18" s="54" customFormat="1" ht="15.75" hidden="1" thickBot="1" x14ac:dyDescent="0.3">
      <c r="A694" s="119"/>
      <c r="B694" s="309"/>
      <c r="C694" s="322">
        <f t="shared" ca="1" si="251"/>
        <v>0</v>
      </c>
      <c r="D694" s="7" t="s">
        <v>39</v>
      </c>
      <c r="E694" s="48" t="s">
        <v>52</v>
      </c>
      <c r="F694" s="657">
        <f t="shared" ca="1" si="252"/>
        <v>0</v>
      </c>
      <c r="G694" s="658">
        <f ca="1">+IFERROR(G$5*GETPIVOTDATA("Unique Billed Hours",'County allocation'!$A$3,"County",$D686,"HHA/CDPAP","HHA","Level of Service",$D694),0)</f>
        <v>0</v>
      </c>
      <c r="H694" s="658">
        <f>+IFERROR(H$5*GETPIVOTDATA("Unique Billed Hours",'County allocation'!$S$3,"County",$D686,"HHA/CDPAP","HHA","Level of Service",$D694),0)</f>
        <v>0</v>
      </c>
      <c r="I694" s="664">
        <f t="shared" ca="1" si="253"/>
        <v>0</v>
      </c>
      <c r="J694" s="658">
        <f ca="1">+IFERROR(J$5*GETPIVOTDATA("Unique Billed Hours",'County allocation'!$S$3,"County",$D686,"HHA/CDPAP","HHA","Level of Service",$D694),0)</f>
        <v>0</v>
      </c>
      <c r="K694" s="658">
        <f ca="1">+IFERROR(K$5*GETPIVOTDATA("Unique Billed Hours",'County allocation'!$X$3,"County",$D686,"HHA/CDPAP","HHA","Level of Service",$D694),0)</f>
        <v>0</v>
      </c>
      <c r="L694" s="658">
        <f ca="1">+IFERROR(L$5*GETPIVOTDATA("Unique Billed Hours",'County allocation'!$K$19,"County",$D686,"HHA/CDPAP","HHA","Level of Service",$D694),0)</f>
        <v>0</v>
      </c>
      <c r="M694" s="658">
        <f>+IFERROR(M$5*GETPIVOTDATA("Unique Billed Hours",'County allocation'!$S$3,"County",$D686,"HHA/CDPAP","HHA","Level of Service",$D694),0)</f>
        <v>0</v>
      </c>
      <c r="N694" s="658">
        <f>+IFERROR(N$5*GETPIVOTDATA("Unique Billed Hours",'County allocation'!$S$3,"County",$D686,"HHA/CDPAP","HHA","Level of Service",$D694),0)</f>
        <v>0</v>
      </c>
      <c r="O694" s="658">
        <f>+IFERROR(O$5*GETPIVOTDATA("Unique Billed Hours",'County allocation'!$K$19,"County",$D686,"HHA/CDPAP","HHA","Level of Service",$D694),0)</f>
        <v>0</v>
      </c>
      <c r="P694" s="658">
        <f>+IFERROR(P$5*GETPIVOTDATA("Unique Billed Hours",'County allocation'!$S$3,"County",$D686,"HHA/CDPAP","HHA","Level of Service",$D694),0)</f>
        <v>0</v>
      </c>
    </row>
    <row r="695" spans="1:18" s="54" customFormat="1" ht="15.75" hidden="1" thickBot="1" x14ac:dyDescent="0.3">
      <c r="A695" s="119"/>
      <c r="B695" s="309"/>
      <c r="C695" s="322">
        <f t="shared" ca="1" si="251"/>
        <v>0</v>
      </c>
      <c r="D695" s="8" t="s">
        <v>40</v>
      </c>
      <c r="E695" s="48" t="s">
        <v>51</v>
      </c>
      <c r="F695" s="657">
        <f t="shared" ca="1" si="252"/>
        <v>0</v>
      </c>
      <c r="G695" s="658">
        <f ca="1">+IFERROR(G$5*GETPIVOTDATA("Unique Billed Hours",'County allocation'!$A$3,"County",$D686,"HHA/CDPAP","HHA","Level of Service",$D695),0)</f>
        <v>0</v>
      </c>
      <c r="H695" s="658">
        <f>+IFERROR(H$5*GETPIVOTDATA("Unique Billed Hours",'County allocation'!$S$3,"County",$D686,"HHA/CDPAP","HHA","Level of Service",$D695),0)</f>
        <v>0</v>
      </c>
      <c r="I695" s="664">
        <f t="shared" ca="1" si="253"/>
        <v>0</v>
      </c>
      <c r="J695" s="658">
        <f ca="1">+IFERROR(J$5*GETPIVOTDATA("Unique Billed Hours",'County allocation'!$S$3,"County",$D686,"HHA/CDPAP","HHA","Level of Service",$D695),0)</f>
        <v>0</v>
      </c>
      <c r="K695" s="658">
        <f ca="1">+IFERROR(K$5*GETPIVOTDATA("Unique Billed Hours",'County allocation'!$X$3,"County",$D686,"HHA/CDPAP","HHA","Level of Service",$D695),0)</f>
        <v>0</v>
      </c>
      <c r="L695" s="658">
        <f ca="1">+IFERROR(L$2*GETPIVOTDATA("Unique Billed Hours",'County allocation'!$O$3,"County",$D686,"HHA/CDPAP","HHA","Level of Service",$D695),0)</f>
        <v>0</v>
      </c>
      <c r="M695" s="658">
        <f>+IFERROR(M$5*GETPIVOTDATA("Unique Billed Hours",'County allocation'!$S$3,"County",$D686,"HHA/CDPAP","HHA","Level of Service",$D695),0)</f>
        <v>0</v>
      </c>
      <c r="N695" s="658">
        <f>+IFERROR(N$5*GETPIVOTDATA("Unique Billed Hours",'County allocation'!$S$3,"County",$D686,"HHA/CDPAP","HHA","Level of Service",$D695),0)</f>
        <v>0</v>
      </c>
      <c r="O695" s="658">
        <f>+IFERROR(O$5*GETPIVOTDATA("Unique Billed Hours",'County allocation'!$K$19,"County",$D686,"HHA/CDPAP","HHA","Level of Service",$D695),0)</f>
        <v>0</v>
      </c>
      <c r="P695" s="658">
        <f>+IFERROR(P$5*GETPIVOTDATA("Unique Billed Hours",'County allocation'!$S$3,"County",$D686,"HHA/CDPAP","HHA","Level of Service",$D695),0)</f>
        <v>0</v>
      </c>
    </row>
    <row r="696" spans="1:18" s="54" customFormat="1" ht="15.75" hidden="1" thickBot="1" x14ac:dyDescent="0.3">
      <c r="A696" s="119"/>
      <c r="B696" s="309"/>
      <c r="C696" s="322">
        <f t="shared" ca="1" si="251"/>
        <v>0</v>
      </c>
      <c r="D696" s="8" t="s">
        <v>41</v>
      </c>
      <c r="E696" s="48" t="s">
        <v>50</v>
      </c>
      <c r="F696" s="657">
        <f t="shared" ca="1" si="252"/>
        <v>0</v>
      </c>
      <c r="G696" s="658">
        <f ca="1">+IFERROR(G$5*GETPIVOTDATA("Unique Billed Hours",'County allocation'!$A$3,"County",$D686,"HHA/CDPAP","HHA","Level of Service",$D696),0)</f>
        <v>0</v>
      </c>
      <c r="H696" s="658">
        <f>+IFERROR(H$5*GETPIVOTDATA("Unique Billed Hours",'County allocation'!$S$3,"County",$D686,"HHA/CDPAP","HHA","Level of Service",$D696),0)</f>
        <v>0</v>
      </c>
      <c r="I696" s="664">
        <f t="shared" ca="1" si="253"/>
        <v>0</v>
      </c>
      <c r="J696" s="658">
        <f ca="1">+IFERROR(J$5*GETPIVOTDATA("Unique Billed Hours",'County allocation'!$S$3,"County",$D686,"HHA/CDPAP","HHA","Level of Service",$D696),0)</f>
        <v>0</v>
      </c>
      <c r="K696" s="658">
        <f ca="1">+IFERROR(K$5*GETPIVOTDATA("Unique Billed Hours",'County allocation'!$X$3,"County",$D686,"HHA/CDPAP","HHA","Level of Service",$D696),0)</f>
        <v>0</v>
      </c>
      <c r="L696" s="658">
        <f ca="1">+IFERROR(L$2*GETPIVOTDATA("Unique Billed Hours",'County allocation'!$O$3,"County",$D686,"HHA/CDPAP","HHA","Level of Service",$D696),0)</f>
        <v>0</v>
      </c>
      <c r="M696" s="658">
        <f>+IFERROR(M$5*GETPIVOTDATA("Unique Billed Hours",'County allocation'!$S$3,"County",$D686,"HHA/CDPAP","HHA","Level of Service",$D696),0)</f>
        <v>0</v>
      </c>
      <c r="N696" s="658">
        <f>+IFERROR(N$5*GETPIVOTDATA("Unique Billed Hours",'County allocation'!$S$3,"County",$D686,"HHA/CDPAP","HHA","Level of Service",$D696),0)</f>
        <v>0</v>
      </c>
      <c r="O696" s="658">
        <f>+IFERROR(O$5*GETPIVOTDATA("Unique Billed Hours",'County allocation'!$K$19,"County",$D686,"HHA/CDPAP","HHA","Level of Service",$D696),0)</f>
        <v>0</v>
      </c>
      <c r="P696" s="658">
        <f>+IFERROR(P$5*GETPIVOTDATA("Unique Billed Hours",'County allocation'!$S$3,"County",$D686,"HHA/CDPAP","HHA","Level of Service",$D696),0)</f>
        <v>0</v>
      </c>
    </row>
    <row r="697" spans="1:18" s="54" customFormat="1" ht="15.75" hidden="1" thickBot="1" x14ac:dyDescent="0.3">
      <c r="A697" s="119"/>
      <c r="B697" s="309"/>
      <c r="C697" s="322">
        <f t="shared" ca="1" si="251"/>
        <v>0</v>
      </c>
      <c r="D697" s="52" t="s">
        <v>389</v>
      </c>
      <c r="E697" s="53" t="s">
        <v>49</v>
      </c>
      <c r="F697" s="657">
        <f t="shared" ca="1" si="252"/>
        <v>0</v>
      </c>
      <c r="G697" s="661">
        <f ca="1">SUM(G689:G696)</f>
        <v>0</v>
      </c>
      <c r="H697" s="661">
        <f>SUM(H689:H696)</f>
        <v>0</v>
      </c>
      <c r="I697" s="664">
        <f t="shared" ca="1" si="253"/>
        <v>0</v>
      </c>
      <c r="J697" s="661">
        <f ca="1">SUM(J689:J696)</f>
        <v>0</v>
      </c>
      <c r="K697" s="661">
        <f t="shared" ref="K697:P697" ca="1" si="254">SUM(K689:K696)</f>
        <v>0</v>
      </c>
      <c r="L697" s="661">
        <f t="shared" ca="1" si="254"/>
        <v>0</v>
      </c>
      <c r="M697" s="661">
        <f t="shared" si="254"/>
        <v>0</v>
      </c>
      <c r="N697" s="661">
        <f t="shared" si="254"/>
        <v>0</v>
      </c>
      <c r="O697" s="661">
        <f t="shared" si="254"/>
        <v>0</v>
      </c>
      <c r="P697" s="661">
        <f t="shared" si="254"/>
        <v>0</v>
      </c>
    </row>
    <row r="698" spans="1:18" s="54" customFormat="1" ht="15.75" hidden="1" thickBot="1" x14ac:dyDescent="0.3">
      <c r="A698" s="119"/>
      <c r="B698" s="309"/>
      <c r="C698" s="322">
        <f t="shared" ca="1" si="251"/>
        <v>0</v>
      </c>
      <c r="D698" s="371" t="s">
        <v>390</v>
      </c>
      <c r="E698" s="325" t="s">
        <v>47</v>
      </c>
      <c r="F698" s="657">
        <f t="shared" ca="1" si="252"/>
        <v>0</v>
      </c>
      <c r="G698" s="665">
        <f ca="1">+IFERROR((G$5*GETPIVOTDATA("Unique Billed Hours",'County allocation'!$A$3,"County",$D686,"HHA/CDPAP","HHA","Level of Service",$D698))+($G$2*GETPIVOTDATA("Unique Billed Hours",'County allocation'!$F$7,"County",$D686,"HHA/CDPAP","HHA","Level of Service",$D698)),0)++IFERROR(J$5*GETPIVOTDATA("Unique Billed Hours",'County allocation'!$AC$3,"County",$D686,"HHA/CDPAP","HHA","Level of Service",$D698),0)+ +IFERROR(J$5*GETPIVOTDATA("Unique Billed Hours",'County allocation'!$AC$3,"County",$D686,"HHA/CDPAP","HHA","Level of Service",$D699),0)</f>
        <v>0</v>
      </c>
      <c r="H698" s="665">
        <f>+IFERROR(H$5*GETPIVOTDATA("Unique Billed Hours",'County allocation'!$S$3,"County",$D686,"HHA/CDPAP","HHA","Level of Service",$D698),0)</f>
        <v>0</v>
      </c>
      <c r="I698" s="664">
        <f t="shared" ca="1" si="253"/>
        <v>0</v>
      </c>
      <c r="J698" s="901"/>
      <c r="K698" s="665">
        <f ca="1">+IFERROR(K$5*GETPIVOTDATA("Unique Billed Hours",'County allocation'!$X$3,"County",$D686,"HHA/CDPAP","HHA","Level of Service",$D698),0)</f>
        <v>0</v>
      </c>
      <c r="L698" s="665">
        <f ca="1">+IFERROR(L$5*GETPIVOTDATA("Unique Billed Hours",'County allocation'!$K$19,"County",$D686,"HHA/CDPAP","HHA","Level of Service",$D698),0)</f>
        <v>0</v>
      </c>
      <c r="M698" s="665">
        <f>+IFERROR(M$5*GETPIVOTDATA("Unique Billed Hours",'County allocation'!$S$3,"County",$D686,"HHA/CDPAP","HHA","Level of Service",$D698),0)</f>
        <v>0</v>
      </c>
      <c r="N698" s="665">
        <f>+IFERROR(N$5*GETPIVOTDATA("Unique Billed Hours",'County allocation'!$S$3,"County",$D686,"HHA/CDPAP","HHA","Level of Service",$D698),0)</f>
        <v>0</v>
      </c>
      <c r="O698" s="665">
        <f>+IFERROR(O$5*GETPIVOTDATA("Unique Billed Hours",'County allocation'!$S$3,"County",$D686,"HHA/CDPAP","HHA","Level of Service",$D698),0)</f>
        <v>0</v>
      </c>
      <c r="P698" s="665">
        <f>+IFERROR(P$5*GETPIVOTDATA("Unique Billed Hours",'County allocation'!$S$3,"County",$D686,"HHA/CDPAP","HHA","Level of Service",$D698),0)</f>
        <v>0</v>
      </c>
    </row>
    <row r="699" spans="1:18" s="54" customFormat="1" ht="15.75" hidden="1" thickBot="1" x14ac:dyDescent="0.3">
      <c r="A699" s="119"/>
      <c r="B699" s="309"/>
      <c r="C699" s="322">
        <f t="shared" ca="1" si="251"/>
        <v>0</v>
      </c>
      <c r="D699" s="8" t="s">
        <v>391</v>
      </c>
      <c r="E699" s="370" t="s">
        <v>77</v>
      </c>
      <c r="F699" s="657">
        <f t="shared" ca="1" si="252"/>
        <v>0</v>
      </c>
      <c r="G699" s="656"/>
      <c r="H699" s="658">
        <f>+IFERROR(H$5*GETPIVOTDATA("Unique Billed Hours",'County allocation'!$S$3,"County",$D686,"HHA/CDPAP","HHA","Level of Service",$D699),0)</f>
        <v>0</v>
      </c>
      <c r="I699" s="664">
        <f t="shared" ca="1" si="253"/>
        <v>0</v>
      </c>
      <c r="J699" s="901"/>
      <c r="K699" s="665">
        <f ca="1">+IFERROR(K$5*GETPIVOTDATA("Unique Billed Hours",'County allocation'!$X$3,"County",$D686,"HHA/CDPAP","HHA","Level of Service",$D699),0)</f>
        <v>0</v>
      </c>
      <c r="L699" s="665">
        <f ca="1">+IFERROR(L$5*GETPIVOTDATA("Unique Billed Hours",'County allocation'!$K$19,"County",$D686,"HHA/CDPAP","HHA","Level of Service",$D699),0)</f>
        <v>0</v>
      </c>
      <c r="M699" s="665">
        <f>+IFERROR(M$5*GETPIVOTDATA("Unique Billed Hours",'County allocation'!$S$3,"County",$D686,"HHA/CDPAP","HHA","Level of Service",$D699),0)</f>
        <v>0</v>
      </c>
      <c r="N699" s="665">
        <f>+IFERROR(N$5*GETPIVOTDATA("Unique Billed Hours",'County allocation'!$S$3,"County",$D686,"HHA/CDPAP","HHA","Level of Service",$D699),0)</f>
        <v>0</v>
      </c>
      <c r="O699" s="665">
        <f>+IFERROR(O$5*GETPIVOTDATA("Unique Billed Hours",'County allocation'!$S$3,"County",$D686,"HHA/CDPAP","HHA","Level of Service",$D699),0)</f>
        <v>0</v>
      </c>
      <c r="P699" s="665">
        <f>+IFERROR(P$5*GETPIVOTDATA("Unique Billed Hours",'County allocation'!$S$3,"County",$D686,"HHA/CDPAP","HHA","Level of Service",$D699),0)</f>
        <v>0</v>
      </c>
    </row>
    <row r="700" spans="1:18" s="54" customFormat="1" ht="15.75" hidden="1" thickBot="1" x14ac:dyDescent="0.3">
      <c r="A700" s="119"/>
      <c r="B700" s="309"/>
      <c r="C700" s="322">
        <f t="shared" ca="1" si="251"/>
        <v>0</v>
      </c>
      <c r="D700" s="8" t="s">
        <v>374</v>
      </c>
      <c r="E700" s="370" t="s">
        <v>78</v>
      </c>
      <c r="F700" s="657">
        <f t="shared" ca="1" si="252"/>
        <v>0</v>
      </c>
      <c r="G700" s="658">
        <f ca="1">+IFERROR(G$5*GETPIVOTDATA("Unique Billed Hours",'County allocation'!$A$3,"County",$D686,"HHA/CDPAP","HHA","Level of Service",$D700),0)++IFERROR(J$5*GETPIVOTDATA("Unique Billed Hours",'County allocation'!$AC$3,"County",$D686,"HHA/CDPAP","HHA","Level of Service",$D700),0)</f>
        <v>0</v>
      </c>
      <c r="H700" s="658">
        <f>+IFERROR(H$5*GETPIVOTDATA("Unique Billed Hours",'County allocation'!$S$3,"County",$D686,"HHA/CDPAP","HHA","Level of Service",$D700),0)</f>
        <v>0</v>
      </c>
      <c r="I700" s="664">
        <f t="shared" ca="1" si="253"/>
        <v>0</v>
      </c>
      <c r="J700" s="901"/>
      <c r="K700" s="665">
        <f ca="1">+IFERROR(K$5*GETPIVOTDATA("Unique Billed Hours",'County allocation'!$X$3,"County",$D686,"HHA/CDPAP","HHA","Level of Service",$D700),0)</f>
        <v>0</v>
      </c>
      <c r="L700" s="665">
        <f ca="1">+IFERROR(L$5*GETPIVOTDATA("Unique Billed Hours",'County allocation'!$K$19,"County",$D686,"HHA/CDPAP","HHA","Level of Service",$D700),0)</f>
        <v>0</v>
      </c>
      <c r="M700" s="665">
        <f>+IFERROR(M$5*GETPIVOTDATA("Unique Billed Hours",'County allocation'!$S$3,"County",$D686,"HHA/CDPAP","HHA","Level of Service",$D700),0)</f>
        <v>0</v>
      </c>
      <c r="N700" s="665">
        <f>+IFERROR(N$5*GETPIVOTDATA("Unique Billed Hours",'County allocation'!$S$3,"County",$D686,"HHA/CDPAP","HHA","Level of Service",$D700),0)</f>
        <v>0</v>
      </c>
      <c r="O700" s="665">
        <f>+IFERROR(O$5*GETPIVOTDATA("Unique Billed Hours",'County allocation'!$S$3,"County",$D686,"HHA/CDPAP","HHA","Level of Service",$D700),0)</f>
        <v>0</v>
      </c>
      <c r="P700" s="665">
        <f>+IFERROR(P$5*GETPIVOTDATA("Unique Billed Hours",'County allocation'!$S$3,"County",$D686,"HHA/CDPAP","HHA","Level of Service",$D700),0)</f>
        <v>0</v>
      </c>
    </row>
    <row r="701" spans="1:18" s="54" customFormat="1" ht="15.75" hidden="1" thickBot="1" x14ac:dyDescent="0.3">
      <c r="A701" s="302"/>
      <c r="B701" s="309"/>
      <c r="C701" s="322">
        <f ca="1">C700</f>
        <v>0</v>
      </c>
      <c r="D701" s="52" t="s">
        <v>48</v>
      </c>
      <c r="E701" s="53" t="s">
        <v>79</v>
      </c>
      <c r="F701" s="657">
        <f t="shared" ca="1" si="252"/>
        <v>0</v>
      </c>
      <c r="G701" s="661">
        <f t="shared" ref="G701" ca="1" si="255">SUM(G697:G700)</f>
        <v>0</v>
      </c>
      <c r="H701" s="661">
        <f t="shared" ref="H701:P701" si="256">SUM(H697:H700)</f>
        <v>0</v>
      </c>
      <c r="I701" s="661">
        <f t="shared" ca="1" si="256"/>
        <v>0</v>
      </c>
      <c r="J701" s="661">
        <f t="shared" ca="1" si="256"/>
        <v>0</v>
      </c>
      <c r="K701" s="661">
        <f t="shared" ca="1" si="256"/>
        <v>0</v>
      </c>
      <c r="L701" s="661">
        <f t="shared" ca="1" si="256"/>
        <v>0</v>
      </c>
      <c r="M701" s="661">
        <f t="shared" si="256"/>
        <v>0</v>
      </c>
      <c r="N701" s="661">
        <f t="shared" si="256"/>
        <v>0</v>
      </c>
      <c r="O701" s="661">
        <f t="shared" si="256"/>
        <v>0</v>
      </c>
      <c r="P701" s="661">
        <f t="shared" si="256"/>
        <v>0</v>
      </c>
    </row>
    <row r="702" spans="1:18" ht="15.75" hidden="1" thickBot="1" x14ac:dyDescent="0.3"/>
    <row r="703" spans="1:18" s="54" customFormat="1" ht="75" x14ac:dyDescent="0.25">
      <c r="A703" s="119"/>
      <c r="B703" s="309"/>
      <c r="C703" s="322">
        <f ca="1">IF(F718&gt;0,1,0)</f>
        <v>1</v>
      </c>
      <c r="D703" s="45" t="str">
        <f>A44</f>
        <v>Queens</v>
      </c>
      <c r="E703" s="28">
        <f>+SUMIF(A:A,D703,B:B)</f>
        <v>0.18616689504483311</v>
      </c>
      <c r="F703" s="652" t="s">
        <v>61</v>
      </c>
      <c r="G703" s="652" t="s">
        <v>387</v>
      </c>
      <c r="H703" s="652" t="s">
        <v>388</v>
      </c>
      <c r="I703" s="652" t="s">
        <v>392</v>
      </c>
      <c r="J703" s="652" t="s">
        <v>31</v>
      </c>
      <c r="K703" s="652" t="s">
        <v>32</v>
      </c>
      <c r="L703" s="653" t="s">
        <v>33</v>
      </c>
      <c r="M703" s="653" t="s">
        <v>60</v>
      </c>
      <c r="N703" s="653" t="s">
        <v>59</v>
      </c>
      <c r="O703" s="653" t="s">
        <v>58</v>
      </c>
      <c r="P703" s="653" t="s">
        <v>16</v>
      </c>
    </row>
    <row r="704" spans="1:18" s="54" customFormat="1" x14ac:dyDescent="0.25">
      <c r="A704" s="119"/>
      <c r="B704" s="309"/>
      <c r="C704" s="322">
        <f ca="1">C703</f>
        <v>1</v>
      </c>
      <c r="D704" s="56"/>
      <c r="E704" s="57"/>
      <c r="F704" s="654" t="s">
        <v>57</v>
      </c>
      <c r="G704" s="654" t="s">
        <v>56</v>
      </c>
      <c r="H704" s="654" t="s">
        <v>55</v>
      </c>
      <c r="I704" s="654" t="s">
        <v>54</v>
      </c>
      <c r="J704" s="654" t="s">
        <v>53</v>
      </c>
      <c r="K704" s="654" t="s">
        <v>52</v>
      </c>
      <c r="L704" s="654" t="s">
        <v>51</v>
      </c>
      <c r="M704" s="654" t="s">
        <v>50</v>
      </c>
      <c r="N704" s="654" t="s">
        <v>49</v>
      </c>
      <c r="O704" s="654" t="s">
        <v>47</v>
      </c>
      <c r="P704" s="655" t="s">
        <v>77</v>
      </c>
    </row>
    <row r="705" spans="1:18" s="54" customFormat="1" x14ac:dyDescent="0.25">
      <c r="A705" s="119"/>
      <c r="B705" s="309"/>
      <c r="C705" s="322">
        <f t="shared" ref="C705:C717" ca="1" si="257">C704</f>
        <v>1</v>
      </c>
      <c r="D705" s="59" t="s">
        <v>26</v>
      </c>
      <c r="E705" s="57"/>
      <c r="F705" s="656"/>
      <c r="G705" s="656"/>
      <c r="H705" s="656"/>
      <c r="I705" s="656"/>
      <c r="J705" s="656"/>
      <c r="K705" s="656"/>
      <c r="L705" s="656"/>
      <c r="M705" s="656"/>
      <c r="N705" s="656"/>
      <c r="O705" s="656"/>
      <c r="P705" s="663"/>
    </row>
    <row r="706" spans="1:18" s="54" customFormat="1" x14ac:dyDescent="0.25">
      <c r="A706" s="119"/>
      <c r="B706" s="309"/>
      <c r="C706" s="322">
        <f t="shared" ca="1" si="257"/>
        <v>1</v>
      </c>
      <c r="D706" s="7" t="s">
        <v>34</v>
      </c>
      <c r="E706" s="48" t="s">
        <v>57</v>
      </c>
      <c r="F706" s="657">
        <f ca="1">+H706+G706+I706</f>
        <v>28698.902330123001</v>
      </c>
      <c r="G706" s="658">
        <f ca="1">+IFERROR(G$5*GETPIVOTDATA("Unique Billed Hours",'County allocation'!$A$3,"County",$D703,"HHA/CDPAP","HHA","Level of Service",$D706),0)</f>
        <v>962.75964467383153</v>
      </c>
      <c r="H706" s="658">
        <f>+IFERROR(H$5*GETPIVOTDATA("Unique Billed Hours",'County allocation'!$S$3,"County",$D703,"HHA/CDPAP","HHA","Level of Service",$D706),0)</f>
        <v>1646.8951724624453</v>
      </c>
      <c r="I706" s="664">
        <f ca="1">SUM(J706:P706)</f>
        <v>26089.247512986723</v>
      </c>
      <c r="J706" s="658">
        <f ca="1">+IFERROR(J$5*GETPIVOTDATA("Unique Billed Hours",'County allocation'!$AC$3,"County",$D703,"HHA/CDPAP","HHA","Level of Service",$D706),0)</f>
        <v>3428.9132899025335</v>
      </c>
      <c r="K706" s="658">
        <f ca="1">+IFERROR(K$5*GETPIVOTDATA("Unique Billed Hours",'County allocation'!$X$3,"County",$D703,"HHA/CDPAP","HHA","Level of Service",$D706),0)</f>
        <v>22166.566144366621</v>
      </c>
      <c r="L706" s="658">
        <f ca="1">+IFERROR(L$2*GETPIVOTDATA("Unique Billed Hours",'County allocation'!$O$3,"County",$D703,"HHA/CDPAP","HHA","Level of Service",$D706),0)</f>
        <v>317.93141727470726</v>
      </c>
      <c r="M706" s="658">
        <f>+IFERROR(M$5*GETPIVOTDATA("Unique Billed Hours",'County allocation'!$S$3,"County",$D703,"HHA/CDPAP","HHA","Level of Service",$D706),0)</f>
        <v>162.24760480106428</v>
      </c>
      <c r="N706" s="658">
        <f>+IFERROR(N$5*GETPIVOTDATA("Unique Billed Hours",'County allocation'!$S$3,"County",$D703,"HHA/CDPAP","HHA","Level of Service",$D706),0)</f>
        <v>13.589056641799221</v>
      </c>
      <c r="O706" s="658">
        <f>+IFERROR(O$5*GETPIVOTDATA("Unique Billed Hours",'County allocation'!$K$19,"County",$D703,"HHA/CDPAP","HHA","Level of Service",$D706),0)</f>
        <v>0</v>
      </c>
      <c r="P706" s="658">
        <f>+IFERROR(P$5*GETPIVOTDATA("Unique Billed Hours",'County allocation'!$S$3,"County",$D703,"HHA/CDPAP","HHA","Level of Service",$D706),0)</f>
        <v>0</v>
      </c>
    </row>
    <row r="707" spans="1:18" s="54" customFormat="1" x14ac:dyDescent="0.25">
      <c r="A707" s="119"/>
      <c r="B707" s="309"/>
      <c r="C707" s="322">
        <f t="shared" ca="1" si="257"/>
        <v>1</v>
      </c>
      <c r="D707" s="7" t="s">
        <v>35</v>
      </c>
      <c r="E707" s="48" t="s">
        <v>56</v>
      </c>
      <c r="F707" s="657">
        <f t="shared" ref="F707:F718" ca="1" si="258">+H707+G707+I707</f>
        <v>14647353.855446018</v>
      </c>
      <c r="G707" s="658">
        <f ca="1">+IFERROR(G$5*GETPIVOTDATA("Unique Billed Hours",'County allocation'!$A$3,"County",$D703,"HHA/CDPAP","HHA","Level of Service",$D707),0)</f>
        <v>491373.53864853008</v>
      </c>
      <c r="H707" s="658">
        <f>+IFERROR(H$5*GETPIVOTDATA("Unique Billed Hours",'County allocation'!$S$3,"County",$D703,"HHA/CDPAP","HHA","Level of Service",$D707),0)</f>
        <v>840542.82203551603</v>
      </c>
      <c r="I707" s="664">
        <f t="shared" ref="I707:I717" ca="1" si="259">SUM(J707:P707)</f>
        <v>13315437.494761972</v>
      </c>
      <c r="J707" s="658">
        <f ca="1">+IFERROR(J$5*GETPIVOTDATA("Unique Billed Hours",'County allocation'!$AC$3,"County",$D703,"HHA/CDPAP","HHA","Level of Service",$D707),0)</f>
        <v>1750049.7307915227</v>
      </c>
      <c r="K707" s="658">
        <f ca="1">+IFERROR(K$5*GETPIVOTDATA("Unique Billed Hours",'County allocation'!$X$3,"County",$D703,"HHA/CDPAP","HHA","Level of Service",$D707),0)</f>
        <v>11313378.272864975</v>
      </c>
      <c r="L707" s="658">
        <f ca="1">+IFERROR(L$2*GETPIVOTDATA("Unique Billed Hours",'County allocation'!$O$3,"County",$D703,"HHA/CDPAP","HHA","Level of Service",$D707),0)</f>
        <v>162265.92630681081</v>
      </c>
      <c r="M707" s="658">
        <f>+IFERROR(M$5*GETPIVOTDATA("Unique Billed Hours",'County allocation'!$S$3,"County",$D703,"HHA/CDPAP","HHA","Level of Service",$D707),0)</f>
        <v>82807.978241917837</v>
      </c>
      <c r="N707" s="658">
        <f>+IFERROR(N$5*GETPIVOTDATA("Unique Billed Hours",'County allocation'!$S$3,"County",$D703,"HHA/CDPAP","HHA","Level of Service",$D707),0)</f>
        <v>6935.5865567447663</v>
      </c>
      <c r="O707" s="658">
        <f>+IFERROR(O$5*GETPIVOTDATA("Unique Billed Hours",'County allocation'!$K$19,"County",$D703,"HHA/CDPAP","HHA","Level of Service",$D707),0)</f>
        <v>0</v>
      </c>
      <c r="P707" s="658">
        <f>+IFERROR(P$5*GETPIVOTDATA("Unique Billed Hours",'County allocation'!$S$3,"County",$D703,"HHA/CDPAP","HHA","Level of Service",$D707),0)</f>
        <v>0</v>
      </c>
      <c r="R707" s="61"/>
    </row>
    <row r="708" spans="1:18" s="54" customFormat="1" x14ac:dyDescent="0.25">
      <c r="A708" s="302"/>
      <c r="B708" s="309"/>
      <c r="C708" s="322">
        <f t="shared" ca="1" si="257"/>
        <v>1</v>
      </c>
      <c r="D708" s="7" t="s">
        <v>36</v>
      </c>
      <c r="E708" s="48" t="s">
        <v>55</v>
      </c>
      <c r="F708" s="657">
        <f t="shared" ca="1" si="258"/>
        <v>0</v>
      </c>
      <c r="G708" s="658">
        <f ca="1">+IFERROR(G$5*GETPIVOTDATA("Unique Billed Hours",'County allocation'!$A$3,"County",$D703,"HHA/CDPAP","HHA","Level of Service",$D708),0)</f>
        <v>0</v>
      </c>
      <c r="H708" s="658">
        <f>+IFERROR(H$5*GETPIVOTDATA("Unique Billed Hours",'County allocation'!$S$3,"County",$D703,"HHA/CDPAP","HHA","Level of Service",$D708),0)</f>
        <v>0</v>
      </c>
      <c r="I708" s="664">
        <f t="shared" ca="1" si="259"/>
        <v>0</v>
      </c>
      <c r="J708" s="658">
        <f ca="1">+IFERROR(J$5*GETPIVOTDATA("Unique Billed Hours",'County allocation'!$AC$3,"County",$D703,"HHA/CDPAP","HHA","Level of Service",$D708),0)</f>
        <v>0</v>
      </c>
      <c r="K708" s="658">
        <f ca="1">+IFERROR(K$5*GETPIVOTDATA("Unique Billed Hours",'County allocation'!$X$3,"County",$D703,"HHA/CDPAP","HHA","Level of Service",$D708),0)</f>
        <v>0</v>
      </c>
      <c r="L708" s="658">
        <f ca="1">+IFERROR(L$2*GETPIVOTDATA("Unique Billed Hours",'County allocation'!$O$3,"County",$D703,"HHA/CDPAP","HHA","Level of Service",$D708),0)</f>
        <v>0</v>
      </c>
      <c r="M708" s="658">
        <f>+IFERROR(M$5*GETPIVOTDATA("Unique Billed Hours",'County allocation'!$S$3,"County",$D703,"HHA/CDPAP","HHA","Level of Service",$D708),0)</f>
        <v>0</v>
      </c>
      <c r="N708" s="658">
        <f>+IFERROR(N$5*GETPIVOTDATA("Unique Billed Hours",'County allocation'!$S$3,"County",$D703,"HHA/CDPAP","HHA","Level of Service",$D708),0)</f>
        <v>0</v>
      </c>
      <c r="O708" s="658">
        <f>+IFERROR(O$5*GETPIVOTDATA("Unique Billed Hours",'County allocation'!$K$19,"County",$D703,"HHA/CDPAP","HHA","Level of Service",$D708),0)</f>
        <v>0</v>
      </c>
      <c r="P708" s="658">
        <f>+IFERROR(P$5*GETPIVOTDATA("Unique Billed Hours",'County allocation'!$S$3,"County",$D703,"HHA/CDPAP","HHA","Level of Service",$D708),0)</f>
        <v>0</v>
      </c>
    </row>
    <row r="709" spans="1:18" s="54" customFormat="1" x14ac:dyDescent="0.25">
      <c r="A709" s="119"/>
      <c r="B709" s="309"/>
      <c r="C709" s="322">
        <f t="shared" ca="1" si="257"/>
        <v>1</v>
      </c>
      <c r="D709" s="7" t="s">
        <v>37</v>
      </c>
      <c r="E709" s="48" t="s">
        <v>54</v>
      </c>
      <c r="F709" s="657">
        <f t="shared" ca="1" si="258"/>
        <v>935118.08455467003</v>
      </c>
      <c r="G709" s="658">
        <f ca="1">+IFERROR(G$5*GETPIVOTDATA("Unique Billed Hours",'County allocation'!$A$3,"County",$D703,"HHA/CDPAP","HHA","Level of Service",$D709),0)</f>
        <v>31370.327145542415</v>
      </c>
      <c r="H709" s="658">
        <f>+IFERROR(H$5*GETPIVOTDATA("Unique Billed Hours",'County allocation'!$S$3,"County",$D703,"HHA/CDPAP","HHA","Level of Service",$D709),0)</f>
        <v>53662.03353077214</v>
      </c>
      <c r="I709" s="664">
        <f t="shared" ca="1" si="259"/>
        <v>850085.72387835546</v>
      </c>
      <c r="J709" s="658">
        <f ca="1">+IFERROR(J$5*GETPIVOTDATA("Unique Billed Hours",'County allocation'!$AC$3,"County",$D703,"HHA/CDPAP","HHA","Level of Service",$D709),0)</f>
        <v>111726.88038288352</v>
      </c>
      <c r="K709" s="658">
        <f ca="1">+IFERROR(K$5*GETPIVOTDATA("Unique Billed Hours",'County allocation'!$X$3,"County",$D703,"HHA/CDPAP","HHA","Level of Service",$D709),0)</f>
        <v>722270.02397640736</v>
      </c>
      <c r="L709" s="658">
        <f ca="1">+IFERROR(L$2*GETPIVOTDATA("Unique Billed Hours",'County allocation'!$O$3,"County",$D703,"HHA/CDPAP","HHA","Level of Service",$D709),0)</f>
        <v>10359.400318583599</v>
      </c>
      <c r="M709" s="658">
        <f>+IFERROR(M$5*GETPIVOTDATA("Unique Billed Hours",'County allocation'!$S$3,"County",$D703,"HHA/CDPAP","HHA","Level of Service",$D709),0)</f>
        <v>5286.636669232641</v>
      </c>
      <c r="N709" s="658">
        <f>+IFERROR(N$5*GETPIVOTDATA("Unique Billed Hours",'County allocation'!$S$3,"County",$D703,"HHA/CDPAP","HHA","Level of Service",$D709),0)</f>
        <v>442.7825312484606</v>
      </c>
      <c r="O709" s="658">
        <f>+IFERROR(O$5*GETPIVOTDATA("Unique Billed Hours",'County allocation'!$K$19,"County",$D703,"HHA/CDPAP","HHA","Level of Service",$D709),0)</f>
        <v>0</v>
      </c>
      <c r="P709" s="658">
        <f>+IFERROR(P$5*GETPIVOTDATA("Unique Billed Hours",'County allocation'!$S$3,"County",$D703,"HHA/CDPAP","HHA","Level of Service",$D709),0)</f>
        <v>0</v>
      </c>
    </row>
    <row r="710" spans="1:18" s="54" customFormat="1" x14ac:dyDescent="0.25">
      <c r="A710" s="119"/>
      <c r="B710" s="309"/>
      <c r="C710" s="322">
        <f t="shared" ca="1" si="257"/>
        <v>1</v>
      </c>
      <c r="D710" s="7" t="s">
        <v>38</v>
      </c>
      <c r="E710" s="48" t="s">
        <v>53</v>
      </c>
      <c r="F710" s="657">
        <f t="shared" ca="1" si="258"/>
        <v>25076.416045855356</v>
      </c>
      <c r="G710" s="658">
        <f ca="1">+IFERROR(G$5*GETPIVOTDATA("Unique Billed Hours",'County allocation'!$A$3,"County",$D703,"HHA/CDPAP","HHA","Level of Service",$D710),0)</f>
        <v>0</v>
      </c>
      <c r="H710" s="658">
        <f>+IFERROR(H$5*GETPIVOTDATA("Unique Billed Hours",'County allocation'!$S$3,"County",$D703,"HHA/CDPAP","HHA","Level of Service",$D710),0)</f>
        <v>0</v>
      </c>
      <c r="I710" s="664">
        <f t="shared" ca="1" si="259"/>
        <v>25076.416045855356</v>
      </c>
      <c r="J710" s="658">
        <f ca="1">+IFERROR(J$5*GETPIVOTDATA("Unique Billed Hours",'County allocation'!$AC$3,"County",$D703,"HHA/CDPAP","HHA","Level of Service",$D710),0)</f>
        <v>489.11079592256692</v>
      </c>
      <c r="K710" s="658">
        <f ca="1">+IFERROR(K$5*GETPIVOTDATA("Unique Billed Hours",'County allocation'!$X$3,"County",$D703,"HHA/CDPAP","HHA","Level of Service",$D710),0)</f>
        <v>0</v>
      </c>
      <c r="L710" s="658">
        <f ca="1">+IFERROR(L$5*GETPIVOTDATA("Unique Billed Hours",'County allocation'!$K$19,"County",$D703,"HHA/CDPAP","HHA","Level of Service",$D710),0)</f>
        <v>24587.30524993279</v>
      </c>
      <c r="M710" s="658">
        <f>+IFERROR(M$5*GETPIVOTDATA("Unique Billed Hours",'County allocation'!$S$3,"County",$D703,"HHA/CDPAP","HHA","Level of Service",$D710),0)</f>
        <v>0</v>
      </c>
      <c r="N710" s="658">
        <f>+IFERROR(N$5*GETPIVOTDATA("Unique Billed Hours",'County allocation'!$S$3,"County",$D703,"HHA/CDPAP","HHA","Level of Service",$D710),0)</f>
        <v>0</v>
      </c>
      <c r="O710" s="658">
        <f>+IFERROR(O$5*GETPIVOTDATA("Unique Billed Hours",'County allocation'!$K$19,"County",$D703,"HHA/CDPAP","HHA","Level of Service",$D710),0)</f>
        <v>0</v>
      </c>
      <c r="P710" s="658">
        <f>+IFERROR(P$5*GETPIVOTDATA("Unique Billed Hours",'County allocation'!$S$3,"County",$D703,"HHA/CDPAP","HHA","Level of Service",$D710),0)</f>
        <v>0</v>
      </c>
    </row>
    <row r="711" spans="1:18" s="54" customFormat="1" x14ac:dyDescent="0.25">
      <c r="A711" s="119"/>
      <c r="B711" s="309"/>
      <c r="C711" s="322">
        <f t="shared" ca="1" si="257"/>
        <v>1</v>
      </c>
      <c r="D711" s="7" t="s">
        <v>39</v>
      </c>
      <c r="E711" s="48" t="s">
        <v>52</v>
      </c>
      <c r="F711" s="657">
        <f t="shared" ca="1" si="258"/>
        <v>9400.3064497618761</v>
      </c>
      <c r="G711" s="658">
        <f ca="1">+IFERROR(G$5*GETPIVOTDATA("Unique Billed Hours",'County allocation'!$A$3,"County",$D703,"HHA/CDPAP","HHA","Level of Service",$D711),0)</f>
        <v>0</v>
      </c>
      <c r="H711" s="658">
        <f>+IFERROR(H$5*GETPIVOTDATA("Unique Billed Hours",'County allocation'!$S$3,"County",$D703,"HHA/CDPAP","HHA","Level of Service",$D711),0)</f>
        <v>0</v>
      </c>
      <c r="I711" s="664">
        <f t="shared" ca="1" si="259"/>
        <v>9400.3064497618761</v>
      </c>
      <c r="J711" s="658">
        <f ca="1">+IFERROR(J$5*GETPIVOTDATA("Unique Billed Hours",'County allocation'!$AC$3,"County",$D703,"HHA/CDPAP","HHA","Level of Service",$D711),0)</f>
        <v>3201.8261346527706</v>
      </c>
      <c r="K711" s="658">
        <f ca="1">+IFERROR(K$5*GETPIVOTDATA("Unique Billed Hours",'County allocation'!$X$3,"County",$D703,"HHA/CDPAP","HHA","Level of Service",$D711),0)</f>
        <v>0</v>
      </c>
      <c r="L711" s="658">
        <f ca="1">+IFERROR(L$5*GETPIVOTDATA("Unique Billed Hours",'County allocation'!$K$19,"County",$D703,"HHA/CDPAP","HHA","Level of Service",$D711),0)</f>
        <v>6198.4803151091064</v>
      </c>
      <c r="M711" s="658">
        <f>+IFERROR(M$5*GETPIVOTDATA("Unique Billed Hours",'County allocation'!$S$3,"County",$D703,"HHA/CDPAP","HHA","Level of Service",$D711),0)</f>
        <v>0</v>
      </c>
      <c r="N711" s="658">
        <f>+IFERROR(N$5*GETPIVOTDATA("Unique Billed Hours",'County allocation'!$S$3,"County",$D703,"HHA/CDPAP","HHA","Level of Service",$D711),0)</f>
        <v>0</v>
      </c>
      <c r="O711" s="658">
        <f>+IFERROR(O$5*GETPIVOTDATA("Unique Billed Hours",'County allocation'!$K$19,"County",$D703,"HHA/CDPAP","HHA","Level of Service",$D711),0)</f>
        <v>0</v>
      </c>
      <c r="P711" s="658">
        <f>+IFERROR(P$5*GETPIVOTDATA("Unique Billed Hours",'County allocation'!$S$3,"County",$D703,"HHA/CDPAP","HHA","Level of Service",$D711),0)</f>
        <v>0</v>
      </c>
    </row>
    <row r="712" spans="1:18" s="54" customFormat="1" x14ac:dyDescent="0.25">
      <c r="A712" s="119"/>
      <c r="B712" s="309"/>
      <c r="C712" s="322">
        <f t="shared" ca="1" si="257"/>
        <v>1</v>
      </c>
      <c r="D712" s="8" t="s">
        <v>40</v>
      </c>
      <c r="E712" s="48" t="s">
        <v>51</v>
      </c>
      <c r="F712" s="657">
        <f t="shared" ca="1" si="258"/>
        <v>0</v>
      </c>
      <c r="G712" s="658">
        <f ca="1">+IFERROR(G$5*GETPIVOTDATA("Unique Billed Hours",'County allocation'!$A$3,"County",$D703,"HHA/CDPAP","HHA","Level of Service",$D712),0)</f>
        <v>0</v>
      </c>
      <c r="H712" s="658">
        <f>+IFERROR(H$5*GETPIVOTDATA("Unique Billed Hours",'County allocation'!$S$3,"County",$D703,"HHA/CDPAP","HHA","Level of Service",$D712),0)</f>
        <v>0</v>
      </c>
      <c r="I712" s="664">
        <f t="shared" ca="1" si="259"/>
        <v>0</v>
      </c>
      <c r="J712" s="658">
        <f ca="1">+IFERROR(J$5*GETPIVOTDATA("Unique Billed Hours",'County allocation'!$AC$3,"County",$D703,"HHA/CDPAP","HHA","Level of Service",$D712),0)</f>
        <v>0</v>
      </c>
      <c r="K712" s="658">
        <f ca="1">+IFERROR(K$5*GETPIVOTDATA("Unique Billed Hours",'County allocation'!$X$3,"County",$D703,"HHA/CDPAP","HHA","Level of Service",$D712),0)</f>
        <v>0</v>
      </c>
      <c r="L712" s="658">
        <f ca="1">+IFERROR(L$2*GETPIVOTDATA("Unique Billed Hours",'County allocation'!$O$3,"County",$D703,"HHA/CDPAP","HHA","Level of Service",$D712),0)</f>
        <v>0</v>
      </c>
      <c r="M712" s="658">
        <f>+IFERROR(M$5*GETPIVOTDATA("Unique Billed Hours",'County allocation'!$S$3,"County",$D703,"HHA/CDPAP","HHA","Level of Service",$D712),0)</f>
        <v>0</v>
      </c>
      <c r="N712" s="658">
        <f>+IFERROR(N$5*GETPIVOTDATA("Unique Billed Hours",'County allocation'!$S$3,"County",$D703,"HHA/CDPAP","HHA","Level of Service",$D712),0)</f>
        <v>0</v>
      </c>
      <c r="O712" s="658">
        <f>+IFERROR(O$5*GETPIVOTDATA("Unique Billed Hours",'County allocation'!$K$19,"County",$D703,"HHA/CDPAP","HHA","Level of Service",$D712),0)</f>
        <v>0</v>
      </c>
      <c r="P712" s="658">
        <f>+IFERROR(P$5*GETPIVOTDATA("Unique Billed Hours",'County allocation'!$S$3,"County",$D703,"HHA/CDPAP","HHA","Level of Service",$D712),0)</f>
        <v>0</v>
      </c>
    </row>
    <row r="713" spans="1:18" s="54" customFormat="1" x14ac:dyDescent="0.25">
      <c r="A713" s="119"/>
      <c r="B713" s="309"/>
      <c r="C713" s="322">
        <f t="shared" ca="1" si="257"/>
        <v>1</v>
      </c>
      <c r="D713" s="8" t="s">
        <v>41</v>
      </c>
      <c r="E713" s="48" t="s">
        <v>50</v>
      </c>
      <c r="F713" s="657">
        <f t="shared" ca="1" si="258"/>
        <v>553191.33790245792</v>
      </c>
      <c r="G713" s="658">
        <f ca="1">+IFERROR(G$5*GETPIVOTDATA("Unique Billed Hours",'County allocation'!$A$3,"County",$D703,"HHA/CDPAP","HHA","Level of Service",$D713),0)</f>
        <v>18557.862938074581</v>
      </c>
      <c r="H713" s="658">
        <f>+IFERROR(H$5*GETPIVOTDATA("Unique Billed Hours",'County allocation'!$S$3,"County",$D703,"HHA/CDPAP","HHA","Level of Service",$D713),0)</f>
        <v>31745.051896404519</v>
      </c>
      <c r="I713" s="664">
        <f t="shared" ca="1" si="259"/>
        <v>502888.42306797882</v>
      </c>
      <c r="J713" s="658">
        <f ca="1">+IFERROR(J$5*GETPIVOTDATA("Unique Billed Hours",'County allocation'!$AC$3,"County",$D703,"HHA/CDPAP","HHA","Level of Service",$D713),0)</f>
        <v>66094.692701948064</v>
      </c>
      <c r="K713" s="658">
        <f ca="1">+IFERROR(K$5*GETPIVOTDATA("Unique Billed Hours",'County allocation'!$X$3,"County",$D703,"HHA/CDPAP","HHA","Level of Service",$D713),0)</f>
        <v>427276.00662394194</v>
      </c>
      <c r="L713" s="658">
        <f ca="1">+IFERROR(L$2*GETPIVOTDATA("Unique Billed Hours",'County allocation'!$O$3,"County",$D703,"HHA/CDPAP","HHA","Level of Service",$D713),0)</f>
        <v>6128.349581468683</v>
      </c>
      <c r="M713" s="658">
        <f>+IFERROR(M$5*GETPIVOTDATA("Unique Billed Hours",'County allocation'!$S$3,"County",$D703,"HHA/CDPAP","HHA","Level of Service",$D713),0)</f>
        <v>3127.4356258971707</v>
      </c>
      <c r="N713" s="658">
        <f>+IFERROR(N$5*GETPIVOTDATA("Unique Billed Hours",'County allocation'!$S$3,"County",$D703,"HHA/CDPAP","HHA","Level of Service",$D713),0)</f>
        <v>261.93853472294018</v>
      </c>
      <c r="O713" s="658">
        <f>+IFERROR(O$5*GETPIVOTDATA("Unique Billed Hours",'County allocation'!$K$19,"County",$D703,"HHA/CDPAP","HHA","Level of Service",$D713),0)</f>
        <v>0</v>
      </c>
      <c r="P713" s="658">
        <f>+IFERROR(P$5*GETPIVOTDATA("Unique Billed Hours",'County allocation'!$S$3,"County",$D703,"HHA/CDPAP","HHA","Level of Service",$D713),0)</f>
        <v>0</v>
      </c>
    </row>
    <row r="714" spans="1:18" s="54" customFormat="1" ht="15.75" thickBot="1" x14ac:dyDescent="0.3">
      <c r="A714" s="119"/>
      <c r="B714" s="309"/>
      <c r="C714" s="322">
        <f t="shared" ca="1" si="257"/>
        <v>1</v>
      </c>
      <c r="D714" s="52" t="s">
        <v>389</v>
      </c>
      <c r="E714" s="53" t="s">
        <v>49</v>
      </c>
      <c r="F714" s="657">
        <f t="shared" ca="1" si="258"/>
        <v>16198838.902728885</v>
      </c>
      <c r="G714" s="661">
        <f ca="1">SUM(G706:G713)</f>
        <v>542264.48837682093</v>
      </c>
      <c r="H714" s="661">
        <f>SUM(H706:H713)</f>
        <v>927596.80263515515</v>
      </c>
      <c r="I714" s="664">
        <f t="shared" ca="1" si="259"/>
        <v>14728977.611716909</v>
      </c>
      <c r="J714" s="661">
        <f ca="1">SUM(J706:J713)</f>
        <v>1934991.1540968323</v>
      </c>
      <c r="K714" s="661">
        <f t="shared" ref="K714:P714" ca="1" si="260">SUM(K706:K713)</f>
        <v>12485090.869609691</v>
      </c>
      <c r="L714" s="661">
        <f t="shared" ca="1" si="260"/>
        <v>209857.39318917968</v>
      </c>
      <c r="M714" s="661">
        <f t="shared" si="260"/>
        <v>91384.298141848703</v>
      </c>
      <c r="N714" s="661">
        <f t="shared" si="260"/>
        <v>7653.8966793579657</v>
      </c>
      <c r="O714" s="661">
        <f t="shared" si="260"/>
        <v>0</v>
      </c>
      <c r="P714" s="661">
        <f t="shared" si="260"/>
        <v>0</v>
      </c>
    </row>
    <row r="715" spans="1:18" s="54" customFormat="1" x14ac:dyDescent="0.25">
      <c r="A715" s="119"/>
      <c r="B715" s="309"/>
      <c r="C715" s="322">
        <f t="shared" ca="1" si="257"/>
        <v>1</v>
      </c>
      <c r="D715" s="371" t="s">
        <v>390</v>
      </c>
      <c r="E715" s="325" t="s">
        <v>47</v>
      </c>
      <c r="F715" s="657">
        <f t="shared" ca="1" si="258"/>
        <v>15741645.601908952</v>
      </c>
      <c r="G715" s="665">
        <f ca="1">+IFERROR((G$5*GETPIVOTDATA("Unique Billed Hours",'County allocation'!$A$3,"County",$D703,"HHA/CDPAP","HHA","Level of Service",$D715))+($G$2*GETPIVOTDATA("Unique Billed Hours",'County allocation'!$F$7,"County",$D703,"HHA/CDPAP","HHA","Level of Service",$D715)),0)++IFERROR(J$5*GETPIVOTDATA("Unique Billed Hours",'County allocation'!$AC$3,"County",$D703,"HHA/CDPAP","HHA","Level of Service",$D715),0)+ +IFERROR(J$5*GETPIVOTDATA("Unique Billed Hours",'County allocation'!$AC$3,"County",$D703,"HHA/CDPAP","HHA","Level of Service",$D716),0)</f>
        <v>15741645.601908952</v>
      </c>
      <c r="H715" s="665">
        <f>+IFERROR(H$5*GETPIVOTDATA("Unique Billed Hours",'County allocation'!$S$3,"County",$D703,"HHA/CDPAP","HHA","Level of Service",$D715),0)</f>
        <v>0</v>
      </c>
      <c r="I715" s="664">
        <f t="shared" ca="1" si="259"/>
        <v>0</v>
      </c>
      <c r="J715" s="901"/>
      <c r="K715" s="665">
        <f ca="1">+IFERROR(K$5*GETPIVOTDATA("Unique Billed Hours",'County allocation'!$X$3,"County",$D703,"HHA/CDPAP","HHA","Level of Service",$D715),0)</f>
        <v>0</v>
      </c>
      <c r="L715" s="665">
        <f ca="1">+IFERROR(L$5*GETPIVOTDATA("Unique Billed Hours",'County allocation'!$K$19,"County",$D703,"HHA/CDPAP","HHA","Level of Service",$D715),0)</f>
        <v>0</v>
      </c>
      <c r="M715" s="665">
        <f>+IFERROR(M$5*GETPIVOTDATA("Unique Billed Hours",'County allocation'!$S$3,"County",$D703,"HHA/CDPAP","HHA","Level of Service",$D715),0)</f>
        <v>0</v>
      </c>
      <c r="N715" s="665">
        <f>+IFERROR(N$5*GETPIVOTDATA("Unique Billed Hours",'County allocation'!$S$3,"County",$D703,"HHA/CDPAP","HHA","Level of Service",$D715),0)</f>
        <v>0</v>
      </c>
      <c r="O715" s="665">
        <f>+IFERROR(O$5*GETPIVOTDATA("Unique Billed Hours",'County allocation'!$S$3,"County",$D703,"HHA/CDPAP","HHA","Level of Service",$D715),0)</f>
        <v>0</v>
      </c>
      <c r="P715" s="665">
        <f>+IFERROR(P$5*GETPIVOTDATA("Unique Billed Hours",'County allocation'!$S$3,"County",$D703,"HHA/CDPAP","HHA","Level of Service",$D715),0)</f>
        <v>0</v>
      </c>
    </row>
    <row r="716" spans="1:18" s="54" customFormat="1" x14ac:dyDescent="0.25">
      <c r="A716" s="119"/>
      <c r="B716" s="309"/>
      <c r="C716" s="322">
        <f t="shared" ca="1" si="257"/>
        <v>1</v>
      </c>
      <c r="D716" s="8" t="s">
        <v>391</v>
      </c>
      <c r="E716" s="370" t="s">
        <v>77</v>
      </c>
      <c r="F716" s="657">
        <f t="shared" ca="1" si="258"/>
        <v>7619074.5785116022</v>
      </c>
      <c r="G716" s="656"/>
      <c r="H716" s="658">
        <f>+IFERROR(H$5*GETPIVOTDATA("Unique Billed Hours",'County allocation'!$S$3,"County",$D703,"HHA/CDPAP","HHA","Level of Service",$D716),0)</f>
        <v>0</v>
      </c>
      <c r="I716" s="664">
        <f t="shared" ca="1" si="259"/>
        <v>7619074.5785116022</v>
      </c>
      <c r="J716" s="901"/>
      <c r="K716" s="665">
        <f ca="1">+IFERROR(K$5*GETPIVOTDATA("Unique Billed Hours",'County allocation'!$X$3,"County",$D703,"HHA/CDPAP","HHA","Level of Service",$D716),0)</f>
        <v>7619074.5785116022</v>
      </c>
      <c r="L716" s="665">
        <f ca="1">+IFERROR(L$5*GETPIVOTDATA("Unique Billed Hours",'County allocation'!$K$19,"County",$D703,"HHA/CDPAP","HHA","Level of Service",$D716),0)</f>
        <v>0</v>
      </c>
      <c r="M716" s="665">
        <f>+IFERROR(M$5*GETPIVOTDATA("Unique Billed Hours",'County allocation'!$S$3,"County",$D703,"HHA/CDPAP","HHA","Level of Service",$D716),0)</f>
        <v>0</v>
      </c>
      <c r="N716" s="665">
        <f>+IFERROR(N$5*GETPIVOTDATA("Unique Billed Hours",'County allocation'!$S$3,"County",$D703,"HHA/CDPAP","HHA","Level of Service",$D716),0)</f>
        <v>0</v>
      </c>
      <c r="O716" s="665">
        <f>+IFERROR(O$5*GETPIVOTDATA("Unique Billed Hours",'County allocation'!$S$3,"County",$D703,"HHA/CDPAP","HHA","Level of Service",$D716),0)</f>
        <v>0</v>
      </c>
      <c r="P716" s="665">
        <f>+IFERROR(P$5*GETPIVOTDATA("Unique Billed Hours",'County allocation'!$S$3,"County",$D703,"HHA/CDPAP","HHA","Level of Service",$D716),0)</f>
        <v>0</v>
      </c>
    </row>
    <row r="717" spans="1:18" s="54" customFormat="1" x14ac:dyDescent="0.25">
      <c r="A717" s="119"/>
      <c r="B717" s="309"/>
      <c r="C717" s="322">
        <f t="shared" ca="1" si="257"/>
        <v>1</v>
      </c>
      <c r="D717" s="8" t="s">
        <v>374</v>
      </c>
      <c r="E717" s="370" t="s">
        <v>78</v>
      </c>
      <c r="F717" s="657">
        <f t="shared" ca="1" si="258"/>
        <v>70855.043189888194</v>
      </c>
      <c r="G717" s="658">
        <f ca="1">+IFERROR(G$5*GETPIVOTDATA("Unique Billed Hours",'County allocation'!$A$3,"County",$D703,"HHA/CDPAP","HHA","Level of Service",$D717),0)++IFERROR(J$5*GETPIVOTDATA("Unique Billed Hours",'County allocation'!$AC$3,"County",$D703,"HHA/CDPAP","HHA","Level of Service",$D717),0)</f>
        <v>70855.043189888194</v>
      </c>
      <c r="H717" s="658">
        <f>+IFERROR(H$5*GETPIVOTDATA("Unique Billed Hours",'County allocation'!$S$3,"County",$D703,"HHA/CDPAP","HHA","Level of Service",$D717),0)</f>
        <v>0</v>
      </c>
      <c r="I717" s="664">
        <f t="shared" ca="1" si="259"/>
        <v>0</v>
      </c>
      <c r="J717" s="901"/>
      <c r="K717" s="665">
        <f ca="1">+IFERROR(K$5*GETPIVOTDATA("Unique Billed Hours",'County allocation'!$X$3,"County",$D703,"HHA/CDPAP","HHA","Level of Service",$D717),0)</f>
        <v>0</v>
      </c>
      <c r="L717" s="665">
        <f ca="1">+IFERROR(L$5*GETPIVOTDATA("Unique Billed Hours",'County allocation'!$K$19,"County",$D703,"HHA/CDPAP","HHA","Level of Service",$D717),0)</f>
        <v>0</v>
      </c>
      <c r="M717" s="665">
        <f>+IFERROR(M$5*GETPIVOTDATA("Unique Billed Hours",'County allocation'!$S$3,"County",$D703,"HHA/CDPAP","HHA","Level of Service",$D717),0)</f>
        <v>0</v>
      </c>
      <c r="N717" s="665">
        <f>+IFERROR(N$5*GETPIVOTDATA("Unique Billed Hours",'County allocation'!$S$3,"County",$D703,"HHA/CDPAP","HHA","Level of Service",$D717),0)</f>
        <v>0</v>
      </c>
      <c r="O717" s="665">
        <f>+IFERROR(O$5*GETPIVOTDATA("Unique Billed Hours",'County allocation'!$S$3,"County",$D703,"HHA/CDPAP","HHA","Level of Service",$D717),0)</f>
        <v>0</v>
      </c>
      <c r="P717" s="665">
        <f>+IFERROR(P$5*GETPIVOTDATA("Unique Billed Hours",'County allocation'!$S$3,"County",$D703,"HHA/CDPAP","HHA","Level of Service",$D717),0)</f>
        <v>0</v>
      </c>
    </row>
    <row r="718" spans="1:18" s="54" customFormat="1" ht="15.75" thickBot="1" x14ac:dyDescent="0.3">
      <c r="A718" s="302"/>
      <c r="B718" s="309"/>
      <c r="C718" s="322">
        <f ca="1">C717</f>
        <v>1</v>
      </c>
      <c r="D718" s="52" t="s">
        <v>48</v>
      </c>
      <c r="E718" s="53" t="s">
        <v>79</v>
      </c>
      <c r="F718" s="657">
        <f t="shared" ca="1" si="258"/>
        <v>39630414.126339331</v>
      </c>
      <c r="G718" s="661">
        <f t="shared" ref="G718" ca="1" si="261">SUM(G714:G717)</f>
        <v>16354765.133475661</v>
      </c>
      <c r="H718" s="661">
        <f t="shared" ref="H718:P718" si="262">SUM(H714:H717)</f>
        <v>927596.80263515515</v>
      </c>
      <c r="I718" s="661">
        <f t="shared" ca="1" si="262"/>
        <v>22348052.190228511</v>
      </c>
      <c r="J718" s="661">
        <f t="shared" ca="1" si="262"/>
        <v>1934991.1540968323</v>
      </c>
      <c r="K718" s="661">
        <f t="shared" ca="1" si="262"/>
        <v>20104165.448121294</v>
      </c>
      <c r="L718" s="661">
        <f t="shared" ca="1" si="262"/>
        <v>209857.39318917968</v>
      </c>
      <c r="M718" s="661">
        <f t="shared" si="262"/>
        <v>91384.298141848703</v>
      </c>
      <c r="N718" s="661">
        <f t="shared" si="262"/>
        <v>7653.8966793579657</v>
      </c>
      <c r="O718" s="661">
        <f t="shared" si="262"/>
        <v>0</v>
      </c>
      <c r="P718" s="661">
        <f t="shared" si="262"/>
        <v>0</v>
      </c>
    </row>
    <row r="719" spans="1:18" ht="15.75" hidden="1" thickBot="1" x14ac:dyDescent="0.3"/>
    <row r="720" spans="1:18" s="54" customFormat="1" ht="75" x14ac:dyDescent="0.25">
      <c r="A720" s="119"/>
      <c r="B720" s="309"/>
      <c r="C720" s="322">
        <f ca="1">IF(F735&gt;0,1,0)</f>
        <v>1</v>
      </c>
      <c r="D720" s="45" t="str">
        <f>A45</f>
        <v>Rensselaer</v>
      </c>
      <c r="E720" s="28">
        <f>+SUMIF(A:A,D720,B:B)</f>
        <v>1.5563194213553365E-3</v>
      </c>
      <c r="F720" s="652" t="s">
        <v>61</v>
      </c>
      <c r="G720" s="652" t="s">
        <v>387</v>
      </c>
      <c r="H720" s="652" t="s">
        <v>388</v>
      </c>
      <c r="I720" s="652" t="s">
        <v>392</v>
      </c>
      <c r="J720" s="652" t="s">
        <v>31</v>
      </c>
      <c r="K720" s="652" t="s">
        <v>32</v>
      </c>
      <c r="L720" s="653" t="s">
        <v>33</v>
      </c>
      <c r="M720" s="653" t="s">
        <v>60</v>
      </c>
      <c r="N720" s="653" t="s">
        <v>59</v>
      </c>
      <c r="O720" s="653" t="s">
        <v>58</v>
      </c>
      <c r="P720" s="653" t="s">
        <v>16</v>
      </c>
    </row>
    <row r="721" spans="1:18" s="54" customFormat="1" x14ac:dyDescent="0.25">
      <c r="A721" s="119"/>
      <c r="B721" s="309"/>
      <c r="C721" s="322">
        <f ca="1">C720</f>
        <v>1</v>
      </c>
      <c r="D721" s="56"/>
      <c r="E721" s="57"/>
      <c r="F721" s="654" t="s">
        <v>57</v>
      </c>
      <c r="G721" s="654" t="s">
        <v>56</v>
      </c>
      <c r="H721" s="654" t="s">
        <v>55</v>
      </c>
      <c r="I721" s="654" t="s">
        <v>54</v>
      </c>
      <c r="J721" s="654" t="s">
        <v>53</v>
      </c>
      <c r="K721" s="654" t="s">
        <v>52</v>
      </c>
      <c r="L721" s="654" t="s">
        <v>51</v>
      </c>
      <c r="M721" s="654" t="s">
        <v>50</v>
      </c>
      <c r="N721" s="654" t="s">
        <v>49</v>
      </c>
      <c r="O721" s="654" t="s">
        <v>47</v>
      </c>
      <c r="P721" s="655" t="s">
        <v>77</v>
      </c>
    </row>
    <row r="722" spans="1:18" s="54" customFormat="1" x14ac:dyDescent="0.25">
      <c r="A722" s="119"/>
      <c r="B722" s="309"/>
      <c r="C722" s="322">
        <f t="shared" ref="C722:C734" ca="1" si="263">C721</f>
        <v>1</v>
      </c>
      <c r="D722" s="59" t="s">
        <v>26</v>
      </c>
      <c r="E722" s="57"/>
      <c r="F722" s="656"/>
      <c r="G722" s="656"/>
      <c r="H722" s="656"/>
      <c r="I722" s="656"/>
      <c r="J722" s="656"/>
      <c r="K722" s="656"/>
      <c r="L722" s="656"/>
      <c r="M722" s="656"/>
      <c r="N722" s="656"/>
      <c r="O722" s="656"/>
      <c r="P722" s="663"/>
    </row>
    <row r="723" spans="1:18" s="54" customFormat="1" x14ac:dyDescent="0.25">
      <c r="A723" s="119"/>
      <c r="B723" s="309"/>
      <c r="C723" s="322">
        <f t="shared" ca="1" si="263"/>
        <v>1</v>
      </c>
      <c r="D723" s="7" t="s">
        <v>34</v>
      </c>
      <c r="E723" s="48" t="s">
        <v>57</v>
      </c>
      <c r="F723" s="657">
        <f ca="1">+H723+G723+I723</f>
        <v>0</v>
      </c>
      <c r="G723" s="658">
        <f ca="1">+IFERROR(G$5*GETPIVOTDATA("Unique Billed Hours",'County allocation'!$A$3,"County",$D720,"HHA/CDPAP","HHA","Level of Service",$D723),0)</f>
        <v>0</v>
      </c>
      <c r="H723" s="658">
        <f>+IFERROR(H$5*GETPIVOTDATA("Unique Billed Hours",'County allocation'!$S$3,"County",$D720,"HHA/CDPAP","HHA","Level of Service",$D723),0)</f>
        <v>0</v>
      </c>
      <c r="I723" s="664">
        <f ca="1">SUM(J723:P723)</f>
        <v>0</v>
      </c>
      <c r="J723" s="658">
        <f ca="1">+IFERROR(J$5*GETPIVOTDATA("Unique Billed Hours",'County allocation'!$AC$3,"County",$D720,"HHA/CDPAP","HHA","Level of Service",$D723),0)</f>
        <v>0</v>
      </c>
      <c r="K723" s="658">
        <f ca="1">+IFERROR(K$5*GETPIVOTDATA("Unique Billed Hours",'County allocation'!$X$3,"County",$D720,"HHA/CDPAP","HHA","Level of Service",$D723),0)</f>
        <v>0</v>
      </c>
      <c r="L723" s="658">
        <f ca="1">+IFERROR(L$2*GETPIVOTDATA("Unique Billed Hours",'County allocation'!$O$3,"County",$D720,"HHA/CDPAP","HHA","Level of Service",$D723),0)</f>
        <v>0</v>
      </c>
      <c r="M723" s="658">
        <f>+IFERROR(M$5*GETPIVOTDATA("Unique Billed Hours",'County allocation'!$S$3,"County",$D720,"HHA/CDPAP","HHA","Level of Service",$D723),0)</f>
        <v>0</v>
      </c>
      <c r="N723" s="658">
        <f>+IFERROR(N$5*GETPIVOTDATA("Unique Billed Hours",'County allocation'!$S$3,"County",$D720,"HHA/CDPAP","HHA","Level of Service",$D723),0)</f>
        <v>0</v>
      </c>
      <c r="O723" s="658">
        <f>+IFERROR(O$5*GETPIVOTDATA("Unique Billed Hours",'County allocation'!$K$19,"County",$D720,"HHA/CDPAP","HHA","Level of Service",$D723),0)</f>
        <v>0</v>
      </c>
      <c r="P723" s="658">
        <f>+IFERROR(P$5*GETPIVOTDATA("Unique Billed Hours",'County allocation'!$S$3,"County",$D720,"HHA/CDPAP","HHA","Level of Service",$D723),0)</f>
        <v>0</v>
      </c>
    </row>
    <row r="724" spans="1:18" s="54" customFormat="1" x14ac:dyDescent="0.25">
      <c r="A724" s="119"/>
      <c r="B724" s="309"/>
      <c r="C724" s="322">
        <f t="shared" ca="1" si="263"/>
        <v>1</v>
      </c>
      <c r="D724" s="7" t="s">
        <v>35</v>
      </c>
      <c r="E724" s="48" t="s">
        <v>56</v>
      </c>
      <c r="F724" s="657">
        <f t="shared" ref="F724:F735" ca="1" si="264">+H724+G724+I724</f>
        <v>289723.89022990223</v>
      </c>
      <c r="G724" s="658">
        <f ca="1">+IFERROR(G$5*GETPIVOTDATA("Unique Billed Hours",'County allocation'!$A$3,"County",$D720,"HHA/CDPAP","HHA","Level of Service",$D724),0)</f>
        <v>9719.3427958561697</v>
      </c>
      <c r="H724" s="658">
        <f>+IFERROR(H$5*GETPIVOTDATA("Unique Billed Hours",'County allocation'!$S$3,"County",$D720,"HHA/CDPAP","HHA","Level of Service",$D724),0)</f>
        <v>16625.892888796781</v>
      </c>
      <c r="I724" s="664">
        <f t="shared" ref="I724:I734" ca="1" si="265">SUM(J724:P724)</f>
        <v>263378.6545452493</v>
      </c>
      <c r="J724" s="658">
        <f ca="1">+IFERROR(J$5*GETPIVOTDATA("Unique Billed Hours",'County allocation'!$AC$3,"County",$D720,"HHA/CDPAP","HHA","Level of Service",$D724),0)</f>
        <v>34615.891792099654</v>
      </c>
      <c r="K724" s="658">
        <f ca="1">+IFERROR(K$5*GETPIVOTDATA("Unique Billed Hours",'County allocation'!$X$3,"County",$D720,"HHA/CDPAP","HHA","Level of Service",$D724),0)</f>
        <v>223778.02825035143</v>
      </c>
      <c r="L724" s="658">
        <f ca="1">+IFERROR(L$2*GETPIVOTDATA("Unique Billed Hours",'County allocation'!$O$3,"County",$D720,"HHA/CDPAP","HHA","Level of Service",$D724),0)</f>
        <v>3209.6115028919203</v>
      </c>
      <c r="M724" s="658">
        <f>+IFERROR(M$5*GETPIVOTDATA("Unique Billed Hours",'County allocation'!$S$3,"County",$D720,"HHA/CDPAP","HHA","Level of Service",$D724),0)</f>
        <v>1637.9374619533273</v>
      </c>
      <c r="N724" s="658">
        <f>+IFERROR(N$5*GETPIVOTDATA("Unique Billed Hours",'County allocation'!$S$3,"County",$D720,"HHA/CDPAP","HHA","Level of Service",$D724),0)</f>
        <v>137.18553795293141</v>
      </c>
      <c r="O724" s="658">
        <f>+IFERROR(O$5*GETPIVOTDATA("Unique Billed Hours",'County allocation'!$K$19,"County",$D720,"HHA/CDPAP","HHA","Level of Service",$D724),0)</f>
        <v>0</v>
      </c>
      <c r="P724" s="658">
        <f>+IFERROR(P$5*GETPIVOTDATA("Unique Billed Hours",'County allocation'!$S$3,"County",$D720,"HHA/CDPAP","HHA","Level of Service",$D724),0)</f>
        <v>0</v>
      </c>
      <c r="R724" s="61"/>
    </row>
    <row r="725" spans="1:18" s="54" customFormat="1" x14ac:dyDescent="0.25">
      <c r="A725" s="302"/>
      <c r="B725" s="309"/>
      <c r="C725" s="322">
        <f t="shared" ca="1" si="263"/>
        <v>1</v>
      </c>
      <c r="D725" s="7" t="s">
        <v>36</v>
      </c>
      <c r="E725" s="48" t="s">
        <v>55</v>
      </c>
      <c r="F725" s="657">
        <f t="shared" ca="1" si="264"/>
        <v>0</v>
      </c>
      <c r="G725" s="658">
        <f ca="1">+IFERROR(G$5*GETPIVOTDATA("Unique Billed Hours",'County allocation'!$A$3,"County",$D720,"HHA/CDPAP","HHA","Level of Service",$D725),0)</f>
        <v>0</v>
      </c>
      <c r="H725" s="658">
        <f>+IFERROR(H$5*GETPIVOTDATA("Unique Billed Hours",'County allocation'!$S$3,"County",$D720,"HHA/CDPAP","HHA","Level of Service",$D725),0)</f>
        <v>0</v>
      </c>
      <c r="I725" s="664">
        <f t="shared" ca="1" si="265"/>
        <v>0</v>
      </c>
      <c r="J725" s="658">
        <f ca="1">+IFERROR(J$5*GETPIVOTDATA("Unique Billed Hours",'County allocation'!$AC$3,"County",$D720,"HHA/CDPAP","HHA","Level of Service",$D725),0)</f>
        <v>0</v>
      </c>
      <c r="K725" s="658">
        <f ca="1">+IFERROR(K$5*GETPIVOTDATA("Unique Billed Hours",'County allocation'!$X$3,"County",$D720,"HHA/CDPAP","HHA","Level of Service",$D725),0)</f>
        <v>0</v>
      </c>
      <c r="L725" s="658">
        <f ca="1">+IFERROR(L$2*GETPIVOTDATA("Unique Billed Hours",'County allocation'!$O$3,"County",$D720,"HHA/CDPAP","HHA","Level of Service",$D725),0)</f>
        <v>0</v>
      </c>
      <c r="M725" s="658">
        <f>+IFERROR(M$5*GETPIVOTDATA("Unique Billed Hours",'County allocation'!$S$3,"County",$D720,"HHA/CDPAP","HHA","Level of Service",$D725),0)</f>
        <v>0</v>
      </c>
      <c r="N725" s="658">
        <f>+IFERROR(N$5*GETPIVOTDATA("Unique Billed Hours",'County allocation'!$S$3,"County",$D720,"HHA/CDPAP","HHA","Level of Service",$D725),0)</f>
        <v>0</v>
      </c>
      <c r="O725" s="658">
        <f>+IFERROR(O$5*GETPIVOTDATA("Unique Billed Hours",'County allocation'!$K$19,"County",$D720,"HHA/CDPAP","HHA","Level of Service",$D725),0)</f>
        <v>0</v>
      </c>
      <c r="P725" s="658">
        <f>+IFERROR(P$5*GETPIVOTDATA("Unique Billed Hours",'County allocation'!$S$3,"County",$D720,"HHA/CDPAP","HHA","Level of Service",$D725),0)</f>
        <v>0</v>
      </c>
    </row>
    <row r="726" spans="1:18" s="54" customFormat="1" x14ac:dyDescent="0.25">
      <c r="A726" s="119"/>
      <c r="B726" s="309"/>
      <c r="C726" s="322">
        <f t="shared" ca="1" si="263"/>
        <v>1</v>
      </c>
      <c r="D726" s="7" t="s">
        <v>37</v>
      </c>
      <c r="E726" s="48" t="s">
        <v>54</v>
      </c>
      <c r="F726" s="657">
        <f t="shared" ca="1" si="264"/>
        <v>0</v>
      </c>
      <c r="G726" s="658">
        <f ca="1">+IFERROR(G$5*GETPIVOTDATA("Unique Billed Hours",'County allocation'!$A$3,"County",$D720,"HHA/CDPAP","HHA","Level of Service",$D726),0)</f>
        <v>0</v>
      </c>
      <c r="H726" s="658">
        <f>+IFERROR(H$5*GETPIVOTDATA("Unique Billed Hours",'County allocation'!$S$3,"County",$D720,"HHA/CDPAP","HHA","Level of Service",$D726),0)</f>
        <v>0</v>
      </c>
      <c r="I726" s="664">
        <f t="shared" ca="1" si="265"/>
        <v>0</v>
      </c>
      <c r="J726" s="658">
        <f ca="1">+IFERROR(J$5*GETPIVOTDATA("Unique Billed Hours",'County allocation'!$AC$3,"County",$D720,"HHA/CDPAP","HHA","Level of Service",$D726),0)</f>
        <v>0</v>
      </c>
      <c r="K726" s="658">
        <f ca="1">+IFERROR(K$5*GETPIVOTDATA("Unique Billed Hours",'County allocation'!$X$3,"County",$D720,"HHA/CDPAP","HHA","Level of Service",$D726),0)</f>
        <v>0</v>
      </c>
      <c r="L726" s="658">
        <f ca="1">+IFERROR(L$2*GETPIVOTDATA("Unique Billed Hours",'County allocation'!$O$3,"County",$D720,"HHA/CDPAP","HHA","Level of Service",$D726),0)</f>
        <v>0</v>
      </c>
      <c r="M726" s="658">
        <f>+IFERROR(M$5*GETPIVOTDATA("Unique Billed Hours",'County allocation'!$S$3,"County",$D720,"HHA/CDPAP","HHA","Level of Service",$D726),0)</f>
        <v>0</v>
      </c>
      <c r="N726" s="658">
        <f>+IFERROR(N$5*GETPIVOTDATA("Unique Billed Hours",'County allocation'!$S$3,"County",$D720,"HHA/CDPAP","HHA","Level of Service",$D726),0)</f>
        <v>0</v>
      </c>
      <c r="O726" s="658">
        <f>+IFERROR(O$5*GETPIVOTDATA("Unique Billed Hours",'County allocation'!$K$19,"County",$D720,"HHA/CDPAP","HHA","Level of Service",$D726),0)</f>
        <v>0</v>
      </c>
      <c r="P726" s="658">
        <f>+IFERROR(P$5*GETPIVOTDATA("Unique Billed Hours",'County allocation'!$S$3,"County",$D720,"HHA/CDPAP","HHA","Level of Service",$D726),0)</f>
        <v>0</v>
      </c>
    </row>
    <row r="727" spans="1:18" s="54" customFormat="1" x14ac:dyDescent="0.25">
      <c r="A727" s="119"/>
      <c r="B727" s="309"/>
      <c r="C727" s="322">
        <f t="shared" ca="1" si="263"/>
        <v>1</v>
      </c>
      <c r="D727" s="7" t="s">
        <v>38</v>
      </c>
      <c r="E727" s="48" t="s">
        <v>53</v>
      </c>
      <c r="F727" s="657">
        <f t="shared" ca="1" si="264"/>
        <v>0</v>
      </c>
      <c r="G727" s="658">
        <f ca="1">+IFERROR(G$5*GETPIVOTDATA("Unique Billed Hours",'County allocation'!$A$3,"County",$D720,"HHA/CDPAP","HHA","Level of Service",$D727),0)</f>
        <v>0</v>
      </c>
      <c r="H727" s="658">
        <f>+IFERROR(H$5*GETPIVOTDATA("Unique Billed Hours",'County allocation'!$S$3,"County",$D720,"HHA/CDPAP","HHA","Level of Service",$D727),0)</f>
        <v>0</v>
      </c>
      <c r="I727" s="664">
        <f t="shared" ca="1" si="265"/>
        <v>0</v>
      </c>
      <c r="J727" s="658">
        <f ca="1">+IFERROR(J$5*GETPIVOTDATA("Unique Billed Hours",'County allocation'!$AC$3,"County",$D720,"HHA/CDPAP","HHA","Level of Service",$D727),0)</f>
        <v>0</v>
      </c>
      <c r="K727" s="658">
        <f ca="1">+IFERROR(K$5*GETPIVOTDATA("Unique Billed Hours",'County allocation'!$X$3,"County",$D720,"HHA/CDPAP","HHA","Level of Service",$D727),0)</f>
        <v>0</v>
      </c>
      <c r="L727" s="658">
        <f ca="1">+IFERROR(L$5*GETPIVOTDATA("Unique Billed Hours",'County allocation'!$K$19,"County",$D720,"HHA/CDPAP","HHA","Level of Service",$D727),0)</f>
        <v>0</v>
      </c>
      <c r="M727" s="658">
        <f>+IFERROR(M$5*GETPIVOTDATA("Unique Billed Hours",'County allocation'!$S$3,"County",$D720,"HHA/CDPAP","HHA","Level of Service",$D727),0)</f>
        <v>0</v>
      </c>
      <c r="N727" s="658">
        <f>+IFERROR(N$5*GETPIVOTDATA("Unique Billed Hours",'County allocation'!$S$3,"County",$D720,"HHA/CDPAP","HHA","Level of Service",$D727),0)</f>
        <v>0</v>
      </c>
      <c r="O727" s="658">
        <f>+IFERROR(O$5*GETPIVOTDATA("Unique Billed Hours",'County allocation'!$K$19,"County",$D720,"HHA/CDPAP","HHA","Level of Service",$D727),0)</f>
        <v>0</v>
      </c>
      <c r="P727" s="658">
        <f>+IFERROR(P$5*GETPIVOTDATA("Unique Billed Hours",'County allocation'!$S$3,"County",$D720,"HHA/CDPAP","HHA","Level of Service",$D727),0)</f>
        <v>0</v>
      </c>
    </row>
    <row r="728" spans="1:18" s="54" customFormat="1" x14ac:dyDescent="0.25">
      <c r="A728" s="119"/>
      <c r="B728" s="309"/>
      <c r="C728" s="322">
        <f t="shared" ca="1" si="263"/>
        <v>1</v>
      </c>
      <c r="D728" s="7" t="s">
        <v>39</v>
      </c>
      <c r="E728" s="48" t="s">
        <v>52</v>
      </c>
      <c r="F728" s="657">
        <f t="shared" ca="1" si="264"/>
        <v>565.30848696639123</v>
      </c>
      <c r="G728" s="658">
        <f ca="1">+IFERROR(G$5*GETPIVOTDATA("Unique Billed Hours",'County allocation'!$A$3,"County",$D720,"HHA/CDPAP","HHA","Level of Service",$D728),0)</f>
        <v>0</v>
      </c>
      <c r="H728" s="658">
        <f>+IFERROR(H$5*GETPIVOTDATA("Unique Billed Hours",'County allocation'!$S$3,"County",$D720,"HHA/CDPAP","HHA","Level of Service",$D728),0)</f>
        <v>0</v>
      </c>
      <c r="I728" s="664">
        <f t="shared" ca="1" si="265"/>
        <v>565.30848696639123</v>
      </c>
      <c r="J728" s="658">
        <f ca="1">+IFERROR(J$5*GETPIVOTDATA("Unique Billed Hours",'County allocation'!$AC$3,"County",$D720,"HHA/CDPAP","HHA","Level of Service",$D728),0)</f>
        <v>152.07646595911746</v>
      </c>
      <c r="K728" s="658">
        <f ca="1">+IFERROR(K$5*GETPIVOTDATA("Unique Billed Hours",'County allocation'!$X$3,"County",$D720,"HHA/CDPAP","HHA","Level of Service",$D728),0)</f>
        <v>0</v>
      </c>
      <c r="L728" s="658">
        <f ca="1">+IFERROR(L$5*GETPIVOTDATA("Unique Billed Hours",'County allocation'!$K$19,"County",$D720,"HHA/CDPAP","HHA","Level of Service",$D728),0)</f>
        <v>413.23202100727377</v>
      </c>
      <c r="M728" s="658">
        <f>+IFERROR(M$5*GETPIVOTDATA("Unique Billed Hours",'County allocation'!$S$3,"County",$D720,"HHA/CDPAP","HHA","Level of Service",$D728),0)</f>
        <v>0</v>
      </c>
      <c r="N728" s="658">
        <f>+IFERROR(N$5*GETPIVOTDATA("Unique Billed Hours",'County allocation'!$S$3,"County",$D720,"HHA/CDPAP","HHA","Level of Service",$D728),0)</f>
        <v>0</v>
      </c>
      <c r="O728" s="658">
        <f>+IFERROR(O$5*GETPIVOTDATA("Unique Billed Hours",'County allocation'!$K$19,"County",$D720,"HHA/CDPAP","HHA","Level of Service",$D728),0)</f>
        <v>0</v>
      </c>
      <c r="P728" s="658">
        <f>+IFERROR(P$5*GETPIVOTDATA("Unique Billed Hours",'County allocation'!$S$3,"County",$D720,"HHA/CDPAP","HHA","Level of Service",$D728),0)</f>
        <v>0</v>
      </c>
    </row>
    <row r="729" spans="1:18" s="54" customFormat="1" x14ac:dyDescent="0.25">
      <c r="A729" s="119"/>
      <c r="B729" s="309"/>
      <c r="C729" s="322">
        <f t="shared" ca="1" si="263"/>
        <v>1</v>
      </c>
      <c r="D729" s="8" t="s">
        <v>40</v>
      </c>
      <c r="E729" s="48" t="s">
        <v>51</v>
      </c>
      <c r="F729" s="657">
        <f t="shared" ca="1" si="264"/>
        <v>0</v>
      </c>
      <c r="G729" s="658">
        <f ca="1">+IFERROR(G$5*GETPIVOTDATA("Unique Billed Hours",'County allocation'!$A$3,"County",$D720,"HHA/CDPAP","HHA","Level of Service",$D729),0)</f>
        <v>0</v>
      </c>
      <c r="H729" s="658">
        <f>+IFERROR(H$5*GETPIVOTDATA("Unique Billed Hours",'County allocation'!$S$3,"County",$D720,"HHA/CDPAP","HHA","Level of Service",$D729),0)</f>
        <v>0</v>
      </c>
      <c r="I729" s="664">
        <f t="shared" ca="1" si="265"/>
        <v>0</v>
      </c>
      <c r="J729" s="658">
        <f ca="1">+IFERROR(J$5*GETPIVOTDATA("Unique Billed Hours",'County allocation'!$AC$3,"County",$D720,"HHA/CDPAP","HHA","Level of Service",$D729),0)</f>
        <v>0</v>
      </c>
      <c r="K729" s="658">
        <f ca="1">+IFERROR(K$5*GETPIVOTDATA("Unique Billed Hours",'County allocation'!$X$3,"County",$D720,"HHA/CDPAP","HHA","Level of Service",$D729),0)</f>
        <v>0</v>
      </c>
      <c r="L729" s="658">
        <f ca="1">+IFERROR(L$2*GETPIVOTDATA("Unique Billed Hours",'County allocation'!$O$3,"County",$D720,"HHA/CDPAP","HHA","Level of Service",$D729),0)</f>
        <v>0</v>
      </c>
      <c r="M729" s="658">
        <f>+IFERROR(M$5*GETPIVOTDATA("Unique Billed Hours",'County allocation'!$S$3,"County",$D720,"HHA/CDPAP","HHA","Level of Service",$D729),0)</f>
        <v>0</v>
      </c>
      <c r="N729" s="658">
        <f>+IFERROR(N$5*GETPIVOTDATA("Unique Billed Hours",'County allocation'!$S$3,"County",$D720,"HHA/CDPAP","HHA","Level of Service",$D729),0)</f>
        <v>0</v>
      </c>
      <c r="O729" s="658">
        <f>+IFERROR(O$5*GETPIVOTDATA("Unique Billed Hours",'County allocation'!$K$19,"County",$D720,"HHA/CDPAP","HHA","Level of Service",$D729),0)</f>
        <v>0</v>
      </c>
      <c r="P729" s="658">
        <f>+IFERROR(P$5*GETPIVOTDATA("Unique Billed Hours",'County allocation'!$S$3,"County",$D720,"HHA/CDPAP","HHA","Level of Service",$D729),0)</f>
        <v>0</v>
      </c>
    </row>
    <row r="730" spans="1:18" s="54" customFormat="1" x14ac:dyDescent="0.25">
      <c r="A730" s="119"/>
      <c r="B730" s="309"/>
      <c r="C730" s="322">
        <f t="shared" ca="1" si="263"/>
        <v>1</v>
      </c>
      <c r="D730" s="8" t="s">
        <v>41</v>
      </c>
      <c r="E730" s="48" t="s">
        <v>50</v>
      </c>
      <c r="F730" s="657">
        <f t="shared" ca="1" si="264"/>
        <v>0</v>
      </c>
      <c r="G730" s="658">
        <f ca="1">+IFERROR(G$5*GETPIVOTDATA("Unique Billed Hours",'County allocation'!$A$3,"County",$D720,"HHA/CDPAP","HHA","Level of Service",$D730),0)</f>
        <v>0</v>
      </c>
      <c r="H730" s="658">
        <f>+IFERROR(H$5*GETPIVOTDATA("Unique Billed Hours",'County allocation'!$S$3,"County",$D720,"HHA/CDPAP","HHA","Level of Service",$D730),0)</f>
        <v>0</v>
      </c>
      <c r="I730" s="664">
        <f t="shared" ca="1" si="265"/>
        <v>0</v>
      </c>
      <c r="J730" s="658">
        <f ca="1">+IFERROR(J$5*GETPIVOTDATA("Unique Billed Hours",'County allocation'!$AC$3,"County",$D720,"HHA/CDPAP","HHA","Level of Service",$D730),0)</f>
        <v>0</v>
      </c>
      <c r="K730" s="658">
        <f ca="1">+IFERROR(K$5*GETPIVOTDATA("Unique Billed Hours",'County allocation'!$X$3,"County",$D720,"HHA/CDPAP","HHA","Level of Service",$D730),0)</f>
        <v>0</v>
      </c>
      <c r="L730" s="658">
        <f ca="1">+IFERROR(L$2*GETPIVOTDATA("Unique Billed Hours",'County allocation'!$O$3,"County",$D720,"HHA/CDPAP","HHA","Level of Service",$D730),0)</f>
        <v>0</v>
      </c>
      <c r="M730" s="658">
        <f>+IFERROR(M$5*GETPIVOTDATA("Unique Billed Hours",'County allocation'!$S$3,"County",$D720,"HHA/CDPAP","HHA","Level of Service",$D730),0)</f>
        <v>0</v>
      </c>
      <c r="N730" s="658">
        <f>+IFERROR(N$5*GETPIVOTDATA("Unique Billed Hours",'County allocation'!$S$3,"County",$D720,"HHA/CDPAP","HHA","Level of Service",$D730),0)</f>
        <v>0</v>
      </c>
      <c r="O730" s="658">
        <f>+IFERROR(O$5*GETPIVOTDATA("Unique Billed Hours",'County allocation'!$K$19,"County",$D720,"HHA/CDPAP","HHA","Level of Service",$D730),0)</f>
        <v>0</v>
      </c>
      <c r="P730" s="658">
        <f>+IFERROR(P$5*GETPIVOTDATA("Unique Billed Hours",'County allocation'!$S$3,"County",$D720,"HHA/CDPAP","HHA","Level of Service",$D730),0)</f>
        <v>0</v>
      </c>
    </row>
    <row r="731" spans="1:18" s="54" customFormat="1" ht="15.75" thickBot="1" x14ac:dyDescent="0.3">
      <c r="A731" s="119"/>
      <c r="B731" s="309"/>
      <c r="C731" s="322">
        <f t="shared" ca="1" si="263"/>
        <v>1</v>
      </c>
      <c r="D731" s="52" t="s">
        <v>389</v>
      </c>
      <c r="E731" s="53" t="s">
        <v>49</v>
      </c>
      <c r="F731" s="657">
        <f t="shared" ca="1" si="264"/>
        <v>290289.19871686859</v>
      </c>
      <c r="G731" s="661">
        <f ca="1">SUM(G723:G730)</f>
        <v>9719.3427958561697</v>
      </c>
      <c r="H731" s="661">
        <f>SUM(H723:H730)</f>
        <v>16625.892888796781</v>
      </c>
      <c r="I731" s="664">
        <f t="shared" ca="1" si="265"/>
        <v>263943.96303221566</v>
      </c>
      <c r="J731" s="661">
        <f ca="1">SUM(J723:J730)</f>
        <v>34767.968258058769</v>
      </c>
      <c r="K731" s="661">
        <f t="shared" ref="K731:P731" ca="1" si="266">SUM(K723:K730)</f>
        <v>223778.02825035143</v>
      </c>
      <c r="L731" s="661">
        <f t="shared" ca="1" si="266"/>
        <v>3622.8435238991942</v>
      </c>
      <c r="M731" s="661">
        <f t="shared" si="266"/>
        <v>1637.9374619533273</v>
      </c>
      <c r="N731" s="661">
        <f t="shared" si="266"/>
        <v>137.18553795293141</v>
      </c>
      <c r="O731" s="661">
        <f t="shared" si="266"/>
        <v>0</v>
      </c>
      <c r="P731" s="661">
        <f t="shared" si="266"/>
        <v>0</v>
      </c>
    </row>
    <row r="732" spans="1:18" s="54" customFormat="1" x14ac:dyDescent="0.25">
      <c r="A732" s="119"/>
      <c r="B732" s="309"/>
      <c r="C732" s="322">
        <f t="shared" ca="1" si="263"/>
        <v>1</v>
      </c>
      <c r="D732" s="371" t="s">
        <v>390</v>
      </c>
      <c r="E732" s="325" t="s">
        <v>47</v>
      </c>
      <c r="F732" s="657">
        <f t="shared" ca="1" si="264"/>
        <v>4109.6492017757828</v>
      </c>
      <c r="G732" s="665">
        <f ca="1">+IFERROR((G$5*GETPIVOTDATA("Unique Billed Hours",'County allocation'!$A$3,"County",$D720,"HHA/CDPAP","HHA","Level of Service",$D732))+($G$2*GETPIVOTDATA("Unique Billed Hours",'County allocation'!$F$7,"County",$D720,"HHA/CDPAP","HHA","Level of Service",$D732)),0)++IFERROR(J$5*GETPIVOTDATA("Unique Billed Hours",'County allocation'!$AC$3,"County",$D720,"HHA/CDPAP","HHA","Level of Service",$D732),0)+ +IFERROR(J$5*GETPIVOTDATA("Unique Billed Hours",'County allocation'!$AC$3,"County",$D720,"HHA/CDPAP","HHA","Level of Service",$D733),0)</f>
        <v>4109.6492017757828</v>
      </c>
      <c r="H732" s="665">
        <f>+IFERROR(H$5*GETPIVOTDATA("Unique Billed Hours",'County allocation'!$S$3,"County",$D720,"HHA/CDPAP","HHA","Level of Service",$D732),0)</f>
        <v>0</v>
      </c>
      <c r="I732" s="664">
        <f t="shared" ca="1" si="265"/>
        <v>0</v>
      </c>
      <c r="J732" s="901"/>
      <c r="K732" s="665">
        <f ca="1">+IFERROR(K$5*GETPIVOTDATA("Unique Billed Hours",'County allocation'!$X$3,"County",$D720,"HHA/CDPAP","HHA","Level of Service",$D732),0)</f>
        <v>0</v>
      </c>
      <c r="L732" s="665">
        <f ca="1">+IFERROR(L$5*GETPIVOTDATA("Unique Billed Hours",'County allocation'!$K$19,"County",$D720,"HHA/CDPAP","HHA","Level of Service",$D732),0)</f>
        <v>0</v>
      </c>
      <c r="M732" s="665">
        <f>+IFERROR(M$5*GETPIVOTDATA("Unique Billed Hours",'County allocation'!$S$3,"County",$D720,"HHA/CDPAP","HHA","Level of Service",$D732),0)</f>
        <v>0</v>
      </c>
      <c r="N732" s="665">
        <f>+IFERROR(N$5*GETPIVOTDATA("Unique Billed Hours",'County allocation'!$S$3,"County",$D720,"HHA/CDPAP","HHA","Level of Service",$D732),0)</f>
        <v>0</v>
      </c>
      <c r="O732" s="665">
        <f>+IFERROR(O$5*GETPIVOTDATA("Unique Billed Hours",'County allocation'!$S$3,"County",$D720,"HHA/CDPAP","HHA","Level of Service",$D732),0)</f>
        <v>0</v>
      </c>
      <c r="P732" s="665">
        <f>+IFERROR(P$5*GETPIVOTDATA("Unique Billed Hours",'County allocation'!$S$3,"County",$D720,"HHA/CDPAP","HHA","Level of Service",$D732),0)</f>
        <v>0</v>
      </c>
    </row>
    <row r="733" spans="1:18" s="54" customFormat="1" x14ac:dyDescent="0.25">
      <c r="A733" s="119"/>
      <c r="B733" s="309"/>
      <c r="C733" s="322">
        <f t="shared" ca="1" si="263"/>
        <v>1</v>
      </c>
      <c r="D733" s="8" t="s">
        <v>391</v>
      </c>
      <c r="E733" s="370" t="s">
        <v>77</v>
      </c>
      <c r="F733" s="657">
        <f t="shared" ca="1" si="264"/>
        <v>0</v>
      </c>
      <c r="G733" s="656"/>
      <c r="H733" s="658">
        <f>+IFERROR(H$5*GETPIVOTDATA("Unique Billed Hours",'County allocation'!$S$3,"County",$D720,"HHA/CDPAP","HHA","Level of Service",$D733),0)</f>
        <v>0</v>
      </c>
      <c r="I733" s="664">
        <f t="shared" ca="1" si="265"/>
        <v>0</v>
      </c>
      <c r="J733" s="901"/>
      <c r="K733" s="665">
        <f ca="1">+IFERROR(K$5*GETPIVOTDATA("Unique Billed Hours",'County allocation'!$X$3,"County",$D720,"HHA/CDPAP","HHA","Level of Service",$D733),0)</f>
        <v>0</v>
      </c>
      <c r="L733" s="665">
        <f ca="1">+IFERROR(L$5*GETPIVOTDATA("Unique Billed Hours",'County allocation'!$K$19,"County",$D720,"HHA/CDPAP","HHA","Level of Service",$D733),0)</f>
        <v>0</v>
      </c>
      <c r="M733" s="665">
        <f>+IFERROR(M$5*GETPIVOTDATA("Unique Billed Hours",'County allocation'!$S$3,"County",$D720,"HHA/CDPAP","HHA","Level of Service",$D733),0)</f>
        <v>0</v>
      </c>
      <c r="N733" s="665">
        <f>+IFERROR(N$5*GETPIVOTDATA("Unique Billed Hours",'County allocation'!$S$3,"County",$D720,"HHA/CDPAP","HHA","Level of Service",$D733),0)</f>
        <v>0</v>
      </c>
      <c r="O733" s="665">
        <f>+IFERROR(O$5*GETPIVOTDATA("Unique Billed Hours",'County allocation'!$S$3,"County",$D720,"HHA/CDPAP","HHA","Level of Service",$D733),0)</f>
        <v>0</v>
      </c>
      <c r="P733" s="665">
        <f>+IFERROR(P$5*GETPIVOTDATA("Unique Billed Hours",'County allocation'!$S$3,"County",$D720,"HHA/CDPAP","HHA","Level of Service",$D733),0)</f>
        <v>0</v>
      </c>
    </row>
    <row r="734" spans="1:18" s="54" customFormat="1" x14ac:dyDescent="0.25">
      <c r="A734" s="119"/>
      <c r="B734" s="309"/>
      <c r="C734" s="322">
        <f t="shared" ca="1" si="263"/>
        <v>1</v>
      </c>
      <c r="D734" s="8" t="s">
        <v>374</v>
      </c>
      <c r="E734" s="370" t="s">
        <v>78</v>
      </c>
      <c r="F734" s="657">
        <f t="shared" ca="1" si="264"/>
        <v>442.19421816531576</v>
      </c>
      <c r="G734" s="658">
        <f ca="1">+IFERROR(G$5*GETPIVOTDATA("Unique Billed Hours",'County allocation'!$A$3,"County",$D720,"HHA/CDPAP","HHA","Level of Service",$D734),0)++IFERROR(J$5*GETPIVOTDATA("Unique Billed Hours",'County allocation'!$AC$3,"County",$D720,"HHA/CDPAP","HHA","Level of Service",$D734),0)</f>
        <v>442.19421816531576</v>
      </c>
      <c r="H734" s="658">
        <f>+IFERROR(H$5*GETPIVOTDATA("Unique Billed Hours",'County allocation'!$S$3,"County",$D720,"HHA/CDPAP","HHA","Level of Service",$D734),0)</f>
        <v>0</v>
      </c>
      <c r="I734" s="664">
        <f t="shared" ca="1" si="265"/>
        <v>0</v>
      </c>
      <c r="J734" s="901"/>
      <c r="K734" s="665">
        <f ca="1">+IFERROR(K$5*GETPIVOTDATA("Unique Billed Hours",'County allocation'!$X$3,"County",$D720,"HHA/CDPAP","HHA","Level of Service",$D734),0)</f>
        <v>0</v>
      </c>
      <c r="L734" s="665">
        <f ca="1">+IFERROR(L$5*GETPIVOTDATA("Unique Billed Hours",'County allocation'!$K$19,"County",$D720,"HHA/CDPAP","HHA","Level of Service",$D734),0)</f>
        <v>0</v>
      </c>
      <c r="M734" s="665">
        <f>+IFERROR(M$5*GETPIVOTDATA("Unique Billed Hours",'County allocation'!$S$3,"County",$D720,"HHA/CDPAP","HHA","Level of Service",$D734),0)</f>
        <v>0</v>
      </c>
      <c r="N734" s="665">
        <f>+IFERROR(N$5*GETPIVOTDATA("Unique Billed Hours",'County allocation'!$S$3,"County",$D720,"HHA/CDPAP","HHA","Level of Service",$D734),0)</f>
        <v>0</v>
      </c>
      <c r="O734" s="665">
        <f>+IFERROR(O$5*GETPIVOTDATA("Unique Billed Hours",'County allocation'!$S$3,"County",$D720,"HHA/CDPAP","HHA","Level of Service",$D734),0)</f>
        <v>0</v>
      </c>
      <c r="P734" s="665">
        <f>+IFERROR(P$5*GETPIVOTDATA("Unique Billed Hours",'County allocation'!$S$3,"County",$D720,"HHA/CDPAP","HHA","Level of Service",$D734),0)</f>
        <v>0</v>
      </c>
    </row>
    <row r="735" spans="1:18" s="54" customFormat="1" ht="15.75" thickBot="1" x14ac:dyDescent="0.3">
      <c r="A735" s="302"/>
      <c r="B735" s="309"/>
      <c r="C735" s="322">
        <f ca="1">C734</f>
        <v>1</v>
      </c>
      <c r="D735" s="52" t="s">
        <v>48</v>
      </c>
      <c r="E735" s="53" t="s">
        <v>79</v>
      </c>
      <c r="F735" s="657">
        <f t="shared" ca="1" si="264"/>
        <v>294841.04213680973</v>
      </c>
      <c r="G735" s="661">
        <f t="shared" ref="G735" ca="1" si="267">SUM(G731:G734)</f>
        <v>14271.186215797268</v>
      </c>
      <c r="H735" s="661">
        <f t="shared" ref="H735:P735" si="268">SUM(H731:H734)</f>
        <v>16625.892888796781</v>
      </c>
      <c r="I735" s="661">
        <f t="shared" ca="1" si="268"/>
        <v>263943.96303221566</v>
      </c>
      <c r="J735" s="661">
        <f t="shared" ca="1" si="268"/>
        <v>34767.968258058769</v>
      </c>
      <c r="K735" s="661">
        <f t="shared" ca="1" si="268"/>
        <v>223778.02825035143</v>
      </c>
      <c r="L735" s="661">
        <f t="shared" ca="1" si="268"/>
        <v>3622.8435238991942</v>
      </c>
      <c r="M735" s="661">
        <f t="shared" si="268"/>
        <v>1637.9374619533273</v>
      </c>
      <c r="N735" s="661">
        <f t="shared" si="268"/>
        <v>137.18553795293141</v>
      </c>
      <c r="O735" s="661">
        <f t="shared" si="268"/>
        <v>0</v>
      </c>
      <c r="P735" s="661">
        <f t="shared" si="268"/>
        <v>0</v>
      </c>
    </row>
    <row r="736" spans="1:18" ht="15.75" hidden="1" thickBot="1" x14ac:dyDescent="0.3"/>
    <row r="737" spans="1:18" s="54" customFormat="1" ht="75" x14ac:dyDescent="0.25">
      <c r="A737" s="119"/>
      <c r="B737" s="309"/>
      <c r="C737" s="322">
        <f ca="1">IF(F752&gt;0,1,0)</f>
        <v>1</v>
      </c>
      <c r="D737" s="45" t="str">
        <f>A46</f>
        <v>Richmond</v>
      </c>
      <c r="E737" s="28">
        <f>+SUMIF(A:A,D737,B:B)</f>
        <v>0.11418343852982973</v>
      </c>
      <c r="F737" s="652" t="s">
        <v>61</v>
      </c>
      <c r="G737" s="652" t="s">
        <v>387</v>
      </c>
      <c r="H737" s="652" t="s">
        <v>388</v>
      </c>
      <c r="I737" s="652" t="s">
        <v>392</v>
      </c>
      <c r="J737" s="652" t="s">
        <v>31</v>
      </c>
      <c r="K737" s="652" t="s">
        <v>32</v>
      </c>
      <c r="L737" s="653" t="s">
        <v>33</v>
      </c>
      <c r="M737" s="653" t="s">
        <v>60</v>
      </c>
      <c r="N737" s="653" t="s">
        <v>59</v>
      </c>
      <c r="O737" s="653" t="s">
        <v>58</v>
      </c>
      <c r="P737" s="653" t="s">
        <v>16</v>
      </c>
    </row>
    <row r="738" spans="1:18" s="54" customFormat="1" x14ac:dyDescent="0.25">
      <c r="A738" s="119"/>
      <c r="B738" s="309"/>
      <c r="C738" s="322">
        <f ca="1">C737</f>
        <v>1</v>
      </c>
      <c r="D738" s="56"/>
      <c r="E738" s="57"/>
      <c r="F738" s="654" t="s">
        <v>57</v>
      </c>
      <c r="G738" s="654" t="s">
        <v>56</v>
      </c>
      <c r="H738" s="654" t="s">
        <v>55</v>
      </c>
      <c r="I738" s="654" t="s">
        <v>54</v>
      </c>
      <c r="J738" s="654" t="s">
        <v>53</v>
      </c>
      <c r="K738" s="654" t="s">
        <v>52</v>
      </c>
      <c r="L738" s="654" t="s">
        <v>51</v>
      </c>
      <c r="M738" s="654" t="s">
        <v>50</v>
      </c>
      <c r="N738" s="654" t="s">
        <v>49</v>
      </c>
      <c r="O738" s="654" t="s">
        <v>47</v>
      </c>
      <c r="P738" s="655" t="s">
        <v>77</v>
      </c>
    </row>
    <row r="739" spans="1:18" s="54" customFormat="1" x14ac:dyDescent="0.25">
      <c r="A739" s="119"/>
      <c r="B739" s="309"/>
      <c r="C739" s="322">
        <f t="shared" ref="C739:C751" ca="1" si="269">C738</f>
        <v>1</v>
      </c>
      <c r="D739" s="59" t="s">
        <v>26</v>
      </c>
      <c r="E739" s="57"/>
      <c r="F739" s="656"/>
      <c r="G739" s="656"/>
      <c r="H739" s="656"/>
      <c r="I739" s="656"/>
      <c r="J739" s="656"/>
      <c r="K739" s="656"/>
      <c r="L739" s="656"/>
      <c r="M739" s="656"/>
      <c r="N739" s="656"/>
      <c r="O739" s="656"/>
      <c r="P739" s="663"/>
    </row>
    <row r="740" spans="1:18" s="54" customFormat="1" x14ac:dyDescent="0.25">
      <c r="A740" s="119"/>
      <c r="B740" s="309"/>
      <c r="C740" s="322">
        <f t="shared" ca="1" si="269"/>
        <v>1</v>
      </c>
      <c r="D740" s="7" t="s">
        <v>34</v>
      </c>
      <c r="E740" s="48" t="s">
        <v>57</v>
      </c>
      <c r="F740" s="657">
        <f ca="1">+H740+G740+I740</f>
        <v>20631.904911586782</v>
      </c>
      <c r="G740" s="658">
        <f ca="1">+IFERROR(G$5*GETPIVOTDATA("Unique Billed Hours",'County allocation'!$A$3,"County",$D737,"HHA/CDPAP","HHA","Level of Service",$D740),0)</f>
        <v>692.13676582934431</v>
      </c>
      <c r="H740" s="658">
        <f>+IFERROR(H$5*GETPIVOTDATA("Unique Billed Hours",'County allocation'!$S$3,"County",$D737,"HHA/CDPAP","HHA","Level of Service",$D740),0)</f>
        <v>1183.9680907214283</v>
      </c>
      <c r="I740" s="664">
        <f ca="1">SUM(J740:P740)</f>
        <v>18755.800055036008</v>
      </c>
      <c r="J740" s="658">
        <f ca="1">+IFERROR(J$5*GETPIVOTDATA("Unique Billed Hours",'County allocation'!$AC$3,"County",$D737,"HHA/CDPAP","HHA","Level of Service",$D740),0)</f>
        <v>2465.0773097021811</v>
      </c>
      <c r="K740" s="658">
        <f ca="1">+IFERROR(K$5*GETPIVOTDATA("Unique Billed Hours",'County allocation'!$X$3,"County",$D737,"HHA/CDPAP","HHA","Level of Service",$D740),0)</f>
        <v>15935.748330936627</v>
      </c>
      <c r="L740" s="658">
        <f ca="1">+IFERROR(L$2*GETPIVOTDATA("Unique Billed Hours",'County allocation'!$O$3,"County",$D737,"HHA/CDPAP","HHA","Level of Service",$D740),0)</f>
        <v>228.56382080971613</v>
      </c>
      <c r="M740" s="658">
        <f>+IFERROR(M$5*GETPIVOTDATA("Unique Billed Hours",'County allocation'!$S$3,"County",$D737,"HHA/CDPAP","HHA","Level of Service",$D740),0)</f>
        <v>116.64129575000096</v>
      </c>
      <c r="N740" s="658">
        <f>+IFERROR(N$5*GETPIVOTDATA("Unique Billed Hours",'County allocation'!$S$3,"County",$D737,"HHA/CDPAP","HHA","Level of Service",$D740),0)</f>
        <v>9.7692978374816697</v>
      </c>
      <c r="O740" s="658">
        <f>+IFERROR(O$5*GETPIVOTDATA("Unique Billed Hours",'County allocation'!$K$19,"County",$D737,"HHA/CDPAP","HHA","Level of Service",$D740),0)</f>
        <v>0</v>
      </c>
      <c r="P740" s="658">
        <f>+IFERROR(P$5*GETPIVOTDATA("Unique Billed Hours",'County allocation'!$S$3,"County",$D737,"HHA/CDPAP","HHA","Level of Service",$D740),0)</f>
        <v>0</v>
      </c>
    </row>
    <row r="741" spans="1:18" s="54" customFormat="1" x14ac:dyDescent="0.25">
      <c r="A741" s="119"/>
      <c r="B741" s="309"/>
      <c r="C741" s="322">
        <f t="shared" ca="1" si="269"/>
        <v>1</v>
      </c>
      <c r="D741" s="7" t="s">
        <v>35</v>
      </c>
      <c r="E741" s="48" t="s">
        <v>56</v>
      </c>
      <c r="F741" s="657">
        <f t="shared" ref="F741:F752" ca="1" si="270">+H741+G741+I741</f>
        <v>9686434.2499916703</v>
      </c>
      <c r="G741" s="658">
        <f ca="1">+IFERROR(G$5*GETPIVOTDATA("Unique Billed Hours",'County allocation'!$A$3,"County",$D737,"HHA/CDPAP","HHA","Level of Service",$D741),0)</f>
        <v>324949.98900672031</v>
      </c>
      <c r="H741" s="658">
        <f>+IFERROR(H$5*GETPIVOTDATA("Unique Billed Hours",'County allocation'!$S$3,"County",$D737,"HHA/CDPAP","HHA","Level of Service",$D741),0)</f>
        <v>555858.95311201597</v>
      </c>
      <c r="I741" s="664">
        <f t="shared" ref="I741:I751" ca="1" si="271">SUM(J741:P741)</f>
        <v>8805625.3078729343</v>
      </c>
      <c r="J741" s="658">
        <f ca="1">+IFERROR(J$5*GETPIVOTDATA("Unique Billed Hours",'County allocation'!$AC$3,"County",$D737,"HHA/CDPAP","HHA","Level of Service",$D741),0)</f>
        <v>1157324.5119100402</v>
      </c>
      <c r="K741" s="658">
        <f ca="1">+IFERROR(K$5*GETPIVOTDATA("Unique Billed Hours",'County allocation'!$X$3,"County",$D737,"HHA/CDPAP","HHA","Level of Service",$D741),0)</f>
        <v>7481644.5254816944</v>
      </c>
      <c r="L741" s="658">
        <f ca="1">+IFERROR(L$2*GETPIVOTDATA("Unique Billed Hours",'County allocation'!$O$3,"County",$D737,"HHA/CDPAP","HHA","Level of Service",$D741),0)</f>
        <v>107307.99854340346</v>
      </c>
      <c r="M741" s="658">
        <f>+IFERROR(M$5*GETPIVOTDATA("Unique Billed Hours",'County allocation'!$S$3,"County",$D737,"HHA/CDPAP","HHA","Level of Service",$D741),0)</f>
        <v>54761.702661866439</v>
      </c>
      <c r="N741" s="658">
        <f>+IFERROR(N$5*GETPIVOTDATA("Unique Billed Hours",'County allocation'!$S$3,"County",$D737,"HHA/CDPAP","HHA","Level of Service",$D741),0)</f>
        <v>4586.5692759280028</v>
      </c>
      <c r="O741" s="658">
        <f>+IFERROR(O$5*GETPIVOTDATA("Unique Billed Hours",'County allocation'!$K$19,"County",$D737,"HHA/CDPAP","HHA","Level of Service",$D741),0)</f>
        <v>0</v>
      </c>
      <c r="P741" s="658">
        <f>+IFERROR(P$5*GETPIVOTDATA("Unique Billed Hours",'County allocation'!$S$3,"County",$D737,"HHA/CDPAP","HHA","Level of Service",$D741),0)</f>
        <v>0</v>
      </c>
      <c r="R741" s="61"/>
    </row>
    <row r="742" spans="1:18" s="54" customFormat="1" x14ac:dyDescent="0.25">
      <c r="A742" s="302"/>
      <c r="B742" s="309"/>
      <c r="C742" s="322">
        <f t="shared" ca="1" si="269"/>
        <v>1</v>
      </c>
      <c r="D742" s="7" t="s">
        <v>36</v>
      </c>
      <c r="E742" s="48" t="s">
        <v>55</v>
      </c>
      <c r="F742" s="657">
        <f t="shared" ca="1" si="270"/>
        <v>0</v>
      </c>
      <c r="G742" s="658">
        <f ca="1">+IFERROR(G$5*GETPIVOTDATA("Unique Billed Hours",'County allocation'!$A$3,"County",$D737,"HHA/CDPAP","HHA","Level of Service",$D742),0)</f>
        <v>0</v>
      </c>
      <c r="H742" s="658">
        <f>+IFERROR(H$5*GETPIVOTDATA("Unique Billed Hours",'County allocation'!$S$3,"County",$D737,"HHA/CDPAP","HHA","Level of Service",$D742),0)</f>
        <v>0</v>
      </c>
      <c r="I742" s="664">
        <f t="shared" ca="1" si="271"/>
        <v>0</v>
      </c>
      <c r="J742" s="658">
        <f ca="1">+IFERROR(J$5*GETPIVOTDATA("Unique Billed Hours",'County allocation'!$AC$3,"County",$D737,"HHA/CDPAP","HHA","Level of Service",$D742),0)</f>
        <v>0</v>
      </c>
      <c r="K742" s="658">
        <f ca="1">+IFERROR(K$5*GETPIVOTDATA("Unique Billed Hours",'County allocation'!$X$3,"County",$D737,"HHA/CDPAP","HHA","Level of Service",$D742),0)</f>
        <v>0</v>
      </c>
      <c r="L742" s="658">
        <f ca="1">+IFERROR(L$2*GETPIVOTDATA("Unique Billed Hours",'County allocation'!$O$3,"County",$D737,"HHA/CDPAP","HHA","Level of Service",$D742),0)</f>
        <v>0</v>
      </c>
      <c r="M742" s="658">
        <f>+IFERROR(M$5*GETPIVOTDATA("Unique Billed Hours",'County allocation'!$S$3,"County",$D737,"HHA/CDPAP","HHA","Level of Service",$D742),0)</f>
        <v>0</v>
      </c>
      <c r="N742" s="658">
        <f>+IFERROR(N$5*GETPIVOTDATA("Unique Billed Hours",'County allocation'!$S$3,"County",$D737,"HHA/CDPAP","HHA","Level of Service",$D742),0)</f>
        <v>0</v>
      </c>
      <c r="O742" s="658">
        <f>+IFERROR(O$5*GETPIVOTDATA("Unique Billed Hours",'County allocation'!$K$19,"County",$D737,"HHA/CDPAP","HHA","Level of Service",$D742),0)</f>
        <v>0</v>
      </c>
      <c r="P742" s="658">
        <f>+IFERROR(P$5*GETPIVOTDATA("Unique Billed Hours",'County allocation'!$S$3,"County",$D737,"HHA/CDPAP","HHA","Level of Service",$D742),0)</f>
        <v>0</v>
      </c>
    </row>
    <row r="743" spans="1:18" s="54" customFormat="1" x14ac:dyDescent="0.25">
      <c r="A743" s="119"/>
      <c r="B743" s="309"/>
      <c r="C743" s="322">
        <f t="shared" ca="1" si="269"/>
        <v>1</v>
      </c>
      <c r="D743" s="7" t="s">
        <v>37</v>
      </c>
      <c r="E743" s="48" t="s">
        <v>54</v>
      </c>
      <c r="F743" s="657">
        <f t="shared" ca="1" si="270"/>
        <v>813029.49675771885</v>
      </c>
      <c r="G743" s="658">
        <f ca="1">+IFERROR(G$5*GETPIVOTDATA("Unique Billed Hours",'County allocation'!$A$3,"County",$D737,"HHA/CDPAP","HHA","Level of Service",$D743),0)</f>
        <v>27274.63163586615</v>
      </c>
      <c r="H743" s="658">
        <f>+IFERROR(H$5*GETPIVOTDATA("Unique Billed Hours",'County allocation'!$S$3,"County",$D737,"HHA/CDPAP","HHA","Level of Service",$D743),0)</f>
        <v>46655.943069796151</v>
      </c>
      <c r="I743" s="664">
        <f t="shared" ca="1" si="271"/>
        <v>739098.92205205653</v>
      </c>
      <c r="J743" s="658">
        <f ca="1">+IFERROR(J$5*GETPIVOTDATA("Unique Billed Hours",'County allocation'!$AC$3,"County",$D737,"HHA/CDPAP","HHA","Level of Service",$D743),0)</f>
        <v>97139.870175075193</v>
      </c>
      <c r="K743" s="658">
        <f ca="1">+IFERROR(K$5*GETPIVOTDATA("Unique Billed Hours",'County allocation'!$X$3,"County",$D737,"HHA/CDPAP","HHA","Level of Service",$D743),0)</f>
        <v>627970.78124778031</v>
      </c>
      <c r="L743" s="658">
        <f ca="1">+IFERROR(L$2*GETPIVOTDATA("Unique Billed Hours",'County allocation'!$O$3,"County",$D737,"HHA/CDPAP","HHA","Level of Service",$D743),0)</f>
        <v>9006.8817690985106</v>
      </c>
      <c r="M743" s="658">
        <f>+IFERROR(M$5*GETPIVOTDATA("Unique Billed Hours",'County allocation'!$S$3,"County",$D737,"HHA/CDPAP","HHA","Level of Service",$D743),0)</f>
        <v>4596.4158128478912</v>
      </c>
      <c r="N743" s="658">
        <f>+IFERROR(N$5*GETPIVOTDATA("Unique Billed Hours",'County allocation'!$S$3,"County",$D737,"HHA/CDPAP","HHA","Level of Service",$D743),0)</f>
        <v>384.97304725475914</v>
      </c>
      <c r="O743" s="658">
        <f>+IFERROR(O$5*GETPIVOTDATA("Unique Billed Hours",'County allocation'!$K$19,"County",$D737,"HHA/CDPAP","HHA","Level of Service",$D743),0)</f>
        <v>0</v>
      </c>
      <c r="P743" s="658">
        <f>+IFERROR(P$5*GETPIVOTDATA("Unique Billed Hours",'County allocation'!$S$3,"County",$D737,"HHA/CDPAP","HHA","Level of Service",$D743),0)</f>
        <v>0</v>
      </c>
    </row>
    <row r="744" spans="1:18" s="54" customFormat="1" x14ac:dyDescent="0.25">
      <c r="A744" s="119"/>
      <c r="B744" s="309"/>
      <c r="C744" s="322">
        <f t="shared" ca="1" si="269"/>
        <v>1</v>
      </c>
      <c r="D744" s="7" t="s">
        <v>38</v>
      </c>
      <c r="E744" s="48" t="s">
        <v>53</v>
      </c>
      <c r="F744" s="657">
        <f t="shared" ca="1" si="270"/>
        <v>6743.2379282972388</v>
      </c>
      <c r="G744" s="658">
        <f ca="1">+IFERROR(G$5*GETPIVOTDATA("Unique Billed Hours",'County allocation'!$A$3,"County",$D737,"HHA/CDPAP","HHA","Level of Service",$D744),0)</f>
        <v>0</v>
      </c>
      <c r="H744" s="658">
        <f>+IFERROR(H$5*GETPIVOTDATA("Unique Billed Hours",'County allocation'!$S$3,"County",$D737,"HHA/CDPAP","HHA","Level of Service",$D744),0)</f>
        <v>0</v>
      </c>
      <c r="I744" s="664">
        <f t="shared" ca="1" si="271"/>
        <v>6743.2379282972388</v>
      </c>
      <c r="J744" s="658">
        <f ca="1">+IFERROR(J$5*GETPIVOTDATA("Unique Billed Hours",'County allocation'!$AC$3,"County",$D737,"HHA/CDPAP","HHA","Level of Service",$D744),0)</f>
        <v>131.52559218085835</v>
      </c>
      <c r="K744" s="658">
        <f ca="1">+IFERROR(K$5*GETPIVOTDATA("Unique Billed Hours",'County allocation'!$X$3,"County",$D737,"HHA/CDPAP","HHA","Level of Service",$D744),0)</f>
        <v>0</v>
      </c>
      <c r="L744" s="658">
        <f ca="1">+IFERROR(L$5*GETPIVOTDATA("Unique Billed Hours",'County allocation'!$K$19,"County",$D737,"HHA/CDPAP","HHA","Level of Service",$D744),0)</f>
        <v>6611.7123361163804</v>
      </c>
      <c r="M744" s="658">
        <f>+IFERROR(M$5*GETPIVOTDATA("Unique Billed Hours",'County allocation'!$S$3,"County",$D737,"HHA/CDPAP","HHA","Level of Service",$D744),0)</f>
        <v>0</v>
      </c>
      <c r="N744" s="658">
        <f>+IFERROR(N$5*GETPIVOTDATA("Unique Billed Hours",'County allocation'!$S$3,"County",$D737,"HHA/CDPAP","HHA","Level of Service",$D744),0)</f>
        <v>0</v>
      </c>
      <c r="O744" s="658">
        <f>+IFERROR(O$5*GETPIVOTDATA("Unique Billed Hours",'County allocation'!$K$19,"County",$D737,"HHA/CDPAP","HHA","Level of Service",$D744),0)</f>
        <v>0</v>
      </c>
      <c r="P744" s="658">
        <f>+IFERROR(P$5*GETPIVOTDATA("Unique Billed Hours",'County allocation'!$S$3,"County",$D737,"HHA/CDPAP","HHA","Level of Service",$D744),0)</f>
        <v>0</v>
      </c>
    </row>
    <row r="745" spans="1:18" s="54" customFormat="1" x14ac:dyDescent="0.25">
      <c r="A745" s="119"/>
      <c r="B745" s="309"/>
      <c r="C745" s="322">
        <f t="shared" ca="1" si="269"/>
        <v>1</v>
      </c>
      <c r="D745" s="7" t="s">
        <v>39</v>
      </c>
      <c r="E745" s="48" t="s">
        <v>52</v>
      </c>
      <c r="F745" s="657">
        <f t="shared" ca="1" si="270"/>
        <v>7480.5359227439449</v>
      </c>
      <c r="G745" s="658">
        <f ca="1">+IFERROR(G$5*GETPIVOTDATA("Unique Billed Hours",'County allocation'!$A$3,"County",$D737,"HHA/CDPAP","HHA","Level of Service",$D745),0)</f>
        <v>0</v>
      </c>
      <c r="H745" s="658">
        <f>+IFERROR(H$5*GETPIVOTDATA("Unique Billed Hours",'County allocation'!$S$3,"County",$D737,"HHA/CDPAP","HHA","Level of Service",$D745),0)</f>
        <v>0</v>
      </c>
      <c r="I745" s="664">
        <f t="shared" ca="1" si="271"/>
        <v>7480.5359227439449</v>
      </c>
      <c r="J745" s="658">
        <f ca="1">+IFERROR(J$5*GETPIVOTDATA("Unique Billed Hours",'County allocation'!$AC$3,"County",$D737,"HHA/CDPAP","HHA","Level of Service",$D745),0)</f>
        <v>2108.5196496493854</v>
      </c>
      <c r="K745" s="658">
        <f ca="1">+IFERROR(K$5*GETPIVOTDATA("Unique Billed Hours",'County allocation'!$X$3,"County",$D737,"HHA/CDPAP","HHA","Level of Service",$D745),0)</f>
        <v>0</v>
      </c>
      <c r="L745" s="658">
        <f ca="1">+IFERROR(L$5*GETPIVOTDATA("Unique Billed Hours",'County allocation'!$K$19,"County",$D737,"HHA/CDPAP","HHA","Level of Service",$D745),0)</f>
        <v>5372.0162730945594</v>
      </c>
      <c r="M745" s="658">
        <f>+IFERROR(M$5*GETPIVOTDATA("Unique Billed Hours",'County allocation'!$S$3,"County",$D737,"HHA/CDPAP","HHA","Level of Service",$D745),0)</f>
        <v>0</v>
      </c>
      <c r="N745" s="658">
        <f>+IFERROR(N$5*GETPIVOTDATA("Unique Billed Hours",'County allocation'!$S$3,"County",$D737,"HHA/CDPAP","HHA","Level of Service",$D745),0)</f>
        <v>0</v>
      </c>
      <c r="O745" s="658">
        <f>+IFERROR(O$5*GETPIVOTDATA("Unique Billed Hours",'County allocation'!$K$19,"County",$D737,"HHA/CDPAP","HHA","Level of Service",$D745),0)</f>
        <v>0</v>
      </c>
      <c r="P745" s="658">
        <f>+IFERROR(P$5*GETPIVOTDATA("Unique Billed Hours",'County allocation'!$S$3,"County",$D737,"HHA/CDPAP","HHA","Level of Service",$D745),0)</f>
        <v>0</v>
      </c>
    </row>
    <row r="746" spans="1:18" s="54" customFormat="1" x14ac:dyDescent="0.25">
      <c r="A746" s="119"/>
      <c r="B746" s="309"/>
      <c r="C746" s="322">
        <f t="shared" ca="1" si="269"/>
        <v>1</v>
      </c>
      <c r="D746" s="8" t="s">
        <v>40</v>
      </c>
      <c r="E746" s="48" t="s">
        <v>51</v>
      </c>
      <c r="F746" s="657">
        <f t="shared" ca="1" si="270"/>
        <v>0</v>
      </c>
      <c r="G746" s="658">
        <f ca="1">+IFERROR(G$5*GETPIVOTDATA("Unique Billed Hours",'County allocation'!$A$3,"County",$D737,"HHA/CDPAP","HHA","Level of Service",$D746),0)</f>
        <v>0</v>
      </c>
      <c r="H746" s="658">
        <f>+IFERROR(H$5*GETPIVOTDATA("Unique Billed Hours",'County allocation'!$S$3,"County",$D737,"HHA/CDPAP","HHA","Level of Service",$D746),0)</f>
        <v>0</v>
      </c>
      <c r="I746" s="664">
        <f t="shared" ca="1" si="271"/>
        <v>0</v>
      </c>
      <c r="J746" s="658">
        <f ca="1">+IFERROR(J$5*GETPIVOTDATA("Unique Billed Hours",'County allocation'!$AC$3,"County",$D737,"HHA/CDPAP","HHA","Level of Service",$D746),0)</f>
        <v>0</v>
      </c>
      <c r="K746" s="658">
        <f ca="1">+IFERROR(K$5*GETPIVOTDATA("Unique Billed Hours",'County allocation'!$X$3,"County",$D737,"HHA/CDPAP","HHA","Level of Service",$D746),0)</f>
        <v>0</v>
      </c>
      <c r="L746" s="658">
        <f ca="1">+IFERROR(L$2*GETPIVOTDATA("Unique Billed Hours",'County allocation'!$O$3,"County",$D737,"HHA/CDPAP","HHA","Level of Service",$D746),0)</f>
        <v>0</v>
      </c>
      <c r="M746" s="658">
        <f>+IFERROR(M$5*GETPIVOTDATA("Unique Billed Hours",'County allocation'!$S$3,"County",$D737,"HHA/CDPAP","HHA","Level of Service",$D746),0)</f>
        <v>0</v>
      </c>
      <c r="N746" s="658">
        <f>+IFERROR(N$5*GETPIVOTDATA("Unique Billed Hours",'County allocation'!$S$3,"County",$D737,"HHA/CDPAP","HHA","Level of Service",$D746),0)</f>
        <v>0</v>
      </c>
      <c r="O746" s="658">
        <f>+IFERROR(O$5*GETPIVOTDATA("Unique Billed Hours",'County allocation'!$K$19,"County",$D737,"HHA/CDPAP","HHA","Level of Service",$D746),0)</f>
        <v>0</v>
      </c>
      <c r="P746" s="658">
        <f>+IFERROR(P$5*GETPIVOTDATA("Unique Billed Hours",'County allocation'!$S$3,"County",$D737,"HHA/CDPAP","HHA","Level of Service",$D746),0)</f>
        <v>0</v>
      </c>
    </row>
    <row r="747" spans="1:18" s="54" customFormat="1" x14ac:dyDescent="0.25">
      <c r="A747" s="119"/>
      <c r="B747" s="309"/>
      <c r="C747" s="322">
        <f t="shared" ca="1" si="269"/>
        <v>1</v>
      </c>
      <c r="D747" s="8" t="s">
        <v>41</v>
      </c>
      <c r="E747" s="48" t="s">
        <v>50</v>
      </c>
      <c r="F747" s="657">
        <f t="shared" ca="1" si="270"/>
        <v>330858.69689606299</v>
      </c>
      <c r="G747" s="658">
        <f ca="1">+IFERROR(G$5*GETPIVOTDATA("Unique Billed Hours",'County allocation'!$A$3,"County",$D737,"HHA/CDPAP","HHA","Level of Service",$D747),0)</f>
        <v>11099.288669537602</v>
      </c>
      <c r="H747" s="658">
        <f>+IFERROR(H$5*GETPIVOTDATA("Unique Billed Hours",'County allocation'!$S$3,"County",$D737,"HHA/CDPAP","HHA","Level of Service",$D747),0)</f>
        <v>18986.42618513717</v>
      </c>
      <c r="I747" s="664">
        <f t="shared" ca="1" si="271"/>
        <v>300772.98204138823</v>
      </c>
      <c r="J747" s="658">
        <f ca="1">+IFERROR(J$5*GETPIVOTDATA("Unique Billed Hours",'County allocation'!$AC$3,"County",$D737,"HHA/CDPAP","HHA","Level of Service",$D747),0)</f>
        <v>39530.633256170324</v>
      </c>
      <c r="K747" s="658">
        <f ca="1">+IFERROR(K$5*GETPIVOTDATA("Unique Billed Hours",'County allocation'!$X$3,"County",$D737,"HHA/CDPAP","HHA","Level of Service",$D747),0)</f>
        <v>255549.88496851313</v>
      </c>
      <c r="L747" s="658">
        <f ca="1">+IFERROR(L$2*GETPIVOTDATA("Unique Billed Hours",'County allocation'!$O$3,"County",$D737,"HHA/CDPAP","HHA","Level of Service",$D747),0)</f>
        <v>3665.3100251648975</v>
      </c>
      <c r="M747" s="658">
        <f>+IFERROR(M$5*GETPIVOTDATA("Unique Billed Hours",'County allocation'!$S$3,"County",$D737,"HHA/CDPAP","HHA","Level of Service",$D747),0)</f>
        <v>1870.4907414749007</v>
      </c>
      <c r="N747" s="658">
        <f>+IFERROR(N$5*GETPIVOTDATA("Unique Billed Hours",'County allocation'!$S$3,"County",$D737,"HHA/CDPAP","HHA","Level of Service",$D747),0)</f>
        <v>156.66305006492593</v>
      </c>
      <c r="O747" s="658">
        <f>+IFERROR(O$5*GETPIVOTDATA("Unique Billed Hours",'County allocation'!$K$19,"County",$D737,"HHA/CDPAP","HHA","Level of Service",$D747),0)</f>
        <v>0</v>
      </c>
      <c r="P747" s="658">
        <f>+IFERROR(P$5*GETPIVOTDATA("Unique Billed Hours",'County allocation'!$S$3,"County",$D737,"HHA/CDPAP","HHA","Level of Service",$D747),0)</f>
        <v>0</v>
      </c>
    </row>
    <row r="748" spans="1:18" s="54" customFormat="1" ht="15.75" thickBot="1" x14ac:dyDescent="0.3">
      <c r="A748" s="119"/>
      <c r="B748" s="309"/>
      <c r="C748" s="322">
        <f t="shared" ca="1" si="269"/>
        <v>1</v>
      </c>
      <c r="D748" s="52" t="s">
        <v>389</v>
      </c>
      <c r="E748" s="53" t="s">
        <v>49</v>
      </c>
      <c r="F748" s="657">
        <f t="shared" ca="1" si="270"/>
        <v>10865178.122408077</v>
      </c>
      <c r="G748" s="661">
        <f ca="1">SUM(G740:G747)</f>
        <v>364016.04607795336</v>
      </c>
      <c r="H748" s="661">
        <f>SUM(H740:H747)</f>
        <v>622685.29045767069</v>
      </c>
      <c r="I748" s="664">
        <f t="shared" ca="1" si="271"/>
        <v>9878476.7858724538</v>
      </c>
      <c r="J748" s="661">
        <f ca="1">SUM(J740:J747)</f>
        <v>1298700.1378928183</v>
      </c>
      <c r="K748" s="661">
        <f t="shared" ref="K748:P748" ca="1" si="272">SUM(K740:K747)</f>
        <v>8381100.9400289245</v>
      </c>
      <c r="L748" s="661">
        <f t="shared" ca="1" si="272"/>
        <v>132192.48276768753</v>
      </c>
      <c r="M748" s="661">
        <f t="shared" si="272"/>
        <v>61345.25051193923</v>
      </c>
      <c r="N748" s="661">
        <f t="shared" si="272"/>
        <v>5137.9746710851696</v>
      </c>
      <c r="O748" s="661">
        <f t="shared" si="272"/>
        <v>0</v>
      </c>
      <c r="P748" s="661">
        <f t="shared" si="272"/>
        <v>0</v>
      </c>
    </row>
    <row r="749" spans="1:18" s="54" customFormat="1" x14ac:dyDescent="0.25">
      <c r="A749" s="119"/>
      <c r="B749" s="309"/>
      <c r="C749" s="322">
        <f t="shared" ca="1" si="269"/>
        <v>1</v>
      </c>
      <c r="D749" s="371" t="s">
        <v>390</v>
      </c>
      <c r="E749" s="325" t="s">
        <v>47</v>
      </c>
      <c r="F749" s="657">
        <f t="shared" ca="1" si="270"/>
        <v>8387249.2652960094</v>
      </c>
      <c r="G749" s="665">
        <f ca="1">+IFERROR((G$5*GETPIVOTDATA("Unique Billed Hours",'County allocation'!$A$3,"County",$D737,"HHA/CDPAP","HHA","Level of Service",$D749))+($G$2*GETPIVOTDATA("Unique Billed Hours",'County allocation'!$F$7,"County",$D737,"HHA/CDPAP","HHA","Level of Service",$D749)),0)++IFERROR(J$5*GETPIVOTDATA("Unique Billed Hours",'County allocation'!$AC$3,"County",$D737,"HHA/CDPAP","HHA","Level of Service",$D749),0)+ +IFERROR(J$5*GETPIVOTDATA("Unique Billed Hours",'County allocation'!$AC$3,"County",$D737,"HHA/CDPAP","HHA","Level of Service",$D750),0)</f>
        <v>8387249.2652960094</v>
      </c>
      <c r="H749" s="665">
        <f>+IFERROR(H$5*GETPIVOTDATA("Unique Billed Hours",'County allocation'!$S$3,"County",$D737,"HHA/CDPAP","HHA","Level of Service",$D749),0)</f>
        <v>0</v>
      </c>
      <c r="I749" s="664">
        <f t="shared" ca="1" si="271"/>
        <v>0</v>
      </c>
      <c r="J749" s="901"/>
      <c r="K749" s="665">
        <f ca="1">+IFERROR(K$5*GETPIVOTDATA("Unique Billed Hours",'County allocation'!$X$3,"County",$D737,"HHA/CDPAP","HHA","Level of Service",$D749),0)</f>
        <v>0</v>
      </c>
      <c r="L749" s="665">
        <f ca="1">+IFERROR(L$5*GETPIVOTDATA("Unique Billed Hours",'County allocation'!$K$19,"County",$D737,"HHA/CDPAP","HHA","Level of Service",$D749),0)</f>
        <v>0</v>
      </c>
      <c r="M749" s="665">
        <f>+IFERROR(M$5*GETPIVOTDATA("Unique Billed Hours",'County allocation'!$S$3,"County",$D737,"HHA/CDPAP","HHA","Level of Service",$D749),0)</f>
        <v>0</v>
      </c>
      <c r="N749" s="665">
        <f>+IFERROR(N$5*GETPIVOTDATA("Unique Billed Hours",'County allocation'!$S$3,"County",$D737,"HHA/CDPAP","HHA","Level of Service",$D749),0)</f>
        <v>0</v>
      </c>
      <c r="O749" s="665">
        <f>+IFERROR(O$5*GETPIVOTDATA("Unique Billed Hours",'County allocation'!$S$3,"County",$D737,"HHA/CDPAP","HHA","Level of Service",$D749),0)</f>
        <v>0</v>
      </c>
      <c r="P749" s="665">
        <f>+IFERROR(P$5*GETPIVOTDATA("Unique Billed Hours",'County allocation'!$S$3,"County",$D737,"HHA/CDPAP","HHA","Level of Service",$D749),0)</f>
        <v>0</v>
      </c>
    </row>
    <row r="750" spans="1:18" s="54" customFormat="1" x14ac:dyDescent="0.25">
      <c r="A750" s="119"/>
      <c r="B750" s="309"/>
      <c r="C750" s="322">
        <f t="shared" ca="1" si="269"/>
        <v>1</v>
      </c>
      <c r="D750" s="8" t="s">
        <v>391</v>
      </c>
      <c r="E750" s="370" t="s">
        <v>77</v>
      </c>
      <c r="F750" s="657">
        <f t="shared" ca="1" si="270"/>
        <v>1095315.3305696005</v>
      </c>
      <c r="G750" s="656"/>
      <c r="H750" s="658">
        <f>+IFERROR(H$5*GETPIVOTDATA("Unique Billed Hours",'County allocation'!$S$3,"County",$D737,"HHA/CDPAP","HHA","Level of Service",$D750),0)</f>
        <v>0</v>
      </c>
      <c r="I750" s="664">
        <f t="shared" ca="1" si="271"/>
        <v>1095315.3305696005</v>
      </c>
      <c r="J750" s="901"/>
      <c r="K750" s="665">
        <f ca="1">+IFERROR(K$5*GETPIVOTDATA("Unique Billed Hours",'County allocation'!$X$3,"County",$D737,"HHA/CDPAP","HHA","Level of Service",$D750),0)</f>
        <v>1095315.3305696005</v>
      </c>
      <c r="L750" s="665">
        <f ca="1">+IFERROR(L$5*GETPIVOTDATA("Unique Billed Hours",'County allocation'!$K$19,"County",$D737,"HHA/CDPAP","HHA","Level of Service",$D750),0)</f>
        <v>0</v>
      </c>
      <c r="M750" s="665">
        <f>+IFERROR(M$5*GETPIVOTDATA("Unique Billed Hours",'County allocation'!$S$3,"County",$D737,"HHA/CDPAP","HHA","Level of Service",$D750),0)</f>
        <v>0</v>
      </c>
      <c r="N750" s="665">
        <f>+IFERROR(N$5*GETPIVOTDATA("Unique Billed Hours",'County allocation'!$S$3,"County",$D737,"HHA/CDPAP","HHA","Level of Service",$D750),0)</f>
        <v>0</v>
      </c>
      <c r="O750" s="665">
        <f>+IFERROR(O$5*GETPIVOTDATA("Unique Billed Hours",'County allocation'!$S$3,"County",$D737,"HHA/CDPAP","HHA","Level of Service",$D750),0)</f>
        <v>0</v>
      </c>
      <c r="P750" s="665">
        <f>+IFERROR(P$5*GETPIVOTDATA("Unique Billed Hours",'County allocation'!$S$3,"County",$D737,"HHA/CDPAP","HHA","Level of Service",$D750),0)</f>
        <v>0</v>
      </c>
    </row>
    <row r="751" spans="1:18" s="54" customFormat="1" x14ac:dyDescent="0.25">
      <c r="A751" s="119"/>
      <c r="B751" s="309"/>
      <c r="C751" s="322">
        <f t="shared" ca="1" si="269"/>
        <v>1</v>
      </c>
      <c r="D751" s="8" t="s">
        <v>374</v>
      </c>
      <c r="E751" s="370" t="s">
        <v>78</v>
      </c>
      <c r="F751" s="657">
        <f t="shared" ca="1" si="270"/>
        <v>42848.093318530802</v>
      </c>
      <c r="G751" s="658">
        <f ca="1">+IFERROR(G$5*GETPIVOTDATA("Unique Billed Hours",'County allocation'!$A$3,"County",$D737,"HHA/CDPAP","HHA","Level of Service",$D751),0)++IFERROR(J$5*GETPIVOTDATA("Unique Billed Hours",'County allocation'!$AC$3,"County",$D737,"HHA/CDPAP","HHA","Level of Service",$D751),0)</f>
        <v>42848.093318530802</v>
      </c>
      <c r="H751" s="658">
        <f>+IFERROR(H$5*GETPIVOTDATA("Unique Billed Hours",'County allocation'!$S$3,"County",$D737,"HHA/CDPAP","HHA","Level of Service",$D751),0)</f>
        <v>0</v>
      </c>
      <c r="I751" s="664">
        <f t="shared" ca="1" si="271"/>
        <v>0</v>
      </c>
      <c r="J751" s="901"/>
      <c r="K751" s="665">
        <f ca="1">+IFERROR(K$5*GETPIVOTDATA("Unique Billed Hours",'County allocation'!$X$3,"County",$D737,"HHA/CDPAP","HHA","Level of Service",$D751),0)</f>
        <v>0</v>
      </c>
      <c r="L751" s="665">
        <f ca="1">+IFERROR(L$5*GETPIVOTDATA("Unique Billed Hours",'County allocation'!$K$19,"County",$D737,"HHA/CDPAP","HHA","Level of Service",$D751),0)</f>
        <v>0</v>
      </c>
      <c r="M751" s="665">
        <f>+IFERROR(M$5*GETPIVOTDATA("Unique Billed Hours",'County allocation'!$S$3,"County",$D737,"HHA/CDPAP","HHA","Level of Service",$D751),0)</f>
        <v>0</v>
      </c>
      <c r="N751" s="665">
        <f>+IFERROR(N$5*GETPIVOTDATA("Unique Billed Hours",'County allocation'!$S$3,"County",$D737,"HHA/CDPAP","HHA","Level of Service",$D751),0)</f>
        <v>0</v>
      </c>
      <c r="O751" s="665">
        <f>+IFERROR(O$5*GETPIVOTDATA("Unique Billed Hours",'County allocation'!$S$3,"County",$D737,"HHA/CDPAP","HHA","Level of Service",$D751),0)</f>
        <v>0</v>
      </c>
      <c r="P751" s="665">
        <f>+IFERROR(P$5*GETPIVOTDATA("Unique Billed Hours",'County allocation'!$S$3,"County",$D737,"HHA/CDPAP","HHA","Level of Service",$D751),0)</f>
        <v>0</v>
      </c>
    </row>
    <row r="752" spans="1:18" s="54" customFormat="1" ht="15.75" thickBot="1" x14ac:dyDescent="0.3">
      <c r="A752" s="302"/>
      <c r="B752" s="309"/>
      <c r="C752" s="322">
        <f ca="1">C751</f>
        <v>1</v>
      </c>
      <c r="D752" s="52" t="s">
        <v>48</v>
      </c>
      <c r="E752" s="53" t="s">
        <v>79</v>
      </c>
      <c r="F752" s="657">
        <f t="shared" ca="1" si="270"/>
        <v>20390590.811592221</v>
      </c>
      <c r="G752" s="661">
        <f t="shared" ref="G752" ca="1" si="273">SUM(G748:G751)</f>
        <v>8794113.4046924934</v>
      </c>
      <c r="H752" s="661">
        <f t="shared" ref="H752:P752" si="274">SUM(H748:H751)</f>
        <v>622685.29045767069</v>
      </c>
      <c r="I752" s="661">
        <f t="shared" ca="1" si="274"/>
        <v>10973792.116442055</v>
      </c>
      <c r="J752" s="661">
        <f t="shared" ca="1" si="274"/>
        <v>1298700.1378928183</v>
      </c>
      <c r="K752" s="661">
        <f t="shared" ca="1" si="274"/>
        <v>9476416.2705985252</v>
      </c>
      <c r="L752" s="661">
        <f t="shared" ca="1" si="274"/>
        <v>132192.48276768753</v>
      </c>
      <c r="M752" s="661">
        <f t="shared" si="274"/>
        <v>61345.25051193923</v>
      </c>
      <c r="N752" s="661">
        <f t="shared" si="274"/>
        <v>5137.9746710851696</v>
      </c>
      <c r="O752" s="661">
        <f t="shared" si="274"/>
        <v>0</v>
      </c>
      <c r="P752" s="661">
        <f t="shared" si="274"/>
        <v>0</v>
      </c>
    </row>
    <row r="753" spans="1:18" ht="15.75" hidden="1" thickBot="1" x14ac:dyDescent="0.3"/>
    <row r="754" spans="1:18" s="54" customFormat="1" ht="75.75" hidden="1" thickBot="1" x14ac:dyDescent="0.3">
      <c r="A754" s="119"/>
      <c r="B754" s="309"/>
      <c r="C754" s="322">
        <f ca="1">IF(F769&gt;0,1,0)</f>
        <v>0</v>
      </c>
      <c r="D754" s="45" t="str">
        <f>A47</f>
        <v>Rockland</v>
      </c>
      <c r="E754" s="28">
        <f>+SUMIF(A:A,D754,B:B)</f>
        <v>0</v>
      </c>
      <c r="F754" s="652" t="s">
        <v>61</v>
      </c>
      <c r="G754" s="652" t="s">
        <v>387</v>
      </c>
      <c r="H754" s="652" t="s">
        <v>388</v>
      </c>
      <c r="I754" s="652" t="s">
        <v>392</v>
      </c>
      <c r="J754" s="652" t="s">
        <v>31</v>
      </c>
      <c r="K754" s="652" t="s">
        <v>32</v>
      </c>
      <c r="L754" s="653" t="s">
        <v>33</v>
      </c>
      <c r="M754" s="653" t="s">
        <v>60</v>
      </c>
      <c r="N754" s="653" t="s">
        <v>59</v>
      </c>
      <c r="O754" s="653" t="s">
        <v>58</v>
      </c>
      <c r="P754" s="653" t="s">
        <v>16</v>
      </c>
    </row>
    <row r="755" spans="1:18" s="54" customFormat="1" ht="15.75" hidden="1" thickBot="1" x14ac:dyDescent="0.3">
      <c r="A755" s="119"/>
      <c r="B755" s="309"/>
      <c r="C755" s="322">
        <f ca="1">C754</f>
        <v>0</v>
      </c>
      <c r="D755" s="56"/>
      <c r="E755" s="57"/>
      <c r="F755" s="654" t="s">
        <v>57</v>
      </c>
      <c r="G755" s="654" t="s">
        <v>56</v>
      </c>
      <c r="H755" s="654" t="s">
        <v>55</v>
      </c>
      <c r="I755" s="654" t="s">
        <v>54</v>
      </c>
      <c r="J755" s="654" t="s">
        <v>53</v>
      </c>
      <c r="K755" s="654" t="s">
        <v>52</v>
      </c>
      <c r="L755" s="654" t="s">
        <v>51</v>
      </c>
      <c r="M755" s="654" t="s">
        <v>50</v>
      </c>
      <c r="N755" s="654" t="s">
        <v>49</v>
      </c>
      <c r="O755" s="654" t="s">
        <v>47</v>
      </c>
      <c r="P755" s="655" t="s">
        <v>77</v>
      </c>
    </row>
    <row r="756" spans="1:18" s="54" customFormat="1" ht="15.75" hidden="1" thickBot="1" x14ac:dyDescent="0.3">
      <c r="A756" s="119"/>
      <c r="B756" s="309"/>
      <c r="C756" s="322">
        <f t="shared" ref="C756:C768" ca="1" si="275">C755</f>
        <v>0</v>
      </c>
      <c r="D756" s="59" t="s">
        <v>26</v>
      </c>
      <c r="E756" s="57"/>
      <c r="F756" s="656"/>
      <c r="G756" s="656"/>
      <c r="H756" s="656"/>
      <c r="I756" s="656"/>
      <c r="J756" s="656"/>
      <c r="K756" s="656"/>
      <c r="L756" s="656"/>
      <c r="M756" s="656"/>
      <c r="N756" s="656"/>
      <c r="O756" s="656"/>
      <c r="P756" s="663"/>
    </row>
    <row r="757" spans="1:18" s="54" customFormat="1" ht="15.75" hidden="1" thickBot="1" x14ac:dyDescent="0.3">
      <c r="A757" s="119"/>
      <c r="B757" s="309"/>
      <c r="C757" s="322">
        <f t="shared" ca="1" si="275"/>
        <v>0</v>
      </c>
      <c r="D757" s="7" t="s">
        <v>34</v>
      </c>
      <c r="E757" s="48" t="s">
        <v>57</v>
      </c>
      <c r="F757" s="657">
        <f ca="1">+H757+G757+I757</f>
        <v>0</v>
      </c>
      <c r="G757" s="658">
        <f ca="1">+IFERROR(G$5*GETPIVOTDATA("Unique Billed Hours",'County allocation'!$A$3,"County",$D754,"HHA/CDPAP","HHA","Level of Service",$D757),0)</f>
        <v>0</v>
      </c>
      <c r="H757" s="658">
        <f>+IFERROR(H$5*GETPIVOTDATA("Unique Billed Hours",'County allocation'!$S$3,"County",$D754,"HHA/CDPAP","HHA","Level of Service",$D757),0)</f>
        <v>0</v>
      </c>
      <c r="I757" s="664">
        <f ca="1">SUM(J757:P757)</f>
        <v>0</v>
      </c>
      <c r="J757" s="658">
        <f ca="1">+IFERROR(J$5*GETPIVOTDATA("Unique Billed Hours",'County allocation'!$S$3,"County",$D754,"HHA/CDPAP","HHA","Level of Service",$D757),0)</f>
        <v>0</v>
      </c>
      <c r="K757" s="658">
        <f ca="1">+IFERROR(K$5*GETPIVOTDATA("Unique Billed Hours",'County allocation'!$X$3,"County",$D754,"HHA/CDPAP","HHA","Level of Service",$D757),0)</f>
        <v>0</v>
      </c>
      <c r="L757" s="658">
        <f ca="1">+IFERROR(L$2*GETPIVOTDATA("Unique Billed Hours",'County allocation'!$O$3,"County",$D754,"HHA/CDPAP","HHA","Level of Service",$D757),0)</f>
        <v>0</v>
      </c>
      <c r="M757" s="658">
        <f>+IFERROR(M$5*GETPIVOTDATA("Unique Billed Hours",'County allocation'!$S$3,"County",$D754,"HHA/CDPAP","HHA","Level of Service",$D757),0)</f>
        <v>0</v>
      </c>
      <c r="N757" s="658">
        <f>+IFERROR(N$5*GETPIVOTDATA("Unique Billed Hours",'County allocation'!$S$3,"County",$D754,"HHA/CDPAP","HHA","Level of Service",$D757),0)</f>
        <v>0</v>
      </c>
      <c r="O757" s="658">
        <f>+IFERROR(O$5*GETPIVOTDATA("Unique Billed Hours",'County allocation'!$K$19,"County",$D754,"HHA/CDPAP","HHA","Level of Service",$D757),0)</f>
        <v>0</v>
      </c>
      <c r="P757" s="658">
        <f>+IFERROR(P$5*GETPIVOTDATA("Unique Billed Hours",'County allocation'!$S$3,"County",$D754,"HHA/CDPAP","HHA","Level of Service",$D757),0)</f>
        <v>0</v>
      </c>
    </row>
    <row r="758" spans="1:18" s="54" customFormat="1" ht="15.75" hidden="1" thickBot="1" x14ac:dyDescent="0.3">
      <c r="A758" s="119"/>
      <c r="B758" s="309"/>
      <c r="C758" s="322">
        <f t="shared" ca="1" si="275"/>
        <v>0</v>
      </c>
      <c r="D758" s="7" t="s">
        <v>35</v>
      </c>
      <c r="E758" s="48" t="s">
        <v>56</v>
      </c>
      <c r="F758" s="657">
        <f t="shared" ref="F758:F769" ca="1" si="276">+H758+G758+I758</f>
        <v>0</v>
      </c>
      <c r="G758" s="658">
        <f ca="1">+IFERROR(G$5*GETPIVOTDATA("Unique Billed Hours",'County allocation'!$A$3,"County",$D754,"HHA/CDPAP","HHA","Level of Service",$D758),0)</f>
        <v>0</v>
      </c>
      <c r="H758" s="658">
        <f>+IFERROR(H$5*GETPIVOTDATA("Unique Billed Hours",'County allocation'!$S$3,"County",$D754,"HHA/CDPAP","HHA","Level of Service",$D758),0)</f>
        <v>0</v>
      </c>
      <c r="I758" s="664">
        <f t="shared" ref="I758:I768" ca="1" si="277">SUM(J758:P758)</f>
        <v>0</v>
      </c>
      <c r="J758" s="658">
        <f ca="1">+IFERROR(J$5*GETPIVOTDATA("Unique Billed Hours",'County allocation'!$S$3,"County",$D754,"HHA/CDPAP","HHA","Level of Service",$D758),0)</f>
        <v>0</v>
      </c>
      <c r="K758" s="658">
        <f ca="1">+IFERROR(K$5*GETPIVOTDATA("Unique Billed Hours",'County allocation'!$X$3,"County",$D754,"HHA/CDPAP","HHA","Level of Service",$D758),0)</f>
        <v>0</v>
      </c>
      <c r="L758" s="658">
        <f ca="1">+IFERROR(L$2*GETPIVOTDATA("Unique Billed Hours",'County allocation'!$O$3,"County",$D754,"HHA/CDPAP","HHA","Level of Service",$D758),0)</f>
        <v>0</v>
      </c>
      <c r="M758" s="658">
        <f>+IFERROR(M$5*GETPIVOTDATA("Unique Billed Hours",'County allocation'!$S$3,"County",$D754,"HHA/CDPAP","HHA","Level of Service",$D758),0)</f>
        <v>0</v>
      </c>
      <c r="N758" s="658">
        <f>+IFERROR(N$5*GETPIVOTDATA("Unique Billed Hours",'County allocation'!$S$3,"County",$D754,"HHA/CDPAP","HHA","Level of Service",$D758),0)</f>
        <v>0</v>
      </c>
      <c r="O758" s="658">
        <f>+IFERROR(O$5*GETPIVOTDATA("Unique Billed Hours",'County allocation'!$K$19,"County",$D754,"HHA/CDPAP","HHA","Level of Service",$D758),0)</f>
        <v>0</v>
      </c>
      <c r="P758" s="658">
        <f>+IFERROR(P$5*GETPIVOTDATA("Unique Billed Hours",'County allocation'!$S$3,"County",$D754,"HHA/CDPAP","HHA","Level of Service",$D758),0)</f>
        <v>0</v>
      </c>
      <c r="R758" s="61"/>
    </row>
    <row r="759" spans="1:18" s="54" customFormat="1" ht="15.75" hidden="1" thickBot="1" x14ac:dyDescent="0.3">
      <c r="A759" s="302"/>
      <c r="B759" s="309"/>
      <c r="C759" s="322">
        <f t="shared" ca="1" si="275"/>
        <v>0</v>
      </c>
      <c r="D759" s="7" t="s">
        <v>36</v>
      </c>
      <c r="E759" s="48" t="s">
        <v>55</v>
      </c>
      <c r="F759" s="657">
        <f t="shared" ca="1" si="276"/>
        <v>0</v>
      </c>
      <c r="G759" s="658">
        <f ca="1">+IFERROR(G$5*GETPIVOTDATA("Unique Billed Hours",'County allocation'!$A$3,"County",$D754,"HHA/CDPAP","HHA","Level of Service",$D759),0)</f>
        <v>0</v>
      </c>
      <c r="H759" s="658">
        <f>+IFERROR(H$5*GETPIVOTDATA("Unique Billed Hours",'County allocation'!$S$3,"County",$D754,"HHA/CDPAP","HHA","Level of Service",$D759),0)</f>
        <v>0</v>
      </c>
      <c r="I759" s="664">
        <f t="shared" ca="1" si="277"/>
        <v>0</v>
      </c>
      <c r="J759" s="658">
        <f ca="1">+IFERROR(J$5*GETPIVOTDATA("Unique Billed Hours",'County allocation'!$S$3,"County",$D754,"HHA/CDPAP","HHA","Level of Service",$D759),0)</f>
        <v>0</v>
      </c>
      <c r="K759" s="658">
        <f ca="1">+IFERROR(K$5*GETPIVOTDATA("Unique Billed Hours",'County allocation'!$X$3,"County",$D754,"HHA/CDPAP","HHA","Level of Service",$D759),0)</f>
        <v>0</v>
      </c>
      <c r="L759" s="658">
        <f ca="1">+IFERROR(L$2*GETPIVOTDATA("Unique Billed Hours",'County allocation'!$O$3,"County",$D754,"HHA/CDPAP","HHA","Level of Service",$D759),0)</f>
        <v>0</v>
      </c>
      <c r="M759" s="658">
        <f>+IFERROR(M$5*GETPIVOTDATA("Unique Billed Hours",'County allocation'!$S$3,"County",$D754,"HHA/CDPAP","HHA","Level of Service",$D759),0)</f>
        <v>0</v>
      </c>
      <c r="N759" s="658">
        <f>+IFERROR(N$5*GETPIVOTDATA("Unique Billed Hours",'County allocation'!$S$3,"County",$D754,"HHA/CDPAP","HHA","Level of Service",$D759),0)</f>
        <v>0</v>
      </c>
      <c r="O759" s="658">
        <f>+IFERROR(O$5*GETPIVOTDATA("Unique Billed Hours",'County allocation'!$K$19,"County",$D754,"HHA/CDPAP","HHA","Level of Service",$D759),0)</f>
        <v>0</v>
      </c>
      <c r="P759" s="658">
        <f>+IFERROR(P$5*GETPIVOTDATA("Unique Billed Hours",'County allocation'!$S$3,"County",$D754,"HHA/CDPAP","HHA","Level of Service",$D759),0)</f>
        <v>0</v>
      </c>
    </row>
    <row r="760" spans="1:18" s="54" customFormat="1" ht="15.75" hidden="1" thickBot="1" x14ac:dyDescent="0.3">
      <c r="A760" s="119"/>
      <c r="B760" s="309"/>
      <c r="C760" s="322">
        <f t="shared" ca="1" si="275"/>
        <v>0</v>
      </c>
      <c r="D760" s="7" t="s">
        <v>37</v>
      </c>
      <c r="E760" s="48" t="s">
        <v>54</v>
      </c>
      <c r="F760" s="657">
        <f t="shared" ca="1" si="276"/>
        <v>0</v>
      </c>
      <c r="G760" s="658">
        <f ca="1">+IFERROR(G$5*GETPIVOTDATA("Unique Billed Hours",'County allocation'!$A$3,"County",$D754,"HHA/CDPAP","HHA","Level of Service",$D760),0)</f>
        <v>0</v>
      </c>
      <c r="H760" s="658">
        <f>+IFERROR(H$5*GETPIVOTDATA("Unique Billed Hours",'County allocation'!$S$3,"County",$D754,"HHA/CDPAP","HHA","Level of Service",$D760),0)</f>
        <v>0</v>
      </c>
      <c r="I760" s="664">
        <f t="shared" ca="1" si="277"/>
        <v>0</v>
      </c>
      <c r="J760" s="658">
        <f ca="1">+IFERROR(J$5*GETPIVOTDATA("Unique Billed Hours",'County allocation'!$S$3,"County",$D754,"HHA/CDPAP","HHA","Level of Service",$D760),0)</f>
        <v>0</v>
      </c>
      <c r="K760" s="658">
        <f ca="1">+IFERROR(K$5*GETPIVOTDATA("Unique Billed Hours",'County allocation'!$X$3,"County",$D754,"HHA/CDPAP","HHA","Level of Service",$D760),0)</f>
        <v>0</v>
      </c>
      <c r="L760" s="658">
        <f ca="1">+IFERROR(L$2*GETPIVOTDATA("Unique Billed Hours",'County allocation'!$O$3,"County",$D754,"HHA/CDPAP","HHA","Level of Service",$D760),0)</f>
        <v>0</v>
      </c>
      <c r="M760" s="658">
        <f>+IFERROR(M$5*GETPIVOTDATA("Unique Billed Hours",'County allocation'!$S$3,"County",$D754,"HHA/CDPAP","HHA","Level of Service",$D760),0)</f>
        <v>0</v>
      </c>
      <c r="N760" s="658">
        <f>+IFERROR(N$5*GETPIVOTDATA("Unique Billed Hours",'County allocation'!$S$3,"County",$D754,"HHA/CDPAP","HHA","Level of Service",$D760),0)</f>
        <v>0</v>
      </c>
      <c r="O760" s="658">
        <f>+IFERROR(O$5*GETPIVOTDATA("Unique Billed Hours",'County allocation'!$K$19,"County",$D754,"HHA/CDPAP","HHA","Level of Service",$D760),0)</f>
        <v>0</v>
      </c>
      <c r="P760" s="658">
        <f>+IFERROR(P$5*GETPIVOTDATA("Unique Billed Hours",'County allocation'!$S$3,"County",$D754,"HHA/CDPAP","HHA","Level of Service",$D760),0)</f>
        <v>0</v>
      </c>
    </row>
    <row r="761" spans="1:18" s="54" customFormat="1" ht="15.75" hidden="1" thickBot="1" x14ac:dyDescent="0.3">
      <c r="A761" s="119"/>
      <c r="B761" s="309"/>
      <c r="C761" s="322">
        <f t="shared" ca="1" si="275"/>
        <v>0</v>
      </c>
      <c r="D761" s="7" t="s">
        <v>38</v>
      </c>
      <c r="E761" s="48" t="s">
        <v>53</v>
      </c>
      <c r="F761" s="657">
        <f t="shared" ca="1" si="276"/>
        <v>0</v>
      </c>
      <c r="G761" s="658">
        <f ca="1">+IFERROR(G$5*GETPIVOTDATA("Unique Billed Hours",'County allocation'!$A$3,"County",$D754,"HHA/CDPAP","HHA","Level of Service",$D761),0)</f>
        <v>0</v>
      </c>
      <c r="H761" s="658">
        <f>+IFERROR(H$5*GETPIVOTDATA("Unique Billed Hours",'County allocation'!$S$3,"County",$D754,"HHA/CDPAP","HHA","Level of Service",$D761),0)</f>
        <v>0</v>
      </c>
      <c r="I761" s="664">
        <f t="shared" ca="1" si="277"/>
        <v>0</v>
      </c>
      <c r="J761" s="658">
        <f ca="1">+IFERROR(J$5*GETPIVOTDATA("Unique Billed Hours",'County allocation'!$S$3,"County",$D754,"HHA/CDPAP","HHA","Level of Service",$D761),0)</f>
        <v>0</v>
      </c>
      <c r="K761" s="658">
        <f ca="1">+IFERROR(K$5*GETPIVOTDATA("Unique Billed Hours",'County allocation'!$X$3,"County",$D754,"HHA/CDPAP","HHA","Level of Service",$D761),0)</f>
        <v>0</v>
      </c>
      <c r="L761" s="658">
        <f ca="1">+IFERROR(L$5*GETPIVOTDATA("Unique Billed Hours",'County allocation'!$K$19,"County",$D754,"HHA/CDPAP","HHA","Level of Service",$D761),0)</f>
        <v>0</v>
      </c>
      <c r="M761" s="658">
        <f>+IFERROR(M$5*GETPIVOTDATA("Unique Billed Hours",'County allocation'!$S$3,"County",$D754,"HHA/CDPAP","HHA","Level of Service",$D761),0)</f>
        <v>0</v>
      </c>
      <c r="N761" s="658">
        <f>+IFERROR(N$5*GETPIVOTDATA("Unique Billed Hours",'County allocation'!$S$3,"County",$D754,"HHA/CDPAP","HHA","Level of Service",$D761),0)</f>
        <v>0</v>
      </c>
      <c r="O761" s="658">
        <f>+IFERROR(O$5*GETPIVOTDATA("Unique Billed Hours",'County allocation'!$K$19,"County",$D754,"HHA/CDPAP","HHA","Level of Service",$D761),0)</f>
        <v>0</v>
      </c>
      <c r="P761" s="658">
        <f>+IFERROR(P$5*GETPIVOTDATA("Unique Billed Hours",'County allocation'!$S$3,"County",$D754,"HHA/CDPAP","HHA","Level of Service",$D761),0)</f>
        <v>0</v>
      </c>
    </row>
    <row r="762" spans="1:18" s="54" customFormat="1" ht="15.75" hidden="1" thickBot="1" x14ac:dyDescent="0.3">
      <c r="A762" s="119"/>
      <c r="B762" s="309"/>
      <c r="C762" s="322">
        <f t="shared" ca="1" si="275"/>
        <v>0</v>
      </c>
      <c r="D762" s="7" t="s">
        <v>39</v>
      </c>
      <c r="E762" s="48" t="s">
        <v>52</v>
      </c>
      <c r="F762" s="657">
        <f t="shared" ca="1" si="276"/>
        <v>0</v>
      </c>
      <c r="G762" s="658">
        <f ca="1">+IFERROR(G$5*GETPIVOTDATA("Unique Billed Hours",'County allocation'!$A$3,"County",$D754,"HHA/CDPAP","HHA","Level of Service",$D762),0)</f>
        <v>0</v>
      </c>
      <c r="H762" s="658">
        <f>+IFERROR(H$5*GETPIVOTDATA("Unique Billed Hours",'County allocation'!$S$3,"County",$D754,"HHA/CDPAP","HHA","Level of Service",$D762),0)</f>
        <v>0</v>
      </c>
      <c r="I762" s="664">
        <f t="shared" ca="1" si="277"/>
        <v>0</v>
      </c>
      <c r="J762" s="658">
        <f ca="1">+IFERROR(J$5*GETPIVOTDATA("Unique Billed Hours",'County allocation'!$S$3,"County",$D754,"HHA/CDPAP","HHA","Level of Service",$D762),0)</f>
        <v>0</v>
      </c>
      <c r="K762" s="658">
        <f ca="1">+IFERROR(K$5*GETPIVOTDATA("Unique Billed Hours",'County allocation'!$X$3,"County",$D754,"HHA/CDPAP","HHA","Level of Service",$D762),0)</f>
        <v>0</v>
      </c>
      <c r="L762" s="658">
        <f ca="1">+IFERROR(L$5*GETPIVOTDATA("Unique Billed Hours",'County allocation'!$K$19,"County",$D754,"HHA/CDPAP","HHA","Level of Service",$D762),0)</f>
        <v>0</v>
      </c>
      <c r="M762" s="658">
        <f>+IFERROR(M$5*GETPIVOTDATA("Unique Billed Hours",'County allocation'!$S$3,"County",$D754,"HHA/CDPAP","HHA","Level of Service",$D762),0)</f>
        <v>0</v>
      </c>
      <c r="N762" s="658">
        <f>+IFERROR(N$5*GETPIVOTDATA("Unique Billed Hours",'County allocation'!$S$3,"County",$D754,"HHA/CDPAP","HHA","Level of Service",$D762),0)</f>
        <v>0</v>
      </c>
      <c r="O762" s="658">
        <f>+IFERROR(O$5*GETPIVOTDATA("Unique Billed Hours",'County allocation'!$K$19,"County",$D754,"HHA/CDPAP","HHA","Level of Service",$D762),0)</f>
        <v>0</v>
      </c>
      <c r="P762" s="658">
        <f>+IFERROR(P$5*GETPIVOTDATA("Unique Billed Hours",'County allocation'!$S$3,"County",$D754,"HHA/CDPAP","HHA","Level of Service",$D762),0)</f>
        <v>0</v>
      </c>
    </row>
    <row r="763" spans="1:18" s="54" customFormat="1" ht="15.75" hidden="1" thickBot="1" x14ac:dyDescent="0.3">
      <c r="A763" s="119"/>
      <c r="B763" s="309"/>
      <c r="C763" s="322">
        <f t="shared" ca="1" si="275"/>
        <v>0</v>
      </c>
      <c r="D763" s="8" t="s">
        <v>40</v>
      </c>
      <c r="E763" s="48" t="s">
        <v>51</v>
      </c>
      <c r="F763" s="657">
        <f t="shared" ca="1" si="276"/>
        <v>0</v>
      </c>
      <c r="G763" s="658">
        <f ca="1">+IFERROR(G$5*GETPIVOTDATA("Unique Billed Hours",'County allocation'!$A$3,"County",$D754,"HHA/CDPAP","HHA","Level of Service",$D763),0)</f>
        <v>0</v>
      </c>
      <c r="H763" s="658">
        <f>+IFERROR(H$5*GETPIVOTDATA("Unique Billed Hours",'County allocation'!$S$3,"County",$D754,"HHA/CDPAP","HHA","Level of Service",$D763),0)</f>
        <v>0</v>
      </c>
      <c r="I763" s="664">
        <f t="shared" ca="1" si="277"/>
        <v>0</v>
      </c>
      <c r="J763" s="658">
        <f ca="1">+IFERROR(J$5*GETPIVOTDATA("Unique Billed Hours",'County allocation'!$S$3,"County",$D754,"HHA/CDPAP","HHA","Level of Service",$D763),0)</f>
        <v>0</v>
      </c>
      <c r="K763" s="658">
        <f ca="1">+IFERROR(K$5*GETPIVOTDATA("Unique Billed Hours",'County allocation'!$X$3,"County",$D754,"HHA/CDPAP","HHA","Level of Service",$D763),0)</f>
        <v>0</v>
      </c>
      <c r="L763" s="658">
        <f ca="1">+IFERROR(L$2*GETPIVOTDATA("Unique Billed Hours",'County allocation'!$O$3,"County",$D754,"HHA/CDPAP","HHA","Level of Service",$D763),0)</f>
        <v>0</v>
      </c>
      <c r="M763" s="658">
        <f>+IFERROR(M$5*GETPIVOTDATA("Unique Billed Hours",'County allocation'!$S$3,"County",$D754,"HHA/CDPAP","HHA","Level of Service",$D763),0)</f>
        <v>0</v>
      </c>
      <c r="N763" s="658">
        <f>+IFERROR(N$5*GETPIVOTDATA("Unique Billed Hours",'County allocation'!$S$3,"County",$D754,"HHA/CDPAP","HHA","Level of Service",$D763),0)</f>
        <v>0</v>
      </c>
      <c r="O763" s="658">
        <f>+IFERROR(O$5*GETPIVOTDATA("Unique Billed Hours",'County allocation'!$K$19,"County",$D754,"HHA/CDPAP","HHA","Level of Service",$D763),0)</f>
        <v>0</v>
      </c>
      <c r="P763" s="658">
        <f>+IFERROR(P$5*GETPIVOTDATA("Unique Billed Hours",'County allocation'!$S$3,"County",$D754,"HHA/CDPAP","HHA","Level of Service",$D763),0)</f>
        <v>0</v>
      </c>
    </row>
    <row r="764" spans="1:18" s="54" customFormat="1" ht="15.75" hidden="1" thickBot="1" x14ac:dyDescent="0.3">
      <c r="A764" s="119"/>
      <c r="B764" s="309"/>
      <c r="C764" s="322">
        <f t="shared" ca="1" si="275"/>
        <v>0</v>
      </c>
      <c r="D764" s="8" t="s">
        <v>41</v>
      </c>
      <c r="E764" s="48" t="s">
        <v>50</v>
      </c>
      <c r="F764" s="657">
        <f t="shared" ca="1" si="276"/>
        <v>0</v>
      </c>
      <c r="G764" s="658">
        <f ca="1">+IFERROR(G$5*GETPIVOTDATA("Unique Billed Hours",'County allocation'!$A$3,"County",$D754,"HHA/CDPAP","HHA","Level of Service",$D764),0)</f>
        <v>0</v>
      </c>
      <c r="H764" s="658">
        <f>+IFERROR(H$5*GETPIVOTDATA("Unique Billed Hours",'County allocation'!$S$3,"County",$D754,"HHA/CDPAP","HHA","Level of Service",$D764),0)</f>
        <v>0</v>
      </c>
      <c r="I764" s="664">
        <f t="shared" ca="1" si="277"/>
        <v>0</v>
      </c>
      <c r="J764" s="658">
        <f ca="1">+IFERROR(J$5*GETPIVOTDATA("Unique Billed Hours",'County allocation'!$S$3,"County",$D754,"HHA/CDPAP","HHA","Level of Service",$D764),0)</f>
        <v>0</v>
      </c>
      <c r="K764" s="658">
        <f ca="1">+IFERROR(K$5*GETPIVOTDATA("Unique Billed Hours",'County allocation'!$X$3,"County",$D754,"HHA/CDPAP","HHA","Level of Service",$D764),0)</f>
        <v>0</v>
      </c>
      <c r="L764" s="658">
        <f ca="1">+IFERROR(L$2*GETPIVOTDATA("Unique Billed Hours",'County allocation'!$O$3,"County",$D754,"HHA/CDPAP","HHA","Level of Service",$D764),0)</f>
        <v>0</v>
      </c>
      <c r="M764" s="658">
        <f>+IFERROR(M$5*GETPIVOTDATA("Unique Billed Hours",'County allocation'!$S$3,"County",$D754,"HHA/CDPAP","HHA","Level of Service",$D764),0)</f>
        <v>0</v>
      </c>
      <c r="N764" s="658">
        <f>+IFERROR(N$5*GETPIVOTDATA("Unique Billed Hours",'County allocation'!$S$3,"County",$D754,"HHA/CDPAP","HHA","Level of Service",$D764),0)</f>
        <v>0</v>
      </c>
      <c r="O764" s="658">
        <f>+IFERROR(O$5*GETPIVOTDATA("Unique Billed Hours",'County allocation'!$K$19,"County",$D754,"HHA/CDPAP","HHA","Level of Service",$D764),0)</f>
        <v>0</v>
      </c>
      <c r="P764" s="658">
        <f>+IFERROR(P$5*GETPIVOTDATA("Unique Billed Hours",'County allocation'!$S$3,"County",$D754,"HHA/CDPAP","HHA","Level of Service",$D764),0)</f>
        <v>0</v>
      </c>
    </row>
    <row r="765" spans="1:18" s="54" customFormat="1" ht="15.75" hidden="1" thickBot="1" x14ac:dyDescent="0.3">
      <c r="A765" s="119"/>
      <c r="B765" s="309"/>
      <c r="C765" s="322">
        <f t="shared" ca="1" si="275"/>
        <v>0</v>
      </c>
      <c r="D765" s="52" t="s">
        <v>389</v>
      </c>
      <c r="E765" s="53" t="s">
        <v>49</v>
      </c>
      <c r="F765" s="657">
        <f t="shared" ca="1" si="276"/>
        <v>0</v>
      </c>
      <c r="G765" s="661">
        <f ca="1">SUM(G757:G764)</f>
        <v>0</v>
      </c>
      <c r="H765" s="661">
        <f>SUM(H757:H764)</f>
        <v>0</v>
      </c>
      <c r="I765" s="664">
        <f t="shared" ca="1" si="277"/>
        <v>0</v>
      </c>
      <c r="J765" s="661">
        <f ca="1">SUM(J757:J764)</f>
        <v>0</v>
      </c>
      <c r="K765" s="661">
        <f t="shared" ref="K765:P765" ca="1" si="278">SUM(K757:K764)</f>
        <v>0</v>
      </c>
      <c r="L765" s="661">
        <f t="shared" ca="1" si="278"/>
        <v>0</v>
      </c>
      <c r="M765" s="661">
        <f t="shared" si="278"/>
        <v>0</v>
      </c>
      <c r="N765" s="661">
        <f t="shared" si="278"/>
        <v>0</v>
      </c>
      <c r="O765" s="661">
        <f t="shared" si="278"/>
        <v>0</v>
      </c>
      <c r="P765" s="661">
        <f t="shared" si="278"/>
        <v>0</v>
      </c>
    </row>
    <row r="766" spans="1:18" s="54" customFormat="1" ht="15.75" hidden="1" thickBot="1" x14ac:dyDescent="0.3">
      <c r="A766" s="119"/>
      <c r="B766" s="309"/>
      <c r="C766" s="322">
        <f t="shared" ca="1" si="275"/>
        <v>0</v>
      </c>
      <c r="D766" s="371" t="s">
        <v>390</v>
      </c>
      <c r="E766" s="325" t="s">
        <v>47</v>
      </c>
      <c r="F766" s="657">
        <f t="shared" ca="1" si="276"/>
        <v>0</v>
      </c>
      <c r="G766" s="665">
        <f ca="1">+IFERROR((G$5*GETPIVOTDATA("Unique Billed Hours",'County allocation'!$A$3,"County",$D754,"HHA/CDPAP","HHA","Level of Service",$D766))+($G$2*GETPIVOTDATA("Unique Billed Hours",'County allocation'!$F$7,"County",$D754,"HHA/CDPAP","HHA","Level of Service",$D766)),0)++IFERROR(J$5*GETPIVOTDATA("Unique Billed Hours",'County allocation'!$AC$3,"County",$D754,"HHA/CDPAP","HHA","Level of Service",$D766),0)+ +IFERROR(J$5*GETPIVOTDATA("Unique Billed Hours",'County allocation'!$AC$3,"County",$D754,"HHA/CDPAP","HHA","Level of Service",$D767),0)</f>
        <v>0</v>
      </c>
      <c r="H766" s="665">
        <f>+IFERROR(H$5*GETPIVOTDATA("Unique Billed Hours",'County allocation'!$S$3,"County",$D754,"HHA/CDPAP","HHA","Level of Service",$D766),0)</f>
        <v>0</v>
      </c>
      <c r="I766" s="664">
        <f t="shared" ca="1" si="277"/>
        <v>0</v>
      </c>
      <c r="J766" s="901"/>
      <c r="K766" s="665">
        <f ca="1">+IFERROR(K$5*GETPIVOTDATA("Unique Billed Hours",'County allocation'!$X$3,"County",$D754,"HHA/CDPAP","HHA","Level of Service",$D766),0)</f>
        <v>0</v>
      </c>
      <c r="L766" s="665">
        <f ca="1">+IFERROR(L$5*GETPIVOTDATA("Unique Billed Hours",'County allocation'!$K$19,"County",$D754,"HHA/CDPAP","HHA","Level of Service",$D766),0)</f>
        <v>0</v>
      </c>
      <c r="M766" s="665">
        <f>+IFERROR(M$5*GETPIVOTDATA("Unique Billed Hours",'County allocation'!$S$3,"County",$D754,"HHA/CDPAP","HHA","Level of Service",$D766),0)</f>
        <v>0</v>
      </c>
      <c r="N766" s="665">
        <f>+IFERROR(N$5*GETPIVOTDATA("Unique Billed Hours",'County allocation'!$S$3,"County",$D754,"HHA/CDPAP","HHA","Level of Service",$D766),0)</f>
        <v>0</v>
      </c>
      <c r="O766" s="665">
        <f>+IFERROR(O$5*GETPIVOTDATA("Unique Billed Hours",'County allocation'!$S$3,"County",$D754,"HHA/CDPAP","HHA","Level of Service",$D766),0)</f>
        <v>0</v>
      </c>
      <c r="P766" s="665">
        <f>+IFERROR(P$5*GETPIVOTDATA("Unique Billed Hours",'County allocation'!$S$3,"County",$D754,"HHA/CDPAP","HHA","Level of Service",$D766),0)</f>
        <v>0</v>
      </c>
    </row>
    <row r="767" spans="1:18" s="54" customFormat="1" ht="15.75" hidden="1" thickBot="1" x14ac:dyDescent="0.3">
      <c r="A767" s="119"/>
      <c r="B767" s="309"/>
      <c r="C767" s="322">
        <f t="shared" ca="1" si="275"/>
        <v>0</v>
      </c>
      <c r="D767" s="8" t="s">
        <v>391</v>
      </c>
      <c r="E767" s="370" t="s">
        <v>77</v>
      </c>
      <c r="F767" s="657">
        <f t="shared" ca="1" si="276"/>
        <v>0</v>
      </c>
      <c r="G767" s="656"/>
      <c r="H767" s="658">
        <f>+IFERROR(H$5*GETPIVOTDATA("Unique Billed Hours",'County allocation'!$S$3,"County",$D754,"HHA/CDPAP","HHA","Level of Service",$D767),0)</f>
        <v>0</v>
      </c>
      <c r="I767" s="664">
        <f t="shared" ca="1" si="277"/>
        <v>0</v>
      </c>
      <c r="J767" s="901"/>
      <c r="K767" s="665">
        <f ca="1">+IFERROR(K$5*GETPIVOTDATA("Unique Billed Hours",'County allocation'!$X$3,"County",$D754,"HHA/CDPAP","HHA","Level of Service",$D767),0)</f>
        <v>0</v>
      </c>
      <c r="L767" s="665">
        <f ca="1">+IFERROR(L$5*GETPIVOTDATA("Unique Billed Hours",'County allocation'!$K$19,"County",$D754,"HHA/CDPAP","HHA","Level of Service",$D767),0)</f>
        <v>0</v>
      </c>
      <c r="M767" s="665">
        <f>+IFERROR(M$5*GETPIVOTDATA("Unique Billed Hours",'County allocation'!$S$3,"County",$D754,"HHA/CDPAP","HHA","Level of Service",$D767),0)</f>
        <v>0</v>
      </c>
      <c r="N767" s="665">
        <f>+IFERROR(N$5*GETPIVOTDATA("Unique Billed Hours",'County allocation'!$S$3,"County",$D754,"HHA/CDPAP","HHA","Level of Service",$D767),0)</f>
        <v>0</v>
      </c>
      <c r="O767" s="665">
        <f>+IFERROR(O$5*GETPIVOTDATA("Unique Billed Hours",'County allocation'!$S$3,"County",$D754,"HHA/CDPAP","HHA","Level of Service",$D767),0)</f>
        <v>0</v>
      </c>
      <c r="P767" s="665">
        <f>+IFERROR(P$5*GETPIVOTDATA("Unique Billed Hours",'County allocation'!$S$3,"County",$D754,"HHA/CDPAP","HHA","Level of Service",$D767),0)</f>
        <v>0</v>
      </c>
    </row>
    <row r="768" spans="1:18" s="54" customFormat="1" ht="15.75" hidden="1" thickBot="1" x14ac:dyDescent="0.3">
      <c r="A768" s="119"/>
      <c r="B768" s="309"/>
      <c r="C768" s="322">
        <f t="shared" ca="1" si="275"/>
        <v>0</v>
      </c>
      <c r="D768" s="8" t="s">
        <v>374</v>
      </c>
      <c r="E768" s="370" t="s">
        <v>78</v>
      </c>
      <c r="F768" s="657">
        <f t="shared" ca="1" si="276"/>
        <v>0</v>
      </c>
      <c r="G768" s="658">
        <f ca="1">+IFERROR(G$5*GETPIVOTDATA("Unique Billed Hours",'County allocation'!$A$3,"County",$D754,"HHA/CDPAP","HHA","Level of Service",$D768),0)++IFERROR(J$5*GETPIVOTDATA("Unique Billed Hours",'County allocation'!$AC$3,"County",$D754,"HHA/CDPAP","HHA","Level of Service",$D768),0)</f>
        <v>0</v>
      </c>
      <c r="H768" s="658">
        <f>+IFERROR(H$5*GETPIVOTDATA("Unique Billed Hours",'County allocation'!$S$3,"County",$D754,"HHA/CDPAP","HHA","Level of Service",$D768),0)</f>
        <v>0</v>
      </c>
      <c r="I768" s="664">
        <f t="shared" ca="1" si="277"/>
        <v>0</v>
      </c>
      <c r="J768" s="901"/>
      <c r="K768" s="665">
        <f ca="1">+IFERROR(K$5*GETPIVOTDATA("Unique Billed Hours",'County allocation'!$X$3,"County",$D754,"HHA/CDPAP","HHA","Level of Service",$D768),0)</f>
        <v>0</v>
      </c>
      <c r="L768" s="665">
        <f ca="1">+IFERROR(L$5*GETPIVOTDATA("Unique Billed Hours",'County allocation'!$K$19,"County",$D754,"HHA/CDPAP","HHA","Level of Service",$D768),0)</f>
        <v>0</v>
      </c>
      <c r="M768" s="665">
        <f>+IFERROR(M$5*GETPIVOTDATA("Unique Billed Hours",'County allocation'!$S$3,"County",$D754,"HHA/CDPAP","HHA","Level of Service",$D768),0)</f>
        <v>0</v>
      </c>
      <c r="N768" s="665">
        <f>+IFERROR(N$5*GETPIVOTDATA("Unique Billed Hours",'County allocation'!$S$3,"County",$D754,"HHA/CDPAP","HHA","Level of Service",$D768),0)</f>
        <v>0</v>
      </c>
      <c r="O768" s="665">
        <f>+IFERROR(O$5*GETPIVOTDATA("Unique Billed Hours",'County allocation'!$S$3,"County",$D754,"HHA/CDPAP","HHA","Level of Service",$D768),0)</f>
        <v>0</v>
      </c>
      <c r="P768" s="665">
        <f>+IFERROR(P$5*GETPIVOTDATA("Unique Billed Hours",'County allocation'!$S$3,"County",$D754,"HHA/CDPAP","HHA","Level of Service",$D768),0)</f>
        <v>0</v>
      </c>
    </row>
    <row r="769" spans="1:18" s="54" customFormat="1" ht="15.75" hidden="1" thickBot="1" x14ac:dyDescent="0.3">
      <c r="A769" s="302"/>
      <c r="B769" s="309"/>
      <c r="C769" s="322">
        <f ca="1">C768</f>
        <v>0</v>
      </c>
      <c r="D769" s="52" t="s">
        <v>48</v>
      </c>
      <c r="E769" s="53" t="s">
        <v>79</v>
      </c>
      <c r="F769" s="657">
        <f t="shared" ca="1" si="276"/>
        <v>0</v>
      </c>
      <c r="G769" s="661">
        <f t="shared" ref="G769" ca="1" si="279">SUM(G765:G768)</f>
        <v>0</v>
      </c>
      <c r="H769" s="661">
        <f t="shared" ref="H769:P769" si="280">SUM(H765:H768)</f>
        <v>0</v>
      </c>
      <c r="I769" s="661">
        <f t="shared" ca="1" si="280"/>
        <v>0</v>
      </c>
      <c r="J769" s="661">
        <f t="shared" ca="1" si="280"/>
        <v>0</v>
      </c>
      <c r="K769" s="661">
        <f t="shared" ca="1" si="280"/>
        <v>0</v>
      </c>
      <c r="L769" s="661">
        <f t="shared" ca="1" si="280"/>
        <v>0</v>
      </c>
      <c r="M769" s="661">
        <f t="shared" si="280"/>
        <v>0</v>
      </c>
      <c r="N769" s="661">
        <f t="shared" si="280"/>
        <v>0</v>
      </c>
      <c r="O769" s="661">
        <f t="shared" si="280"/>
        <v>0</v>
      </c>
      <c r="P769" s="661">
        <f t="shared" si="280"/>
        <v>0</v>
      </c>
    </row>
    <row r="770" spans="1:18" ht="15.75" hidden="1" thickBot="1" x14ac:dyDescent="0.3"/>
    <row r="771" spans="1:18" s="54" customFormat="1" ht="75.75" hidden="1" thickBot="1" x14ac:dyDescent="0.3">
      <c r="A771" s="119"/>
      <c r="B771" s="309"/>
      <c r="C771" s="322">
        <f ca="1">IF(F786&gt;0,1,0)</f>
        <v>0</v>
      </c>
      <c r="D771" s="45" t="str">
        <f>A48</f>
        <v>Saint Lawrence</v>
      </c>
      <c r="E771" s="28">
        <f>+SUMIF(A:A,D771,B:B)</f>
        <v>0</v>
      </c>
      <c r="F771" s="652" t="s">
        <v>61</v>
      </c>
      <c r="G771" s="652" t="s">
        <v>387</v>
      </c>
      <c r="H771" s="652" t="s">
        <v>388</v>
      </c>
      <c r="I771" s="652" t="s">
        <v>392</v>
      </c>
      <c r="J771" s="652" t="s">
        <v>31</v>
      </c>
      <c r="K771" s="652" t="s">
        <v>32</v>
      </c>
      <c r="L771" s="653" t="s">
        <v>33</v>
      </c>
      <c r="M771" s="653" t="s">
        <v>60</v>
      </c>
      <c r="N771" s="653" t="s">
        <v>59</v>
      </c>
      <c r="O771" s="653" t="s">
        <v>58</v>
      </c>
      <c r="P771" s="653" t="s">
        <v>16</v>
      </c>
    </row>
    <row r="772" spans="1:18" s="54" customFormat="1" ht="15.75" hidden="1" thickBot="1" x14ac:dyDescent="0.3">
      <c r="A772" s="119"/>
      <c r="B772" s="309"/>
      <c r="C772" s="322">
        <f ca="1">C771</f>
        <v>0</v>
      </c>
      <c r="D772" s="56"/>
      <c r="E772" s="57"/>
      <c r="F772" s="654" t="s">
        <v>57</v>
      </c>
      <c r="G772" s="654" t="s">
        <v>56</v>
      </c>
      <c r="H772" s="654" t="s">
        <v>55</v>
      </c>
      <c r="I772" s="654" t="s">
        <v>54</v>
      </c>
      <c r="J772" s="654" t="s">
        <v>53</v>
      </c>
      <c r="K772" s="654" t="s">
        <v>52</v>
      </c>
      <c r="L772" s="654" t="s">
        <v>51</v>
      </c>
      <c r="M772" s="654" t="s">
        <v>50</v>
      </c>
      <c r="N772" s="654" t="s">
        <v>49</v>
      </c>
      <c r="O772" s="654" t="s">
        <v>47</v>
      </c>
      <c r="P772" s="655" t="s">
        <v>77</v>
      </c>
    </row>
    <row r="773" spans="1:18" s="54" customFormat="1" ht="15.75" hidden="1" thickBot="1" x14ac:dyDescent="0.3">
      <c r="A773" s="119"/>
      <c r="B773" s="309"/>
      <c r="C773" s="322">
        <f t="shared" ref="C773:C785" ca="1" si="281">C772</f>
        <v>0</v>
      </c>
      <c r="D773" s="59" t="s">
        <v>26</v>
      </c>
      <c r="E773" s="57"/>
      <c r="F773" s="656"/>
      <c r="G773" s="656"/>
      <c r="H773" s="656"/>
      <c r="I773" s="656"/>
      <c r="J773" s="656"/>
      <c r="K773" s="656"/>
      <c r="L773" s="656"/>
      <c r="M773" s="656"/>
      <c r="N773" s="656"/>
      <c r="O773" s="656"/>
      <c r="P773" s="663"/>
    </row>
    <row r="774" spans="1:18" s="54" customFormat="1" ht="15.75" hidden="1" thickBot="1" x14ac:dyDescent="0.3">
      <c r="A774" s="119"/>
      <c r="B774" s="309"/>
      <c r="C774" s="322">
        <f t="shared" ca="1" si="281"/>
        <v>0</v>
      </c>
      <c r="D774" s="7" t="s">
        <v>34</v>
      </c>
      <c r="E774" s="48" t="s">
        <v>57</v>
      </c>
      <c r="F774" s="657">
        <f ca="1">+H774+G774+I774</f>
        <v>0</v>
      </c>
      <c r="G774" s="658">
        <f ca="1">+IFERROR(G$5*GETPIVOTDATA("Unique Billed Hours",'County allocation'!$A$3,"County",$D771,"HHA/CDPAP","HHA","Level of Service",$D774),0)</f>
        <v>0</v>
      </c>
      <c r="H774" s="658">
        <f>+IFERROR(H$5*GETPIVOTDATA("Unique Billed Hours",'County allocation'!$S$3,"County",$D771,"HHA/CDPAP","HHA","Level of Service",$D774),0)</f>
        <v>0</v>
      </c>
      <c r="I774" s="664">
        <f ca="1">SUM(J774:P774)</f>
        <v>0</v>
      </c>
      <c r="J774" s="658">
        <f ca="1">+IFERROR(J$5*GETPIVOTDATA("Unique Billed Hours",'County allocation'!$S$3,"County",$D771,"HHA/CDPAP","HHA","Level of Service",$D774),0)</f>
        <v>0</v>
      </c>
      <c r="K774" s="658">
        <f ca="1">+IFERROR(K$5*GETPIVOTDATA("Unique Billed Hours",'County allocation'!$X$3,"County",$D771,"HHA/CDPAP","HHA","Level of Service",$D774),0)</f>
        <v>0</v>
      </c>
      <c r="L774" s="658">
        <f ca="1">+IFERROR(L$2*GETPIVOTDATA("Unique Billed Hours",'County allocation'!$O$3,"County",$D771,"HHA/CDPAP","HHA","Level of Service",$D774),0)</f>
        <v>0</v>
      </c>
      <c r="M774" s="658">
        <f>+IFERROR(M$5*GETPIVOTDATA("Unique Billed Hours",'County allocation'!$S$3,"County",$D771,"HHA/CDPAP","HHA","Level of Service",$D774),0)</f>
        <v>0</v>
      </c>
      <c r="N774" s="658">
        <f>+IFERROR(N$5*GETPIVOTDATA("Unique Billed Hours",'County allocation'!$S$3,"County",$D771,"HHA/CDPAP","HHA","Level of Service",$D774),0)</f>
        <v>0</v>
      </c>
      <c r="O774" s="658">
        <f>+IFERROR(O$5*GETPIVOTDATA("Unique Billed Hours",'County allocation'!$K$19,"County",$D771,"HHA/CDPAP","HHA","Level of Service",$D774),0)</f>
        <v>0</v>
      </c>
      <c r="P774" s="658">
        <f>+IFERROR(P$5*GETPIVOTDATA("Unique Billed Hours",'County allocation'!$S$3,"County",$D771,"HHA/CDPAP","HHA","Level of Service",$D774),0)</f>
        <v>0</v>
      </c>
    </row>
    <row r="775" spans="1:18" s="54" customFormat="1" ht="15.75" hidden="1" thickBot="1" x14ac:dyDescent="0.3">
      <c r="A775" s="119"/>
      <c r="B775" s="309"/>
      <c r="C775" s="322">
        <f t="shared" ca="1" si="281"/>
        <v>0</v>
      </c>
      <c r="D775" s="7" t="s">
        <v>35</v>
      </c>
      <c r="E775" s="48" t="s">
        <v>56</v>
      </c>
      <c r="F775" s="657">
        <f t="shared" ref="F775:F786" ca="1" si="282">+H775+G775+I775</f>
        <v>0</v>
      </c>
      <c r="G775" s="658">
        <f ca="1">+IFERROR(G$5*GETPIVOTDATA("Unique Billed Hours",'County allocation'!$A$3,"County",$D771,"HHA/CDPAP","HHA","Level of Service",$D775),0)</f>
        <v>0</v>
      </c>
      <c r="H775" s="658">
        <f>+IFERROR(H$5*GETPIVOTDATA("Unique Billed Hours",'County allocation'!$S$3,"County",$D771,"HHA/CDPAP","HHA","Level of Service",$D775),0)</f>
        <v>0</v>
      </c>
      <c r="I775" s="664">
        <f t="shared" ref="I775:I785" ca="1" si="283">SUM(J775:P775)</f>
        <v>0</v>
      </c>
      <c r="J775" s="658">
        <f ca="1">+IFERROR(J$5*GETPIVOTDATA("Unique Billed Hours",'County allocation'!$S$3,"County",$D771,"HHA/CDPAP","HHA","Level of Service",$D775),0)</f>
        <v>0</v>
      </c>
      <c r="K775" s="658">
        <f ca="1">+IFERROR(K$5*GETPIVOTDATA("Unique Billed Hours",'County allocation'!$X$3,"County",$D771,"HHA/CDPAP","HHA","Level of Service",$D775),0)</f>
        <v>0</v>
      </c>
      <c r="L775" s="658">
        <f ca="1">+IFERROR(L$2*GETPIVOTDATA("Unique Billed Hours",'County allocation'!$O$3,"County",$D771,"HHA/CDPAP","HHA","Level of Service",$D775),0)</f>
        <v>0</v>
      </c>
      <c r="M775" s="658">
        <f>+IFERROR(M$5*GETPIVOTDATA("Unique Billed Hours",'County allocation'!$S$3,"County",$D771,"HHA/CDPAP","HHA","Level of Service",$D775),0)</f>
        <v>0</v>
      </c>
      <c r="N775" s="658">
        <f>+IFERROR(N$5*GETPIVOTDATA("Unique Billed Hours",'County allocation'!$S$3,"County",$D771,"HHA/CDPAP","HHA","Level of Service",$D775),0)</f>
        <v>0</v>
      </c>
      <c r="O775" s="658">
        <f>+IFERROR(O$5*GETPIVOTDATA("Unique Billed Hours",'County allocation'!$K$19,"County",$D771,"HHA/CDPAP","HHA","Level of Service",$D775),0)</f>
        <v>0</v>
      </c>
      <c r="P775" s="658">
        <f>+IFERROR(P$5*GETPIVOTDATA("Unique Billed Hours",'County allocation'!$S$3,"County",$D771,"HHA/CDPAP","HHA","Level of Service",$D775),0)</f>
        <v>0</v>
      </c>
      <c r="R775" s="61"/>
    </row>
    <row r="776" spans="1:18" s="54" customFormat="1" ht="15.75" hidden="1" thickBot="1" x14ac:dyDescent="0.3">
      <c r="A776" s="302"/>
      <c r="B776" s="309"/>
      <c r="C776" s="322">
        <f t="shared" ca="1" si="281"/>
        <v>0</v>
      </c>
      <c r="D776" s="7" t="s">
        <v>36</v>
      </c>
      <c r="E776" s="48" t="s">
        <v>55</v>
      </c>
      <c r="F776" s="657">
        <f t="shared" ca="1" si="282"/>
        <v>0</v>
      </c>
      <c r="G776" s="658">
        <f ca="1">+IFERROR(G$5*GETPIVOTDATA("Unique Billed Hours",'County allocation'!$A$3,"County",$D771,"HHA/CDPAP","HHA","Level of Service",$D776),0)</f>
        <v>0</v>
      </c>
      <c r="H776" s="658">
        <f>+IFERROR(H$5*GETPIVOTDATA("Unique Billed Hours",'County allocation'!$S$3,"County",$D771,"HHA/CDPAP","HHA","Level of Service",$D776),0)</f>
        <v>0</v>
      </c>
      <c r="I776" s="664">
        <f t="shared" ca="1" si="283"/>
        <v>0</v>
      </c>
      <c r="J776" s="658">
        <f ca="1">+IFERROR(J$5*GETPIVOTDATA("Unique Billed Hours",'County allocation'!$S$3,"County",$D771,"HHA/CDPAP","HHA","Level of Service",$D776),0)</f>
        <v>0</v>
      </c>
      <c r="K776" s="658">
        <f ca="1">+IFERROR(K$5*GETPIVOTDATA("Unique Billed Hours",'County allocation'!$X$3,"County",$D771,"HHA/CDPAP","HHA","Level of Service",$D776),0)</f>
        <v>0</v>
      </c>
      <c r="L776" s="658">
        <f ca="1">+IFERROR(L$2*GETPIVOTDATA("Unique Billed Hours",'County allocation'!$O$3,"County",$D771,"HHA/CDPAP","HHA","Level of Service",$D776),0)</f>
        <v>0</v>
      </c>
      <c r="M776" s="658">
        <f>+IFERROR(M$5*GETPIVOTDATA("Unique Billed Hours",'County allocation'!$S$3,"County",$D771,"HHA/CDPAP","HHA","Level of Service",$D776),0)</f>
        <v>0</v>
      </c>
      <c r="N776" s="658">
        <f>+IFERROR(N$5*GETPIVOTDATA("Unique Billed Hours",'County allocation'!$S$3,"County",$D771,"HHA/CDPAP","HHA","Level of Service",$D776),0)</f>
        <v>0</v>
      </c>
      <c r="O776" s="658">
        <f>+IFERROR(O$5*GETPIVOTDATA("Unique Billed Hours",'County allocation'!$K$19,"County",$D771,"HHA/CDPAP","HHA","Level of Service",$D776),0)</f>
        <v>0</v>
      </c>
      <c r="P776" s="658">
        <f>+IFERROR(P$5*GETPIVOTDATA("Unique Billed Hours",'County allocation'!$S$3,"County",$D771,"HHA/CDPAP","HHA","Level of Service",$D776),0)</f>
        <v>0</v>
      </c>
    </row>
    <row r="777" spans="1:18" s="54" customFormat="1" ht="15.75" hidden="1" thickBot="1" x14ac:dyDescent="0.3">
      <c r="A777" s="119"/>
      <c r="B777" s="309"/>
      <c r="C777" s="322">
        <f t="shared" ca="1" si="281"/>
        <v>0</v>
      </c>
      <c r="D777" s="7" t="s">
        <v>37</v>
      </c>
      <c r="E777" s="48" t="s">
        <v>54</v>
      </c>
      <c r="F777" s="657">
        <f t="shared" ca="1" si="282"/>
        <v>0</v>
      </c>
      <c r="G777" s="658">
        <f ca="1">+IFERROR(G$5*GETPIVOTDATA("Unique Billed Hours",'County allocation'!$A$3,"County",$D771,"HHA/CDPAP","HHA","Level of Service",$D777),0)</f>
        <v>0</v>
      </c>
      <c r="H777" s="658">
        <f>+IFERROR(H$5*GETPIVOTDATA("Unique Billed Hours",'County allocation'!$S$3,"County",$D771,"HHA/CDPAP","HHA","Level of Service",$D777),0)</f>
        <v>0</v>
      </c>
      <c r="I777" s="664">
        <f t="shared" ca="1" si="283"/>
        <v>0</v>
      </c>
      <c r="J777" s="658">
        <f ca="1">+IFERROR(J$5*GETPIVOTDATA("Unique Billed Hours",'County allocation'!$S$3,"County",$D771,"HHA/CDPAP","HHA","Level of Service",$D777),0)</f>
        <v>0</v>
      </c>
      <c r="K777" s="658">
        <f ca="1">+IFERROR(K$5*GETPIVOTDATA("Unique Billed Hours",'County allocation'!$X$3,"County",$D771,"HHA/CDPAP","HHA","Level of Service",$D777),0)</f>
        <v>0</v>
      </c>
      <c r="L777" s="658">
        <f ca="1">+IFERROR(L$2*GETPIVOTDATA("Unique Billed Hours",'County allocation'!$O$3,"County",$D771,"HHA/CDPAP","HHA","Level of Service",$D777),0)</f>
        <v>0</v>
      </c>
      <c r="M777" s="658">
        <f>+IFERROR(M$5*GETPIVOTDATA("Unique Billed Hours",'County allocation'!$S$3,"County",$D771,"HHA/CDPAP","HHA","Level of Service",$D777),0)</f>
        <v>0</v>
      </c>
      <c r="N777" s="658">
        <f>+IFERROR(N$5*GETPIVOTDATA("Unique Billed Hours",'County allocation'!$S$3,"County",$D771,"HHA/CDPAP","HHA","Level of Service",$D777),0)</f>
        <v>0</v>
      </c>
      <c r="O777" s="658">
        <f>+IFERROR(O$5*GETPIVOTDATA("Unique Billed Hours",'County allocation'!$K$19,"County",$D771,"HHA/CDPAP","HHA","Level of Service",$D777),0)</f>
        <v>0</v>
      </c>
      <c r="P777" s="658">
        <f>+IFERROR(P$5*GETPIVOTDATA("Unique Billed Hours",'County allocation'!$S$3,"County",$D771,"HHA/CDPAP","HHA","Level of Service",$D777),0)</f>
        <v>0</v>
      </c>
    </row>
    <row r="778" spans="1:18" s="54" customFormat="1" ht="15.75" hidden="1" thickBot="1" x14ac:dyDescent="0.3">
      <c r="A778" s="119"/>
      <c r="B778" s="309"/>
      <c r="C778" s="322">
        <f t="shared" ca="1" si="281"/>
        <v>0</v>
      </c>
      <c r="D778" s="7" t="s">
        <v>38</v>
      </c>
      <c r="E778" s="48" t="s">
        <v>53</v>
      </c>
      <c r="F778" s="657">
        <f t="shared" ca="1" si="282"/>
        <v>0</v>
      </c>
      <c r="G778" s="658">
        <f ca="1">+IFERROR(G$5*GETPIVOTDATA("Unique Billed Hours",'County allocation'!$A$3,"County",$D771,"HHA/CDPAP","HHA","Level of Service",$D778),0)</f>
        <v>0</v>
      </c>
      <c r="H778" s="658">
        <f>+IFERROR(H$5*GETPIVOTDATA("Unique Billed Hours",'County allocation'!$S$3,"County",$D771,"HHA/CDPAP","HHA","Level of Service",$D778),0)</f>
        <v>0</v>
      </c>
      <c r="I778" s="664">
        <f t="shared" ca="1" si="283"/>
        <v>0</v>
      </c>
      <c r="J778" s="658">
        <f ca="1">+IFERROR(J$5*GETPIVOTDATA("Unique Billed Hours",'County allocation'!$S$3,"County",$D771,"HHA/CDPAP","HHA","Level of Service",$D778),0)</f>
        <v>0</v>
      </c>
      <c r="K778" s="658">
        <f ca="1">+IFERROR(K$5*GETPIVOTDATA("Unique Billed Hours",'County allocation'!$X$3,"County",$D771,"HHA/CDPAP","HHA","Level of Service",$D778),0)</f>
        <v>0</v>
      </c>
      <c r="L778" s="658">
        <f ca="1">+IFERROR(L$5*GETPIVOTDATA("Unique Billed Hours",'County allocation'!$K$19,"County",$D771,"HHA/CDPAP","HHA","Level of Service",$D778),0)</f>
        <v>0</v>
      </c>
      <c r="M778" s="658">
        <f>+IFERROR(M$5*GETPIVOTDATA("Unique Billed Hours",'County allocation'!$S$3,"County",$D771,"HHA/CDPAP","HHA","Level of Service",$D778),0)</f>
        <v>0</v>
      </c>
      <c r="N778" s="658">
        <f>+IFERROR(N$5*GETPIVOTDATA("Unique Billed Hours",'County allocation'!$S$3,"County",$D771,"HHA/CDPAP","HHA","Level of Service",$D778),0)</f>
        <v>0</v>
      </c>
      <c r="O778" s="658">
        <f>+IFERROR(O$5*GETPIVOTDATA("Unique Billed Hours",'County allocation'!$K$19,"County",$D771,"HHA/CDPAP","HHA","Level of Service",$D778),0)</f>
        <v>0</v>
      </c>
      <c r="P778" s="658">
        <f>+IFERROR(P$5*GETPIVOTDATA("Unique Billed Hours",'County allocation'!$S$3,"County",$D771,"HHA/CDPAP","HHA","Level of Service",$D778),0)</f>
        <v>0</v>
      </c>
    </row>
    <row r="779" spans="1:18" s="54" customFormat="1" ht="15.75" hidden="1" thickBot="1" x14ac:dyDescent="0.3">
      <c r="A779" s="119"/>
      <c r="B779" s="309"/>
      <c r="C779" s="322">
        <f t="shared" ca="1" si="281"/>
        <v>0</v>
      </c>
      <c r="D779" s="7" t="s">
        <v>39</v>
      </c>
      <c r="E779" s="48" t="s">
        <v>52</v>
      </c>
      <c r="F779" s="657">
        <f t="shared" ca="1" si="282"/>
        <v>0</v>
      </c>
      <c r="G779" s="658">
        <f ca="1">+IFERROR(G$5*GETPIVOTDATA("Unique Billed Hours",'County allocation'!$A$3,"County",$D771,"HHA/CDPAP","HHA","Level of Service",$D779),0)</f>
        <v>0</v>
      </c>
      <c r="H779" s="658">
        <f>+IFERROR(H$5*GETPIVOTDATA("Unique Billed Hours",'County allocation'!$S$3,"County",$D771,"HHA/CDPAP","HHA","Level of Service",$D779),0)</f>
        <v>0</v>
      </c>
      <c r="I779" s="664">
        <f t="shared" ca="1" si="283"/>
        <v>0</v>
      </c>
      <c r="J779" s="658">
        <f ca="1">+IFERROR(J$5*GETPIVOTDATA("Unique Billed Hours",'County allocation'!$S$3,"County",$D771,"HHA/CDPAP","HHA","Level of Service",$D779),0)</f>
        <v>0</v>
      </c>
      <c r="K779" s="658">
        <f ca="1">+IFERROR(K$5*GETPIVOTDATA("Unique Billed Hours",'County allocation'!$X$3,"County",$D771,"HHA/CDPAP","HHA","Level of Service",$D779),0)</f>
        <v>0</v>
      </c>
      <c r="L779" s="658">
        <f ca="1">+IFERROR(L$5*GETPIVOTDATA("Unique Billed Hours",'County allocation'!$K$19,"County",$D771,"HHA/CDPAP","HHA","Level of Service",$D779),0)</f>
        <v>0</v>
      </c>
      <c r="M779" s="658">
        <f>+IFERROR(M$5*GETPIVOTDATA("Unique Billed Hours",'County allocation'!$S$3,"County",$D771,"HHA/CDPAP","HHA","Level of Service",$D779),0)</f>
        <v>0</v>
      </c>
      <c r="N779" s="658">
        <f>+IFERROR(N$5*GETPIVOTDATA("Unique Billed Hours",'County allocation'!$S$3,"County",$D771,"HHA/CDPAP","HHA","Level of Service",$D779),0)</f>
        <v>0</v>
      </c>
      <c r="O779" s="658">
        <f>+IFERROR(O$5*GETPIVOTDATA("Unique Billed Hours",'County allocation'!$K$19,"County",$D771,"HHA/CDPAP","HHA","Level of Service",$D779),0)</f>
        <v>0</v>
      </c>
      <c r="P779" s="658">
        <f>+IFERROR(P$5*GETPIVOTDATA("Unique Billed Hours",'County allocation'!$S$3,"County",$D771,"HHA/CDPAP","HHA","Level of Service",$D779),0)</f>
        <v>0</v>
      </c>
    </row>
    <row r="780" spans="1:18" s="54" customFormat="1" ht="15.75" hidden="1" thickBot="1" x14ac:dyDescent="0.3">
      <c r="A780" s="119"/>
      <c r="B780" s="309"/>
      <c r="C780" s="322">
        <f t="shared" ca="1" si="281"/>
        <v>0</v>
      </c>
      <c r="D780" s="8" t="s">
        <v>40</v>
      </c>
      <c r="E780" s="48" t="s">
        <v>51</v>
      </c>
      <c r="F780" s="657">
        <f t="shared" ca="1" si="282"/>
        <v>0</v>
      </c>
      <c r="G780" s="658">
        <f ca="1">+IFERROR(G$5*GETPIVOTDATA("Unique Billed Hours",'County allocation'!$A$3,"County",$D771,"HHA/CDPAP","HHA","Level of Service",$D780),0)</f>
        <v>0</v>
      </c>
      <c r="H780" s="658">
        <f>+IFERROR(H$5*GETPIVOTDATA("Unique Billed Hours",'County allocation'!$S$3,"County",$D771,"HHA/CDPAP","HHA","Level of Service",$D780),0)</f>
        <v>0</v>
      </c>
      <c r="I780" s="664">
        <f t="shared" ca="1" si="283"/>
        <v>0</v>
      </c>
      <c r="J780" s="658">
        <f ca="1">+IFERROR(J$5*GETPIVOTDATA("Unique Billed Hours",'County allocation'!$S$3,"County",$D771,"HHA/CDPAP","HHA","Level of Service",$D780),0)</f>
        <v>0</v>
      </c>
      <c r="K780" s="658">
        <f ca="1">+IFERROR(K$5*GETPIVOTDATA("Unique Billed Hours",'County allocation'!$X$3,"County",$D771,"HHA/CDPAP","HHA","Level of Service",$D780),0)</f>
        <v>0</v>
      </c>
      <c r="L780" s="658">
        <f ca="1">+IFERROR(L$2*GETPIVOTDATA("Unique Billed Hours",'County allocation'!$O$3,"County",$D771,"HHA/CDPAP","HHA","Level of Service",$D780),0)</f>
        <v>0</v>
      </c>
      <c r="M780" s="658">
        <f>+IFERROR(M$5*GETPIVOTDATA("Unique Billed Hours",'County allocation'!$S$3,"County",$D771,"HHA/CDPAP","HHA","Level of Service",$D780),0)</f>
        <v>0</v>
      </c>
      <c r="N780" s="658">
        <f>+IFERROR(N$5*GETPIVOTDATA("Unique Billed Hours",'County allocation'!$S$3,"County",$D771,"HHA/CDPAP","HHA","Level of Service",$D780),0)</f>
        <v>0</v>
      </c>
      <c r="O780" s="658">
        <f>+IFERROR(O$5*GETPIVOTDATA("Unique Billed Hours",'County allocation'!$K$19,"County",$D771,"HHA/CDPAP","HHA","Level of Service",$D780),0)</f>
        <v>0</v>
      </c>
      <c r="P780" s="658">
        <f>+IFERROR(P$5*GETPIVOTDATA("Unique Billed Hours",'County allocation'!$S$3,"County",$D771,"HHA/CDPAP","HHA","Level of Service",$D780),0)</f>
        <v>0</v>
      </c>
    </row>
    <row r="781" spans="1:18" s="54" customFormat="1" ht="15.75" hidden="1" thickBot="1" x14ac:dyDescent="0.3">
      <c r="A781" s="119"/>
      <c r="B781" s="309"/>
      <c r="C781" s="322">
        <f t="shared" ca="1" si="281"/>
        <v>0</v>
      </c>
      <c r="D781" s="8" t="s">
        <v>41</v>
      </c>
      <c r="E781" s="48" t="s">
        <v>50</v>
      </c>
      <c r="F781" s="657">
        <f t="shared" ca="1" si="282"/>
        <v>0</v>
      </c>
      <c r="G781" s="658">
        <f ca="1">+IFERROR(G$5*GETPIVOTDATA("Unique Billed Hours",'County allocation'!$A$3,"County",$D771,"HHA/CDPAP","HHA","Level of Service",$D781),0)</f>
        <v>0</v>
      </c>
      <c r="H781" s="658">
        <f>+IFERROR(H$5*GETPIVOTDATA("Unique Billed Hours",'County allocation'!$S$3,"County",$D771,"HHA/CDPAP","HHA","Level of Service",$D781),0)</f>
        <v>0</v>
      </c>
      <c r="I781" s="664">
        <f t="shared" ca="1" si="283"/>
        <v>0</v>
      </c>
      <c r="J781" s="658">
        <f ca="1">+IFERROR(J$5*GETPIVOTDATA("Unique Billed Hours",'County allocation'!$S$3,"County",$D771,"HHA/CDPAP","HHA","Level of Service",$D781),0)</f>
        <v>0</v>
      </c>
      <c r="K781" s="658">
        <f ca="1">+IFERROR(K$5*GETPIVOTDATA("Unique Billed Hours",'County allocation'!$X$3,"County",$D771,"HHA/CDPAP","HHA","Level of Service",$D781),0)</f>
        <v>0</v>
      </c>
      <c r="L781" s="658">
        <f ca="1">+IFERROR(L$2*GETPIVOTDATA("Unique Billed Hours",'County allocation'!$O$3,"County",$D771,"HHA/CDPAP","HHA","Level of Service",$D781),0)</f>
        <v>0</v>
      </c>
      <c r="M781" s="658">
        <f>+IFERROR(M$5*GETPIVOTDATA("Unique Billed Hours",'County allocation'!$S$3,"County",$D771,"HHA/CDPAP","HHA","Level of Service",$D781),0)</f>
        <v>0</v>
      </c>
      <c r="N781" s="658">
        <f>+IFERROR(N$5*GETPIVOTDATA("Unique Billed Hours",'County allocation'!$S$3,"County",$D771,"HHA/CDPAP","HHA","Level of Service",$D781),0)</f>
        <v>0</v>
      </c>
      <c r="O781" s="658">
        <f>+IFERROR(O$5*GETPIVOTDATA("Unique Billed Hours",'County allocation'!$K$19,"County",$D771,"HHA/CDPAP","HHA","Level of Service",$D781),0)</f>
        <v>0</v>
      </c>
      <c r="P781" s="658">
        <f>+IFERROR(P$5*GETPIVOTDATA("Unique Billed Hours",'County allocation'!$S$3,"County",$D771,"HHA/CDPAP","HHA","Level of Service",$D781),0)</f>
        <v>0</v>
      </c>
    </row>
    <row r="782" spans="1:18" s="54" customFormat="1" ht="15.75" hidden="1" thickBot="1" x14ac:dyDescent="0.3">
      <c r="A782" s="119"/>
      <c r="B782" s="309"/>
      <c r="C782" s="322">
        <f t="shared" ca="1" si="281"/>
        <v>0</v>
      </c>
      <c r="D782" s="52" t="s">
        <v>389</v>
      </c>
      <c r="E782" s="53" t="s">
        <v>49</v>
      </c>
      <c r="F782" s="657">
        <f t="shared" ca="1" si="282"/>
        <v>0</v>
      </c>
      <c r="G782" s="661">
        <f ca="1">SUM(G774:G781)</f>
        <v>0</v>
      </c>
      <c r="H782" s="661">
        <f>SUM(H774:H781)</f>
        <v>0</v>
      </c>
      <c r="I782" s="664">
        <f t="shared" ca="1" si="283"/>
        <v>0</v>
      </c>
      <c r="J782" s="661">
        <f ca="1">SUM(J774:J781)</f>
        <v>0</v>
      </c>
      <c r="K782" s="661">
        <f t="shared" ref="K782:P782" ca="1" si="284">SUM(K774:K781)</f>
        <v>0</v>
      </c>
      <c r="L782" s="661">
        <f t="shared" ca="1" si="284"/>
        <v>0</v>
      </c>
      <c r="M782" s="661">
        <f t="shared" si="284"/>
        <v>0</v>
      </c>
      <c r="N782" s="661">
        <f t="shared" si="284"/>
        <v>0</v>
      </c>
      <c r="O782" s="661">
        <f t="shared" si="284"/>
        <v>0</v>
      </c>
      <c r="P782" s="661">
        <f t="shared" si="284"/>
        <v>0</v>
      </c>
    </row>
    <row r="783" spans="1:18" s="54" customFormat="1" ht="15.75" hidden="1" thickBot="1" x14ac:dyDescent="0.3">
      <c r="A783" s="119"/>
      <c r="B783" s="309"/>
      <c r="C783" s="322">
        <f t="shared" ca="1" si="281"/>
        <v>0</v>
      </c>
      <c r="D783" s="371" t="s">
        <v>390</v>
      </c>
      <c r="E783" s="325" t="s">
        <v>47</v>
      </c>
      <c r="F783" s="657">
        <f t="shared" ca="1" si="282"/>
        <v>0</v>
      </c>
      <c r="G783" s="665">
        <f ca="1">+IFERROR((G$5*GETPIVOTDATA("Unique Billed Hours",'County allocation'!$A$3,"County",$D771,"HHA/CDPAP","HHA","Level of Service",$D783))+($G$2*GETPIVOTDATA("Unique Billed Hours",'County allocation'!$F$7,"County",$D771,"HHA/CDPAP","HHA","Level of Service",$D783)),0)++IFERROR(J$5*GETPIVOTDATA("Unique Billed Hours",'County allocation'!$AC$3,"County",$D771,"HHA/CDPAP","HHA","Level of Service",$D783),0)+ +IFERROR(J$5*GETPIVOTDATA("Unique Billed Hours",'County allocation'!$AC$3,"County",$D771,"HHA/CDPAP","HHA","Level of Service",$D784),0)</f>
        <v>0</v>
      </c>
      <c r="H783" s="665">
        <f>+IFERROR(H$5*GETPIVOTDATA("Unique Billed Hours",'County allocation'!$S$3,"County",$D771,"HHA/CDPAP","HHA","Level of Service",$D783),0)</f>
        <v>0</v>
      </c>
      <c r="I783" s="664">
        <f t="shared" ca="1" si="283"/>
        <v>0</v>
      </c>
      <c r="J783" s="901"/>
      <c r="K783" s="665">
        <f ca="1">+IFERROR(K$5*GETPIVOTDATA("Unique Billed Hours",'County allocation'!$X$3,"County",$D771,"HHA/CDPAP","HHA","Level of Service",$D783),0)</f>
        <v>0</v>
      </c>
      <c r="L783" s="665">
        <f ca="1">+IFERROR(L$5*GETPIVOTDATA("Unique Billed Hours",'County allocation'!$K$19,"County",$D771,"HHA/CDPAP","HHA","Level of Service",$D783),0)</f>
        <v>0</v>
      </c>
      <c r="M783" s="665">
        <f>+IFERROR(M$5*GETPIVOTDATA("Unique Billed Hours",'County allocation'!$S$3,"County",$D771,"HHA/CDPAP","HHA","Level of Service",$D783),0)</f>
        <v>0</v>
      </c>
      <c r="N783" s="665">
        <f>+IFERROR(N$5*GETPIVOTDATA("Unique Billed Hours",'County allocation'!$S$3,"County",$D771,"HHA/CDPAP","HHA","Level of Service",$D783),0)</f>
        <v>0</v>
      </c>
      <c r="O783" s="665">
        <f>+IFERROR(O$5*GETPIVOTDATA("Unique Billed Hours",'County allocation'!$S$3,"County",$D771,"HHA/CDPAP","HHA","Level of Service",$D783),0)</f>
        <v>0</v>
      </c>
      <c r="P783" s="665">
        <f>+IFERROR(P$5*GETPIVOTDATA("Unique Billed Hours",'County allocation'!$S$3,"County",$D771,"HHA/CDPAP","HHA","Level of Service",$D783),0)</f>
        <v>0</v>
      </c>
    </row>
    <row r="784" spans="1:18" s="54" customFormat="1" ht="15.75" hidden="1" thickBot="1" x14ac:dyDescent="0.3">
      <c r="A784" s="119"/>
      <c r="B784" s="309"/>
      <c r="C784" s="322">
        <f t="shared" ca="1" si="281"/>
        <v>0</v>
      </c>
      <c r="D784" s="8" t="s">
        <v>391</v>
      </c>
      <c r="E784" s="370" t="s">
        <v>77</v>
      </c>
      <c r="F784" s="657">
        <f t="shared" ca="1" si="282"/>
        <v>0</v>
      </c>
      <c r="G784" s="656"/>
      <c r="H784" s="658">
        <f>+IFERROR(H$5*GETPIVOTDATA("Unique Billed Hours",'County allocation'!$S$3,"County",$D771,"HHA/CDPAP","HHA","Level of Service",$D784),0)</f>
        <v>0</v>
      </c>
      <c r="I784" s="664">
        <f t="shared" ca="1" si="283"/>
        <v>0</v>
      </c>
      <c r="J784" s="901"/>
      <c r="K784" s="665">
        <f ca="1">+IFERROR(K$5*GETPIVOTDATA("Unique Billed Hours",'County allocation'!$X$3,"County",$D771,"HHA/CDPAP","HHA","Level of Service",$D784),0)</f>
        <v>0</v>
      </c>
      <c r="L784" s="665">
        <f ca="1">+IFERROR(L$5*GETPIVOTDATA("Unique Billed Hours",'County allocation'!$K$19,"County",$D771,"HHA/CDPAP","HHA","Level of Service",$D784),0)</f>
        <v>0</v>
      </c>
      <c r="M784" s="665">
        <f>+IFERROR(M$5*GETPIVOTDATA("Unique Billed Hours",'County allocation'!$S$3,"County",$D771,"HHA/CDPAP","HHA","Level of Service",$D784),0)</f>
        <v>0</v>
      </c>
      <c r="N784" s="665">
        <f>+IFERROR(N$5*GETPIVOTDATA("Unique Billed Hours",'County allocation'!$S$3,"County",$D771,"HHA/CDPAP","HHA","Level of Service",$D784),0)</f>
        <v>0</v>
      </c>
      <c r="O784" s="665">
        <f>+IFERROR(O$5*GETPIVOTDATA("Unique Billed Hours",'County allocation'!$S$3,"County",$D771,"HHA/CDPAP","HHA","Level of Service",$D784),0)</f>
        <v>0</v>
      </c>
      <c r="P784" s="665">
        <f>+IFERROR(P$5*GETPIVOTDATA("Unique Billed Hours",'County allocation'!$S$3,"County",$D771,"HHA/CDPAP","HHA","Level of Service",$D784),0)</f>
        <v>0</v>
      </c>
    </row>
    <row r="785" spans="1:18" s="54" customFormat="1" ht="15.75" hidden="1" thickBot="1" x14ac:dyDescent="0.3">
      <c r="A785" s="119"/>
      <c r="B785" s="309"/>
      <c r="C785" s="322">
        <f t="shared" ca="1" si="281"/>
        <v>0</v>
      </c>
      <c r="D785" s="8" t="s">
        <v>374</v>
      </c>
      <c r="E785" s="370" t="s">
        <v>78</v>
      </c>
      <c r="F785" s="657">
        <f t="shared" ca="1" si="282"/>
        <v>0</v>
      </c>
      <c r="G785" s="658">
        <f ca="1">+IFERROR(G$5*GETPIVOTDATA("Unique Billed Hours",'County allocation'!$A$3,"County",$D771,"HHA/CDPAP","HHA","Level of Service",$D785),0)++IFERROR(J$5*GETPIVOTDATA("Unique Billed Hours",'County allocation'!$AC$3,"County",$D771,"HHA/CDPAP","HHA","Level of Service",$D785),0)</f>
        <v>0</v>
      </c>
      <c r="H785" s="658">
        <f>+IFERROR(H$5*GETPIVOTDATA("Unique Billed Hours",'County allocation'!$S$3,"County",$D771,"HHA/CDPAP","HHA","Level of Service",$D785),0)</f>
        <v>0</v>
      </c>
      <c r="I785" s="664">
        <f t="shared" ca="1" si="283"/>
        <v>0</v>
      </c>
      <c r="J785" s="901"/>
      <c r="K785" s="665">
        <f ca="1">+IFERROR(K$5*GETPIVOTDATA("Unique Billed Hours",'County allocation'!$X$3,"County",$D771,"HHA/CDPAP","HHA","Level of Service",$D785),0)</f>
        <v>0</v>
      </c>
      <c r="L785" s="665">
        <f ca="1">+IFERROR(L$5*GETPIVOTDATA("Unique Billed Hours",'County allocation'!$K$19,"County",$D771,"HHA/CDPAP","HHA","Level of Service",$D785),0)</f>
        <v>0</v>
      </c>
      <c r="M785" s="665">
        <f>+IFERROR(M$5*GETPIVOTDATA("Unique Billed Hours",'County allocation'!$S$3,"County",$D771,"HHA/CDPAP","HHA","Level of Service",$D785),0)</f>
        <v>0</v>
      </c>
      <c r="N785" s="665">
        <f>+IFERROR(N$5*GETPIVOTDATA("Unique Billed Hours",'County allocation'!$S$3,"County",$D771,"HHA/CDPAP","HHA","Level of Service",$D785),0)</f>
        <v>0</v>
      </c>
      <c r="O785" s="665">
        <f>+IFERROR(O$5*GETPIVOTDATA("Unique Billed Hours",'County allocation'!$S$3,"County",$D771,"HHA/CDPAP","HHA","Level of Service",$D785),0)</f>
        <v>0</v>
      </c>
      <c r="P785" s="665">
        <f>+IFERROR(P$5*GETPIVOTDATA("Unique Billed Hours",'County allocation'!$S$3,"County",$D771,"HHA/CDPAP","HHA","Level of Service",$D785),0)</f>
        <v>0</v>
      </c>
    </row>
    <row r="786" spans="1:18" s="54" customFormat="1" ht="15.75" hidden="1" thickBot="1" x14ac:dyDescent="0.3">
      <c r="A786" s="302"/>
      <c r="B786" s="309"/>
      <c r="C786" s="322">
        <f ca="1">C785</f>
        <v>0</v>
      </c>
      <c r="D786" s="52" t="s">
        <v>48</v>
      </c>
      <c r="E786" s="53" t="s">
        <v>79</v>
      </c>
      <c r="F786" s="657">
        <f t="shared" ca="1" si="282"/>
        <v>0</v>
      </c>
      <c r="G786" s="661">
        <f t="shared" ref="G786" ca="1" si="285">SUM(G782:G785)</f>
        <v>0</v>
      </c>
      <c r="H786" s="661">
        <f t="shared" ref="H786:P786" si="286">SUM(H782:H785)</f>
        <v>0</v>
      </c>
      <c r="I786" s="661">
        <f t="shared" ca="1" si="286"/>
        <v>0</v>
      </c>
      <c r="J786" s="661">
        <f t="shared" ca="1" si="286"/>
        <v>0</v>
      </c>
      <c r="K786" s="661">
        <f t="shared" ca="1" si="286"/>
        <v>0</v>
      </c>
      <c r="L786" s="661">
        <f t="shared" ca="1" si="286"/>
        <v>0</v>
      </c>
      <c r="M786" s="661">
        <f t="shared" si="286"/>
        <v>0</v>
      </c>
      <c r="N786" s="661">
        <f t="shared" si="286"/>
        <v>0</v>
      </c>
      <c r="O786" s="661">
        <f t="shared" si="286"/>
        <v>0</v>
      </c>
      <c r="P786" s="661">
        <f t="shared" si="286"/>
        <v>0</v>
      </c>
    </row>
    <row r="787" spans="1:18" ht="15.75" hidden="1" thickBot="1" x14ac:dyDescent="0.3"/>
    <row r="788" spans="1:18" s="54" customFormat="1" ht="75" x14ac:dyDescent="0.25">
      <c r="A788" s="119"/>
      <c r="B788" s="309"/>
      <c r="C788" s="322">
        <f ca="1">IF(F803&gt;0,1,0)</f>
        <v>1</v>
      </c>
      <c r="D788" s="45" t="str">
        <f>A49</f>
        <v>Saratoga</v>
      </c>
      <c r="E788" s="28">
        <f>+SUMIF(A:A,D788,B:B)</f>
        <v>2.3438220793789384E-4</v>
      </c>
      <c r="F788" s="652" t="s">
        <v>61</v>
      </c>
      <c r="G788" s="652" t="s">
        <v>387</v>
      </c>
      <c r="H788" s="652" t="s">
        <v>388</v>
      </c>
      <c r="I788" s="652" t="s">
        <v>392</v>
      </c>
      <c r="J788" s="652" t="s">
        <v>31</v>
      </c>
      <c r="K788" s="652" t="s">
        <v>32</v>
      </c>
      <c r="L788" s="653" t="s">
        <v>33</v>
      </c>
      <c r="M788" s="653" t="s">
        <v>60</v>
      </c>
      <c r="N788" s="653" t="s">
        <v>59</v>
      </c>
      <c r="O788" s="653" t="s">
        <v>58</v>
      </c>
      <c r="P788" s="653" t="s">
        <v>16</v>
      </c>
    </row>
    <row r="789" spans="1:18" s="54" customFormat="1" x14ac:dyDescent="0.25">
      <c r="A789" s="119"/>
      <c r="B789" s="309"/>
      <c r="C789" s="322">
        <f ca="1">C788</f>
        <v>1</v>
      </c>
      <c r="D789" s="56"/>
      <c r="E789" s="57"/>
      <c r="F789" s="654" t="s">
        <v>57</v>
      </c>
      <c r="G789" s="654" t="s">
        <v>56</v>
      </c>
      <c r="H789" s="654" t="s">
        <v>55</v>
      </c>
      <c r="I789" s="654" t="s">
        <v>54</v>
      </c>
      <c r="J789" s="654" t="s">
        <v>53</v>
      </c>
      <c r="K789" s="654" t="s">
        <v>52</v>
      </c>
      <c r="L789" s="654" t="s">
        <v>51</v>
      </c>
      <c r="M789" s="654" t="s">
        <v>50</v>
      </c>
      <c r="N789" s="654" t="s">
        <v>49</v>
      </c>
      <c r="O789" s="654" t="s">
        <v>47</v>
      </c>
      <c r="P789" s="655" t="s">
        <v>77</v>
      </c>
    </row>
    <row r="790" spans="1:18" s="54" customFormat="1" x14ac:dyDescent="0.25">
      <c r="A790" s="119"/>
      <c r="B790" s="309"/>
      <c r="C790" s="322">
        <f t="shared" ref="C790:C802" ca="1" si="287">C789</f>
        <v>1</v>
      </c>
      <c r="D790" s="59" t="s">
        <v>26</v>
      </c>
      <c r="E790" s="57"/>
      <c r="F790" s="656"/>
      <c r="G790" s="656"/>
      <c r="H790" s="656"/>
      <c r="I790" s="656"/>
      <c r="J790" s="656"/>
      <c r="K790" s="656"/>
      <c r="L790" s="656"/>
      <c r="M790" s="656"/>
      <c r="N790" s="656"/>
      <c r="O790" s="656"/>
      <c r="P790" s="663"/>
    </row>
    <row r="791" spans="1:18" s="54" customFormat="1" x14ac:dyDescent="0.25">
      <c r="A791" s="119"/>
      <c r="B791" s="309"/>
      <c r="C791" s="322">
        <f t="shared" ca="1" si="287"/>
        <v>1</v>
      </c>
      <c r="D791" s="7" t="s">
        <v>34</v>
      </c>
      <c r="E791" s="48" t="s">
        <v>57</v>
      </c>
      <c r="F791" s="657">
        <f ca="1">+H791+G791+I791</f>
        <v>0</v>
      </c>
      <c r="G791" s="658">
        <f ca="1">+IFERROR(G$5*GETPIVOTDATA("Unique Billed Hours",'County allocation'!$A$3,"County",$D788,"HHA/CDPAP","HHA","Level of Service",$D791),0)</f>
        <v>0</v>
      </c>
      <c r="H791" s="658">
        <f>+IFERROR(H$5*GETPIVOTDATA("Unique Billed Hours",'County allocation'!$S$3,"County",$D788,"HHA/CDPAP","HHA","Level of Service",$D791),0)</f>
        <v>0</v>
      </c>
      <c r="I791" s="664">
        <f ca="1">SUM(J791:P791)</f>
        <v>0</v>
      </c>
      <c r="J791" s="658">
        <f ca="1">+IFERROR(J$5*GETPIVOTDATA("Unique Billed Hours",'County allocation'!$AC$3,"County",$D788,"HHA/CDPAP","HHA","Level of Service",$D791),0)</f>
        <v>0</v>
      </c>
      <c r="K791" s="658">
        <f ca="1">+IFERROR(K$5*GETPIVOTDATA("Unique Billed Hours",'County allocation'!$X$3,"County",$D788,"HHA/CDPAP","HHA","Level of Service",$D791),0)</f>
        <v>0</v>
      </c>
      <c r="L791" s="658">
        <f ca="1">+IFERROR(L$2*GETPIVOTDATA("Unique Billed Hours",'County allocation'!$O$3,"County",$D788,"HHA/CDPAP","HHA","Level of Service",$D791),0)</f>
        <v>0</v>
      </c>
      <c r="M791" s="658">
        <f>+IFERROR(M$5*GETPIVOTDATA("Unique Billed Hours",'County allocation'!$S$3,"County",$D788,"HHA/CDPAP","HHA","Level of Service",$D791),0)</f>
        <v>0</v>
      </c>
      <c r="N791" s="658">
        <f>+IFERROR(N$5*GETPIVOTDATA("Unique Billed Hours",'County allocation'!$S$3,"County",$D788,"HHA/CDPAP","HHA","Level of Service",$D791),0)</f>
        <v>0</v>
      </c>
      <c r="O791" s="658">
        <f>+IFERROR(O$5*GETPIVOTDATA("Unique Billed Hours",'County allocation'!$K$19,"County",$D788,"HHA/CDPAP","HHA","Level of Service",$D791),0)</f>
        <v>0</v>
      </c>
      <c r="P791" s="658">
        <f>+IFERROR(P$5*GETPIVOTDATA("Unique Billed Hours",'County allocation'!$S$3,"County",$D788,"HHA/CDPAP","HHA","Level of Service",$D791),0)</f>
        <v>0</v>
      </c>
    </row>
    <row r="792" spans="1:18" s="54" customFormat="1" x14ac:dyDescent="0.25">
      <c r="A792" s="119"/>
      <c r="B792" s="309"/>
      <c r="C792" s="322">
        <f t="shared" ca="1" si="287"/>
        <v>1</v>
      </c>
      <c r="D792" s="7" t="s">
        <v>35</v>
      </c>
      <c r="E792" s="48" t="s">
        <v>56</v>
      </c>
      <c r="F792" s="657">
        <f t="shared" ref="F792:F803" ca="1" si="288">+H792+G792+I792</f>
        <v>44875.898219533061</v>
      </c>
      <c r="G792" s="658">
        <f ca="1">+IFERROR(G$5*GETPIVOTDATA("Unique Billed Hours",'County allocation'!$A$3,"County",$D788,"HHA/CDPAP","HHA","Level of Service",$D792),0)</f>
        <v>1505.4479550218919</v>
      </c>
      <c r="H792" s="658">
        <f>+IFERROR(H$5*GETPIVOTDATA("Unique Billed Hours",'County allocation'!$S$3,"County",$D788,"HHA/CDPAP","HHA","Level of Service",$D792),0)</f>
        <v>2575.2169643119687</v>
      </c>
      <c r="I792" s="664">
        <f t="shared" ref="I792:I802" ca="1" si="289">SUM(J792:P792)</f>
        <v>40795.233300199201</v>
      </c>
      <c r="J792" s="658">
        <f ca="1">+IFERROR(J$5*GETPIVOTDATA("Unique Billed Hours",'County allocation'!$AC$3,"County",$D788,"HHA/CDPAP","HHA","Level of Service",$D792),0)</f>
        <v>5361.7229687478039</v>
      </c>
      <c r="K792" s="658">
        <f ca="1">+IFERROR(K$5*GETPIVOTDATA("Unique Billed Hours",'County allocation'!$X$3,"County",$D788,"HHA/CDPAP","HHA","Level of Service",$D792),0)</f>
        <v>34661.415085797133</v>
      </c>
      <c r="L792" s="658">
        <f ca="1">+IFERROR(L$2*GETPIVOTDATA("Unique Billed Hours",'County allocation'!$O$3,"County",$D788,"HHA/CDPAP","HHA","Level of Service",$D792),0)</f>
        <v>497.14298332017455</v>
      </c>
      <c r="M792" s="658">
        <f>+IFERROR(M$5*GETPIVOTDATA("Unique Billed Hours",'County allocation'!$S$3,"County",$D788,"HHA/CDPAP","HHA","Level of Service",$D792),0)</f>
        <v>253.70332689600042</v>
      </c>
      <c r="N792" s="658">
        <f>+IFERROR(N$5*GETPIVOTDATA("Unique Billed Hours",'County allocation'!$S$3,"County",$D788,"HHA/CDPAP","HHA","Level of Service",$D792),0)</f>
        <v>21.248935438090601</v>
      </c>
      <c r="O792" s="658">
        <f>+IFERROR(O$5*GETPIVOTDATA("Unique Billed Hours",'County allocation'!$K$19,"County",$D788,"HHA/CDPAP","HHA","Level of Service",$D792),0)</f>
        <v>0</v>
      </c>
      <c r="P792" s="658">
        <f>+IFERROR(P$5*GETPIVOTDATA("Unique Billed Hours",'County allocation'!$S$3,"County",$D788,"HHA/CDPAP","HHA","Level of Service",$D792),0)</f>
        <v>0</v>
      </c>
      <c r="R792" s="61"/>
    </row>
    <row r="793" spans="1:18" s="54" customFormat="1" x14ac:dyDescent="0.25">
      <c r="A793" s="302"/>
      <c r="B793" s="309"/>
      <c r="C793" s="322">
        <f t="shared" ca="1" si="287"/>
        <v>1</v>
      </c>
      <c r="D793" s="7" t="s">
        <v>36</v>
      </c>
      <c r="E793" s="48" t="s">
        <v>55</v>
      </c>
      <c r="F793" s="657">
        <f t="shared" ca="1" si="288"/>
        <v>0</v>
      </c>
      <c r="G793" s="658">
        <f ca="1">+IFERROR(G$5*GETPIVOTDATA("Unique Billed Hours",'County allocation'!$A$3,"County",$D788,"HHA/CDPAP","HHA","Level of Service",$D793),0)</f>
        <v>0</v>
      </c>
      <c r="H793" s="658">
        <f>+IFERROR(H$5*GETPIVOTDATA("Unique Billed Hours",'County allocation'!$S$3,"County",$D788,"HHA/CDPAP","HHA","Level of Service",$D793),0)</f>
        <v>0</v>
      </c>
      <c r="I793" s="664">
        <f t="shared" ca="1" si="289"/>
        <v>0</v>
      </c>
      <c r="J793" s="658">
        <f ca="1">+IFERROR(J$5*GETPIVOTDATA("Unique Billed Hours",'County allocation'!$AC$3,"County",$D788,"HHA/CDPAP","HHA","Level of Service",$D793),0)</f>
        <v>0</v>
      </c>
      <c r="K793" s="658">
        <f ca="1">+IFERROR(K$5*GETPIVOTDATA("Unique Billed Hours",'County allocation'!$X$3,"County",$D788,"HHA/CDPAP","HHA","Level of Service",$D793),0)</f>
        <v>0</v>
      </c>
      <c r="L793" s="658">
        <f ca="1">+IFERROR(L$2*GETPIVOTDATA("Unique Billed Hours",'County allocation'!$O$3,"County",$D788,"HHA/CDPAP","HHA","Level of Service",$D793),0)</f>
        <v>0</v>
      </c>
      <c r="M793" s="658">
        <f>+IFERROR(M$5*GETPIVOTDATA("Unique Billed Hours",'County allocation'!$S$3,"County",$D788,"HHA/CDPAP","HHA","Level of Service",$D793),0)</f>
        <v>0</v>
      </c>
      <c r="N793" s="658">
        <f>+IFERROR(N$5*GETPIVOTDATA("Unique Billed Hours",'County allocation'!$S$3,"County",$D788,"HHA/CDPAP","HHA","Level of Service",$D793),0)</f>
        <v>0</v>
      </c>
      <c r="O793" s="658">
        <f>+IFERROR(O$5*GETPIVOTDATA("Unique Billed Hours",'County allocation'!$K$19,"County",$D788,"HHA/CDPAP","HHA","Level of Service",$D793),0)</f>
        <v>0</v>
      </c>
      <c r="P793" s="658">
        <f>+IFERROR(P$5*GETPIVOTDATA("Unique Billed Hours",'County allocation'!$S$3,"County",$D788,"HHA/CDPAP","HHA","Level of Service",$D793),0)</f>
        <v>0</v>
      </c>
    </row>
    <row r="794" spans="1:18" s="54" customFormat="1" x14ac:dyDescent="0.25">
      <c r="A794" s="119"/>
      <c r="B794" s="309"/>
      <c r="C794" s="322">
        <f t="shared" ca="1" si="287"/>
        <v>1</v>
      </c>
      <c r="D794" s="7" t="s">
        <v>37</v>
      </c>
      <c r="E794" s="48" t="s">
        <v>54</v>
      </c>
      <c r="F794" s="657">
        <f t="shared" ca="1" si="288"/>
        <v>0</v>
      </c>
      <c r="G794" s="658">
        <f ca="1">+IFERROR(G$5*GETPIVOTDATA("Unique Billed Hours",'County allocation'!$A$3,"County",$D788,"HHA/CDPAP","HHA","Level of Service",$D794),0)</f>
        <v>0</v>
      </c>
      <c r="H794" s="658">
        <f>+IFERROR(H$5*GETPIVOTDATA("Unique Billed Hours",'County allocation'!$S$3,"County",$D788,"HHA/CDPAP","HHA","Level of Service",$D794),0)</f>
        <v>0</v>
      </c>
      <c r="I794" s="664">
        <f t="shared" ca="1" si="289"/>
        <v>0</v>
      </c>
      <c r="J794" s="658">
        <f ca="1">+IFERROR(J$5*GETPIVOTDATA("Unique Billed Hours",'County allocation'!$AC$3,"County",$D788,"HHA/CDPAP","HHA","Level of Service",$D794),0)</f>
        <v>0</v>
      </c>
      <c r="K794" s="658">
        <f ca="1">+IFERROR(K$5*GETPIVOTDATA("Unique Billed Hours",'County allocation'!$X$3,"County",$D788,"HHA/CDPAP","HHA","Level of Service",$D794),0)</f>
        <v>0</v>
      </c>
      <c r="L794" s="658">
        <f ca="1">+IFERROR(L$2*GETPIVOTDATA("Unique Billed Hours",'County allocation'!$O$3,"County",$D788,"HHA/CDPAP","HHA","Level of Service",$D794),0)</f>
        <v>0</v>
      </c>
      <c r="M794" s="658">
        <f>+IFERROR(M$5*GETPIVOTDATA("Unique Billed Hours",'County allocation'!$S$3,"County",$D788,"HHA/CDPAP","HHA","Level of Service",$D794),0)</f>
        <v>0</v>
      </c>
      <c r="N794" s="658">
        <f>+IFERROR(N$5*GETPIVOTDATA("Unique Billed Hours",'County allocation'!$S$3,"County",$D788,"HHA/CDPAP","HHA","Level of Service",$D794),0)</f>
        <v>0</v>
      </c>
      <c r="O794" s="658">
        <f>+IFERROR(O$5*GETPIVOTDATA("Unique Billed Hours",'County allocation'!$K$19,"County",$D788,"HHA/CDPAP","HHA","Level of Service",$D794),0)</f>
        <v>0</v>
      </c>
      <c r="P794" s="658">
        <f>+IFERROR(P$5*GETPIVOTDATA("Unique Billed Hours",'County allocation'!$S$3,"County",$D788,"HHA/CDPAP","HHA","Level of Service",$D794),0)</f>
        <v>0</v>
      </c>
    </row>
    <row r="795" spans="1:18" s="54" customFormat="1" x14ac:dyDescent="0.25">
      <c r="A795" s="119"/>
      <c r="B795" s="309"/>
      <c r="C795" s="322">
        <f t="shared" ca="1" si="287"/>
        <v>1</v>
      </c>
      <c r="D795" s="7" t="s">
        <v>38</v>
      </c>
      <c r="E795" s="48" t="s">
        <v>53</v>
      </c>
      <c r="F795" s="657">
        <f t="shared" ca="1" si="288"/>
        <v>0</v>
      </c>
      <c r="G795" s="658">
        <f ca="1">+IFERROR(G$5*GETPIVOTDATA("Unique Billed Hours",'County allocation'!$A$3,"County",$D788,"HHA/CDPAP","HHA","Level of Service",$D795),0)</f>
        <v>0</v>
      </c>
      <c r="H795" s="658">
        <f>+IFERROR(H$5*GETPIVOTDATA("Unique Billed Hours",'County allocation'!$S$3,"County",$D788,"HHA/CDPAP","HHA","Level of Service",$D795),0)</f>
        <v>0</v>
      </c>
      <c r="I795" s="664">
        <f t="shared" ca="1" si="289"/>
        <v>0</v>
      </c>
      <c r="J795" s="658">
        <f ca="1">+IFERROR(J$5*GETPIVOTDATA("Unique Billed Hours",'County allocation'!$AC$3,"County",$D788,"HHA/CDPAP","HHA","Level of Service",$D795),0)</f>
        <v>0</v>
      </c>
      <c r="K795" s="658">
        <f ca="1">+IFERROR(K$5*GETPIVOTDATA("Unique Billed Hours",'County allocation'!$X$3,"County",$D788,"HHA/CDPAP","HHA","Level of Service",$D795),0)</f>
        <v>0</v>
      </c>
      <c r="L795" s="658">
        <f ca="1">+IFERROR(L$5*GETPIVOTDATA("Unique Billed Hours",'County allocation'!$K$19,"County",$D788,"HHA/CDPAP","HHA","Level of Service",$D795),0)</f>
        <v>0</v>
      </c>
      <c r="M795" s="658">
        <f>+IFERROR(M$5*GETPIVOTDATA("Unique Billed Hours",'County allocation'!$S$3,"County",$D788,"HHA/CDPAP","HHA","Level of Service",$D795),0)</f>
        <v>0</v>
      </c>
      <c r="N795" s="658">
        <f>+IFERROR(N$5*GETPIVOTDATA("Unique Billed Hours",'County allocation'!$S$3,"County",$D788,"HHA/CDPAP","HHA","Level of Service",$D795),0)</f>
        <v>0</v>
      </c>
      <c r="O795" s="658">
        <f>+IFERROR(O$5*GETPIVOTDATA("Unique Billed Hours",'County allocation'!$K$19,"County",$D788,"HHA/CDPAP","HHA","Level of Service",$D795),0)</f>
        <v>0</v>
      </c>
      <c r="P795" s="658">
        <f>+IFERROR(P$5*GETPIVOTDATA("Unique Billed Hours",'County allocation'!$S$3,"County",$D788,"HHA/CDPAP","HHA","Level of Service",$D795),0)</f>
        <v>0</v>
      </c>
    </row>
    <row r="796" spans="1:18" s="54" customFormat="1" x14ac:dyDescent="0.25">
      <c r="A796" s="119"/>
      <c r="B796" s="309"/>
      <c r="C796" s="322">
        <f t="shared" ca="1" si="287"/>
        <v>1</v>
      </c>
      <c r="D796" s="7" t="s">
        <v>39</v>
      </c>
      <c r="E796" s="48" t="s">
        <v>52</v>
      </c>
      <c r="F796" s="657">
        <f t="shared" ca="1" si="288"/>
        <v>28.771223289562766</v>
      </c>
      <c r="G796" s="658">
        <f ca="1">+IFERROR(G$5*GETPIVOTDATA("Unique Billed Hours",'County allocation'!$A$3,"County",$D788,"HHA/CDPAP","HHA","Level of Service",$D796),0)</f>
        <v>0</v>
      </c>
      <c r="H796" s="658">
        <f>+IFERROR(H$5*GETPIVOTDATA("Unique Billed Hours",'County allocation'!$S$3,"County",$D788,"HHA/CDPAP","HHA","Level of Service",$D796),0)</f>
        <v>0</v>
      </c>
      <c r="I796" s="664">
        <f t="shared" ca="1" si="289"/>
        <v>28.771223289562766</v>
      </c>
      <c r="J796" s="658">
        <f ca="1">+IFERROR(J$5*GETPIVOTDATA("Unique Billed Hours",'County allocation'!$AC$3,"County",$D788,"HHA/CDPAP","HHA","Level of Service",$D796),0)</f>
        <v>28.771223289562766</v>
      </c>
      <c r="K796" s="658">
        <f ca="1">+IFERROR(K$5*GETPIVOTDATA("Unique Billed Hours",'County allocation'!$X$3,"County",$D788,"HHA/CDPAP","HHA","Level of Service",$D796),0)</f>
        <v>0</v>
      </c>
      <c r="L796" s="658">
        <f ca="1">+IFERROR(L$5*GETPIVOTDATA("Unique Billed Hours",'County allocation'!$K$19,"County",$D788,"HHA/CDPAP","HHA","Level of Service",$D796),0)</f>
        <v>0</v>
      </c>
      <c r="M796" s="658">
        <f>+IFERROR(M$5*GETPIVOTDATA("Unique Billed Hours",'County allocation'!$S$3,"County",$D788,"HHA/CDPAP","HHA","Level of Service",$D796),0)</f>
        <v>0</v>
      </c>
      <c r="N796" s="658">
        <f>+IFERROR(N$5*GETPIVOTDATA("Unique Billed Hours",'County allocation'!$S$3,"County",$D788,"HHA/CDPAP","HHA","Level of Service",$D796),0)</f>
        <v>0</v>
      </c>
      <c r="O796" s="658">
        <f>+IFERROR(O$5*GETPIVOTDATA("Unique Billed Hours",'County allocation'!$K$19,"County",$D788,"HHA/CDPAP","HHA","Level of Service",$D796),0)</f>
        <v>0</v>
      </c>
      <c r="P796" s="658">
        <f>+IFERROR(P$5*GETPIVOTDATA("Unique Billed Hours",'County allocation'!$S$3,"County",$D788,"HHA/CDPAP","HHA","Level of Service",$D796),0)</f>
        <v>0</v>
      </c>
    </row>
    <row r="797" spans="1:18" s="54" customFormat="1" x14ac:dyDescent="0.25">
      <c r="A797" s="119"/>
      <c r="B797" s="309"/>
      <c r="C797" s="322">
        <f t="shared" ca="1" si="287"/>
        <v>1</v>
      </c>
      <c r="D797" s="8" t="s">
        <v>40</v>
      </c>
      <c r="E797" s="48" t="s">
        <v>51</v>
      </c>
      <c r="F797" s="657">
        <f t="shared" ca="1" si="288"/>
        <v>0</v>
      </c>
      <c r="G797" s="658">
        <f ca="1">+IFERROR(G$5*GETPIVOTDATA("Unique Billed Hours",'County allocation'!$A$3,"County",$D788,"HHA/CDPAP","HHA","Level of Service",$D797),0)</f>
        <v>0</v>
      </c>
      <c r="H797" s="658">
        <f>+IFERROR(H$5*GETPIVOTDATA("Unique Billed Hours",'County allocation'!$S$3,"County",$D788,"HHA/CDPAP","HHA","Level of Service",$D797),0)</f>
        <v>0</v>
      </c>
      <c r="I797" s="664">
        <f t="shared" ca="1" si="289"/>
        <v>0</v>
      </c>
      <c r="J797" s="658">
        <f ca="1">+IFERROR(J$5*GETPIVOTDATA("Unique Billed Hours",'County allocation'!$AC$3,"County",$D788,"HHA/CDPAP","HHA","Level of Service",$D797),0)</f>
        <v>0</v>
      </c>
      <c r="K797" s="658">
        <f ca="1">+IFERROR(K$5*GETPIVOTDATA("Unique Billed Hours",'County allocation'!$X$3,"County",$D788,"HHA/CDPAP","HHA","Level of Service",$D797),0)</f>
        <v>0</v>
      </c>
      <c r="L797" s="658">
        <f ca="1">+IFERROR(L$2*GETPIVOTDATA("Unique Billed Hours",'County allocation'!$O$3,"County",$D788,"HHA/CDPAP","HHA","Level of Service",$D797),0)</f>
        <v>0</v>
      </c>
      <c r="M797" s="658">
        <f>+IFERROR(M$5*GETPIVOTDATA("Unique Billed Hours",'County allocation'!$S$3,"County",$D788,"HHA/CDPAP","HHA","Level of Service",$D797),0)</f>
        <v>0</v>
      </c>
      <c r="N797" s="658">
        <f>+IFERROR(N$5*GETPIVOTDATA("Unique Billed Hours",'County allocation'!$S$3,"County",$D788,"HHA/CDPAP","HHA","Level of Service",$D797),0)</f>
        <v>0</v>
      </c>
      <c r="O797" s="658">
        <f>+IFERROR(O$5*GETPIVOTDATA("Unique Billed Hours",'County allocation'!$K$19,"County",$D788,"HHA/CDPAP","HHA","Level of Service",$D797),0)</f>
        <v>0</v>
      </c>
      <c r="P797" s="658">
        <f>+IFERROR(P$5*GETPIVOTDATA("Unique Billed Hours",'County allocation'!$S$3,"County",$D788,"HHA/CDPAP","HHA","Level of Service",$D797),0)</f>
        <v>0</v>
      </c>
    </row>
    <row r="798" spans="1:18" s="54" customFormat="1" x14ac:dyDescent="0.25">
      <c r="A798" s="119"/>
      <c r="B798" s="309"/>
      <c r="C798" s="322">
        <f t="shared" ca="1" si="287"/>
        <v>1</v>
      </c>
      <c r="D798" s="8" t="s">
        <v>41</v>
      </c>
      <c r="E798" s="48" t="s">
        <v>50</v>
      </c>
      <c r="F798" s="657">
        <f t="shared" ca="1" si="288"/>
        <v>0</v>
      </c>
      <c r="G798" s="658">
        <f ca="1">+IFERROR(G$5*GETPIVOTDATA("Unique Billed Hours",'County allocation'!$A$3,"County",$D788,"HHA/CDPAP","HHA","Level of Service",$D798),0)</f>
        <v>0</v>
      </c>
      <c r="H798" s="658">
        <f>+IFERROR(H$5*GETPIVOTDATA("Unique Billed Hours",'County allocation'!$S$3,"County",$D788,"HHA/CDPAP","HHA","Level of Service",$D798),0)</f>
        <v>0</v>
      </c>
      <c r="I798" s="664">
        <f t="shared" ca="1" si="289"/>
        <v>0</v>
      </c>
      <c r="J798" s="658">
        <f ca="1">+IFERROR(J$5*GETPIVOTDATA("Unique Billed Hours",'County allocation'!$AC$3,"County",$D788,"HHA/CDPAP","HHA","Level of Service",$D798),0)</f>
        <v>0</v>
      </c>
      <c r="K798" s="658">
        <f ca="1">+IFERROR(K$5*GETPIVOTDATA("Unique Billed Hours",'County allocation'!$X$3,"County",$D788,"HHA/CDPAP","HHA","Level of Service",$D798),0)</f>
        <v>0</v>
      </c>
      <c r="L798" s="658">
        <f ca="1">+IFERROR(L$2*GETPIVOTDATA("Unique Billed Hours",'County allocation'!$O$3,"County",$D788,"HHA/CDPAP","HHA","Level of Service",$D798),0)</f>
        <v>0</v>
      </c>
      <c r="M798" s="658">
        <f>+IFERROR(M$5*GETPIVOTDATA("Unique Billed Hours",'County allocation'!$S$3,"County",$D788,"HHA/CDPAP","HHA","Level of Service",$D798),0)</f>
        <v>0</v>
      </c>
      <c r="N798" s="658">
        <f>+IFERROR(N$5*GETPIVOTDATA("Unique Billed Hours",'County allocation'!$S$3,"County",$D788,"HHA/CDPAP","HHA","Level of Service",$D798),0)</f>
        <v>0</v>
      </c>
      <c r="O798" s="658">
        <f>+IFERROR(O$5*GETPIVOTDATA("Unique Billed Hours",'County allocation'!$K$19,"County",$D788,"HHA/CDPAP","HHA","Level of Service",$D798),0)</f>
        <v>0</v>
      </c>
      <c r="P798" s="658">
        <f>+IFERROR(P$5*GETPIVOTDATA("Unique Billed Hours",'County allocation'!$S$3,"County",$D788,"HHA/CDPAP","HHA","Level of Service",$D798),0)</f>
        <v>0</v>
      </c>
    </row>
    <row r="799" spans="1:18" s="54" customFormat="1" ht="15.75" thickBot="1" x14ac:dyDescent="0.3">
      <c r="A799" s="119"/>
      <c r="B799" s="309"/>
      <c r="C799" s="322">
        <f t="shared" ca="1" si="287"/>
        <v>1</v>
      </c>
      <c r="D799" s="52" t="s">
        <v>389</v>
      </c>
      <c r="E799" s="53" t="s">
        <v>49</v>
      </c>
      <c r="F799" s="657">
        <f t="shared" ca="1" si="288"/>
        <v>44904.669442822626</v>
      </c>
      <c r="G799" s="661">
        <f ca="1">SUM(G791:G798)</f>
        <v>1505.4479550218919</v>
      </c>
      <c r="H799" s="661">
        <f>SUM(H791:H798)</f>
        <v>2575.2169643119687</v>
      </c>
      <c r="I799" s="664">
        <f t="shared" ca="1" si="289"/>
        <v>40824.004523488766</v>
      </c>
      <c r="J799" s="661">
        <f ca="1">SUM(J791:J798)</f>
        <v>5390.4941920373667</v>
      </c>
      <c r="K799" s="661">
        <f t="shared" ref="K799:P799" ca="1" si="290">SUM(K791:K798)</f>
        <v>34661.415085797133</v>
      </c>
      <c r="L799" s="661">
        <f t="shared" ca="1" si="290"/>
        <v>497.14298332017455</v>
      </c>
      <c r="M799" s="661">
        <f t="shared" si="290"/>
        <v>253.70332689600042</v>
      </c>
      <c r="N799" s="661">
        <f t="shared" si="290"/>
        <v>21.248935438090601</v>
      </c>
      <c r="O799" s="661">
        <f t="shared" si="290"/>
        <v>0</v>
      </c>
      <c r="P799" s="661">
        <f t="shared" si="290"/>
        <v>0</v>
      </c>
    </row>
    <row r="800" spans="1:18" s="54" customFormat="1" x14ac:dyDescent="0.25">
      <c r="A800" s="119"/>
      <c r="B800" s="309"/>
      <c r="C800" s="322">
        <f t="shared" ca="1" si="287"/>
        <v>1</v>
      </c>
      <c r="D800" s="371" t="s">
        <v>390</v>
      </c>
      <c r="E800" s="325" t="s">
        <v>47</v>
      </c>
      <c r="F800" s="657">
        <f t="shared" ca="1" si="288"/>
        <v>0</v>
      </c>
      <c r="G800" s="665">
        <f ca="1">+IFERROR((G$5*GETPIVOTDATA("Unique Billed Hours",'County allocation'!$A$3,"County",$D788,"HHA/CDPAP","HHA","Level of Service",$D800))+($G$2*GETPIVOTDATA("Unique Billed Hours",'County allocation'!$F$7,"County",$D788,"HHA/CDPAP","HHA","Level of Service",$D800)),0)++IFERROR(J$5*GETPIVOTDATA("Unique Billed Hours",'County allocation'!$AC$3,"County",$D788,"HHA/CDPAP","HHA","Level of Service",$D800),0)+ +IFERROR(J$5*GETPIVOTDATA("Unique Billed Hours",'County allocation'!$AC$3,"County",$D788,"HHA/CDPAP","HHA","Level of Service",$D801),0)</f>
        <v>0</v>
      </c>
      <c r="H800" s="665">
        <f>+IFERROR(H$5*GETPIVOTDATA("Unique Billed Hours",'County allocation'!$S$3,"County",$D788,"HHA/CDPAP","HHA","Level of Service",$D800),0)</f>
        <v>0</v>
      </c>
      <c r="I800" s="664">
        <f t="shared" ca="1" si="289"/>
        <v>0</v>
      </c>
      <c r="J800" s="901"/>
      <c r="K800" s="665">
        <f ca="1">+IFERROR(K$5*GETPIVOTDATA("Unique Billed Hours",'County allocation'!$X$3,"County",$D788,"HHA/CDPAP","HHA","Level of Service",$D800),0)</f>
        <v>0</v>
      </c>
      <c r="L800" s="665">
        <f ca="1">+IFERROR(L$5*GETPIVOTDATA("Unique Billed Hours",'County allocation'!$K$19,"County",$D788,"HHA/CDPAP","HHA","Level of Service",$D800),0)</f>
        <v>0</v>
      </c>
      <c r="M800" s="665">
        <f>+IFERROR(M$5*GETPIVOTDATA("Unique Billed Hours",'County allocation'!$S$3,"County",$D788,"HHA/CDPAP","HHA","Level of Service",$D800),0)</f>
        <v>0</v>
      </c>
      <c r="N800" s="665">
        <f>+IFERROR(N$5*GETPIVOTDATA("Unique Billed Hours",'County allocation'!$S$3,"County",$D788,"HHA/CDPAP","HHA","Level of Service",$D800),0)</f>
        <v>0</v>
      </c>
      <c r="O800" s="665">
        <f>+IFERROR(O$5*GETPIVOTDATA("Unique Billed Hours",'County allocation'!$S$3,"County",$D788,"HHA/CDPAP","HHA","Level of Service",$D800),0)</f>
        <v>0</v>
      </c>
      <c r="P800" s="665">
        <f>+IFERROR(P$5*GETPIVOTDATA("Unique Billed Hours",'County allocation'!$S$3,"County",$D788,"HHA/CDPAP","HHA","Level of Service",$D800),0)</f>
        <v>0</v>
      </c>
    </row>
    <row r="801" spans="1:18" s="54" customFormat="1" x14ac:dyDescent="0.25">
      <c r="A801" s="119"/>
      <c r="B801" s="309"/>
      <c r="C801" s="322">
        <f t="shared" ca="1" si="287"/>
        <v>1</v>
      </c>
      <c r="D801" s="8" t="s">
        <v>391</v>
      </c>
      <c r="E801" s="370" t="s">
        <v>77</v>
      </c>
      <c r="F801" s="657">
        <f t="shared" ca="1" si="288"/>
        <v>0</v>
      </c>
      <c r="G801" s="656"/>
      <c r="H801" s="658">
        <f>+IFERROR(H$5*GETPIVOTDATA("Unique Billed Hours",'County allocation'!$S$3,"County",$D788,"HHA/CDPAP","HHA","Level of Service",$D801),0)</f>
        <v>0</v>
      </c>
      <c r="I801" s="664">
        <f t="shared" ca="1" si="289"/>
        <v>0</v>
      </c>
      <c r="J801" s="901"/>
      <c r="K801" s="665">
        <f ca="1">+IFERROR(K$5*GETPIVOTDATA("Unique Billed Hours",'County allocation'!$X$3,"County",$D788,"HHA/CDPAP","HHA","Level of Service",$D801),0)</f>
        <v>0</v>
      </c>
      <c r="L801" s="665">
        <f ca="1">+IFERROR(L$5*GETPIVOTDATA("Unique Billed Hours",'County allocation'!$K$19,"County",$D788,"HHA/CDPAP","HHA","Level of Service",$D801),0)</f>
        <v>0</v>
      </c>
      <c r="M801" s="665">
        <f>+IFERROR(M$5*GETPIVOTDATA("Unique Billed Hours",'County allocation'!$S$3,"County",$D788,"HHA/CDPAP","HHA","Level of Service",$D801),0)</f>
        <v>0</v>
      </c>
      <c r="N801" s="665">
        <f>+IFERROR(N$5*GETPIVOTDATA("Unique Billed Hours",'County allocation'!$S$3,"County",$D788,"HHA/CDPAP","HHA","Level of Service",$D801),0)</f>
        <v>0</v>
      </c>
      <c r="O801" s="665">
        <f>+IFERROR(O$5*GETPIVOTDATA("Unique Billed Hours",'County allocation'!$S$3,"County",$D788,"HHA/CDPAP","HHA","Level of Service",$D801),0)</f>
        <v>0</v>
      </c>
      <c r="P801" s="665">
        <f>+IFERROR(P$5*GETPIVOTDATA("Unique Billed Hours",'County allocation'!$S$3,"County",$D788,"HHA/CDPAP","HHA","Level of Service",$D801),0)</f>
        <v>0</v>
      </c>
    </row>
    <row r="802" spans="1:18" s="54" customFormat="1" x14ac:dyDescent="0.25">
      <c r="A802" s="119"/>
      <c r="B802" s="309"/>
      <c r="C802" s="322">
        <f t="shared" ca="1" si="287"/>
        <v>1</v>
      </c>
      <c r="D802" s="8" t="s">
        <v>374</v>
      </c>
      <c r="E802" s="370" t="s">
        <v>78</v>
      </c>
      <c r="F802" s="657">
        <f t="shared" ca="1" si="288"/>
        <v>0</v>
      </c>
      <c r="G802" s="658">
        <f ca="1">+IFERROR(G$5*GETPIVOTDATA("Unique Billed Hours",'County allocation'!$A$3,"County",$D788,"HHA/CDPAP","HHA","Level of Service",$D802),0)++IFERROR(J$5*GETPIVOTDATA("Unique Billed Hours",'County allocation'!$AC$3,"County",$D788,"HHA/CDPAP","HHA","Level of Service",$D802),0)</f>
        <v>0</v>
      </c>
      <c r="H802" s="658">
        <f>+IFERROR(H$5*GETPIVOTDATA("Unique Billed Hours",'County allocation'!$S$3,"County",$D788,"HHA/CDPAP","HHA","Level of Service",$D802),0)</f>
        <v>0</v>
      </c>
      <c r="I802" s="664">
        <f t="shared" ca="1" si="289"/>
        <v>0</v>
      </c>
      <c r="J802" s="901"/>
      <c r="K802" s="665">
        <f ca="1">+IFERROR(K$5*GETPIVOTDATA("Unique Billed Hours",'County allocation'!$X$3,"County",$D788,"HHA/CDPAP","HHA","Level of Service",$D802),0)</f>
        <v>0</v>
      </c>
      <c r="L802" s="665">
        <f ca="1">+IFERROR(L$5*GETPIVOTDATA("Unique Billed Hours",'County allocation'!$K$19,"County",$D788,"HHA/CDPAP","HHA","Level of Service",$D802),0)</f>
        <v>0</v>
      </c>
      <c r="M802" s="665">
        <f>+IFERROR(M$5*GETPIVOTDATA("Unique Billed Hours",'County allocation'!$S$3,"County",$D788,"HHA/CDPAP","HHA","Level of Service",$D802),0)</f>
        <v>0</v>
      </c>
      <c r="N802" s="665">
        <f>+IFERROR(N$5*GETPIVOTDATA("Unique Billed Hours",'County allocation'!$S$3,"County",$D788,"HHA/CDPAP","HHA","Level of Service",$D802),0)</f>
        <v>0</v>
      </c>
      <c r="O802" s="665">
        <f>+IFERROR(O$5*GETPIVOTDATA("Unique Billed Hours",'County allocation'!$S$3,"County",$D788,"HHA/CDPAP","HHA","Level of Service",$D802),0)</f>
        <v>0</v>
      </c>
      <c r="P802" s="665">
        <f>+IFERROR(P$5*GETPIVOTDATA("Unique Billed Hours",'County allocation'!$S$3,"County",$D788,"HHA/CDPAP","HHA","Level of Service",$D802),0)</f>
        <v>0</v>
      </c>
    </row>
    <row r="803" spans="1:18" s="54" customFormat="1" ht="15.75" thickBot="1" x14ac:dyDescent="0.3">
      <c r="A803" s="302"/>
      <c r="B803" s="309"/>
      <c r="C803" s="322">
        <f ca="1">C802</f>
        <v>1</v>
      </c>
      <c r="D803" s="52" t="s">
        <v>48</v>
      </c>
      <c r="E803" s="53" t="s">
        <v>79</v>
      </c>
      <c r="F803" s="657">
        <f t="shared" ca="1" si="288"/>
        <v>44904.669442822626</v>
      </c>
      <c r="G803" s="661">
        <f t="shared" ref="G803" ca="1" si="291">SUM(G799:G802)</f>
        <v>1505.4479550218919</v>
      </c>
      <c r="H803" s="661">
        <f t="shared" ref="H803:P803" si="292">SUM(H799:H802)</f>
        <v>2575.2169643119687</v>
      </c>
      <c r="I803" s="661">
        <f t="shared" ca="1" si="292"/>
        <v>40824.004523488766</v>
      </c>
      <c r="J803" s="661">
        <f t="shared" ca="1" si="292"/>
        <v>5390.4941920373667</v>
      </c>
      <c r="K803" s="661">
        <f t="shared" ca="1" si="292"/>
        <v>34661.415085797133</v>
      </c>
      <c r="L803" s="661">
        <f t="shared" ca="1" si="292"/>
        <v>497.14298332017455</v>
      </c>
      <c r="M803" s="661">
        <f t="shared" si="292"/>
        <v>253.70332689600042</v>
      </c>
      <c r="N803" s="661">
        <f t="shared" si="292"/>
        <v>21.248935438090601</v>
      </c>
      <c r="O803" s="661">
        <f t="shared" si="292"/>
        <v>0</v>
      </c>
      <c r="P803" s="661">
        <f t="shared" si="292"/>
        <v>0</v>
      </c>
    </row>
    <row r="804" spans="1:18" ht="15.75" hidden="1" thickBot="1" x14ac:dyDescent="0.3"/>
    <row r="805" spans="1:18" s="54" customFormat="1" ht="75" x14ac:dyDescent="0.25">
      <c r="A805" s="119"/>
      <c r="B805" s="309"/>
      <c r="C805" s="322">
        <f ca="1">IF(F820&gt;0,1,0)</f>
        <v>1</v>
      </c>
      <c r="D805" s="45" t="str">
        <f>A50</f>
        <v>Schenectady</v>
      </c>
      <c r="E805" s="28">
        <f>+SUMIF(A:A,D805,B:B)</f>
        <v>4.4993927533405302E-3</v>
      </c>
      <c r="F805" s="652" t="s">
        <v>61</v>
      </c>
      <c r="G805" s="652" t="s">
        <v>387</v>
      </c>
      <c r="H805" s="652" t="s">
        <v>388</v>
      </c>
      <c r="I805" s="652" t="s">
        <v>392</v>
      </c>
      <c r="J805" s="652" t="s">
        <v>31</v>
      </c>
      <c r="K805" s="652" t="s">
        <v>32</v>
      </c>
      <c r="L805" s="653" t="s">
        <v>33</v>
      </c>
      <c r="M805" s="653" t="s">
        <v>60</v>
      </c>
      <c r="N805" s="653" t="s">
        <v>59</v>
      </c>
      <c r="O805" s="653" t="s">
        <v>58</v>
      </c>
      <c r="P805" s="653" t="s">
        <v>16</v>
      </c>
    </row>
    <row r="806" spans="1:18" s="54" customFormat="1" x14ac:dyDescent="0.25">
      <c r="A806" s="119"/>
      <c r="B806" s="309"/>
      <c r="C806" s="322">
        <f ca="1">C805</f>
        <v>1</v>
      </c>
      <c r="D806" s="56"/>
      <c r="E806" s="57"/>
      <c r="F806" s="654" t="s">
        <v>57</v>
      </c>
      <c r="G806" s="654" t="s">
        <v>56</v>
      </c>
      <c r="H806" s="654" t="s">
        <v>55</v>
      </c>
      <c r="I806" s="654" t="s">
        <v>54</v>
      </c>
      <c r="J806" s="654" t="s">
        <v>53</v>
      </c>
      <c r="K806" s="654" t="s">
        <v>52</v>
      </c>
      <c r="L806" s="654" t="s">
        <v>51</v>
      </c>
      <c r="M806" s="654" t="s">
        <v>50</v>
      </c>
      <c r="N806" s="654" t="s">
        <v>49</v>
      </c>
      <c r="O806" s="654" t="s">
        <v>47</v>
      </c>
      <c r="P806" s="655" t="s">
        <v>77</v>
      </c>
    </row>
    <row r="807" spans="1:18" s="54" customFormat="1" x14ac:dyDescent="0.25">
      <c r="A807" s="119"/>
      <c r="B807" s="309"/>
      <c r="C807" s="322">
        <f t="shared" ref="C807:C819" ca="1" si="293">C806</f>
        <v>1</v>
      </c>
      <c r="D807" s="59" t="s">
        <v>26</v>
      </c>
      <c r="E807" s="57"/>
      <c r="F807" s="656"/>
      <c r="G807" s="656"/>
      <c r="H807" s="656"/>
      <c r="I807" s="656"/>
      <c r="J807" s="656"/>
      <c r="K807" s="656"/>
      <c r="L807" s="656"/>
      <c r="M807" s="656"/>
      <c r="N807" s="656"/>
      <c r="O807" s="656"/>
      <c r="P807" s="663"/>
    </row>
    <row r="808" spans="1:18" s="54" customFormat="1" x14ac:dyDescent="0.25">
      <c r="A808" s="119"/>
      <c r="B808" s="309"/>
      <c r="C808" s="322">
        <f t="shared" ca="1" si="293"/>
        <v>1</v>
      </c>
      <c r="D808" s="7" t="s">
        <v>34</v>
      </c>
      <c r="E808" s="48" t="s">
        <v>57</v>
      </c>
      <c r="F808" s="657">
        <f ca="1">+H808+G808+I808</f>
        <v>0</v>
      </c>
      <c r="G808" s="658">
        <f ca="1">+IFERROR(G$5*GETPIVOTDATA("Unique Billed Hours",'County allocation'!$A$3,"County",$D805,"HHA/CDPAP","HHA","Level of Service",$D808),0)</f>
        <v>0</v>
      </c>
      <c r="H808" s="658">
        <f>+IFERROR(H$5*GETPIVOTDATA("Unique Billed Hours",'County allocation'!$S$3,"County",$D805,"HHA/CDPAP","HHA","Level of Service",$D808),0)</f>
        <v>0</v>
      </c>
      <c r="I808" s="664">
        <f ca="1">SUM(J808:P808)</f>
        <v>0</v>
      </c>
      <c r="J808" s="658">
        <f ca="1">+IFERROR(J$5*GETPIVOTDATA("Unique Billed Hours",'County allocation'!$AC$3,"County",$D805,"HHA/CDPAP","HHA","Level of Service",$D808),0)</f>
        <v>0</v>
      </c>
      <c r="K808" s="658">
        <f ca="1">+IFERROR(K$5*GETPIVOTDATA("Unique Billed Hours",'County allocation'!$X$3,"County",$D805,"HHA/CDPAP","HHA","Level of Service",$D808),0)</f>
        <v>0</v>
      </c>
      <c r="L808" s="658">
        <f ca="1">+IFERROR(L$2*GETPIVOTDATA("Unique Billed Hours",'County allocation'!$O$3,"County",$D805,"HHA/CDPAP","HHA","Level of Service",$D808),0)</f>
        <v>0</v>
      </c>
      <c r="M808" s="658">
        <f>+IFERROR(M$5*GETPIVOTDATA("Unique Billed Hours",'County allocation'!$S$3,"County",$D805,"HHA/CDPAP","HHA","Level of Service",$D808),0)</f>
        <v>0</v>
      </c>
      <c r="N808" s="658">
        <f>+IFERROR(N$5*GETPIVOTDATA("Unique Billed Hours",'County allocation'!$S$3,"County",$D805,"HHA/CDPAP","HHA","Level of Service",$D808),0)</f>
        <v>0</v>
      </c>
      <c r="O808" s="658">
        <f>+IFERROR(O$5*GETPIVOTDATA("Unique Billed Hours",'County allocation'!$K$19,"County",$D805,"HHA/CDPAP","HHA","Level of Service",$D808),0)</f>
        <v>0</v>
      </c>
      <c r="P808" s="658">
        <f>+IFERROR(P$5*GETPIVOTDATA("Unique Billed Hours",'County allocation'!$S$3,"County",$D805,"HHA/CDPAP","HHA","Level of Service",$D808),0)</f>
        <v>0</v>
      </c>
    </row>
    <row r="809" spans="1:18" s="54" customFormat="1" x14ac:dyDescent="0.25">
      <c r="A809" s="119"/>
      <c r="B809" s="309"/>
      <c r="C809" s="322">
        <f t="shared" ca="1" si="293"/>
        <v>1</v>
      </c>
      <c r="D809" s="7" t="s">
        <v>35</v>
      </c>
      <c r="E809" s="48" t="s">
        <v>56</v>
      </c>
      <c r="F809" s="657">
        <f t="shared" ref="F809:F820" ca="1" si="294">+H809+G809+I809</f>
        <v>837307.89090753545</v>
      </c>
      <c r="G809" s="658">
        <f ca="1">+IFERROR(G$5*GETPIVOTDATA("Unique Billed Hours",'County allocation'!$A$3,"County",$D805,"HHA/CDPAP","HHA","Level of Service",$D809),0)</f>
        <v>28089.096867185966</v>
      </c>
      <c r="H809" s="658">
        <f>+IFERROR(H$5*GETPIVOTDATA("Unique Billed Hours",'County allocation'!$S$3,"County",$D805,"HHA/CDPAP","HHA","Level of Service",$D809),0)</f>
        <v>48049.166046080674</v>
      </c>
      <c r="I809" s="664">
        <f t="shared" ref="I809:I819" ca="1" si="295">SUM(J809:P809)</f>
        <v>761169.62799426878</v>
      </c>
      <c r="J809" s="658">
        <f ca="1">+IFERROR(J$5*GETPIVOTDATA("Unique Billed Hours",'County allocation'!$AC$3,"County",$D805,"HHA/CDPAP","HHA","Level of Service",$D809),0)</f>
        <v>100040.62600887647</v>
      </c>
      <c r="K809" s="658">
        <f ca="1">+IFERROR(K$5*GETPIVOTDATA("Unique Billed Hours",'County allocation'!$X$3,"County",$D805,"HHA/CDPAP","HHA","Level of Service",$D809),0)</f>
        <v>646723.01865429722</v>
      </c>
      <c r="L809" s="658">
        <f ca="1">+IFERROR(L$2*GETPIVOTDATA("Unique Billed Hours",'County allocation'!$O$3,"County",$D805,"HHA/CDPAP","HHA","Level of Service",$D809),0)</f>
        <v>9275.8420301013557</v>
      </c>
      <c r="M809" s="658">
        <f>+IFERROR(M$5*GETPIVOTDATA("Unique Billed Hours",'County allocation'!$S$3,"County",$D805,"HHA/CDPAP","HHA","Level of Service",$D809),0)</f>
        <v>4733.6723271881383</v>
      </c>
      <c r="N809" s="658">
        <f>+IFERROR(N$5*GETPIVOTDATA("Unique Billed Hours",'County allocation'!$S$3,"County",$D805,"HHA/CDPAP","HHA","Level of Service",$D809),0)</f>
        <v>396.46897380549308</v>
      </c>
      <c r="O809" s="658">
        <f>+IFERROR(O$5*GETPIVOTDATA("Unique Billed Hours",'County allocation'!$K$19,"County",$D805,"HHA/CDPAP","HHA","Level of Service",$D809),0)</f>
        <v>0</v>
      </c>
      <c r="P809" s="658">
        <f>+IFERROR(P$5*GETPIVOTDATA("Unique Billed Hours",'County allocation'!$S$3,"County",$D805,"HHA/CDPAP","HHA","Level of Service",$D809),0)</f>
        <v>0</v>
      </c>
      <c r="R809" s="61"/>
    </row>
    <row r="810" spans="1:18" s="54" customFormat="1" x14ac:dyDescent="0.25">
      <c r="A810" s="302"/>
      <c r="B810" s="309"/>
      <c r="C810" s="322">
        <f t="shared" ca="1" si="293"/>
        <v>1</v>
      </c>
      <c r="D810" s="7" t="s">
        <v>36</v>
      </c>
      <c r="E810" s="48" t="s">
        <v>55</v>
      </c>
      <c r="F810" s="657">
        <f t="shared" ca="1" si="294"/>
        <v>0</v>
      </c>
      <c r="G810" s="658">
        <f ca="1">+IFERROR(G$5*GETPIVOTDATA("Unique Billed Hours",'County allocation'!$A$3,"County",$D805,"HHA/CDPAP","HHA","Level of Service",$D810),0)</f>
        <v>0</v>
      </c>
      <c r="H810" s="658">
        <f>+IFERROR(H$5*GETPIVOTDATA("Unique Billed Hours",'County allocation'!$S$3,"County",$D805,"HHA/CDPAP","HHA","Level of Service",$D810),0)</f>
        <v>0</v>
      </c>
      <c r="I810" s="664">
        <f t="shared" ca="1" si="295"/>
        <v>0</v>
      </c>
      <c r="J810" s="658">
        <f ca="1">+IFERROR(J$5*GETPIVOTDATA("Unique Billed Hours",'County allocation'!$AC$3,"County",$D805,"HHA/CDPAP","HHA","Level of Service",$D810),0)</f>
        <v>0</v>
      </c>
      <c r="K810" s="658">
        <f ca="1">+IFERROR(K$5*GETPIVOTDATA("Unique Billed Hours",'County allocation'!$X$3,"County",$D805,"HHA/CDPAP","HHA","Level of Service",$D810),0)</f>
        <v>0</v>
      </c>
      <c r="L810" s="658">
        <f ca="1">+IFERROR(L$2*GETPIVOTDATA("Unique Billed Hours",'County allocation'!$O$3,"County",$D805,"HHA/CDPAP","HHA","Level of Service",$D810),0)</f>
        <v>0</v>
      </c>
      <c r="M810" s="658">
        <f>+IFERROR(M$5*GETPIVOTDATA("Unique Billed Hours",'County allocation'!$S$3,"County",$D805,"HHA/CDPAP","HHA","Level of Service",$D810),0)</f>
        <v>0</v>
      </c>
      <c r="N810" s="658">
        <f>+IFERROR(N$5*GETPIVOTDATA("Unique Billed Hours",'County allocation'!$S$3,"County",$D805,"HHA/CDPAP","HHA","Level of Service",$D810),0)</f>
        <v>0</v>
      </c>
      <c r="O810" s="658">
        <f>+IFERROR(O$5*GETPIVOTDATA("Unique Billed Hours",'County allocation'!$K$19,"County",$D805,"HHA/CDPAP","HHA","Level of Service",$D810),0)</f>
        <v>0</v>
      </c>
      <c r="P810" s="658">
        <f>+IFERROR(P$5*GETPIVOTDATA("Unique Billed Hours",'County allocation'!$S$3,"County",$D805,"HHA/CDPAP","HHA","Level of Service",$D810),0)</f>
        <v>0</v>
      </c>
    </row>
    <row r="811" spans="1:18" s="54" customFormat="1" x14ac:dyDescent="0.25">
      <c r="A811" s="119"/>
      <c r="B811" s="309"/>
      <c r="C811" s="322">
        <f t="shared" ca="1" si="293"/>
        <v>1</v>
      </c>
      <c r="D811" s="7" t="s">
        <v>37</v>
      </c>
      <c r="E811" s="48" t="s">
        <v>54</v>
      </c>
      <c r="F811" s="657">
        <f t="shared" ca="1" si="294"/>
        <v>16099.593995202358</v>
      </c>
      <c r="G811" s="658">
        <f ca="1">+IFERROR(G$5*GETPIVOTDATA("Unique Billed Hours",'County allocation'!$A$3,"County",$D805,"HHA/CDPAP","HHA","Level of Service",$D811),0)</f>
        <v>540.09171556170588</v>
      </c>
      <c r="H811" s="658">
        <f>+IFERROR(H$5*GETPIVOTDATA("Unique Billed Hours",'County allocation'!$S$3,"County",$D805,"HHA/CDPAP","HHA","Level of Service",$D811),0)</f>
        <v>923.88006078804256</v>
      </c>
      <c r="I811" s="664">
        <f t="shared" ca="1" si="295"/>
        <v>14635.62221885261</v>
      </c>
      <c r="J811" s="658">
        <f ca="1">+IFERROR(J$5*GETPIVOTDATA("Unique Billed Hours",'County allocation'!$AC$3,"County",$D805,"HHA/CDPAP","HHA","Level of Service",$D811),0)</f>
        <v>1923.5617856450533</v>
      </c>
      <c r="K811" s="658">
        <f ca="1">+IFERROR(K$5*GETPIVOTDATA("Unique Billed Hours",'County allocation'!$X$3,"County",$D805,"HHA/CDPAP","HHA","Level of Service",$D811),0)</f>
        <v>12435.064975203572</v>
      </c>
      <c r="L811" s="658">
        <f ca="1">+IFERROR(L$2*GETPIVOTDATA("Unique Billed Hours",'County allocation'!$O$3,"County",$D805,"HHA/CDPAP","HHA","Level of Service",$D811),0)</f>
        <v>178.35409443759426</v>
      </c>
      <c r="M811" s="658">
        <f>+IFERROR(M$5*GETPIVOTDATA("Unique Billed Hours",'County allocation'!$S$3,"County",$D805,"HHA/CDPAP","HHA","Level of Service",$D811),0)</f>
        <v>91.018134907879045</v>
      </c>
      <c r="N811" s="658">
        <f>+IFERROR(N$5*GETPIVOTDATA("Unique Billed Hours",'County allocation'!$S$3,"County",$D805,"HHA/CDPAP","HHA","Level of Service",$D811),0)</f>
        <v>7.6232286585100821</v>
      </c>
      <c r="O811" s="658">
        <f>+IFERROR(O$5*GETPIVOTDATA("Unique Billed Hours",'County allocation'!$K$19,"County",$D805,"HHA/CDPAP","HHA","Level of Service",$D811),0)</f>
        <v>0</v>
      </c>
      <c r="P811" s="658">
        <f>+IFERROR(P$5*GETPIVOTDATA("Unique Billed Hours",'County allocation'!$S$3,"County",$D805,"HHA/CDPAP","HHA","Level of Service",$D811),0)</f>
        <v>0</v>
      </c>
    </row>
    <row r="812" spans="1:18" s="54" customFormat="1" x14ac:dyDescent="0.25">
      <c r="A812" s="119"/>
      <c r="B812" s="309"/>
      <c r="C812" s="322">
        <f t="shared" ca="1" si="293"/>
        <v>1</v>
      </c>
      <c r="D812" s="7" t="s">
        <v>38</v>
      </c>
      <c r="E812" s="48" t="s">
        <v>53</v>
      </c>
      <c r="F812" s="657">
        <f t="shared" ca="1" si="294"/>
        <v>0</v>
      </c>
      <c r="G812" s="658">
        <f ca="1">+IFERROR(G$5*GETPIVOTDATA("Unique Billed Hours",'County allocation'!$A$3,"County",$D805,"HHA/CDPAP","HHA","Level of Service",$D812),0)</f>
        <v>0</v>
      </c>
      <c r="H812" s="658">
        <f>+IFERROR(H$5*GETPIVOTDATA("Unique Billed Hours",'County allocation'!$S$3,"County",$D805,"HHA/CDPAP","HHA","Level of Service",$D812),0)</f>
        <v>0</v>
      </c>
      <c r="I812" s="664">
        <f t="shared" ca="1" si="295"/>
        <v>0</v>
      </c>
      <c r="J812" s="658">
        <f ca="1">+IFERROR(J$5*GETPIVOTDATA("Unique Billed Hours",'County allocation'!$AC$3,"County",$D805,"HHA/CDPAP","HHA","Level of Service",$D812),0)</f>
        <v>0</v>
      </c>
      <c r="K812" s="658">
        <f ca="1">+IFERROR(K$5*GETPIVOTDATA("Unique Billed Hours",'County allocation'!$X$3,"County",$D805,"HHA/CDPAP","HHA","Level of Service",$D812),0)</f>
        <v>0</v>
      </c>
      <c r="L812" s="658">
        <f ca="1">+IFERROR(L$5*GETPIVOTDATA("Unique Billed Hours",'County allocation'!$K$19,"County",$D805,"HHA/CDPAP","HHA","Level of Service",$D812),0)</f>
        <v>0</v>
      </c>
      <c r="M812" s="658">
        <f>+IFERROR(M$5*GETPIVOTDATA("Unique Billed Hours",'County allocation'!$S$3,"County",$D805,"HHA/CDPAP","HHA","Level of Service",$D812),0)</f>
        <v>0</v>
      </c>
      <c r="N812" s="658">
        <f>+IFERROR(N$5*GETPIVOTDATA("Unique Billed Hours",'County allocation'!$S$3,"County",$D805,"HHA/CDPAP","HHA","Level of Service",$D812),0)</f>
        <v>0</v>
      </c>
      <c r="O812" s="658">
        <f>+IFERROR(O$5*GETPIVOTDATA("Unique Billed Hours",'County allocation'!$K$19,"County",$D805,"HHA/CDPAP","HHA","Level of Service",$D812),0)</f>
        <v>0</v>
      </c>
      <c r="P812" s="658">
        <f>+IFERROR(P$5*GETPIVOTDATA("Unique Billed Hours",'County allocation'!$S$3,"County",$D805,"HHA/CDPAP","HHA","Level of Service",$D812),0)</f>
        <v>0</v>
      </c>
    </row>
    <row r="813" spans="1:18" s="54" customFormat="1" x14ac:dyDescent="0.25">
      <c r="A813" s="119"/>
      <c r="B813" s="309"/>
      <c r="C813" s="322">
        <f t="shared" ca="1" si="293"/>
        <v>1</v>
      </c>
      <c r="D813" s="7" t="s">
        <v>39</v>
      </c>
      <c r="E813" s="48" t="s">
        <v>52</v>
      </c>
      <c r="F813" s="657">
        <f t="shared" ca="1" si="294"/>
        <v>2382.6435612215591</v>
      </c>
      <c r="G813" s="658">
        <f ca="1">+IFERROR(G$5*GETPIVOTDATA("Unique Billed Hours",'County allocation'!$A$3,"County",$D805,"HHA/CDPAP","HHA","Level of Service",$D813),0)</f>
        <v>0</v>
      </c>
      <c r="H813" s="658">
        <f>+IFERROR(H$5*GETPIVOTDATA("Unique Billed Hours",'County allocation'!$S$3,"County",$D805,"HHA/CDPAP","HHA","Level of Service",$D813),0)</f>
        <v>0</v>
      </c>
      <c r="I813" s="664">
        <f t="shared" ca="1" si="295"/>
        <v>2382.6435612215591</v>
      </c>
      <c r="J813" s="658">
        <f ca="1">+IFERROR(J$5*GETPIVOTDATA("Unique Billed Hours",'County allocation'!$AC$3,"County",$D805,"HHA/CDPAP","HHA","Level of Service",$D813),0)</f>
        <v>316.48345618519039</v>
      </c>
      <c r="K813" s="658">
        <f ca="1">+IFERROR(K$5*GETPIVOTDATA("Unique Billed Hours",'County allocation'!$X$3,"County",$D805,"HHA/CDPAP","HHA","Level of Service",$D813),0)</f>
        <v>0</v>
      </c>
      <c r="L813" s="658">
        <f ca="1">+IFERROR(L$5*GETPIVOTDATA("Unique Billed Hours",'County allocation'!$K$19,"County",$D805,"HHA/CDPAP","HHA","Level of Service",$D813),0)</f>
        <v>2066.1601050363688</v>
      </c>
      <c r="M813" s="658">
        <f>+IFERROR(M$5*GETPIVOTDATA("Unique Billed Hours",'County allocation'!$S$3,"County",$D805,"HHA/CDPAP","HHA","Level of Service",$D813),0)</f>
        <v>0</v>
      </c>
      <c r="N813" s="658">
        <f>+IFERROR(N$5*GETPIVOTDATA("Unique Billed Hours",'County allocation'!$S$3,"County",$D805,"HHA/CDPAP","HHA","Level of Service",$D813),0)</f>
        <v>0</v>
      </c>
      <c r="O813" s="658">
        <f>+IFERROR(O$5*GETPIVOTDATA("Unique Billed Hours",'County allocation'!$K$19,"County",$D805,"HHA/CDPAP","HHA","Level of Service",$D813),0)</f>
        <v>0</v>
      </c>
      <c r="P813" s="658">
        <f>+IFERROR(P$5*GETPIVOTDATA("Unique Billed Hours",'County allocation'!$S$3,"County",$D805,"HHA/CDPAP","HHA","Level of Service",$D813),0)</f>
        <v>0</v>
      </c>
    </row>
    <row r="814" spans="1:18" s="54" customFormat="1" x14ac:dyDescent="0.25">
      <c r="A814" s="119"/>
      <c r="B814" s="309"/>
      <c r="C814" s="322">
        <f t="shared" ca="1" si="293"/>
        <v>1</v>
      </c>
      <c r="D814" s="8" t="s">
        <v>40</v>
      </c>
      <c r="E814" s="48" t="s">
        <v>51</v>
      </c>
      <c r="F814" s="657">
        <f t="shared" ca="1" si="294"/>
        <v>0</v>
      </c>
      <c r="G814" s="658">
        <f ca="1">+IFERROR(G$5*GETPIVOTDATA("Unique Billed Hours",'County allocation'!$A$3,"County",$D805,"HHA/CDPAP","HHA","Level of Service",$D814),0)</f>
        <v>0</v>
      </c>
      <c r="H814" s="658">
        <f>+IFERROR(H$5*GETPIVOTDATA("Unique Billed Hours",'County allocation'!$S$3,"County",$D805,"HHA/CDPAP","HHA","Level of Service",$D814),0)</f>
        <v>0</v>
      </c>
      <c r="I814" s="664">
        <f t="shared" ca="1" si="295"/>
        <v>0</v>
      </c>
      <c r="J814" s="658">
        <f ca="1">+IFERROR(J$5*GETPIVOTDATA("Unique Billed Hours",'County allocation'!$AC$3,"County",$D805,"HHA/CDPAP","HHA","Level of Service",$D814),0)</f>
        <v>0</v>
      </c>
      <c r="K814" s="658">
        <f ca="1">+IFERROR(K$5*GETPIVOTDATA("Unique Billed Hours",'County allocation'!$X$3,"County",$D805,"HHA/CDPAP","HHA","Level of Service",$D814),0)</f>
        <v>0</v>
      </c>
      <c r="L814" s="658">
        <f ca="1">+IFERROR(L$2*GETPIVOTDATA("Unique Billed Hours",'County allocation'!$O$3,"County",$D805,"HHA/CDPAP","HHA","Level of Service",$D814),0)</f>
        <v>0</v>
      </c>
      <c r="M814" s="658">
        <f>+IFERROR(M$5*GETPIVOTDATA("Unique Billed Hours",'County allocation'!$S$3,"County",$D805,"HHA/CDPAP","HHA","Level of Service",$D814),0)</f>
        <v>0</v>
      </c>
      <c r="N814" s="658">
        <f>+IFERROR(N$5*GETPIVOTDATA("Unique Billed Hours",'County allocation'!$S$3,"County",$D805,"HHA/CDPAP","HHA","Level of Service",$D814),0)</f>
        <v>0</v>
      </c>
      <c r="O814" s="658">
        <f>+IFERROR(O$5*GETPIVOTDATA("Unique Billed Hours",'County allocation'!$K$19,"County",$D805,"HHA/CDPAP","HHA","Level of Service",$D814),0)</f>
        <v>0</v>
      </c>
      <c r="P814" s="658">
        <f>+IFERROR(P$5*GETPIVOTDATA("Unique Billed Hours",'County allocation'!$S$3,"County",$D805,"HHA/CDPAP","HHA","Level of Service",$D814),0)</f>
        <v>0</v>
      </c>
    </row>
    <row r="815" spans="1:18" s="54" customFormat="1" x14ac:dyDescent="0.25">
      <c r="A815" s="119"/>
      <c r="B815" s="309"/>
      <c r="C815" s="322">
        <f t="shared" ca="1" si="293"/>
        <v>1</v>
      </c>
      <c r="D815" s="8" t="s">
        <v>41</v>
      </c>
      <c r="E815" s="48" t="s">
        <v>50</v>
      </c>
      <c r="F815" s="657">
        <f t="shared" ca="1" si="294"/>
        <v>0</v>
      </c>
      <c r="G815" s="658">
        <f ca="1">+IFERROR(G$5*GETPIVOTDATA("Unique Billed Hours",'County allocation'!$A$3,"County",$D805,"HHA/CDPAP","HHA","Level of Service",$D815),0)</f>
        <v>0</v>
      </c>
      <c r="H815" s="658">
        <f>+IFERROR(H$5*GETPIVOTDATA("Unique Billed Hours",'County allocation'!$S$3,"County",$D805,"HHA/CDPAP","HHA","Level of Service",$D815),0)</f>
        <v>0</v>
      </c>
      <c r="I815" s="664">
        <f t="shared" ca="1" si="295"/>
        <v>0</v>
      </c>
      <c r="J815" s="658">
        <f ca="1">+IFERROR(J$5*GETPIVOTDATA("Unique Billed Hours",'County allocation'!$AC$3,"County",$D805,"HHA/CDPAP","HHA","Level of Service",$D815),0)</f>
        <v>0</v>
      </c>
      <c r="K815" s="658">
        <f ca="1">+IFERROR(K$5*GETPIVOTDATA("Unique Billed Hours",'County allocation'!$X$3,"County",$D805,"HHA/CDPAP","HHA","Level of Service",$D815),0)</f>
        <v>0</v>
      </c>
      <c r="L815" s="658">
        <f ca="1">+IFERROR(L$2*GETPIVOTDATA("Unique Billed Hours",'County allocation'!$O$3,"County",$D805,"HHA/CDPAP","HHA","Level of Service",$D815),0)</f>
        <v>0</v>
      </c>
      <c r="M815" s="658">
        <f>+IFERROR(M$5*GETPIVOTDATA("Unique Billed Hours",'County allocation'!$S$3,"County",$D805,"HHA/CDPAP","HHA","Level of Service",$D815),0)</f>
        <v>0</v>
      </c>
      <c r="N815" s="658">
        <f>+IFERROR(N$5*GETPIVOTDATA("Unique Billed Hours",'County allocation'!$S$3,"County",$D805,"HHA/CDPAP","HHA","Level of Service",$D815),0)</f>
        <v>0</v>
      </c>
      <c r="O815" s="658">
        <f>+IFERROR(O$5*GETPIVOTDATA("Unique Billed Hours",'County allocation'!$K$19,"County",$D805,"HHA/CDPAP","HHA","Level of Service",$D815),0)</f>
        <v>0</v>
      </c>
      <c r="P815" s="658">
        <f>+IFERROR(P$5*GETPIVOTDATA("Unique Billed Hours",'County allocation'!$S$3,"County",$D805,"HHA/CDPAP","HHA","Level of Service",$D815),0)</f>
        <v>0</v>
      </c>
    </row>
    <row r="816" spans="1:18" s="54" customFormat="1" ht="15.75" thickBot="1" x14ac:dyDescent="0.3">
      <c r="A816" s="119"/>
      <c r="B816" s="309"/>
      <c r="C816" s="322">
        <f t="shared" ca="1" si="293"/>
        <v>1</v>
      </c>
      <c r="D816" s="52" t="s">
        <v>389</v>
      </c>
      <c r="E816" s="53" t="s">
        <v>49</v>
      </c>
      <c r="F816" s="657">
        <f t="shared" ca="1" si="294"/>
        <v>855790.12846395932</v>
      </c>
      <c r="G816" s="661">
        <f ca="1">SUM(G808:G815)</f>
        <v>28629.188582747673</v>
      </c>
      <c r="H816" s="661">
        <f>SUM(H808:H815)</f>
        <v>48973.046106868715</v>
      </c>
      <c r="I816" s="664">
        <f t="shared" ca="1" si="295"/>
        <v>778187.89377434296</v>
      </c>
      <c r="J816" s="661">
        <f ca="1">SUM(J808:J815)</f>
        <v>102280.67125070671</v>
      </c>
      <c r="K816" s="661">
        <f t="shared" ref="K816:P816" ca="1" si="296">SUM(K808:K815)</f>
        <v>659158.08362950082</v>
      </c>
      <c r="L816" s="661">
        <f t="shared" ca="1" si="296"/>
        <v>11520.356229575318</v>
      </c>
      <c r="M816" s="661">
        <f t="shared" si="296"/>
        <v>4824.6904620960177</v>
      </c>
      <c r="N816" s="661">
        <f t="shared" si="296"/>
        <v>404.09220246400315</v>
      </c>
      <c r="O816" s="661">
        <f t="shared" si="296"/>
        <v>0</v>
      </c>
      <c r="P816" s="661">
        <f t="shared" si="296"/>
        <v>0</v>
      </c>
    </row>
    <row r="817" spans="1:18" s="54" customFormat="1" x14ac:dyDescent="0.25">
      <c r="A817" s="119"/>
      <c r="B817" s="309"/>
      <c r="C817" s="322">
        <f t="shared" ca="1" si="293"/>
        <v>1</v>
      </c>
      <c r="D817" s="371" t="s">
        <v>390</v>
      </c>
      <c r="E817" s="325" t="s">
        <v>47</v>
      </c>
      <c r="F817" s="657">
        <f t="shared" ca="1" si="294"/>
        <v>4899.9663559634337</v>
      </c>
      <c r="G817" s="665">
        <f ca="1">+IFERROR((G$5*GETPIVOTDATA("Unique Billed Hours",'County allocation'!$A$3,"County",$D805,"HHA/CDPAP","HHA","Level of Service",$D817))+($G$2*GETPIVOTDATA("Unique Billed Hours",'County allocation'!$F$7,"County",$D805,"HHA/CDPAP","HHA","Level of Service",$D817)),0)++IFERROR(J$5*GETPIVOTDATA("Unique Billed Hours",'County allocation'!$AC$3,"County",$D805,"HHA/CDPAP","HHA","Level of Service",$D817),0)+ +IFERROR(J$5*GETPIVOTDATA("Unique Billed Hours",'County allocation'!$AC$3,"County",$D805,"HHA/CDPAP","HHA","Level of Service",$D818),0)</f>
        <v>4899.9663559634337</v>
      </c>
      <c r="H817" s="665">
        <f>+IFERROR(H$5*GETPIVOTDATA("Unique Billed Hours",'County allocation'!$S$3,"County",$D805,"HHA/CDPAP","HHA","Level of Service",$D817),0)</f>
        <v>0</v>
      </c>
      <c r="I817" s="664">
        <f t="shared" ca="1" si="295"/>
        <v>0</v>
      </c>
      <c r="J817" s="901"/>
      <c r="K817" s="665">
        <f ca="1">+IFERROR(K$5*GETPIVOTDATA("Unique Billed Hours",'County allocation'!$X$3,"County",$D805,"HHA/CDPAP","HHA","Level of Service",$D817),0)</f>
        <v>0</v>
      </c>
      <c r="L817" s="665">
        <f ca="1">+IFERROR(L$5*GETPIVOTDATA("Unique Billed Hours",'County allocation'!$K$19,"County",$D805,"HHA/CDPAP","HHA","Level of Service",$D817),0)</f>
        <v>0</v>
      </c>
      <c r="M817" s="665">
        <f>+IFERROR(M$5*GETPIVOTDATA("Unique Billed Hours",'County allocation'!$S$3,"County",$D805,"HHA/CDPAP","HHA","Level of Service",$D817),0)</f>
        <v>0</v>
      </c>
      <c r="N817" s="665">
        <f>+IFERROR(N$5*GETPIVOTDATA("Unique Billed Hours",'County allocation'!$S$3,"County",$D805,"HHA/CDPAP","HHA","Level of Service",$D817),0)</f>
        <v>0</v>
      </c>
      <c r="O817" s="665">
        <f>+IFERROR(O$5*GETPIVOTDATA("Unique Billed Hours",'County allocation'!$S$3,"County",$D805,"HHA/CDPAP","HHA","Level of Service",$D817),0)</f>
        <v>0</v>
      </c>
      <c r="P817" s="665">
        <f>+IFERROR(P$5*GETPIVOTDATA("Unique Billed Hours",'County allocation'!$S$3,"County",$D805,"HHA/CDPAP","HHA","Level of Service",$D817),0)</f>
        <v>0</v>
      </c>
    </row>
    <row r="818" spans="1:18" s="54" customFormat="1" x14ac:dyDescent="0.25">
      <c r="A818" s="119"/>
      <c r="B818" s="309"/>
      <c r="C818" s="322">
        <f t="shared" ca="1" si="293"/>
        <v>1</v>
      </c>
      <c r="D818" s="8" t="s">
        <v>391</v>
      </c>
      <c r="E818" s="370" t="s">
        <v>77</v>
      </c>
      <c r="F818" s="657">
        <f t="shared" ca="1" si="294"/>
        <v>0</v>
      </c>
      <c r="G818" s="656"/>
      <c r="H818" s="658">
        <f>+IFERROR(H$5*GETPIVOTDATA("Unique Billed Hours",'County allocation'!$S$3,"County",$D805,"HHA/CDPAP","HHA","Level of Service",$D818),0)</f>
        <v>0</v>
      </c>
      <c r="I818" s="664">
        <f t="shared" ca="1" si="295"/>
        <v>0</v>
      </c>
      <c r="J818" s="901"/>
      <c r="K818" s="665">
        <f ca="1">+IFERROR(K$5*GETPIVOTDATA("Unique Billed Hours",'County allocation'!$X$3,"County",$D805,"HHA/CDPAP","HHA","Level of Service",$D818),0)</f>
        <v>0</v>
      </c>
      <c r="L818" s="665">
        <f ca="1">+IFERROR(L$5*GETPIVOTDATA("Unique Billed Hours",'County allocation'!$K$19,"County",$D805,"HHA/CDPAP","HHA","Level of Service",$D818),0)</f>
        <v>0</v>
      </c>
      <c r="M818" s="665">
        <f>+IFERROR(M$5*GETPIVOTDATA("Unique Billed Hours",'County allocation'!$S$3,"County",$D805,"HHA/CDPAP","HHA","Level of Service",$D818),0)</f>
        <v>0</v>
      </c>
      <c r="N818" s="665">
        <f>+IFERROR(N$5*GETPIVOTDATA("Unique Billed Hours",'County allocation'!$S$3,"County",$D805,"HHA/CDPAP","HHA","Level of Service",$D818),0)</f>
        <v>0</v>
      </c>
      <c r="O818" s="665">
        <f>+IFERROR(O$5*GETPIVOTDATA("Unique Billed Hours",'County allocation'!$S$3,"County",$D805,"HHA/CDPAP","HHA","Level of Service",$D818),0)</f>
        <v>0</v>
      </c>
      <c r="P818" s="665">
        <f>+IFERROR(P$5*GETPIVOTDATA("Unique Billed Hours",'County allocation'!$S$3,"County",$D805,"HHA/CDPAP","HHA","Level of Service",$D818),0)</f>
        <v>0</v>
      </c>
    </row>
    <row r="819" spans="1:18" s="54" customFormat="1" x14ac:dyDescent="0.25">
      <c r="A819" s="119"/>
      <c r="B819" s="309"/>
      <c r="C819" s="322">
        <f t="shared" ca="1" si="293"/>
        <v>1</v>
      </c>
      <c r="D819" s="8" t="s">
        <v>374</v>
      </c>
      <c r="E819" s="370" t="s">
        <v>78</v>
      </c>
      <c r="F819" s="657">
        <f t="shared" ca="1" si="294"/>
        <v>255.31451882164066</v>
      </c>
      <c r="G819" s="658">
        <f ca="1">+IFERROR(G$5*GETPIVOTDATA("Unique Billed Hours",'County allocation'!$A$3,"County",$D805,"HHA/CDPAP","HHA","Level of Service",$D819),0)++IFERROR(J$5*GETPIVOTDATA("Unique Billed Hours",'County allocation'!$AC$3,"County",$D805,"HHA/CDPAP","HHA","Level of Service",$D819),0)</f>
        <v>255.31451882164066</v>
      </c>
      <c r="H819" s="658">
        <f>+IFERROR(H$5*GETPIVOTDATA("Unique Billed Hours",'County allocation'!$S$3,"County",$D805,"HHA/CDPAP","HHA","Level of Service",$D819),0)</f>
        <v>0</v>
      </c>
      <c r="I819" s="664">
        <f t="shared" ca="1" si="295"/>
        <v>0</v>
      </c>
      <c r="J819" s="901"/>
      <c r="K819" s="665">
        <f ca="1">+IFERROR(K$5*GETPIVOTDATA("Unique Billed Hours",'County allocation'!$X$3,"County",$D805,"HHA/CDPAP","HHA","Level of Service",$D819),0)</f>
        <v>0</v>
      </c>
      <c r="L819" s="665">
        <f ca="1">+IFERROR(L$5*GETPIVOTDATA("Unique Billed Hours",'County allocation'!$K$19,"County",$D805,"HHA/CDPAP","HHA","Level of Service",$D819),0)</f>
        <v>0</v>
      </c>
      <c r="M819" s="665">
        <f>+IFERROR(M$5*GETPIVOTDATA("Unique Billed Hours",'County allocation'!$S$3,"County",$D805,"HHA/CDPAP","HHA","Level of Service",$D819),0)</f>
        <v>0</v>
      </c>
      <c r="N819" s="665">
        <f>+IFERROR(N$5*GETPIVOTDATA("Unique Billed Hours",'County allocation'!$S$3,"County",$D805,"HHA/CDPAP","HHA","Level of Service",$D819),0)</f>
        <v>0</v>
      </c>
      <c r="O819" s="665">
        <f>+IFERROR(O$5*GETPIVOTDATA("Unique Billed Hours",'County allocation'!$S$3,"County",$D805,"HHA/CDPAP","HHA","Level of Service",$D819),0)</f>
        <v>0</v>
      </c>
      <c r="P819" s="665">
        <f>+IFERROR(P$5*GETPIVOTDATA("Unique Billed Hours",'County allocation'!$S$3,"County",$D805,"HHA/CDPAP","HHA","Level of Service",$D819),0)</f>
        <v>0</v>
      </c>
    </row>
    <row r="820" spans="1:18" s="54" customFormat="1" ht="15.75" thickBot="1" x14ac:dyDescent="0.3">
      <c r="A820" s="302"/>
      <c r="B820" s="309"/>
      <c r="C820" s="322">
        <f ca="1">C819</f>
        <v>1</v>
      </c>
      <c r="D820" s="52" t="s">
        <v>48</v>
      </c>
      <c r="E820" s="53" t="s">
        <v>79</v>
      </c>
      <c r="F820" s="657">
        <f t="shared" ca="1" si="294"/>
        <v>860945.40933874436</v>
      </c>
      <c r="G820" s="661">
        <f t="shared" ref="G820" ca="1" si="297">SUM(G816:G819)</f>
        <v>33784.469457532752</v>
      </c>
      <c r="H820" s="661">
        <f t="shared" ref="H820:P820" si="298">SUM(H816:H819)</f>
        <v>48973.046106868715</v>
      </c>
      <c r="I820" s="661">
        <f t="shared" ca="1" si="298"/>
        <v>778187.89377434296</v>
      </c>
      <c r="J820" s="661">
        <f t="shared" ca="1" si="298"/>
        <v>102280.67125070671</v>
      </c>
      <c r="K820" s="661">
        <f t="shared" ca="1" si="298"/>
        <v>659158.08362950082</v>
      </c>
      <c r="L820" s="661">
        <f t="shared" ca="1" si="298"/>
        <v>11520.356229575318</v>
      </c>
      <c r="M820" s="661">
        <f t="shared" si="298"/>
        <v>4824.6904620960177</v>
      </c>
      <c r="N820" s="661">
        <f t="shared" si="298"/>
        <v>404.09220246400315</v>
      </c>
      <c r="O820" s="661">
        <f t="shared" si="298"/>
        <v>0</v>
      </c>
      <c r="P820" s="661">
        <f t="shared" si="298"/>
        <v>0</v>
      </c>
    </row>
    <row r="821" spans="1:18" ht="15.75" hidden="1" thickBot="1" x14ac:dyDescent="0.3"/>
    <row r="822" spans="1:18" s="54" customFormat="1" ht="75.75" hidden="1" thickBot="1" x14ac:dyDescent="0.3">
      <c r="A822" s="119"/>
      <c r="B822" s="309"/>
      <c r="C822" s="322">
        <f ca="1">IF(F837&gt;0,1,0)</f>
        <v>0</v>
      </c>
      <c r="D822" s="45" t="str">
        <f>A51</f>
        <v>Schoharie</v>
      </c>
      <c r="E822" s="28">
        <f>+SUMIF(A:A,D822,B:B)</f>
        <v>0</v>
      </c>
      <c r="F822" s="652" t="s">
        <v>61</v>
      </c>
      <c r="G822" s="652" t="s">
        <v>387</v>
      </c>
      <c r="H822" s="652" t="s">
        <v>388</v>
      </c>
      <c r="I822" s="652" t="s">
        <v>392</v>
      </c>
      <c r="J822" s="652" t="s">
        <v>31</v>
      </c>
      <c r="K822" s="652" t="s">
        <v>32</v>
      </c>
      <c r="L822" s="653" t="s">
        <v>33</v>
      </c>
      <c r="M822" s="653" t="s">
        <v>60</v>
      </c>
      <c r="N822" s="653" t="s">
        <v>59</v>
      </c>
      <c r="O822" s="653" t="s">
        <v>58</v>
      </c>
      <c r="P822" s="653" t="s">
        <v>16</v>
      </c>
    </row>
    <row r="823" spans="1:18" s="54" customFormat="1" ht="15.75" hidden="1" thickBot="1" x14ac:dyDescent="0.3">
      <c r="A823" s="119"/>
      <c r="B823" s="309"/>
      <c r="C823" s="322">
        <f ca="1">C822</f>
        <v>0</v>
      </c>
      <c r="D823" s="56"/>
      <c r="E823" s="57"/>
      <c r="F823" s="654" t="s">
        <v>57</v>
      </c>
      <c r="G823" s="654" t="s">
        <v>56</v>
      </c>
      <c r="H823" s="654" t="s">
        <v>55</v>
      </c>
      <c r="I823" s="654" t="s">
        <v>54</v>
      </c>
      <c r="J823" s="654" t="s">
        <v>53</v>
      </c>
      <c r="K823" s="654" t="s">
        <v>52</v>
      </c>
      <c r="L823" s="654" t="s">
        <v>51</v>
      </c>
      <c r="M823" s="654" t="s">
        <v>50</v>
      </c>
      <c r="N823" s="654" t="s">
        <v>49</v>
      </c>
      <c r="O823" s="654" t="s">
        <v>47</v>
      </c>
      <c r="P823" s="655" t="s">
        <v>77</v>
      </c>
    </row>
    <row r="824" spans="1:18" s="54" customFormat="1" ht="15.75" hidden="1" thickBot="1" x14ac:dyDescent="0.3">
      <c r="A824" s="119"/>
      <c r="B824" s="309"/>
      <c r="C824" s="322">
        <f t="shared" ref="C824:C836" ca="1" si="299">C823</f>
        <v>0</v>
      </c>
      <c r="D824" s="59" t="s">
        <v>26</v>
      </c>
      <c r="E824" s="57"/>
      <c r="F824" s="656"/>
      <c r="G824" s="656"/>
      <c r="H824" s="656"/>
      <c r="I824" s="656"/>
      <c r="J824" s="656"/>
      <c r="K824" s="656"/>
      <c r="L824" s="656"/>
      <c r="M824" s="656"/>
      <c r="N824" s="656"/>
      <c r="O824" s="656"/>
      <c r="P824" s="663"/>
    </row>
    <row r="825" spans="1:18" s="54" customFormat="1" ht="15.75" hidden="1" thickBot="1" x14ac:dyDescent="0.3">
      <c r="A825" s="119"/>
      <c r="B825" s="309"/>
      <c r="C825" s="322">
        <f t="shared" ca="1" si="299"/>
        <v>0</v>
      </c>
      <c r="D825" s="7" t="s">
        <v>34</v>
      </c>
      <c r="E825" s="48" t="s">
        <v>57</v>
      </c>
      <c r="F825" s="657">
        <f ca="1">+H825+G825+I825</f>
        <v>0</v>
      </c>
      <c r="G825" s="658">
        <f ca="1">+IFERROR(G$5*GETPIVOTDATA("Unique Billed Hours",'County allocation'!$A$3,"County",$D822,"HHA/CDPAP","HHA","Level of Service",$D825),0)</f>
        <v>0</v>
      </c>
      <c r="H825" s="658">
        <f>+IFERROR(H$5*GETPIVOTDATA("Unique Billed Hours",'County allocation'!$S$3,"County",$D822,"HHA/CDPAP","HHA","Level of Service",$D825),0)</f>
        <v>0</v>
      </c>
      <c r="I825" s="664">
        <f ca="1">SUM(J825:P825)</f>
        <v>0</v>
      </c>
      <c r="J825" s="658">
        <f ca="1">+IFERROR(J$5*GETPIVOTDATA("Unique Billed Hours",'County allocation'!$S$3,"County",$D822,"HHA/CDPAP","HHA","Level of Service",$D825),0)</f>
        <v>0</v>
      </c>
      <c r="K825" s="658">
        <f ca="1">+IFERROR(K$5*GETPIVOTDATA("Unique Billed Hours",'County allocation'!$X$3,"County",$D822,"HHA/CDPAP","HHA","Level of Service",$D825),0)</f>
        <v>0</v>
      </c>
      <c r="L825" s="658">
        <f ca="1">+IFERROR(L$2*GETPIVOTDATA("Unique Billed Hours",'County allocation'!$O$3,"County",$D822,"HHA/CDPAP","HHA","Level of Service",$D825),0)</f>
        <v>0</v>
      </c>
      <c r="M825" s="658">
        <f>+IFERROR(M$5*GETPIVOTDATA("Unique Billed Hours",'County allocation'!$S$3,"County",$D822,"HHA/CDPAP","HHA","Level of Service",$D825),0)</f>
        <v>0</v>
      </c>
      <c r="N825" s="658">
        <f>+IFERROR(N$5*GETPIVOTDATA("Unique Billed Hours",'County allocation'!$S$3,"County",$D822,"HHA/CDPAP","HHA","Level of Service",$D825),0)</f>
        <v>0</v>
      </c>
      <c r="O825" s="658">
        <f>+IFERROR(O$5*GETPIVOTDATA("Unique Billed Hours",'County allocation'!$K$19,"County",$D822,"HHA/CDPAP","HHA","Level of Service",$D825),0)</f>
        <v>0</v>
      </c>
      <c r="P825" s="658">
        <f>+IFERROR(P$5*GETPIVOTDATA("Unique Billed Hours",'County allocation'!$S$3,"County",$D822,"HHA/CDPAP","HHA","Level of Service",$D825),0)</f>
        <v>0</v>
      </c>
    </row>
    <row r="826" spans="1:18" s="54" customFormat="1" ht="15.75" hidden="1" thickBot="1" x14ac:dyDescent="0.3">
      <c r="A826" s="119"/>
      <c r="B826" s="309"/>
      <c r="C826" s="322">
        <f t="shared" ca="1" si="299"/>
        <v>0</v>
      </c>
      <c r="D826" s="7" t="s">
        <v>35</v>
      </c>
      <c r="E826" s="48" t="s">
        <v>56</v>
      </c>
      <c r="F826" s="657">
        <f t="shared" ref="F826:F837" ca="1" si="300">+H826+G826+I826</f>
        <v>0</v>
      </c>
      <c r="G826" s="658">
        <f ca="1">+IFERROR(G$5*GETPIVOTDATA("Unique Billed Hours",'County allocation'!$A$3,"County",$D822,"HHA/CDPAP","HHA","Level of Service",$D826),0)</f>
        <v>0</v>
      </c>
      <c r="H826" s="658">
        <f>+IFERROR(H$5*GETPIVOTDATA("Unique Billed Hours",'County allocation'!$S$3,"County",$D822,"HHA/CDPAP","HHA","Level of Service",$D826),0)</f>
        <v>0</v>
      </c>
      <c r="I826" s="664">
        <f t="shared" ref="I826:I836" ca="1" si="301">SUM(J826:P826)</f>
        <v>0</v>
      </c>
      <c r="J826" s="658">
        <f ca="1">+IFERROR(J$5*GETPIVOTDATA("Unique Billed Hours",'County allocation'!$S$3,"County",$D822,"HHA/CDPAP","HHA","Level of Service",$D826),0)</f>
        <v>0</v>
      </c>
      <c r="K826" s="658">
        <f ca="1">+IFERROR(K$5*GETPIVOTDATA("Unique Billed Hours",'County allocation'!$X$3,"County",$D822,"HHA/CDPAP","HHA","Level of Service",$D826),0)</f>
        <v>0</v>
      </c>
      <c r="L826" s="658">
        <f ca="1">+IFERROR(L$2*GETPIVOTDATA("Unique Billed Hours",'County allocation'!$O$3,"County",$D822,"HHA/CDPAP","HHA","Level of Service",$D826),0)</f>
        <v>0</v>
      </c>
      <c r="M826" s="658">
        <f>+IFERROR(M$5*GETPIVOTDATA("Unique Billed Hours",'County allocation'!$S$3,"County",$D822,"HHA/CDPAP","HHA","Level of Service",$D826),0)</f>
        <v>0</v>
      </c>
      <c r="N826" s="658">
        <f>+IFERROR(N$5*GETPIVOTDATA("Unique Billed Hours",'County allocation'!$S$3,"County",$D822,"HHA/CDPAP","HHA","Level of Service",$D826),0)</f>
        <v>0</v>
      </c>
      <c r="O826" s="658">
        <f>+IFERROR(O$5*GETPIVOTDATA("Unique Billed Hours",'County allocation'!$K$19,"County",$D822,"HHA/CDPAP","HHA","Level of Service",$D826),0)</f>
        <v>0</v>
      </c>
      <c r="P826" s="658">
        <f>+IFERROR(P$5*GETPIVOTDATA("Unique Billed Hours",'County allocation'!$S$3,"County",$D822,"HHA/CDPAP","HHA","Level of Service",$D826),0)</f>
        <v>0</v>
      </c>
      <c r="R826" s="61"/>
    </row>
    <row r="827" spans="1:18" s="54" customFormat="1" ht="15.75" hidden="1" thickBot="1" x14ac:dyDescent="0.3">
      <c r="A827" s="302"/>
      <c r="B827" s="309"/>
      <c r="C827" s="322">
        <f t="shared" ca="1" si="299"/>
        <v>0</v>
      </c>
      <c r="D827" s="7" t="s">
        <v>36</v>
      </c>
      <c r="E827" s="48" t="s">
        <v>55</v>
      </c>
      <c r="F827" s="657">
        <f t="shared" ca="1" si="300"/>
        <v>0</v>
      </c>
      <c r="G827" s="658">
        <f ca="1">+IFERROR(G$5*GETPIVOTDATA("Unique Billed Hours",'County allocation'!$A$3,"County",$D822,"HHA/CDPAP","HHA","Level of Service",$D827),0)</f>
        <v>0</v>
      </c>
      <c r="H827" s="658">
        <f>+IFERROR(H$5*GETPIVOTDATA("Unique Billed Hours",'County allocation'!$S$3,"County",$D822,"HHA/CDPAP","HHA","Level of Service",$D827),0)</f>
        <v>0</v>
      </c>
      <c r="I827" s="664">
        <f t="shared" ca="1" si="301"/>
        <v>0</v>
      </c>
      <c r="J827" s="658">
        <f ca="1">+IFERROR(J$5*GETPIVOTDATA("Unique Billed Hours",'County allocation'!$S$3,"County",$D822,"HHA/CDPAP","HHA","Level of Service",$D827),0)</f>
        <v>0</v>
      </c>
      <c r="K827" s="658">
        <f ca="1">+IFERROR(K$5*GETPIVOTDATA("Unique Billed Hours",'County allocation'!$X$3,"County",$D822,"HHA/CDPAP","HHA","Level of Service",$D827),0)</f>
        <v>0</v>
      </c>
      <c r="L827" s="658">
        <f ca="1">+IFERROR(L$2*GETPIVOTDATA("Unique Billed Hours",'County allocation'!$O$3,"County",$D822,"HHA/CDPAP","HHA","Level of Service",$D827),0)</f>
        <v>0</v>
      </c>
      <c r="M827" s="658">
        <f>+IFERROR(M$5*GETPIVOTDATA("Unique Billed Hours",'County allocation'!$S$3,"County",$D822,"HHA/CDPAP","HHA","Level of Service",$D827),0)</f>
        <v>0</v>
      </c>
      <c r="N827" s="658">
        <f>+IFERROR(N$5*GETPIVOTDATA("Unique Billed Hours",'County allocation'!$S$3,"County",$D822,"HHA/CDPAP","HHA","Level of Service",$D827),0)</f>
        <v>0</v>
      </c>
      <c r="O827" s="658">
        <f>+IFERROR(O$5*GETPIVOTDATA("Unique Billed Hours",'County allocation'!$K$19,"County",$D822,"HHA/CDPAP","HHA","Level of Service",$D827),0)</f>
        <v>0</v>
      </c>
      <c r="P827" s="658">
        <f>+IFERROR(P$5*GETPIVOTDATA("Unique Billed Hours",'County allocation'!$S$3,"County",$D822,"HHA/CDPAP","HHA","Level of Service",$D827),0)</f>
        <v>0</v>
      </c>
    </row>
    <row r="828" spans="1:18" s="54" customFormat="1" ht="15.75" hidden="1" thickBot="1" x14ac:dyDescent="0.3">
      <c r="A828" s="119"/>
      <c r="B828" s="309"/>
      <c r="C828" s="322">
        <f t="shared" ca="1" si="299"/>
        <v>0</v>
      </c>
      <c r="D828" s="7" t="s">
        <v>37</v>
      </c>
      <c r="E828" s="48" t="s">
        <v>54</v>
      </c>
      <c r="F828" s="657">
        <f t="shared" ca="1" si="300"/>
        <v>0</v>
      </c>
      <c r="G828" s="658">
        <f ca="1">+IFERROR(G$5*GETPIVOTDATA("Unique Billed Hours",'County allocation'!$A$3,"County",$D822,"HHA/CDPAP","HHA","Level of Service",$D828),0)</f>
        <v>0</v>
      </c>
      <c r="H828" s="658">
        <f>+IFERROR(H$5*GETPIVOTDATA("Unique Billed Hours",'County allocation'!$S$3,"County",$D822,"HHA/CDPAP","HHA","Level of Service",$D828),0)</f>
        <v>0</v>
      </c>
      <c r="I828" s="664">
        <f t="shared" ca="1" si="301"/>
        <v>0</v>
      </c>
      <c r="J828" s="658">
        <f ca="1">+IFERROR(J$5*GETPIVOTDATA("Unique Billed Hours",'County allocation'!$S$3,"County",$D822,"HHA/CDPAP","HHA","Level of Service",$D828),0)</f>
        <v>0</v>
      </c>
      <c r="K828" s="658">
        <f ca="1">+IFERROR(K$5*GETPIVOTDATA("Unique Billed Hours",'County allocation'!$X$3,"County",$D822,"HHA/CDPAP","HHA","Level of Service",$D828),0)</f>
        <v>0</v>
      </c>
      <c r="L828" s="658">
        <f ca="1">+IFERROR(L$2*GETPIVOTDATA("Unique Billed Hours",'County allocation'!$O$3,"County",$D822,"HHA/CDPAP","HHA","Level of Service",$D828),0)</f>
        <v>0</v>
      </c>
      <c r="M828" s="658">
        <f>+IFERROR(M$5*GETPIVOTDATA("Unique Billed Hours",'County allocation'!$S$3,"County",$D822,"HHA/CDPAP","HHA","Level of Service",$D828),0)</f>
        <v>0</v>
      </c>
      <c r="N828" s="658">
        <f>+IFERROR(N$5*GETPIVOTDATA("Unique Billed Hours",'County allocation'!$S$3,"County",$D822,"HHA/CDPAP","HHA","Level of Service",$D828),0)</f>
        <v>0</v>
      </c>
      <c r="O828" s="658">
        <f>+IFERROR(O$5*GETPIVOTDATA("Unique Billed Hours",'County allocation'!$K$19,"County",$D822,"HHA/CDPAP","HHA","Level of Service",$D828),0)</f>
        <v>0</v>
      </c>
      <c r="P828" s="658">
        <f>+IFERROR(P$5*GETPIVOTDATA("Unique Billed Hours",'County allocation'!$S$3,"County",$D822,"HHA/CDPAP","HHA","Level of Service",$D828),0)</f>
        <v>0</v>
      </c>
    </row>
    <row r="829" spans="1:18" s="54" customFormat="1" ht="15.75" hidden="1" thickBot="1" x14ac:dyDescent="0.3">
      <c r="A829" s="119"/>
      <c r="B829" s="309"/>
      <c r="C829" s="322">
        <f t="shared" ca="1" si="299"/>
        <v>0</v>
      </c>
      <c r="D829" s="7" t="s">
        <v>38</v>
      </c>
      <c r="E829" s="48" t="s">
        <v>53</v>
      </c>
      <c r="F829" s="657">
        <f t="shared" ca="1" si="300"/>
        <v>0</v>
      </c>
      <c r="G829" s="658">
        <f ca="1">+IFERROR(G$5*GETPIVOTDATA("Unique Billed Hours",'County allocation'!$A$3,"County",$D822,"HHA/CDPAP","HHA","Level of Service",$D829),0)</f>
        <v>0</v>
      </c>
      <c r="H829" s="658">
        <f>+IFERROR(H$5*GETPIVOTDATA("Unique Billed Hours",'County allocation'!$S$3,"County",$D822,"HHA/CDPAP","HHA","Level of Service",$D829),0)</f>
        <v>0</v>
      </c>
      <c r="I829" s="664">
        <f t="shared" ca="1" si="301"/>
        <v>0</v>
      </c>
      <c r="J829" s="658">
        <f ca="1">+IFERROR(J$5*GETPIVOTDATA("Unique Billed Hours",'County allocation'!$S$3,"County",$D822,"HHA/CDPAP","HHA","Level of Service",$D829),0)</f>
        <v>0</v>
      </c>
      <c r="K829" s="658">
        <f ca="1">+IFERROR(K$5*GETPIVOTDATA("Unique Billed Hours",'County allocation'!$X$3,"County",$D822,"HHA/CDPAP","HHA","Level of Service",$D829),0)</f>
        <v>0</v>
      </c>
      <c r="L829" s="658">
        <f ca="1">+IFERROR(L$5*GETPIVOTDATA("Unique Billed Hours",'County allocation'!$K$19,"County",$D822,"HHA/CDPAP","HHA","Level of Service",$D829),0)</f>
        <v>0</v>
      </c>
      <c r="M829" s="658">
        <f>+IFERROR(M$5*GETPIVOTDATA("Unique Billed Hours",'County allocation'!$S$3,"County",$D822,"HHA/CDPAP","HHA","Level of Service",$D829),0)</f>
        <v>0</v>
      </c>
      <c r="N829" s="658">
        <f>+IFERROR(N$5*GETPIVOTDATA("Unique Billed Hours",'County allocation'!$S$3,"County",$D822,"HHA/CDPAP","HHA","Level of Service",$D829),0)</f>
        <v>0</v>
      </c>
      <c r="O829" s="658">
        <f>+IFERROR(O$5*GETPIVOTDATA("Unique Billed Hours",'County allocation'!$K$19,"County",$D822,"HHA/CDPAP","HHA","Level of Service",$D829),0)</f>
        <v>0</v>
      </c>
      <c r="P829" s="658">
        <f>+IFERROR(P$5*GETPIVOTDATA("Unique Billed Hours",'County allocation'!$S$3,"County",$D822,"HHA/CDPAP","HHA","Level of Service",$D829),0)</f>
        <v>0</v>
      </c>
    </row>
    <row r="830" spans="1:18" s="54" customFormat="1" ht="15.75" hidden="1" thickBot="1" x14ac:dyDescent="0.3">
      <c r="A830" s="119"/>
      <c r="B830" s="309"/>
      <c r="C830" s="322">
        <f t="shared" ca="1" si="299"/>
        <v>0</v>
      </c>
      <c r="D830" s="7" t="s">
        <v>39</v>
      </c>
      <c r="E830" s="48" t="s">
        <v>52</v>
      </c>
      <c r="F830" s="657">
        <f t="shared" ca="1" si="300"/>
        <v>0</v>
      </c>
      <c r="G830" s="658">
        <f ca="1">+IFERROR(G$5*GETPIVOTDATA("Unique Billed Hours",'County allocation'!$A$3,"County",$D822,"HHA/CDPAP","HHA","Level of Service",$D830),0)</f>
        <v>0</v>
      </c>
      <c r="H830" s="658">
        <f>+IFERROR(H$5*GETPIVOTDATA("Unique Billed Hours",'County allocation'!$S$3,"County",$D822,"HHA/CDPAP","HHA","Level of Service",$D830),0)</f>
        <v>0</v>
      </c>
      <c r="I830" s="664">
        <f t="shared" ca="1" si="301"/>
        <v>0</v>
      </c>
      <c r="J830" s="658">
        <f ca="1">+IFERROR(J$5*GETPIVOTDATA("Unique Billed Hours",'County allocation'!$S$3,"County",$D822,"HHA/CDPAP","HHA","Level of Service",$D830),0)</f>
        <v>0</v>
      </c>
      <c r="K830" s="658">
        <f ca="1">+IFERROR(K$5*GETPIVOTDATA("Unique Billed Hours",'County allocation'!$X$3,"County",$D822,"HHA/CDPAP","HHA","Level of Service",$D830),0)</f>
        <v>0</v>
      </c>
      <c r="L830" s="658">
        <f ca="1">+IFERROR(L$5*GETPIVOTDATA("Unique Billed Hours",'County allocation'!$K$19,"County",$D822,"HHA/CDPAP","HHA","Level of Service",$D830),0)</f>
        <v>0</v>
      </c>
      <c r="M830" s="658">
        <f>+IFERROR(M$5*GETPIVOTDATA("Unique Billed Hours",'County allocation'!$S$3,"County",$D822,"HHA/CDPAP","HHA","Level of Service",$D830),0)</f>
        <v>0</v>
      </c>
      <c r="N830" s="658">
        <f>+IFERROR(N$5*GETPIVOTDATA("Unique Billed Hours",'County allocation'!$S$3,"County",$D822,"HHA/CDPAP","HHA","Level of Service",$D830),0)</f>
        <v>0</v>
      </c>
      <c r="O830" s="658">
        <f>+IFERROR(O$5*GETPIVOTDATA("Unique Billed Hours",'County allocation'!$K$19,"County",$D822,"HHA/CDPAP","HHA","Level of Service",$D830),0)</f>
        <v>0</v>
      </c>
      <c r="P830" s="658">
        <f>+IFERROR(P$5*GETPIVOTDATA("Unique Billed Hours",'County allocation'!$S$3,"County",$D822,"HHA/CDPAP","HHA","Level of Service",$D830),0)</f>
        <v>0</v>
      </c>
    </row>
    <row r="831" spans="1:18" s="54" customFormat="1" ht="15.75" hidden="1" thickBot="1" x14ac:dyDescent="0.3">
      <c r="A831" s="119"/>
      <c r="B831" s="309"/>
      <c r="C831" s="322">
        <f t="shared" ca="1" si="299"/>
        <v>0</v>
      </c>
      <c r="D831" s="8" t="s">
        <v>40</v>
      </c>
      <c r="E831" s="48" t="s">
        <v>51</v>
      </c>
      <c r="F831" s="657">
        <f t="shared" ca="1" si="300"/>
        <v>0</v>
      </c>
      <c r="G831" s="658">
        <f ca="1">+IFERROR(G$5*GETPIVOTDATA("Unique Billed Hours",'County allocation'!$A$3,"County",$D822,"HHA/CDPAP","HHA","Level of Service",$D831),0)</f>
        <v>0</v>
      </c>
      <c r="H831" s="658">
        <f>+IFERROR(H$5*GETPIVOTDATA("Unique Billed Hours",'County allocation'!$S$3,"County",$D822,"HHA/CDPAP","HHA","Level of Service",$D831),0)</f>
        <v>0</v>
      </c>
      <c r="I831" s="664">
        <f t="shared" ca="1" si="301"/>
        <v>0</v>
      </c>
      <c r="J831" s="658">
        <f ca="1">+IFERROR(J$5*GETPIVOTDATA("Unique Billed Hours",'County allocation'!$S$3,"County",$D822,"HHA/CDPAP","HHA","Level of Service",$D831),0)</f>
        <v>0</v>
      </c>
      <c r="K831" s="658">
        <f ca="1">+IFERROR(K$5*GETPIVOTDATA("Unique Billed Hours",'County allocation'!$X$3,"County",$D822,"HHA/CDPAP","HHA","Level of Service",$D831),0)</f>
        <v>0</v>
      </c>
      <c r="L831" s="658">
        <f ca="1">+IFERROR(L$2*GETPIVOTDATA("Unique Billed Hours",'County allocation'!$O$3,"County",$D822,"HHA/CDPAP","HHA","Level of Service",$D831),0)</f>
        <v>0</v>
      </c>
      <c r="M831" s="658">
        <f>+IFERROR(M$5*GETPIVOTDATA("Unique Billed Hours",'County allocation'!$S$3,"County",$D822,"HHA/CDPAP","HHA","Level of Service",$D831),0)</f>
        <v>0</v>
      </c>
      <c r="N831" s="658">
        <f>+IFERROR(N$5*GETPIVOTDATA("Unique Billed Hours",'County allocation'!$S$3,"County",$D822,"HHA/CDPAP","HHA","Level of Service",$D831),0)</f>
        <v>0</v>
      </c>
      <c r="O831" s="658">
        <f>+IFERROR(O$5*GETPIVOTDATA("Unique Billed Hours",'County allocation'!$K$19,"County",$D822,"HHA/CDPAP","HHA","Level of Service",$D831),0)</f>
        <v>0</v>
      </c>
      <c r="P831" s="658">
        <f>+IFERROR(P$5*GETPIVOTDATA("Unique Billed Hours",'County allocation'!$S$3,"County",$D822,"HHA/CDPAP","HHA","Level of Service",$D831),0)</f>
        <v>0</v>
      </c>
    </row>
    <row r="832" spans="1:18" s="54" customFormat="1" ht="15.75" hidden="1" thickBot="1" x14ac:dyDescent="0.3">
      <c r="A832" s="119"/>
      <c r="B832" s="309"/>
      <c r="C832" s="322">
        <f t="shared" ca="1" si="299"/>
        <v>0</v>
      </c>
      <c r="D832" s="8" t="s">
        <v>41</v>
      </c>
      <c r="E832" s="48" t="s">
        <v>50</v>
      </c>
      <c r="F832" s="657">
        <f t="shared" ca="1" si="300"/>
        <v>0</v>
      </c>
      <c r="G832" s="658">
        <f ca="1">+IFERROR(G$5*GETPIVOTDATA("Unique Billed Hours",'County allocation'!$A$3,"County",$D822,"HHA/CDPAP","HHA","Level of Service",$D832),0)</f>
        <v>0</v>
      </c>
      <c r="H832" s="658">
        <f>+IFERROR(H$5*GETPIVOTDATA("Unique Billed Hours",'County allocation'!$S$3,"County",$D822,"HHA/CDPAP","HHA","Level of Service",$D832),0)</f>
        <v>0</v>
      </c>
      <c r="I832" s="664">
        <f t="shared" ca="1" si="301"/>
        <v>0</v>
      </c>
      <c r="J832" s="658">
        <f ca="1">+IFERROR(J$5*GETPIVOTDATA("Unique Billed Hours",'County allocation'!$S$3,"County",$D822,"HHA/CDPAP","HHA","Level of Service",$D832),0)</f>
        <v>0</v>
      </c>
      <c r="K832" s="658">
        <f ca="1">+IFERROR(K$5*GETPIVOTDATA("Unique Billed Hours",'County allocation'!$X$3,"County",$D822,"HHA/CDPAP","HHA","Level of Service",$D832),0)</f>
        <v>0</v>
      </c>
      <c r="L832" s="658">
        <f ca="1">+IFERROR(L$2*GETPIVOTDATA("Unique Billed Hours",'County allocation'!$O$3,"County",$D822,"HHA/CDPAP","HHA","Level of Service",$D832),0)</f>
        <v>0</v>
      </c>
      <c r="M832" s="658">
        <f>+IFERROR(M$5*GETPIVOTDATA("Unique Billed Hours",'County allocation'!$S$3,"County",$D822,"HHA/CDPAP","HHA","Level of Service",$D832),0)</f>
        <v>0</v>
      </c>
      <c r="N832" s="658">
        <f>+IFERROR(N$5*GETPIVOTDATA("Unique Billed Hours",'County allocation'!$S$3,"County",$D822,"HHA/CDPAP","HHA","Level of Service",$D832),0)</f>
        <v>0</v>
      </c>
      <c r="O832" s="658">
        <f>+IFERROR(O$5*GETPIVOTDATA("Unique Billed Hours",'County allocation'!$K$19,"County",$D822,"HHA/CDPAP","HHA","Level of Service",$D832),0)</f>
        <v>0</v>
      </c>
      <c r="P832" s="658">
        <f>+IFERROR(P$5*GETPIVOTDATA("Unique Billed Hours",'County allocation'!$S$3,"County",$D822,"HHA/CDPAP","HHA","Level of Service",$D832),0)</f>
        <v>0</v>
      </c>
    </row>
    <row r="833" spans="1:18" s="54" customFormat="1" ht="15.75" hidden="1" thickBot="1" x14ac:dyDescent="0.3">
      <c r="A833" s="119"/>
      <c r="B833" s="309"/>
      <c r="C833" s="322">
        <f t="shared" ca="1" si="299"/>
        <v>0</v>
      </c>
      <c r="D833" s="52" t="s">
        <v>389</v>
      </c>
      <c r="E833" s="53" t="s">
        <v>49</v>
      </c>
      <c r="F833" s="657">
        <f t="shared" ca="1" si="300"/>
        <v>0</v>
      </c>
      <c r="G833" s="661">
        <f ca="1">SUM(G825:G832)</f>
        <v>0</v>
      </c>
      <c r="H833" s="661">
        <f>SUM(H825:H832)</f>
        <v>0</v>
      </c>
      <c r="I833" s="664">
        <f t="shared" ca="1" si="301"/>
        <v>0</v>
      </c>
      <c r="J833" s="661">
        <f ca="1">SUM(J825:J832)</f>
        <v>0</v>
      </c>
      <c r="K833" s="661">
        <f t="shared" ref="K833:P833" ca="1" si="302">SUM(K825:K832)</f>
        <v>0</v>
      </c>
      <c r="L833" s="661">
        <f t="shared" ca="1" si="302"/>
        <v>0</v>
      </c>
      <c r="M833" s="661">
        <f t="shared" si="302"/>
        <v>0</v>
      </c>
      <c r="N833" s="661">
        <f t="shared" si="302"/>
        <v>0</v>
      </c>
      <c r="O833" s="661">
        <f t="shared" si="302"/>
        <v>0</v>
      </c>
      <c r="P833" s="661">
        <f t="shared" si="302"/>
        <v>0</v>
      </c>
    </row>
    <row r="834" spans="1:18" s="54" customFormat="1" ht="15.75" hidden="1" thickBot="1" x14ac:dyDescent="0.3">
      <c r="A834" s="119"/>
      <c r="B834" s="309"/>
      <c r="C834" s="322">
        <f t="shared" ca="1" si="299"/>
        <v>0</v>
      </c>
      <c r="D834" s="371" t="s">
        <v>390</v>
      </c>
      <c r="E834" s="325" t="s">
        <v>47</v>
      </c>
      <c r="F834" s="657">
        <f t="shared" ca="1" si="300"/>
        <v>0</v>
      </c>
      <c r="G834" s="665">
        <f ca="1">+IFERROR((G$5*GETPIVOTDATA("Unique Billed Hours",'County allocation'!$A$3,"County",$D822,"HHA/CDPAP","HHA","Level of Service",$D834))+($G$2*GETPIVOTDATA("Unique Billed Hours",'County allocation'!$F$7,"County",$D822,"HHA/CDPAP","HHA","Level of Service",$D834)),0)++IFERROR(J$5*GETPIVOTDATA("Unique Billed Hours",'County allocation'!$AC$3,"County",$D822,"HHA/CDPAP","HHA","Level of Service",$D834),0)+ +IFERROR(J$5*GETPIVOTDATA("Unique Billed Hours",'County allocation'!$AC$3,"County",$D822,"HHA/CDPAP","HHA","Level of Service",$D835),0)</f>
        <v>0</v>
      </c>
      <c r="H834" s="665">
        <f>+IFERROR(H$5*GETPIVOTDATA("Unique Billed Hours",'County allocation'!$S$3,"County",$D822,"HHA/CDPAP","HHA","Level of Service",$D834),0)</f>
        <v>0</v>
      </c>
      <c r="I834" s="664">
        <f t="shared" ca="1" si="301"/>
        <v>0</v>
      </c>
      <c r="J834" s="901"/>
      <c r="K834" s="665">
        <f ca="1">+IFERROR(K$5*GETPIVOTDATA("Unique Billed Hours",'County allocation'!$X$3,"County",$D822,"HHA/CDPAP","HHA","Level of Service",$D834),0)</f>
        <v>0</v>
      </c>
      <c r="L834" s="665">
        <f ca="1">+IFERROR(L$5*GETPIVOTDATA("Unique Billed Hours",'County allocation'!$K$19,"County",$D822,"HHA/CDPAP","HHA","Level of Service",$D834),0)</f>
        <v>0</v>
      </c>
      <c r="M834" s="665">
        <f>+IFERROR(M$5*GETPIVOTDATA("Unique Billed Hours",'County allocation'!$S$3,"County",$D822,"HHA/CDPAP","HHA","Level of Service",$D834),0)</f>
        <v>0</v>
      </c>
      <c r="N834" s="665">
        <f>+IFERROR(N$5*GETPIVOTDATA("Unique Billed Hours",'County allocation'!$S$3,"County",$D822,"HHA/CDPAP","HHA","Level of Service",$D834),0)</f>
        <v>0</v>
      </c>
      <c r="O834" s="665">
        <f>+IFERROR(O$5*GETPIVOTDATA("Unique Billed Hours",'County allocation'!$S$3,"County",$D822,"HHA/CDPAP","HHA","Level of Service",$D834),0)</f>
        <v>0</v>
      </c>
      <c r="P834" s="665">
        <f>+IFERROR(P$5*GETPIVOTDATA("Unique Billed Hours",'County allocation'!$S$3,"County",$D822,"HHA/CDPAP","HHA","Level of Service",$D834),0)</f>
        <v>0</v>
      </c>
    </row>
    <row r="835" spans="1:18" s="54" customFormat="1" ht="15.75" hidden="1" thickBot="1" x14ac:dyDescent="0.3">
      <c r="A835" s="119"/>
      <c r="B835" s="309"/>
      <c r="C835" s="322">
        <f t="shared" ca="1" si="299"/>
        <v>0</v>
      </c>
      <c r="D835" s="8" t="s">
        <v>391</v>
      </c>
      <c r="E835" s="370" t="s">
        <v>77</v>
      </c>
      <c r="F835" s="657">
        <f t="shared" ca="1" si="300"/>
        <v>0</v>
      </c>
      <c r="G835" s="656"/>
      <c r="H835" s="658">
        <f>+IFERROR(H$5*GETPIVOTDATA("Unique Billed Hours",'County allocation'!$S$3,"County",$D822,"HHA/CDPAP","HHA","Level of Service",$D835),0)</f>
        <v>0</v>
      </c>
      <c r="I835" s="664">
        <f t="shared" ca="1" si="301"/>
        <v>0</v>
      </c>
      <c r="J835" s="901"/>
      <c r="K835" s="665">
        <f ca="1">+IFERROR(K$5*GETPIVOTDATA("Unique Billed Hours",'County allocation'!$X$3,"County",$D822,"HHA/CDPAP","HHA","Level of Service",$D835),0)</f>
        <v>0</v>
      </c>
      <c r="L835" s="665">
        <f ca="1">+IFERROR(L$5*GETPIVOTDATA("Unique Billed Hours",'County allocation'!$K$19,"County",$D822,"HHA/CDPAP","HHA","Level of Service",$D835),0)</f>
        <v>0</v>
      </c>
      <c r="M835" s="665">
        <f>+IFERROR(M$5*GETPIVOTDATA("Unique Billed Hours",'County allocation'!$S$3,"County",$D822,"HHA/CDPAP","HHA","Level of Service",$D835),0)</f>
        <v>0</v>
      </c>
      <c r="N835" s="665">
        <f>+IFERROR(N$5*GETPIVOTDATA("Unique Billed Hours",'County allocation'!$S$3,"County",$D822,"HHA/CDPAP","HHA","Level of Service",$D835),0)</f>
        <v>0</v>
      </c>
      <c r="O835" s="665">
        <f>+IFERROR(O$5*GETPIVOTDATA("Unique Billed Hours",'County allocation'!$S$3,"County",$D822,"HHA/CDPAP","HHA","Level of Service",$D835),0)</f>
        <v>0</v>
      </c>
      <c r="P835" s="665">
        <f>+IFERROR(P$5*GETPIVOTDATA("Unique Billed Hours",'County allocation'!$S$3,"County",$D822,"HHA/CDPAP","HHA","Level of Service",$D835),0)</f>
        <v>0</v>
      </c>
    </row>
    <row r="836" spans="1:18" s="54" customFormat="1" ht="15.75" hidden="1" thickBot="1" x14ac:dyDescent="0.3">
      <c r="A836" s="119"/>
      <c r="B836" s="309"/>
      <c r="C836" s="322">
        <f t="shared" ca="1" si="299"/>
        <v>0</v>
      </c>
      <c r="D836" s="8" t="s">
        <v>374</v>
      </c>
      <c r="E836" s="370" t="s">
        <v>78</v>
      </c>
      <c r="F836" s="657">
        <f t="shared" ca="1" si="300"/>
        <v>0</v>
      </c>
      <c r="G836" s="658">
        <f ca="1">+IFERROR(G$5*GETPIVOTDATA("Unique Billed Hours",'County allocation'!$A$3,"County",$D822,"HHA/CDPAP","HHA","Level of Service",$D836),0)++IFERROR(J$5*GETPIVOTDATA("Unique Billed Hours",'County allocation'!$AC$3,"County",$D822,"HHA/CDPAP","HHA","Level of Service",$D836),0)</f>
        <v>0</v>
      </c>
      <c r="H836" s="658">
        <f>+IFERROR(H$5*GETPIVOTDATA("Unique Billed Hours",'County allocation'!$S$3,"County",$D822,"HHA/CDPAP","HHA","Level of Service",$D836),0)</f>
        <v>0</v>
      </c>
      <c r="I836" s="664">
        <f t="shared" ca="1" si="301"/>
        <v>0</v>
      </c>
      <c r="J836" s="901"/>
      <c r="K836" s="665">
        <f ca="1">+IFERROR(K$5*GETPIVOTDATA("Unique Billed Hours",'County allocation'!$X$3,"County",$D822,"HHA/CDPAP","HHA","Level of Service",$D836),0)</f>
        <v>0</v>
      </c>
      <c r="L836" s="665">
        <f ca="1">+IFERROR(L$5*GETPIVOTDATA("Unique Billed Hours",'County allocation'!$K$19,"County",$D822,"HHA/CDPAP","HHA","Level of Service",$D836),0)</f>
        <v>0</v>
      </c>
      <c r="M836" s="665">
        <f>+IFERROR(M$5*GETPIVOTDATA("Unique Billed Hours",'County allocation'!$S$3,"County",$D822,"HHA/CDPAP","HHA","Level of Service",$D836),0)</f>
        <v>0</v>
      </c>
      <c r="N836" s="665">
        <f>+IFERROR(N$5*GETPIVOTDATA("Unique Billed Hours",'County allocation'!$S$3,"County",$D822,"HHA/CDPAP","HHA","Level of Service",$D836),0)</f>
        <v>0</v>
      </c>
      <c r="O836" s="665">
        <f>+IFERROR(O$5*GETPIVOTDATA("Unique Billed Hours",'County allocation'!$S$3,"County",$D822,"HHA/CDPAP","HHA","Level of Service",$D836),0)</f>
        <v>0</v>
      </c>
      <c r="P836" s="665">
        <f>+IFERROR(P$5*GETPIVOTDATA("Unique Billed Hours",'County allocation'!$S$3,"County",$D822,"HHA/CDPAP","HHA","Level of Service",$D836),0)</f>
        <v>0</v>
      </c>
    </row>
    <row r="837" spans="1:18" s="54" customFormat="1" ht="15.75" hidden="1" thickBot="1" x14ac:dyDescent="0.3">
      <c r="A837" s="302"/>
      <c r="B837" s="309"/>
      <c r="C837" s="322">
        <f ca="1">C836</f>
        <v>0</v>
      </c>
      <c r="D837" s="52" t="s">
        <v>48</v>
      </c>
      <c r="E837" s="53" t="s">
        <v>79</v>
      </c>
      <c r="F837" s="657">
        <f t="shared" ca="1" si="300"/>
        <v>0</v>
      </c>
      <c r="G837" s="661">
        <f t="shared" ref="G837" ca="1" si="303">SUM(G833:G836)</f>
        <v>0</v>
      </c>
      <c r="H837" s="661">
        <f t="shared" ref="H837:P837" si="304">SUM(H833:H836)</f>
        <v>0</v>
      </c>
      <c r="I837" s="661">
        <f t="shared" ca="1" si="304"/>
        <v>0</v>
      </c>
      <c r="J837" s="661">
        <f t="shared" ca="1" si="304"/>
        <v>0</v>
      </c>
      <c r="K837" s="661">
        <f t="shared" ca="1" si="304"/>
        <v>0</v>
      </c>
      <c r="L837" s="661">
        <f t="shared" ca="1" si="304"/>
        <v>0</v>
      </c>
      <c r="M837" s="661">
        <f t="shared" si="304"/>
        <v>0</v>
      </c>
      <c r="N837" s="661">
        <f t="shared" si="304"/>
        <v>0</v>
      </c>
      <c r="O837" s="661">
        <f t="shared" si="304"/>
        <v>0</v>
      </c>
      <c r="P837" s="661">
        <f t="shared" si="304"/>
        <v>0</v>
      </c>
    </row>
    <row r="838" spans="1:18" ht="15.75" hidden="1" thickBot="1" x14ac:dyDescent="0.3"/>
    <row r="839" spans="1:18" s="54" customFormat="1" ht="75.75" hidden="1" thickBot="1" x14ac:dyDescent="0.3">
      <c r="A839" s="119"/>
      <c r="B839" s="309"/>
      <c r="C839" s="322">
        <f ca="1">IF(F854&gt;0,1,0)</f>
        <v>0</v>
      </c>
      <c r="D839" s="45" t="str">
        <f>A52</f>
        <v>Schuyler</v>
      </c>
      <c r="E839" s="28">
        <f>+SUMIF(A:A,D839,B:B)</f>
        <v>0</v>
      </c>
      <c r="F839" s="652" t="s">
        <v>61</v>
      </c>
      <c r="G839" s="652" t="s">
        <v>387</v>
      </c>
      <c r="H839" s="652" t="s">
        <v>388</v>
      </c>
      <c r="I839" s="652" t="s">
        <v>392</v>
      </c>
      <c r="J839" s="652" t="s">
        <v>31</v>
      </c>
      <c r="K839" s="652" t="s">
        <v>32</v>
      </c>
      <c r="L839" s="653" t="s">
        <v>33</v>
      </c>
      <c r="M839" s="653" t="s">
        <v>60</v>
      </c>
      <c r="N839" s="653" t="s">
        <v>59</v>
      </c>
      <c r="O839" s="653" t="s">
        <v>58</v>
      </c>
      <c r="P839" s="653" t="s">
        <v>16</v>
      </c>
    </row>
    <row r="840" spans="1:18" s="54" customFormat="1" ht="15.75" hidden="1" thickBot="1" x14ac:dyDescent="0.3">
      <c r="A840" s="119"/>
      <c r="B840" s="309"/>
      <c r="C840" s="322">
        <f ca="1">C839</f>
        <v>0</v>
      </c>
      <c r="D840" s="56"/>
      <c r="E840" s="57"/>
      <c r="F840" s="654" t="s">
        <v>57</v>
      </c>
      <c r="G840" s="654" t="s">
        <v>56</v>
      </c>
      <c r="H840" s="654" t="s">
        <v>55</v>
      </c>
      <c r="I840" s="654" t="s">
        <v>54</v>
      </c>
      <c r="J840" s="654" t="s">
        <v>53</v>
      </c>
      <c r="K840" s="654" t="s">
        <v>52</v>
      </c>
      <c r="L840" s="654" t="s">
        <v>51</v>
      </c>
      <c r="M840" s="654" t="s">
        <v>50</v>
      </c>
      <c r="N840" s="654" t="s">
        <v>49</v>
      </c>
      <c r="O840" s="654" t="s">
        <v>47</v>
      </c>
      <c r="P840" s="655" t="s">
        <v>77</v>
      </c>
    </row>
    <row r="841" spans="1:18" s="54" customFormat="1" ht="15.75" hidden="1" thickBot="1" x14ac:dyDescent="0.3">
      <c r="A841" s="119"/>
      <c r="B841" s="309"/>
      <c r="C841" s="322">
        <f t="shared" ref="C841:C853" ca="1" si="305">C840</f>
        <v>0</v>
      </c>
      <c r="D841" s="59" t="s">
        <v>26</v>
      </c>
      <c r="E841" s="57"/>
      <c r="F841" s="656"/>
      <c r="G841" s="656"/>
      <c r="H841" s="656"/>
      <c r="I841" s="656"/>
      <c r="J841" s="656"/>
      <c r="K841" s="656"/>
      <c r="L841" s="656"/>
      <c r="M841" s="656"/>
      <c r="N841" s="656"/>
      <c r="O841" s="656"/>
      <c r="P841" s="663"/>
    </row>
    <row r="842" spans="1:18" s="54" customFormat="1" ht="15.75" hidden="1" thickBot="1" x14ac:dyDescent="0.3">
      <c r="A842" s="119"/>
      <c r="B842" s="309"/>
      <c r="C842" s="322">
        <f t="shared" ca="1" si="305"/>
        <v>0</v>
      </c>
      <c r="D842" s="7" t="s">
        <v>34</v>
      </c>
      <c r="E842" s="48" t="s">
        <v>57</v>
      </c>
      <c r="F842" s="657">
        <f ca="1">+H842+G842+I842</f>
        <v>0</v>
      </c>
      <c r="G842" s="658">
        <f ca="1">+IFERROR(G$5*GETPIVOTDATA("Unique Billed Hours",'County allocation'!$A$3,"County",$D839,"HHA/CDPAP","HHA","Level of Service",$D842),0)</f>
        <v>0</v>
      </c>
      <c r="H842" s="658">
        <f>+IFERROR(H$5*GETPIVOTDATA("Unique Billed Hours",'County allocation'!$S$3,"County",$D839,"HHA/CDPAP","HHA","Level of Service",$D842),0)</f>
        <v>0</v>
      </c>
      <c r="I842" s="664">
        <f ca="1">SUM(J842:P842)</f>
        <v>0</v>
      </c>
      <c r="J842" s="658">
        <f ca="1">+IFERROR(J$5*GETPIVOTDATA("Unique Billed Hours",'County allocation'!$S$3,"County",$D839,"HHA/CDPAP","HHA","Level of Service",$D842),0)</f>
        <v>0</v>
      </c>
      <c r="K842" s="658">
        <f ca="1">+IFERROR(K$5*GETPIVOTDATA("Unique Billed Hours",'County allocation'!$X$3,"County",$D839,"HHA/CDPAP","HHA","Level of Service",$D842),0)</f>
        <v>0</v>
      </c>
      <c r="L842" s="658">
        <f ca="1">+IFERROR(L$2*GETPIVOTDATA("Unique Billed Hours",'County allocation'!$O$3,"County",$D839,"HHA/CDPAP","HHA","Level of Service",$D842),0)</f>
        <v>0</v>
      </c>
      <c r="M842" s="658">
        <f>+IFERROR(M$5*GETPIVOTDATA("Unique Billed Hours",'County allocation'!$S$3,"County",$D839,"HHA/CDPAP","HHA","Level of Service",$D842),0)</f>
        <v>0</v>
      </c>
      <c r="N842" s="658">
        <f>+IFERROR(N$5*GETPIVOTDATA("Unique Billed Hours",'County allocation'!$S$3,"County",$D839,"HHA/CDPAP","HHA","Level of Service",$D842),0)</f>
        <v>0</v>
      </c>
      <c r="O842" s="658">
        <f>+IFERROR(O$5*GETPIVOTDATA("Unique Billed Hours",'County allocation'!$K$19,"County",$D839,"HHA/CDPAP","HHA","Level of Service",$D842),0)</f>
        <v>0</v>
      </c>
      <c r="P842" s="658">
        <f>+IFERROR(P$5*GETPIVOTDATA("Unique Billed Hours",'County allocation'!$S$3,"County",$D839,"HHA/CDPAP","HHA","Level of Service",$D842),0)</f>
        <v>0</v>
      </c>
    </row>
    <row r="843" spans="1:18" s="54" customFormat="1" ht="15.75" hidden="1" thickBot="1" x14ac:dyDescent="0.3">
      <c r="A843" s="119"/>
      <c r="B843" s="309"/>
      <c r="C843" s="322">
        <f t="shared" ca="1" si="305"/>
        <v>0</v>
      </c>
      <c r="D843" s="7" t="s">
        <v>35</v>
      </c>
      <c r="E843" s="48" t="s">
        <v>56</v>
      </c>
      <c r="F843" s="657">
        <f t="shared" ref="F843:F854" ca="1" si="306">+H843+G843+I843</f>
        <v>0</v>
      </c>
      <c r="G843" s="658">
        <f ca="1">+IFERROR(G$5*GETPIVOTDATA("Unique Billed Hours",'County allocation'!$A$3,"County",$D839,"HHA/CDPAP","HHA","Level of Service",$D843),0)</f>
        <v>0</v>
      </c>
      <c r="H843" s="658">
        <f>+IFERROR(H$5*GETPIVOTDATA("Unique Billed Hours",'County allocation'!$S$3,"County",$D839,"HHA/CDPAP","HHA","Level of Service",$D843),0)</f>
        <v>0</v>
      </c>
      <c r="I843" s="664">
        <f t="shared" ref="I843:I853" ca="1" si="307">SUM(J843:P843)</f>
        <v>0</v>
      </c>
      <c r="J843" s="658">
        <f ca="1">+IFERROR(J$5*GETPIVOTDATA("Unique Billed Hours",'County allocation'!$S$3,"County",$D839,"HHA/CDPAP","HHA","Level of Service",$D843),0)</f>
        <v>0</v>
      </c>
      <c r="K843" s="658">
        <f ca="1">+IFERROR(K$5*GETPIVOTDATA("Unique Billed Hours",'County allocation'!$X$3,"County",$D839,"HHA/CDPAP","HHA","Level of Service",$D843),0)</f>
        <v>0</v>
      </c>
      <c r="L843" s="658">
        <f ca="1">+IFERROR(L$2*GETPIVOTDATA("Unique Billed Hours",'County allocation'!$O$3,"County",$D839,"HHA/CDPAP","HHA","Level of Service",$D843),0)</f>
        <v>0</v>
      </c>
      <c r="M843" s="658">
        <f>+IFERROR(M$5*GETPIVOTDATA("Unique Billed Hours",'County allocation'!$S$3,"County",$D839,"HHA/CDPAP","HHA","Level of Service",$D843),0)</f>
        <v>0</v>
      </c>
      <c r="N843" s="658">
        <f>+IFERROR(N$5*GETPIVOTDATA("Unique Billed Hours",'County allocation'!$S$3,"County",$D839,"HHA/CDPAP","HHA","Level of Service",$D843),0)</f>
        <v>0</v>
      </c>
      <c r="O843" s="658">
        <f>+IFERROR(O$5*GETPIVOTDATA("Unique Billed Hours",'County allocation'!$K$19,"County",$D839,"HHA/CDPAP","HHA","Level of Service",$D843),0)</f>
        <v>0</v>
      </c>
      <c r="P843" s="658">
        <f>+IFERROR(P$5*GETPIVOTDATA("Unique Billed Hours",'County allocation'!$S$3,"County",$D839,"HHA/CDPAP","HHA","Level of Service",$D843),0)</f>
        <v>0</v>
      </c>
      <c r="R843" s="61"/>
    </row>
    <row r="844" spans="1:18" s="54" customFormat="1" ht="15.75" hidden="1" thickBot="1" x14ac:dyDescent="0.3">
      <c r="A844" s="302"/>
      <c r="B844" s="309"/>
      <c r="C844" s="322">
        <f t="shared" ca="1" si="305"/>
        <v>0</v>
      </c>
      <c r="D844" s="7" t="s">
        <v>36</v>
      </c>
      <c r="E844" s="48" t="s">
        <v>55</v>
      </c>
      <c r="F844" s="657">
        <f t="shared" ca="1" si="306"/>
        <v>0</v>
      </c>
      <c r="G844" s="658">
        <f ca="1">+IFERROR(G$5*GETPIVOTDATA("Unique Billed Hours",'County allocation'!$A$3,"County",$D839,"HHA/CDPAP","HHA","Level of Service",$D844),0)</f>
        <v>0</v>
      </c>
      <c r="H844" s="658">
        <f>+IFERROR(H$5*GETPIVOTDATA("Unique Billed Hours",'County allocation'!$S$3,"County",$D839,"HHA/CDPAP","HHA","Level of Service",$D844),0)</f>
        <v>0</v>
      </c>
      <c r="I844" s="664">
        <f t="shared" ca="1" si="307"/>
        <v>0</v>
      </c>
      <c r="J844" s="658">
        <f ca="1">+IFERROR(J$5*GETPIVOTDATA("Unique Billed Hours",'County allocation'!$S$3,"County",$D839,"HHA/CDPAP","HHA","Level of Service",$D844),0)</f>
        <v>0</v>
      </c>
      <c r="K844" s="658">
        <f ca="1">+IFERROR(K$5*GETPIVOTDATA("Unique Billed Hours",'County allocation'!$X$3,"County",$D839,"HHA/CDPAP","HHA","Level of Service",$D844),0)</f>
        <v>0</v>
      </c>
      <c r="L844" s="658">
        <f ca="1">+IFERROR(L$2*GETPIVOTDATA("Unique Billed Hours",'County allocation'!$O$3,"County",$D839,"HHA/CDPAP","HHA","Level of Service",$D844),0)</f>
        <v>0</v>
      </c>
      <c r="M844" s="658">
        <f>+IFERROR(M$5*GETPIVOTDATA("Unique Billed Hours",'County allocation'!$S$3,"County",$D839,"HHA/CDPAP","HHA","Level of Service",$D844),0)</f>
        <v>0</v>
      </c>
      <c r="N844" s="658">
        <f>+IFERROR(N$5*GETPIVOTDATA("Unique Billed Hours",'County allocation'!$S$3,"County",$D839,"HHA/CDPAP","HHA","Level of Service",$D844),0)</f>
        <v>0</v>
      </c>
      <c r="O844" s="658">
        <f>+IFERROR(O$5*GETPIVOTDATA("Unique Billed Hours",'County allocation'!$K$19,"County",$D839,"HHA/CDPAP","HHA","Level of Service",$D844),0)</f>
        <v>0</v>
      </c>
      <c r="P844" s="658">
        <f>+IFERROR(P$5*GETPIVOTDATA("Unique Billed Hours",'County allocation'!$S$3,"County",$D839,"HHA/CDPAP","HHA","Level of Service",$D844),0)</f>
        <v>0</v>
      </c>
    </row>
    <row r="845" spans="1:18" s="54" customFormat="1" ht="15.75" hidden="1" thickBot="1" x14ac:dyDescent="0.3">
      <c r="A845" s="119"/>
      <c r="B845" s="309"/>
      <c r="C845" s="322">
        <f t="shared" ca="1" si="305"/>
        <v>0</v>
      </c>
      <c r="D845" s="7" t="s">
        <v>37</v>
      </c>
      <c r="E845" s="48" t="s">
        <v>54</v>
      </c>
      <c r="F845" s="657">
        <f t="shared" ca="1" si="306"/>
        <v>0</v>
      </c>
      <c r="G845" s="658">
        <f ca="1">+IFERROR(G$5*GETPIVOTDATA("Unique Billed Hours",'County allocation'!$A$3,"County",$D839,"HHA/CDPAP","HHA","Level of Service",$D845),0)</f>
        <v>0</v>
      </c>
      <c r="H845" s="658">
        <f>+IFERROR(H$5*GETPIVOTDATA("Unique Billed Hours",'County allocation'!$S$3,"County",$D839,"HHA/CDPAP","HHA","Level of Service",$D845),0)</f>
        <v>0</v>
      </c>
      <c r="I845" s="664">
        <f t="shared" ca="1" si="307"/>
        <v>0</v>
      </c>
      <c r="J845" s="658">
        <f ca="1">+IFERROR(J$5*GETPIVOTDATA("Unique Billed Hours",'County allocation'!$S$3,"County",$D839,"HHA/CDPAP","HHA","Level of Service",$D845),0)</f>
        <v>0</v>
      </c>
      <c r="K845" s="658">
        <f ca="1">+IFERROR(K$5*GETPIVOTDATA("Unique Billed Hours",'County allocation'!$X$3,"County",$D839,"HHA/CDPAP","HHA","Level of Service",$D845),0)</f>
        <v>0</v>
      </c>
      <c r="L845" s="658">
        <f ca="1">+IFERROR(L$2*GETPIVOTDATA("Unique Billed Hours",'County allocation'!$O$3,"County",$D839,"HHA/CDPAP","HHA","Level of Service",$D845),0)</f>
        <v>0</v>
      </c>
      <c r="M845" s="658">
        <f>+IFERROR(M$5*GETPIVOTDATA("Unique Billed Hours",'County allocation'!$S$3,"County",$D839,"HHA/CDPAP","HHA","Level of Service",$D845),0)</f>
        <v>0</v>
      </c>
      <c r="N845" s="658">
        <f>+IFERROR(N$5*GETPIVOTDATA("Unique Billed Hours",'County allocation'!$S$3,"County",$D839,"HHA/CDPAP","HHA","Level of Service",$D845),0)</f>
        <v>0</v>
      </c>
      <c r="O845" s="658">
        <f>+IFERROR(O$5*GETPIVOTDATA("Unique Billed Hours",'County allocation'!$K$19,"County",$D839,"HHA/CDPAP","HHA","Level of Service",$D845),0)</f>
        <v>0</v>
      </c>
      <c r="P845" s="658">
        <f>+IFERROR(P$5*GETPIVOTDATA("Unique Billed Hours",'County allocation'!$S$3,"County",$D839,"HHA/CDPAP","HHA","Level of Service",$D845),0)</f>
        <v>0</v>
      </c>
    </row>
    <row r="846" spans="1:18" s="54" customFormat="1" ht="15.75" hidden="1" thickBot="1" x14ac:dyDescent="0.3">
      <c r="A846" s="119"/>
      <c r="B846" s="309"/>
      <c r="C846" s="322">
        <f t="shared" ca="1" si="305"/>
        <v>0</v>
      </c>
      <c r="D846" s="7" t="s">
        <v>38</v>
      </c>
      <c r="E846" s="48" t="s">
        <v>53</v>
      </c>
      <c r="F846" s="657">
        <f t="shared" ca="1" si="306"/>
        <v>0</v>
      </c>
      <c r="G846" s="658">
        <f ca="1">+IFERROR(G$5*GETPIVOTDATA("Unique Billed Hours",'County allocation'!$A$3,"County",$D839,"HHA/CDPAP","HHA","Level of Service",$D846),0)</f>
        <v>0</v>
      </c>
      <c r="H846" s="658">
        <f>+IFERROR(H$5*GETPIVOTDATA("Unique Billed Hours",'County allocation'!$S$3,"County",$D839,"HHA/CDPAP","HHA","Level of Service",$D846),0)</f>
        <v>0</v>
      </c>
      <c r="I846" s="664">
        <f t="shared" ca="1" si="307"/>
        <v>0</v>
      </c>
      <c r="J846" s="658">
        <f ca="1">+IFERROR(J$5*GETPIVOTDATA("Unique Billed Hours",'County allocation'!$S$3,"County",$D839,"HHA/CDPAP","HHA","Level of Service",$D846),0)</f>
        <v>0</v>
      </c>
      <c r="K846" s="658">
        <f ca="1">+IFERROR(K$5*GETPIVOTDATA("Unique Billed Hours",'County allocation'!$X$3,"County",$D839,"HHA/CDPAP","HHA","Level of Service",$D846),0)</f>
        <v>0</v>
      </c>
      <c r="L846" s="658">
        <f ca="1">+IFERROR(L$5*GETPIVOTDATA("Unique Billed Hours",'County allocation'!$K$19,"County",$D839,"HHA/CDPAP","HHA","Level of Service",$D846),0)</f>
        <v>0</v>
      </c>
      <c r="M846" s="658">
        <f>+IFERROR(M$5*GETPIVOTDATA("Unique Billed Hours",'County allocation'!$S$3,"County",$D839,"HHA/CDPAP","HHA","Level of Service",$D846),0)</f>
        <v>0</v>
      </c>
      <c r="N846" s="658">
        <f>+IFERROR(N$5*GETPIVOTDATA("Unique Billed Hours",'County allocation'!$S$3,"County",$D839,"HHA/CDPAP","HHA","Level of Service",$D846),0)</f>
        <v>0</v>
      </c>
      <c r="O846" s="658">
        <f>+IFERROR(O$5*GETPIVOTDATA("Unique Billed Hours",'County allocation'!$K$19,"County",$D839,"HHA/CDPAP","HHA","Level of Service",$D846),0)</f>
        <v>0</v>
      </c>
      <c r="P846" s="658">
        <f>+IFERROR(P$5*GETPIVOTDATA("Unique Billed Hours",'County allocation'!$S$3,"County",$D839,"HHA/CDPAP","HHA","Level of Service",$D846),0)</f>
        <v>0</v>
      </c>
    </row>
    <row r="847" spans="1:18" s="54" customFormat="1" ht="15.75" hidden="1" thickBot="1" x14ac:dyDescent="0.3">
      <c r="A847" s="119"/>
      <c r="B847" s="309"/>
      <c r="C847" s="322">
        <f t="shared" ca="1" si="305"/>
        <v>0</v>
      </c>
      <c r="D847" s="7" t="s">
        <v>39</v>
      </c>
      <c r="E847" s="48" t="s">
        <v>52</v>
      </c>
      <c r="F847" s="657">
        <f t="shared" ca="1" si="306"/>
        <v>0</v>
      </c>
      <c r="G847" s="658">
        <f ca="1">+IFERROR(G$5*GETPIVOTDATA("Unique Billed Hours",'County allocation'!$A$3,"County",$D839,"HHA/CDPAP","HHA","Level of Service",$D847),0)</f>
        <v>0</v>
      </c>
      <c r="H847" s="658">
        <f>+IFERROR(H$5*GETPIVOTDATA("Unique Billed Hours",'County allocation'!$S$3,"County",$D839,"HHA/CDPAP","HHA","Level of Service",$D847),0)</f>
        <v>0</v>
      </c>
      <c r="I847" s="664">
        <f t="shared" ca="1" si="307"/>
        <v>0</v>
      </c>
      <c r="J847" s="658">
        <f ca="1">+IFERROR(J$5*GETPIVOTDATA("Unique Billed Hours",'County allocation'!$S$3,"County",$D839,"HHA/CDPAP","HHA","Level of Service",$D847),0)</f>
        <v>0</v>
      </c>
      <c r="K847" s="658">
        <f ca="1">+IFERROR(K$5*GETPIVOTDATA("Unique Billed Hours",'County allocation'!$X$3,"County",$D839,"HHA/CDPAP","HHA","Level of Service",$D847),0)</f>
        <v>0</v>
      </c>
      <c r="L847" s="658">
        <f ca="1">+IFERROR(L$5*GETPIVOTDATA("Unique Billed Hours",'County allocation'!$K$19,"County",$D839,"HHA/CDPAP","HHA","Level of Service",$D847),0)</f>
        <v>0</v>
      </c>
      <c r="M847" s="658">
        <f>+IFERROR(M$5*GETPIVOTDATA("Unique Billed Hours",'County allocation'!$S$3,"County",$D839,"HHA/CDPAP","HHA","Level of Service",$D847),0)</f>
        <v>0</v>
      </c>
      <c r="N847" s="658">
        <f>+IFERROR(N$5*GETPIVOTDATA("Unique Billed Hours",'County allocation'!$S$3,"County",$D839,"HHA/CDPAP","HHA","Level of Service",$D847),0)</f>
        <v>0</v>
      </c>
      <c r="O847" s="658">
        <f>+IFERROR(O$5*GETPIVOTDATA("Unique Billed Hours",'County allocation'!$K$19,"County",$D839,"HHA/CDPAP","HHA","Level of Service",$D847),0)</f>
        <v>0</v>
      </c>
      <c r="P847" s="658">
        <f>+IFERROR(P$5*GETPIVOTDATA("Unique Billed Hours",'County allocation'!$S$3,"County",$D839,"HHA/CDPAP","HHA","Level of Service",$D847),0)</f>
        <v>0</v>
      </c>
    </row>
    <row r="848" spans="1:18" s="54" customFormat="1" ht="15.75" hidden="1" thickBot="1" x14ac:dyDescent="0.3">
      <c r="A848" s="119"/>
      <c r="B848" s="309"/>
      <c r="C848" s="322">
        <f t="shared" ca="1" si="305"/>
        <v>0</v>
      </c>
      <c r="D848" s="8" t="s">
        <v>40</v>
      </c>
      <c r="E848" s="48" t="s">
        <v>51</v>
      </c>
      <c r="F848" s="657">
        <f t="shared" ca="1" si="306"/>
        <v>0</v>
      </c>
      <c r="G848" s="658">
        <f ca="1">+IFERROR(G$5*GETPIVOTDATA("Unique Billed Hours",'County allocation'!$A$3,"County",$D839,"HHA/CDPAP","HHA","Level of Service",$D848),0)</f>
        <v>0</v>
      </c>
      <c r="H848" s="658">
        <f>+IFERROR(H$5*GETPIVOTDATA("Unique Billed Hours",'County allocation'!$S$3,"County",$D839,"HHA/CDPAP","HHA","Level of Service",$D848),0)</f>
        <v>0</v>
      </c>
      <c r="I848" s="664">
        <f t="shared" ca="1" si="307"/>
        <v>0</v>
      </c>
      <c r="J848" s="658">
        <f ca="1">+IFERROR(J$5*GETPIVOTDATA("Unique Billed Hours",'County allocation'!$S$3,"County",$D839,"HHA/CDPAP","HHA","Level of Service",$D848),0)</f>
        <v>0</v>
      </c>
      <c r="K848" s="658">
        <f ca="1">+IFERROR(K$5*GETPIVOTDATA("Unique Billed Hours",'County allocation'!$X$3,"County",$D839,"HHA/CDPAP","HHA","Level of Service",$D848),0)</f>
        <v>0</v>
      </c>
      <c r="L848" s="658">
        <f ca="1">+IFERROR(L$2*GETPIVOTDATA("Unique Billed Hours",'County allocation'!$O$3,"County",$D839,"HHA/CDPAP","HHA","Level of Service",$D848),0)</f>
        <v>0</v>
      </c>
      <c r="M848" s="658">
        <f>+IFERROR(M$5*GETPIVOTDATA("Unique Billed Hours",'County allocation'!$S$3,"County",$D839,"HHA/CDPAP","HHA","Level of Service",$D848),0)</f>
        <v>0</v>
      </c>
      <c r="N848" s="658">
        <f>+IFERROR(N$5*GETPIVOTDATA("Unique Billed Hours",'County allocation'!$S$3,"County",$D839,"HHA/CDPAP","HHA","Level of Service",$D848),0)</f>
        <v>0</v>
      </c>
      <c r="O848" s="658">
        <f>+IFERROR(O$5*GETPIVOTDATA("Unique Billed Hours",'County allocation'!$K$19,"County",$D839,"HHA/CDPAP","HHA","Level of Service",$D848),0)</f>
        <v>0</v>
      </c>
      <c r="P848" s="658">
        <f>+IFERROR(P$5*GETPIVOTDATA("Unique Billed Hours",'County allocation'!$S$3,"County",$D839,"HHA/CDPAP","HHA","Level of Service",$D848),0)</f>
        <v>0</v>
      </c>
    </row>
    <row r="849" spans="1:18" s="54" customFormat="1" ht="15.75" hidden="1" thickBot="1" x14ac:dyDescent="0.3">
      <c r="A849" s="119"/>
      <c r="B849" s="309"/>
      <c r="C849" s="322">
        <f t="shared" ca="1" si="305"/>
        <v>0</v>
      </c>
      <c r="D849" s="8" t="s">
        <v>41</v>
      </c>
      <c r="E849" s="48" t="s">
        <v>50</v>
      </c>
      <c r="F849" s="657">
        <f t="shared" ca="1" si="306"/>
        <v>0</v>
      </c>
      <c r="G849" s="658">
        <f ca="1">+IFERROR(G$5*GETPIVOTDATA("Unique Billed Hours",'County allocation'!$A$3,"County",$D839,"HHA/CDPAP","HHA","Level of Service",$D849),0)</f>
        <v>0</v>
      </c>
      <c r="H849" s="658">
        <f>+IFERROR(H$5*GETPIVOTDATA("Unique Billed Hours",'County allocation'!$S$3,"County",$D839,"HHA/CDPAP","HHA","Level of Service",$D849),0)</f>
        <v>0</v>
      </c>
      <c r="I849" s="664">
        <f t="shared" ca="1" si="307"/>
        <v>0</v>
      </c>
      <c r="J849" s="658">
        <f ca="1">+IFERROR(J$5*GETPIVOTDATA("Unique Billed Hours",'County allocation'!$S$3,"County",$D839,"HHA/CDPAP","HHA","Level of Service",$D849),0)</f>
        <v>0</v>
      </c>
      <c r="K849" s="658">
        <f ca="1">+IFERROR(K$5*GETPIVOTDATA("Unique Billed Hours",'County allocation'!$X$3,"County",$D839,"HHA/CDPAP","HHA","Level of Service",$D849),0)</f>
        <v>0</v>
      </c>
      <c r="L849" s="658">
        <f ca="1">+IFERROR(L$2*GETPIVOTDATA("Unique Billed Hours",'County allocation'!$O$3,"County",$D839,"HHA/CDPAP","HHA","Level of Service",$D849),0)</f>
        <v>0</v>
      </c>
      <c r="M849" s="658">
        <f>+IFERROR(M$5*GETPIVOTDATA("Unique Billed Hours",'County allocation'!$S$3,"County",$D839,"HHA/CDPAP","HHA","Level of Service",$D849),0)</f>
        <v>0</v>
      </c>
      <c r="N849" s="658">
        <f>+IFERROR(N$5*GETPIVOTDATA("Unique Billed Hours",'County allocation'!$S$3,"County",$D839,"HHA/CDPAP","HHA","Level of Service",$D849),0)</f>
        <v>0</v>
      </c>
      <c r="O849" s="658">
        <f>+IFERROR(O$5*GETPIVOTDATA("Unique Billed Hours",'County allocation'!$K$19,"County",$D839,"HHA/CDPAP","HHA","Level of Service",$D849),0)</f>
        <v>0</v>
      </c>
      <c r="P849" s="658">
        <f>+IFERROR(P$5*GETPIVOTDATA("Unique Billed Hours",'County allocation'!$S$3,"County",$D839,"HHA/CDPAP","HHA","Level of Service",$D849),0)</f>
        <v>0</v>
      </c>
    </row>
    <row r="850" spans="1:18" s="54" customFormat="1" ht="15.75" hidden="1" thickBot="1" x14ac:dyDescent="0.3">
      <c r="A850" s="119"/>
      <c r="B850" s="309"/>
      <c r="C850" s="322">
        <f t="shared" ca="1" si="305"/>
        <v>0</v>
      </c>
      <c r="D850" s="52" t="s">
        <v>389</v>
      </c>
      <c r="E850" s="53" t="s">
        <v>49</v>
      </c>
      <c r="F850" s="657">
        <f t="shared" ca="1" si="306"/>
        <v>0</v>
      </c>
      <c r="G850" s="661">
        <f ca="1">SUM(G842:G849)</f>
        <v>0</v>
      </c>
      <c r="H850" s="661">
        <f>SUM(H842:H849)</f>
        <v>0</v>
      </c>
      <c r="I850" s="664">
        <f t="shared" ca="1" si="307"/>
        <v>0</v>
      </c>
      <c r="J850" s="661">
        <f ca="1">SUM(J842:J849)</f>
        <v>0</v>
      </c>
      <c r="K850" s="661">
        <f t="shared" ref="K850:P850" ca="1" si="308">SUM(K842:K849)</f>
        <v>0</v>
      </c>
      <c r="L850" s="661">
        <f t="shared" ca="1" si="308"/>
        <v>0</v>
      </c>
      <c r="M850" s="661">
        <f t="shared" si="308"/>
        <v>0</v>
      </c>
      <c r="N850" s="661">
        <f t="shared" si="308"/>
        <v>0</v>
      </c>
      <c r="O850" s="661">
        <f t="shared" si="308"/>
        <v>0</v>
      </c>
      <c r="P850" s="661">
        <f t="shared" si="308"/>
        <v>0</v>
      </c>
    </row>
    <row r="851" spans="1:18" s="54" customFormat="1" ht="15.75" hidden="1" thickBot="1" x14ac:dyDescent="0.3">
      <c r="A851" s="119"/>
      <c r="B851" s="309"/>
      <c r="C851" s="322">
        <f t="shared" ca="1" si="305"/>
        <v>0</v>
      </c>
      <c r="D851" s="371" t="s">
        <v>390</v>
      </c>
      <c r="E851" s="325" t="s">
        <v>47</v>
      </c>
      <c r="F851" s="657">
        <f t="shared" ca="1" si="306"/>
        <v>0</v>
      </c>
      <c r="G851" s="665">
        <f ca="1">+IFERROR((G$5*GETPIVOTDATA("Unique Billed Hours",'County allocation'!$A$3,"County",$D839,"HHA/CDPAP","HHA","Level of Service",$D851))+($G$2*GETPIVOTDATA("Unique Billed Hours",'County allocation'!$F$7,"County",$D839,"HHA/CDPAP","HHA","Level of Service",$D851)),0)++IFERROR(J$5*GETPIVOTDATA("Unique Billed Hours",'County allocation'!$AC$3,"County",$D839,"HHA/CDPAP","HHA","Level of Service",$D851),0)+ +IFERROR(J$5*GETPIVOTDATA("Unique Billed Hours",'County allocation'!$AC$3,"County",$D839,"HHA/CDPAP","HHA","Level of Service",$D852),0)</f>
        <v>0</v>
      </c>
      <c r="H851" s="665">
        <f>+IFERROR(H$5*GETPIVOTDATA("Unique Billed Hours",'County allocation'!$S$3,"County",$D839,"HHA/CDPAP","HHA","Level of Service",$D851),0)</f>
        <v>0</v>
      </c>
      <c r="I851" s="664">
        <f t="shared" ca="1" si="307"/>
        <v>0</v>
      </c>
      <c r="J851" s="901"/>
      <c r="K851" s="665">
        <f ca="1">+IFERROR(K$5*GETPIVOTDATA("Unique Billed Hours",'County allocation'!$X$3,"County",$D839,"HHA/CDPAP","HHA","Level of Service",$D851),0)</f>
        <v>0</v>
      </c>
      <c r="L851" s="665">
        <f ca="1">+IFERROR(L$5*GETPIVOTDATA("Unique Billed Hours",'County allocation'!$K$19,"County",$D839,"HHA/CDPAP","HHA","Level of Service",$D851),0)</f>
        <v>0</v>
      </c>
      <c r="M851" s="665">
        <f>+IFERROR(M$5*GETPIVOTDATA("Unique Billed Hours",'County allocation'!$S$3,"County",$D839,"HHA/CDPAP","HHA","Level of Service",$D851),0)</f>
        <v>0</v>
      </c>
      <c r="N851" s="665">
        <f>+IFERROR(N$5*GETPIVOTDATA("Unique Billed Hours",'County allocation'!$S$3,"County",$D839,"HHA/CDPAP","HHA","Level of Service",$D851),0)</f>
        <v>0</v>
      </c>
      <c r="O851" s="665">
        <f>+IFERROR(O$5*GETPIVOTDATA("Unique Billed Hours",'County allocation'!$S$3,"County",$D839,"HHA/CDPAP","HHA","Level of Service",$D851),0)</f>
        <v>0</v>
      </c>
      <c r="P851" s="665">
        <f>+IFERROR(P$5*GETPIVOTDATA("Unique Billed Hours",'County allocation'!$S$3,"County",$D839,"HHA/CDPAP","HHA","Level of Service",$D851),0)</f>
        <v>0</v>
      </c>
    </row>
    <row r="852" spans="1:18" s="54" customFormat="1" ht="15.75" hidden="1" thickBot="1" x14ac:dyDescent="0.3">
      <c r="A852" s="119"/>
      <c r="B852" s="309"/>
      <c r="C852" s="322">
        <f t="shared" ca="1" si="305"/>
        <v>0</v>
      </c>
      <c r="D852" s="8" t="s">
        <v>391</v>
      </c>
      <c r="E852" s="370" t="s">
        <v>77</v>
      </c>
      <c r="F852" s="657">
        <f t="shared" ca="1" si="306"/>
        <v>0</v>
      </c>
      <c r="G852" s="656"/>
      <c r="H852" s="658">
        <f>+IFERROR(H$5*GETPIVOTDATA("Unique Billed Hours",'County allocation'!$S$3,"County",$D839,"HHA/CDPAP","HHA","Level of Service",$D852),0)</f>
        <v>0</v>
      </c>
      <c r="I852" s="664">
        <f t="shared" ca="1" si="307"/>
        <v>0</v>
      </c>
      <c r="J852" s="901"/>
      <c r="K852" s="665">
        <f ca="1">+IFERROR(K$5*GETPIVOTDATA("Unique Billed Hours",'County allocation'!$X$3,"County",$D839,"HHA/CDPAP","HHA","Level of Service",$D852),0)</f>
        <v>0</v>
      </c>
      <c r="L852" s="665">
        <f ca="1">+IFERROR(L$5*GETPIVOTDATA("Unique Billed Hours",'County allocation'!$K$19,"County",$D839,"HHA/CDPAP","HHA","Level of Service",$D852),0)</f>
        <v>0</v>
      </c>
      <c r="M852" s="665">
        <f>+IFERROR(M$5*GETPIVOTDATA("Unique Billed Hours",'County allocation'!$S$3,"County",$D839,"HHA/CDPAP","HHA","Level of Service",$D852),0)</f>
        <v>0</v>
      </c>
      <c r="N852" s="665">
        <f>+IFERROR(N$5*GETPIVOTDATA("Unique Billed Hours",'County allocation'!$S$3,"County",$D839,"HHA/CDPAP","HHA","Level of Service",$D852),0)</f>
        <v>0</v>
      </c>
      <c r="O852" s="665">
        <f>+IFERROR(O$5*GETPIVOTDATA("Unique Billed Hours",'County allocation'!$S$3,"County",$D839,"HHA/CDPAP","HHA","Level of Service",$D852),0)</f>
        <v>0</v>
      </c>
      <c r="P852" s="665">
        <f>+IFERROR(P$5*GETPIVOTDATA("Unique Billed Hours",'County allocation'!$S$3,"County",$D839,"HHA/CDPAP","HHA","Level of Service",$D852),0)</f>
        <v>0</v>
      </c>
    </row>
    <row r="853" spans="1:18" s="54" customFormat="1" ht="15.75" hidden="1" thickBot="1" x14ac:dyDescent="0.3">
      <c r="A853" s="119"/>
      <c r="B853" s="309"/>
      <c r="C853" s="322">
        <f t="shared" ca="1" si="305"/>
        <v>0</v>
      </c>
      <c r="D853" s="8" t="s">
        <v>374</v>
      </c>
      <c r="E853" s="370" t="s">
        <v>78</v>
      </c>
      <c r="F853" s="657">
        <f t="shared" ca="1" si="306"/>
        <v>0</v>
      </c>
      <c r="G853" s="658">
        <f ca="1">+IFERROR(G$5*GETPIVOTDATA("Unique Billed Hours",'County allocation'!$A$3,"County",$D839,"HHA/CDPAP","HHA","Level of Service",$D853),0)++IFERROR(J$5*GETPIVOTDATA("Unique Billed Hours",'County allocation'!$AC$3,"County",$D839,"HHA/CDPAP","HHA","Level of Service",$D853),0)</f>
        <v>0</v>
      </c>
      <c r="H853" s="658">
        <f>+IFERROR(H$5*GETPIVOTDATA("Unique Billed Hours",'County allocation'!$S$3,"County",$D839,"HHA/CDPAP","HHA","Level of Service",$D853),0)</f>
        <v>0</v>
      </c>
      <c r="I853" s="664">
        <f t="shared" ca="1" si="307"/>
        <v>0</v>
      </c>
      <c r="J853" s="901"/>
      <c r="K853" s="665">
        <f ca="1">+IFERROR(K$5*GETPIVOTDATA("Unique Billed Hours",'County allocation'!$X$3,"County",$D839,"HHA/CDPAP","HHA","Level of Service",$D853),0)</f>
        <v>0</v>
      </c>
      <c r="L853" s="665">
        <f ca="1">+IFERROR(L$5*GETPIVOTDATA("Unique Billed Hours",'County allocation'!$K$19,"County",$D839,"HHA/CDPAP","HHA","Level of Service",$D853),0)</f>
        <v>0</v>
      </c>
      <c r="M853" s="665">
        <f>+IFERROR(M$5*GETPIVOTDATA("Unique Billed Hours",'County allocation'!$S$3,"County",$D839,"HHA/CDPAP","HHA","Level of Service",$D853),0)</f>
        <v>0</v>
      </c>
      <c r="N853" s="665">
        <f>+IFERROR(N$5*GETPIVOTDATA("Unique Billed Hours",'County allocation'!$S$3,"County",$D839,"HHA/CDPAP","HHA","Level of Service",$D853),0)</f>
        <v>0</v>
      </c>
      <c r="O853" s="665">
        <f>+IFERROR(O$5*GETPIVOTDATA("Unique Billed Hours",'County allocation'!$S$3,"County",$D839,"HHA/CDPAP","HHA","Level of Service",$D853),0)</f>
        <v>0</v>
      </c>
      <c r="P853" s="665">
        <f>+IFERROR(P$5*GETPIVOTDATA("Unique Billed Hours",'County allocation'!$S$3,"County",$D839,"HHA/CDPAP","HHA","Level of Service",$D853),0)</f>
        <v>0</v>
      </c>
    </row>
    <row r="854" spans="1:18" s="54" customFormat="1" ht="15.75" hidden="1" thickBot="1" x14ac:dyDescent="0.3">
      <c r="A854" s="302"/>
      <c r="B854" s="309"/>
      <c r="C854" s="322">
        <f ca="1">C853</f>
        <v>0</v>
      </c>
      <c r="D854" s="52" t="s">
        <v>48</v>
      </c>
      <c r="E854" s="53" t="s">
        <v>79</v>
      </c>
      <c r="F854" s="657">
        <f t="shared" ca="1" si="306"/>
        <v>0</v>
      </c>
      <c r="G854" s="661">
        <f t="shared" ref="G854" ca="1" si="309">SUM(G850:G853)</f>
        <v>0</v>
      </c>
      <c r="H854" s="661">
        <f t="shared" ref="H854:P854" si="310">SUM(H850:H853)</f>
        <v>0</v>
      </c>
      <c r="I854" s="661">
        <f t="shared" ca="1" si="310"/>
        <v>0</v>
      </c>
      <c r="J854" s="661">
        <f t="shared" ca="1" si="310"/>
        <v>0</v>
      </c>
      <c r="K854" s="661">
        <f t="shared" ca="1" si="310"/>
        <v>0</v>
      </c>
      <c r="L854" s="661">
        <f t="shared" ca="1" si="310"/>
        <v>0</v>
      </c>
      <c r="M854" s="661">
        <f t="shared" si="310"/>
        <v>0</v>
      </c>
      <c r="N854" s="661">
        <f t="shared" si="310"/>
        <v>0</v>
      </c>
      <c r="O854" s="661">
        <f t="shared" si="310"/>
        <v>0</v>
      </c>
      <c r="P854" s="661">
        <f t="shared" si="310"/>
        <v>0</v>
      </c>
    </row>
    <row r="855" spans="1:18" ht="15.75" hidden="1" thickBot="1" x14ac:dyDescent="0.3"/>
    <row r="856" spans="1:18" s="54" customFormat="1" ht="75.75" hidden="1" thickBot="1" x14ac:dyDescent="0.3">
      <c r="A856" s="119"/>
      <c r="B856" s="309"/>
      <c r="C856" s="322">
        <f ca="1">IF(F871&gt;0,1,0)</f>
        <v>0</v>
      </c>
      <c r="D856" s="45" t="str">
        <f>A53</f>
        <v>Seneca</v>
      </c>
      <c r="E856" s="28">
        <f>+SUMIF(A:A,D856,B:B)</f>
        <v>0</v>
      </c>
      <c r="F856" s="652" t="s">
        <v>61</v>
      </c>
      <c r="G856" s="652" t="s">
        <v>387</v>
      </c>
      <c r="H856" s="652" t="s">
        <v>388</v>
      </c>
      <c r="I856" s="652" t="s">
        <v>392</v>
      </c>
      <c r="J856" s="652" t="s">
        <v>31</v>
      </c>
      <c r="K856" s="652" t="s">
        <v>32</v>
      </c>
      <c r="L856" s="653" t="s">
        <v>33</v>
      </c>
      <c r="M856" s="653" t="s">
        <v>60</v>
      </c>
      <c r="N856" s="653" t="s">
        <v>59</v>
      </c>
      <c r="O856" s="653" t="s">
        <v>58</v>
      </c>
      <c r="P856" s="653" t="s">
        <v>16</v>
      </c>
    </row>
    <row r="857" spans="1:18" s="54" customFormat="1" ht="15.75" hidden="1" thickBot="1" x14ac:dyDescent="0.3">
      <c r="A857" s="119"/>
      <c r="B857" s="309"/>
      <c r="C857" s="322">
        <f ca="1">C856</f>
        <v>0</v>
      </c>
      <c r="D857" s="56"/>
      <c r="E857" s="57"/>
      <c r="F857" s="654" t="s">
        <v>57</v>
      </c>
      <c r="G857" s="654" t="s">
        <v>56</v>
      </c>
      <c r="H857" s="654" t="s">
        <v>55</v>
      </c>
      <c r="I857" s="654" t="s">
        <v>54</v>
      </c>
      <c r="J857" s="654" t="s">
        <v>53</v>
      </c>
      <c r="K857" s="654" t="s">
        <v>52</v>
      </c>
      <c r="L857" s="654" t="s">
        <v>51</v>
      </c>
      <c r="M857" s="654" t="s">
        <v>50</v>
      </c>
      <c r="N857" s="654" t="s">
        <v>49</v>
      </c>
      <c r="O857" s="654" t="s">
        <v>47</v>
      </c>
      <c r="P857" s="655" t="s">
        <v>77</v>
      </c>
    </row>
    <row r="858" spans="1:18" s="54" customFormat="1" ht="15.75" hidden="1" thickBot="1" x14ac:dyDescent="0.3">
      <c r="A858" s="119"/>
      <c r="B858" s="309"/>
      <c r="C858" s="322">
        <f t="shared" ref="C858:C870" ca="1" si="311">C857</f>
        <v>0</v>
      </c>
      <c r="D858" s="59" t="s">
        <v>26</v>
      </c>
      <c r="E858" s="57"/>
      <c r="F858" s="656"/>
      <c r="G858" s="656"/>
      <c r="H858" s="656"/>
      <c r="I858" s="656"/>
      <c r="J858" s="656"/>
      <c r="K858" s="656"/>
      <c r="L858" s="656"/>
      <c r="M858" s="656"/>
      <c r="N858" s="656"/>
      <c r="O858" s="656"/>
      <c r="P858" s="663"/>
    </row>
    <row r="859" spans="1:18" s="54" customFormat="1" ht="15.75" hidden="1" thickBot="1" x14ac:dyDescent="0.3">
      <c r="A859" s="119"/>
      <c r="B859" s="309"/>
      <c r="C859" s="322">
        <f t="shared" ca="1" si="311"/>
        <v>0</v>
      </c>
      <c r="D859" s="7" t="s">
        <v>34</v>
      </c>
      <c r="E859" s="48" t="s">
        <v>57</v>
      </c>
      <c r="F859" s="657">
        <f ca="1">+H859+G859+I859</f>
        <v>0</v>
      </c>
      <c r="G859" s="658">
        <f ca="1">+IFERROR(G$5*GETPIVOTDATA("Unique Billed Hours",'County allocation'!$A$3,"County",$D856,"HHA/CDPAP","HHA","Level of Service",$D859),0)</f>
        <v>0</v>
      </c>
      <c r="H859" s="658">
        <f>+IFERROR(H$5*GETPIVOTDATA("Unique Billed Hours",'County allocation'!$S$3,"County",$D856,"HHA/CDPAP","HHA","Level of Service",$D859),0)</f>
        <v>0</v>
      </c>
      <c r="I859" s="664">
        <f ca="1">SUM(J859:P859)</f>
        <v>0</v>
      </c>
      <c r="J859" s="658">
        <f ca="1">+IFERROR(J$5*GETPIVOTDATA("Unique Billed Hours",'County allocation'!$S$3,"County",$D856,"HHA/CDPAP","HHA","Level of Service",$D859),0)</f>
        <v>0</v>
      </c>
      <c r="K859" s="658">
        <f ca="1">+IFERROR(K$5*GETPIVOTDATA("Unique Billed Hours",'County allocation'!$X$3,"County",$D856,"HHA/CDPAP","HHA","Level of Service",$D859),0)</f>
        <v>0</v>
      </c>
      <c r="L859" s="658">
        <f ca="1">+IFERROR(L$2*GETPIVOTDATA("Unique Billed Hours",'County allocation'!$O$3,"County",$D856,"HHA/CDPAP","HHA","Level of Service",$D859),0)</f>
        <v>0</v>
      </c>
      <c r="M859" s="658">
        <f>+IFERROR(M$5*GETPIVOTDATA("Unique Billed Hours",'County allocation'!$S$3,"County",$D856,"HHA/CDPAP","HHA","Level of Service",$D859),0)</f>
        <v>0</v>
      </c>
      <c r="N859" s="658">
        <f>+IFERROR(N$5*GETPIVOTDATA("Unique Billed Hours",'County allocation'!$S$3,"County",$D856,"HHA/CDPAP","HHA","Level of Service",$D859),0)</f>
        <v>0</v>
      </c>
      <c r="O859" s="658">
        <f>+IFERROR(O$5*GETPIVOTDATA("Unique Billed Hours",'County allocation'!$K$19,"County",$D856,"HHA/CDPAP","HHA","Level of Service",$D859),0)</f>
        <v>0</v>
      </c>
      <c r="P859" s="658">
        <f>+IFERROR(P$5*GETPIVOTDATA("Unique Billed Hours",'County allocation'!$S$3,"County",$D856,"HHA/CDPAP","HHA","Level of Service",$D859),0)</f>
        <v>0</v>
      </c>
    </row>
    <row r="860" spans="1:18" s="54" customFormat="1" ht="15.75" hidden="1" thickBot="1" x14ac:dyDescent="0.3">
      <c r="A860" s="119"/>
      <c r="B860" s="309"/>
      <c r="C860" s="322">
        <f t="shared" ca="1" si="311"/>
        <v>0</v>
      </c>
      <c r="D860" s="7" t="s">
        <v>35</v>
      </c>
      <c r="E860" s="48" t="s">
        <v>56</v>
      </c>
      <c r="F860" s="657">
        <f t="shared" ref="F860:F871" ca="1" si="312">+H860+G860+I860</f>
        <v>0</v>
      </c>
      <c r="G860" s="658">
        <f ca="1">+IFERROR(G$5*GETPIVOTDATA("Unique Billed Hours",'County allocation'!$A$3,"County",$D856,"HHA/CDPAP","HHA","Level of Service",$D860),0)</f>
        <v>0</v>
      </c>
      <c r="H860" s="658">
        <f>+IFERROR(H$5*GETPIVOTDATA("Unique Billed Hours",'County allocation'!$S$3,"County",$D856,"HHA/CDPAP","HHA","Level of Service",$D860),0)</f>
        <v>0</v>
      </c>
      <c r="I860" s="664">
        <f t="shared" ref="I860:I870" ca="1" si="313">SUM(J860:P860)</f>
        <v>0</v>
      </c>
      <c r="J860" s="658">
        <f ca="1">+IFERROR(J$5*GETPIVOTDATA("Unique Billed Hours",'County allocation'!$S$3,"County",$D856,"HHA/CDPAP","HHA","Level of Service",$D860),0)</f>
        <v>0</v>
      </c>
      <c r="K860" s="658">
        <f ca="1">+IFERROR(K$5*GETPIVOTDATA("Unique Billed Hours",'County allocation'!$X$3,"County",$D856,"HHA/CDPAP","HHA","Level of Service",$D860),0)</f>
        <v>0</v>
      </c>
      <c r="L860" s="658">
        <f ca="1">+IFERROR(L$2*GETPIVOTDATA("Unique Billed Hours",'County allocation'!$O$3,"County",$D856,"HHA/CDPAP","HHA","Level of Service",$D860),0)</f>
        <v>0</v>
      </c>
      <c r="M860" s="658">
        <f>+IFERROR(M$5*GETPIVOTDATA("Unique Billed Hours",'County allocation'!$S$3,"County",$D856,"HHA/CDPAP","HHA","Level of Service",$D860),0)</f>
        <v>0</v>
      </c>
      <c r="N860" s="658">
        <f>+IFERROR(N$5*GETPIVOTDATA("Unique Billed Hours",'County allocation'!$S$3,"County",$D856,"HHA/CDPAP","HHA","Level of Service",$D860),0)</f>
        <v>0</v>
      </c>
      <c r="O860" s="658">
        <f>+IFERROR(O$5*GETPIVOTDATA("Unique Billed Hours",'County allocation'!$K$19,"County",$D856,"HHA/CDPAP","HHA","Level of Service",$D860),0)</f>
        <v>0</v>
      </c>
      <c r="P860" s="658">
        <f>+IFERROR(P$5*GETPIVOTDATA("Unique Billed Hours",'County allocation'!$S$3,"County",$D856,"HHA/CDPAP","HHA","Level of Service",$D860),0)</f>
        <v>0</v>
      </c>
      <c r="R860" s="61"/>
    </row>
    <row r="861" spans="1:18" s="54" customFormat="1" ht="15.75" hidden="1" thickBot="1" x14ac:dyDescent="0.3">
      <c r="A861" s="302"/>
      <c r="B861" s="309"/>
      <c r="C861" s="322">
        <f t="shared" ca="1" si="311"/>
        <v>0</v>
      </c>
      <c r="D861" s="7" t="s">
        <v>36</v>
      </c>
      <c r="E861" s="48" t="s">
        <v>55</v>
      </c>
      <c r="F861" s="657">
        <f t="shared" ca="1" si="312"/>
        <v>0</v>
      </c>
      <c r="G861" s="658">
        <f ca="1">+IFERROR(G$5*GETPIVOTDATA("Unique Billed Hours",'County allocation'!$A$3,"County",$D856,"HHA/CDPAP","HHA","Level of Service",$D861),0)</f>
        <v>0</v>
      </c>
      <c r="H861" s="658">
        <f>+IFERROR(H$5*GETPIVOTDATA("Unique Billed Hours",'County allocation'!$S$3,"County",$D856,"HHA/CDPAP","HHA","Level of Service",$D861),0)</f>
        <v>0</v>
      </c>
      <c r="I861" s="664">
        <f t="shared" ca="1" si="313"/>
        <v>0</v>
      </c>
      <c r="J861" s="658">
        <f ca="1">+IFERROR(J$5*GETPIVOTDATA("Unique Billed Hours",'County allocation'!$S$3,"County",$D856,"HHA/CDPAP","HHA","Level of Service",$D861),0)</f>
        <v>0</v>
      </c>
      <c r="K861" s="658">
        <f ca="1">+IFERROR(K$5*GETPIVOTDATA("Unique Billed Hours",'County allocation'!$X$3,"County",$D856,"HHA/CDPAP","HHA","Level of Service",$D861),0)</f>
        <v>0</v>
      </c>
      <c r="L861" s="658">
        <f ca="1">+IFERROR(L$2*GETPIVOTDATA("Unique Billed Hours",'County allocation'!$O$3,"County",$D856,"HHA/CDPAP","HHA","Level of Service",$D861),0)</f>
        <v>0</v>
      </c>
      <c r="M861" s="658">
        <f>+IFERROR(M$5*GETPIVOTDATA("Unique Billed Hours",'County allocation'!$S$3,"County",$D856,"HHA/CDPAP","HHA","Level of Service",$D861),0)</f>
        <v>0</v>
      </c>
      <c r="N861" s="658">
        <f>+IFERROR(N$5*GETPIVOTDATA("Unique Billed Hours",'County allocation'!$S$3,"County",$D856,"HHA/CDPAP","HHA","Level of Service",$D861),0)</f>
        <v>0</v>
      </c>
      <c r="O861" s="658">
        <f>+IFERROR(O$5*GETPIVOTDATA("Unique Billed Hours",'County allocation'!$K$19,"County",$D856,"HHA/CDPAP","HHA","Level of Service",$D861),0)</f>
        <v>0</v>
      </c>
      <c r="P861" s="658">
        <f>+IFERROR(P$5*GETPIVOTDATA("Unique Billed Hours",'County allocation'!$S$3,"County",$D856,"HHA/CDPAP","HHA","Level of Service",$D861),0)</f>
        <v>0</v>
      </c>
    </row>
    <row r="862" spans="1:18" s="54" customFormat="1" ht="15.75" hidden="1" thickBot="1" x14ac:dyDescent="0.3">
      <c r="A862" s="119"/>
      <c r="B862" s="309"/>
      <c r="C862" s="322">
        <f t="shared" ca="1" si="311"/>
        <v>0</v>
      </c>
      <c r="D862" s="7" t="s">
        <v>37</v>
      </c>
      <c r="E862" s="48" t="s">
        <v>54</v>
      </c>
      <c r="F862" s="657">
        <f t="shared" ca="1" si="312"/>
        <v>0</v>
      </c>
      <c r="G862" s="658">
        <f ca="1">+IFERROR(G$5*GETPIVOTDATA("Unique Billed Hours",'County allocation'!$A$3,"County",$D856,"HHA/CDPAP","HHA","Level of Service",$D862),0)</f>
        <v>0</v>
      </c>
      <c r="H862" s="658">
        <f>+IFERROR(H$5*GETPIVOTDATA("Unique Billed Hours",'County allocation'!$S$3,"County",$D856,"HHA/CDPAP","HHA","Level of Service",$D862),0)</f>
        <v>0</v>
      </c>
      <c r="I862" s="664">
        <f t="shared" ca="1" si="313"/>
        <v>0</v>
      </c>
      <c r="J862" s="658">
        <f ca="1">+IFERROR(J$5*GETPIVOTDATA("Unique Billed Hours",'County allocation'!$S$3,"County",$D856,"HHA/CDPAP","HHA","Level of Service",$D862),0)</f>
        <v>0</v>
      </c>
      <c r="K862" s="658">
        <f ca="1">+IFERROR(K$5*GETPIVOTDATA("Unique Billed Hours",'County allocation'!$X$3,"County",$D856,"HHA/CDPAP","HHA","Level of Service",$D862),0)</f>
        <v>0</v>
      </c>
      <c r="L862" s="658">
        <f ca="1">+IFERROR(L$2*GETPIVOTDATA("Unique Billed Hours",'County allocation'!$O$3,"County",$D856,"HHA/CDPAP","HHA","Level of Service",$D862),0)</f>
        <v>0</v>
      </c>
      <c r="M862" s="658">
        <f>+IFERROR(M$5*GETPIVOTDATA("Unique Billed Hours",'County allocation'!$S$3,"County",$D856,"HHA/CDPAP","HHA","Level of Service",$D862),0)</f>
        <v>0</v>
      </c>
      <c r="N862" s="658">
        <f>+IFERROR(N$5*GETPIVOTDATA("Unique Billed Hours",'County allocation'!$S$3,"County",$D856,"HHA/CDPAP","HHA","Level of Service",$D862),0)</f>
        <v>0</v>
      </c>
      <c r="O862" s="658">
        <f>+IFERROR(O$5*GETPIVOTDATA("Unique Billed Hours",'County allocation'!$K$19,"County",$D856,"HHA/CDPAP","HHA","Level of Service",$D862),0)</f>
        <v>0</v>
      </c>
      <c r="P862" s="658">
        <f>+IFERROR(P$5*GETPIVOTDATA("Unique Billed Hours",'County allocation'!$S$3,"County",$D856,"HHA/CDPAP","HHA","Level of Service",$D862),0)</f>
        <v>0</v>
      </c>
    </row>
    <row r="863" spans="1:18" s="54" customFormat="1" ht="15.75" hidden="1" thickBot="1" x14ac:dyDescent="0.3">
      <c r="A863" s="119"/>
      <c r="B863" s="309"/>
      <c r="C863" s="322">
        <f t="shared" ca="1" si="311"/>
        <v>0</v>
      </c>
      <c r="D863" s="7" t="s">
        <v>38</v>
      </c>
      <c r="E863" s="48" t="s">
        <v>53</v>
      </c>
      <c r="F863" s="657">
        <f t="shared" ca="1" si="312"/>
        <v>0</v>
      </c>
      <c r="G863" s="658">
        <f ca="1">+IFERROR(G$5*GETPIVOTDATA("Unique Billed Hours",'County allocation'!$A$3,"County",$D856,"HHA/CDPAP","HHA","Level of Service",$D863),0)</f>
        <v>0</v>
      </c>
      <c r="H863" s="658">
        <f>+IFERROR(H$5*GETPIVOTDATA("Unique Billed Hours",'County allocation'!$S$3,"County",$D856,"HHA/CDPAP","HHA","Level of Service",$D863),0)</f>
        <v>0</v>
      </c>
      <c r="I863" s="664">
        <f t="shared" ca="1" si="313"/>
        <v>0</v>
      </c>
      <c r="J863" s="658">
        <f ca="1">+IFERROR(J$5*GETPIVOTDATA("Unique Billed Hours",'County allocation'!$S$3,"County",$D856,"HHA/CDPAP","HHA","Level of Service",$D863),0)</f>
        <v>0</v>
      </c>
      <c r="K863" s="658">
        <f ca="1">+IFERROR(K$5*GETPIVOTDATA("Unique Billed Hours",'County allocation'!$X$3,"County",$D856,"HHA/CDPAP","HHA","Level of Service",$D863),0)</f>
        <v>0</v>
      </c>
      <c r="L863" s="658">
        <f ca="1">+IFERROR(L$5*GETPIVOTDATA("Unique Billed Hours",'County allocation'!$K$19,"County",$D856,"HHA/CDPAP","HHA","Level of Service",$D863),0)</f>
        <v>0</v>
      </c>
      <c r="M863" s="658">
        <f>+IFERROR(M$5*GETPIVOTDATA("Unique Billed Hours",'County allocation'!$S$3,"County",$D856,"HHA/CDPAP","HHA","Level of Service",$D863),0)</f>
        <v>0</v>
      </c>
      <c r="N863" s="658">
        <f>+IFERROR(N$5*GETPIVOTDATA("Unique Billed Hours",'County allocation'!$S$3,"County",$D856,"HHA/CDPAP","HHA","Level of Service",$D863),0)</f>
        <v>0</v>
      </c>
      <c r="O863" s="658">
        <f>+IFERROR(O$5*GETPIVOTDATA("Unique Billed Hours",'County allocation'!$K$19,"County",$D856,"HHA/CDPAP","HHA","Level of Service",$D863),0)</f>
        <v>0</v>
      </c>
      <c r="P863" s="658">
        <f>+IFERROR(P$5*GETPIVOTDATA("Unique Billed Hours",'County allocation'!$S$3,"County",$D856,"HHA/CDPAP","HHA","Level of Service",$D863),0)</f>
        <v>0</v>
      </c>
    </row>
    <row r="864" spans="1:18" s="54" customFormat="1" ht="15.75" hidden="1" thickBot="1" x14ac:dyDescent="0.3">
      <c r="A864" s="119"/>
      <c r="B864" s="309"/>
      <c r="C864" s="322">
        <f t="shared" ca="1" si="311"/>
        <v>0</v>
      </c>
      <c r="D864" s="7" t="s">
        <v>39</v>
      </c>
      <c r="E864" s="48" t="s">
        <v>52</v>
      </c>
      <c r="F864" s="657">
        <f t="shared" ca="1" si="312"/>
        <v>0</v>
      </c>
      <c r="G864" s="658">
        <f ca="1">+IFERROR(G$5*GETPIVOTDATA("Unique Billed Hours",'County allocation'!$A$3,"County",$D856,"HHA/CDPAP","HHA","Level of Service",$D864),0)</f>
        <v>0</v>
      </c>
      <c r="H864" s="658">
        <f>+IFERROR(H$5*GETPIVOTDATA("Unique Billed Hours",'County allocation'!$S$3,"County",$D856,"HHA/CDPAP","HHA","Level of Service",$D864),0)</f>
        <v>0</v>
      </c>
      <c r="I864" s="664">
        <f t="shared" ca="1" si="313"/>
        <v>0</v>
      </c>
      <c r="J864" s="658">
        <f ca="1">+IFERROR(J$5*GETPIVOTDATA("Unique Billed Hours",'County allocation'!$S$3,"County",$D856,"HHA/CDPAP","HHA","Level of Service",$D864),0)</f>
        <v>0</v>
      </c>
      <c r="K864" s="658">
        <f ca="1">+IFERROR(K$5*GETPIVOTDATA("Unique Billed Hours",'County allocation'!$X$3,"County",$D856,"HHA/CDPAP","HHA","Level of Service",$D864),0)</f>
        <v>0</v>
      </c>
      <c r="L864" s="658">
        <f ca="1">+IFERROR(L$5*GETPIVOTDATA("Unique Billed Hours",'County allocation'!$K$19,"County",$D856,"HHA/CDPAP","HHA","Level of Service",$D864),0)</f>
        <v>0</v>
      </c>
      <c r="M864" s="658">
        <f>+IFERROR(M$5*GETPIVOTDATA("Unique Billed Hours",'County allocation'!$S$3,"County",$D856,"HHA/CDPAP","HHA","Level of Service",$D864),0)</f>
        <v>0</v>
      </c>
      <c r="N864" s="658">
        <f>+IFERROR(N$5*GETPIVOTDATA("Unique Billed Hours",'County allocation'!$S$3,"County",$D856,"HHA/CDPAP","HHA","Level of Service",$D864),0)</f>
        <v>0</v>
      </c>
      <c r="O864" s="658">
        <f>+IFERROR(O$5*GETPIVOTDATA("Unique Billed Hours",'County allocation'!$K$19,"County",$D856,"HHA/CDPAP","HHA","Level of Service",$D864),0)</f>
        <v>0</v>
      </c>
      <c r="P864" s="658">
        <f>+IFERROR(P$5*GETPIVOTDATA("Unique Billed Hours",'County allocation'!$S$3,"County",$D856,"HHA/CDPAP","HHA","Level of Service",$D864),0)</f>
        <v>0</v>
      </c>
    </row>
    <row r="865" spans="1:18" s="54" customFormat="1" ht="15.75" hidden="1" thickBot="1" x14ac:dyDescent="0.3">
      <c r="A865" s="119"/>
      <c r="B865" s="309"/>
      <c r="C865" s="322">
        <f t="shared" ca="1" si="311"/>
        <v>0</v>
      </c>
      <c r="D865" s="8" t="s">
        <v>40</v>
      </c>
      <c r="E865" s="48" t="s">
        <v>51</v>
      </c>
      <c r="F865" s="657">
        <f t="shared" ca="1" si="312"/>
        <v>0</v>
      </c>
      <c r="G865" s="658">
        <f ca="1">+IFERROR(G$5*GETPIVOTDATA("Unique Billed Hours",'County allocation'!$A$3,"County",$D856,"HHA/CDPAP","HHA","Level of Service",$D865),0)</f>
        <v>0</v>
      </c>
      <c r="H865" s="658">
        <f>+IFERROR(H$5*GETPIVOTDATA("Unique Billed Hours",'County allocation'!$S$3,"County",$D856,"HHA/CDPAP","HHA","Level of Service",$D865),0)</f>
        <v>0</v>
      </c>
      <c r="I865" s="664">
        <f t="shared" ca="1" si="313"/>
        <v>0</v>
      </c>
      <c r="J865" s="658">
        <f ca="1">+IFERROR(J$5*GETPIVOTDATA("Unique Billed Hours",'County allocation'!$S$3,"County",$D856,"HHA/CDPAP","HHA","Level of Service",$D865),0)</f>
        <v>0</v>
      </c>
      <c r="K865" s="658">
        <f ca="1">+IFERROR(K$5*GETPIVOTDATA("Unique Billed Hours",'County allocation'!$X$3,"County",$D856,"HHA/CDPAP","HHA","Level of Service",$D865),0)</f>
        <v>0</v>
      </c>
      <c r="L865" s="658">
        <f ca="1">+IFERROR(L$2*GETPIVOTDATA("Unique Billed Hours",'County allocation'!$O$3,"County",$D856,"HHA/CDPAP","HHA","Level of Service",$D865),0)</f>
        <v>0</v>
      </c>
      <c r="M865" s="658">
        <f>+IFERROR(M$5*GETPIVOTDATA("Unique Billed Hours",'County allocation'!$S$3,"County",$D856,"HHA/CDPAP","HHA","Level of Service",$D865),0)</f>
        <v>0</v>
      </c>
      <c r="N865" s="658">
        <f>+IFERROR(N$5*GETPIVOTDATA("Unique Billed Hours",'County allocation'!$S$3,"County",$D856,"HHA/CDPAP","HHA","Level of Service",$D865),0)</f>
        <v>0</v>
      </c>
      <c r="O865" s="658">
        <f>+IFERROR(O$5*GETPIVOTDATA("Unique Billed Hours",'County allocation'!$K$19,"County",$D856,"HHA/CDPAP","HHA","Level of Service",$D865),0)</f>
        <v>0</v>
      </c>
      <c r="P865" s="658">
        <f>+IFERROR(P$5*GETPIVOTDATA("Unique Billed Hours",'County allocation'!$S$3,"County",$D856,"HHA/CDPAP","HHA","Level of Service",$D865),0)</f>
        <v>0</v>
      </c>
    </row>
    <row r="866" spans="1:18" s="54" customFormat="1" ht="15.75" hidden="1" thickBot="1" x14ac:dyDescent="0.3">
      <c r="A866" s="119"/>
      <c r="B866" s="309"/>
      <c r="C866" s="322">
        <f t="shared" ca="1" si="311"/>
        <v>0</v>
      </c>
      <c r="D866" s="8" t="s">
        <v>41</v>
      </c>
      <c r="E866" s="48" t="s">
        <v>50</v>
      </c>
      <c r="F866" s="657">
        <f t="shared" ca="1" si="312"/>
        <v>0</v>
      </c>
      <c r="G866" s="658">
        <f ca="1">+IFERROR(G$5*GETPIVOTDATA("Unique Billed Hours",'County allocation'!$A$3,"County",$D856,"HHA/CDPAP","HHA","Level of Service",$D866),0)</f>
        <v>0</v>
      </c>
      <c r="H866" s="658">
        <f>+IFERROR(H$5*GETPIVOTDATA("Unique Billed Hours",'County allocation'!$S$3,"County",$D856,"HHA/CDPAP","HHA","Level of Service",$D866),0)</f>
        <v>0</v>
      </c>
      <c r="I866" s="664">
        <f t="shared" ca="1" si="313"/>
        <v>0</v>
      </c>
      <c r="J866" s="658">
        <f ca="1">+IFERROR(J$5*GETPIVOTDATA("Unique Billed Hours",'County allocation'!$S$3,"County",$D856,"HHA/CDPAP","HHA","Level of Service",$D866),0)</f>
        <v>0</v>
      </c>
      <c r="K866" s="658">
        <f ca="1">+IFERROR(K$5*GETPIVOTDATA("Unique Billed Hours",'County allocation'!$X$3,"County",$D856,"HHA/CDPAP","HHA","Level of Service",$D866),0)</f>
        <v>0</v>
      </c>
      <c r="L866" s="658">
        <f ca="1">+IFERROR(L$2*GETPIVOTDATA("Unique Billed Hours",'County allocation'!$O$3,"County",$D856,"HHA/CDPAP","HHA","Level of Service",$D866),0)</f>
        <v>0</v>
      </c>
      <c r="M866" s="658">
        <f>+IFERROR(M$5*GETPIVOTDATA("Unique Billed Hours",'County allocation'!$S$3,"County",$D856,"HHA/CDPAP","HHA","Level of Service",$D866),0)</f>
        <v>0</v>
      </c>
      <c r="N866" s="658">
        <f>+IFERROR(N$5*GETPIVOTDATA("Unique Billed Hours",'County allocation'!$S$3,"County",$D856,"HHA/CDPAP","HHA","Level of Service",$D866),0)</f>
        <v>0</v>
      </c>
      <c r="O866" s="658">
        <f>+IFERROR(O$5*GETPIVOTDATA("Unique Billed Hours",'County allocation'!$K$19,"County",$D856,"HHA/CDPAP","HHA","Level of Service",$D866),0)</f>
        <v>0</v>
      </c>
      <c r="P866" s="658">
        <f>+IFERROR(P$5*GETPIVOTDATA("Unique Billed Hours",'County allocation'!$S$3,"County",$D856,"HHA/CDPAP","HHA","Level of Service",$D866),0)</f>
        <v>0</v>
      </c>
    </row>
    <row r="867" spans="1:18" s="54" customFormat="1" ht="15.75" hidden="1" thickBot="1" x14ac:dyDescent="0.3">
      <c r="A867" s="119"/>
      <c r="B867" s="309"/>
      <c r="C867" s="322">
        <f t="shared" ca="1" si="311"/>
        <v>0</v>
      </c>
      <c r="D867" s="52" t="s">
        <v>389</v>
      </c>
      <c r="E867" s="53" t="s">
        <v>49</v>
      </c>
      <c r="F867" s="657">
        <f t="shared" ca="1" si="312"/>
        <v>0</v>
      </c>
      <c r="G867" s="661">
        <f ca="1">SUM(G859:G866)</f>
        <v>0</v>
      </c>
      <c r="H867" s="661">
        <f>SUM(H859:H866)</f>
        <v>0</v>
      </c>
      <c r="I867" s="664">
        <f t="shared" ca="1" si="313"/>
        <v>0</v>
      </c>
      <c r="J867" s="661">
        <f ca="1">SUM(J859:J866)</f>
        <v>0</v>
      </c>
      <c r="K867" s="661">
        <f t="shared" ref="K867:P867" ca="1" si="314">SUM(K859:K866)</f>
        <v>0</v>
      </c>
      <c r="L867" s="661">
        <f t="shared" ca="1" si="314"/>
        <v>0</v>
      </c>
      <c r="M867" s="661">
        <f t="shared" si="314"/>
        <v>0</v>
      </c>
      <c r="N867" s="661">
        <f t="shared" si="314"/>
        <v>0</v>
      </c>
      <c r="O867" s="661">
        <f t="shared" si="314"/>
        <v>0</v>
      </c>
      <c r="P867" s="661">
        <f t="shared" si="314"/>
        <v>0</v>
      </c>
    </row>
    <row r="868" spans="1:18" s="54" customFormat="1" ht="15.75" hidden="1" thickBot="1" x14ac:dyDescent="0.3">
      <c r="A868" s="119"/>
      <c r="B868" s="309"/>
      <c r="C868" s="322">
        <f t="shared" ca="1" si="311"/>
        <v>0</v>
      </c>
      <c r="D868" s="371" t="s">
        <v>390</v>
      </c>
      <c r="E868" s="325" t="s">
        <v>47</v>
      </c>
      <c r="F868" s="657">
        <f t="shared" ca="1" si="312"/>
        <v>0</v>
      </c>
      <c r="G868" s="665">
        <f ca="1">+IFERROR((G$5*GETPIVOTDATA("Unique Billed Hours",'County allocation'!$A$3,"County",$D856,"HHA/CDPAP","HHA","Level of Service",$D868))+($G$2*GETPIVOTDATA("Unique Billed Hours",'County allocation'!$F$7,"County",$D856,"HHA/CDPAP","HHA","Level of Service",$D868)),0)++IFERROR(J$5*GETPIVOTDATA("Unique Billed Hours",'County allocation'!$AC$3,"County",$D856,"HHA/CDPAP","HHA","Level of Service",$D868),0)+ +IFERROR(J$5*GETPIVOTDATA("Unique Billed Hours",'County allocation'!$AC$3,"County",$D856,"HHA/CDPAP","HHA","Level of Service",$D869),0)</f>
        <v>0</v>
      </c>
      <c r="H868" s="665">
        <f>+IFERROR(H$5*GETPIVOTDATA("Unique Billed Hours",'County allocation'!$S$3,"County",$D856,"HHA/CDPAP","HHA","Level of Service",$D868),0)</f>
        <v>0</v>
      </c>
      <c r="I868" s="664">
        <f t="shared" ca="1" si="313"/>
        <v>0</v>
      </c>
      <c r="J868" s="901"/>
      <c r="K868" s="665">
        <f ca="1">+IFERROR(K$5*GETPIVOTDATA("Unique Billed Hours",'County allocation'!$X$3,"County",$D856,"HHA/CDPAP","HHA","Level of Service",$D868),0)</f>
        <v>0</v>
      </c>
      <c r="L868" s="665">
        <f ca="1">+IFERROR(L$5*GETPIVOTDATA("Unique Billed Hours",'County allocation'!$K$19,"County",$D856,"HHA/CDPAP","HHA","Level of Service",$D868),0)</f>
        <v>0</v>
      </c>
      <c r="M868" s="665">
        <f>+IFERROR(M$5*GETPIVOTDATA("Unique Billed Hours",'County allocation'!$S$3,"County",$D856,"HHA/CDPAP","HHA","Level of Service",$D868),0)</f>
        <v>0</v>
      </c>
      <c r="N868" s="665">
        <f>+IFERROR(N$5*GETPIVOTDATA("Unique Billed Hours",'County allocation'!$S$3,"County",$D856,"HHA/CDPAP","HHA","Level of Service",$D868),0)</f>
        <v>0</v>
      </c>
      <c r="O868" s="665">
        <f>+IFERROR(O$5*GETPIVOTDATA("Unique Billed Hours",'County allocation'!$S$3,"County",$D856,"HHA/CDPAP","HHA","Level of Service",$D868),0)</f>
        <v>0</v>
      </c>
      <c r="P868" s="665">
        <f>+IFERROR(P$5*GETPIVOTDATA("Unique Billed Hours",'County allocation'!$S$3,"County",$D856,"HHA/CDPAP","HHA","Level of Service",$D868),0)</f>
        <v>0</v>
      </c>
    </row>
    <row r="869" spans="1:18" s="54" customFormat="1" ht="15.75" hidden="1" thickBot="1" x14ac:dyDescent="0.3">
      <c r="A869" s="119"/>
      <c r="B869" s="309"/>
      <c r="C869" s="322">
        <f t="shared" ca="1" si="311"/>
        <v>0</v>
      </c>
      <c r="D869" s="8" t="s">
        <v>391</v>
      </c>
      <c r="E869" s="370" t="s">
        <v>77</v>
      </c>
      <c r="F869" s="657">
        <f t="shared" ca="1" si="312"/>
        <v>0</v>
      </c>
      <c r="G869" s="656"/>
      <c r="H869" s="658">
        <f>+IFERROR(H$5*GETPIVOTDATA("Unique Billed Hours",'County allocation'!$S$3,"County",$D856,"HHA/CDPAP","HHA","Level of Service",$D869),0)</f>
        <v>0</v>
      </c>
      <c r="I869" s="664">
        <f t="shared" ca="1" si="313"/>
        <v>0</v>
      </c>
      <c r="J869" s="901"/>
      <c r="K869" s="665">
        <f ca="1">+IFERROR(K$5*GETPIVOTDATA("Unique Billed Hours",'County allocation'!$X$3,"County",$D856,"HHA/CDPAP","HHA","Level of Service",$D869),0)</f>
        <v>0</v>
      </c>
      <c r="L869" s="665">
        <f ca="1">+IFERROR(L$5*GETPIVOTDATA("Unique Billed Hours",'County allocation'!$K$19,"County",$D856,"HHA/CDPAP","HHA","Level of Service",$D869),0)</f>
        <v>0</v>
      </c>
      <c r="M869" s="665">
        <f>+IFERROR(M$5*GETPIVOTDATA("Unique Billed Hours",'County allocation'!$S$3,"County",$D856,"HHA/CDPAP","HHA","Level of Service",$D869),0)</f>
        <v>0</v>
      </c>
      <c r="N869" s="665">
        <f>+IFERROR(N$5*GETPIVOTDATA("Unique Billed Hours",'County allocation'!$S$3,"County",$D856,"HHA/CDPAP","HHA","Level of Service",$D869),0)</f>
        <v>0</v>
      </c>
      <c r="O869" s="665">
        <f>+IFERROR(O$5*GETPIVOTDATA("Unique Billed Hours",'County allocation'!$S$3,"County",$D856,"HHA/CDPAP","HHA","Level of Service",$D869),0)</f>
        <v>0</v>
      </c>
      <c r="P869" s="665">
        <f>+IFERROR(P$5*GETPIVOTDATA("Unique Billed Hours",'County allocation'!$S$3,"County",$D856,"HHA/CDPAP","HHA","Level of Service",$D869),0)</f>
        <v>0</v>
      </c>
    </row>
    <row r="870" spans="1:18" s="54" customFormat="1" ht="15.75" hidden="1" thickBot="1" x14ac:dyDescent="0.3">
      <c r="A870" s="119"/>
      <c r="B870" s="309"/>
      <c r="C870" s="322">
        <f t="shared" ca="1" si="311"/>
        <v>0</v>
      </c>
      <c r="D870" s="8" t="s">
        <v>374</v>
      </c>
      <c r="E870" s="370" t="s">
        <v>78</v>
      </c>
      <c r="F870" s="657">
        <f t="shared" ca="1" si="312"/>
        <v>0</v>
      </c>
      <c r="G870" s="658">
        <f ca="1">+IFERROR(G$5*GETPIVOTDATA("Unique Billed Hours",'County allocation'!$A$3,"County",$D856,"HHA/CDPAP","HHA","Level of Service",$D870),0)++IFERROR(J$5*GETPIVOTDATA("Unique Billed Hours",'County allocation'!$AC$3,"County",$D856,"HHA/CDPAP","HHA","Level of Service",$D870),0)</f>
        <v>0</v>
      </c>
      <c r="H870" s="658">
        <f>+IFERROR(H$5*GETPIVOTDATA("Unique Billed Hours",'County allocation'!$S$3,"County",$D856,"HHA/CDPAP","HHA","Level of Service",$D870),0)</f>
        <v>0</v>
      </c>
      <c r="I870" s="664">
        <f t="shared" ca="1" si="313"/>
        <v>0</v>
      </c>
      <c r="J870" s="901"/>
      <c r="K870" s="665">
        <f ca="1">+IFERROR(K$5*GETPIVOTDATA("Unique Billed Hours",'County allocation'!$X$3,"County",$D856,"HHA/CDPAP","HHA","Level of Service",$D870),0)</f>
        <v>0</v>
      </c>
      <c r="L870" s="665">
        <f ca="1">+IFERROR(L$5*GETPIVOTDATA("Unique Billed Hours",'County allocation'!$K$19,"County",$D856,"HHA/CDPAP","HHA","Level of Service",$D870),0)</f>
        <v>0</v>
      </c>
      <c r="M870" s="665">
        <f>+IFERROR(M$5*GETPIVOTDATA("Unique Billed Hours",'County allocation'!$S$3,"County",$D856,"HHA/CDPAP","HHA","Level of Service",$D870),0)</f>
        <v>0</v>
      </c>
      <c r="N870" s="665">
        <f>+IFERROR(N$5*GETPIVOTDATA("Unique Billed Hours",'County allocation'!$S$3,"County",$D856,"HHA/CDPAP","HHA","Level of Service",$D870),0)</f>
        <v>0</v>
      </c>
      <c r="O870" s="665">
        <f>+IFERROR(O$5*GETPIVOTDATA("Unique Billed Hours",'County allocation'!$S$3,"County",$D856,"HHA/CDPAP","HHA","Level of Service",$D870),0)</f>
        <v>0</v>
      </c>
      <c r="P870" s="665">
        <f>+IFERROR(P$5*GETPIVOTDATA("Unique Billed Hours",'County allocation'!$S$3,"County",$D856,"HHA/CDPAP","HHA","Level of Service",$D870),0)</f>
        <v>0</v>
      </c>
    </row>
    <row r="871" spans="1:18" s="54" customFormat="1" ht="15.75" hidden="1" thickBot="1" x14ac:dyDescent="0.3">
      <c r="A871" s="302"/>
      <c r="B871" s="309"/>
      <c r="C871" s="322">
        <f ca="1">C870</f>
        <v>0</v>
      </c>
      <c r="D871" s="52" t="s">
        <v>48</v>
      </c>
      <c r="E871" s="53" t="s">
        <v>79</v>
      </c>
      <c r="F871" s="657">
        <f t="shared" ca="1" si="312"/>
        <v>0</v>
      </c>
      <c r="G871" s="661">
        <f t="shared" ref="G871" ca="1" si="315">SUM(G867:G870)</f>
        <v>0</v>
      </c>
      <c r="H871" s="661">
        <f t="shared" ref="H871:P871" si="316">SUM(H867:H870)</f>
        <v>0</v>
      </c>
      <c r="I871" s="661">
        <f t="shared" ca="1" si="316"/>
        <v>0</v>
      </c>
      <c r="J871" s="661">
        <f t="shared" ca="1" si="316"/>
        <v>0</v>
      </c>
      <c r="K871" s="661">
        <f t="shared" ca="1" si="316"/>
        <v>0</v>
      </c>
      <c r="L871" s="661">
        <f t="shared" ca="1" si="316"/>
        <v>0</v>
      </c>
      <c r="M871" s="661">
        <f t="shared" si="316"/>
        <v>0</v>
      </c>
      <c r="N871" s="661">
        <f t="shared" si="316"/>
        <v>0</v>
      </c>
      <c r="O871" s="661">
        <f t="shared" si="316"/>
        <v>0</v>
      </c>
      <c r="P871" s="661">
        <f t="shared" si="316"/>
        <v>0</v>
      </c>
    </row>
    <row r="872" spans="1:18" ht="15.75" hidden="1" thickBot="1" x14ac:dyDescent="0.3"/>
    <row r="873" spans="1:18" s="54" customFormat="1" ht="75.75" hidden="1" thickBot="1" x14ac:dyDescent="0.3">
      <c r="A873" s="119"/>
      <c r="B873" s="309"/>
      <c r="C873" s="322">
        <f ca="1">IF(F888&gt;0,1,0)</f>
        <v>0</v>
      </c>
      <c r="D873" s="45" t="str">
        <f>A54</f>
        <v>Steuben</v>
      </c>
      <c r="E873" s="28">
        <f>+SUMIF(A:A,D873,B:B)</f>
        <v>0</v>
      </c>
      <c r="F873" s="652" t="s">
        <v>61</v>
      </c>
      <c r="G873" s="652" t="s">
        <v>387</v>
      </c>
      <c r="H873" s="652" t="s">
        <v>388</v>
      </c>
      <c r="I873" s="652" t="s">
        <v>392</v>
      </c>
      <c r="J873" s="652" t="s">
        <v>31</v>
      </c>
      <c r="K873" s="652" t="s">
        <v>32</v>
      </c>
      <c r="L873" s="653" t="s">
        <v>33</v>
      </c>
      <c r="M873" s="653" t="s">
        <v>60</v>
      </c>
      <c r="N873" s="653" t="s">
        <v>59</v>
      </c>
      <c r="O873" s="653" t="s">
        <v>58</v>
      </c>
      <c r="P873" s="653" t="s">
        <v>16</v>
      </c>
    </row>
    <row r="874" spans="1:18" s="54" customFormat="1" ht="15.75" hidden="1" thickBot="1" x14ac:dyDescent="0.3">
      <c r="A874" s="119"/>
      <c r="B874" s="309"/>
      <c r="C874" s="322">
        <f ca="1">C873</f>
        <v>0</v>
      </c>
      <c r="D874" s="56"/>
      <c r="E874" s="57"/>
      <c r="F874" s="654" t="s">
        <v>57</v>
      </c>
      <c r="G874" s="654" t="s">
        <v>56</v>
      </c>
      <c r="H874" s="654" t="s">
        <v>55</v>
      </c>
      <c r="I874" s="654" t="s">
        <v>54</v>
      </c>
      <c r="J874" s="654" t="s">
        <v>53</v>
      </c>
      <c r="K874" s="654" t="s">
        <v>52</v>
      </c>
      <c r="L874" s="654" t="s">
        <v>51</v>
      </c>
      <c r="M874" s="654" t="s">
        <v>50</v>
      </c>
      <c r="N874" s="654" t="s">
        <v>49</v>
      </c>
      <c r="O874" s="654" t="s">
        <v>47</v>
      </c>
      <c r="P874" s="655" t="s">
        <v>77</v>
      </c>
    </row>
    <row r="875" spans="1:18" s="54" customFormat="1" ht="15.75" hidden="1" thickBot="1" x14ac:dyDescent="0.3">
      <c r="A875" s="119"/>
      <c r="B875" s="309"/>
      <c r="C875" s="322">
        <f t="shared" ref="C875:C887" ca="1" si="317">C874</f>
        <v>0</v>
      </c>
      <c r="D875" s="59" t="s">
        <v>26</v>
      </c>
      <c r="E875" s="57"/>
      <c r="F875" s="656"/>
      <c r="G875" s="656"/>
      <c r="H875" s="656"/>
      <c r="I875" s="656"/>
      <c r="J875" s="656"/>
      <c r="K875" s="656"/>
      <c r="L875" s="656"/>
      <c r="M875" s="656"/>
      <c r="N875" s="656"/>
      <c r="O875" s="656"/>
      <c r="P875" s="663"/>
    </row>
    <row r="876" spans="1:18" s="54" customFormat="1" ht="15.75" hidden="1" thickBot="1" x14ac:dyDescent="0.3">
      <c r="A876" s="119"/>
      <c r="B876" s="309"/>
      <c r="C876" s="322">
        <f t="shared" ca="1" si="317"/>
        <v>0</v>
      </c>
      <c r="D876" s="7" t="s">
        <v>34</v>
      </c>
      <c r="E876" s="48" t="s">
        <v>57</v>
      </c>
      <c r="F876" s="657">
        <f ca="1">+H876+G876+I876</f>
        <v>0</v>
      </c>
      <c r="G876" s="658">
        <f ca="1">+IFERROR(G$5*GETPIVOTDATA("Unique Billed Hours",'County allocation'!$A$3,"County",$D873,"HHA/CDPAP","HHA","Level of Service",$D876),0)</f>
        <v>0</v>
      </c>
      <c r="H876" s="658">
        <f>+IFERROR(H$5*GETPIVOTDATA("Unique Billed Hours",'County allocation'!$S$3,"County",$D873,"HHA/CDPAP","HHA","Level of Service",$D876),0)</f>
        <v>0</v>
      </c>
      <c r="I876" s="664">
        <f ca="1">SUM(J876:P876)</f>
        <v>0</v>
      </c>
      <c r="J876" s="658">
        <f ca="1">+IFERROR(J$5*GETPIVOTDATA("Unique Billed Hours",'County allocation'!$S$3,"County",$D873,"HHA/CDPAP","HHA","Level of Service",$D876),0)</f>
        <v>0</v>
      </c>
      <c r="K876" s="658">
        <f ca="1">+IFERROR(K$5*GETPIVOTDATA("Unique Billed Hours",'County allocation'!$X$3,"County",$D873,"HHA/CDPAP","HHA","Level of Service",$D876),0)</f>
        <v>0</v>
      </c>
      <c r="L876" s="658">
        <f ca="1">+IFERROR(L$2*GETPIVOTDATA("Unique Billed Hours",'County allocation'!$O$3,"County",$D873,"HHA/CDPAP","HHA","Level of Service",$D876),0)</f>
        <v>0</v>
      </c>
      <c r="M876" s="658">
        <f>+IFERROR(M$5*GETPIVOTDATA("Unique Billed Hours",'County allocation'!$S$3,"County",$D873,"HHA/CDPAP","HHA","Level of Service",$D876),0)</f>
        <v>0</v>
      </c>
      <c r="N876" s="658">
        <f>+IFERROR(N$5*GETPIVOTDATA("Unique Billed Hours",'County allocation'!$S$3,"County",$D873,"HHA/CDPAP","HHA","Level of Service",$D876),0)</f>
        <v>0</v>
      </c>
      <c r="O876" s="658">
        <f>+IFERROR(O$5*GETPIVOTDATA("Unique Billed Hours",'County allocation'!$K$19,"County",$D873,"HHA/CDPAP","HHA","Level of Service",$D876),0)</f>
        <v>0</v>
      </c>
      <c r="P876" s="658">
        <f>+IFERROR(P$5*GETPIVOTDATA("Unique Billed Hours",'County allocation'!$S$3,"County",$D873,"HHA/CDPAP","HHA","Level of Service",$D876),0)</f>
        <v>0</v>
      </c>
    </row>
    <row r="877" spans="1:18" s="54" customFormat="1" ht="15.75" hidden="1" thickBot="1" x14ac:dyDescent="0.3">
      <c r="A877" s="119"/>
      <c r="B877" s="309"/>
      <c r="C877" s="322">
        <f t="shared" ca="1" si="317"/>
        <v>0</v>
      </c>
      <c r="D877" s="7" t="s">
        <v>35</v>
      </c>
      <c r="E877" s="48" t="s">
        <v>56</v>
      </c>
      <c r="F877" s="657">
        <f t="shared" ref="F877:F888" ca="1" si="318">+H877+G877+I877</f>
        <v>0</v>
      </c>
      <c r="G877" s="658">
        <f ca="1">+IFERROR(G$5*GETPIVOTDATA("Unique Billed Hours",'County allocation'!$A$3,"County",$D873,"HHA/CDPAP","HHA","Level of Service",$D877),0)</f>
        <v>0</v>
      </c>
      <c r="H877" s="658">
        <f>+IFERROR(H$5*GETPIVOTDATA("Unique Billed Hours",'County allocation'!$S$3,"County",$D873,"HHA/CDPAP","HHA","Level of Service",$D877),0)</f>
        <v>0</v>
      </c>
      <c r="I877" s="664">
        <f t="shared" ref="I877:I887" ca="1" si="319">SUM(J877:P877)</f>
        <v>0</v>
      </c>
      <c r="J877" s="658">
        <f ca="1">+IFERROR(J$5*GETPIVOTDATA("Unique Billed Hours",'County allocation'!$S$3,"County",$D873,"HHA/CDPAP","HHA","Level of Service",$D877),0)</f>
        <v>0</v>
      </c>
      <c r="K877" s="658">
        <f ca="1">+IFERROR(K$5*GETPIVOTDATA("Unique Billed Hours",'County allocation'!$X$3,"County",$D873,"HHA/CDPAP","HHA","Level of Service",$D877),0)</f>
        <v>0</v>
      </c>
      <c r="L877" s="658">
        <f ca="1">+IFERROR(L$2*GETPIVOTDATA("Unique Billed Hours",'County allocation'!$O$3,"County",$D873,"HHA/CDPAP","HHA","Level of Service",$D877),0)</f>
        <v>0</v>
      </c>
      <c r="M877" s="658">
        <f>+IFERROR(M$5*GETPIVOTDATA("Unique Billed Hours",'County allocation'!$S$3,"County",$D873,"HHA/CDPAP","HHA","Level of Service",$D877),0)</f>
        <v>0</v>
      </c>
      <c r="N877" s="658">
        <f>+IFERROR(N$5*GETPIVOTDATA("Unique Billed Hours",'County allocation'!$S$3,"County",$D873,"HHA/CDPAP","HHA","Level of Service",$D877),0)</f>
        <v>0</v>
      </c>
      <c r="O877" s="658">
        <f>+IFERROR(O$5*GETPIVOTDATA("Unique Billed Hours",'County allocation'!$K$19,"County",$D873,"HHA/CDPAP","HHA","Level of Service",$D877),0)</f>
        <v>0</v>
      </c>
      <c r="P877" s="658">
        <f>+IFERROR(P$5*GETPIVOTDATA("Unique Billed Hours",'County allocation'!$S$3,"County",$D873,"HHA/CDPAP","HHA","Level of Service",$D877),0)</f>
        <v>0</v>
      </c>
      <c r="R877" s="61"/>
    </row>
    <row r="878" spans="1:18" s="54" customFormat="1" ht="15.75" hidden="1" thickBot="1" x14ac:dyDescent="0.3">
      <c r="A878" s="302"/>
      <c r="B878" s="309"/>
      <c r="C878" s="322">
        <f t="shared" ca="1" si="317"/>
        <v>0</v>
      </c>
      <c r="D878" s="7" t="s">
        <v>36</v>
      </c>
      <c r="E878" s="48" t="s">
        <v>55</v>
      </c>
      <c r="F878" s="657">
        <f t="shared" ca="1" si="318"/>
        <v>0</v>
      </c>
      <c r="G878" s="658">
        <f ca="1">+IFERROR(G$5*GETPIVOTDATA("Unique Billed Hours",'County allocation'!$A$3,"County",$D873,"HHA/CDPAP","HHA","Level of Service",$D878),0)</f>
        <v>0</v>
      </c>
      <c r="H878" s="658">
        <f>+IFERROR(H$5*GETPIVOTDATA("Unique Billed Hours",'County allocation'!$S$3,"County",$D873,"HHA/CDPAP","HHA","Level of Service",$D878),0)</f>
        <v>0</v>
      </c>
      <c r="I878" s="664">
        <f t="shared" ca="1" si="319"/>
        <v>0</v>
      </c>
      <c r="J878" s="658">
        <f ca="1">+IFERROR(J$5*GETPIVOTDATA("Unique Billed Hours",'County allocation'!$S$3,"County",$D873,"HHA/CDPAP","HHA","Level of Service",$D878),0)</f>
        <v>0</v>
      </c>
      <c r="K878" s="658">
        <f ca="1">+IFERROR(K$5*GETPIVOTDATA("Unique Billed Hours",'County allocation'!$X$3,"County",$D873,"HHA/CDPAP","HHA","Level of Service",$D878),0)</f>
        <v>0</v>
      </c>
      <c r="L878" s="658">
        <f ca="1">+IFERROR(L$2*GETPIVOTDATA("Unique Billed Hours",'County allocation'!$O$3,"County",$D873,"HHA/CDPAP","HHA","Level of Service",$D878),0)</f>
        <v>0</v>
      </c>
      <c r="M878" s="658">
        <f>+IFERROR(M$5*GETPIVOTDATA("Unique Billed Hours",'County allocation'!$S$3,"County",$D873,"HHA/CDPAP","HHA","Level of Service",$D878),0)</f>
        <v>0</v>
      </c>
      <c r="N878" s="658">
        <f>+IFERROR(N$5*GETPIVOTDATA("Unique Billed Hours",'County allocation'!$S$3,"County",$D873,"HHA/CDPAP","HHA","Level of Service",$D878),0)</f>
        <v>0</v>
      </c>
      <c r="O878" s="658">
        <f>+IFERROR(O$5*GETPIVOTDATA("Unique Billed Hours",'County allocation'!$K$19,"County",$D873,"HHA/CDPAP","HHA","Level of Service",$D878),0)</f>
        <v>0</v>
      </c>
      <c r="P878" s="658">
        <f>+IFERROR(P$5*GETPIVOTDATA("Unique Billed Hours",'County allocation'!$S$3,"County",$D873,"HHA/CDPAP","HHA","Level of Service",$D878),0)</f>
        <v>0</v>
      </c>
    </row>
    <row r="879" spans="1:18" s="54" customFormat="1" ht="15.75" hidden="1" thickBot="1" x14ac:dyDescent="0.3">
      <c r="A879" s="119"/>
      <c r="B879" s="309"/>
      <c r="C879" s="322">
        <f t="shared" ca="1" si="317"/>
        <v>0</v>
      </c>
      <c r="D879" s="7" t="s">
        <v>37</v>
      </c>
      <c r="E879" s="48" t="s">
        <v>54</v>
      </c>
      <c r="F879" s="657">
        <f t="shared" ca="1" si="318"/>
        <v>0</v>
      </c>
      <c r="G879" s="658">
        <f ca="1">+IFERROR(G$5*GETPIVOTDATA("Unique Billed Hours",'County allocation'!$A$3,"County",$D873,"HHA/CDPAP","HHA","Level of Service",$D879),0)</f>
        <v>0</v>
      </c>
      <c r="H879" s="658">
        <f>+IFERROR(H$5*GETPIVOTDATA("Unique Billed Hours",'County allocation'!$S$3,"County",$D873,"HHA/CDPAP","HHA","Level of Service",$D879),0)</f>
        <v>0</v>
      </c>
      <c r="I879" s="664">
        <f t="shared" ca="1" si="319"/>
        <v>0</v>
      </c>
      <c r="J879" s="658">
        <f ca="1">+IFERROR(J$5*GETPIVOTDATA("Unique Billed Hours",'County allocation'!$S$3,"County",$D873,"HHA/CDPAP","HHA","Level of Service",$D879),0)</f>
        <v>0</v>
      </c>
      <c r="K879" s="658">
        <f ca="1">+IFERROR(K$5*GETPIVOTDATA("Unique Billed Hours",'County allocation'!$X$3,"County",$D873,"HHA/CDPAP","HHA","Level of Service",$D879),0)</f>
        <v>0</v>
      </c>
      <c r="L879" s="658">
        <f ca="1">+IFERROR(L$2*GETPIVOTDATA("Unique Billed Hours",'County allocation'!$O$3,"County",$D873,"HHA/CDPAP","HHA","Level of Service",$D879),0)</f>
        <v>0</v>
      </c>
      <c r="M879" s="658">
        <f>+IFERROR(M$5*GETPIVOTDATA("Unique Billed Hours",'County allocation'!$S$3,"County",$D873,"HHA/CDPAP","HHA","Level of Service",$D879),0)</f>
        <v>0</v>
      </c>
      <c r="N879" s="658">
        <f>+IFERROR(N$5*GETPIVOTDATA("Unique Billed Hours",'County allocation'!$S$3,"County",$D873,"HHA/CDPAP","HHA","Level of Service",$D879),0)</f>
        <v>0</v>
      </c>
      <c r="O879" s="658">
        <f>+IFERROR(O$5*GETPIVOTDATA("Unique Billed Hours",'County allocation'!$K$19,"County",$D873,"HHA/CDPAP","HHA","Level of Service",$D879),0)</f>
        <v>0</v>
      </c>
      <c r="P879" s="658">
        <f>+IFERROR(P$5*GETPIVOTDATA("Unique Billed Hours",'County allocation'!$S$3,"County",$D873,"HHA/CDPAP","HHA","Level of Service",$D879),0)</f>
        <v>0</v>
      </c>
    </row>
    <row r="880" spans="1:18" s="54" customFormat="1" ht="15.75" hidden="1" thickBot="1" x14ac:dyDescent="0.3">
      <c r="A880" s="119"/>
      <c r="B880" s="309"/>
      <c r="C880" s="322">
        <f t="shared" ca="1" si="317"/>
        <v>0</v>
      </c>
      <c r="D880" s="7" t="s">
        <v>38</v>
      </c>
      <c r="E880" s="48" t="s">
        <v>53</v>
      </c>
      <c r="F880" s="657">
        <f t="shared" ca="1" si="318"/>
        <v>0</v>
      </c>
      <c r="G880" s="658">
        <f ca="1">+IFERROR(G$5*GETPIVOTDATA("Unique Billed Hours",'County allocation'!$A$3,"County",$D873,"HHA/CDPAP","HHA","Level of Service",$D880),0)</f>
        <v>0</v>
      </c>
      <c r="H880" s="658">
        <f>+IFERROR(H$5*GETPIVOTDATA("Unique Billed Hours",'County allocation'!$S$3,"County",$D873,"HHA/CDPAP","HHA","Level of Service",$D880),0)</f>
        <v>0</v>
      </c>
      <c r="I880" s="664">
        <f t="shared" ca="1" si="319"/>
        <v>0</v>
      </c>
      <c r="J880" s="658">
        <f ca="1">+IFERROR(J$5*GETPIVOTDATA("Unique Billed Hours",'County allocation'!$S$3,"County",$D873,"HHA/CDPAP","HHA","Level of Service",$D880),0)</f>
        <v>0</v>
      </c>
      <c r="K880" s="658">
        <f ca="1">+IFERROR(K$5*GETPIVOTDATA("Unique Billed Hours",'County allocation'!$X$3,"County",$D873,"HHA/CDPAP","HHA","Level of Service",$D880),0)</f>
        <v>0</v>
      </c>
      <c r="L880" s="658">
        <f ca="1">+IFERROR(L$5*GETPIVOTDATA("Unique Billed Hours",'County allocation'!$K$19,"County",$D873,"HHA/CDPAP","HHA","Level of Service",$D880),0)</f>
        <v>0</v>
      </c>
      <c r="M880" s="658">
        <f>+IFERROR(M$5*GETPIVOTDATA("Unique Billed Hours",'County allocation'!$S$3,"County",$D873,"HHA/CDPAP","HHA","Level of Service",$D880),0)</f>
        <v>0</v>
      </c>
      <c r="N880" s="658">
        <f>+IFERROR(N$5*GETPIVOTDATA("Unique Billed Hours",'County allocation'!$S$3,"County",$D873,"HHA/CDPAP","HHA","Level of Service",$D880),0)</f>
        <v>0</v>
      </c>
      <c r="O880" s="658">
        <f>+IFERROR(O$5*GETPIVOTDATA("Unique Billed Hours",'County allocation'!$K$19,"County",$D873,"HHA/CDPAP","HHA","Level of Service",$D880),0)</f>
        <v>0</v>
      </c>
      <c r="P880" s="658">
        <f>+IFERROR(P$5*GETPIVOTDATA("Unique Billed Hours",'County allocation'!$S$3,"County",$D873,"HHA/CDPAP","HHA","Level of Service",$D880),0)</f>
        <v>0</v>
      </c>
    </row>
    <row r="881" spans="1:18" s="54" customFormat="1" ht="15.75" hidden="1" thickBot="1" x14ac:dyDescent="0.3">
      <c r="A881" s="119"/>
      <c r="B881" s="309"/>
      <c r="C881" s="322">
        <f t="shared" ca="1" si="317"/>
        <v>0</v>
      </c>
      <c r="D881" s="7" t="s">
        <v>39</v>
      </c>
      <c r="E881" s="48" t="s">
        <v>52</v>
      </c>
      <c r="F881" s="657">
        <f t="shared" ca="1" si="318"/>
        <v>0</v>
      </c>
      <c r="G881" s="658">
        <f ca="1">+IFERROR(G$5*GETPIVOTDATA("Unique Billed Hours",'County allocation'!$A$3,"County",$D873,"HHA/CDPAP","HHA","Level of Service",$D881),0)</f>
        <v>0</v>
      </c>
      <c r="H881" s="658">
        <f>+IFERROR(H$5*GETPIVOTDATA("Unique Billed Hours",'County allocation'!$S$3,"County",$D873,"HHA/CDPAP","HHA","Level of Service",$D881),0)</f>
        <v>0</v>
      </c>
      <c r="I881" s="664">
        <f t="shared" ca="1" si="319"/>
        <v>0</v>
      </c>
      <c r="J881" s="658">
        <f ca="1">+IFERROR(J$5*GETPIVOTDATA("Unique Billed Hours",'County allocation'!$S$3,"County",$D873,"HHA/CDPAP","HHA","Level of Service",$D881),0)</f>
        <v>0</v>
      </c>
      <c r="K881" s="658">
        <f ca="1">+IFERROR(K$5*GETPIVOTDATA("Unique Billed Hours",'County allocation'!$X$3,"County",$D873,"HHA/CDPAP","HHA","Level of Service",$D881),0)</f>
        <v>0</v>
      </c>
      <c r="L881" s="658">
        <f ca="1">+IFERROR(L$5*GETPIVOTDATA("Unique Billed Hours",'County allocation'!$K$19,"County",$D873,"HHA/CDPAP","HHA","Level of Service",$D881),0)</f>
        <v>0</v>
      </c>
      <c r="M881" s="658">
        <f>+IFERROR(M$5*GETPIVOTDATA("Unique Billed Hours",'County allocation'!$S$3,"County",$D873,"HHA/CDPAP","HHA","Level of Service",$D881),0)</f>
        <v>0</v>
      </c>
      <c r="N881" s="658">
        <f>+IFERROR(N$5*GETPIVOTDATA("Unique Billed Hours",'County allocation'!$S$3,"County",$D873,"HHA/CDPAP","HHA","Level of Service",$D881),0)</f>
        <v>0</v>
      </c>
      <c r="O881" s="658">
        <f>+IFERROR(O$5*GETPIVOTDATA("Unique Billed Hours",'County allocation'!$K$19,"County",$D873,"HHA/CDPAP","HHA","Level of Service",$D881),0)</f>
        <v>0</v>
      </c>
      <c r="P881" s="658">
        <f>+IFERROR(P$5*GETPIVOTDATA("Unique Billed Hours",'County allocation'!$S$3,"County",$D873,"HHA/CDPAP","HHA","Level of Service",$D881),0)</f>
        <v>0</v>
      </c>
    </row>
    <row r="882" spans="1:18" s="54" customFormat="1" ht="15.75" hidden="1" thickBot="1" x14ac:dyDescent="0.3">
      <c r="A882" s="119"/>
      <c r="B882" s="309"/>
      <c r="C882" s="322">
        <f t="shared" ca="1" si="317"/>
        <v>0</v>
      </c>
      <c r="D882" s="8" t="s">
        <v>40</v>
      </c>
      <c r="E882" s="48" t="s">
        <v>51</v>
      </c>
      <c r="F882" s="657">
        <f t="shared" ca="1" si="318"/>
        <v>0</v>
      </c>
      <c r="G882" s="658">
        <f ca="1">+IFERROR(G$5*GETPIVOTDATA("Unique Billed Hours",'County allocation'!$A$3,"County",$D873,"HHA/CDPAP","HHA","Level of Service",$D882),0)</f>
        <v>0</v>
      </c>
      <c r="H882" s="658">
        <f>+IFERROR(H$5*GETPIVOTDATA("Unique Billed Hours",'County allocation'!$S$3,"County",$D873,"HHA/CDPAP","HHA","Level of Service",$D882),0)</f>
        <v>0</v>
      </c>
      <c r="I882" s="664">
        <f t="shared" ca="1" si="319"/>
        <v>0</v>
      </c>
      <c r="J882" s="658">
        <f ca="1">+IFERROR(J$5*GETPIVOTDATA("Unique Billed Hours",'County allocation'!$S$3,"County",$D873,"HHA/CDPAP","HHA","Level of Service",$D882),0)</f>
        <v>0</v>
      </c>
      <c r="K882" s="658">
        <f ca="1">+IFERROR(K$5*GETPIVOTDATA("Unique Billed Hours",'County allocation'!$X$3,"County",$D873,"HHA/CDPAP","HHA","Level of Service",$D882),0)</f>
        <v>0</v>
      </c>
      <c r="L882" s="658">
        <f ca="1">+IFERROR(L$2*GETPIVOTDATA("Unique Billed Hours",'County allocation'!$O$3,"County",$D873,"HHA/CDPAP","HHA","Level of Service",$D882),0)</f>
        <v>0</v>
      </c>
      <c r="M882" s="658">
        <f>+IFERROR(M$5*GETPIVOTDATA("Unique Billed Hours",'County allocation'!$S$3,"County",$D873,"HHA/CDPAP","HHA","Level of Service",$D882),0)</f>
        <v>0</v>
      </c>
      <c r="N882" s="658">
        <f>+IFERROR(N$5*GETPIVOTDATA("Unique Billed Hours",'County allocation'!$S$3,"County",$D873,"HHA/CDPAP","HHA","Level of Service",$D882),0)</f>
        <v>0</v>
      </c>
      <c r="O882" s="658">
        <f>+IFERROR(O$5*GETPIVOTDATA("Unique Billed Hours",'County allocation'!$K$19,"County",$D873,"HHA/CDPAP","HHA","Level of Service",$D882),0)</f>
        <v>0</v>
      </c>
      <c r="P882" s="658">
        <f>+IFERROR(P$5*GETPIVOTDATA("Unique Billed Hours",'County allocation'!$S$3,"County",$D873,"HHA/CDPAP","HHA","Level of Service",$D882),0)</f>
        <v>0</v>
      </c>
    </row>
    <row r="883" spans="1:18" s="54" customFormat="1" ht="15.75" hidden="1" thickBot="1" x14ac:dyDescent="0.3">
      <c r="A883" s="119"/>
      <c r="B883" s="309"/>
      <c r="C883" s="322">
        <f t="shared" ca="1" si="317"/>
        <v>0</v>
      </c>
      <c r="D883" s="8" t="s">
        <v>41</v>
      </c>
      <c r="E883" s="48" t="s">
        <v>50</v>
      </c>
      <c r="F883" s="657">
        <f t="shared" ca="1" si="318"/>
        <v>0</v>
      </c>
      <c r="G883" s="658">
        <f ca="1">+IFERROR(G$5*GETPIVOTDATA("Unique Billed Hours",'County allocation'!$A$3,"County",$D873,"HHA/CDPAP","HHA","Level of Service",$D883),0)</f>
        <v>0</v>
      </c>
      <c r="H883" s="658">
        <f>+IFERROR(H$5*GETPIVOTDATA("Unique Billed Hours",'County allocation'!$S$3,"County",$D873,"HHA/CDPAP","HHA","Level of Service",$D883),0)</f>
        <v>0</v>
      </c>
      <c r="I883" s="664">
        <f t="shared" ca="1" si="319"/>
        <v>0</v>
      </c>
      <c r="J883" s="658">
        <f ca="1">+IFERROR(J$5*GETPIVOTDATA("Unique Billed Hours",'County allocation'!$S$3,"County",$D873,"HHA/CDPAP","HHA","Level of Service",$D883),0)</f>
        <v>0</v>
      </c>
      <c r="K883" s="658">
        <f ca="1">+IFERROR(K$5*GETPIVOTDATA("Unique Billed Hours",'County allocation'!$X$3,"County",$D873,"HHA/CDPAP","HHA","Level of Service",$D883),0)</f>
        <v>0</v>
      </c>
      <c r="L883" s="658">
        <f ca="1">+IFERROR(L$2*GETPIVOTDATA("Unique Billed Hours",'County allocation'!$O$3,"County",$D873,"HHA/CDPAP","HHA","Level of Service",$D883),0)</f>
        <v>0</v>
      </c>
      <c r="M883" s="658">
        <f>+IFERROR(M$5*GETPIVOTDATA("Unique Billed Hours",'County allocation'!$S$3,"County",$D873,"HHA/CDPAP","HHA","Level of Service",$D883),0)</f>
        <v>0</v>
      </c>
      <c r="N883" s="658">
        <f>+IFERROR(N$5*GETPIVOTDATA("Unique Billed Hours",'County allocation'!$S$3,"County",$D873,"HHA/CDPAP","HHA","Level of Service",$D883),0)</f>
        <v>0</v>
      </c>
      <c r="O883" s="658">
        <f>+IFERROR(O$5*GETPIVOTDATA("Unique Billed Hours",'County allocation'!$K$19,"County",$D873,"HHA/CDPAP","HHA","Level of Service",$D883),0)</f>
        <v>0</v>
      </c>
      <c r="P883" s="658">
        <f>+IFERROR(P$5*GETPIVOTDATA("Unique Billed Hours",'County allocation'!$S$3,"County",$D873,"HHA/CDPAP","HHA","Level of Service",$D883),0)</f>
        <v>0</v>
      </c>
    </row>
    <row r="884" spans="1:18" s="54" customFormat="1" ht="15.75" hidden="1" thickBot="1" x14ac:dyDescent="0.3">
      <c r="A884" s="119"/>
      <c r="B884" s="309"/>
      <c r="C884" s="322">
        <f t="shared" ca="1" si="317"/>
        <v>0</v>
      </c>
      <c r="D884" s="52" t="s">
        <v>389</v>
      </c>
      <c r="E884" s="53" t="s">
        <v>49</v>
      </c>
      <c r="F884" s="657">
        <f t="shared" ca="1" si="318"/>
        <v>0</v>
      </c>
      <c r="G884" s="661">
        <f ca="1">SUM(G876:G883)</f>
        <v>0</v>
      </c>
      <c r="H884" s="661">
        <f>SUM(H876:H883)</f>
        <v>0</v>
      </c>
      <c r="I884" s="664">
        <f t="shared" ca="1" si="319"/>
        <v>0</v>
      </c>
      <c r="J884" s="661">
        <f ca="1">SUM(J876:J883)</f>
        <v>0</v>
      </c>
      <c r="K884" s="661">
        <f t="shared" ref="K884:P884" ca="1" si="320">SUM(K876:K883)</f>
        <v>0</v>
      </c>
      <c r="L884" s="661">
        <f t="shared" ca="1" si="320"/>
        <v>0</v>
      </c>
      <c r="M884" s="661">
        <f t="shared" si="320"/>
        <v>0</v>
      </c>
      <c r="N884" s="661">
        <f t="shared" si="320"/>
        <v>0</v>
      </c>
      <c r="O884" s="661">
        <f t="shared" si="320"/>
        <v>0</v>
      </c>
      <c r="P884" s="661">
        <f t="shared" si="320"/>
        <v>0</v>
      </c>
    </row>
    <row r="885" spans="1:18" s="54" customFormat="1" ht="15.75" hidden="1" thickBot="1" x14ac:dyDescent="0.3">
      <c r="A885" s="119"/>
      <c r="B885" s="309"/>
      <c r="C885" s="322">
        <f t="shared" ca="1" si="317"/>
        <v>0</v>
      </c>
      <c r="D885" s="371" t="s">
        <v>390</v>
      </c>
      <c r="E885" s="325" t="s">
        <v>47</v>
      </c>
      <c r="F885" s="657">
        <f t="shared" ca="1" si="318"/>
        <v>0</v>
      </c>
      <c r="G885" s="665">
        <f ca="1">+IFERROR((G$5*GETPIVOTDATA("Unique Billed Hours",'County allocation'!$A$3,"County",$D873,"HHA/CDPAP","HHA","Level of Service",$D885))+($G$2*GETPIVOTDATA("Unique Billed Hours",'County allocation'!$F$7,"County",$D873,"HHA/CDPAP","HHA","Level of Service",$D885)),0)++IFERROR(J$5*GETPIVOTDATA("Unique Billed Hours",'County allocation'!$AC$3,"County",$D873,"HHA/CDPAP","HHA","Level of Service",$D885),0)+ +IFERROR(J$5*GETPIVOTDATA("Unique Billed Hours",'County allocation'!$AC$3,"County",$D873,"HHA/CDPAP","HHA","Level of Service",$D886),0)</f>
        <v>0</v>
      </c>
      <c r="H885" s="665">
        <f>+IFERROR(H$5*GETPIVOTDATA("Unique Billed Hours",'County allocation'!$S$3,"County",$D873,"HHA/CDPAP","HHA","Level of Service",$D885),0)</f>
        <v>0</v>
      </c>
      <c r="I885" s="664">
        <f t="shared" ca="1" si="319"/>
        <v>0</v>
      </c>
      <c r="J885" s="901"/>
      <c r="K885" s="665">
        <f ca="1">+IFERROR(K$5*GETPIVOTDATA("Unique Billed Hours",'County allocation'!$X$3,"County",$D873,"HHA/CDPAP","HHA","Level of Service",$D885),0)</f>
        <v>0</v>
      </c>
      <c r="L885" s="665">
        <f ca="1">+IFERROR(L$5*GETPIVOTDATA("Unique Billed Hours",'County allocation'!$K$19,"County",$D873,"HHA/CDPAP","HHA","Level of Service",$D885),0)</f>
        <v>0</v>
      </c>
      <c r="M885" s="665">
        <f>+IFERROR(M$5*GETPIVOTDATA("Unique Billed Hours",'County allocation'!$S$3,"County",$D873,"HHA/CDPAP","HHA","Level of Service",$D885),0)</f>
        <v>0</v>
      </c>
      <c r="N885" s="665">
        <f>+IFERROR(N$5*GETPIVOTDATA("Unique Billed Hours",'County allocation'!$S$3,"County",$D873,"HHA/CDPAP","HHA","Level of Service",$D885),0)</f>
        <v>0</v>
      </c>
      <c r="O885" s="665">
        <f>+IFERROR(O$5*GETPIVOTDATA("Unique Billed Hours",'County allocation'!$S$3,"County",$D873,"HHA/CDPAP","HHA","Level of Service",$D885),0)</f>
        <v>0</v>
      </c>
      <c r="P885" s="665">
        <f>+IFERROR(P$5*GETPIVOTDATA("Unique Billed Hours",'County allocation'!$S$3,"County",$D873,"HHA/CDPAP","HHA","Level of Service",$D885),0)</f>
        <v>0</v>
      </c>
    </row>
    <row r="886" spans="1:18" s="54" customFormat="1" ht="15.75" hidden="1" thickBot="1" x14ac:dyDescent="0.3">
      <c r="A886" s="119"/>
      <c r="B886" s="309"/>
      <c r="C886" s="322">
        <f t="shared" ca="1" si="317"/>
        <v>0</v>
      </c>
      <c r="D886" s="8" t="s">
        <v>391</v>
      </c>
      <c r="E886" s="370" t="s">
        <v>77</v>
      </c>
      <c r="F886" s="657">
        <f t="shared" ca="1" si="318"/>
        <v>0</v>
      </c>
      <c r="G886" s="656"/>
      <c r="H886" s="658">
        <f>+IFERROR(H$5*GETPIVOTDATA("Unique Billed Hours",'County allocation'!$S$3,"County",$D873,"HHA/CDPAP","HHA","Level of Service",$D886),0)</f>
        <v>0</v>
      </c>
      <c r="I886" s="664">
        <f t="shared" ca="1" si="319"/>
        <v>0</v>
      </c>
      <c r="J886" s="901"/>
      <c r="K886" s="665">
        <f ca="1">+IFERROR(K$5*GETPIVOTDATA("Unique Billed Hours",'County allocation'!$X$3,"County",$D873,"HHA/CDPAP","HHA","Level of Service",$D886),0)</f>
        <v>0</v>
      </c>
      <c r="L886" s="665">
        <f ca="1">+IFERROR(L$5*GETPIVOTDATA("Unique Billed Hours",'County allocation'!$K$19,"County",$D873,"HHA/CDPAP","HHA","Level of Service",$D886),0)</f>
        <v>0</v>
      </c>
      <c r="M886" s="665">
        <f>+IFERROR(M$5*GETPIVOTDATA("Unique Billed Hours",'County allocation'!$S$3,"County",$D873,"HHA/CDPAP","HHA","Level of Service",$D886),0)</f>
        <v>0</v>
      </c>
      <c r="N886" s="665">
        <f>+IFERROR(N$5*GETPIVOTDATA("Unique Billed Hours",'County allocation'!$S$3,"County",$D873,"HHA/CDPAP","HHA","Level of Service",$D886),0)</f>
        <v>0</v>
      </c>
      <c r="O886" s="665">
        <f>+IFERROR(O$5*GETPIVOTDATA("Unique Billed Hours",'County allocation'!$S$3,"County",$D873,"HHA/CDPAP","HHA","Level of Service",$D886),0)</f>
        <v>0</v>
      </c>
      <c r="P886" s="665">
        <f>+IFERROR(P$5*GETPIVOTDATA("Unique Billed Hours",'County allocation'!$S$3,"County",$D873,"HHA/CDPAP","HHA","Level of Service",$D886),0)</f>
        <v>0</v>
      </c>
    </row>
    <row r="887" spans="1:18" s="54" customFormat="1" ht="15.75" hidden="1" thickBot="1" x14ac:dyDescent="0.3">
      <c r="A887" s="119"/>
      <c r="B887" s="309"/>
      <c r="C887" s="322">
        <f t="shared" ca="1" si="317"/>
        <v>0</v>
      </c>
      <c r="D887" s="8" t="s">
        <v>374</v>
      </c>
      <c r="E887" s="370" t="s">
        <v>78</v>
      </c>
      <c r="F887" s="657">
        <f t="shared" ca="1" si="318"/>
        <v>0</v>
      </c>
      <c r="G887" s="658">
        <f ca="1">+IFERROR(G$5*GETPIVOTDATA("Unique Billed Hours",'County allocation'!$A$3,"County",$D873,"HHA/CDPAP","HHA","Level of Service",$D887),0)++IFERROR(J$5*GETPIVOTDATA("Unique Billed Hours",'County allocation'!$AC$3,"County",$D873,"HHA/CDPAP","HHA","Level of Service",$D887),0)</f>
        <v>0</v>
      </c>
      <c r="H887" s="658">
        <f>+IFERROR(H$5*GETPIVOTDATA("Unique Billed Hours",'County allocation'!$S$3,"County",$D873,"HHA/CDPAP","HHA","Level of Service",$D887),0)</f>
        <v>0</v>
      </c>
      <c r="I887" s="664">
        <f t="shared" ca="1" si="319"/>
        <v>0</v>
      </c>
      <c r="J887" s="901"/>
      <c r="K887" s="665">
        <f ca="1">+IFERROR(K$5*GETPIVOTDATA("Unique Billed Hours",'County allocation'!$X$3,"County",$D873,"HHA/CDPAP","HHA","Level of Service",$D887),0)</f>
        <v>0</v>
      </c>
      <c r="L887" s="665">
        <f ca="1">+IFERROR(L$5*GETPIVOTDATA("Unique Billed Hours",'County allocation'!$K$19,"County",$D873,"HHA/CDPAP","HHA","Level of Service",$D887),0)</f>
        <v>0</v>
      </c>
      <c r="M887" s="665">
        <f>+IFERROR(M$5*GETPIVOTDATA("Unique Billed Hours",'County allocation'!$S$3,"County",$D873,"HHA/CDPAP","HHA","Level of Service",$D887),0)</f>
        <v>0</v>
      </c>
      <c r="N887" s="665">
        <f>+IFERROR(N$5*GETPIVOTDATA("Unique Billed Hours",'County allocation'!$S$3,"County",$D873,"HHA/CDPAP","HHA","Level of Service",$D887),0)</f>
        <v>0</v>
      </c>
      <c r="O887" s="665">
        <f>+IFERROR(O$5*GETPIVOTDATA("Unique Billed Hours",'County allocation'!$S$3,"County",$D873,"HHA/CDPAP","HHA","Level of Service",$D887),0)</f>
        <v>0</v>
      </c>
      <c r="P887" s="665">
        <f>+IFERROR(P$5*GETPIVOTDATA("Unique Billed Hours",'County allocation'!$S$3,"County",$D873,"HHA/CDPAP","HHA","Level of Service",$D887),0)</f>
        <v>0</v>
      </c>
    </row>
    <row r="888" spans="1:18" s="54" customFormat="1" ht="15.75" hidden="1" thickBot="1" x14ac:dyDescent="0.3">
      <c r="A888" s="302"/>
      <c r="B888" s="309"/>
      <c r="C888" s="322">
        <f ca="1">C887</f>
        <v>0</v>
      </c>
      <c r="D888" s="52" t="s">
        <v>48</v>
      </c>
      <c r="E888" s="53" t="s">
        <v>79</v>
      </c>
      <c r="F888" s="657">
        <f t="shared" ca="1" si="318"/>
        <v>0</v>
      </c>
      <c r="G888" s="661">
        <f t="shared" ref="G888" ca="1" si="321">SUM(G884:G887)</f>
        <v>0</v>
      </c>
      <c r="H888" s="661">
        <f t="shared" ref="H888:P888" si="322">SUM(H884:H887)</f>
        <v>0</v>
      </c>
      <c r="I888" s="661">
        <f t="shared" ca="1" si="322"/>
        <v>0</v>
      </c>
      <c r="J888" s="661">
        <f t="shared" ca="1" si="322"/>
        <v>0</v>
      </c>
      <c r="K888" s="661">
        <f t="shared" ca="1" si="322"/>
        <v>0</v>
      </c>
      <c r="L888" s="661">
        <f t="shared" ca="1" si="322"/>
        <v>0</v>
      </c>
      <c r="M888" s="661">
        <f t="shared" si="322"/>
        <v>0</v>
      </c>
      <c r="N888" s="661">
        <f t="shared" si="322"/>
        <v>0</v>
      </c>
      <c r="O888" s="661">
        <f t="shared" si="322"/>
        <v>0</v>
      </c>
      <c r="P888" s="661">
        <f t="shared" si="322"/>
        <v>0</v>
      </c>
    </row>
    <row r="889" spans="1:18" ht="15.75" hidden="1" thickBot="1" x14ac:dyDescent="0.3"/>
    <row r="890" spans="1:18" s="54" customFormat="1" ht="75" x14ac:dyDescent="0.25">
      <c r="A890" s="119"/>
      <c r="B890" s="309"/>
      <c r="C890" s="322">
        <f ca="1">IF(F905&gt;0,1,0)</f>
        <v>1</v>
      </c>
      <c r="D890" s="45" t="str">
        <f>A55</f>
        <v>Suffolk</v>
      </c>
      <c r="E890" s="28">
        <f>+SUMIF(A:A,D890,B:B)</f>
        <v>1.3789830938469415E-5</v>
      </c>
      <c r="F890" s="652" t="s">
        <v>61</v>
      </c>
      <c r="G890" s="652" t="s">
        <v>387</v>
      </c>
      <c r="H890" s="652" t="s">
        <v>388</v>
      </c>
      <c r="I890" s="652" t="s">
        <v>392</v>
      </c>
      <c r="J890" s="652" t="s">
        <v>31</v>
      </c>
      <c r="K890" s="652" t="s">
        <v>32</v>
      </c>
      <c r="L890" s="653" t="s">
        <v>33</v>
      </c>
      <c r="M890" s="653" t="s">
        <v>60</v>
      </c>
      <c r="N890" s="653" t="s">
        <v>59</v>
      </c>
      <c r="O890" s="653" t="s">
        <v>58</v>
      </c>
      <c r="P890" s="653" t="s">
        <v>16</v>
      </c>
    </row>
    <row r="891" spans="1:18" s="54" customFormat="1" x14ac:dyDescent="0.25">
      <c r="A891" s="119"/>
      <c r="B891" s="309"/>
      <c r="C891" s="322">
        <f ca="1">C890</f>
        <v>1</v>
      </c>
      <c r="D891" s="56"/>
      <c r="E891" s="57"/>
      <c r="F891" s="654" t="s">
        <v>57</v>
      </c>
      <c r="G891" s="654" t="s">
        <v>56</v>
      </c>
      <c r="H891" s="654" t="s">
        <v>55</v>
      </c>
      <c r="I891" s="654" t="s">
        <v>54</v>
      </c>
      <c r="J891" s="654" t="s">
        <v>53</v>
      </c>
      <c r="K891" s="654" t="s">
        <v>52</v>
      </c>
      <c r="L891" s="654" t="s">
        <v>51</v>
      </c>
      <c r="M891" s="654" t="s">
        <v>50</v>
      </c>
      <c r="N891" s="654" t="s">
        <v>49</v>
      </c>
      <c r="O891" s="654" t="s">
        <v>47</v>
      </c>
      <c r="P891" s="655" t="s">
        <v>77</v>
      </c>
    </row>
    <row r="892" spans="1:18" s="54" customFormat="1" x14ac:dyDescent="0.25">
      <c r="A892" s="119"/>
      <c r="B892" s="309"/>
      <c r="C892" s="322">
        <f t="shared" ref="C892:C904" ca="1" si="323">C891</f>
        <v>1</v>
      </c>
      <c r="D892" s="59" t="s">
        <v>26</v>
      </c>
      <c r="E892" s="57"/>
      <c r="F892" s="656"/>
      <c r="G892" s="656"/>
      <c r="H892" s="656"/>
      <c r="I892" s="656"/>
      <c r="J892" s="656"/>
      <c r="K892" s="656"/>
      <c r="L892" s="656"/>
      <c r="M892" s="656"/>
      <c r="N892" s="656"/>
      <c r="O892" s="656"/>
      <c r="P892" s="663"/>
    </row>
    <row r="893" spans="1:18" s="54" customFormat="1" x14ac:dyDescent="0.25">
      <c r="A893" s="119"/>
      <c r="B893" s="309"/>
      <c r="C893" s="322">
        <f t="shared" ca="1" si="323"/>
        <v>1</v>
      </c>
      <c r="D893" s="7" t="s">
        <v>34</v>
      </c>
      <c r="E893" s="48" t="s">
        <v>57</v>
      </c>
      <c r="F893" s="657">
        <f ca="1">+H893+G893+I893</f>
        <v>0</v>
      </c>
      <c r="G893" s="658">
        <f ca="1">+IFERROR(G$5*GETPIVOTDATA("Unique Billed Hours",'County allocation'!$A$3,"County",$D890,"HHA/CDPAP","HHA","Level of Service",$D893),0)</f>
        <v>0</v>
      </c>
      <c r="H893" s="658">
        <f>+IFERROR(H$5*GETPIVOTDATA("Unique Billed Hours",'County allocation'!$S$3,"County",$D890,"HHA/CDPAP","HHA","Level of Service",$D893),0)</f>
        <v>0</v>
      </c>
      <c r="I893" s="664">
        <f ca="1">SUM(J893:P893)</f>
        <v>0</v>
      </c>
      <c r="J893" s="658">
        <f ca="1">+IFERROR(J$5*GETPIVOTDATA("Unique Billed Hours",'County allocation'!$AC$3,"County",$D890,"HHA/CDPAP","HHA","Level of Service",$D893),0)</f>
        <v>0</v>
      </c>
      <c r="K893" s="658">
        <f ca="1">+IFERROR(K$5*GETPIVOTDATA("Unique Billed Hours",'County allocation'!$X$3,"County",$D890,"HHA/CDPAP","HHA","Level of Service",$D893),0)</f>
        <v>0</v>
      </c>
      <c r="L893" s="658">
        <f ca="1">+IFERROR(L$2*GETPIVOTDATA("Unique Billed Hours",'County allocation'!$O$3,"County",$D890,"HHA/CDPAP","HHA","Level of Service",$D893),0)</f>
        <v>0</v>
      </c>
      <c r="M893" s="658">
        <f>+IFERROR(M$5*GETPIVOTDATA("Unique Billed Hours",'County allocation'!$S$3,"County",$D890,"HHA/CDPAP","HHA","Level of Service",$D893),0)</f>
        <v>0</v>
      </c>
      <c r="N893" s="658">
        <f>+IFERROR(N$5*GETPIVOTDATA("Unique Billed Hours",'County allocation'!$S$3,"County",$D890,"HHA/CDPAP","HHA","Level of Service",$D893),0)</f>
        <v>0</v>
      </c>
      <c r="O893" s="658">
        <f>+IFERROR(O$5*GETPIVOTDATA("Unique Billed Hours",'County allocation'!$K$19,"County",$D890,"HHA/CDPAP","HHA","Level of Service",$D893),0)</f>
        <v>0</v>
      </c>
      <c r="P893" s="658">
        <f>+IFERROR(P$5*GETPIVOTDATA("Unique Billed Hours",'County allocation'!$S$3,"County",$D890,"HHA/CDPAP","HHA","Level of Service",$D893),0)</f>
        <v>0</v>
      </c>
    </row>
    <row r="894" spans="1:18" s="54" customFormat="1" x14ac:dyDescent="0.25">
      <c r="A894" s="119"/>
      <c r="B894" s="309"/>
      <c r="C894" s="322">
        <f t="shared" ca="1" si="323"/>
        <v>1</v>
      </c>
      <c r="D894" s="7" t="s">
        <v>35</v>
      </c>
      <c r="E894" s="48" t="s">
        <v>56</v>
      </c>
      <c r="F894" s="657">
        <f t="shared" ref="F894:F905" ca="1" si="324">+H894+G894+I894</f>
        <v>2640.2646135294458</v>
      </c>
      <c r="G894" s="658">
        <f ca="1">+IFERROR(G$5*GETPIVOTDATA("Unique Billed Hours",'County allocation'!$A$3,"County",$D890,"HHA/CDPAP","HHA","Level of Service",$D894),0)</f>
        <v>88.572733267865232</v>
      </c>
      <c r="H894" s="658">
        <f>+IFERROR(H$5*GETPIVOTDATA("Unique Billed Hours",'County allocation'!$S$3,"County",$D890,"HHA/CDPAP","HHA","Level of Service",$D894),0)</f>
        <v>151.51238176385098</v>
      </c>
      <c r="I894" s="664">
        <f t="shared" ref="I894:I904" ca="1" si="325">SUM(J894:P894)</f>
        <v>2400.1794984977296</v>
      </c>
      <c r="J894" s="658">
        <f ca="1">+IFERROR(J$5*GETPIVOTDATA("Unique Billed Hours",'County allocation'!$AC$3,"County",$D890,"HHA/CDPAP","HHA","Level of Service",$D894),0)</f>
        <v>315.45591249627745</v>
      </c>
      <c r="K894" s="658">
        <f ca="1">+IFERROR(K$5*GETPIVOTDATA("Unique Billed Hours",'County allocation'!$X$3,"County",$D890,"HHA/CDPAP","HHA","Level of Service",$D894),0)</f>
        <v>2039.2975146300726</v>
      </c>
      <c r="L894" s="658">
        <f ca="1">+IFERROR(L$2*GETPIVOTDATA("Unique Billed Hours",'County allocation'!$O$3,"County",$D890,"HHA/CDPAP","HHA","Level of Service",$D894),0)</f>
        <v>29.24930929078068</v>
      </c>
      <c r="M894" s="658">
        <f>+IFERROR(M$5*GETPIVOTDATA("Unique Billed Hours",'County allocation'!$S$3,"County",$D890,"HHA/CDPAP","HHA","Level of Service",$D894),0)</f>
        <v>14.926585158503666</v>
      </c>
      <c r="N894" s="658">
        <f>+IFERROR(N$5*GETPIVOTDATA("Unique Billed Hours",'County allocation'!$S$3,"County",$D890,"HHA/CDPAP","HHA","Level of Service",$D894),0)</f>
        <v>1.2501769220954033</v>
      </c>
      <c r="O894" s="658">
        <f>+IFERROR(O$5*GETPIVOTDATA("Unique Billed Hours",'County allocation'!$K$19,"County",$D890,"HHA/CDPAP","HHA","Level of Service",$D894),0)</f>
        <v>0</v>
      </c>
      <c r="P894" s="658">
        <f>+IFERROR(P$5*GETPIVOTDATA("Unique Billed Hours",'County allocation'!$S$3,"County",$D890,"HHA/CDPAP","HHA","Level of Service",$D894),0)</f>
        <v>0</v>
      </c>
      <c r="R894" s="61"/>
    </row>
    <row r="895" spans="1:18" s="54" customFormat="1" x14ac:dyDescent="0.25">
      <c r="A895" s="302"/>
      <c r="B895" s="309"/>
      <c r="C895" s="322">
        <f t="shared" ca="1" si="323"/>
        <v>1</v>
      </c>
      <c r="D895" s="7" t="s">
        <v>36</v>
      </c>
      <c r="E895" s="48" t="s">
        <v>55</v>
      </c>
      <c r="F895" s="657">
        <f t="shared" ca="1" si="324"/>
        <v>0</v>
      </c>
      <c r="G895" s="658">
        <f ca="1">+IFERROR(G$5*GETPIVOTDATA("Unique Billed Hours",'County allocation'!$A$3,"County",$D890,"HHA/CDPAP","HHA","Level of Service",$D895),0)</f>
        <v>0</v>
      </c>
      <c r="H895" s="658">
        <f>+IFERROR(H$5*GETPIVOTDATA("Unique Billed Hours",'County allocation'!$S$3,"County",$D890,"HHA/CDPAP","HHA","Level of Service",$D895),0)</f>
        <v>0</v>
      </c>
      <c r="I895" s="664">
        <f t="shared" ca="1" si="325"/>
        <v>0</v>
      </c>
      <c r="J895" s="658">
        <f ca="1">+IFERROR(J$5*GETPIVOTDATA("Unique Billed Hours",'County allocation'!$AC$3,"County",$D890,"HHA/CDPAP","HHA","Level of Service",$D895),0)</f>
        <v>0</v>
      </c>
      <c r="K895" s="658">
        <f ca="1">+IFERROR(K$5*GETPIVOTDATA("Unique Billed Hours",'County allocation'!$X$3,"County",$D890,"HHA/CDPAP","HHA","Level of Service",$D895),0)</f>
        <v>0</v>
      </c>
      <c r="L895" s="658">
        <f ca="1">+IFERROR(L$2*GETPIVOTDATA("Unique Billed Hours",'County allocation'!$O$3,"County",$D890,"HHA/CDPAP","HHA","Level of Service",$D895),0)</f>
        <v>0</v>
      </c>
      <c r="M895" s="658">
        <f>+IFERROR(M$5*GETPIVOTDATA("Unique Billed Hours",'County allocation'!$S$3,"County",$D890,"HHA/CDPAP","HHA","Level of Service",$D895),0)</f>
        <v>0</v>
      </c>
      <c r="N895" s="658">
        <f>+IFERROR(N$5*GETPIVOTDATA("Unique Billed Hours",'County allocation'!$S$3,"County",$D890,"HHA/CDPAP","HHA","Level of Service",$D895),0)</f>
        <v>0</v>
      </c>
      <c r="O895" s="658">
        <f>+IFERROR(O$5*GETPIVOTDATA("Unique Billed Hours",'County allocation'!$K$19,"County",$D890,"HHA/CDPAP","HHA","Level of Service",$D895),0)</f>
        <v>0</v>
      </c>
      <c r="P895" s="658">
        <f>+IFERROR(P$5*GETPIVOTDATA("Unique Billed Hours",'County allocation'!$S$3,"County",$D890,"HHA/CDPAP","HHA","Level of Service",$D895),0)</f>
        <v>0</v>
      </c>
    </row>
    <row r="896" spans="1:18" s="54" customFormat="1" x14ac:dyDescent="0.25">
      <c r="A896" s="119"/>
      <c r="B896" s="309"/>
      <c r="C896" s="322">
        <f t="shared" ca="1" si="323"/>
        <v>1</v>
      </c>
      <c r="D896" s="7" t="s">
        <v>37</v>
      </c>
      <c r="E896" s="48" t="s">
        <v>54</v>
      </c>
      <c r="F896" s="657">
        <f t="shared" ca="1" si="324"/>
        <v>0</v>
      </c>
      <c r="G896" s="658">
        <f ca="1">+IFERROR(G$5*GETPIVOTDATA("Unique Billed Hours",'County allocation'!$A$3,"County",$D890,"HHA/CDPAP","HHA","Level of Service",$D896),0)</f>
        <v>0</v>
      </c>
      <c r="H896" s="658">
        <f>+IFERROR(H$5*GETPIVOTDATA("Unique Billed Hours",'County allocation'!$S$3,"County",$D890,"HHA/CDPAP","HHA","Level of Service",$D896),0)</f>
        <v>0</v>
      </c>
      <c r="I896" s="664">
        <f t="shared" ca="1" si="325"/>
        <v>0</v>
      </c>
      <c r="J896" s="658">
        <f ca="1">+IFERROR(J$5*GETPIVOTDATA("Unique Billed Hours",'County allocation'!$AC$3,"County",$D890,"HHA/CDPAP","HHA","Level of Service",$D896),0)</f>
        <v>0</v>
      </c>
      <c r="K896" s="658">
        <f ca="1">+IFERROR(K$5*GETPIVOTDATA("Unique Billed Hours",'County allocation'!$X$3,"County",$D890,"HHA/CDPAP","HHA","Level of Service",$D896),0)</f>
        <v>0</v>
      </c>
      <c r="L896" s="658">
        <f ca="1">+IFERROR(L$2*GETPIVOTDATA("Unique Billed Hours",'County allocation'!$O$3,"County",$D890,"HHA/CDPAP","HHA","Level of Service",$D896),0)</f>
        <v>0</v>
      </c>
      <c r="M896" s="658">
        <f>+IFERROR(M$5*GETPIVOTDATA("Unique Billed Hours",'County allocation'!$S$3,"County",$D890,"HHA/CDPAP","HHA","Level of Service",$D896),0)</f>
        <v>0</v>
      </c>
      <c r="N896" s="658">
        <f>+IFERROR(N$5*GETPIVOTDATA("Unique Billed Hours",'County allocation'!$S$3,"County",$D890,"HHA/CDPAP","HHA","Level of Service",$D896),0)</f>
        <v>0</v>
      </c>
      <c r="O896" s="658">
        <f>+IFERROR(O$5*GETPIVOTDATA("Unique Billed Hours",'County allocation'!$K$19,"County",$D890,"HHA/CDPAP","HHA","Level of Service",$D896),0)</f>
        <v>0</v>
      </c>
      <c r="P896" s="658">
        <f>+IFERROR(P$5*GETPIVOTDATA("Unique Billed Hours",'County allocation'!$S$3,"County",$D890,"HHA/CDPAP","HHA","Level of Service",$D896),0)</f>
        <v>0</v>
      </c>
    </row>
    <row r="897" spans="1:18" s="54" customFormat="1" x14ac:dyDescent="0.25">
      <c r="A897" s="119"/>
      <c r="B897" s="309"/>
      <c r="C897" s="322">
        <f t="shared" ca="1" si="323"/>
        <v>1</v>
      </c>
      <c r="D897" s="7" t="s">
        <v>38</v>
      </c>
      <c r="E897" s="48" t="s">
        <v>53</v>
      </c>
      <c r="F897" s="657">
        <f t="shared" ca="1" si="324"/>
        <v>0</v>
      </c>
      <c r="G897" s="658">
        <f ca="1">+IFERROR(G$5*GETPIVOTDATA("Unique Billed Hours",'County allocation'!$A$3,"County",$D890,"HHA/CDPAP","HHA","Level of Service",$D897),0)</f>
        <v>0</v>
      </c>
      <c r="H897" s="658">
        <f>+IFERROR(H$5*GETPIVOTDATA("Unique Billed Hours",'County allocation'!$S$3,"County",$D890,"HHA/CDPAP","HHA","Level of Service",$D897),0)</f>
        <v>0</v>
      </c>
      <c r="I897" s="664">
        <f t="shared" ca="1" si="325"/>
        <v>0</v>
      </c>
      <c r="J897" s="658">
        <f ca="1">+IFERROR(J$5*GETPIVOTDATA("Unique Billed Hours",'County allocation'!$AC$3,"County",$D890,"HHA/CDPAP","HHA","Level of Service",$D897),0)</f>
        <v>0</v>
      </c>
      <c r="K897" s="658">
        <f ca="1">+IFERROR(K$5*GETPIVOTDATA("Unique Billed Hours",'County allocation'!$X$3,"County",$D890,"HHA/CDPAP","HHA","Level of Service",$D897),0)</f>
        <v>0</v>
      </c>
      <c r="L897" s="658">
        <f ca="1">+IFERROR(L$5*GETPIVOTDATA("Unique Billed Hours",'County allocation'!$K$19,"County",$D890,"HHA/CDPAP","HHA","Level of Service",$D897),0)</f>
        <v>0</v>
      </c>
      <c r="M897" s="658">
        <f>+IFERROR(M$5*GETPIVOTDATA("Unique Billed Hours",'County allocation'!$S$3,"County",$D890,"HHA/CDPAP","HHA","Level of Service",$D897),0)</f>
        <v>0</v>
      </c>
      <c r="N897" s="658">
        <f>+IFERROR(N$5*GETPIVOTDATA("Unique Billed Hours",'County allocation'!$S$3,"County",$D890,"HHA/CDPAP","HHA","Level of Service",$D897),0)</f>
        <v>0</v>
      </c>
      <c r="O897" s="658">
        <f>+IFERROR(O$5*GETPIVOTDATA("Unique Billed Hours",'County allocation'!$K$19,"County",$D890,"HHA/CDPAP","HHA","Level of Service",$D897),0)</f>
        <v>0</v>
      </c>
      <c r="P897" s="658">
        <f>+IFERROR(P$5*GETPIVOTDATA("Unique Billed Hours",'County allocation'!$S$3,"County",$D890,"HHA/CDPAP","HHA","Level of Service",$D897),0)</f>
        <v>0</v>
      </c>
    </row>
    <row r="898" spans="1:18" s="54" customFormat="1" x14ac:dyDescent="0.25">
      <c r="A898" s="119"/>
      <c r="B898" s="309"/>
      <c r="C898" s="322">
        <f t="shared" ca="1" si="323"/>
        <v>1</v>
      </c>
      <c r="D898" s="7" t="s">
        <v>39</v>
      </c>
      <c r="E898" s="48" t="s">
        <v>52</v>
      </c>
      <c r="F898" s="657">
        <f t="shared" ca="1" si="324"/>
        <v>0</v>
      </c>
      <c r="G898" s="658">
        <f ca="1">+IFERROR(G$5*GETPIVOTDATA("Unique Billed Hours",'County allocation'!$A$3,"County",$D890,"HHA/CDPAP","HHA","Level of Service",$D898),0)</f>
        <v>0</v>
      </c>
      <c r="H898" s="658">
        <f>+IFERROR(H$5*GETPIVOTDATA("Unique Billed Hours",'County allocation'!$S$3,"County",$D890,"HHA/CDPAP","HHA","Level of Service",$D898),0)</f>
        <v>0</v>
      </c>
      <c r="I898" s="664">
        <f t="shared" ca="1" si="325"/>
        <v>0</v>
      </c>
      <c r="J898" s="658">
        <f ca="1">+IFERROR(J$5*GETPIVOTDATA("Unique Billed Hours",'County allocation'!$AC$3,"County",$D890,"HHA/CDPAP","HHA","Level of Service",$D898),0)</f>
        <v>0</v>
      </c>
      <c r="K898" s="658">
        <f ca="1">+IFERROR(K$5*GETPIVOTDATA("Unique Billed Hours",'County allocation'!$X$3,"County",$D890,"HHA/CDPAP","HHA","Level of Service",$D898),0)</f>
        <v>0</v>
      </c>
      <c r="L898" s="658">
        <f ca="1">+IFERROR(L$5*GETPIVOTDATA("Unique Billed Hours",'County allocation'!$K$19,"County",$D890,"HHA/CDPAP","HHA","Level of Service",$D898),0)</f>
        <v>0</v>
      </c>
      <c r="M898" s="658">
        <f>+IFERROR(M$5*GETPIVOTDATA("Unique Billed Hours",'County allocation'!$S$3,"County",$D890,"HHA/CDPAP","HHA","Level of Service",$D898),0)</f>
        <v>0</v>
      </c>
      <c r="N898" s="658">
        <f>+IFERROR(N$5*GETPIVOTDATA("Unique Billed Hours",'County allocation'!$S$3,"County",$D890,"HHA/CDPAP","HHA","Level of Service",$D898),0)</f>
        <v>0</v>
      </c>
      <c r="O898" s="658">
        <f>+IFERROR(O$5*GETPIVOTDATA("Unique Billed Hours",'County allocation'!$K$19,"County",$D890,"HHA/CDPAP","HHA","Level of Service",$D898),0)</f>
        <v>0</v>
      </c>
      <c r="P898" s="658">
        <f>+IFERROR(P$5*GETPIVOTDATA("Unique Billed Hours",'County allocation'!$S$3,"County",$D890,"HHA/CDPAP","HHA","Level of Service",$D898),0)</f>
        <v>0</v>
      </c>
    </row>
    <row r="899" spans="1:18" s="54" customFormat="1" x14ac:dyDescent="0.25">
      <c r="A899" s="119"/>
      <c r="B899" s="309"/>
      <c r="C899" s="322">
        <f t="shared" ca="1" si="323"/>
        <v>1</v>
      </c>
      <c r="D899" s="8" t="s">
        <v>40</v>
      </c>
      <c r="E899" s="48" t="s">
        <v>51</v>
      </c>
      <c r="F899" s="657">
        <f t="shared" ca="1" si="324"/>
        <v>0</v>
      </c>
      <c r="G899" s="658">
        <f ca="1">+IFERROR(G$5*GETPIVOTDATA("Unique Billed Hours",'County allocation'!$A$3,"County",$D890,"HHA/CDPAP","HHA","Level of Service",$D899),0)</f>
        <v>0</v>
      </c>
      <c r="H899" s="658">
        <f>+IFERROR(H$5*GETPIVOTDATA("Unique Billed Hours",'County allocation'!$S$3,"County",$D890,"HHA/CDPAP","HHA","Level of Service",$D899),0)</f>
        <v>0</v>
      </c>
      <c r="I899" s="664">
        <f t="shared" ca="1" si="325"/>
        <v>0</v>
      </c>
      <c r="J899" s="658">
        <f ca="1">+IFERROR(J$5*GETPIVOTDATA("Unique Billed Hours",'County allocation'!$AC$3,"County",$D890,"HHA/CDPAP","HHA","Level of Service",$D899),0)</f>
        <v>0</v>
      </c>
      <c r="K899" s="658">
        <f ca="1">+IFERROR(K$5*GETPIVOTDATA("Unique Billed Hours",'County allocation'!$X$3,"County",$D890,"HHA/CDPAP","HHA","Level of Service",$D899),0)</f>
        <v>0</v>
      </c>
      <c r="L899" s="658">
        <f ca="1">+IFERROR(L$2*GETPIVOTDATA("Unique Billed Hours",'County allocation'!$O$3,"County",$D890,"HHA/CDPAP","HHA","Level of Service",$D899),0)</f>
        <v>0</v>
      </c>
      <c r="M899" s="658">
        <f>+IFERROR(M$5*GETPIVOTDATA("Unique Billed Hours",'County allocation'!$S$3,"County",$D890,"HHA/CDPAP","HHA","Level of Service",$D899),0)</f>
        <v>0</v>
      </c>
      <c r="N899" s="658">
        <f>+IFERROR(N$5*GETPIVOTDATA("Unique Billed Hours",'County allocation'!$S$3,"County",$D890,"HHA/CDPAP","HHA","Level of Service",$D899),0)</f>
        <v>0</v>
      </c>
      <c r="O899" s="658">
        <f>+IFERROR(O$5*GETPIVOTDATA("Unique Billed Hours",'County allocation'!$K$19,"County",$D890,"HHA/CDPAP","HHA","Level of Service",$D899),0)</f>
        <v>0</v>
      </c>
      <c r="P899" s="658">
        <f>+IFERROR(P$5*GETPIVOTDATA("Unique Billed Hours",'County allocation'!$S$3,"County",$D890,"HHA/CDPAP","HHA","Level of Service",$D899),0)</f>
        <v>0</v>
      </c>
    </row>
    <row r="900" spans="1:18" s="54" customFormat="1" x14ac:dyDescent="0.25">
      <c r="A900" s="119"/>
      <c r="B900" s="309"/>
      <c r="C900" s="322">
        <f t="shared" ca="1" si="323"/>
        <v>1</v>
      </c>
      <c r="D900" s="8" t="s">
        <v>41</v>
      </c>
      <c r="E900" s="48" t="s">
        <v>50</v>
      </c>
      <c r="F900" s="657">
        <f t="shared" ca="1" si="324"/>
        <v>0</v>
      </c>
      <c r="G900" s="658">
        <f ca="1">+IFERROR(G$5*GETPIVOTDATA("Unique Billed Hours",'County allocation'!$A$3,"County",$D890,"HHA/CDPAP","HHA","Level of Service",$D900),0)</f>
        <v>0</v>
      </c>
      <c r="H900" s="658">
        <f>+IFERROR(H$5*GETPIVOTDATA("Unique Billed Hours",'County allocation'!$S$3,"County",$D890,"HHA/CDPAP","HHA","Level of Service",$D900),0)</f>
        <v>0</v>
      </c>
      <c r="I900" s="664">
        <f t="shared" ca="1" si="325"/>
        <v>0</v>
      </c>
      <c r="J900" s="658">
        <f ca="1">+IFERROR(J$5*GETPIVOTDATA("Unique Billed Hours",'County allocation'!$AC$3,"County",$D890,"HHA/CDPAP","HHA","Level of Service",$D900),0)</f>
        <v>0</v>
      </c>
      <c r="K900" s="658">
        <f ca="1">+IFERROR(K$5*GETPIVOTDATA("Unique Billed Hours",'County allocation'!$X$3,"County",$D890,"HHA/CDPAP","HHA","Level of Service",$D900),0)</f>
        <v>0</v>
      </c>
      <c r="L900" s="658">
        <f ca="1">+IFERROR(L$2*GETPIVOTDATA("Unique Billed Hours",'County allocation'!$O$3,"County",$D890,"HHA/CDPAP","HHA","Level of Service",$D900),0)</f>
        <v>0</v>
      </c>
      <c r="M900" s="658">
        <f>+IFERROR(M$5*GETPIVOTDATA("Unique Billed Hours",'County allocation'!$S$3,"County",$D890,"HHA/CDPAP","HHA","Level of Service",$D900),0)</f>
        <v>0</v>
      </c>
      <c r="N900" s="658">
        <f>+IFERROR(N$5*GETPIVOTDATA("Unique Billed Hours",'County allocation'!$S$3,"County",$D890,"HHA/CDPAP","HHA","Level of Service",$D900),0)</f>
        <v>0</v>
      </c>
      <c r="O900" s="658">
        <f>+IFERROR(O$5*GETPIVOTDATA("Unique Billed Hours",'County allocation'!$K$19,"County",$D890,"HHA/CDPAP","HHA","Level of Service",$D900),0)</f>
        <v>0</v>
      </c>
      <c r="P900" s="658">
        <f>+IFERROR(P$5*GETPIVOTDATA("Unique Billed Hours",'County allocation'!$S$3,"County",$D890,"HHA/CDPAP","HHA","Level of Service",$D900),0)</f>
        <v>0</v>
      </c>
    </row>
    <row r="901" spans="1:18" s="54" customFormat="1" ht="15.75" thickBot="1" x14ac:dyDescent="0.3">
      <c r="A901" s="119"/>
      <c r="B901" s="309"/>
      <c r="C901" s="322">
        <f t="shared" ca="1" si="323"/>
        <v>1</v>
      </c>
      <c r="D901" s="52" t="s">
        <v>389</v>
      </c>
      <c r="E901" s="53" t="s">
        <v>49</v>
      </c>
      <c r="F901" s="657">
        <f t="shared" ca="1" si="324"/>
        <v>2640.2646135294458</v>
      </c>
      <c r="G901" s="661">
        <f ca="1">SUM(G893:G900)</f>
        <v>88.572733267865232</v>
      </c>
      <c r="H901" s="661">
        <f>SUM(H893:H900)</f>
        <v>151.51238176385098</v>
      </c>
      <c r="I901" s="664">
        <f t="shared" ca="1" si="325"/>
        <v>2400.1794984977296</v>
      </c>
      <c r="J901" s="661">
        <f ca="1">SUM(J893:J900)</f>
        <v>315.45591249627745</v>
      </c>
      <c r="K901" s="661">
        <f t="shared" ref="K901:P901" ca="1" si="326">SUM(K893:K900)</f>
        <v>2039.2975146300726</v>
      </c>
      <c r="L901" s="661">
        <f t="shared" ca="1" si="326"/>
        <v>29.24930929078068</v>
      </c>
      <c r="M901" s="661">
        <f t="shared" si="326"/>
        <v>14.926585158503666</v>
      </c>
      <c r="N901" s="661">
        <f t="shared" si="326"/>
        <v>1.2501769220954033</v>
      </c>
      <c r="O901" s="661">
        <f t="shared" si="326"/>
        <v>0</v>
      </c>
      <c r="P901" s="661">
        <f t="shared" si="326"/>
        <v>0</v>
      </c>
    </row>
    <row r="902" spans="1:18" s="54" customFormat="1" x14ac:dyDescent="0.25">
      <c r="A902" s="119"/>
      <c r="B902" s="309"/>
      <c r="C902" s="322">
        <f t="shared" ca="1" si="323"/>
        <v>1</v>
      </c>
      <c r="D902" s="371" t="s">
        <v>390</v>
      </c>
      <c r="E902" s="325" t="s">
        <v>47</v>
      </c>
      <c r="F902" s="657">
        <f t="shared" ca="1" si="324"/>
        <v>3398.086979235145</v>
      </c>
      <c r="G902" s="665">
        <f ca="1">+IFERROR((G$5*GETPIVOTDATA("Unique Billed Hours",'County allocation'!$A$3,"County",$D890,"HHA/CDPAP","HHA","Level of Service",$D902))+($G$2*GETPIVOTDATA("Unique Billed Hours",'County allocation'!$F$7,"County",$D890,"HHA/CDPAP","HHA","Level of Service",$D902)),0)++IFERROR(J$5*GETPIVOTDATA("Unique Billed Hours",'County allocation'!$AC$3,"County",$D890,"HHA/CDPAP","HHA","Level of Service",$D902),0)+ +IFERROR(J$5*GETPIVOTDATA("Unique Billed Hours",'County allocation'!$AC$3,"County",$D890,"HHA/CDPAP","HHA","Level of Service",$D903),0)</f>
        <v>3398.086979235145</v>
      </c>
      <c r="H902" s="665">
        <f>+IFERROR(H$5*GETPIVOTDATA("Unique Billed Hours",'County allocation'!$S$3,"County",$D890,"HHA/CDPAP","HHA","Level of Service",$D902),0)</f>
        <v>0</v>
      </c>
      <c r="I902" s="664">
        <f t="shared" ca="1" si="325"/>
        <v>0</v>
      </c>
      <c r="J902" s="901"/>
      <c r="K902" s="665">
        <f ca="1">+IFERROR(K$5*GETPIVOTDATA("Unique Billed Hours",'County allocation'!$X$3,"County",$D890,"HHA/CDPAP","HHA","Level of Service",$D902),0)</f>
        <v>0</v>
      </c>
      <c r="L902" s="665">
        <f ca="1">+IFERROR(L$5*GETPIVOTDATA("Unique Billed Hours",'County allocation'!$K$19,"County",$D890,"HHA/CDPAP","HHA","Level of Service",$D902),0)</f>
        <v>0</v>
      </c>
      <c r="M902" s="665">
        <f>+IFERROR(M$5*GETPIVOTDATA("Unique Billed Hours",'County allocation'!$S$3,"County",$D890,"HHA/CDPAP","HHA","Level of Service",$D902),0)</f>
        <v>0</v>
      </c>
      <c r="N902" s="665">
        <f>+IFERROR(N$5*GETPIVOTDATA("Unique Billed Hours",'County allocation'!$S$3,"County",$D890,"HHA/CDPAP","HHA","Level of Service",$D902),0)</f>
        <v>0</v>
      </c>
      <c r="O902" s="665">
        <f>+IFERROR(O$5*GETPIVOTDATA("Unique Billed Hours",'County allocation'!$S$3,"County",$D890,"HHA/CDPAP","HHA","Level of Service",$D902),0)</f>
        <v>0</v>
      </c>
      <c r="P902" s="665">
        <f>+IFERROR(P$5*GETPIVOTDATA("Unique Billed Hours",'County allocation'!$S$3,"County",$D890,"HHA/CDPAP","HHA","Level of Service",$D902),0)</f>
        <v>0</v>
      </c>
    </row>
    <row r="903" spans="1:18" s="54" customFormat="1" x14ac:dyDescent="0.25">
      <c r="A903" s="119"/>
      <c r="B903" s="309"/>
      <c r="C903" s="322">
        <f t="shared" ca="1" si="323"/>
        <v>1</v>
      </c>
      <c r="D903" s="8" t="s">
        <v>391</v>
      </c>
      <c r="E903" s="370" t="s">
        <v>77</v>
      </c>
      <c r="F903" s="657">
        <f t="shared" ca="1" si="324"/>
        <v>21967.286256943487</v>
      </c>
      <c r="G903" s="656"/>
      <c r="H903" s="658">
        <f>+IFERROR(H$5*GETPIVOTDATA("Unique Billed Hours",'County allocation'!$S$3,"County",$D890,"HHA/CDPAP","HHA","Level of Service",$D903),0)</f>
        <v>0</v>
      </c>
      <c r="I903" s="664">
        <f t="shared" ca="1" si="325"/>
        <v>21967.286256943487</v>
      </c>
      <c r="J903" s="901"/>
      <c r="K903" s="665">
        <f ca="1">+IFERROR(K$5*GETPIVOTDATA("Unique Billed Hours",'County allocation'!$X$3,"County",$D890,"HHA/CDPAP","HHA","Level of Service",$D903),0)</f>
        <v>21967.286256943487</v>
      </c>
      <c r="L903" s="665">
        <f ca="1">+IFERROR(L$5*GETPIVOTDATA("Unique Billed Hours",'County allocation'!$K$19,"County",$D890,"HHA/CDPAP","HHA","Level of Service",$D903),0)</f>
        <v>0</v>
      </c>
      <c r="M903" s="665">
        <f>+IFERROR(M$5*GETPIVOTDATA("Unique Billed Hours",'County allocation'!$S$3,"County",$D890,"HHA/CDPAP","HHA","Level of Service",$D903),0)</f>
        <v>0</v>
      </c>
      <c r="N903" s="665">
        <f>+IFERROR(N$5*GETPIVOTDATA("Unique Billed Hours",'County allocation'!$S$3,"County",$D890,"HHA/CDPAP","HHA","Level of Service",$D903),0)</f>
        <v>0</v>
      </c>
      <c r="O903" s="665">
        <f>+IFERROR(O$5*GETPIVOTDATA("Unique Billed Hours",'County allocation'!$S$3,"County",$D890,"HHA/CDPAP","HHA","Level of Service",$D903),0)</f>
        <v>0</v>
      </c>
      <c r="P903" s="665">
        <f>+IFERROR(P$5*GETPIVOTDATA("Unique Billed Hours",'County allocation'!$S$3,"County",$D890,"HHA/CDPAP","HHA","Level of Service",$D903),0)</f>
        <v>0</v>
      </c>
    </row>
    <row r="904" spans="1:18" s="54" customFormat="1" x14ac:dyDescent="0.25">
      <c r="A904" s="119"/>
      <c r="B904" s="309"/>
      <c r="C904" s="322">
        <f t="shared" ca="1" si="323"/>
        <v>1</v>
      </c>
      <c r="D904" s="8" t="s">
        <v>374</v>
      </c>
      <c r="E904" s="370" t="s">
        <v>78</v>
      </c>
      <c r="F904" s="657">
        <f t="shared" ca="1" si="324"/>
        <v>0</v>
      </c>
      <c r="G904" s="658">
        <f ca="1">+IFERROR(G$5*GETPIVOTDATA("Unique Billed Hours",'County allocation'!$A$3,"County",$D890,"HHA/CDPAP","HHA","Level of Service",$D904),0)++IFERROR(J$5*GETPIVOTDATA("Unique Billed Hours",'County allocation'!$AC$3,"County",$D890,"HHA/CDPAP","HHA","Level of Service",$D904),0)</f>
        <v>0</v>
      </c>
      <c r="H904" s="658">
        <f>+IFERROR(H$5*GETPIVOTDATA("Unique Billed Hours",'County allocation'!$S$3,"County",$D890,"HHA/CDPAP","HHA","Level of Service",$D904),0)</f>
        <v>0</v>
      </c>
      <c r="I904" s="664">
        <f t="shared" ca="1" si="325"/>
        <v>0</v>
      </c>
      <c r="J904" s="901"/>
      <c r="K904" s="665">
        <f ca="1">+IFERROR(K$5*GETPIVOTDATA("Unique Billed Hours",'County allocation'!$X$3,"County",$D890,"HHA/CDPAP","HHA","Level of Service",$D904),0)</f>
        <v>0</v>
      </c>
      <c r="L904" s="665">
        <f ca="1">+IFERROR(L$5*GETPIVOTDATA("Unique Billed Hours",'County allocation'!$K$19,"County",$D890,"HHA/CDPAP","HHA","Level of Service",$D904),0)</f>
        <v>0</v>
      </c>
      <c r="M904" s="665">
        <f>+IFERROR(M$5*GETPIVOTDATA("Unique Billed Hours",'County allocation'!$S$3,"County",$D890,"HHA/CDPAP","HHA","Level of Service",$D904),0)</f>
        <v>0</v>
      </c>
      <c r="N904" s="665">
        <f>+IFERROR(N$5*GETPIVOTDATA("Unique Billed Hours",'County allocation'!$S$3,"County",$D890,"HHA/CDPAP","HHA","Level of Service",$D904),0)</f>
        <v>0</v>
      </c>
      <c r="O904" s="665">
        <f>+IFERROR(O$5*GETPIVOTDATA("Unique Billed Hours",'County allocation'!$S$3,"County",$D890,"HHA/CDPAP","HHA","Level of Service",$D904),0)</f>
        <v>0</v>
      </c>
      <c r="P904" s="665">
        <f>+IFERROR(P$5*GETPIVOTDATA("Unique Billed Hours",'County allocation'!$S$3,"County",$D890,"HHA/CDPAP","HHA","Level of Service",$D904),0)</f>
        <v>0</v>
      </c>
    </row>
    <row r="905" spans="1:18" s="54" customFormat="1" ht="15.75" thickBot="1" x14ac:dyDescent="0.3">
      <c r="A905" s="302"/>
      <c r="B905" s="309"/>
      <c r="C905" s="322">
        <f ca="1">C904</f>
        <v>1</v>
      </c>
      <c r="D905" s="52" t="s">
        <v>48</v>
      </c>
      <c r="E905" s="53" t="s">
        <v>79</v>
      </c>
      <c r="F905" s="657">
        <f t="shared" ca="1" si="324"/>
        <v>28005.63784970808</v>
      </c>
      <c r="G905" s="661">
        <f t="shared" ref="G905" ca="1" si="327">SUM(G901:G904)</f>
        <v>3486.6597125030103</v>
      </c>
      <c r="H905" s="661">
        <f t="shared" ref="H905:P905" si="328">SUM(H901:H904)</f>
        <v>151.51238176385098</v>
      </c>
      <c r="I905" s="661">
        <f t="shared" ca="1" si="328"/>
        <v>24367.465755441219</v>
      </c>
      <c r="J905" s="661">
        <f t="shared" ca="1" si="328"/>
        <v>315.45591249627745</v>
      </c>
      <c r="K905" s="661">
        <f t="shared" ca="1" si="328"/>
        <v>24006.583771573562</v>
      </c>
      <c r="L905" s="661">
        <f t="shared" ca="1" si="328"/>
        <v>29.24930929078068</v>
      </c>
      <c r="M905" s="661">
        <f t="shared" si="328"/>
        <v>14.926585158503666</v>
      </c>
      <c r="N905" s="661">
        <f t="shared" si="328"/>
        <v>1.2501769220954033</v>
      </c>
      <c r="O905" s="661">
        <f t="shared" si="328"/>
        <v>0</v>
      </c>
      <c r="P905" s="661">
        <f t="shared" si="328"/>
        <v>0</v>
      </c>
    </row>
    <row r="906" spans="1:18" ht="15.75" hidden="1" thickBot="1" x14ac:dyDescent="0.3"/>
    <row r="907" spans="1:18" s="54" customFormat="1" ht="75.75" hidden="1" thickBot="1" x14ac:dyDescent="0.3">
      <c r="A907" s="119"/>
      <c r="B907" s="309"/>
      <c r="C907" s="322">
        <f ca="1">IF(F922&gt;0,1,0)</f>
        <v>0</v>
      </c>
      <c r="D907" s="45" t="str">
        <f>A56</f>
        <v>Sullivan</v>
      </c>
      <c r="E907" s="28">
        <f>+SUMIF(A:A,D907,B:B)</f>
        <v>0</v>
      </c>
      <c r="F907" s="652" t="s">
        <v>61</v>
      </c>
      <c r="G907" s="652" t="s">
        <v>387</v>
      </c>
      <c r="H907" s="652" t="s">
        <v>388</v>
      </c>
      <c r="I907" s="652" t="s">
        <v>392</v>
      </c>
      <c r="J907" s="652" t="s">
        <v>31</v>
      </c>
      <c r="K907" s="652" t="s">
        <v>32</v>
      </c>
      <c r="L907" s="653" t="s">
        <v>33</v>
      </c>
      <c r="M907" s="653" t="s">
        <v>60</v>
      </c>
      <c r="N907" s="653" t="s">
        <v>59</v>
      </c>
      <c r="O907" s="653" t="s">
        <v>58</v>
      </c>
      <c r="P907" s="653" t="s">
        <v>16</v>
      </c>
    </row>
    <row r="908" spans="1:18" s="54" customFormat="1" ht="15.75" hidden="1" thickBot="1" x14ac:dyDescent="0.3">
      <c r="A908" s="119"/>
      <c r="B908" s="309"/>
      <c r="C908" s="322">
        <f ca="1">C907</f>
        <v>0</v>
      </c>
      <c r="D908" s="56"/>
      <c r="E908" s="57"/>
      <c r="F908" s="654" t="s">
        <v>57</v>
      </c>
      <c r="G908" s="654" t="s">
        <v>56</v>
      </c>
      <c r="H908" s="654" t="s">
        <v>55</v>
      </c>
      <c r="I908" s="654" t="s">
        <v>54</v>
      </c>
      <c r="J908" s="654" t="s">
        <v>53</v>
      </c>
      <c r="K908" s="654" t="s">
        <v>52</v>
      </c>
      <c r="L908" s="654" t="s">
        <v>51</v>
      </c>
      <c r="M908" s="654" t="s">
        <v>50</v>
      </c>
      <c r="N908" s="654" t="s">
        <v>49</v>
      </c>
      <c r="O908" s="654" t="s">
        <v>47</v>
      </c>
      <c r="P908" s="655" t="s">
        <v>77</v>
      </c>
    </row>
    <row r="909" spans="1:18" s="54" customFormat="1" ht="15.75" hidden="1" thickBot="1" x14ac:dyDescent="0.3">
      <c r="A909" s="119"/>
      <c r="B909" s="309"/>
      <c r="C909" s="322">
        <f t="shared" ref="C909:C921" ca="1" si="329">C908</f>
        <v>0</v>
      </c>
      <c r="D909" s="59" t="s">
        <v>26</v>
      </c>
      <c r="E909" s="57"/>
      <c r="F909" s="656"/>
      <c r="G909" s="656"/>
      <c r="H909" s="656"/>
      <c r="I909" s="656"/>
      <c r="J909" s="656"/>
      <c r="K909" s="656"/>
      <c r="L909" s="656"/>
      <c r="M909" s="656"/>
      <c r="N909" s="656"/>
      <c r="O909" s="656"/>
      <c r="P909" s="663"/>
    </row>
    <row r="910" spans="1:18" s="54" customFormat="1" ht="15.75" hidden="1" thickBot="1" x14ac:dyDescent="0.3">
      <c r="A910" s="119"/>
      <c r="B910" s="309"/>
      <c r="C910" s="322">
        <f t="shared" ca="1" si="329"/>
        <v>0</v>
      </c>
      <c r="D910" s="7" t="s">
        <v>34</v>
      </c>
      <c r="E910" s="48" t="s">
        <v>57</v>
      </c>
      <c r="F910" s="657">
        <f ca="1">+H910+G910+I910</f>
        <v>0</v>
      </c>
      <c r="G910" s="658">
        <f ca="1">+IFERROR(G$5*GETPIVOTDATA("Unique Billed Hours",'County allocation'!$A$3,"County",$D907,"HHA/CDPAP","HHA","Level of Service",$D910),0)</f>
        <v>0</v>
      </c>
      <c r="H910" s="658">
        <f>+IFERROR(H$5*GETPIVOTDATA("Unique Billed Hours",'County allocation'!$S$3,"County",$D907,"HHA/CDPAP","HHA","Level of Service",$D910),0)</f>
        <v>0</v>
      </c>
      <c r="I910" s="664">
        <f ca="1">SUM(J910:P910)</f>
        <v>0</v>
      </c>
      <c r="J910" s="658">
        <f ca="1">+IFERROR(J$5*GETPIVOTDATA("Unique Billed Hours",'County allocation'!$S$3,"County",$D907,"HHA/CDPAP","HHA","Level of Service",$D910),0)</f>
        <v>0</v>
      </c>
      <c r="K910" s="658">
        <f ca="1">+IFERROR(K$5*GETPIVOTDATA("Unique Billed Hours",'County allocation'!$X$3,"County",$D907,"HHA/CDPAP","HHA","Level of Service",$D910),0)</f>
        <v>0</v>
      </c>
      <c r="L910" s="658">
        <f ca="1">+IFERROR(L$2*GETPIVOTDATA("Unique Billed Hours",'County allocation'!$O$3,"County",$D907,"HHA/CDPAP","HHA","Level of Service",$D910),0)</f>
        <v>0</v>
      </c>
      <c r="M910" s="658">
        <f>+IFERROR(M$5*GETPIVOTDATA("Unique Billed Hours",'County allocation'!$S$3,"County",$D907,"HHA/CDPAP","HHA","Level of Service",$D910),0)</f>
        <v>0</v>
      </c>
      <c r="N910" s="658">
        <f>+IFERROR(N$5*GETPIVOTDATA("Unique Billed Hours",'County allocation'!$S$3,"County",$D907,"HHA/CDPAP","HHA","Level of Service",$D910),0)</f>
        <v>0</v>
      </c>
      <c r="O910" s="658">
        <f>+IFERROR(O$5*GETPIVOTDATA("Unique Billed Hours",'County allocation'!$K$19,"County",$D907,"HHA/CDPAP","HHA","Level of Service",$D910),0)</f>
        <v>0</v>
      </c>
      <c r="P910" s="658">
        <f>+IFERROR(P$5*GETPIVOTDATA("Unique Billed Hours",'County allocation'!$S$3,"County",$D907,"HHA/CDPAP","HHA","Level of Service",$D910),0)</f>
        <v>0</v>
      </c>
    </row>
    <row r="911" spans="1:18" s="54" customFormat="1" ht="15.75" hidden="1" thickBot="1" x14ac:dyDescent="0.3">
      <c r="A911" s="119"/>
      <c r="B911" s="309"/>
      <c r="C911" s="322">
        <f t="shared" ca="1" si="329"/>
        <v>0</v>
      </c>
      <c r="D911" s="7" t="s">
        <v>35</v>
      </c>
      <c r="E911" s="48" t="s">
        <v>56</v>
      </c>
      <c r="F911" s="657">
        <f t="shared" ref="F911:F922" ca="1" si="330">+H911+G911+I911</f>
        <v>0</v>
      </c>
      <c r="G911" s="658">
        <f ca="1">+IFERROR(G$5*GETPIVOTDATA("Unique Billed Hours",'County allocation'!$A$3,"County",$D907,"HHA/CDPAP","HHA","Level of Service",$D911),0)</f>
        <v>0</v>
      </c>
      <c r="H911" s="658">
        <f>+IFERROR(H$5*GETPIVOTDATA("Unique Billed Hours",'County allocation'!$S$3,"County",$D907,"HHA/CDPAP","HHA","Level of Service",$D911),0)</f>
        <v>0</v>
      </c>
      <c r="I911" s="664">
        <f t="shared" ref="I911:I921" ca="1" si="331">SUM(J911:P911)</f>
        <v>0</v>
      </c>
      <c r="J911" s="658">
        <f ca="1">+IFERROR(J$5*GETPIVOTDATA("Unique Billed Hours",'County allocation'!$S$3,"County",$D907,"HHA/CDPAP","HHA","Level of Service",$D911),0)</f>
        <v>0</v>
      </c>
      <c r="K911" s="658">
        <f ca="1">+IFERROR(K$5*GETPIVOTDATA("Unique Billed Hours",'County allocation'!$X$3,"County",$D907,"HHA/CDPAP","HHA","Level of Service",$D911),0)</f>
        <v>0</v>
      </c>
      <c r="L911" s="658">
        <f ca="1">+IFERROR(L$2*GETPIVOTDATA("Unique Billed Hours",'County allocation'!$O$3,"County",$D907,"HHA/CDPAP","HHA","Level of Service",$D911),0)</f>
        <v>0</v>
      </c>
      <c r="M911" s="658">
        <f>+IFERROR(M$5*GETPIVOTDATA("Unique Billed Hours",'County allocation'!$S$3,"County",$D907,"HHA/CDPAP","HHA","Level of Service",$D911),0)</f>
        <v>0</v>
      </c>
      <c r="N911" s="658">
        <f>+IFERROR(N$5*GETPIVOTDATA("Unique Billed Hours",'County allocation'!$S$3,"County",$D907,"HHA/CDPAP","HHA","Level of Service",$D911),0)</f>
        <v>0</v>
      </c>
      <c r="O911" s="658">
        <f>+IFERROR(O$5*GETPIVOTDATA("Unique Billed Hours",'County allocation'!$K$19,"County",$D907,"HHA/CDPAP","HHA","Level of Service",$D911),0)</f>
        <v>0</v>
      </c>
      <c r="P911" s="658">
        <f>+IFERROR(P$5*GETPIVOTDATA("Unique Billed Hours",'County allocation'!$S$3,"County",$D907,"HHA/CDPAP","HHA","Level of Service",$D911),0)</f>
        <v>0</v>
      </c>
      <c r="R911" s="61"/>
    </row>
    <row r="912" spans="1:18" s="54" customFormat="1" ht="15.75" hidden="1" thickBot="1" x14ac:dyDescent="0.3">
      <c r="A912" s="302"/>
      <c r="B912" s="309"/>
      <c r="C912" s="322">
        <f t="shared" ca="1" si="329"/>
        <v>0</v>
      </c>
      <c r="D912" s="7" t="s">
        <v>36</v>
      </c>
      <c r="E912" s="48" t="s">
        <v>55</v>
      </c>
      <c r="F912" s="657">
        <f t="shared" ca="1" si="330"/>
        <v>0</v>
      </c>
      <c r="G912" s="658">
        <f ca="1">+IFERROR(G$5*GETPIVOTDATA("Unique Billed Hours",'County allocation'!$A$3,"County",$D907,"HHA/CDPAP","HHA","Level of Service",$D912),0)</f>
        <v>0</v>
      </c>
      <c r="H912" s="658">
        <f>+IFERROR(H$5*GETPIVOTDATA("Unique Billed Hours",'County allocation'!$S$3,"County",$D907,"HHA/CDPAP","HHA","Level of Service",$D912),0)</f>
        <v>0</v>
      </c>
      <c r="I912" s="664">
        <f t="shared" ca="1" si="331"/>
        <v>0</v>
      </c>
      <c r="J912" s="658">
        <f ca="1">+IFERROR(J$5*GETPIVOTDATA("Unique Billed Hours",'County allocation'!$S$3,"County",$D907,"HHA/CDPAP","HHA","Level of Service",$D912),0)</f>
        <v>0</v>
      </c>
      <c r="K912" s="658">
        <f ca="1">+IFERROR(K$5*GETPIVOTDATA("Unique Billed Hours",'County allocation'!$X$3,"County",$D907,"HHA/CDPAP","HHA","Level of Service",$D912),0)</f>
        <v>0</v>
      </c>
      <c r="L912" s="658">
        <f ca="1">+IFERROR(L$2*GETPIVOTDATA("Unique Billed Hours",'County allocation'!$O$3,"County",$D907,"HHA/CDPAP","HHA","Level of Service",$D912),0)</f>
        <v>0</v>
      </c>
      <c r="M912" s="658">
        <f>+IFERROR(M$5*GETPIVOTDATA("Unique Billed Hours",'County allocation'!$S$3,"County",$D907,"HHA/CDPAP","HHA","Level of Service",$D912),0)</f>
        <v>0</v>
      </c>
      <c r="N912" s="658">
        <f>+IFERROR(N$5*GETPIVOTDATA("Unique Billed Hours",'County allocation'!$S$3,"County",$D907,"HHA/CDPAP","HHA","Level of Service",$D912),0)</f>
        <v>0</v>
      </c>
      <c r="O912" s="658">
        <f>+IFERROR(O$5*GETPIVOTDATA("Unique Billed Hours",'County allocation'!$K$19,"County",$D907,"HHA/CDPAP","HHA","Level of Service",$D912),0)</f>
        <v>0</v>
      </c>
      <c r="P912" s="658">
        <f>+IFERROR(P$5*GETPIVOTDATA("Unique Billed Hours",'County allocation'!$S$3,"County",$D907,"HHA/CDPAP","HHA","Level of Service",$D912),0)</f>
        <v>0</v>
      </c>
    </row>
    <row r="913" spans="1:18" s="54" customFormat="1" ht="15.75" hidden="1" thickBot="1" x14ac:dyDescent="0.3">
      <c r="A913" s="119"/>
      <c r="B913" s="309"/>
      <c r="C913" s="322">
        <f t="shared" ca="1" si="329"/>
        <v>0</v>
      </c>
      <c r="D913" s="7" t="s">
        <v>37</v>
      </c>
      <c r="E913" s="48" t="s">
        <v>54</v>
      </c>
      <c r="F913" s="657">
        <f t="shared" ca="1" si="330"/>
        <v>0</v>
      </c>
      <c r="G913" s="658">
        <f ca="1">+IFERROR(G$5*GETPIVOTDATA("Unique Billed Hours",'County allocation'!$A$3,"County",$D907,"HHA/CDPAP","HHA","Level of Service",$D913),0)</f>
        <v>0</v>
      </c>
      <c r="H913" s="658">
        <f>+IFERROR(H$5*GETPIVOTDATA("Unique Billed Hours",'County allocation'!$S$3,"County",$D907,"HHA/CDPAP","HHA","Level of Service",$D913),0)</f>
        <v>0</v>
      </c>
      <c r="I913" s="664">
        <f t="shared" ca="1" si="331"/>
        <v>0</v>
      </c>
      <c r="J913" s="658">
        <f ca="1">+IFERROR(J$5*GETPIVOTDATA("Unique Billed Hours",'County allocation'!$S$3,"County",$D907,"HHA/CDPAP","HHA","Level of Service",$D913),0)</f>
        <v>0</v>
      </c>
      <c r="K913" s="658">
        <f ca="1">+IFERROR(K$5*GETPIVOTDATA("Unique Billed Hours",'County allocation'!$X$3,"County",$D907,"HHA/CDPAP","HHA","Level of Service",$D913),0)</f>
        <v>0</v>
      </c>
      <c r="L913" s="658">
        <f ca="1">+IFERROR(L$2*GETPIVOTDATA("Unique Billed Hours",'County allocation'!$O$3,"County",$D907,"HHA/CDPAP","HHA","Level of Service",$D913),0)</f>
        <v>0</v>
      </c>
      <c r="M913" s="658">
        <f>+IFERROR(M$5*GETPIVOTDATA("Unique Billed Hours",'County allocation'!$S$3,"County",$D907,"HHA/CDPAP","HHA","Level of Service",$D913),0)</f>
        <v>0</v>
      </c>
      <c r="N913" s="658">
        <f>+IFERROR(N$5*GETPIVOTDATA("Unique Billed Hours",'County allocation'!$S$3,"County",$D907,"HHA/CDPAP","HHA","Level of Service",$D913),0)</f>
        <v>0</v>
      </c>
      <c r="O913" s="658">
        <f>+IFERROR(O$5*GETPIVOTDATA("Unique Billed Hours",'County allocation'!$K$19,"County",$D907,"HHA/CDPAP","HHA","Level of Service",$D913),0)</f>
        <v>0</v>
      </c>
      <c r="P913" s="658">
        <f>+IFERROR(P$5*GETPIVOTDATA("Unique Billed Hours",'County allocation'!$S$3,"County",$D907,"HHA/CDPAP","HHA","Level of Service",$D913),0)</f>
        <v>0</v>
      </c>
    </row>
    <row r="914" spans="1:18" s="54" customFormat="1" ht="15.75" hidden="1" thickBot="1" x14ac:dyDescent="0.3">
      <c r="A914" s="119"/>
      <c r="B914" s="309"/>
      <c r="C914" s="322">
        <f t="shared" ca="1" si="329"/>
        <v>0</v>
      </c>
      <c r="D914" s="7" t="s">
        <v>38</v>
      </c>
      <c r="E914" s="48" t="s">
        <v>53</v>
      </c>
      <c r="F914" s="657">
        <f t="shared" ca="1" si="330"/>
        <v>0</v>
      </c>
      <c r="G914" s="658">
        <f ca="1">+IFERROR(G$5*GETPIVOTDATA("Unique Billed Hours",'County allocation'!$A$3,"County",$D907,"HHA/CDPAP","HHA","Level of Service",$D914),0)</f>
        <v>0</v>
      </c>
      <c r="H914" s="658">
        <f>+IFERROR(H$5*GETPIVOTDATA("Unique Billed Hours",'County allocation'!$S$3,"County",$D907,"HHA/CDPAP","HHA","Level of Service",$D914),0)</f>
        <v>0</v>
      </c>
      <c r="I914" s="664">
        <f t="shared" ca="1" si="331"/>
        <v>0</v>
      </c>
      <c r="J914" s="658">
        <f ca="1">+IFERROR(J$5*GETPIVOTDATA("Unique Billed Hours",'County allocation'!$S$3,"County",$D907,"HHA/CDPAP","HHA","Level of Service",$D914),0)</f>
        <v>0</v>
      </c>
      <c r="K914" s="658">
        <f ca="1">+IFERROR(K$5*GETPIVOTDATA("Unique Billed Hours",'County allocation'!$X$3,"County",$D907,"HHA/CDPAP","HHA","Level of Service",$D914),0)</f>
        <v>0</v>
      </c>
      <c r="L914" s="658">
        <f ca="1">+IFERROR(L$5*GETPIVOTDATA("Unique Billed Hours",'County allocation'!$K$19,"County",$D907,"HHA/CDPAP","HHA","Level of Service",$D914),0)</f>
        <v>0</v>
      </c>
      <c r="M914" s="658">
        <f>+IFERROR(M$5*GETPIVOTDATA("Unique Billed Hours",'County allocation'!$S$3,"County",$D907,"HHA/CDPAP","HHA","Level of Service",$D914),0)</f>
        <v>0</v>
      </c>
      <c r="N914" s="658">
        <f>+IFERROR(N$5*GETPIVOTDATA("Unique Billed Hours",'County allocation'!$S$3,"County",$D907,"HHA/CDPAP","HHA","Level of Service",$D914),0)</f>
        <v>0</v>
      </c>
      <c r="O914" s="658">
        <f>+IFERROR(O$5*GETPIVOTDATA("Unique Billed Hours",'County allocation'!$K$19,"County",$D907,"HHA/CDPAP","HHA","Level of Service",$D914),0)</f>
        <v>0</v>
      </c>
      <c r="P914" s="658">
        <f>+IFERROR(P$5*GETPIVOTDATA("Unique Billed Hours",'County allocation'!$S$3,"County",$D907,"HHA/CDPAP","HHA","Level of Service",$D914),0)</f>
        <v>0</v>
      </c>
    </row>
    <row r="915" spans="1:18" s="54" customFormat="1" ht="15.75" hidden="1" thickBot="1" x14ac:dyDescent="0.3">
      <c r="A915" s="119"/>
      <c r="B915" s="309"/>
      <c r="C915" s="322">
        <f t="shared" ca="1" si="329"/>
        <v>0</v>
      </c>
      <c r="D915" s="7" t="s">
        <v>39</v>
      </c>
      <c r="E915" s="48" t="s">
        <v>52</v>
      </c>
      <c r="F915" s="657">
        <f t="shared" ca="1" si="330"/>
        <v>0</v>
      </c>
      <c r="G915" s="658">
        <f ca="1">+IFERROR(G$5*GETPIVOTDATA("Unique Billed Hours",'County allocation'!$A$3,"County",$D907,"HHA/CDPAP","HHA","Level of Service",$D915),0)</f>
        <v>0</v>
      </c>
      <c r="H915" s="658">
        <f>+IFERROR(H$5*GETPIVOTDATA("Unique Billed Hours",'County allocation'!$S$3,"County",$D907,"HHA/CDPAP","HHA","Level of Service",$D915),0)</f>
        <v>0</v>
      </c>
      <c r="I915" s="664">
        <f t="shared" ca="1" si="331"/>
        <v>0</v>
      </c>
      <c r="J915" s="658">
        <f ca="1">+IFERROR(J$5*GETPIVOTDATA("Unique Billed Hours",'County allocation'!$S$3,"County",$D907,"HHA/CDPAP","HHA","Level of Service",$D915),0)</f>
        <v>0</v>
      </c>
      <c r="K915" s="658">
        <f ca="1">+IFERROR(K$5*GETPIVOTDATA("Unique Billed Hours",'County allocation'!$X$3,"County",$D907,"HHA/CDPAP","HHA","Level of Service",$D915),0)</f>
        <v>0</v>
      </c>
      <c r="L915" s="658">
        <f ca="1">+IFERROR(L$5*GETPIVOTDATA("Unique Billed Hours",'County allocation'!$K$19,"County",$D907,"HHA/CDPAP","HHA","Level of Service",$D915),0)</f>
        <v>0</v>
      </c>
      <c r="M915" s="658">
        <f>+IFERROR(M$5*GETPIVOTDATA("Unique Billed Hours",'County allocation'!$S$3,"County",$D907,"HHA/CDPAP","HHA","Level of Service",$D915),0)</f>
        <v>0</v>
      </c>
      <c r="N915" s="658">
        <f>+IFERROR(N$5*GETPIVOTDATA("Unique Billed Hours",'County allocation'!$S$3,"County",$D907,"HHA/CDPAP","HHA","Level of Service",$D915),0)</f>
        <v>0</v>
      </c>
      <c r="O915" s="658">
        <f>+IFERROR(O$5*GETPIVOTDATA("Unique Billed Hours",'County allocation'!$K$19,"County",$D907,"HHA/CDPAP","HHA","Level of Service",$D915),0)</f>
        <v>0</v>
      </c>
      <c r="P915" s="658">
        <f>+IFERROR(P$5*GETPIVOTDATA("Unique Billed Hours",'County allocation'!$S$3,"County",$D907,"HHA/CDPAP","HHA","Level of Service",$D915),0)</f>
        <v>0</v>
      </c>
    </row>
    <row r="916" spans="1:18" s="54" customFormat="1" ht="15.75" hidden="1" thickBot="1" x14ac:dyDescent="0.3">
      <c r="A916" s="119"/>
      <c r="B916" s="309"/>
      <c r="C916" s="322">
        <f t="shared" ca="1" si="329"/>
        <v>0</v>
      </c>
      <c r="D916" s="8" t="s">
        <v>40</v>
      </c>
      <c r="E916" s="48" t="s">
        <v>51</v>
      </c>
      <c r="F916" s="657">
        <f t="shared" ca="1" si="330"/>
        <v>0</v>
      </c>
      <c r="G916" s="658">
        <f ca="1">+IFERROR(G$5*GETPIVOTDATA("Unique Billed Hours",'County allocation'!$A$3,"County",$D907,"HHA/CDPAP","HHA","Level of Service",$D916),0)</f>
        <v>0</v>
      </c>
      <c r="H916" s="658">
        <f>+IFERROR(H$5*GETPIVOTDATA("Unique Billed Hours",'County allocation'!$S$3,"County",$D907,"HHA/CDPAP","HHA","Level of Service",$D916),0)</f>
        <v>0</v>
      </c>
      <c r="I916" s="664">
        <f t="shared" ca="1" si="331"/>
        <v>0</v>
      </c>
      <c r="J916" s="658">
        <f ca="1">+IFERROR(J$5*GETPIVOTDATA("Unique Billed Hours",'County allocation'!$S$3,"County",$D907,"HHA/CDPAP","HHA","Level of Service",$D916),0)</f>
        <v>0</v>
      </c>
      <c r="K916" s="658">
        <f ca="1">+IFERROR(K$5*GETPIVOTDATA("Unique Billed Hours",'County allocation'!$X$3,"County",$D907,"HHA/CDPAP","HHA","Level of Service",$D916),0)</f>
        <v>0</v>
      </c>
      <c r="L916" s="658">
        <f ca="1">+IFERROR(L$2*GETPIVOTDATA("Unique Billed Hours",'County allocation'!$O$3,"County",$D907,"HHA/CDPAP","HHA","Level of Service",$D916),0)</f>
        <v>0</v>
      </c>
      <c r="M916" s="658">
        <f>+IFERROR(M$5*GETPIVOTDATA("Unique Billed Hours",'County allocation'!$S$3,"County",$D907,"HHA/CDPAP","HHA","Level of Service",$D916),0)</f>
        <v>0</v>
      </c>
      <c r="N916" s="658">
        <f>+IFERROR(N$5*GETPIVOTDATA("Unique Billed Hours",'County allocation'!$S$3,"County",$D907,"HHA/CDPAP","HHA","Level of Service",$D916),0)</f>
        <v>0</v>
      </c>
      <c r="O916" s="658">
        <f>+IFERROR(O$5*GETPIVOTDATA("Unique Billed Hours",'County allocation'!$K$19,"County",$D907,"HHA/CDPAP","HHA","Level of Service",$D916),0)</f>
        <v>0</v>
      </c>
      <c r="P916" s="658">
        <f>+IFERROR(P$5*GETPIVOTDATA("Unique Billed Hours",'County allocation'!$S$3,"County",$D907,"HHA/CDPAP","HHA","Level of Service",$D916),0)</f>
        <v>0</v>
      </c>
    </row>
    <row r="917" spans="1:18" s="54" customFormat="1" ht="15.75" hidden="1" thickBot="1" x14ac:dyDescent="0.3">
      <c r="A917" s="119"/>
      <c r="B917" s="309"/>
      <c r="C917" s="322">
        <f t="shared" ca="1" si="329"/>
        <v>0</v>
      </c>
      <c r="D917" s="8" t="s">
        <v>41</v>
      </c>
      <c r="E917" s="48" t="s">
        <v>50</v>
      </c>
      <c r="F917" s="657">
        <f t="shared" ca="1" si="330"/>
        <v>0</v>
      </c>
      <c r="G917" s="658">
        <f ca="1">+IFERROR(G$5*GETPIVOTDATA("Unique Billed Hours",'County allocation'!$A$3,"County",$D907,"HHA/CDPAP","HHA","Level of Service",$D917),0)</f>
        <v>0</v>
      </c>
      <c r="H917" s="658">
        <f>+IFERROR(H$5*GETPIVOTDATA("Unique Billed Hours",'County allocation'!$S$3,"County",$D907,"HHA/CDPAP","HHA","Level of Service",$D917),0)</f>
        <v>0</v>
      </c>
      <c r="I917" s="664">
        <f t="shared" ca="1" si="331"/>
        <v>0</v>
      </c>
      <c r="J917" s="658">
        <f ca="1">+IFERROR(J$5*GETPIVOTDATA("Unique Billed Hours",'County allocation'!$S$3,"County",$D907,"HHA/CDPAP","HHA","Level of Service",$D917),0)</f>
        <v>0</v>
      </c>
      <c r="K917" s="658">
        <f ca="1">+IFERROR(K$5*GETPIVOTDATA("Unique Billed Hours",'County allocation'!$X$3,"County",$D907,"HHA/CDPAP","HHA","Level of Service",$D917),0)</f>
        <v>0</v>
      </c>
      <c r="L917" s="658">
        <f ca="1">+IFERROR(L$2*GETPIVOTDATA("Unique Billed Hours",'County allocation'!$O$3,"County",$D907,"HHA/CDPAP","HHA","Level of Service",$D917),0)</f>
        <v>0</v>
      </c>
      <c r="M917" s="658">
        <f>+IFERROR(M$5*GETPIVOTDATA("Unique Billed Hours",'County allocation'!$S$3,"County",$D907,"HHA/CDPAP","HHA","Level of Service",$D917),0)</f>
        <v>0</v>
      </c>
      <c r="N917" s="658">
        <f>+IFERROR(N$5*GETPIVOTDATA("Unique Billed Hours",'County allocation'!$S$3,"County",$D907,"HHA/CDPAP","HHA","Level of Service",$D917),0)</f>
        <v>0</v>
      </c>
      <c r="O917" s="658">
        <f>+IFERROR(O$5*GETPIVOTDATA("Unique Billed Hours",'County allocation'!$K$19,"County",$D907,"HHA/CDPAP","HHA","Level of Service",$D917),0)</f>
        <v>0</v>
      </c>
      <c r="P917" s="658">
        <f>+IFERROR(P$5*GETPIVOTDATA("Unique Billed Hours",'County allocation'!$S$3,"County",$D907,"HHA/CDPAP","HHA","Level of Service",$D917),0)</f>
        <v>0</v>
      </c>
    </row>
    <row r="918" spans="1:18" s="54" customFormat="1" ht="15.75" hidden="1" thickBot="1" x14ac:dyDescent="0.3">
      <c r="A918" s="119"/>
      <c r="B918" s="309"/>
      <c r="C918" s="322">
        <f t="shared" ca="1" si="329"/>
        <v>0</v>
      </c>
      <c r="D918" s="52" t="s">
        <v>389</v>
      </c>
      <c r="E918" s="53" t="s">
        <v>49</v>
      </c>
      <c r="F918" s="657">
        <f t="shared" ca="1" si="330"/>
        <v>0</v>
      </c>
      <c r="G918" s="661">
        <f ca="1">SUM(G910:G917)</f>
        <v>0</v>
      </c>
      <c r="H918" s="661">
        <f>SUM(H910:H917)</f>
        <v>0</v>
      </c>
      <c r="I918" s="664">
        <f t="shared" ca="1" si="331"/>
        <v>0</v>
      </c>
      <c r="J918" s="661">
        <f ca="1">SUM(J910:J917)</f>
        <v>0</v>
      </c>
      <c r="K918" s="661">
        <f t="shared" ref="K918:P918" ca="1" si="332">SUM(K910:K917)</f>
        <v>0</v>
      </c>
      <c r="L918" s="661">
        <f t="shared" ca="1" si="332"/>
        <v>0</v>
      </c>
      <c r="M918" s="661">
        <f t="shared" si="332"/>
        <v>0</v>
      </c>
      <c r="N918" s="661">
        <f t="shared" si="332"/>
        <v>0</v>
      </c>
      <c r="O918" s="661">
        <f t="shared" si="332"/>
        <v>0</v>
      </c>
      <c r="P918" s="661">
        <f t="shared" si="332"/>
        <v>0</v>
      </c>
    </row>
    <row r="919" spans="1:18" s="54" customFormat="1" ht="15.75" hidden="1" thickBot="1" x14ac:dyDescent="0.3">
      <c r="A919" s="119"/>
      <c r="B919" s="309"/>
      <c r="C919" s="322">
        <f t="shared" ca="1" si="329"/>
        <v>0</v>
      </c>
      <c r="D919" s="371" t="s">
        <v>390</v>
      </c>
      <c r="E919" s="325" t="s">
        <v>47</v>
      </c>
      <c r="F919" s="657">
        <f t="shared" ca="1" si="330"/>
        <v>0</v>
      </c>
      <c r="G919" s="665">
        <f ca="1">+IFERROR((G$5*GETPIVOTDATA("Unique Billed Hours",'County allocation'!$A$3,"County",$D907,"HHA/CDPAP","HHA","Level of Service",$D919))+($G$2*GETPIVOTDATA("Unique Billed Hours",'County allocation'!$F$7,"County",$D907,"HHA/CDPAP","HHA","Level of Service",$D919)),0)++IFERROR(J$5*GETPIVOTDATA("Unique Billed Hours",'County allocation'!$AC$3,"County",$D907,"HHA/CDPAP","HHA","Level of Service",$D919),0)+ +IFERROR(J$5*GETPIVOTDATA("Unique Billed Hours",'County allocation'!$AC$3,"County",$D907,"HHA/CDPAP","HHA","Level of Service",$D920),0)</f>
        <v>0</v>
      </c>
      <c r="H919" s="665">
        <f>+IFERROR(H$5*GETPIVOTDATA("Unique Billed Hours",'County allocation'!$S$3,"County",$D907,"HHA/CDPAP","HHA","Level of Service",$D919),0)</f>
        <v>0</v>
      </c>
      <c r="I919" s="664">
        <f t="shared" ca="1" si="331"/>
        <v>0</v>
      </c>
      <c r="J919" s="901"/>
      <c r="K919" s="665">
        <f ca="1">+IFERROR(K$5*GETPIVOTDATA("Unique Billed Hours",'County allocation'!$X$3,"County",$D907,"HHA/CDPAP","HHA","Level of Service",$D919),0)</f>
        <v>0</v>
      </c>
      <c r="L919" s="665">
        <f ca="1">+IFERROR(L$5*GETPIVOTDATA("Unique Billed Hours",'County allocation'!$K$19,"County",$D907,"HHA/CDPAP","HHA","Level of Service",$D919),0)</f>
        <v>0</v>
      </c>
      <c r="M919" s="665">
        <f>+IFERROR(M$5*GETPIVOTDATA("Unique Billed Hours",'County allocation'!$S$3,"County",$D907,"HHA/CDPAP","HHA","Level of Service",$D919),0)</f>
        <v>0</v>
      </c>
      <c r="N919" s="665">
        <f>+IFERROR(N$5*GETPIVOTDATA("Unique Billed Hours",'County allocation'!$S$3,"County",$D907,"HHA/CDPAP","HHA","Level of Service",$D919),0)</f>
        <v>0</v>
      </c>
      <c r="O919" s="665">
        <f>+IFERROR(O$5*GETPIVOTDATA("Unique Billed Hours",'County allocation'!$S$3,"County",$D907,"HHA/CDPAP","HHA","Level of Service",$D919),0)</f>
        <v>0</v>
      </c>
      <c r="P919" s="665">
        <f>+IFERROR(P$5*GETPIVOTDATA("Unique Billed Hours",'County allocation'!$S$3,"County",$D907,"HHA/CDPAP","HHA","Level of Service",$D919),0)</f>
        <v>0</v>
      </c>
    </row>
    <row r="920" spans="1:18" s="54" customFormat="1" ht="15.75" hidden="1" thickBot="1" x14ac:dyDescent="0.3">
      <c r="A920" s="119"/>
      <c r="B920" s="309"/>
      <c r="C920" s="322">
        <f t="shared" ca="1" si="329"/>
        <v>0</v>
      </c>
      <c r="D920" s="8" t="s">
        <v>391</v>
      </c>
      <c r="E920" s="370" t="s">
        <v>77</v>
      </c>
      <c r="F920" s="657">
        <f t="shared" ca="1" si="330"/>
        <v>0</v>
      </c>
      <c r="G920" s="656"/>
      <c r="H920" s="658">
        <f>+IFERROR(H$5*GETPIVOTDATA("Unique Billed Hours",'County allocation'!$S$3,"County",$D907,"HHA/CDPAP","HHA","Level of Service",$D920),0)</f>
        <v>0</v>
      </c>
      <c r="I920" s="664">
        <f t="shared" ca="1" si="331"/>
        <v>0</v>
      </c>
      <c r="J920" s="901"/>
      <c r="K920" s="665">
        <f ca="1">+IFERROR(K$5*GETPIVOTDATA("Unique Billed Hours",'County allocation'!$X$3,"County",$D907,"HHA/CDPAP","HHA","Level of Service",$D920),0)</f>
        <v>0</v>
      </c>
      <c r="L920" s="665">
        <f ca="1">+IFERROR(L$5*GETPIVOTDATA("Unique Billed Hours",'County allocation'!$K$19,"County",$D907,"HHA/CDPAP","HHA","Level of Service",$D920),0)</f>
        <v>0</v>
      </c>
      <c r="M920" s="665">
        <f>+IFERROR(M$5*GETPIVOTDATA("Unique Billed Hours",'County allocation'!$S$3,"County",$D907,"HHA/CDPAP","HHA","Level of Service",$D920),0)</f>
        <v>0</v>
      </c>
      <c r="N920" s="665">
        <f>+IFERROR(N$5*GETPIVOTDATA("Unique Billed Hours",'County allocation'!$S$3,"County",$D907,"HHA/CDPAP","HHA","Level of Service",$D920),0)</f>
        <v>0</v>
      </c>
      <c r="O920" s="665">
        <f>+IFERROR(O$5*GETPIVOTDATA("Unique Billed Hours",'County allocation'!$S$3,"County",$D907,"HHA/CDPAP","HHA","Level of Service",$D920),0)</f>
        <v>0</v>
      </c>
      <c r="P920" s="665">
        <f>+IFERROR(P$5*GETPIVOTDATA("Unique Billed Hours",'County allocation'!$S$3,"County",$D907,"HHA/CDPAP","HHA","Level of Service",$D920),0)</f>
        <v>0</v>
      </c>
    </row>
    <row r="921" spans="1:18" s="54" customFormat="1" ht="15.75" hidden="1" thickBot="1" x14ac:dyDescent="0.3">
      <c r="A921" s="119"/>
      <c r="B921" s="309"/>
      <c r="C921" s="322">
        <f t="shared" ca="1" si="329"/>
        <v>0</v>
      </c>
      <c r="D921" s="8" t="s">
        <v>374</v>
      </c>
      <c r="E921" s="370" t="s">
        <v>78</v>
      </c>
      <c r="F921" s="657">
        <f t="shared" ca="1" si="330"/>
        <v>0</v>
      </c>
      <c r="G921" s="658">
        <f ca="1">+IFERROR(G$5*GETPIVOTDATA("Unique Billed Hours",'County allocation'!$A$3,"County",$D907,"HHA/CDPAP","HHA","Level of Service",$D921),0)++IFERROR(J$5*GETPIVOTDATA("Unique Billed Hours",'County allocation'!$AC$3,"County",$D907,"HHA/CDPAP","HHA","Level of Service",$D921),0)</f>
        <v>0</v>
      </c>
      <c r="H921" s="658">
        <f>+IFERROR(H$5*GETPIVOTDATA("Unique Billed Hours",'County allocation'!$S$3,"County",$D907,"HHA/CDPAP","HHA","Level of Service",$D921),0)</f>
        <v>0</v>
      </c>
      <c r="I921" s="664">
        <f t="shared" ca="1" si="331"/>
        <v>0</v>
      </c>
      <c r="J921" s="901"/>
      <c r="K921" s="665">
        <f ca="1">+IFERROR(K$5*GETPIVOTDATA("Unique Billed Hours",'County allocation'!$X$3,"County",$D907,"HHA/CDPAP","HHA","Level of Service",$D921),0)</f>
        <v>0</v>
      </c>
      <c r="L921" s="665">
        <f ca="1">+IFERROR(L$5*GETPIVOTDATA("Unique Billed Hours",'County allocation'!$K$19,"County",$D907,"HHA/CDPAP","HHA","Level of Service",$D921),0)</f>
        <v>0</v>
      </c>
      <c r="M921" s="665">
        <f>+IFERROR(M$5*GETPIVOTDATA("Unique Billed Hours",'County allocation'!$S$3,"County",$D907,"HHA/CDPAP","HHA","Level of Service",$D921),0)</f>
        <v>0</v>
      </c>
      <c r="N921" s="665">
        <f>+IFERROR(N$5*GETPIVOTDATA("Unique Billed Hours",'County allocation'!$S$3,"County",$D907,"HHA/CDPAP","HHA","Level of Service",$D921),0)</f>
        <v>0</v>
      </c>
      <c r="O921" s="665">
        <f>+IFERROR(O$5*GETPIVOTDATA("Unique Billed Hours",'County allocation'!$S$3,"County",$D907,"HHA/CDPAP","HHA","Level of Service",$D921),0)</f>
        <v>0</v>
      </c>
      <c r="P921" s="665">
        <f>+IFERROR(P$5*GETPIVOTDATA("Unique Billed Hours",'County allocation'!$S$3,"County",$D907,"HHA/CDPAP","HHA","Level of Service",$D921),0)</f>
        <v>0</v>
      </c>
    </row>
    <row r="922" spans="1:18" s="54" customFormat="1" ht="15.75" hidden="1" thickBot="1" x14ac:dyDescent="0.3">
      <c r="A922" s="302"/>
      <c r="B922" s="309"/>
      <c r="C922" s="322">
        <f ca="1">C921</f>
        <v>0</v>
      </c>
      <c r="D922" s="52" t="s">
        <v>48</v>
      </c>
      <c r="E922" s="53" t="s">
        <v>79</v>
      </c>
      <c r="F922" s="657">
        <f t="shared" ca="1" si="330"/>
        <v>0</v>
      </c>
      <c r="G922" s="661">
        <f t="shared" ref="G922" ca="1" si="333">SUM(G918:G921)</f>
        <v>0</v>
      </c>
      <c r="H922" s="661">
        <f t="shared" ref="H922:P922" si="334">SUM(H918:H921)</f>
        <v>0</v>
      </c>
      <c r="I922" s="661">
        <f t="shared" ca="1" si="334"/>
        <v>0</v>
      </c>
      <c r="J922" s="661">
        <f t="shared" ca="1" si="334"/>
        <v>0</v>
      </c>
      <c r="K922" s="661">
        <f t="shared" ca="1" si="334"/>
        <v>0</v>
      </c>
      <c r="L922" s="661">
        <f t="shared" ca="1" si="334"/>
        <v>0</v>
      </c>
      <c r="M922" s="661">
        <f t="shared" si="334"/>
        <v>0</v>
      </c>
      <c r="N922" s="661">
        <f t="shared" si="334"/>
        <v>0</v>
      </c>
      <c r="O922" s="661">
        <f t="shared" si="334"/>
        <v>0</v>
      </c>
      <c r="P922" s="661">
        <f t="shared" si="334"/>
        <v>0</v>
      </c>
    </row>
    <row r="923" spans="1:18" ht="15.75" hidden="1" thickBot="1" x14ac:dyDescent="0.3"/>
    <row r="924" spans="1:18" s="54" customFormat="1" ht="75.75" hidden="1" thickBot="1" x14ac:dyDescent="0.3">
      <c r="A924" s="119"/>
      <c r="B924" s="309"/>
      <c r="C924" s="322">
        <f ca="1">IF(F939&gt;0,1,0)</f>
        <v>0</v>
      </c>
      <c r="D924" s="45" t="str">
        <f>A57</f>
        <v>Tioga</v>
      </c>
      <c r="E924" s="28">
        <f>+SUMIF(A:A,D924,B:B)</f>
        <v>0</v>
      </c>
      <c r="F924" s="652" t="s">
        <v>61</v>
      </c>
      <c r="G924" s="652" t="s">
        <v>387</v>
      </c>
      <c r="H924" s="652" t="s">
        <v>388</v>
      </c>
      <c r="I924" s="652" t="s">
        <v>392</v>
      </c>
      <c r="J924" s="652" t="s">
        <v>31</v>
      </c>
      <c r="K924" s="652" t="s">
        <v>32</v>
      </c>
      <c r="L924" s="653" t="s">
        <v>33</v>
      </c>
      <c r="M924" s="653" t="s">
        <v>60</v>
      </c>
      <c r="N924" s="653" t="s">
        <v>59</v>
      </c>
      <c r="O924" s="653" t="s">
        <v>58</v>
      </c>
      <c r="P924" s="653" t="s">
        <v>16</v>
      </c>
    </row>
    <row r="925" spans="1:18" s="54" customFormat="1" ht="15.75" hidden="1" thickBot="1" x14ac:dyDescent="0.3">
      <c r="A925" s="119"/>
      <c r="B925" s="309"/>
      <c r="C925" s="322">
        <f ca="1">C924</f>
        <v>0</v>
      </c>
      <c r="D925" s="56"/>
      <c r="E925" s="57"/>
      <c r="F925" s="654" t="s">
        <v>57</v>
      </c>
      <c r="G925" s="654" t="s">
        <v>56</v>
      </c>
      <c r="H925" s="654" t="s">
        <v>55</v>
      </c>
      <c r="I925" s="654" t="s">
        <v>54</v>
      </c>
      <c r="J925" s="654" t="s">
        <v>53</v>
      </c>
      <c r="K925" s="654" t="s">
        <v>52</v>
      </c>
      <c r="L925" s="654" t="s">
        <v>51</v>
      </c>
      <c r="M925" s="654" t="s">
        <v>50</v>
      </c>
      <c r="N925" s="654" t="s">
        <v>49</v>
      </c>
      <c r="O925" s="654" t="s">
        <v>47</v>
      </c>
      <c r="P925" s="655" t="s">
        <v>77</v>
      </c>
    </row>
    <row r="926" spans="1:18" s="54" customFormat="1" ht="15.75" hidden="1" thickBot="1" x14ac:dyDescent="0.3">
      <c r="A926" s="119"/>
      <c r="B926" s="309"/>
      <c r="C926" s="322">
        <f t="shared" ref="C926:C938" ca="1" si="335">C925</f>
        <v>0</v>
      </c>
      <c r="D926" s="59" t="s">
        <v>26</v>
      </c>
      <c r="E926" s="57"/>
      <c r="F926" s="656"/>
      <c r="G926" s="656"/>
      <c r="H926" s="656"/>
      <c r="I926" s="656"/>
      <c r="J926" s="656"/>
      <c r="K926" s="656"/>
      <c r="L926" s="656"/>
      <c r="M926" s="656"/>
      <c r="N926" s="656"/>
      <c r="O926" s="656"/>
      <c r="P926" s="663"/>
    </row>
    <row r="927" spans="1:18" s="54" customFormat="1" ht="15.75" hidden="1" thickBot="1" x14ac:dyDescent="0.3">
      <c r="A927" s="119"/>
      <c r="B927" s="309"/>
      <c r="C927" s="322">
        <f t="shared" ca="1" si="335"/>
        <v>0</v>
      </c>
      <c r="D927" s="7" t="s">
        <v>34</v>
      </c>
      <c r="E927" s="48" t="s">
        <v>57</v>
      </c>
      <c r="F927" s="657">
        <f ca="1">+H927+G927+I927</f>
        <v>0</v>
      </c>
      <c r="G927" s="658">
        <f ca="1">+IFERROR(G$5*GETPIVOTDATA("Unique Billed Hours",'County allocation'!$A$3,"County",$D924,"HHA/CDPAP","HHA","Level of Service",$D927),0)</f>
        <v>0</v>
      </c>
      <c r="H927" s="658">
        <f>+IFERROR(H$5*GETPIVOTDATA("Unique Billed Hours",'County allocation'!$S$3,"County",$D924,"HHA/CDPAP","HHA","Level of Service",$D927),0)</f>
        <v>0</v>
      </c>
      <c r="I927" s="664">
        <f ca="1">SUM(J927:P927)</f>
        <v>0</v>
      </c>
      <c r="J927" s="658">
        <f ca="1">+IFERROR(J$5*GETPIVOTDATA("Unique Billed Hours",'County allocation'!$S$3,"County",$D924,"HHA/CDPAP","HHA","Level of Service",$D927),0)</f>
        <v>0</v>
      </c>
      <c r="K927" s="658">
        <f ca="1">+IFERROR(K$5*GETPIVOTDATA("Unique Billed Hours",'County allocation'!$X$3,"County",$D924,"HHA/CDPAP","HHA","Level of Service",$D927),0)</f>
        <v>0</v>
      </c>
      <c r="L927" s="658">
        <f ca="1">+IFERROR(L$2*GETPIVOTDATA("Unique Billed Hours",'County allocation'!$O$3,"County",$D924,"HHA/CDPAP","HHA","Level of Service",$D927),0)</f>
        <v>0</v>
      </c>
      <c r="M927" s="658">
        <f>+IFERROR(M$5*GETPIVOTDATA("Unique Billed Hours",'County allocation'!$S$3,"County",$D924,"HHA/CDPAP","HHA","Level of Service",$D927),0)</f>
        <v>0</v>
      </c>
      <c r="N927" s="658">
        <f>+IFERROR(N$5*GETPIVOTDATA("Unique Billed Hours",'County allocation'!$S$3,"County",$D924,"HHA/CDPAP","HHA","Level of Service",$D927),0)</f>
        <v>0</v>
      </c>
      <c r="O927" s="658">
        <f>+IFERROR(O$5*GETPIVOTDATA("Unique Billed Hours",'County allocation'!$K$19,"County",$D924,"HHA/CDPAP","HHA","Level of Service",$D927),0)</f>
        <v>0</v>
      </c>
      <c r="P927" s="658">
        <f>+IFERROR(P$5*GETPIVOTDATA("Unique Billed Hours",'County allocation'!$S$3,"County",$D924,"HHA/CDPAP","HHA","Level of Service",$D927),0)</f>
        <v>0</v>
      </c>
    </row>
    <row r="928" spans="1:18" s="54" customFormat="1" ht="15.75" hidden="1" thickBot="1" x14ac:dyDescent="0.3">
      <c r="A928" s="119"/>
      <c r="B928" s="309"/>
      <c r="C928" s="322">
        <f t="shared" ca="1" si="335"/>
        <v>0</v>
      </c>
      <c r="D928" s="7" t="s">
        <v>35</v>
      </c>
      <c r="E928" s="48" t="s">
        <v>56</v>
      </c>
      <c r="F928" s="657">
        <f t="shared" ref="F928:F939" ca="1" si="336">+H928+G928+I928</f>
        <v>0</v>
      </c>
      <c r="G928" s="658">
        <f ca="1">+IFERROR(G$5*GETPIVOTDATA("Unique Billed Hours",'County allocation'!$A$3,"County",$D924,"HHA/CDPAP","HHA","Level of Service",$D928),0)</f>
        <v>0</v>
      </c>
      <c r="H928" s="658">
        <f>+IFERROR(H$5*GETPIVOTDATA("Unique Billed Hours",'County allocation'!$S$3,"County",$D924,"HHA/CDPAP","HHA","Level of Service",$D928),0)</f>
        <v>0</v>
      </c>
      <c r="I928" s="664">
        <f t="shared" ref="I928:I938" ca="1" si="337">SUM(J928:P928)</f>
        <v>0</v>
      </c>
      <c r="J928" s="658">
        <f ca="1">+IFERROR(J$5*GETPIVOTDATA("Unique Billed Hours",'County allocation'!$S$3,"County",$D924,"HHA/CDPAP","HHA","Level of Service",$D928),0)</f>
        <v>0</v>
      </c>
      <c r="K928" s="658">
        <f ca="1">+IFERROR(K$5*GETPIVOTDATA("Unique Billed Hours",'County allocation'!$X$3,"County",$D924,"HHA/CDPAP","HHA","Level of Service",$D928),0)</f>
        <v>0</v>
      </c>
      <c r="L928" s="658">
        <f ca="1">+IFERROR(L$2*GETPIVOTDATA("Unique Billed Hours",'County allocation'!$O$3,"County",$D924,"HHA/CDPAP","HHA","Level of Service",$D928),0)</f>
        <v>0</v>
      </c>
      <c r="M928" s="658">
        <f>+IFERROR(M$5*GETPIVOTDATA("Unique Billed Hours",'County allocation'!$S$3,"County",$D924,"HHA/CDPAP","HHA","Level of Service",$D928),0)</f>
        <v>0</v>
      </c>
      <c r="N928" s="658">
        <f>+IFERROR(N$5*GETPIVOTDATA("Unique Billed Hours",'County allocation'!$S$3,"County",$D924,"HHA/CDPAP","HHA","Level of Service",$D928),0)</f>
        <v>0</v>
      </c>
      <c r="O928" s="658">
        <f>+IFERROR(O$5*GETPIVOTDATA("Unique Billed Hours",'County allocation'!$K$19,"County",$D924,"HHA/CDPAP","HHA","Level of Service",$D928),0)</f>
        <v>0</v>
      </c>
      <c r="P928" s="658">
        <f>+IFERROR(P$5*GETPIVOTDATA("Unique Billed Hours",'County allocation'!$S$3,"County",$D924,"HHA/CDPAP","HHA","Level of Service",$D928),0)</f>
        <v>0</v>
      </c>
      <c r="R928" s="61"/>
    </row>
    <row r="929" spans="1:16" s="54" customFormat="1" ht="15.75" hidden="1" thickBot="1" x14ac:dyDescent="0.3">
      <c r="A929" s="302"/>
      <c r="B929" s="309"/>
      <c r="C929" s="322">
        <f t="shared" ca="1" si="335"/>
        <v>0</v>
      </c>
      <c r="D929" s="7" t="s">
        <v>36</v>
      </c>
      <c r="E929" s="48" t="s">
        <v>55</v>
      </c>
      <c r="F929" s="657">
        <f t="shared" ca="1" si="336"/>
        <v>0</v>
      </c>
      <c r="G929" s="658">
        <f ca="1">+IFERROR(G$5*GETPIVOTDATA("Unique Billed Hours",'County allocation'!$A$3,"County",$D924,"HHA/CDPAP","HHA","Level of Service",$D929),0)</f>
        <v>0</v>
      </c>
      <c r="H929" s="658">
        <f>+IFERROR(H$5*GETPIVOTDATA("Unique Billed Hours",'County allocation'!$S$3,"County",$D924,"HHA/CDPAP","HHA","Level of Service",$D929),0)</f>
        <v>0</v>
      </c>
      <c r="I929" s="664">
        <f t="shared" ca="1" si="337"/>
        <v>0</v>
      </c>
      <c r="J929" s="658">
        <f ca="1">+IFERROR(J$5*GETPIVOTDATA("Unique Billed Hours",'County allocation'!$S$3,"County",$D924,"HHA/CDPAP","HHA","Level of Service",$D929),0)</f>
        <v>0</v>
      </c>
      <c r="K929" s="658">
        <f ca="1">+IFERROR(K$5*GETPIVOTDATA("Unique Billed Hours",'County allocation'!$X$3,"County",$D924,"HHA/CDPAP","HHA","Level of Service",$D929),0)</f>
        <v>0</v>
      </c>
      <c r="L929" s="658">
        <f ca="1">+IFERROR(L$2*GETPIVOTDATA("Unique Billed Hours",'County allocation'!$O$3,"County",$D924,"HHA/CDPAP","HHA","Level of Service",$D929),0)</f>
        <v>0</v>
      </c>
      <c r="M929" s="658">
        <f>+IFERROR(M$5*GETPIVOTDATA("Unique Billed Hours",'County allocation'!$S$3,"County",$D924,"HHA/CDPAP","HHA","Level of Service",$D929),0)</f>
        <v>0</v>
      </c>
      <c r="N929" s="658">
        <f>+IFERROR(N$5*GETPIVOTDATA("Unique Billed Hours",'County allocation'!$S$3,"County",$D924,"HHA/CDPAP","HHA","Level of Service",$D929),0)</f>
        <v>0</v>
      </c>
      <c r="O929" s="658">
        <f>+IFERROR(O$5*GETPIVOTDATA("Unique Billed Hours",'County allocation'!$K$19,"County",$D924,"HHA/CDPAP","HHA","Level of Service",$D929),0)</f>
        <v>0</v>
      </c>
      <c r="P929" s="658">
        <f>+IFERROR(P$5*GETPIVOTDATA("Unique Billed Hours",'County allocation'!$S$3,"County",$D924,"HHA/CDPAP","HHA","Level of Service",$D929),0)</f>
        <v>0</v>
      </c>
    </row>
    <row r="930" spans="1:16" s="54" customFormat="1" ht="15.75" hidden="1" thickBot="1" x14ac:dyDescent="0.3">
      <c r="A930" s="119"/>
      <c r="B930" s="309"/>
      <c r="C930" s="322">
        <f t="shared" ca="1" si="335"/>
        <v>0</v>
      </c>
      <c r="D930" s="7" t="s">
        <v>37</v>
      </c>
      <c r="E930" s="48" t="s">
        <v>54</v>
      </c>
      <c r="F930" s="657">
        <f t="shared" ca="1" si="336"/>
        <v>0</v>
      </c>
      <c r="G930" s="658">
        <f ca="1">+IFERROR(G$5*GETPIVOTDATA("Unique Billed Hours",'County allocation'!$A$3,"County",$D924,"HHA/CDPAP","HHA","Level of Service",$D930),0)</f>
        <v>0</v>
      </c>
      <c r="H930" s="658">
        <f>+IFERROR(H$5*GETPIVOTDATA("Unique Billed Hours",'County allocation'!$S$3,"County",$D924,"HHA/CDPAP","HHA","Level of Service",$D930),0)</f>
        <v>0</v>
      </c>
      <c r="I930" s="664">
        <f t="shared" ca="1" si="337"/>
        <v>0</v>
      </c>
      <c r="J930" s="658">
        <f ca="1">+IFERROR(J$5*GETPIVOTDATA("Unique Billed Hours",'County allocation'!$S$3,"County",$D924,"HHA/CDPAP","HHA","Level of Service",$D930),0)</f>
        <v>0</v>
      </c>
      <c r="K930" s="658">
        <f ca="1">+IFERROR(K$5*GETPIVOTDATA("Unique Billed Hours",'County allocation'!$X$3,"County",$D924,"HHA/CDPAP","HHA","Level of Service",$D930),0)</f>
        <v>0</v>
      </c>
      <c r="L930" s="658">
        <f ca="1">+IFERROR(L$2*GETPIVOTDATA("Unique Billed Hours",'County allocation'!$O$3,"County",$D924,"HHA/CDPAP","HHA","Level of Service",$D930),0)</f>
        <v>0</v>
      </c>
      <c r="M930" s="658">
        <f>+IFERROR(M$5*GETPIVOTDATA("Unique Billed Hours",'County allocation'!$S$3,"County",$D924,"HHA/CDPAP","HHA","Level of Service",$D930),0)</f>
        <v>0</v>
      </c>
      <c r="N930" s="658">
        <f>+IFERROR(N$5*GETPIVOTDATA("Unique Billed Hours",'County allocation'!$S$3,"County",$D924,"HHA/CDPAP","HHA","Level of Service",$D930),0)</f>
        <v>0</v>
      </c>
      <c r="O930" s="658">
        <f>+IFERROR(O$5*GETPIVOTDATA("Unique Billed Hours",'County allocation'!$K$19,"County",$D924,"HHA/CDPAP","HHA","Level of Service",$D930),0)</f>
        <v>0</v>
      </c>
      <c r="P930" s="658">
        <f>+IFERROR(P$5*GETPIVOTDATA("Unique Billed Hours",'County allocation'!$S$3,"County",$D924,"HHA/CDPAP","HHA","Level of Service",$D930),0)</f>
        <v>0</v>
      </c>
    </row>
    <row r="931" spans="1:16" s="54" customFormat="1" ht="15.75" hidden="1" thickBot="1" x14ac:dyDescent="0.3">
      <c r="A931" s="119"/>
      <c r="B931" s="309"/>
      <c r="C931" s="322">
        <f t="shared" ca="1" si="335"/>
        <v>0</v>
      </c>
      <c r="D931" s="7" t="s">
        <v>38</v>
      </c>
      <c r="E931" s="48" t="s">
        <v>53</v>
      </c>
      <c r="F931" s="657">
        <f t="shared" ca="1" si="336"/>
        <v>0</v>
      </c>
      <c r="G931" s="658">
        <f ca="1">+IFERROR(G$5*GETPIVOTDATA("Unique Billed Hours",'County allocation'!$A$3,"County",$D924,"HHA/CDPAP","HHA","Level of Service",$D931),0)</f>
        <v>0</v>
      </c>
      <c r="H931" s="658">
        <f>+IFERROR(H$5*GETPIVOTDATA("Unique Billed Hours",'County allocation'!$S$3,"County",$D924,"HHA/CDPAP","HHA","Level of Service",$D931),0)</f>
        <v>0</v>
      </c>
      <c r="I931" s="664">
        <f t="shared" ca="1" si="337"/>
        <v>0</v>
      </c>
      <c r="J931" s="658">
        <f ca="1">+IFERROR(J$5*GETPIVOTDATA("Unique Billed Hours",'County allocation'!$S$3,"County",$D924,"HHA/CDPAP","HHA","Level of Service",$D931),0)</f>
        <v>0</v>
      </c>
      <c r="K931" s="658">
        <f ca="1">+IFERROR(K$5*GETPIVOTDATA("Unique Billed Hours",'County allocation'!$X$3,"County",$D924,"HHA/CDPAP","HHA","Level of Service",$D931),0)</f>
        <v>0</v>
      </c>
      <c r="L931" s="658">
        <f ca="1">+IFERROR(L$5*GETPIVOTDATA("Unique Billed Hours",'County allocation'!$K$19,"County",$D924,"HHA/CDPAP","HHA","Level of Service",$D931),0)</f>
        <v>0</v>
      </c>
      <c r="M931" s="658">
        <f>+IFERROR(M$5*GETPIVOTDATA("Unique Billed Hours",'County allocation'!$S$3,"County",$D924,"HHA/CDPAP","HHA","Level of Service",$D931),0)</f>
        <v>0</v>
      </c>
      <c r="N931" s="658">
        <f>+IFERROR(N$5*GETPIVOTDATA("Unique Billed Hours",'County allocation'!$S$3,"County",$D924,"HHA/CDPAP","HHA","Level of Service",$D931),0)</f>
        <v>0</v>
      </c>
      <c r="O931" s="658">
        <f>+IFERROR(O$5*GETPIVOTDATA("Unique Billed Hours",'County allocation'!$K$19,"County",$D924,"HHA/CDPAP","HHA","Level of Service",$D931),0)</f>
        <v>0</v>
      </c>
      <c r="P931" s="658">
        <f>+IFERROR(P$5*GETPIVOTDATA("Unique Billed Hours",'County allocation'!$S$3,"County",$D924,"HHA/CDPAP","HHA","Level of Service",$D931),0)</f>
        <v>0</v>
      </c>
    </row>
    <row r="932" spans="1:16" s="54" customFormat="1" ht="15.75" hidden="1" thickBot="1" x14ac:dyDescent="0.3">
      <c r="A932" s="119"/>
      <c r="B932" s="309"/>
      <c r="C932" s="322">
        <f t="shared" ca="1" si="335"/>
        <v>0</v>
      </c>
      <c r="D932" s="7" t="s">
        <v>39</v>
      </c>
      <c r="E932" s="48" t="s">
        <v>52</v>
      </c>
      <c r="F932" s="657">
        <f t="shared" ca="1" si="336"/>
        <v>0</v>
      </c>
      <c r="G932" s="658">
        <f ca="1">+IFERROR(G$5*GETPIVOTDATA("Unique Billed Hours",'County allocation'!$A$3,"County",$D924,"HHA/CDPAP","HHA","Level of Service",$D932),0)</f>
        <v>0</v>
      </c>
      <c r="H932" s="658">
        <f>+IFERROR(H$5*GETPIVOTDATA("Unique Billed Hours",'County allocation'!$S$3,"County",$D924,"HHA/CDPAP","HHA","Level of Service",$D932),0)</f>
        <v>0</v>
      </c>
      <c r="I932" s="664">
        <f t="shared" ca="1" si="337"/>
        <v>0</v>
      </c>
      <c r="J932" s="658">
        <f ca="1">+IFERROR(J$5*GETPIVOTDATA("Unique Billed Hours",'County allocation'!$S$3,"County",$D924,"HHA/CDPAP","HHA","Level of Service",$D932),0)</f>
        <v>0</v>
      </c>
      <c r="K932" s="658">
        <f ca="1">+IFERROR(K$5*GETPIVOTDATA("Unique Billed Hours",'County allocation'!$X$3,"County",$D924,"HHA/CDPAP","HHA","Level of Service",$D932),0)</f>
        <v>0</v>
      </c>
      <c r="L932" s="658">
        <f ca="1">+IFERROR(L$5*GETPIVOTDATA("Unique Billed Hours",'County allocation'!$K$19,"County",$D924,"HHA/CDPAP","HHA","Level of Service",$D932),0)</f>
        <v>0</v>
      </c>
      <c r="M932" s="658">
        <f>+IFERROR(M$5*GETPIVOTDATA("Unique Billed Hours",'County allocation'!$S$3,"County",$D924,"HHA/CDPAP","HHA","Level of Service",$D932),0)</f>
        <v>0</v>
      </c>
      <c r="N932" s="658">
        <f>+IFERROR(N$5*GETPIVOTDATA("Unique Billed Hours",'County allocation'!$S$3,"County",$D924,"HHA/CDPAP","HHA","Level of Service",$D932),0)</f>
        <v>0</v>
      </c>
      <c r="O932" s="658">
        <f>+IFERROR(O$5*GETPIVOTDATA("Unique Billed Hours",'County allocation'!$K$19,"County",$D924,"HHA/CDPAP","HHA","Level of Service",$D932),0)</f>
        <v>0</v>
      </c>
      <c r="P932" s="658">
        <f>+IFERROR(P$5*GETPIVOTDATA("Unique Billed Hours",'County allocation'!$S$3,"County",$D924,"HHA/CDPAP","HHA","Level of Service",$D932),0)</f>
        <v>0</v>
      </c>
    </row>
    <row r="933" spans="1:16" s="54" customFormat="1" ht="15.75" hidden="1" thickBot="1" x14ac:dyDescent="0.3">
      <c r="A933" s="119"/>
      <c r="B933" s="309"/>
      <c r="C933" s="322">
        <f t="shared" ca="1" si="335"/>
        <v>0</v>
      </c>
      <c r="D933" s="8" t="s">
        <v>40</v>
      </c>
      <c r="E933" s="48" t="s">
        <v>51</v>
      </c>
      <c r="F933" s="657">
        <f t="shared" ca="1" si="336"/>
        <v>0</v>
      </c>
      <c r="G933" s="658">
        <f ca="1">+IFERROR(G$5*GETPIVOTDATA("Unique Billed Hours",'County allocation'!$A$3,"County",$D924,"HHA/CDPAP","HHA","Level of Service",$D933),0)</f>
        <v>0</v>
      </c>
      <c r="H933" s="658">
        <f>+IFERROR(H$5*GETPIVOTDATA("Unique Billed Hours",'County allocation'!$S$3,"County",$D924,"HHA/CDPAP","HHA","Level of Service",$D933),0)</f>
        <v>0</v>
      </c>
      <c r="I933" s="664">
        <f t="shared" ca="1" si="337"/>
        <v>0</v>
      </c>
      <c r="J933" s="658">
        <f ca="1">+IFERROR(J$5*GETPIVOTDATA("Unique Billed Hours",'County allocation'!$S$3,"County",$D924,"HHA/CDPAP","HHA","Level of Service",$D933),0)</f>
        <v>0</v>
      </c>
      <c r="K933" s="658">
        <f ca="1">+IFERROR(K$5*GETPIVOTDATA("Unique Billed Hours",'County allocation'!$X$3,"County",$D924,"HHA/CDPAP","HHA","Level of Service",$D933),0)</f>
        <v>0</v>
      </c>
      <c r="L933" s="658">
        <f ca="1">+IFERROR(L$2*GETPIVOTDATA("Unique Billed Hours",'County allocation'!$O$3,"County",$D924,"HHA/CDPAP","HHA","Level of Service",$D933),0)</f>
        <v>0</v>
      </c>
      <c r="M933" s="658">
        <f>+IFERROR(M$5*GETPIVOTDATA("Unique Billed Hours",'County allocation'!$S$3,"County",$D924,"HHA/CDPAP","HHA","Level of Service",$D933),0)</f>
        <v>0</v>
      </c>
      <c r="N933" s="658">
        <f>+IFERROR(N$5*GETPIVOTDATA("Unique Billed Hours",'County allocation'!$S$3,"County",$D924,"HHA/CDPAP","HHA","Level of Service",$D933),0)</f>
        <v>0</v>
      </c>
      <c r="O933" s="658">
        <f>+IFERROR(O$5*GETPIVOTDATA("Unique Billed Hours",'County allocation'!$K$19,"County",$D924,"HHA/CDPAP","HHA","Level of Service",$D933),0)</f>
        <v>0</v>
      </c>
      <c r="P933" s="658">
        <f>+IFERROR(P$5*GETPIVOTDATA("Unique Billed Hours",'County allocation'!$S$3,"County",$D924,"HHA/CDPAP","HHA","Level of Service",$D933),0)</f>
        <v>0</v>
      </c>
    </row>
    <row r="934" spans="1:16" s="54" customFormat="1" ht="15.75" hidden="1" thickBot="1" x14ac:dyDescent="0.3">
      <c r="A934" s="119"/>
      <c r="B934" s="309"/>
      <c r="C934" s="322">
        <f t="shared" ca="1" si="335"/>
        <v>0</v>
      </c>
      <c r="D934" s="8" t="s">
        <v>41</v>
      </c>
      <c r="E934" s="48" t="s">
        <v>50</v>
      </c>
      <c r="F934" s="657">
        <f t="shared" ca="1" si="336"/>
        <v>0</v>
      </c>
      <c r="G934" s="658">
        <f ca="1">+IFERROR(G$5*GETPIVOTDATA("Unique Billed Hours",'County allocation'!$A$3,"County",$D924,"HHA/CDPAP","HHA","Level of Service",$D934),0)</f>
        <v>0</v>
      </c>
      <c r="H934" s="658">
        <f>+IFERROR(H$5*GETPIVOTDATA("Unique Billed Hours",'County allocation'!$S$3,"County",$D924,"HHA/CDPAP","HHA","Level of Service",$D934),0)</f>
        <v>0</v>
      </c>
      <c r="I934" s="664">
        <f t="shared" ca="1" si="337"/>
        <v>0</v>
      </c>
      <c r="J934" s="658">
        <f ca="1">+IFERROR(J$5*GETPIVOTDATA("Unique Billed Hours",'County allocation'!$S$3,"County",$D924,"HHA/CDPAP","HHA","Level of Service",$D934),0)</f>
        <v>0</v>
      </c>
      <c r="K934" s="658">
        <f ca="1">+IFERROR(K$5*GETPIVOTDATA("Unique Billed Hours",'County allocation'!$X$3,"County",$D924,"HHA/CDPAP","HHA","Level of Service",$D934),0)</f>
        <v>0</v>
      </c>
      <c r="L934" s="658">
        <f ca="1">+IFERROR(L$2*GETPIVOTDATA("Unique Billed Hours",'County allocation'!$O$3,"County",$D924,"HHA/CDPAP","HHA","Level of Service",$D934),0)</f>
        <v>0</v>
      </c>
      <c r="M934" s="658">
        <f>+IFERROR(M$5*GETPIVOTDATA("Unique Billed Hours",'County allocation'!$S$3,"County",$D924,"HHA/CDPAP","HHA","Level of Service",$D934),0)</f>
        <v>0</v>
      </c>
      <c r="N934" s="658">
        <f>+IFERROR(N$5*GETPIVOTDATA("Unique Billed Hours",'County allocation'!$S$3,"County",$D924,"HHA/CDPAP","HHA","Level of Service",$D934),0)</f>
        <v>0</v>
      </c>
      <c r="O934" s="658">
        <f>+IFERROR(O$5*GETPIVOTDATA("Unique Billed Hours",'County allocation'!$K$19,"County",$D924,"HHA/CDPAP","HHA","Level of Service",$D934),0)</f>
        <v>0</v>
      </c>
      <c r="P934" s="658">
        <f>+IFERROR(P$5*GETPIVOTDATA("Unique Billed Hours",'County allocation'!$S$3,"County",$D924,"HHA/CDPAP","HHA","Level of Service",$D934),0)</f>
        <v>0</v>
      </c>
    </row>
    <row r="935" spans="1:16" s="54" customFormat="1" ht="15.75" hidden="1" thickBot="1" x14ac:dyDescent="0.3">
      <c r="A935" s="119"/>
      <c r="B935" s="309"/>
      <c r="C935" s="322">
        <f t="shared" ca="1" si="335"/>
        <v>0</v>
      </c>
      <c r="D935" s="52" t="s">
        <v>389</v>
      </c>
      <c r="E935" s="53" t="s">
        <v>49</v>
      </c>
      <c r="F935" s="657">
        <f t="shared" ca="1" si="336"/>
        <v>0</v>
      </c>
      <c r="G935" s="661">
        <f ca="1">SUM(G927:G934)</f>
        <v>0</v>
      </c>
      <c r="H935" s="661">
        <f>SUM(H927:H934)</f>
        <v>0</v>
      </c>
      <c r="I935" s="664">
        <f t="shared" ca="1" si="337"/>
        <v>0</v>
      </c>
      <c r="J935" s="661">
        <f ca="1">SUM(J927:J934)</f>
        <v>0</v>
      </c>
      <c r="K935" s="661">
        <f t="shared" ref="K935:P935" ca="1" si="338">SUM(K927:K934)</f>
        <v>0</v>
      </c>
      <c r="L935" s="661">
        <f t="shared" ca="1" si="338"/>
        <v>0</v>
      </c>
      <c r="M935" s="661">
        <f t="shared" si="338"/>
        <v>0</v>
      </c>
      <c r="N935" s="661">
        <f t="shared" si="338"/>
        <v>0</v>
      </c>
      <c r="O935" s="661">
        <f t="shared" si="338"/>
        <v>0</v>
      </c>
      <c r="P935" s="661">
        <f t="shared" si="338"/>
        <v>0</v>
      </c>
    </row>
    <row r="936" spans="1:16" s="54" customFormat="1" ht="15.75" hidden="1" thickBot="1" x14ac:dyDescent="0.3">
      <c r="A936" s="119"/>
      <c r="B936" s="309"/>
      <c r="C936" s="322">
        <f t="shared" ca="1" si="335"/>
        <v>0</v>
      </c>
      <c r="D936" s="371" t="s">
        <v>390</v>
      </c>
      <c r="E936" s="325" t="s">
        <v>47</v>
      </c>
      <c r="F936" s="657">
        <f t="shared" ca="1" si="336"/>
        <v>0</v>
      </c>
      <c r="G936" s="665">
        <f ca="1">+IFERROR((G$5*GETPIVOTDATA("Unique Billed Hours",'County allocation'!$A$3,"County",$D924,"HHA/CDPAP","HHA","Level of Service",$D936))+($G$2*GETPIVOTDATA("Unique Billed Hours",'County allocation'!$F$7,"County",$D924,"HHA/CDPAP","HHA","Level of Service",$D936)),0)++IFERROR(J$5*GETPIVOTDATA("Unique Billed Hours",'County allocation'!$AC$3,"County",$D924,"HHA/CDPAP","HHA","Level of Service",$D936),0)+ +IFERROR(J$5*GETPIVOTDATA("Unique Billed Hours",'County allocation'!$AC$3,"County",$D924,"HHA/CDPAP","HHA","Level of Service",$D937),0)</f>
        <v>0</v>
      </c>
      <c r="H936" s="665">
        <f>+IFERROR(H$5*GETPIVOTDATA("Unique Billed Hours",'County allocation'!$S$3,"County",$D924,"HHA/CDPAP","HHA","Level of Service",$D936),0)</f>
        <v>0</v>
      </c>
      <c r="I936" s="664">
        <f t="shared" ca="1" si="337"/>
        <v>0</v>
      </c>
      <c r="J936" s="901"/>
      <c r="K936" s="665">
        <f ca="1">+IFERROR(K$5*GETPIVOTDATA("Unique Billed Hours",'County allocation'!$X$3,"County",$D924,"HHA/CDPAP","HHA","Level of Service",$D936),0)</f>
        <v>0</v>
      </c>
      <c r="L936" s="665">
        <f ca="1">+IFERROR(L$5*GETPIVOTDATA("Unique Billed Hours",'County allocation'!$K$19,"County",$D924,"HHA/CDPAP","HHA","Level of Service",$D936),0)</f>
        <v>0</v>
      </c>
      <c r="M936" s="665">
        <f>+IFERROR(M$5*GETPIVOTDATA("Unique Billed Hours",'County allocation'!$S$3,"County",$D924,"HHA/CDPAP","HHA","Level of Service",$D936),0)</f>
        <v>0</v>
      </c>
      <c r="N936" s="665">
        <f>+IFERROR(N$5*GETPIVOTDATA("Unique Billed Hours",'County allocation'!$S$3,"County",$D924,"HHA/CDPAP","HHA","Level of Service",$D936),0)</f>
        <v>0</v>
      </c>
      <c r="O936" s="665">
        <f>+IFERROR(O$5*GETPIVOTDATA("Unique Billed Hours",'County allocation'!$S$3,"County",$D924,"HHA/CDPAP","HHA","Level of Service",$D936),0)</f>
        <v>0</v>
      </c>
      <c r="P936" s="665">
        <f>+IFERROR(P$5*GETPIVOTDATA("Unique Billed Hours",'County allocation'!$S$3,"County",$D924,"HHA/CDPAP","HHA","Level of Service",$D936),0)</f>
        <v>0</v>
      </c>
    </row>
    <row r="937" spans="1:16" s="54" customFormat="1" ht="15.75" hidden="1" thickBot="1" x14ac:dyDescent="0.3">
      <c r="A937" s="119"/>
      <c r="B937" s="309"/>
      <c r="C937" s="322">
        <f t="shared" ca="1" si="335"/>
        <v>0</v>
      </c>
      <c r="D937" s="8" t="s">
        <v>391</v>
      </c>
      <c r="E937" s="370" t="s">
        <v>77</v>
      </c>
      <c r="F937" s="657">
        <f t="shared" ca="1" si="336"/>
        <v>0</v>
      </c>
      <c r="G937" s="656"/>
      <c r="H937" s="658">
        <f>+IFERROR(H$5*GETPIVOTDATA("Unique Billed Hours",'County allocation'!$S$3,"County",$D924,"HHA/CDPAP","HHA","Level of Service",$D937),0)</f>
        <v>0</v>
      </c>
      <c r="I937" s="664">
        <f t="shared" ca="1" si="337"/>
        <v>0</v>
      </c>
      <c r="J937" s="901"/>
      <c r="K937" s="665">
        <f ca="1">+IFERROR(K$5*GETPIVOTDATA("Unique Billed Hours",'County allocation'!$X$3,"County",$D924,"HHA/CDPAP","HHA","Level of Service",$D937),0)</f>
        <v>0</v>
      </c>
      <c r="L937" s="665">
        <f ca="1">+IFERROR(L$5*GETPIVOTDATA("Unique Billed Hours",'County allocation'!$K$19,"County",$D924,"HHA/CDPAP","HHA","Level of Service",$D937),0)</f>
        <v>0</v>
      </c>
      <c r="M937" s="665">
        <f>+IFERROR(M$5*GETPIVOTDATA("Unique Billed Hours",'County allocation'!$S$3,"County",$D924,"HHA/CDPAP","HHA","Level of Service",$D937),0)</f>
        <v>0</v>
      </c>
      <c r="N937" s="665">
        <f>+IFERROR(N$5*GETPIVOTDATA("Unique Billed Hours",'County allocation'!$S$3,"County",$D924,"HHA/CDPAP","HHA","Level of Service",$D937),0)</f>
        <v>0</v>
      </c>
      <c r="O937" s="665">
        <f>+IFERROR(O$5*GETPIVOTDATA("Unique Billed Hours",'County allocation'!$S$3,"County",$D924,"HHA/CDPAP","HHA","Level of Service",$D937),0)</f>
        <v>0</v>
      </c>
      <c r="P937" s="665">
        <f>+IFERROR(P$5*GETPIVOTDATA("Unique Billed Hours",'County allocation'!$S$3,"County",$D924,"HHA/CDPAP","HHA","Level of Service",$D937),0)</f>
        <v>0</v>
      </c>
    </row>
    <row r="938" spans="1:16" s="54" customFormat="1" ht="15.75" hidden="1" thickBot="1" x14ac:dyDescent="0.3">
      <c r="A938" s="119"/>
      <c r="B938" s="309"/>
      <c r="C938" s="322">
        <f t="shared" ca="1" si="335"/>
        <v>0</v>
      </c>
      <c r="D938" s="8" t="s">
        <v>374</v>
      </c>
      <c r="E938" s="370" t="s">
        <v>78</v>
      </c>
      <c r="F938" s="657">
        <f t="shared" ca="1" si="336"/>
        <v>0</v>
      </c>
      <c r="G938" s="658">
        <f ca="1">+IFERROR(G$5*GETPIVOTDATA("Unique Billed Hours",'County allocation'!$A$3,"County",$D924,"HHA/CDPAP","HHA","Level of Service",$D938),0)++IFERROR(J$5*GETPIVOTDATA("Unique Billed Hours",'County allocation'!$AC$3,"County",$D924,"HHA/CDPAP","HHA","Level of Service",$D938),0)</f>
        <v>0</v>
      </c>
      <c r="H938" s="658">
        <f>+IFERROR(H$5*GETPIVOTDATA("Unique Billed Hours",'County allocation'!$S$3,"County",$D924,"HHA/CDPAP","HHA","Level of Service",$D938),0)</f>
        <v>0</v>
      </c>
      <c r="I938" s="664">
        <f t="shared" ca="1" si="337"/>
        <v>0</v>
      </c>
      <c r="J938" s="901"/>
      <c r="K938" s="665">
        <f ca="1">+IFERROR(K$5*GETPIVOTDATA("Unique Billed Hours",'County allocation'!$X$3,"County",$D924,"HHA/CDPAP","HHA","Level of Service",$D938),0)</f>
        <v>0</v>
      </c>
      <c r="L938" s="665">
        <f ca="1">+IFERROR(L$5*GETPIVOTDATA("Unique Billed Hours",'County allocation'!$K$19,"County",$D924,"HHA/CDPAP","HHA","Level of Service",$D938),0)</f>
        <v>0</v>
      </c>
      <c r="M938" s="665">
        <f>+IFERROR(M$5*GETPIVOTDATA("Unique Billed Hours",'County allocation'!$S$3,"County",$D924,"HHA/CDPAP","HHA","Level of Service",$D938),0)</f>
        <v>0</v>
      </c>
      <c r="N938" s="665">
        <f>+IFERROR(N$5*GETPIVOTDATA("Unique Billed Hours",'County allocation'!$S$3,"County",$D924,"HHA/CDPAP","HHA","Level of Service",$D938),0)</f>
        <v>0</v>
      </c>
      <c r="O938" s="665">
        <f>+IFERROR(O$5*GETPIVOTDATA("Unique Billed Hours",'County allocation'!$S$3,"County",$D924,"HHA/CDPAP","HHA","Level of Service",$D938),0)</f>
        <v>0</v>
      </c>
      <c r="P938" s="665">
        <f>+IFERROR(P$5*GETPIVOTDATA("Unique Billed Hours",'County allocation'!$S$3,"County",$D924,"HHA/CDPAP","HHA","Level of Service",$D938),0)</f>
        <v>0</v>
      </c>
    </row>
    <row r="939" spans="1:16" s="54" customFormat="1" ht="15.75" hidden="1" thickBot="1" x14ac:dyDescent="0.3">
      <c r="A939" s="302"/>
      <c r="B939" s="309"/>
      <c r="C939" s="322">
        <f ca="1">C938</f>
        <v>0</v>
      </c>
      <c r="D939" s="52" t="s">
        <v>48</v>
      </c>
      <c r="E939" s="53" t="s">
        <v>79</v>
      </c>
      <c r="F939" s="657">
        <f t="shared" ca="1" si="336"/>
        <v>0</v>
      </c>
      <c r="G939" s="661">
        <f t="shared" ref="G939" ca="1" si="339">SUM(G935:G938)</f>
        <v>0</v>
      </c>
      <c r="H939" s="661">
        <f t="shared" ref="H939:P939" si="340">SUM(H935:H938)</f>
        <v>0</v>
      </c>
      <c r="I939" s="661">
        <f t="shared" ca="1" si="340"/>
        <v>0</v>
      </c>
      <c r="J939" s="661">
        <f t="shared" ca="1" si="340"/>
        <v>0</v>
      </c>
      <c r="K939" s="661">
        <f t="shared" ca="1" si="340"/>
        <v>0</v>
      </c>
      <c r="L939" s="661">
        <f t="shared" ca="1" si="340"/>
        <v>0</v>
      </c>
      <c r="M939" s="661">
        <f t="shared" si="340"/>
        <v>0</v>
      </c>
      <c r="N939" s="661">
        <f t="shared" si="340"/>
        <v>0</v>
      </c>
      <c r="O939" s="661">
        <f t="shared" si="340"/>
        <v>0</v>
      </c>
      <c r="P939" s="661">
        <f t="shared" si="340"/>
        <v>0</v>
      </c>
    </row>
    <row r="940" spans="1:16" ht="15.75" hidden="1" thickBot="1" x14ac:dyDescent="0.3"/>
    <row r="941" spans="1:16" s="54" customFormat="1" ht="75.75" hidden="1" thickBot="1" x14ac:dyDescent="0.3">
      <c r="A941" s="119"/>
      <c r="B941" s="309"/>
      <c r="C941" s="322">
        <f ca="1">IF(F956&gt;0,1,0)</f>
        <v>0</v>
      </c>
      <c r="D941" s="45" t="str">
        <f>A58</f>
        <v>Tompkins</v>
      </c>
      <c r="E941" s="28">
        <f>+SUMIF(A:A,D941,B:B)</f>
        <v>0</v>
      </c>
      <c r="F941" s="652" t="s">
        <v>61</v>
      </c>
      <c r="G941" s="652" t="s">
        <v>387</v>
      </c>
      <c r="H941" s="652" t="s">
        <v>388</v>
      </c>
      <c r="I941" s="652" t="s">
        <v>392</v>
      </c>
      <c r="J941" s="652" t="s">
        <v>31</v>
      </c>
      <c r="K941" s="652" t="s">
        <v>32</v>
      </c>
      <c r="L941" s="653" t="s">
        <v>33</v>
      </c>
      <c r="M941" s="653" t="s">
        <v>60</v>
      </c>
      <c r="N941" s="653" t="s">
        <v>59</v>
      </c>
      <c r="O941" s="653" t="s">
        <v>58</v>
      </c>
      <c r="P941" s="653" t="s">
        <v>16</v>
      </c>
    </row>
    <row r="942" spans="1:16" s="54" customFormat="1" ht="15.75" hidden="1" thickBot="1" x14ac:dyDescent="0.3">
      <c r="A942" s="119"/>
      <c r="B942" s="309"/>
      <c r="C942" s="322">
        <f ca="1">C941</f>
        <v>0</v>
      </c>
      <c r="D942" s="56"/>
      <c r="E942" s="57"/>
      <c r="F942" s="654" t="s">
        <v>57</v>
      </c>
      <c r="G942" s="654" t="s">
        <v>56</v>
      </c>
      <c r="H942" s="654" t="s">
        <v>55</v>
      </c>
      <c r="I942" s="654" t="s">
        <v>54</v>
      </c>
      <c r="J942" s="654" t="s">
        <v>53</v>
      </c>
      <c r="K942" s="654" t="s">
        <v>52</v>
      </c>
      <c r="L942" s="654" t="s">
        <v>51</v>
      </c>
      <c r="M942" s="654" t="s">
        <v>50</v>
      </c>
      <c r="N942" s="654" t="s">
        <v>49</v>
      </c>
      <c r="O942" s="654" t="s">
        <v>47</v>
      </c>
      <c r="P942" s="655" t="s">
        <v>77</v>
      </c>
    </row>
    <row r="943" spans="1:16" s="54" customFormat="1" ht="15.75" hidden="1" thickBot="1" x14ac:dyDescent="0.3">
      <c r="A943" s="119"/>
      <c r="B943" s="309"/>
      <c r="C943" s="322">
        <f t="shared" ref="C943:C955" ca="1" si="341">C942</f>
        <v>0</v>
      </c>
      <c r="D943" s="59" t="s">
        <v>26</v>
      </c>
      <c r="E943" s="57"/>
      <c r="F943" s="656"/>
      <c r="G943" s="656"/>
      <c r="H943" s="656"/>
      <c r="I943" s="656"/>
      <c r="J943" s="656"/>
      <c r="K943" s="656"/>
      <c r="L943" s="656"/>
      <c r="M943" s="656"/>
      <c r="N943" s="656"/>
      <c r="O943" s="656"/>
      <c r="P943" s="663"/>
    </row>
    <row r="944" spans="1:16" s="54" customFormat="1" ht="15.75" hidden="1" thickBot="1" x14ac:dyDescent="0.3">
      <c r="A944" s="119"/>
      <c r="B944" s="309"/>
      <c r="C944" s="322">
        <f t="shared" ca="1" si="341"/>
        <v>0</v>
      </c>
      <c r="D944" s="7" t="s">
        <v>34</v>
      </c>
      <c r="E944" s="48" t="s">
        <v>57</v>
      </c>
      <c r="F944" s="657">
        <f ca="1">+H944+G944+I944</f>
        <v>0</v>
      </c>
      <c r="G944" s="658">
        <f ca="1">+IFERROR(G$5*GETPIVOTDATA("Unique Billed Hours",'County allocation'!$A$3,"County",$D941,"HHA/CDPAP","HHA","Level of Service",$D944),0)</f>
        <v>0</v>
      </c>
      <c r="H944" s="658">
        <f>+IFERROR(H$5*GETPIVOTDATA("Unique Billed Hours",'County allocation'!$S$3,"County",$D941,"HHA/CDPAP","HHA","Level of Service",$D944),0)</f>
        <v>0</v>
      </c>
      <c r="I944" s="664">
        <f ca="1">SUM(J944:P944)</f>
        <v>0</v>
      </c>
      <c r="J944" s="658">
        <f ca="1">+IFERROR(J$5*GETPIVOTDATA("Unique Billed Hours",'County allocation'!$S$3,"County",$D941,"HHA/CDPAP","HHA","Level of Service",$D944),0)</f>
        <v>0</v>
      </c>
      <c r="K944" s="658">
        <f ca="1">+IFERROR(K$5*GETPIVOTDATA("Unique Billed Hours",'County allocation'!$X$3,"County",$D941,"HHA/CDPAP","HHA","Level of Service",$D944),0)</f>
        <v>0</v>
      </c>
      <c r="L944" s="658">
        <f ca="1">+IFERROR(L$2*GETPIVOTDATA("Unique Billed Hours",'County allocation'!$O$3,"County",$D941,"HHA/CDPAP","HHA","Level of Service",$D944),0)</f>
        <v>0</v>
      </c>
      <c r="M944" s="658">
        <f>+IFERROR(M$5*GETPIVOTDATA("Unique Billed Hours",'County allocation'!$S$3,"County",$D941,"HHA/CDPAP","HHA","Level of Service",$D944),0)</f>
        <v>0</v>
      </c>
      <c r="N944" s="658">
        <f>+IFERROR(N$5*GETPIVOTDATA("Unique Billed Hours",'County allocation'!$S$3,"County",$D941,"HHA/CDPAP","HHA","Level of Service",$D944),0)</f>
        <v>0</v>
      </c>
      <c r="O944" s="658">
        <f>+IFERROR(O$5*GETPIVOTDATA("Unique Billed Hours",'County allocation'!$K$19,"County",$D941,"HHA/CDPAP","HHA","Level of Service",$D944),0)</f>
        <v>0</v>
      </c>
      <c r="P944" s="658">
        <f>+IFERROR(P$5*GETPIVOTDATA("Unique Billed Hours",'County allocation'!$S$3,"County",$D941,"HHA/CDPAP","HHA","Level of Service",$D944),0)</f>
        <v>0</v>
      </c>
    </row>
    <row r="945" spans="1:18" s="54" customFormat="1" ht="15.75" hidden="1" thickBot="1" x14ac:dyDescent="0.3">
      <c r="A945" s="119"/>
      <c r="B945" s="309"/>
      <c r="C945" s="322">
        <f t="shared" ca="1" si="341"/>
        <v>0</v>
      </c>
      <c r="D945" s="7" t="s">
        <v>35</v>
      </c>
      <c r="E945" s="48" t="s">
        <v>56</v>
      </c>
      <c r="F945" s="657">
        <f t="shared" ref="F945:F956" ca="1" si="342">+H945+G945+I945</f>
        <v>0</v>
      </c>
      <c r="G945" s="658">
        <f ca="1">+IFERROR(G$5*GETPIVOTDATA("Unique Billed Hours",'County allocation'!$A$3,"County",$D941,"HHA/CDPAP","HHA","Level of Service",$D945),0)</f>
        <v>0</v>
      </c>
      <c r="H945" s="658">
        <f>+IFERROR(H$5*GETPIVOTDATA("Unique Billed Hours",'County allocation'!$S$3,"County",$D941,"HHA/CDPAP","HHA","Level of Service",$D945),0)</f>
        <v>0</v>
      </c>
      <c r="I945" s="664">
        <f t="shared" ref="I945:I955" ca="1" si="343">SUM(J945:P945)</f>
        <v>0</v>
      </c>
      <c r="J945" s="658">
        <f ca="1">+IFERROR(J$5*GETPIVOTDATA("Unique Billed Hours",'County allocation'!$S$3,"County",$D941,"HHA/CDPAP","HHA","Level of Service",$D945),0)</f>
        <v>0</v>
      </c>
      <c r="K945" s="658">
        <f ca="1">+IFERROR(K$5*GETPIVOTDATA("Unique Billed Hours",'County allocation'!$X$3,"County",$D941,"HHA/CDPAP","HHA","Level of Service",$D945),0)</f>
        <v>0</v>
      </c>
      <c r="L945" s="658">
        <f ca="1">+IFERROR(L$2*GETPIVOTDATA("Unique Billed Hours",'County allocation'!$O$3,"County",$D941,"HHA/CDPAP","HHA","Level of Service",$D945),0)</f>
        <v>0</v>
      </c>
      <c r="M945" s="658">
        <f>+IFERROR(M$5*GETPIVOTDATA("Unique Billed Hours",'County allocation'!$S$3,"County",$D941,"HHA/CDPAP","HHA","Level of Service",$D945),0)</f>
        <v>0</v>
      </c>
      <c r="N945" s="658">
        <f>+IFERROR(N$5*GETPIVOTDATA("Unique Billed Hours",'County allocation'!$S$3,"County",$D941,"HHA/CDPAP","HHA","Level of Service",$D945),0)</f>
        <v>0</v>
      </c>
      <c r="O945" s="658">
        <f>+IFERROR(O$5*GETPIVOTDATA("Unique Billed Hours",'County allocation'!$K$19,"County",$D941,"HHA/CDPAP","HHA","Level of Service",$D945),0)</f>
        <v>0</v>
      </c>
      <c r="P945" s="658">
        <f>+IFERROR(P$5*GETPIVOTDATA("Unique Billed Hours",'County allocation'!$S$3,"County",$D941,"HHA/CDPAP","HHA","Level of Service",$D945),0)</f>
        <v>0</v>
      </c>
      <c r="R945" s="61"/>
    </row>
    <row r="946" spans="1:18" s="54" customFormat="1" ht="15.75" hidden="1" thickBot="1" x14ac:dyDescent="0.3">
      <c r="A946" s="302"/>
      <c r="B946" s="309"/>
      <c r="C946" s="322">
        <f t="shared" ca="1" si="341"/>
        <v>0</v>
      </c>
      <c r="D946" s="7" t="s">
        <v>36</v>
      </c>
      <c r="E946" s="48" t="s">
        <v>55</v>
      </c>
      <c r="F946" s="657">
        <f t="shared" ca="1" si="342"/>
        <v>0</v>
      </c>
      <c r="G946" s="658">
        <f ca="1">+IFERROR(G$5*GETPIVOTDATA("Unique Billed Hours",'County allocation'!$A$3,"County",$D941,"HHA/CDPAP","HHA","Level of Service",$D946),0)</f>
        <v>0</v>
      </c>
      <c r="H946" s="658">
        <f>+IFERROR(H$5*GETPIVOTDATA("Unique Billed Hours",'County allocation'!$S$3,"County",$D941,"HHA/CDPAP","HHA","Level of Service",$D946),0)</f>
        <v>0</v>
      </c>
      <c r="I946" s="664">
        <f t="shared" ca="1" si="343"/>
        <v>0</v>
      </c>
      <c r="J946" s="658">
        <f ca="1">+IFERROR(J$5*GETPIVOTDATA("Unique Billed Hours",'County allocation'!$S$3,"County",$D941,"HHA/CDPAP","HHA","Level of Service",$D946),0)</f>
        <v>0</v>
      </c>
      <c r="K946" s="658">
        <f ca="1">+IFERROR(K$5*GETPIVOTDATA("Unique Billed Hours",'County allocation'!$X$3,"County",$D941,"HHA/CDPAP","HHA","Level of Service",$D946),0)</f>
        <v>0</v>
      </c>
      <c r="L946" s="658">
        <f ca="1">+IFERROR(L$2*GETPIVOTDATA("Unique Billed Hours",'County allocation'!$O$3,"County",$D941,"HHA/CDPAP","HHA","Level of Service",$D946),0)</f>
        <v>0</v>
      </c>
      <c r="M946" s="658">
        <f>+IFERROR(M$5*GETPIVOTDATA("Unique Billed Hours",'County allocation'!$S$3,"County",$D941,"HHA/CDPAP","HHA","Level of Service",$D946),0)</f>
        <v>0</v>
      </c>
      <c r="N946" s="658">
        <f>+IFERROR(N$5*GETPIVOTDATA("Unique Billed Hours",'County allocation'!$S$3,"County",$D941,"HHA/CDPAP","HHA","Level of Service",$D946),0)</f>
        <v>0</v>
      </c>
      <c r="O946" s="658">
        <f>+IFERROR(O$5*GETPIVOTDATA("Unique Billed Hours",'County allocation'!$K$19,"County",$D941,"HHA/CDPAP","HHA","Level of Service",$D946),0)</f>
        <v>0</v>
      </c>
      <c r="P946" s="658">
        <f>+IFERROR(P$5*GETPIVOTDATA("Unique Billed Hours",'County allocation'!$S$3,"County",$D941,"HHA/CDPAP","HHA","Level of Service",$D946),0)</f>
        <v>0</v>
      </c>
    </row>
    <row r="947" spans="1:18" s="54" customFormat="1" ht="15.75" hidden="1" thickBot="1" x14ac:dyDescent="0.3">
      <c r="A947" s="119"/>
      <c r="B947" s="309"/>
      <c r="C947" s="322">
        <f t="shared" ca="1" si="341"/>
        <v>0</v>
      </c>
      <c r="D947" s="7" t="s">
        <v>37</v>
      </c>
      <c r="E947" s="48" t="s">
        <v>54</v>
      </c>
      <c r="F947" s="657">
        <f t="shared" ca="1" si="342"/>
        <v>0</v>
      </c>
      <c r="G947" s="658">
        <f ca="1">+IFERROR(G$5*GETPIVOTDATA("Unique Billed Hours",'County allocation'!$A$3,"County",$D941,"HHA/CDPAP","HHA","Level of Service",$D947),0)</f>
        <v>0</v>
      </c>
      <c r="H947" s="658">
        <f>+IFERROR(H$5*GETPIVOTDATA("Unique Billed Hours",'County allocation'!$S$3,"County",$D941,"HHA/CDPAP","HHA","Level of Service",$D947),0)</f>
        <v>0</v>
      </c>
      <c r="I947" s="664">
        <f t="shared" ca="1" si="343"/>
        <v>0</v>
      </c>
      <c r="J947" s="658">
        <f ca="1">+IFERROR(J$5*GETPIVOTDATA("Unique Billed Hours",'County allocation'!$S$3,"County",$D941,"HHA/CDPAP","HHA","Level of Service",$D947),0)</f>
        <v>0</v>
      </c>
      <c r="K947" s="658">
        <f ca="1">+IFERROR(K$5*GETPIVOTDATA("Unique Billed Hours",'County allocation'!$X$3,"County",$D941,"HHA/CDPAP","HHA","Level of Service",$D947),0)</f>
        <v>0</v>
      </c>
      <c r="L947" s="658">
        <f ca="1">+IFERROR(L$2*GETPIVOTDATA("Unique Billed Hours",'County allocation'!$O$3,"County",$D941,"HHA/CDPAP","HHA","Level of Service",$D947),0)</f>
        <v>0</v>
      </c>
      <c r="M947" s="658">
        <f>+IFERROR(M$5*GETPIVOTDATA("Unique Billed Hours",'County allocation'!$S$3,"County",$D941,"HHA/CDPAP","HHA","Level of Service",$D947),0)</f>
        <v>0</v>
      </c>
      <c r="N947" s="658">
        <f>+IFERROR(N$5*GETPIVOTDATA("Unique Billed Hours",'County allocation'!$S$3,"County",$D941,"HHA/CDPAP","HHA","Level of Service",$D947),0)</f>
        <v>0</v>
      </c>
      <c r="O947" s="658">
        <f>+IFERROR(O$5*GETPIVOTDATA("Unique Billed Hours",'County allocation'!$K$19,"County",$D941,"HHA/CDPAP","HHA","Level of Service",$D947),0)</f>
        <v>0</v>
      </c>
      <c r="P947" s="658">
        <f>+IFERROR(P$5*GETPIVOTDATA("Unique Billed Hours",'County allocation'!$S$3,"County",$D941,"HHA/CDPAP","HHA","Level of Service",$D947),0)</f>
        <v>0</v>
      </c>
    </row>
    <row r="948" spans="1:18" s="54" customFormat="1" ht="15.75" hidden="1" thickBot="1" x14ac:dyDescent="0.3">
      <c r="A948" s="119"/>
      <c r="B948" s="309"/>
      <c r="C948" s="322">
        <f t="shared" ca="1" si="341"/>
        <v>0</v>
      </c>
      <c r="D948" s="7" t="s">
        <v>38</v>
      </c>
      <c r="E948" s="48" t="s">
        <v>53</v>
      </c>
      <c r="F948" s="657">
        <f t="shared" ca="1" si="342"/>
        <v>0</v>
      </c>
      <c r="G948" s="658">
        <f ca="1">+IFERROR(G$5*GETPIVOTDATA("Unique Billed Hours",'County allocation'!$A$3,"County",$D941,"HHA/CDPAP","HHA","Level of Service",$D948),0)</f>
        <v>0</v>
      </c>
      <c r="H948" s="658">
        <f>+IFERROR(H$5*GETPIVOTDATA("Unique Billed Hours",'County allocation'!$S$3,"County",$D941,"HHA/CDPAP","HHA","Level of Service",$D948),0)</f>
        <v>0</v>
      </c>
      <c r="I948" s="664">
        <f t="shared" ca="1" si="343"/>
        <v>0</v>
      </c>
      <c r="J948" s="658">
        <f ca="1">+IFERROR(J$5*GETPIVOTDATA("Unique Billed Hours",'County allocation'!$S$3,"County",$D941,"HHA/CDPAP","HHA","Level of Service",$D948),0)</f>
        <v>0</v>
      </c>
      <c r="K948" s="658">
        <f ca="1">+IFERROR(K$5*GETPIVOTDATA("Unique Billed Hours",'County allocation'!$X$3,"County",$D941,"HHA/CDPAP","HHA","Level of Service",$D948),0)</f>
        <v>0</v>
      </c>
      <c r="L948" s="658">
        <f ca="1">+IFERROR(L$5*GETPIVOTDATA("Unique Billed Hours",'County allocation'!$K$19,"County",$D941,"HHA/CDPAP","HHA","Level of Service",$D948),0)</f>
        <v>0</v>
      </c>
      <c r="M948" s="658">
        <f>+IFERROR(M$5*GETPIVOTDATA("Unique Billed Hours",'County allocation'!$S$3,"County",$D941,"HHA/CDPAP","HHA","Level of Service",$D948),0)</f>
        <v>0</v>
      </c>
      <c r="N948" s="658">
        <f>+IFERROR(N$5*GETPIVOTDATA("Unique Billed Hours",'County allocation'!$S$3,"County",$D941,"HHA/CDPAP","HHA","Level of Service",$D948),0)</f>
        <v>0</v>
      </c>
      <c r="O948" s="658">
        <f>+IFERROR(O$5*GETPIVOTDATA("Unique Billed Hours",'County allocation'!$K$19,"County",$D941,"HHA/CDPAP","HHA","Level of Service",$D948),0)</f>
        <v>0</v>
      </c>
      <c r="P948" s="658">
        <f>+IFERROR(P$5*GETPIVOTDATA("Unique Billed Hours",'County allocation'!$S$3,"County",$D941,"HHA/CDPAP","HHA","Level of Service",$D948),0)</f>
        <v>0</v>
      </c>
    </row>
    <row r="949" spans="1:18" s="54" customFormat="1" ht="15.75" hidden="1" thickBot="1" x14ac:dyDescent="0.3">
      <c r="A949" s="119"/>
      <c r="B949" s="309"/>
      <c r="C949" s="322">
        <f t="shared" ca="1" si="341"/>
        <v>0</v>
      </c>
      <c r="D949" s="7" t="s">
        <v>39</v>
      </c>
      <c r="E949" s="48" t="s">
        <v>52</v>
      </c>
      <c r="F949" s="657">
        <f t="shared" ca="1" si="342"/>
        <v>0</v>
      </c>
      <c r="G949" s="658">
        <f ca="1">+IFERROR(G$5*GETPIVOTDATA("Unique Billed Hours",'County allocation'!$A$3,"County",$D941,"HHA/CDPAP","HHA","Level of Service",$D949),0)</f>
        <v>0</v>
      </c>
      <c r="H949" s="658">
        <f>+IFERROR(H$5*GETPIVOTDATA("Unique Billed Hours",'County allocation'!$S$3,"County",$D941,"HHA/CDPAP","HHA","Level of Service",$D949),0)</f>
        <v>0</v>
      </c>
      <c r="I949" s="664">
        <f t="shared" ca="1" si="343"/>
        <v>0</v>
      </c>
      <c r="J949" s="658">
        <f ca="1">+IFERROR(J$5*GETPIVOTDATA("Unique Billed Hours",'County allocation'!$S$3,"County",$D941,"HHA/CDPAP","HHA","Level of Service",$D949),0)</f>
        <v>0</v>
      </c>
      <c r="K949" s="658">
        <f ca="1">+IFERROR(K$5*GETPIVOTDATA("Unique Billed Hours",'County allocation'!$X$3,"County",$D941,"HHA/CDPAP","HHA","Level of Service",$D949),0)</f>
        <v>0</v>
      </c>
      <c r="L949" s="658">
        <f ca="1">+IFERROR(L$5*GETPIVOTDATA("Unique Billed Hours",'County allocation'!$K$19,"County",$D941,"HHA/CDPAP","HHA","Level of Service",$D949),0)</f>
        <v>0</v>
      </c>
      <c r="M949" s="658">
        <f>+IFERROR(M$5*GETPIVOTDATA("Unique Billed Hours",'County allocation'!$S$3,"County",$D941,"HHA/CDPAP","HHA","Level of Service",$D949),0)</f>
        <v>0</v>
      </c>
      <c r="N949" s="658">
        <f>+IFERROR(N$5*GETPIVOTDATA("Unique Billed Hours",'County allocation'!$S$3,"County",$D941,"HHA/CDPAP","HHA","Level of Service",$D949),0)</f>
        <v>0</v>
      </c>
      <c r="O949" s="658">
        <f>+IFERROR(O$5*GETPIVOTDATA("Unique Billed Hours",'County allocation'!$K$19,"County",$D941,"HHA/CDPAP","HHA","Level of Service",$D949),0)</f>
        <v>0</v>
      </c>
      <c r="P949" s="658">
        <f>+IFERROR(P$5*GETPIVOTDATA("Unique Billed Hours",'County allocation'!$S$3,"County",$D941,"HHA/CDPAP","HHA","Level of Service",$D949),0)</f>
        <v>0</v>
      </c>
    </row>
    <row r="950" spans="1:18" s="54" customFormat="1" ht="15.75" hidden="1" thickBot="1" x14ac:dyDescent="0.3">
      <c r="A950" s="119"/>
      <c r="B950" s="309"/>
      <c r="C950" s="322">
        <f t="shared" ca="1" si="341"/>
        <v>0</v>
      </c>
      <c r="D950" s="8" t="s">
        <v>40</v>
      </c>
      <c r="E950" s="48" t="s">
        <v>51</v>
      </c>
      <c r="F950" s="657">
        <f t="shared" ca="1" si="342"/>
        <v>0</v>
      </c>
      <c r="G950" s="658">
        <f ca="1">+IFERROR(G$5*GETPIVOTDATA("Unique Billed Hours",'County allocation'!$A$3,"County",$D941,"HHA/CDPAP","HHA","Level of Service",$D950),0)</f>
        <v>0</v>
      </c>
      <c r="H950" s="658">
        <f>+IFERROR(H$5*GETPIVOTDATA("Unique Billed Hours",'County allocation'!$S$3,"County",$D941,"HHA/CDPAP","HHA","Level of Service",$D950),0)</f>
        <v>0</v>
      </c>
      <c r="I950" s="664">
        <f t="shared" ca="1" si="343"/>
        <v>0</v>
      </c>
      <c r="J950" s="658">
        <f ca="1">+IFERROR(J$5*GETPIVOTDATA("Unique Billed Hours",'County allocation'!$S$3,"County",$D941,"HHA/CDPAP","HHA","Level of Service",$D950),0)</f>
        <v>0</v>
      </c>
      <c r="K950" s="658">
        <f ca="1">+IFERROR(K$5*GETPIVOTDATA("Unique Billed Hours",'County allocation'!$X$3,"County",$D941,"HHA/CDPAP","HHA","Level of Service",$D950),0)</f>
        <v>0</v>
      </c>
      <c r="L950" s="658">
        <f ca="1">+IFERROR(L$2*GETPIVOTDATA("Unique Billed Hours",'County allocation'!$O$3,"County",$D941,"HHA/CDPAP","HHA","Level of Service",$D950),0)</f>
        <v>0</v>
      </c>
      <c r="M950" s="658">
        <f>+IFERROR(M$5*GETPIVOTDATA("Unique Billed Hours",'County allocation'!$S$3,"County",$D941,"HHA/CDPAP","HHA","Level of Service",$D950),0)</f>
        <v>0</v>
      </c>
      <c r="N950" s="658">
        <f>+IFERROR(N$5*GETPIVOTDATA("Unique Billed Hours",'County allocation'!$S$3,"County",$D941,"HHA/CDPAP","HHA","Level of Service",$D950),0)</f>
        <v>0</v>
      </c>
      <c r="O950" s="658">
        <f>+IFERROR(O$5*GETPIVOTDATA("Unique Billed Hours",'County allocation'!$K$19,"County",$D941,"HHA/CDPAP","HHA","Level of Service",$D950),0)</f>
        <v>0</v>
      </c>
      <c r="P950" s="658">
        <f>+IFERROR(P$5*GETPIVOTDATA("Unique Billed Hours",'County allocation'!$S$3,"County",$D941,"HHA/CDPAP","HHA","Level of Service",$D950),0)</f>
        <v>0</v>
      </c>
    </row>
    <row r="951" spans="1:18" s="54" customFormat="1" ht="15.75" hidden="1" thickBot="1" x14ac:dyDescent="0.3">
      <c r="A951" s="119"/>
      <c r="B951" s="309"/>
      <c r="C951" s="322">
        <f t="shared" ca="1" si="341"/>
        <v>0</v>
      </c>
      <c r="D951" s="8" t="s">
        <v>41</v>
      </c>
      <c r="E951" s="48" t="s">
        <v>50</v>
      </c>
      <c r="F951" s="657">
        <f t="shared" ca="1" si="342"/>
        <v>0</v>
      </c>
      <c r="G951" s="658">
        <f ca="1">+IFERROR(G$5*GETPIVOTDATA("Unique Billed Hours",'County allocation'!$A$3,"County",$D941,"HHA/CDPAP","HHA","Level of Service",$D951),0)</f>
        <v>0</v>
      </c>
      <c r="H951" s="658">
        <f>+IFERROR(H$5*GETPIVOTDATA("Unique Billed Hours",'County allocation'!$S$3,"County",$D941,"HHA/CDPAP","HHA","Level of Service",$D951),0)</f>
        <v>0</v>
      </c>
      <c r="I951" s="664">
        <f t="shared" ca="1" si="343"/>
        <v>0</v>
      </c>
      <c r="J951" s="658">
        <f ca="1">+IFERROR(J$5*GETPIVOTDATA("Unique Billed Hours",'County allocation'!$S$3,"County",$D941,"HHA/CDPAP","HHA","Level of Service",$D951),0)</f>
        <v>0</v>
      </c>
      <c r="K951" s="658">
        <f ca="1">+IFERROR(K$5*GETPIVOTDATA("Unique Billed Hours",'County allocation'!$X$3,"County",$D941,"HHA/CDPAP","HHA","Level of Service",$D951),0)</f>
        <v>0</v>
      </c>
      <c r="L951" s="658">
        <f ca="1">+IFERROR(L$2*GETPIVOTDATA("Unique Billed Hours",'County allocation'!$O$3,"County",$D941,"HHA/CDPAP","HHA","Level of Service",$D951),0)</f>
        <v>0</v>
      </c>
      <c r="M951" s="658">
        <f>+IFERROR(M$5*GETPIVOTDATA("Unique Billed Hours",'County allocation'!$S$3,"County",$D941,"HHA/CDPAP","HHA","Level of Service",$D951),0)</f>
        <v>0</v>
      </c>
      <c r="N951" s="658">
        <f>+IFERROR(N$5*GETPIVOTDATA("Unique Billed Hours",'County allocation'!$S$3,"County",$D941,"HHA/CDPAP","HHA","Level of Service",$D951),0)</f>
        <v>0</v>
      </c>
      <c r="O951" s="658">
        <f>+IFERROR(O$5*GETPIVOTDATA("Unique Billed Hours",'County allocation'!$K$19,"County",$D941,"HHA/CDPAP","HHA","Level of Service",$D951),0)</f>
        <v>0</v>
      </c>
      <c r="P951" s="658">
        <f>+IFERROR(P$5*GETPIVOTDATA("Unique Billed Hours",'County allocation'!$S$3,"County",$D941,"HHA/CDPAP","HHA","Level of Service",$D951),0)</f>
        <v>0</v>
      </c>
    </row>
    <row r="952" spans="1:18" s="54" customFormat="1" ht="15.75" hidden="1" thickBot="1" x14ac:dyDescent="0.3">
      <c r="A952" s="119"/>
      <c r="B952" s="309"/>
      <c r="C952" s="322">
        <f t="shared" ca="1" si="341"/>
        <v>0</v>
      </c>
      <c r="D952" s="52" t="s">
        <v>389</v>
      </c>
      <c r="E952" s="53" t="s">
        <v>49</v>
      </c>
      <c r="F952" s="657">
        <f t="shared" ca="1" si="342"/>
        <v>0</v>
      </c>
      <c r="G952" s="661">
        <f ca="1">SUM(G944:G951)</f>
        <v>0</v>
      </c>
      <c r="H952" s="661">
        <f>SUM(H944:H951)</f>
        <v>0</v>
      </c>
      <c r="I952" s="664">
        <f t="shared" ca="1" si="343"/>
        <v>0</v>
      </c>
      <c r="J952" s="661">
        <f ca="1">SUM(J944:J951)</f>
        <v>0</v>
      </c>
      <c r="K952" s="661">
        <f t="shared" ref="K952:P952" ca="1" si="344">SUM(K944:K951)</f>
        <v>0</v>
      </c>
      <c r="L952" s="661">
        <f t="shared" ca="1" si="344"/>
        <v>0</v>
      </c>
      <c r="M952" s="661">
        <f t="shared" si="344"/>
        <v>0</v>
      </c>
      <c r="N952" s="661">
        <f t="shared" si="344"/>
        <v>0</v>
      </c>
      <c r="O952" s="661">
        <f t="shared" si="344"/>
        <v>0</v>
      </c>
      <c r="P952" s="661">
        <f t="shared" si="344"/>
        <v>0</v>
      </c>
    </row>
    <row r="953" spans="1:18" s="54" customFormat="1" ht="15.75" hidden="1" thickBot="1" x14ac:dyDescent="0.3">
      <c r="A953" s="119"/>
      <c r="B953" s="309"/>
      <c r="C953" s="322">
        <f t="shared" ca="1" si="341"/>
        <v>0</v>
      </c>
      <c r="D953" s="371" t="s">
        <v>390</v>
      </c>
      <c r="E953" s="325" t="s">
        <v>47</v>
      </c>
      <c r="F953" s="657">
        <f t="shared" ca="1" si="342"/>
        <v>0</v>
      </c>
      <c r="G953" s="665">
        <f ca="1">+IFERROR((G$5*GETPIVOTDATA("Unique Billed Hours",'County allocation'!$A$3,"County",$D941,"HHA/CDPAP","HHA","Level of Service",$D953))+($G$2*GETPIVOTDATA("Unique Billed Hours",'County allocation'!$F$7,"County",$D941,"HHA/CDPAP","HHA","Level of Service",$D953)),0)++IFERROR(J$5*GETPIVOTDATA("Unique Billed Hours",'County allocation'!$AC$3,"County",$D941,"HHA/CDPAP","HHA","Level of Service",$D953),0)+ +IFERROR(J$5*GETPIVOTDATA("Unique Billed Hours",'County allocation'!$AC$3,"County",$D941,"HHA/CDPAP","HHA","Level of Service",$D954),0)</f>
        <v>0</v>
      </c>
      <c r="H953" s="665">
        <f>+IFERROR(H$5*GETPIVOTDATA("Unique Billed Hours",'County allocation'!$S$3,"County",$D941,"HHA/CDPAP","HHA","Level of Service",$D953),0)</f>
        <v>0</v>
      </c>
      <c r="I953" s="664">
        <f t="shared" ca="1" si="343"/>
        <v>0</v>
      </c>
      <c r="J953" s="901"/>
      <c r="K953" s="665">
        <f ca="1">+IFERROR(K$5*GETPIVOTDATA("Unique Billed Hours",'County allocation'!$X$3,"County",$D941,"HHA/CDPAP","HHA","Level of Service",$D953),0)</f>
        <v>0</v>
      </c>
      <c r="L953" s="665">
        <f ca="1">+IFERROR(L$5*GETPIVOTDATA("Unique Billed Hours",'County allocation'!$K$19,"County",$D941,"HHA/CDPAP","HHA","Level of Service",$D953),0)</f>
        <v>0</v>
      </c>
      <c r="M953" s="665">
        <f>+IFERROR(M$5*GETPIVOTDATA("Unique Billed Hours",'County allocation'!$S$3,"County",$D941,"HHA/CDPAP","HHA","Level of Service",$D953),0)</f>
        <v>0</v>
      </c>
      <c r="N953" s="665">
        <f>+IFERROR(N$5*GETPIVOTDATA("Unique Billed Hours",'County allocation'!$S$3,"County",$D941,"HHA/CDPAP","HHA","Level of Service",$D953),0)</f>
        <v>0</v>
      </c>
      <c r="O953" s="665">
        <f>+IFERROR(O$5*GETPIVOTDATA("Unique Billed Hours",'County allocation'!$S$3,"County",$D941,"HHA/CDPAP","HHA","Level of Service",$D953),0)</f>
        <v>0</v>
      </c>
      <c r="P953" s="665">
        <f>+IFERROR(P$5*GETPIVOTDATA("Unique Billed Hours",'County allocation'!$S$3,"County",$D941,"HHA/CDPAP","HHA","Level of Service",$D953),0)</f>
        <v>0</v>
      </c>
    </row>
    <row r="954" spans="1:18" s="54" customFormat="1" ht="15.75" hidden="1" thickBot="1" x14ac:dyDescent="0.3">
      <c r="A954" s="119"/>
      <c r="B954" s="309"/>
      <c r="C954" s="322">
        <f t="shared" ca="1" si="341"/>
        <v>0</v>
      </c>
      <c r="D954" s="8" t="s">
        <v>391</v>
      </c>
      <c r="E954" s="370" t="s">
        <v>77</v>
      </c>
      <c r="F954" s="657">
        <f t="shared" ca="1" si="342"/>
        <v>0</v>
      </c>
      <c r="G954" s="656"/>
      <c r="H954" s="658">
        <f>+IFERROR(H$5*GETPIVOTDATA("Unique Billed Hours",'County allocation'!$S$3,"County",$D941,"HHA/CDPAP","HHA","Level of Service",$D954),0)</f>
        <v>0</v>
      </c>
      <c r="I954" s="664">
        <f t="shared" ca="1" si="343"/>
        <v>0</v>
      </c>
      <c r="J954" s="901"/>
      <c r="K954" s="665">
        <f ca="1">+IFERROR(K$5*GETPIVOTDATA("Unique Billed Hours",'County allocation'!$X$3,"County",$D941,"HHA/CDPAP","HHA","Level of Service",$D954),0)</f>
        <v>0</v>
      </c>
      <c r="L954" s="665">
        <f ca="1">+IFERROR(L$5*GETPIVOTDATA("Unique Billed Hours",'County allocation'!$K$19,"County",$D941,"HHA/CDPAP","HHA","Level of Service",$D954),0)</f>
        <v>0</v>
      </c>
      <c r="M954" s="665">
        <f>+IFERROR(M$5*GETPIVOTDATA("Unique Billed Hours",'County allocation'!$S$3,"County",$D941,"HHA/CDPAP","HHA","Level of Service",$D954),0)</f>
        <v>0</v>
      </c>
      <c r="N954" s="665">
        <f>+IFERROR(N$5*GETPIVOTDATA("Unique Billed Hours",'County allocation'!$S$3,"County",$D941,"HHA/CDPAP","HHA","Level of Service",$D954),0)</f>
        <v>0</v>
      </c>
      <c r="O954" s="665">
        <f>+IFERROR(O$5*GETPIVOTDATA("Unique Billed Hours",'County allocation'!$S$3,"County",$D941,"HHA/CDPAP","HHA","Level of Service",$D954),0)</f>
        <v>0</v>
      </c>
      <c r="P954" s="665">
        <f>+IFERROR(P$5*GETPIVOTDATA("Unique Billed Hours",'County allocation'!$S$3,"County",$D941,"HHA/CDPAP","HHA","Level of Service",$D954),0)</f>
        <v>0</v>
      </c>
    </row>
    <row r="955" spans="1:18" s="54" customFormat="1" ht="15.75" hidden="1" thickBot="1" x14ac:dyDescent="0.3">
      <c r="A955" s="119"/>
      <c r="B955" s="309"/>
      <c r="C955" s="322">
        <f t="shared" ca="1" si="341"/>
        <v>0</v>
      </c>
      <c r="D955" s="8" t="s">
        <v>374</v>
      </c>
      <c r="E955" s="370" t="s">
        <v>78</v>
      </c>
      <c r="F955" s="657">
        <f t="shared" ca="1" si="342"/>
        <v>0</v>
      </c>
      <c r="G955" s="658">
        <f ca="1">+IFERROR(G$5*GETPIVOTDATA("Unique Billed Hours",'County allocation'!$A$3,"County",$D941,"HHA/CDPAP","HHA","Level of Service",$D955),0)++IFERROR(J$5*GETPIVOTDATA("Unique Billed Hours",'County allocation'!$AC$3,"County",$D941,"HHA/CDPAP","HHA","Level of Service",$D955),0)</f>
        <v>0</v>
      </c>
      <c r="H955" s="658">
        <f>+IFERROR(H$5*GETPIVOTDATA("Unique Billed Hours",'County allocation'!$S$3,"County",$D941,"HHA/CDPAP","HHA","Level of Service",$D955),0)</f>
        <v>0</v>
      </c>
      <c r="I955" s="664">
        <f t="shared" ca="1" si="343"/>
        <v>0</v>
      </c>
      <c r="J955" s="901"/>
      <c r="K955" s="665">
        <f ca="1">+IFERROR(K$5*GETPIVOTDATA("Unique Billed Hours",'County allocation'!$X$3,"County",$D941,"HHA/CDPAP","HHA","Level of Service",$D955),0)</f>
        <v>0</v>
      </c>
      <c r="L955" s="665">
        <f ca="1">+IFERROR(L$5*GETPIVOTDATA("Unique Billed Hours",'County allocation'!$K$19,"County",$D941,"HHA/CDPAP","HHA","Level of Service",$D955),0)</f>
        <v>0</v>
      </c>
      <c r="M955" s="665">
        <f>+IFERROR(M$5*GETPIVOTDATA("Unique Billed Hours",'County allocation'!$S$3,"County",$D941,"HHA/CDPAP","HHA","Level of Service",$D955),0)</f>
        <v>0</v>
      </c>
      <c r="N955" s="665">
        <f>+IFERROR(N$5*GETPIVOTDATA("Unique Billed Hours",'County allocation'!$S$3,"County",$D941,"HHA/CDPAP","HHA","Level of Service",$D955),0)</f>
        <v>0</v>
      </c>
      <c r="O955" s="665">
        <f>+IFERROR(O$5*GETPIVOTDATA("Unique Billed Hours",'County allocation'!$S$3,"County",$D941,"HHA/CDPAP","HHA","Level of Service",$D955),0)</f>
        <v>0</v>
      </c>
      <c r="P955" s="665">
        <f>+IFERROR(P$5*GETPIVOTDATA("Unique Billed Hours",'County allocation'!$S$3,"County",$D941,"HHA/CDPAP","HHA","Level of Service",$D955),0)</f>
        <v>0</v>
      </c>
    </row>
    <row r="956" spans="1:18" s="54" customFormat="1" ht="15.75" hidden="1" thickBot="1" x14ac:dyDescent="0.3">
      <c r="A956" s="302"/>
      <c r="B956" s="309"/>
      <c r="C956" s="322">
        <f ca="1">C955</f>
        <v>0</v>
      </c>
      <c r="D956" s="52" t="s">
        <v>48</v>
      </c>
      <c r="E956" s="53" t="s">
        <v>79</v>
      </c>
      <c r="F956" s="657">
        <f t="shared" ca="1" si="342"/>
        <v>0</v>
      </c>
      <c r="G956" s="661">
        <f t="shared" ref="G956" ca="1" si="345">SUM(G952:G955)</f>
        <v>0</v>
      </c>
      <c r="H956" s="661">
        <f t="shared" ref="H956:P956" si="346">SUM(H952:H955)</f>
        <v>0</v>
      </c>
      <c r="I956" s="661">
        <f t="shared" ca="1" si="346"/>
        <v>0</v>
      </c>
      <c r="J956" s="661">
        <f t="shared" ca="1" si="346"/>
        <v>0</v>
      </c>
      <c r="K956" s="661">
        <f t="shared" ca="1" si="346"/>
        <v>0</v>
      </c>
      <c r="L956" s="661">
        <f t="shared" ca="1" si="346"/>
        <v>0</v>
      </c>
      <c r="M956" s="661">
        <f t="shared" si="346"/>
        <v>0</v>
      </c>
      <c r="N956" s="661">
        <f t="shared" si="346"/>
        <v>0</v>
      </c>
      <c r="O956" s="661">
        <f t="shared" si="346"/>
        <v>0</v>
      </c>
      <c r="P956" s="661">
        <f t="shared" si="346"/>
        <v>0</v>
      </c>
    </row>
    <row r="957" spans="1:18" ht="15.75" hidden="1" thickBot="1" x14ac:dyDescent="0.3"/>
    <row r="958" spans="1:18" s="54" customFormat="1" ht="75.75" hidden="1" thickBot="1" x14ac:dyDescent="0.3">
      <c r="A958" s="119"/>
      <c r="B958" s="309"/>
      <c r="C958" s="322">
        <f ca="1">IF(F973&gt;0,1,0)</f>
        <v>0</v>
      </c>
      <c r="D958" s="45" t="str">
        <f>A59</f>
        <v>Ulster</v>
      </c>
      <c r="E958" s="28">
        <f>+SUMIF(A:A,D958,B:B)</f>
        <v>0</v>
      </c>
      <c r="F958" s="652" t="s">
        <v>61</v>
      </c>
      <c r="G958" s="652" t="s">
        <v>387</v>
      </c>
      <c r="H958" s="652" t="s">
        <v>388</v>
      </c>
      <c r="I958" s="652" t="s">
        <v>392</v>
      </c>
      <c r="J958" s="652" t="s">
        <v>31</v>
      </c>
      <c r="K958" s="652" t="s">
        <v>32</v>
      </c>
      <c r="L958" s="653" t="s">
        <v>33</v>
      </c>
      <c r="M958" s="653" t="s">
        <v>60</v>
      </c>
      <c r="N958" s="653" t="s">
        <v>59</v>
      </c>
      <c r="O958" s="653" t="s">
        <v>58</v>
      </c>
      <c r="P958" s="653" t="s">
        <v>16</v>
      </c>
    </row>
    <row r="959" spans="1:18" s="54" customFormat="1" ht="15.75" hidden="1" thickBot="1" x14ac:dyDescent="0.3">
      <c r="A959" s="119"/>
      <c r="B959" s="309"/>
      <c r="C959" s="322">
        <f ca="1">C958</f>
        <v>0</v>
      </c>
      <c r="D959" s="56"/>
      <c r="E959" s="57"/>
      <c r="F959" s="654" t="s">
        <v>57</v>
      </c>
      <c r="G959" s="654" t="s">
        <v>56</v>
      </c>
      <c r="H959" s="654" t="s">
        <v>55</v>
      </c>
      <c r="I959" s="654" t="s">
        <v>54</v>
      </c>
      <c r="J959" s="654" t="s">
        <v>53</v>
      </c>
      <c r="K959" s="654" t="s">
        <v>52</v>
      </c>
      <c r="L959" s="654" t="s">
        <v>51</v>
      </c>
      <c r="M959" s="654" t="s">
        <v>50</v>
      </c>
      <c r="N959" s="654" t="s">
        <v>49</v>
      </c>
      <c r="O959" s="654" t="s">
        <v>47</v>
      </c>
      <c r="P959" s="655" t="s">
        <v>77</v>
      </c>
    </row>
    <row r="960" spans="1:18" s="54" customFormat="1" ht="15.75" hidden="1" thickBot="1" x14ac:dyDescent="0.3">
      <c r="A960" s="119"/>
      <c r="B960" s="309"/>
      <c r="C960" s="322">
        <f t="shared" ref="C960:C972" ca="1" si="347">C959</f>
        <v>0</v>
      </c>
      <c r="D960" s="59" t="s">
        <v>26</v>
      </c>
      <c r="E960" s="57"/>
      <c r="F960" s="656"/>
      <c r="G960" s="656"/>
      <c r="H960" s="656"/>
      <c r="I960" s="656"/>
      <c r="J960" s="656"/>
      <c r="K960" s="656"/>
      <c r="L960" s="656"/>
      <c r="M960" s="656"/>
      <c r="N960" s="656"/>
      <c r="O960" s="656"/>
      <c r="P960" s="663"/>
    </row>
    <row r="961" spans="1:18" s="54" customFormat="1" ht="15.75" hidden="1" thickBot="1" x14ac:dyDescent="0.3">
      <c r="A961" s="119"/>
      <c r="B961" s="309"/>
      <c r="C961" s="322">
        <f t="shared" ca="1" si="347"/>
        <v>0</v>
      </c>
      <c r="D961" s="7" t="s">
        <v>34</v>
      </c>
      <c r="E961" s="48" t="s">
        <v>57</v>
      </c>
      <c r="F961" s="657">
        <f ca="1">+H961+G961+I961</f>
        <v>0</v>
      </c>
      <c r="G961" s="658">
        <f ca="1">+IFERROR(G$5*GETPIVOTDATA("Unique Billed Hours",'County allocation'!$A$3,"County",$D958,"HHA/CDPAP","HHA","Level of Service",$D961),0)</f>
        <v>0</v>
      </c>
      <c r="H961" s="658">
        <f>+IFERROR(H$5*GETPIVOTDATA("Unique Billed Hours",'County allocation'!$S$3,"County",$D958,"HHA/CDPAP","HHA","Level of Service",$D961),0)</f>
        <v>0</v>
      </c>
      <c r="I961" s="664">
        <f ca="1">SUM(J961:P961)</f>
        <v>0</v>
      </c>
      <c r="J961" s="658">
        <f ca="1">+IFERROR(J$5*GETPIVOTDATA("Unique Billed Hours",'County allocation'!$S$3,"County",$D958,"HHA/CDPAP","HHA","Level of Service",$D961),0)</f>
        <v>0</v>
      </c>
      <c r="K961" s="658">
        <f ca="1">+IFERROR(K$5*GETPIVOTDATA("Unique Billed Hours",'County allocation'!$X$3,"County",$D958,"HHA/CDPAP","HHA","Level of Service",$D961),0)</f>
        <v>0</v>
      </c>
      <c r="L961" s="658">
        <f ca="1">+IFERROR(L$2*GETPIVOTDATA("Unique Billed Hours",'County allocation'!$O$3,"County",$D958,"HHA/CDPAP","HHA","Level of Service",$D961),0)</f>
        <v>0</v>
      </c>
      <c r="M961" s="658">
        <f>+IFERROR(M$5*GETPIVOTDATA("Unique Billed Hours",'County allocation'!$S$3,"County",$D958,"HHA/CDPAP","HHA","Level of Service",$D961),0)</f>
        <v>0</v>
      </c>
      <c r="N961" s="658">
        <f>+IFERROR(N$5*GETPIVOTDATA("Unique Billed Hours",'County allocation'!$S$3,"County",$D958,"HHA/CDPAP","HHA","Level of Service",$D961),0)</f>
        <v>0</v>
      </c>
      <c r="O961" s="658">
        <f>+IFERROR(O$5*GETPIVOTDATA("Unique Billed Hours",'County allocation'!$K$19,"County",$D958,"HHA/CDPAP","HHA","Level of Service",$D961),0)</f>
        <v>0</v>
      </c>
      <c r="P961" s="658">
        <f>+IFERROR(P$5*GETPIVOTDATA("Unique Billed Hours",'County allocation'!$S$3,"County",$D958,"HHA/CDPAP","HHA","Level of Service",$D961),0)</f>
        <v>0</v>
      </c>
    </row>
    <row r="962" spans="1:18" s="54" customFormat="1" ht="15.75" hidden="1" thickBot="1" x14ac:dyDescent="0.3">
      <c r="A962" s="119"/>
      <c r="B962" s="309"/>
      <c r="C962" s="322">
        <f t="shared" ca="1" si="347"/>
        <v>0</v>
      </c>
      <c r="D962" s="7" t="s">
        <v>35</v>
      </c>
      <c r="E962" s="48" t="s">
        <v>56</v>
      </c>
      <c r="F962" s="657">
        <f t="shared" ref="F962:F973" ca="1" si="348">+H962+G962+I962</f>
        <v>0</v>
      </c>
      <c r="G962" s="658">
        <f ca="1">+IFERROR(G$5*GETPIVOTDATA("Unique Billed Hours",'County allocation'!$A$3,"County",$D958,"HHA/CDPAP","HHA","Level of Service",$D962),0)</f>
        <v>0</v>
      </c>
      <c r="H962" s="658">
        <f>+IFERROR(H$5*GETPIVOTDATA("Unique Billed Hours",'County allocation'!$S$3,"County",$D958,"HHA/CDPAP","HHA","Level of Service",$D962),0)</f>
        <v>0</v>
      </c>
      <c r="I962" s="664">
        <f t="shared" ref="I962:I972" ca="1" si="349">SUM(J962:P962)</f>
        <v>0</v>
      </c>
      <c r="J962" s="658">
        <f ca="1">+IFERROR(J$5*GETPIVOTDATA("Unique Billed Hours",'County allocation'!$S$3,"County",$D958,"HHA/CDPAP","HHA","Level of Service",$D962),0)</f>
        <v>0</v>
      </c>
      <c r="K962" s="658">
        <f ca="1">+IFERROR(K$5*GETPIVOTDATA("Unique Billed Hours",'County allocation'!$X$3,"County",$D958,"HHA/CDPAP","HHA","Level of Service",$D962),0)</f>
        <v>0</v>
      </c>
      <c r="L962" s="658">
        <f ca="1">+IFERROR(L$2*GETPIVOTDATA("Unique Billed Hours",'County allocation'!$O$3,"County",$D958,"HHA/CDPAP","HHA","Level of Service",$D962),0)</f>
        <v>0</v>
      </c>
      <c r="M962" s="658">
        <f>+IFERROR(M$5*GETPIVOTDATA("Unique Billed Hours",'County allocation'!$S$3,"County",$D958,"HHA/CDPAP","HHA","Level of Service",$D962),0)</f>
        <v>0</v>
      </c>
      <c r="N962" s="658">
        <f>+IFERROR(N$5*GETPIVOTDATA("Unique Billed Hours",'County allocation'!$S$3,"County",$D958,"HHA/CDPAP","HHA","Level of Service",$D962),0)</f>
        <v>0</v>
      </c>
      <c r="O962" s="658">
        <f>+IFERROR(O$5*GETPIVOTDATA("Unique Billed Hours",'County allocation'!$K$19,"County",$D958,"HHA/CDPAP","HHA","Level of Service",$D962),0)</f>
        <v>0</v>
      </c>
      <c r="P962" s="658">
        <f>+IFERROR(P$5*GETPIVOTDATA("Unique Billed Hours",'County allocation'!$S$3,"County",$D958,"HHA/CDPAP","HHA","Level of Service",$D962),0)</f>
        <v>0</v>
      </c>
      <c r="R962" s="61"/>
    </row>
    <row r="963" spans="1:18" s="54" customFormat="1" ht="15.75" hidden="1" thickBot="1" x14ac:dyDescent="0.3">
      <c r="A963" s="302"/>
      <c r="B963" s="309"/>
      <c r="C963" s="322">
        <f t="shared" ca="1" si="347"/>
        <v>0</v>
      </c>
      <c r="D963" s="7" t="s">
        <v>36</v>
      </c>
      <c r="E963" s="48" t="s">
        <v>55</v>
      </c>
      <c r="F963" s="657">
        <f t="shared" ca="1" si="348"/>
        <v>0</v>
      </c>
      <c r="G963" s="658">
        <f ca="1">+IFERROR(G$5*GETPIVOTDATA("Unique Billed Hours",'County allocation'!$A$3,"County",$D958,"HHA/CDPAP","HHA","Level of Service",$D963),0)</f>
        <v>0</v>
      </c>
      <c r="H963" s="658">
        <f>+IFERROR(H$5*GETPIVOTDATA("Unique Billed Hours",'County allocation'!$S$3,"County",$D958,"HHA/CDPAP","HHA","Level of Service",$D963),0)</f>
        <v>0</v>
      </c>
      <c r="I963" s="664">
        <f t="shared" ca="1" si="349"/>
        <v>0</v>
      </c>
      <c r="J963" s="658">
        <f ca="1">+IFERROR(J$5*GETPIVOTDATA("Unique Billed Hours",'County allocation'!$S$3,"County",$D958,"HHA/CDPAP","HHA","Level of Service",$D963),0)</f>
        <v>0</v>
      </c>
      <c r="K963" s="658">
        <f ca="1">+IFERROR(K$5*GETPIVOTDATA("Unique Billed Hours",'County allocation'!$X$3,"County",$D958,"HHA/CDPAP","HHA","Level of Service",$D963),0)</f>
        <v>0</v>
      </c>
      <c r="L963" s="658">
        <f ca="1">+IFERROR(L$2*GETPIVOTDATA("Unique Billed Hours",'County allocation'!$O$3,"County",$D958,"HHA/CDPAP","HHA","Level of Service",$D963),0)</f>
        <v>0</v>
      </c>
      <c r="M963" s="658">
        <f>+IFERROR(M$5*GETPIVOTDATA("Unique Billed Hours",'County allocation'!$S$3,"County",$D958,"HHA/CDPAP","HHA","Level of Service",$D963),0)</f>
        <v>0</v>
      </c>
      <c r="N963" s="658">
        <f>+IFERROR(N$5*GETPIVOTDATA("Unique Billed Hours",'County allocation'!$S$3,"County",$D958,"HHA/CDPAP","HHA","Level of Service",$D963),0)</f>
        <v>0</v>
      </c>
      <c r="O963" s="658">
        <f>+IFERROR(O$5*GETPIVOTDATA("Unique Billed Hours",'County allocation'!$K$19,"County",$D958,"HHA/CDPAP","HHA","Level of Service",$D963),0)</f>
        <v>0</v>
      </c>
      <c r="P963" s="658">
        <f>+IFERROR(P$5*GETPIVOTDATA("Unique Billed Hours",'County allocation'!$S$3,"County",$D958,"HHA/CDPAP","HHA","Level of Service",$D963),0)</f>
        <v>0</v>
      </c>
    </row>
    <row r="964" spans="1:18" s="54" customFormat="1" ht="15.75" hidden="1" thickBot="1" x14ac:dyDescent="0.3">
      <c r="A964" s="119"/>
      <c r="B964" s="309"/>
      <c r="C964" s="322">
        <f t="shared" ca="1" si="347"/>
        <v>0</v>
      </c>
      <c r="D964" s="7" t="s">
        <v>37</v>
      </c>
      <c r="E964" s="48" t="s">
        <v>54</v>
      </c>
      <c r="F964" s="657">
        <f t="shared" ca="1" si="348"/>
        <v>0</v>
      </c>
      <c r="G964" s="658">
        <f ca="1">+IFERROR(G$5*GETPIVOTDATA("Unique Billed Hours",'County allocation'!$A$3,"County",$D958,"HHA/CDPAP","HHA","Level of Service",$D964),0)</f>
        <v>0</v>
      </c>
      <c r="H964" s="658">
        <f>+IFERROR(H$5*GETPIVOTDATA("Unique Billed Hours",'County allocation'!$S$3,"County",$D958,"HHA/CDPAP","HHA","Level of Service",$D964),0)</f>
        <v>0</v>
      </c>
      <c r="I964" s="664">
        <f t="shared" ca="1" si="349"/>
        <v>0</v>
      </c>
      <c r="J964" s="658">
        <f ca="1">+IFERROR(J$5*GETPIVOTDATA("Unique Billed Hours",'County allocation'!$S$3,"County",$D958,"HHA/CDPAP","HHA","Level of Service",$D964),0)</f>
        <v>0</v>
      </c>
      <c r="K964" s="658">
        <f ca="1">+IFERROR(K$5*GETPIVOTDATA("Unique Billed Hours",'County allocation'!$X$3,"County",$D958,"HHA/CDPAP","HHA","Level of Service",$D964),0)</f>
        <v>0</v>
      </c>
      <c r="L964" s="658">
        <f ca="1">+IFERROR(L$2*GETPIVOTDATA("Unique Billed Hours",'County allocation'!$O$3,"County",$D958,"HHA/CDPAP","HHA","Level of Service",$D964),0)</f>
        <v>0</v>
      </c>
      <c r="M964" s="658">
        <f>+IFERROR(M$5*GETPIVOTDATA("Unique Billed Hours",'County allocation'!$S$3,"County",$D958,"HHA/CDPAP","HHA","Level of Service",$D964),0)</f>
        <v>0</v>
      </c>
      <c r="N964" s="658">
        <f>+IFERROR(N$5*GETPIVOTDATA("Unique Billed Hours",'County allocation'!$S$3,"County",$D958,"HHA/CDPAP","HHA","Level of Service",$D964),0)</f>
        <v>0</v>
      </c>
      <c r="O964" s="658">
        <f>+IFERROR(O$5*GETPIVOTDATA("Unique Billed Hours",'County allocation'!$K$19,"County",$D958,"HHA/CDPAP","HHA","Level of Service",$D964),0)</f>
        <v>0</v>
      </c>
      <c r="P964" s="658">
        <f>+IFERROR(P$5*GETPIVOTDATA("Unique Billed Hours",'County allocation'!$S$3,"County",$D958,"HHA/CDPAP","HHA","Level of Service",$D964),0)</f>
        <v>0</v>
      </c>
    </row>
    <row r="965" spans="1:18" s="54" customFormat="1" ht="15.75" hidden="1" thickBot="1" x14ac:dyDescent="0.3">
      <c r="A965" s="119"/>
      <c r="B965" s="309"/>
      <c r="C965" s="322">
        <f t="shared" ca="1" si="347"/>
        <v>0</v>
      </c>
      <c r="D965" s="7" t="s">
        <v>38</v>
      </c>
      <c r="E965" s="48" t="s">
        <v>53</v>
      </c>
      <c r="F965" s="657">
        <f t="shared" ca="1" si="348"/>
        <v>0</v>
      </c>
      <c r="G965" s="658">
        <f ca="1">+IFERROR(G$5*GETPIVOTDATA("Unique Billed Hours",'County allocation'!$A$3,"County",$D958,"HHA/CDPAP","HHA","Level of Service",$D965),0)</f>
        <v>0</v>
      </c>
      <c r="H965" s="658">
        <f>+IFERROR(H$5*GETPIVOTDATA("Unique Billed Hours",'County allocation'!$S$3,"County",$D958,"HHA/CDPAP","HHA","Level of Service",$D965),0)</f>
        <v>0</v>
      </c>
      <c r="I965" s="664">
        <f t="shared" ca="1" si="349"/>
        <v>0</v>
      </c>
      <c r="J965" s="658">
        <f ca="1">+IFERROR(J$5*GETPIVOTDATA("Unique Billed Hours",'County allocation'!$S$3,"County",$D958,"HHA/CDPAP","HHA","Level of Service",$D965),0)</f>
        <v>0</v>
      </c>
      <c r="K965" s="658">
        <f ca="1">+IFERROR(K$5*GETPIVOTDATA("Unique Billed Hours",'County allocation'!$X$3,"County",$D958,"HHA/CDPAP","HHA","Level of Service",$D965),0)</f>
        <v>0</v>
      </c>
      <c r="L965" s="658">
        <f ca="1">+IFERROR(L$5*GETPIVOTDATA("Unique Billed Hours",'County allocation'!$K$19,"County",$D958,"HHA/CDPAP","HHA","Level of Service",$D965),0)</f>
        <v>0</v>
      </c>
      <c r="M965" s="658">
        <f>+IFERROR(M$5*GETPIVOTDATA("Unique Billed Hours",'County allocation'!$S$3,"County",$D958,"HHA/CDPAP","HHA","Level of Service",$D965),0)</f>
        <v>0</v>
      </c>
      <c r="N965" s="658">
        <f>+IFERROR(N$5*GETPIVOTDATA("Unique Billed Hours",'County allocation'!$S$3,"County",$D958,"HHA/CDPAP","HHA","Level of Service",$D965),0)</f>
        <v>0</v>
      </c>
      <c r="O965" s="658">
        <f>+IFERROR(O$5*GETPIVOTDATA("Unique Billed Hours",'County allocation'!$K$19,"County",$D958,"HHA/CDPAP","HHA","Level of Service",$D965),0)</f>
        <v>0</v>
      </c>
      <c r="P965" s="658">
        <f>+IFERROR(P$5*GETPIVOTDATA("Unique Billed Hours",'County allocation'!$S$3,"County",$D958,"HHA/CDPAP","HHA","Level of Service",$D965),0)</f>
        <v>0</v>
      </c>
    </row>
    <row r="966" spans="1:18" s="54" customFormat="1" ht="15.75" hidden="1" thickBot="1" x14ac:dyDescent="0.3">
      <c r="A966" s="119"/>
      <c r="B966" s="309"/>
      <c r="C966" s="322">
        <f t="shared" ca="1" si="347"/>
        <v>0</v>
      </c>
      <c r="D966" s="7" t="s">
        <v>39</v>
      </c>
      <c r="E966" s="48" t="s">
        <v>52</v>
      </c>
      <c r="F966" s="657">
        <f t="shared" ca="1" si="348"/>
        <v>0</v>
      </c>
      <c r="G966" s="658">
        <f ca="1">+IFERROR(G$5*GETPIVOTDATA("Unique Billed Hours",'County allocation'!$A$3,"County",$D958,"HHA/CDPAP","HHA","Level of Service",$D966),0)</f>
        <v>0</v>
      </c>
      <c r="H966" s="658">
        <f>+IFERROR(H$5*GETPIVOTDATA("Unique Billed Hours",'County allocation'!$S$3,"County",$D958,"HHA/CDPAP","HHA","Level of Service",$D966),0)</f>
        <v>0</v>
      </c>
      <c r="I966" s="664">
        <f t="shared" ca="1" si="349"/>
        <v>0</v>
      </c>
      <c r="J966" s="658">
        <f ca="1">+IFERROR(J$5*GETPIVOTDATA("Unique Billed Hours",'County allocation'!$S$3,"County",$D958,"HHA/CDPAP","HHA","Level of Service",$D966),0)</f>
        <v>0</v>
      </c>
      <c r="K966" s="658">
        <f ca="1">+IFERROR(K$5*GETPIVOTDATA("Unique Billed Hours",'County allocation'!$X$3,"County",$D958,"HHA/CDPAP","HHA","Level of Service",$D966),0)</f>
        <v>0</v>
      </c>
      <c r="L966" s="658">
        <f ca="1">+IFERROR(L$5*GETPIVOTDATA("Unique Billed Hours",'County allocation'!$K$19,"County",$D958,"HHA/CDPAP","HHA","Level of Service",$D966),0)</f>
        <v>0</v>
      </c>
      <c r="M966" s="658">
        <f>+IFERROR(M$5*GETPIVOTDATA("Unique Billed Hours",'County allocation'!$S$3,"County",$D958,"HHA/CDPAP","HHA","Level of Service",$D966),0)</f>
        <v>0</v>
      </c>
      <c r="N966" s="658">
        <f>+IFERROR(N$5*GETPIVOTDATA("Unique Billed Hours",'County allocation'!$S$3,"County",$D958,"HHA/CDPAP","HHA","Level of Service",$D966),0)</f>
        <v>0</v>
      </c>
      <c r="O966" s="658">
        <f>+IFERROR(O$5*GETPIVOTDATA("Unique Billed Hours",'County allocation'!$K$19,"County",$D958,"HHA/CDPAP","HHA","Level of Service",$D966),0)</f>
        <v>0</v>
      </c>
      <c r="P966" s="658">
        <f>+IFERROR(P$5*GETPIVOTDATA("Unique Billed Hours",'County allocation'!$S$3,"County",$D958,"HHA/CDPAP","HHA","Level of Service",$D966),0)</f>
        <v>0</v>
      </c>
    </row>
    <row r="967" spans="1:18" s="54" customFormat="1" ht="15.75" hidden="1" thickBot="1" x14ac:dyDescent="0.3">
      <c r="A967" s="119"/>
      <c r="B967" s="309"/>
      <c r="C967" s="322">
        <f t="shared" ca="1" si="347"/>
        <v>0</v>
      </c>
      <c r="D967" s="8" t="s">
        <v>40</v>
      </c>
      <c r="E967" s="48" t="s">
        <v>51</v>
      </c>
      <c r="F967" s="657">
        <f t="shared" ca="1" si="348"/>
        <v>0</v>
      </c>
      <c r="G967" s="658">
        <f ca="1">+IFERROR(G$5*GETPIVOTDATA("Unique Billed Hours",'County allocation'!$A$3,"County",$D958,"HHA/CDPAP","HHA","Level of Service",$D967),0)</f>
        <v>0</v>
      </c>
      <c r="H967" s="658">
        <f>+IFERROR(H$5*GETPIVOTDATA("Unique Billed Hours",'County allocation'!$S$3,"County",$D958,"HHA/CDPAP","HHA","Level of Service",$D967),0)</f>
        <v>0</v>
      </c>
      <c r="I967" s="664">
        <f t="shared" ca="1" si="349"/>
        <v>0</v>
      </c>
      <c r="J967" s="658">
        <f ca="1">+IFERROR(J$5*GETPIVOTDATA("Unique Billed Hours",'County allocation'!$S$3,"County",$D958,"HHA/CDPAP","HHA","Level of Service",$D967),0)</f>
        <v>0</v>
      </c>
      <c r="K967" s="658">
        <f ca="1">+IFERROR(K$5*GETPIVOTDATA("Unique Billed Hours",'County allocation'!$X$3,"County",$D958,"HHA/CDPAP","HHA","Level of Service",$D967),0)</f>
        <v>0</v>
      </c>
      <c r="L967" s="658">
        <f ca="1">+IFERROR(L$2*GETPIVOTDATA("Unique Billed Hours",'County allocation'!$O$3,"County",$D958,"HHA/CDPAP","HHA","Level of Service",$D967),0)</f>
        <v>0</v>
      </c>
      <c r="M967" s="658">
        <f>+IFERROR(M$5*GETPIVOTDATA("Unique Billed Hours",'County allocation'!$S$3,"County",$D958,"HHA/CDPAP","HHA","Level of Service",$D967),0)</f>
        <v>0</v>
      </c>
      <c r="N967" s="658">
        <f>+IFERROR(N$5*GETPIVOTDATA("Unique Billed Hours",'County allocation'!$S$3,"County",$D958,"HHA/CDPAP","HHA","Level of Service",$D967),0)</f>
        <v>0</v>
      </c>
      <c r="O967" s="658">
        <f>+IFERROR(O$5*GETPIVOTDATA("Unique Billed Hours",'County allocation'!$K$19,"County",$D958,"HHA/CDPAP","HHA","Level of Service",$D967),0)</f>
        <v>0</v>
      </c>
      <c r="P967" s="658">
        <f>+IFERROR(P$5*GETPIVOTDATA("Unique Billed Hours",'County allocation'!$S$3,"County",$D958,"HHA/CDPAP","HHA","Level of Service",$D967),0)</f>
        <v>0</v>
      </c>
    </row>
    <row r="968" spans="1:18" s="54" customFormat="1" ht="15.75" hidden="1" thickBot="1" x14ac:dyDescent="0.3">
      <c r="A968" s="119"/>
      <c r="B968" s="309"/>
      <c r="C968" s="322">
        <f t="shared" ca="1" si="347"/>
        <v>0</v>
      </c>
      <c r="D968" s="8" t="s">
        <v>41</v>
      </c>
      <c r="E968" s="48" t="s">
        <v>50</v>
      </c>
      <c r="F968" s="657">
        <f t="shared" ca="1" si="348"/>
        <v>0</v>
      </c>
      <c r="G968" s="658">
        <f ca="1">+IFERROR(G$5*GETPIVOTDATA("Unique Billed Hours",'County allocation'!$A$3,"County",$D958,"HHA/CDPAP","HHA","Level of Service",$D968),0)</f>
        <v>0</v>
      </c>
      <c r="H968" s="658">
        <f>+IFERROR(H$5*GETPIVOTDATA("Unique Billed Hours",'County allocation'!$S$3,"County",$D958,"HHA/CDPAP","HHA","Level of Service",$D968),0)</f>
        <v>0</v>
      </c>
      <c r="I968" s="664">
        <f t="shared" ca="1" si="349"/>
        <v>0</v>
      </c>
      <c r="J968" s="658">
        <f ca="1">+IFERROR(J$5*GETPIVOTDATA("Unique Billed Hours",'County allocation'!$S$3,"County",$D958,"HHA/CDPAP","HHA","Level of Service",$D968),0)</f>
        <v>0</v>
      </c>
      <c r="K968" s="658">
        <f ca="1">+IFERROR(K$5*GETPIVOTDATA("Unique Billed Hours",'County allocation'!$X$3,"County",$D958,"HHA/CDPAP","HHA","Level of Service",$D968),0)</f>
        <v>0</v>
      </c>
      <c r="L968" s="658">
        <f ca="1">+IFERROR(L$2*GETPIVOTDATA("Unique Billed Hours",'County allocation'!$O$3,"County",$D958,"HHA/CDPAP","HHA","Level of Service",$D968),0)</f>
        <v>0</v>
      </c>
      <c r="M968" s="658">
        <f>+IFERROR(M$5*GETPIVOTDATA("Unique Billed Hours",'County allocation'!$S$3,"County",$D958,"HHA/CDPAP","HHA","Level of Service",$D968),0)</f>
        <v>0</v>
      </c>
      <c r="N968" s="658">
        <f>+IFERROR(N$5*GETPIVOTDATA("Unique Billed Hours",'County allocation'!$S$3,"County",$D958,"HHA/CDPAP","HHA","Level of Service",$D968),0)</f>
        <v>0</v>
      </c>
      <c r="O968" s="658">
        <f>+IFERROR(O$5*GETPIVOTDATA("Unique Billed Hours",'County allocation'!$K$19,"County",$D958,"HHA/CDPAP","HHA","Level of Service",$D968),0)</f>
        <v>0</v>
      </c>
      <c r="P968" s="658">
        <f>+IFERROR(P$5*GETPIVOTDATA("Unique Billed Hours",'County allocation'!$S$3,"County",$D958,"HHA/CDPAP","HHA","Level of Service",$D968),0)</f>
        <v>0</v>
      </c>
    </row>
    <row r="969" spans="1:18" s="54" customFormat="1" ht="15.75" hidden="1" thickBot="1" x14ac:dyDescent="0.3">
      <c r="A969" s="119"/>
      <c r="B969" s="309"/>
      <c r="C969" s="322">
        <f t="shared" ca="1" si="347"/>
        <v>0</v>
      </c>
      <c r="D969" s="52" t="s">
        <v>389</v>
      </c>
      <c r="E969" s="53" t="s">
        <v>49</v>
      </c>
      <c r="F969" s="657">
        <f t="shared" ca="1" si="348"/>
        <v>0</v>
      </c>
      <c r="G969" s="661">
        <f ca="1">SUM(G961:G968)</f>
        <v>0</v>
      </c>
      <c r="H969" s="661">
        <f>SUM(H961:H968)</f>
        <v>0</v>
      </c>
      <c r="I969" s="664">
        <f t="shared" ca="1" si="349"/>
        <v>0</v>
      </c>
      <c r="J969" s="661">
        <f ca="1">SUM(J961:J968)</f>
        <v>0</v>
      </c>
      <c r="K969" s="661">
        <f t="shared" ref="K969:P969" ca="1" si="350">SUM(K961:K968)</f>
        <v>0</v>
      </c>
      <c r="L969" s="661">
        <f t="shared" ca="1" si="350"/>
        <v>0</v>
      </c>
      <c r="M969" s="661">
        <f t="shared" si="350"/>
        <v>0</v>
      </c>
      <c r="N969" s="661">
        <f t="shared" si="350"/>
        <v>0</v>
      </c>
      <c r="O969" s="661">
        <f t="shared" si="350"/>
        <v>0</v>
      </c>
      <c r="P969" s="661">
        <f t="shared" si="350"/>
        <v>0</v>
      </c>
    </row>
    <row r="970" spans="1:18" s="54" customFormat="1" ht="15.75" hidden="1" thickBot="1" x14ac:dyDescent="0.3">
      <c r="A970" s="119"/>
      <c r="B970" s="309"/>
      <c r="C970" s="322">
        <f t="shared" ca="1" si="347"/>
        <v>0</v>
      </c>
      <c r="D970" s="371" t="s">
        <v>390</v>
      </c>
      <c r="E970" s="325" t="s">
        <v>47</v>
      </c>
      <c r="F970" s="657">
        <f t="shared" ca="1" si="348"/>
        <v>0</v>
      </c>
      <c r="G970" s="665">
        <f ca="1">+IFERROR((G$5*GETPIVOTDATA("Unique Billed Hours",'County allocation'!$A$3,"County",$D958,"HHA/CDPAP","HHA","Level of Service",$D970))+($G$2*GETPIVOTDATA("Unique Billed Hours",'County allocation'!$F$7,"County",$D958,"HHA/CDPAP","HHA","Level of Service",$D970)),0)++IFERROR(J$5*GETPIVOTDATA("Unique Billed Hours",'County allocation'!$AC$3,"County",$D958,"HHA/CDPAP","HHA","Level of Service",$D970),0)+ +IFERROR(J$5*GETPIVOTDATA("Unique Billed Hours",'County allocation'!$AC$3,"County",$D958,"HHA/CDPAP","HHA","Level of Service",$D971),0)</f>
        <v>0</v>
      </c>
      <c r="H970" s="665">
        <f>+IFERROR(H$5*GETPIVOTDATA("Unique Billed Hours",'County allocation'!$S$3,"County",$D958,"HHA/CDPAP","HHA","Level of Service",$D970),0)</f>
        <v>0</v>
      </c>
      <c r="I970" s="664">
        <f t="shared" ca="1" si="349"/>
        <v>0</v>
      </c>
      <c r="J970" s="901"/>
      <c r="K970" s="665">
        <f ca="1">+IFERROR(K$5*GETPIVOTDATA("Unique Billed Hours",'County allocation'!$X$3,"County",$D958,"HHA/CDPAP","HHA","Level of Service",$D970),0)</f>
        <v>0</v>
      </c>
      <c r="L970" s="665">
        <f ca="1">+IFERROR(L$5*GETPIVOTDATA("Unique Billed Hours",'County allocation'!$K$19,"County",$D958,"HHA/CDPAP","HHA","Level of Service",$D970),0)</f>
        <v>0</v>
      </c>
      <c r="M970" s="665">
        <f>+IFERROR(M$5*GETPIVOTDATA("Unique Billed Hours",'County allocation'!$S$3,"County",$D958,"HHA/CDPAP","HHA","Level of Service",$D970),0)</f>
        <v>0</v>
      </c>
      <c r="N970" s="665">
        <f>+IFERROR(N$5*GETPIVOTDATA("Unique Billed Hours",'County allocation'!$S$3,"County",$D958,"HHA/CDPAP","HHA","Level of Service",$D970),0)</f>
        <v>0</v>
      </c>
      <c r="O970" s="665">
        <f>+IFERROR(O$5*GETPIVOTDATA("Unique Billed Hours",'County allocation'!$S$3,"County",$D958,"HHA/CDPAP","HHA","Level of Service",$D970),0)</f>
        <v>0</v>
      </c>
      <c r="P970" s="665">
        <f>+IFERROR(P$5*GETPIVOTDATA("Unique Billed Hours",'County allocation'!$S$3,"County",$D958,"HHA/CDPAP","HHA","Level of Service",$D970),0)</f>
        <v>0</v>
      </c>
    </row>
    <row r="971" spans="1:18" s="54" customFormat="1" ht="15.75" hidden="1" thickBot="1" x14ac:dyDescent="0.3">
      <c r="A971" s="119"/>
      <c r="B971" s="309"/>
      <c r="C971" s="322">
        <f t="shared" ca="1" si="347"/>
        <v>0</v>
      </c>
      <c r="D971" s="8" t="s">
        <v>391</v>
      </c>
      <c r="E971" s="370" t="s">
        <v>77</v>
      </c>
      <c r="F971" s="657">
        <f t="shared" ca="1" si="348"/>
        <v>0</v>
      </c>
      <c r="G971" s="656"/>
      <c r="H971" s="658">
        <f>+IFERROR(H$5*GETPIVOTDATA("Unique Billed Hours",'County allocation'!$S$3,"County",$D958,"HHA/CDPAP","HHA","Level of Service",$D971),0)</f>
        <v>0</v>
      </c>
      <c r="I971" s="664">
        <f t="shared" ca="1" si="349"/>
        <v>0</v>
      </c>
      <c r="J971" s="901"/>
      <c r="K971" s="665">
        <f ca="1">+IFERROR(K$5*GETPIVOTDATA("Unique Billed Hours",'County allocation'!$X$3,"County",$D958,"HHA/CDPAP","HHA","Level of Service",$D971),0)</f>
        <v>0</v>
      </c>
      <c r="L971" s="665">
        <f ca="1">+IFERROR(L$5*GETPIVOTDATA("Unique Billed Hours",'County allocation'!$K$19,"County",$D958,"HHA/CDPAP","HHA","Level of Service",$D971),0)</f>
        <v>0</v>
      </c>
      <c r="M971" s="665">
        <f>+IFERROR(M$5*GETPIVOTDATA("Unique Billed Hours",'County allocation'!$S$3,"County",$D958,"HHA/CDPAP","HHA","Level of Service",$D971),0)</f>
        <v>0</v>
      </c>
      <c r="N971" s="665">
        <f>+IFERROR(N$5*GETPIVOTDATA("Unique Billed Hours",'County allocation'!$S$3,"County",$D958,"HHA/CDPAP","HHA","Level of Service",$D971),0)</f>
        <v>0</v>
      </c>
      <c r="O971" s="665">
        <f>+IFERROR(O$5*GETPIVOTDATA("Unique Billed Hours",'County allocation'!$S$3,"County",$D958,"HHA/CDPAP","HHA","Level of Service",$D971),0)</f>
        <v>0</v>
      </c>
      <c r="P971" s="665">
        <f>+IFERROR(P$5*GETPIVOTDATA("Unique Billed Hours",'County allocation'!$S$3,"County",$D958,"HHA/CDPAP","HHA","Level of Service",$D971),0)</f>
        <v>0</v>
      </c>
    </row>
    <row r="972" spans="1:18" s="54" customFormat="1" ht="15.75" hidden="1" thickBot="1" x14ac:dyDescent="0.3">
      <c r="A972" s="119"/>
      <c r="B972" s="309"/>
      <c r="C972" s="322">
        <f t="shared" ca="1" si="347"/>
        <v>0</v>
      </c>
      <c r="D972" s="8" t="s">
        <v>374</v>
      </c>
      <c r="E972" s="370" t="s">
        <v>78</v>
      </c>
      <c r="F972" s="657">
        <f t="shared" ca="1" si="348"/>
        <v>0</v>
      </c>
      <c r="G972" s="658">
        <f ca="1">+IFERROR(G$5*GETPIVOTDATA("Unique Billed Hours",'County allocation'!$A$3,"County",$D958,"HHA/CDPAP","HHA","Level of Service",$D972),0)++IFERROR(J$5*GETPIVOTDATA("Unique Billed Hours",'County allocation'!$AC$3,"County",$D958,"HHA/CDPAP","HHA","Level of Service",$D972),0)</f>
        <v>0</v>
      </c>
      <c r="H972" s="658">
        <f>+IFERROR(H$5*GETPIVOTDATA("Unique Billed Hours",'County allocation'!$S$3,"County",$D958,"HHA/CDPAP","HHA","Level of Service",$D972),0)</f>
        <v>0</v>
      </c>
      <c r="I972" s="664">
        <f t="shared" ca="1" si="349"/>
        <v>0</v>
      </c>
      <c r="J972" s="901"/>
      <c r="K972" s="665">
        <f ca="1">+IFERROR(K$5*GETPIVOTDATA("Unique Billed Hours",'County allocation'!$X$3,"County",$D958,"HHA/CDPAP","HHA","Level of Service",$D972),0)</f>
        <v>0</v>
      </c>
      <c r="L972" s="665">
        <f ca="1">+IFERROR(L$5*GETPIVOTDATA("Unique Billed Hours",'County allocation'!$K$19,"County",$D958,"HHA/CDPAP","HHA","Level of Service",$D972),0)</f>
        <v>0</v>
      </c>
      <c r="M972" s="665">
        <f>+IFERROR(M$5*GETPIVOTDATA("Unique Billed Hours",'County allocation'!$S$3,"County",$D958,"HHA/CDPAP","HHA","Level of Service",$D972),0)</f>
        <v>0</v>
      </c>
      <c r="N972" s="665">
        <f>+IFERROR(N$5*GETPIVOTDATA("Unique Billed Hours",'County allocation'!$S$3,"County",$D958,"HHA/CDPAP","HHA","Level of Service",$D972),0)</f>
        <v>0</v>
      </c>
      <c r="O972" s="665">
        <f>+IFERROR(O$5*GETPIVOTDATA("Unique Billed Hours",'County allocation'!$S$3,"County",$D958,"HHA/CDPAP","HHA","Level of Service",$D972),0)</f>
        <v>0</v>
      </c>
      <c r="P972" s="665">
        <f>+IFERROR(P$5*GETPIVOTDATA("Unique Billed Hours",'County allocation'!$S$3,"County",$D958,"HHA/CDPAP","HHA","Level of Service",$D972),0)</f>
        <v>0</v>
      </c>
    </row>
    <row r="973" spans="1:18" s="54" customFormat="1" ht="15.75" hidden="1" thickBot="1" x14ac:dyDescent="0.3">
      <c r="A973" s="302"/>
      <c r="B973" s="309"/>
      <c r="C973" s="322">
        <f ca="1">C972</f>
        <v>0</v>
      </c>
      <c r="D973" s="52" t="s">
        <v>48</v>
      </c>
      <c r="E973" s="53" t="s">
        <v>79</v>
      </c>
      <c r="F973" s="657">
        <f t="shared" ca="1" si="348"/>
        <v>0</v>
      </c>
      <c r="G973" s="661">
        <f t="shared" ref="G973" ca="1" si="351">SUM(G969:G972)</f>
        <v>0</v>
      </c>
      <c r="H973" s="661">
        <f t="shared" ref="H973:P973" si="352">SUM(H969:H972)</f>
        <v>0</v>
      </c>
      <c r="I973" s="661">
        <f t="shared" ca="1" si="352"/>
        <v>0</v>
      </c>
      <c r="J973" s="661">
        <f t="shared" ca="1" si="352"/>
        <v>0</v>
      </c>
      <c r="K973" s="661">
        <f t="shared" ca="1" si="352"/>
        <v>0</v>
      </c>
      <c r="L973" s="661">
        <f t="shared" ca="1" si="352"/>
        <v>0</v>
      </c>
      <c r="M973" s="661">
        <f t="shared" si="352"/>
        <v>0</v>
      </c>
      <c r="N973" s="661">
        <f t="shared" si="352"/>
        <v>0</v>
      </c>
      <c r="O973" s="661">
        <f t="shared" si="352"/>
        <v>0</v>
      </c>
      <c r="P973" s="661">
        <f t="shared" si="352"/>
        <v>0</v>
      </c>
    </row>
    <row r="974" spans="1:18" ht="15.75" hidden="1" thickBot="1" x14ac:dyDescent="0.3"/>
    <row r="975" spans="1:18" s="54" customFormat="1" ht="75.75" hidden="1" thickBot="1" x14ac:dyDescent="0.3">
      <c r="A975" s="119"/>
      <c r="B975" s="309"/>
      <c r="C975" s="322">
        <f ca="1">IF(F990&gt;0,1,0)</f>
        <v>0</v>
      </c>
      <c r="D975" s="45" t="str">
        <f>A60</f>
        <v>Warren</v>
      </c>
      <c r="E975" s="28">
        <f>+SUMIF(A:A,D975,B:B)</f>
        <v>0</v>
      </c>
      <c r="F975" s="652" t="s">
        <v>61</v>
      </c>
      <c r="G975" s="652" t="s">
        <v>387</v>
      </c>
      <c r="H975" s="652" t="s">
        <v>388</v>
      </c>
      <c r="I975" s="652" t="s">
        <v>392</v>
      </c>
      <c r="J975" s="652" t="s">
        <v>31</v>
      </c>
      <c r="K975" s="652" t="s">
        <v>32</v>
      </c>
      <c r="L975" s="653" t="s">
        <v>33</v>
      </c>
      <c r="M975" s="653" t="s">
        <v>60</v>
      </c>
      <c r="N975" s="653" t="s">
        <v>59</v>
      </c>
      <c r="O975" s="653" t="s">
        <v>58</v>
      </c>
      <c r="P975" s="653" t="s">
        <v>16</v>
      </c>
    </row>
    <row r="976" spans="1:18" s="54" customFormat="1" ht="15.75" hidden="1" thickBot="1" x14ac:dyDescent="0.3">
      <c r="A976" s="119"/>
      <c r="B976" s="309"/>
      <c r="C976" s="322">
        <f ca="1">C975</f>
        <v>0</v>
      </c>
      <c r="D976" s="56"/>
      <c r="E976" s="57"/>
      <c r="F976" s="654" t="s">
        <v>57</v>
      </c>
      <c r="G976" s="654" t="s">
        <v>56</v>
      </c>
      <c r="H976" s="654" t="s">
        <v>55</v>
      </c>
      <c r="I976" s="654" t="s">
        <v>54</v>
      </c>
      <c r="J976" s="654" t="s">
        <v>53</v>
      </c>
      <c r="K976" s="654" t="s">
        <v>52</v>
      </c>
      <c r="L976" s="654" t="s">
        <v>51</v>
      </c>
      <c r="M976" s="654" t="s">
        <v>50</v>
      </c>
      <c r="N976" s="654" t="s">
        <v>49</v>
      </c>
      <c r="O976" s="654" t="s">
        <v>47</v>
      </c>
      <c r="P976" s="655" t="s">
        <v>77</v>
      </c>
    </row>
    <row r="977" spans="1:18" s="54" customFormat="1" ht="15.75" hidden="1" thickBot="1" x14ac:dyDescent="0.3">
      <c r="A977" s="119"/>
      <c r="B977" s="309"/>
      <c r="C977" s="322">
        <f t="shared" ref="C977:C989" ca="1" si="353">C976</f>
        <v>0</v>
      </c>
      <c r="D977" s="59" t="s">
        <v>26</v>
      </c>
      <c r="E977" s="57"/>
      <c r="F977" s="656"/>
      <c r="G977" s="656"/>
      <c r="H977" s="656"/>
      <c r="I977" s="656"/>
      <c r="J977" s="656"/>
      <c r="K977" s="656"/>
      <c r="L977" s="656"/>
      <c r="M977" s="656"/>
      <c r="N977" s="656"/>
      <c r="O977" s="656"/>
      <c r="P977" s="663"/>
    </row>
    <row r="978" spans="1:18" s="54" customFormat="1" ht="15.75" hidden="1" thickBot="1" x14ac:dyDescent="0.3">
      <c r="A978" s="119"/>
      <c r="B978" s="309"/>
      <c r="C978" s="322">
        <f t="shared" ca="1" si="353"/>
        <v>0</v>
      </c>
      <c r="D978" s="7" t="s">
        <v>34</v>
      </c>
      <c r="E978" s="48" t="s">
        <v>57</v>
      </c>
      <c r="F978" s="657">
        <f ca="1">+H978+G978+I978</f>
        <v>0</v>
      </c>
      <c r="G978" s="658">
        <f ca="1">+IFERROR(G$5*GETPIVOTDATA("Unique Billed Hours",'County allocation'!$A$3,"County",$D975,"HHA/CDPAP","HHA","Level of Service",$D978),0)</f>
        <v>0</v>
      </c>
      <c r="H978" s="658">
        <f>+IFERROR(H$5*GETPIVOTDATA("Unique Billed Hours",'County allocation'!$S$3,"County",$D975,"HHA/CDPAP","HHA","Level of Service",$D978),0)</f>
        <v>0</v>
      </c>
      <c r="I978" s="664">
        <f ca="1">SUM(J978:P978)</f>
        <v>0</v>
      </c>
      <c r="J978" s="658">
        <f ca="1">+IFERROR(J$5*GETPIVOTDATA("Unique Billed Hours",'County allocation'!$S$3,"County",$D975,"HHA/CDPAP","HHA","Level of Service",$D978),0)</f>
        <v>0</v>
      </c>
      <c r="K978" s="658">
        <f ca="1">+IFERROR(K$5*GETPIVOTDATA("Unique Billed Hours",'County allocation'!$X$3,"County",$D975,"HHA/CDPAP","HHA","Level of Service",$D978),0)</f>
        <v>0</v>
      </c>
      <c r="L978" s="658">
        <f ca="1">+IFERROR(L$2*GETPIVOTDATA("Unique Billed Hours",'County allocation'!$O$3,"County",$D975,"HHA/CDPAP","HHA","Level of Service",$D978),0)</f>
        <v>0</v>
      </c>
      <c r="M978" s="658">
        <f>+IFERROR(M$5*GETPIVOTDATA("Unique Billed Hours",'County allocation'!$S$3,"County",$D975,"HHA/CDPAP","HHA","Level of Service",$D978),0)</f>
        <v>0</v>
      </c>
      <c r="N978" s="658">
        <f>+IFERROR(N$5*GETPIVOTDATA("Unique Billed Hours",'County allocation'!$S$3,"County",$D975,"HHA/CDPAP","HHA","Level of Service",$D978),0)</f>
        <v>0</v>
      </c>
      <c r="O978" s="658">
        <f>+IFERROR(O$5*GETPIVOTDATA("Unique Billed Hours",'County allocation'!$K$19,"County",$D975,"HHA/CDPAP","HHA","Level of Service",$D978),0)</f>
        <v>0</v>
      </c>
      <c r="P978" s="658">
        <f>+IFERROR(P$5*GETPIVOTDATA("Unique Billed Hours",'County allocation'!$S$3,"County",$D975,"HHA/CDPAP","HHA","Level of Service",$D978),0)</f>
        <v>0</v>
      </c>
    </row>
    <row r="979" spans="1:18" s="54" customFormat="1" ht="15.75" hidden="1" thickBot="1" x14ac:dyDescent="0.3">
      <c r="A979" s="119"/>
      <c r="B979" s="309"/>
      <c r="C979" s="322">
        <f t="shared" ca="1" si="353"/>
        <v>0</v>
      </c>
      <c r="D979" s="7" t="s">
        <v>35</v>
      </c>
      <c r="E979" s="48" t="s">
        <v>56</v>
      </c>
      <c r="F979" s="657">
        <f t="shared" ref="F979:F990" ca="1" si="354">+H979+G979+I979</f>
        <v>0</v>
      </c>
      <c r="G979" s="658">
        <f ca="1">+IFERROR(G$5*GETPIVOTDATA("Unique Billed Hours",'County allocation'!$A$3,"County",$D975,"HHA/CDPAP","HHA","Level of Service",$D979),0)</f>
        <v>0</v>
      </c>
      <c r="H979" s="658">
        <f>+IFERROR(H$5*GETPIVOTDATA("Unique Billed Hours",'County allocation'!$S$3,"County",$D975,"HHA/CDPAP","HHA","Level of Service",$D979),0)</f>
        <v>0</v>
      </c>
      <c r="I979" s="664">
        <f t="shared" ref="I979:I989" ca="1" si="355">SUM(J979:P979)</f>
        <v>0</v>
      </c>
      <c r="J979" s="658">
        <f ca="1">+IFERROR(J$5*GETPIVOTDATA("Unique Billed Hours",'County allocation'!$S$3,"County",$D975,"HHA/CDPAP","HHA","Level of Service",$D979),0)</f>
        <v>0</v>
      </c>
      <c r="K979" s="658">
        <f ca="1">+IFERROR(K$5*GETPIVOTDATA("Unique Billed Hours",'County allocation'!$X$3,"County",$D975,"HHA/CDPAP","HHA","Level of Service",$D979),0)</f>
        <v>0</v>
      </c>
      <c r="L979" s="658">
        <f ca="1">+IFERROR(L$2*GETPIVOTDATA("Unique Billed Hours",'County allocation'!$O$3,"County",$D975,"HHA/CDPAP","HHA","Level of Service",$D979),0)</f>
        <v>0</v>
      </c>
      <c r="M979" s="658">
        <f>+IFERROR(M$5*GETPIVOTDATA("Unique Billed Hours",'County allocation'!$S$3,"County",$D975,"HHA/CDPAP","HHA","Level of Service",$D979),0)</f>
        <v>0</v>
      </c>
      <c r="N979" s="658">
        <f>+IFERROR(N$5*GETPIVOTDATA("Unique Billed Hours",'County allocation'!$S$3,"County",$D975,"HHA/CDPAP","HHA","Level of Service",$D979),0)</f>
        <v>0</v>
      </c>
      <c r="O979" s="658">
        <f>+IFERROR(O$5*GETPIVOTDATA("Unique Billed Hours",'County allocation'!$K$19,"County",$D975,"HHA/CDPAP","HHA","Level of Service",$D979),0)</f>
        <v>0</v>
      </c>
      <c r="P979" s="658">
        <f>+IFERROR(P$5*GETPIVOTDATA("Unique Billed Hours",'County allocation'!$S$3,"County",$D975,"HHA/CDPAP","HHA","Level of Service",$D979),0)</f>
        <v>0</v>
      </c>
      <c r="R979" s="61"/>
    </row>
    <row r="980" spans="1:18" s="54" customFormat="1" ht="15.75" hidden="1" thickBot="1" x14ac:dyDescent="0.3">
      <c r="A980" s="302"/>
      <c r="B980" s="309"/>
      <c r="C980" s="322">
        <f t="shared" ca="1" si="353"/>
        <v>0</v>
      </c>
      <c r="D980" s="7" t="s">
        <v>36</v>
      </c>
      <c r="E980" s="48" t="s">
        <v>55</v>
      </c>
      <c r="F980" s="657">
        <f t="shared" ca="1" si="354"/>
        <v>0</v>
      </c>
      <c r="G980" s="658">
        <f ca="1">+IFERROR(G$5*GETPIVOTDATA("Unique Billed Hours",'County allocation'!$A$3,"County",$D975,"HHA/CDPAP","HHA","Level of Service",$D980),0)</f>
        <v>0</v>
      </c>
      <c r="H980" s="658">
        <f>+IFERROR(H$5*GETPIVOTDATA("Unique Billed Hours",'County allocation'!$S$3,"County",$D975,"HHA/CDPAP","HHA","Level of Service",$D980),0)</f>
        <v>0</v>
      </c>
      <c r="I980" s="664">
        <f t="shared" ca="1" si="355"/>
        <v>0</v>
      </c>
      <c r="J980" s="658">
        <f ca="1">+IFERROR(J$5*GETPIVOTDATA("Unique Billed Hours",'County allocation'!$S$3,"County",$D975,"HHA/CDPAP","HHA","Level of Service",$D980),0)</f>
        <v>0</v>
      </c>
      <c r="K980" s="658">
        <f ca="1">+IFERROR(K$5*GETPIVOTDATA("Unique Billed Hours",'County allocation'!$X$3,"County",$D975,"HHA/CDPAP","HHA","Level of Service",$D980),0)</f>
        <v>0</v>
      </c>
      <c r="L980" s="658">
        <f ca="1">+IFERROR(L$2*GETPIVOTDATA("Unique Billed Hours",'County allocation'!$O$3,"County",$D975,"HHA/CDPAP","HHA","Level of Service",$D980),0)</f>
        <v>0</v>
      </c>
      <c r="M980" s="658">
        <f>+IFERROR(M$5*GETPIVOTDATA("Unique Billed Hours",'County allocation'!$S$3,"County",$D975,"HHA/CDPAP","HHA","Level of Service",$D980),0)</f>
        <v>0</v>
      </c>
      <c r="N980" s="658">
        <f>+IFERROR(N$5*GETPIVOTDATA("Unique Billed Hours",'County allocation'!$S$3,"County",$D975,"HHA/CDPAP","HHA","Level of Service",$D980),0)</f>
        <v>0</v>
      </c>
      <c r="O980" s="658">
        <f>+IFERROR(O$5*GETPIVOTDATA("Unique Billed Hours",'County allocation'!$K$19,"County",$D975,"HHA/CDPAP","HHA","Level of Service",$D980),0)</f>
        <v>0</v>
      </c>
      <c r="P980" s="658">
        <f>+IFERROR(P$5*GETPIVOTDATA("Unique Billed Hours",'County allocation'!$S$3,"County",$D975,"HHA/CDPAP","HHA","Level of Service",$D980),0)</f>
        <v>0</v>
      </c>
    </row>
    <row r="981" spans="1:18" s="54" customFormat="1" ht="15.75" hidden="1" thickBot="1" x14ac:dyDescent="0.3">
      <c r="A981" s="119"/>
      <c r="B981" s="309"/>
      <c r="C981" s="322">
        <f t="shared" ca="1" si="353"/>
        <v>0</v>
      </c>
      <c r="D981" s="7" t="s">
        <v>37</v>
      </c>
      <c r="E981" s="48" t="s">
        <v>54</v>
      </c>
      <c r="F981" s="657">
        <f t="shared" ca="1" si="354"/>
        <v>0</v>
      </c>
      <c r="G981" s="658">
        <f ca="1">+IFERROR(G$5*GETPIVOTDATA("Unique Billed Hours",'County allocation'!$A$3,"County",$D975,"HHA/CDPAP","HHA","Level of Service",$D981),0)</f>
        <v>0</v>
      </c>
      <c r="H981" s="658">
        <f>+IFERROR(H$5*GETPIVOTDATA("Unique Billed Hours",'County allocation'!$S$3,"County",$D975,"HHA/CDPAP","HHA","Level of Service",$D981),0)</f>
        <v>0</v>
      </c>
      <c r="I981" s="664">
        <f t="shared" ca="1" si="355"/>
        <v>0</v>
      </c>
      <c r="J981" s="658">
        <f ca="1">+IFERROR(J$5*GETPIVOTDATA("Unique Billed Hours",'County allocation'!$S$3,"County",$D975,"HHA/CDPAP","HHA","Level of Service",$D981),0)</f>
        <v>0</v>
      </c>
      <c r="K981" s="658">
        <f ca="1">+IFERROR(K$5*GETPIVOTDATA("Unique Billed Hours",'County allocation'!$X$3,"County",$D975,"HHA/CDPAP","HHA","Level of Service",$D981),0)</f>
        <v>0</v>
      </c>
      <c r="L981" s="658">
        <f ca="1">+IFERROR(L$2*GETPIVOTDATA("Unique Billed Hours",'County allocation'!$O$3,"County",$D975,"HHA/CDPAP","HHA","Level of Service",$D981),0)</f>
        <v>0</v>
      </c>
      <c r="M981" s="658">
        <f>+IFERROR(M$5*GETPIVOTDATA("Unique Billed Hours",'County allocation'!$S$3,"County",$D975,"HHA/CDPAP","HHA","Level of Service",$D981),0)</f>
        <v>0</v>
      </c>
      <c r="N981" s="658">
        <f>+IFERROR(N$5*GETPIVOTDATA("Unique Billed Hours",'County allocation'!$S$3,"County",$D975,"HHA/CDPAP","HHA","Level of Service",$D981),0)</f>
        <v>0</v>
      </c>
      <c r="O981" s="658">
        <f>+IFERROR(O$5*GETPIVOTDATA("Unique Billed Hours",'County allocation'!$K$19,"County",$D975,"HHA/CDPAP","HHA","Level of Service",$D981),0)</f>
        <v>0</v>
      </c>
      <c r="P981" s="658">
        <f>+IFERROR(P$5*GETPIVOTDATA("Unique Billed Hours",'County allocation'!$S$3,"County",$D975,"HHA/CDPAP","HHA","Level of Service",$D981),0)</f>
        <v>0</v>
      </c>
    </row>
    <row r="982" spans="1:18" s="54" customFormat="1" ht="15.75" hidden="1" thickBot="1" x14ac:dyDescent="0.3">
      <c r="A982" s="119"/>
      <c r="B982" s="309"/>
      <c r="C982" s="322">
        <f t="shared" ca="1" si="353"/>
        <v>0</v>
      </c>
      <c r="D982" s="7" t="s">
        <v>38</v>
      </c>
      <c r="E982" s="48" t="s">
        <v>53</v>
      </c>
      <c r="F982" s="657">
        <f t="shared" ca="1" si="354"/>
        <v>0</v>
      </c>
      <c r="G982" s="658">
        <f ca="1">+IFERROR(G$5*GETPIVOTDATA("Unique Billed Hours",'County allocation'!$A$3,"County",$D975,"HHA/CDPAP","HHA","Level of Service",$D982),0)</f>
        <v>0</v>
      </c>
      <c r="H982" s="658">
        <f>+IFERROR(H$5*GETPIVOTDATA("Unique Billed Hours",'County allocation'!$S$3,"County",$D975,"HHA/CDPAP","HHA","Level of Service",$D982),0)</f>
        <v>0</v>
      </c>
      <c r="I982" s="664">
        <f t="shared" ca="1" si="355"/>
        <v>0</v>
      </c>
      <c r="J982" s="658">
        <f ca="1">+IFERROR(J$5*GETPIVOTDATA("Unique Billed Hours",'County allocation'!$S$3,"County",$D975,"HHA/CDPAP","HHA","Level of Service",$D982),0)</f>
        <v>0</v>
      </c>
      <c r="K982" s="658">
        <f ca="1">+IFERROR(K$5*GETPIVOTDATA("Unique Billed Hours",'County allocation'!$X$3,"County",$D975,"HHA/CDPAP","HHA","Level of Service",$D982),0)</f>
        <v>0</v>
      </c>
      <c r="L982" s="658">
        <f ca="1">+IFERROR(L$5*GETPIVOTDATA("Unique Billed Hours",'County allocation'!$K$19,"County",$D975,"HHA/CDPAP","HHA","Level of Service",$D982),0)</f>
        <v>0</v>
      </c>
      <c r="M982" s="658">
        <f>+IFERROR(M$5*GETPIVOTDATA("Unique Billed Hours",'County allocation'!$S$3,"County",$D975,"HHA/CDPAP","HHA","Level of Service",$D982),0)</f>
        <v>0</v>
      </c>
      <c r="N982" s="658">
        <f>+IFERROR(N$5*GETPIVOTDATA("Unique Billed Hours",'County allocation'!$S$3,"County",$D975,"HHA/CDPAP","HHA","Level of Service",$D982),0)</f>
        <v>0</v>
      </c>
      <c r="O982" s="658">
        <f>+IFERROR(O$5*GETPIVOTDATA("Unique Billed Hours",'County allocation'!$K$19,"County",$D975,"HHA/CDPAP","HHA","Level of Service",$D982),0)</f>
        <v>0</v>
      </c>
      <c r="P982" s="658">
        <f>+IFERROR(P$5*GETPIVOTDATA("Unique Billed Hours",'County allocation'!$S$3,"County",$D975,"HHA/CDPAP","HHA","Level of Service",$D982),0)</f>
        <v>0</v>
      </c>
    </row>
    <row r="983" spans="1:18" s="54" customFormat="1" ht="15.75" hidden="1" thickBot="1" x14ac:dyDescent="0.3">
      <c r="A983" s="119"/>
      <c r="B983" s="309"/>
      <c r="C983" s="322">
        <f t="shared" ca="1" si="353"/>
        <v>0</v>
      </c>
      <c r="D983" s="7" t="s">
        <v>39</v>
      </c>
      <c r="E983" s="48" t="s">
        <v>52</v>
      </c>
      <c r="F983" s="657">
        <f t="shared" ca="1" si="354"/>
        <v>0</v>
      </c>
      <c r="G983" s="658">
        <f ca="1">+IFERROR(G$5*GETPIVOTDATA("Unique Billed Hours",'County allocation'!$A$3,"County",$D975,"HHA/CDPAP","HHA","Level of Service",$D983),0)</f>
        <v>0</v>
      </c>
      <c r="H983" s="658">
        <f>+IFERROR(H$5*GETPIVOTDATA("Unique Billed Hours",'County allocation'!$S$3,"County",$D975,"HHA/CDPAP","HHA","Level of Service",$D983),0)</f>
        <v>0</v>
      </c>
      <c r="I983" s="664">
        <f t="shared" ca="1" si="355"/>
        <v>0</v>
      </c>
      <c r="J983" s="658">
        <f ca="1">+IFERROR(J$5*GETPIVOTDATA("Unique Billed Hours",'County allocation'!$S$3,"County",$D975,"HHA/CDPAP","HHA","Level of Service",$D983),0)</f>
        <v>0</v>
      </c>
      <c r="K983" s="658">
        <f ca="1">+IFERROR(K$5*GETPIVOTDATA("Unique Billed Hours",'County allocation'!$X$3,"County",$D975,"HHA/CDPAP","HHA","Level of Service",$D983),0)</f>
        <v>0</v>
      </c>
      <c r="L983" s="658">
        <f ca="1">+IFERROR(L$5*GETPIVOTDATA("Unique Billed Hours",'County allocation'!$K$19,"County",$D975,"HHA/CDPAP","HHA","Level of Service",$D983),0)</f>
        <v>0</v>
      </c>
      <c r="M983" s="658">
        <f>+IFERROR(M$5*GETPIVOTDATA("Unique Billed Hours",'County allocation'!$S$3,"County",$D975,"HHA/CDPAP","HHA","Level of Service",$D983),0)</f>
        <v>0</v>
      </c>
      <c r="N983" s="658">
        <f>+IFERROR(N$5*GETPIVOTDATA("Unique Billed Hours",'County allocation'!$S$3,"County",$D975,"HHA/CDPAP","HHA","Level of Service",$D983),0)</f>
        <v>0</v>
      </c>
      <c r="O983" s="658">
        <f>+IFERROR(O$5*GETPIVOTDATA("Unique Billed Hours",'County allocation'!$K$19,"County",$D975,"HHA/CDPAP","HHA","Level of Service",$D983),0)</f>
        <v>0</v>
      </c>
      <c r="P983" s="658">
        <f>+IFERROR(P$5*GETPIVOTDATA("Unique Billed Hours",'County allocation'!$S$3,"County",$D975,"HHA/CDPAP","HHA","Level of Service",$D983),0)</f>
        <v>0</v>
      </c>
    </row>
    <row r="984" spans="1:18" s="54" customFormat="1" ht="15.75" hidden="1" thickBot="1" x14ac:dyDescent="0.3">
      <c r="A984" s="119"/>
      <c r="B984" s="309"/>
      <c r="C984" s="322">
        <f t="shared" ca="1" si="353"/>
        <v>0</v>
      </c>
      <c r="D984" s="8" t="s">
        <v>40</v>
      </c>
      <c r="E984" s="48" t="s">
        <v>51</v>
      </c>
      <c r="F984" s="657">
        <f t="shared" ca="1" si="354"/>
        <v>0</v>
      </c>
      <c r="G984" s="658">
        <f ca="1">+IFERROR(G$5*GETPIVOTDATA("Unique Billed Hours",'County allocation'!$A$3,"County",$D975,"HHA/CDPAP","HHA","Level of Service",$D984),0)</f>
        <v>0</v>
      </c>
      <c r="H984" s="658">
        <f>+IFERROR(H$5*GETPIVOTDATA("Unique Billed Hours",'County allocation'!$S$3,"County",$D975,"HHA/CDPAP","HHA","Level of Service",$D984),0)</f>
        <v>0</v>
      </c>
      <c r="I984" s="664">
        <f t="shared" ca="1" si="355"/>
        <v>0</v>
      </c>
      <c r="J984" s="658">
        <f ca="1">+IFERROR(J$5*GETPIVOTDATA("Unique Billed Hours",'County allocation'!$S$3,"County",$D975,"HHA/CDPAP","HHA","Level of Service",$D984),0)</f>
        <v>0</v>
      </c>
      <c r="K984" s="658">
        <f ca="1">+IFERROR(K$5*GETPIVOTDATA("Unique Billed Hours",'County allocation'!$X$3,"County",$D975,"HHA/CDPAP","HHA","Level of Service",$D984),0)</f>
        <v>0</v>
      </c>
      <c r="L984" s="658">
        <f ca="1">+IFERROR(L$2*GETPIVOTDATA("Unique Billed Hours",'County allocation'!$O$3,"County",$D975,"HHA/CDPAP","HHA","Level of Service",$D984),0)</f>
        <v>0</v>
      </c>
      <c r="M984" s="658">
        <f>+IFERROR(M$5*GETPIVOTDATA("Unique Billed Hours",'County allocation'!$S$3,"County",$D975,"HHA/CDPAP","HHA","Level of Service",$D984),0)</f>
        <v>0</v>
      </c>
      <c r="N984" s="658">
        <f>+IFERROR(N$5*GETPIVOTDATA("Unique Billed Hours",'County allocation'!$S$3,"County",$D975,"HHA/CDPAP","HHA","Level of Service",$D984),0)</f>
        <v>0</v>
      </c>
      <c r="O984" s="658">
        <f>+IFERROR(O$5*GETPIVOTDATA("Unique Billed Hours",'County allocation'!$K$19,"County",$D975,"HHA/CDPAP","HHA","Level of Service",$D984),0)</f>
        <v>0</v>
      </c>
      <c r="P984" s="658">
        <f>+IFERROR(P$5*GETPIVOTDATA("Unique Billed Hours",'County allocation'!$S$3,"County",$D975,"HHA/CDPAP","HHA","Level of Service",$D984),0)</f>
        <v>0</v>
      </c>
    </row>
    <row r="985" spans="1:18" s="54" customFormat="1" ht="15.75" hidden="1" thickBot="1" x14ac:dyDescent="0.3">
      <c r="A985" s="119"/>
      <c r="B985" s="309"/>
      <c r="C985" s="322">
        <f t="shared" ca="1" si="353"/>
        <v>0</v>
      </c>
      <c r="D985" s="8" t="s">
        <v>41</v>
      </c>
      <c r="E985" s="48" t="s">
        <v>50</v>
      </c>
      <c r="F985" s="657">
        <f t="shared" ca="1" si="354"/>
        <v>0</v>
      </c>
      <c r="G985" s="658">
        <f ca="1">+IFERROR(G$5*GETPIVOTDATA("Unique Billed Hours",'County allocation'!$A$3,"County",$D975,"HHA/CDPAP","HHA","Level of Service",$D985),0)</f>
        <v>0</v>
      </c>
      <c r="H985" s="658">
        <f>+IFERROR(H$5*GETPIVOTDATA("Unique Billed Hours",'County allocation'!$S$3,"County",$D975,"HHA/CDPAP","HHA","Level of Service",$D985),0)</f>
        <v>0</v>
      </c>
      <c r="I985" s="664">
        <f t="shared" ca="1" si="355"/>
        <v>0</v>
      </c>
      <c r="J985" s="658">
        <f ca="1">+IFERROR(J$5*GETPIVOTDATA("Unique Billed Hours",'County allocation'!$S$3,"County",$D975,"HHA/CDPAP","HHA","Level of Service",$D985),0)</f>
        <v>0</v>
      </c>
      <c r="K985" s="658">
        <f ca="1">+IFERROR(K$5*GETPIVOTDATA("Unique Billed Hours",'County allocation'!$X$3,"County",$D975,"HHA/CDPAP","HHA","Level of Service",$D985),0)</f>
        <v>0</v>
      </c>
      <c r="L985" s="658">
        <f ca="1">+IFERROR(L$2*GETPIVOTDATA("Unique Billed Hours",'County allocation'!$O$3,"County",$D975,"HHA/CDPAP","HHA","Level of Service",$D985),0)</f>
        <v>0</v>
      </c>
      <c r="M985" s="658">
        <f>+IFERROR(M$5*GETPIVOTDATA("Unique Billed Hours",'County allocation'!$S$3,"County",$D975,"HHA/CDPAP","HHA","Level of Service",$D985),0)</f>
        <v>0</v>
      </c>
      <c r="N985" s="658">
        <f>+IFERROR(N$5*GETPIVOTDATA("Unique Billed Hours",'County allocation'!$S$3,"County",$D975,"HHA/CDPAP","HHA","Level of Service",$D985),0)</f>
        <v>0</v>
      </c>
      <c r="O985" s="658">
        <f>+IFERROR(O$5*GETPIVOTDATA("Unique Billed Hours",'County allocation'!$K$19,"County",$D975,"HHA/CDPAP","HHA","Level of Service",$D985),0)</f>
        <v>0</v>
      </c>
      <c r="P985" s="658">
        <f>+IFERROR(P$5*GETPIVOTDATA("Unique Billed Hours",'County allocation'!$S$3,"County",$D975,"HHA/CDPAP","HHA","Level of Service",$D985),0)</f>
        <v>0</v>
      </c>
    </row>
    <row r="986" spans="1:18" s="54" customFormat="1" ht="15.75" hidden="1" thickBot="1" x14ac:dyDescent="0.3">
      <c r="A986" s="119"/>
      <c r="B986" s="309"/>
      <c r="C986" s="322">
        <f t="shared" ca="1" si="353"/>
        <v>0</v>
      </c>
      <c r="D986" s="52" t="s">
        <v>389</v>
      </c>
      <c r="E986" s="53" t="s">
        <v>49</v>
      </c>
      <c r="F986" s="657">
        <f t="shared" ca="1" si="354"/>
        <v>0</v>
      </c>
      <c r="G986" s="661">
        <f ca="1">SUM(G978:G985)</f>
        <v>0</v>
      </c>
      <c r="H986" s="661">
        <f>SUM(H978:H985)</f>
        <v>0</v>
      </c>
      <c r="I986" s="664">
        <f t="shared" ca="1" si="355"/>
        <v>0</v>
      </c>
      <c r="J986" s="661">
        <f ca="1">SUM(J978:J985)</f>
        <v>0</v>
      </c>
      <c r="K986" s="661">
        <f t="shared" ref="K986:P986" ca="1" si="356">SUM(K978:K985)</f>
        <v>0</v>
      </c>
      <c r="L986" s="661">
        <f t="shared" ca="1" si="356"/>
        <v>0</v>
      </c>
      <c r="M986" s="661">
        <f t="shared" si="356"/>
        <v>0</v>
      </c>
      <c r="N986" s="661">
        <f t="shared" si="356"/>
        <v>0</v>
      </c>
      <c r="O986" s="661">
        <f t="shared" si="356"/>
        <v>0</v>
      </c>
      <c r="P986" s="661">
        <f t="shared" si="356"/>
        <v>0</v>
      </c>
    </row>
    <row r="987" spans="1:18" s="54" customFormat="1" ht="15.75" hidden="1" thickBot="1" x14ac:dyDescent="0.3">
      <c r="A987" s="119"/>
      <c r="B987" s="309"/>
      <c r="C987" s="322">
        <f t="shared" ca="1" si="353"/>
        <v>0</v>
      </c>
      <c r="D987" s="371" t="s">
        <v>390</v>
      </c>
      <c r="E987" s="325" t="s">
        <v>47</v>
      </c>
      <c r="F987" s="657">
        <f t="shared" ca="1" si="354"/>
        <v>0</v>
      </c>
      <c r="G987" s="665">
        <f ca="1">+IFERROR((G$5*GETPIVOTDATA("Unique Billed Hours",'County allocation'!$A$3,"County",$D975,"HHA/CDPAP","HHA","Level of Service",$D987))+($G$2*GETPIVOTDATA("Unique Billed Hours",'County allocation'!$F$7,"County",$D975,"HHA/CDPAP","HHA","Level of Service",$D987)),0)++IFERROR(J$5*GETPIVOTDATA("Unique Billed Hours",'County allocation'!$AC$3,"County",$D975,"HHA/CDPAP","HHA","Level of Service",$D987),0)+ +IFERROR(J$5*GETPIVOTDATA("Unique Billed Hours",'County allocation'!$AC$3,"County",$D975,"HHA/CDPAP","HHA","Level of Service",$D988),0)</f>
        <v>0</v>
      </c>
      <c r="H987" s="665">
        <f>+IFERROR(H$5*GETPIVOTDATA("Unique Billed Hours",'County allocation'!$S$3,"County",$D975,"HHA/CDPAP","HHA","Level of Service",$D987),0)</f>
        <v>0</v>
      </c>
      <c r="I987" s="664">
        <f t="shared" ca="1" si="355"/>
        <v>0</v>
      </c>
      <c r="J987" s="901"/>
      <c r="K987" s="665">
        <f ca="1">+IFERROR(K$5*GETPIVOTDATA("Unique Billed Hours",'County allocation'!$X$3,"County",$D975,"HHA/CDPAP","HHA","Level of Service",$D987),0)</f>
        <v>0</v>
      </c>
      <c r="L987" s="665">
        <f ca="1">+IFERROR(L$5*GETPIVOTDATA("Unique Billed Hours",'County allocation'!$K$19,"County",$D975,"HHA/CDPAP","HHA","Level of Service",$D987),0)</f>
        <v>0</v>
      </c>
      <c r="M987" s="665">
        <f>+IFERROR(M$5*GETPIVOTDATA("Unique Billed Hours",'County allocation'!$S$3,"County",$D975,"HHA/CDPAP","HHA","Level of Service",$D987),0)</f>
        <v>0</v>
      </c>
      <c r="N987" s="665">
        <f>+IFERROR(N$5*GETPIVOTDATA("Unique Billed Hours",'County allocation'!$S$3,"County",$D975,"HHA/CDPAP","HHA","Level of Service",$D987),0)</f>
        <v>0</v>
      </c>
      <c r="O987" s="665">
        <f>+IFERROR(O$5*GETPIVOTDATA("Unique Billed Hours",'County allocation'!$S$3,"County",$D975,"HHA/CDPAP","HHA","Level of Service",$D987),0)</f>
        <v>0</v>
      </c>
      <c r="P987" s="665">
        <f>+IFERROR(P$5*GETPIVOTDATA("Unique Billed Hours",'County allocation'!$S$3,"County",$D975,"HHA/CDPAP","HHA","Level of Service",$D987),0)</f>
        <v>0</v>
      </c>
    </row>
    <row r="988" spans="1:18" s="54" customFormat="1" ht="15.75" hidden="1" thickBot="1" x14ac:dyDescent="0.3">
      <c r="A988" s="119"/>
      <c r="B988" s="309"/>
      <c r="C988" s="322">
        <f t="shared" ca="1" si="353"/>
        <v>0</v>
      </c>
      <c r="D988" s="8" t="s">
        <v>391</v>
      </c>
      <c r="E988" s="370" t="s">
        <v>77</v>
      </c>
      <c r="F988" s="657">
        <f t="shared" ca="1" si="354"/>
        <v>0</v>
      </c>
      <c r="G988" s="656"/>
      <c r="H988" s="658">
        <f>+IFERROR(H$5*GETPIVOTDATA("Unique Billed Hours",'County allocation'!$S$3,"County",$D975,"HHA/CDPAP","HHA","Level of Service",$D988),0)</f>
        <v>0</v>
      </c>
      <c r="I988" s="664">
        <f t="shared" ca="1" si="355"/>
        <v>0</v>
      </c>
      <c r="J988" s="901"/>
      <c r="K988" s="665">
        <f ca="1">+IFERROR(K$5*GETPIVOTDATA("Unique Billed Hours",'County allocation'!$X$3,"County",$D975,"HHA/CDPAP","HHA","Level of Service",$D988),0)</f>
        <v>0</v>
      </c>
      <c r="L988" s="665">
        <f ca="1">+IFERROR(L$5*GETPIVOTDATA("Unique Billed Hours",'County allocation'!$K$19,"County",$D975,"HHA/CDPAP","HHA","Level of Service",$D988),0)</f>
        <v>0</v>
      </c>
      <c r="M988" s="665">
        <f>+IFERROR(M$5*GETPIVOTDATA("Unique Billed Hours",'County allocation'!$S$3,"County",$D975,"HHA/CDPAP","HHA","Level of Service",$D988),0)</f>
        <v>0</v>
      </c>
      <c r="N988" s="665">
        <f>+IFERROR(N$5*GETPIVOTDATA("Unique Billed Hours",'County allocation'!$S$3,"County",$D975,"HHA/CDPAP","HHA","Level of Service",$D988),0)</f>
        <v>0</v>
      </c>
      <c r="O988" s="665">
        <f>+IFERROR(O$5*GETPIVOTDATA("Unique Billed Hours",'County allocation'!$S$3,"County",$D975,"HHA/CDPAP","HHA","Level of Service",$D988),0)</f>
        <v>0</v>
      </c>
      <c r="P988" s="665">
        <f>+IFERROR(P$5*GETPIVOTDATA("Unique Billed Hours",'County allocation'!$S$3,"County",$D975,"HHA/CDPAP","HHA","Level of Service",$D988),0)</f>
        <v>0</v>
      </c>
    </row>
    <row r="989" spans="1:18" s="54" customFormat="1" ht="15.75" hidden="1" thickBot="1" x14ac:dyDescent="0.3">
      <c r="A989" s="119"/>
      <c r="B989" s="309"/>
      <c r="C989" s="322">
        <f t="shared" ca="1" si="353"/>
        <v>0</v>
      </c>
      <c r="D989" s="8" t="s">
        <v>374</v>
      </c>
      <c r="E989" s="370" t="s">
        <v>78</v>
      </c>
      <c r="F989" s="657">
        <f t="shared" ca="1" si="354"/>
        <v>0</v>
      </c>
      <c r="G989" s="658">
        <f ca="1">+IFERROR(G$5*GETPIVOTDATA("Unique Billed Hours",'County allocation'!$A$3,"County",$D975,"HHA/CDPAP","HHA","Level of Service",$D989),0)++IFERROR(J$5*GETPIVOTDATA("Unique Billed Hours",'County allocation'!$AC$3,"County",$D975,"HHA/CDPAP","HHA","Level of Service",$D989),0)</f>
        <v>0</v>
      </c>
      <c r="H989" s="658">
        <f>+IFERROR(H$5*GETPIVOTDATA("Unique Billed Hours",'County allocation'!$S$3,"County",$D975,"HHA/CDPAP","HHA","Level of Service",$D989),0)</f>
        <v>0</v>
      </c>
      <c r="I989" s="664">
        <f t="shared" ca="1" si="355"/>
        <v>0</v>
      </c>
      <c r="J989" s="901"/>
      <c r="K989" s="665">
        <f ca="1">+IFERROR(K$5*GETPIVOTDATA("Unique Billed Hours",'County allocation'!$X$3,"County",$D975,"HHA/CDPAP","HHA","Level of Service",$D989),0)</f>
        <v>0</v>
      </c>
      <c r="L989" s="665">
        <f ca="1">+IFERROR(L$5*GETPIVOTDATA("Unique Billed Hours",'County allocation'!$K$19,"County",$D975,"HHA/CDPAP","HHA","Level of Service",$D989),0)</f>
        <v>0</v>
      </c>
      <c r="M989" s="665">
        <f>+IFERROR(M$5*GETPIVOTDATA("Unique Billed Hours",'County allocation'!$S$3,"County",$D975,"HHA/CDPAP","HHA","Level of Service",$D989),0)</f>
        <v>0</v>
      </c>
      <c r="N989" s="665">
        <f>+IFERROR(N$5*GETPIVOTDATA("Unique Billed Hours",'County allocation'!$S$3,"County",$D975,"HHA/CDPAP","HHA","Level of Service",$D989),0)</f>
        <v>0</v>
      </c>
      <c r="O989" s="665">
        <f>+IFERROR(O$5*GETPIVOTDATA("Unique Billed Hours",'County allocation'!$S$3,"County",$D975,"HHA/CDPAP","HHA","Level of Service",$D989),0)</f>
        <v>0</v>
      </c>
      <c r="P989" s="665">
        <f>+IFERROR(P$5*GETPIVOTDATA("Unique Billed Hours",'County allocation'!$S$3,"County",$D975,"HHA/CDPAP","HHA","Level of Service",$D989),0)</f>
        <v>0</v>
      </c>
    </row>
    <row r="990" spans="1:18" s="54" customFormat="1" ht="15.75" hidden="1" thickBot="1" x14ac:dyDescent="0.3">
      <c r="A990" s="302"/>
      <c r="B990" s="309"/>
      <c r="C990" s="322">
        <f ca="1">C989</f>
        <v>0</v>
      </c>
      <c r="D990" s="52" t="s">
        <v>48</v>
      </c>
      <c r="E990" s="53" t="s">
        <v>79</v>
      </c>
      <c r="F990" s="657">
        <f t="shared" ca="1" si="354"/>
        <v>0</v>
      </c>
      <c r="G990" s="661">
        <f t="shared" ref="G990" ca="1" si="357">SUM(G986:G989)</f>
        <v>0</v>
      </c>
      <c r="H990" s="661">
        <f t="shared" ref="H990:P990" si="358">SUM(H986:H989)</f>
        <v>0</v>
      </c>
      <c r="I990" s="661">
        <f t="shared" ca="1" si="358"/>
        <v>0</v>
      </c>
      <c r="J990" s="661">
        <f t="shared" ca="1" si="358"/>
        <v>0</v>
      </c>
      <c r="K990" s="661">
        <f t="shared" ca="1" si="358"/>
        <v>0</v>
      </c>
      <c r="L990" s="661">
        <f t="shared" ca="1" si="358"/>
        <v>0</v>
      </c>
      <c r="M990" s="661">
        <f t="shared" si="358"/>
        <v>0</v>
      </c>
      <c r="N990" s="661">
        <f t="shared" si="358"/>
        <v>0</v>
      </c>
      <c r="O990" s="661">
        <f t="shared" si="358"/>
        <v>0</v>
      </c>
      <c r="P990" s="661">
        <f t="shared" si="358"/>
        <v>0</v>
      </c>
    </row>
    <row r="991" spans="1:18" ht="15.75" hidden="1" thickBot="1" x14ac:dyDescent="0.3"/>
    <row r="992" spans="1:18" s="54" customFormat="1" ht="75.75" hidden="1" thickBot="1" x14ac:dyDescent="0.3">
      <c r="A992" s="119"/>
      <c r="B992" s="309"/>
      <c r="C992" s="322">
        <f ca="1">IF(F1007&gt;0,1,0)</f>
        <v>0</v>
      </c>
      <c r="D992" s="45" t="str">
        <f>A61</f>
        <v>Washington</v>
      </c>
      <c r="E992" s="28">
        <f>+SUMIF(A:A,D992,B:B)</f>
        <v>0</v>
      </c>
      <c r="F992" s="652" t="s">
        <v>61</v>
      </c>
      <c r="G992" s="652" t="s">
        <v>387</v>
      </c>
      <c r="H992" s="652" t="s">
        <v>388</v>
      </c>
      <c r="I992" s="652" t="s">
        <v>392</v>
      </c>
      <c r="J992" s="652" t="s">
        <v>31</v>
      </c>
      <c r="K992" s="652" t="s">
        <v>32</v>
      </c>
      <c r="L992" s="653" t="s">
        <v>33</v>
      </c>
      <c r="M992" s="653" t="s">
        <v>60</v>
      </c>
      <c r="N992" s="653" t="s">
        <v>59</v>
      </c>
      <c r="O992" s="653" t="s">
        <v>58</v>
      </c>
      <c r="P992" s="653" t="s">
        <v>16</v>
      </c>
    </row>
    <row r="993" spans="1:18" s="54" customFormat="1" ht="15.75" hidden="1" thickBot="1" x14ac:dyDescent="0.3">
      <c r="A993" s="119"/>
      <c r="B993" s="309"/>
      <c r="C993" s="322">
        <f ca="1">C992</f>
        <v>0</v>
      </c>
      <c r="D993" s="56"/>
      <c r="E993" s="57"/>
      <c r="F993" s="654" t="s">
        <v>57</v>
      </c>
      <c r="G993" s="654" t="s">
        <v>56</v>
      </c>
      <c r="H993" s="654" t="s">
        <v>55</v>
      </c>
      <c r="I993" s="654" t="s">
        <v>54</v>
      </c>
      <c r="J993" s="654" t="s">
        <v>53</v>
      </c>
      <c r="K993" s="654" t="s">
        <v>52</v>
      </c>
      <c r="L993" s="654" t="s">
        <v>51</v>
      </c>
      <c r="M993" s="654" t="s">
        <v>50</v>
      </c>
      <c r="N993" s="654" t="s">
        <v>49</v>
      </c>
      <c r="O993" s="654" t="s">
        <v>47</v>
      </c>
      <c r="P993" s="655" t="s">
        <v>77</v>
      </c>
    </row>
    <row r="994" spans="1:18" s="54" customFormat="1" ht="15.75" hidden="1" thickBot="1" x14ac:dyDescent="0.3">
      <c r="A994" s="119"/>
      <c r="B994" s="309"/>
      <c r="C994" s="322">
        <f t="shared" ref="C994:C1006" ca="1" si="359">C993</f>
        <v>0</v>
      </c>
      <c r="D994" s="59" t="s">
        <v>26</v>
      </c>
      <c r="E994" s="57"/>
      <c r="F994" s="656"/>
      <c r="G994" s="656"/>
      <c r="H994" s="656"/>
      <c r="I994" s="656"/>
      <c r="J994" s="656"/>
      <c r="K994" s="656"/>
      <c r="L994" s="656"/>
      <c r="M994" s="656"/>
      <c r="N994" s="656"/>
      <c r="O994" s="656"/>
      <c r="P994" s="663"/>
    </row>
    <row r="995" spans="1:18" s="54" customFormat="1" ht="15.75" hidden="1" thickBot="1" x14ac:dyDescent="0.3">
      <c r="A995" s="119"/>
      <c r="B995" s="309"/>
      <c r="C995" s="322">
        <f t="shared" ca="1" si="359"/>
        <v>0</v>
      </c>
      <c r="D995" s="7" t="s">
        <v>34</v>
      </c>
      <c r="E995" s="48" t="s">
        <v>57</v>
      </c>
      <c r="F995" s="657">
        <f ca="1">+H995+G995+I995</f>
        <v>0</v>
      </c>
      <c r="G995" s="658">
        <f ca="1">+IFERROR(G$5*GETPIVOTDATA("Unique Billed Hours",'County allocation'!$A$3,"County",$D992,"HHA/CDPAP","HHA","Level of Service",$D995),0)</f>
        <v>0</v>
      </c>
      <c r="H995" s="658">
        <f>+IFERROR(H$5*GETPIVOTDATA("Unique Billed Hours",'County allocation'!$S$3,"County",$D992,"HHA/CDPAP","HHA","Level of Service",$D995),0)</f>
        <v>0</v>
      </c>
      <c r="I995" s="664">
        <f ca="1">SUM(J995:P995)</f>
        <v>0</v>
      </c>
      <c r="J995" s="658">
        <f ca="1">+IFERROR(J$5*GETPIVOTDATA("Unique Billed Hours",'County allocation'!$S$3,"County",$D992,"HHA/CDPAP","HHA","Level of Service",$D995),0)</f>
        <v>0</v>
      </c>
      <c r="K995" s="658">
        <f ca="1">+IFERROR(K$5*GETPIVOTDATA("Unique Billed Hours",'County allocation'!$X$3,"County",$D992,"HHA/CDPAP","HHA","Level of Service",$D995),0)</f>
        <v>0</v>
      </c>
      <c r="L995" s="658">
        <f ca="1">+IFERROR(L$2*GETPIVOTDATA("Unique Billed Hours",'County allocation'!$O$3,"County",$D992,"HHA/CDPAP","HHA","Level of Service",$D995),0)</f>
        <v>0</v>
      </c>
      <c r="M995" s="658">
        <f>+IFERROR(M$5*GETPIVOTDATA("Unique Billed Hours",'County allocation'!$S$3,"County",$D992,"HHA/CDPAP","HHA","Level of Service",$D995),0)</f>
        <v>0</v>
      </c>
      <c r="N995" s="658">
        <f>+IFERROR(N$5*GETPIVOTDATA("Unique Billed Hours",'County allocation'!$S$3,"County",$D992,"HHA/CDPAP","HHA","Level of Service",$D995),0)</f>
        <v>0</v>
      </c>
      <c r="O995" s="658">
        <f>+IFERROR(O$5*GETPIVOTDATA("Unique Billed Hours",'County allocation'!$K$19,"County",$D992,"HHA/CDPAP","HHA","Level of Service",$D995),0)</f>
        <v>0</v>
      </c>
      <c r="P995" s="658">
        <f>+IFERROR(P$5*GETPIVOTDATA("Unique Billed Hours",'County allocation'!$S$3,"County",$D992,"HHA/CDPAP","HHA","Level of Service",$D995),0)</f>
        <v>0</v>
      </c>
    </row>
    <row r="996" spans="1:18" s="54" customFormat="1" ht="15.75" hidden="1" thickBot="1" x14ac:dyDescent="0.3">
      <c r="A996" s="119"/>
      <c r="B996" s="309"/>
      <c r="C996" s="322">
        <f t="shared" ca="1" si="359"/>
        <v>0</v>
      </c>
      <c r="D996" s="7" t="s">
        <v>35</v>
      </c>
      <c r="E996" s="48" t="s">
        <v>56</v>
      </c>
      <c r="F996" s="657">
        <f t="shared" ref="F996:F1007" ca="1" si="360">+H996+G996+I996</f>
        <v>0</v>
      </c>
      <c r="G996" s="658">
        <f ca="1">+IFERROR(G$5*GETPIVOTDATA("Unique Billed Hours",'County allocation'!$A$3,"County",$D992,"HHA/CDPAP","HHA","Level of Service",$D996),0)</f>
        <v>0</v>
      </c>
      <c r="H996" s="658">
        <f>+IFERROR(H$5*GETPIVOTDATA("Unique Billed Hours",'County allocation'!$S$3,"County",$D992,"HHA/CDPAP","HHA","Level of Service",$D996),0)</f>
        <v>0</v>
      </c>
      <c r="I996" s="664">
        <f t="shared" ref="I996:I1006" ca="1" si="361">SUM(J996:P996)</f>
        <v>0</v>
      </c>
      <c r="J996" s="658">
        <f ca="1">+IFERROR(J$5*GETPIVOTDATA("Unique Billed Hours",'County allocation'!$S$3,"County",$D992,"HHA/CDPAP","HHA","Level of Service",$D996),0)</f>
        <v>0</v>
      </c>
      <c r="K996" s="658">
        <f ca="1">+IFERROR(K$5*GETPIVOTDATA("Unique Billed Hours",'County allocation'!$X$3,"County",$D992,"HHA/CDPAP","HHA","Level of Service",$D996),0)</f>
        <v>0</v>
      </c>
      <c r="L996" s="658">
        <f ca="1">+IFERROR(L$2*GETPIVOTDATA("Unique Billed Hours",'County allocation'!$O$3,"County",$D992,"HHA/CDPAP","HHA","Level of Service",$D996),0)</f>
        <v>0</v>
      </c>
      <c r="M996" s="658">
        <f>+IFERROR(M$5*GETPIVOTDATA("Unique Billed Hours",'County allocation'!$S$3,"County",$D992,"HHA/CDPAP","HHA","Level of Service",$D996),0)</f>
        <v>0</v>
      </c>
      <c r="N996" s="658">
        <f>+IFERROR(N$5*GETPIVOTDATA("Unique Billed Hours",'County allocation'!$S$3,"County",$D992,"HHA/CDPAP","HHA","Level of Service",$D996),0)</f>
        <v>0</v>
      </c>
      <c r="O996" s="658">
        <f>+IFERROR(O$5*GETPIVOTDATA("Unique Billed Hours",'County allocation'!$K$19,"County",$D992,"HHA/CDPAP","HHA","Level of Service",$D996),0)</f>
        <v>0</v>
      </c>
      <c r="P996" s="658">
        <f>+IFERROR(P$5*GETPIVOTDATA("Unique Billed Hours",'County allocation'!$S$3,"County",$D992,"HHA/CDPAP","HHA","Level of Service",$D996),0)</f>
        <v>0</v>
      </c>
      <c r="R996" s="61"/>
    </row>
    <row r="997" spans="1:18" s="54" customFormat="1" ht="15.75" hidden="1" thickBot="1" x14ac:dyDescent="0.3">
      <c r="A997" s="302"/>
      <c r="B997" s="309"/>
      <c r="C997" s="322">
        <f t="shared" ca="1" si="359"/>
        <v>0</v>
      </c>
      <c r="D997" s="7" t="s">
        <v>36</v>
      </c>
      <c r="E997" s="48" t="s">
        <v>55</v>
      </c>
      <c r="F997" s="657">
        <f t="shared" ca="1" si="360"/>
        <v>0</v>
      </c>
      <c r="G997" s="658">
        <f ca="1">+IFERROR(G$5*GETPIVOTDATA("Unique Billed Hours",'County allocation'!$A$3,"County",$D992,"HHA/CDPAP","HHA","Level of Service",$D997),0)</f>
        <v>0</v>
      </c>
      <c r="H997" s="658">
        <f>+IFERROR(H$5*GETPIVOTDATA("Unique Billed Hours",'County allocation'!$S$3,"County",$D992,"HHA/CDPAP","HHA","Level of Service",$D997),0)</f>
        <v>0</v>
      </c>
      <c r="I997" s="664">
        <f t="shared" ca="1" si="361"/>
        <v>0</v>
      </c>
      <c r="J997" s="658">
        <f ca="1">+IFERROR(J$5*GETPIVOTDATA("Unique Billed Hours",'County allocation'!$S$3,"County",$D992,"HHA/CDPAP","HHA","Level of Service",$D997),0)</f>
        <v>0</v>
      </c>
      <c r="K997" s="658">
        <f ca="1">+IFERROR(K$5*GETPIVOTDATA("Unique Billed Hours",'County allocation'!$X$3,"County",$D992,"HHA/CDPAP","HHA","Level of Service",$D997),0)</f>
        <v>0</v>
      </c>
      <c r="L997" s="658">
        <f ca="1">+IFERROR(L$2*GETPIVOTDATA("Unique Billed Hours",'County allocation'!$O$3,"County",$D992,"HHA/CDPAP","HHA","Level of Service",$D997),0)</f>
        <v>0</v>
      </c>
      <c r="M997" s="658">
        <f>+IFERROR(M$5*GETPIVOTDATA("Unique Billed Hours",'County allocation'!$S$3,"County",$D992,"HHA/CDPAP","HHA","Level of Service",$D997),0)</f>
        <v>0</v>
      </c>
      <c r="N997" s="658">
        <f>+IFERROR(N$5*GETPIVOTDATA("Unique Billed Hours",'County allocation'!$S$3,"County",$D992,"HHA/CDPAP","HHA","Level of Service",$D997),0)</f>
        <v>0</v>
      </c>
      <c r="O997" s="658">
        <f>+IFERROR(O$5*GETPIVOTDATA("Unique Billed Hours",'County allocation'!$K$19,"County",$D992,"HHA/CDPAP","HHA","Level of Service",$D997),0)</f>
        <v>0</v>
      </c>
      <c r="P997" s="658">
        <f>+IFERROR(P$5*GETPIVOTDATA("Unique Billed Hours",'County allocation'!$S$3,"County",$D992,"HHA/CDPAP","HHA","Level of Service",$D997),0)</f>
        <v>0</v>
      </c>
    </row>
    <row r="998" spans="1:18" s="54" customFormat="1" ht="15.75" hidden="1" thickBot="1" x14ac:dyDescent="0.3">
      <c r="A998" s="119"/>
      <c r="B998" s="309"/>
      <c r="C998" s="322">
        <f t="shared" ca="1" si="359"/>
        <v>0</v>
      </c>
      <c r="D998" s="7" t="s">
        <v>37</v>
      </c>
      <c r="E998" s="48" t="s">
        <v>54</v>
      </c>
      <c r="F998" s="657">
        <f t="shared" ca="1" si="360"/>
        <v>0</v>
      </c>
      <c r="G998" s="658">
        <f ca="1">+IFERROR(G$5*GETPIVOTDATA("Unique Billed Hours",'County allocation'!$A$3,"County",$D992,"HHA/CDPAP","HHA","Level of Service",$D998),0)</f>
        <v>0</v>
      </c>
      <c r="H998" s="658">
        <f>+IFERROR(H$5*GETPIVOTDATA("Unique Billed Hours",'County allocation'!$S$3,"County",$D992,"HHA/CDPAP","HHA","Level of Service",$D998),0)</f>
        <v>0</v>
      </c>
      <c r="I998" s="664">
        <f t="shared" ca="1" si="361"/>
        <v>0</v>
      </c>
      <c r="J998" s="658">
        <f ca="1">+IFERROR(J$5*GETPIVOTDATA("Unique Billed Hours",'County allocation'!$S$3,"County",$D992,"HHA/CDPAP","HHA","Level of Service",$D998),0)</f>
        <v>0</v>
      </c>
      <c r="K998" s="658">
        <f ca="1">+IFERROR(K$5*GETPIVOTDATA("Unique Billed Hours",'County allocation'!$X$3,"County",$D992,"HHA/CDPAP","HHA","Level of Service",$D998),0)</f>
        <v>0</v>
      </c>
      <c r="L998" s="658">
        <f ca="1">+IFERROR(L$2*GETPIVOTDATA("Unique Billed Hours",'County allocation'!$O$3,"County",$D992,"HHA/CDPAP","HHA","Level of Service",$D998),0)</f>
        <v>0</v>
      </c>
      <c r="M998" s="658">
        <f>+IFERROR(M$5*GETPIVOTDATA("Unique Billed Hours",'County allocation'!$S$3,"County",$D992,"HHA/CDPAP","HHA","Level of Service",$D998),0)</f>
        <v>0</v>
      </c>
      <c r="N998" s="658">
        <f>+IFERROR(N$5*GETPIVOTDATA("Unique Billed Hours",'County allocation'!$S$3,"County",$D992,"HHA/CDPAP","HHA","Level of Service",$D998),0)</f>
        <v>0</v>
      </c>
      <c r="O998" s="658">
        <f>+IFERROR(O$5*GETPIVOTDATA("Unique Billed Hours",'County allocation'!$K$19,"County",$D992,"HHA/CDPAP","HHA","Level of Service",$D998),0)</f>
        <v>0</v>
      </c>
      <c r="P998" s="658">
        <f>+IFERROR(P$5*GETPIVOTDATA("Unique Billed Hours",'County allocation'!$S$3,"County",$D992,"HHA/CDPAP","HHA","Level of Service",$D998),0)</f>
        <v>0</v>
      </c>
    </row>
    <row r="999" spans="1:18" s="54" customFormat="1" ht="15.75" hidden="1" thickBot="1" x14ac:dyDescent="0.3">
      <c r="A999" s="119"/>
      <c r="B999" s="309"/>
      <c r="C999" s="322">
        <f t="shared" ca="1" si="359"/>
        <v>0</v>
      </c>
      <c r="D999" s="7" t="s">
        <v>38</v>
      </c>
      <c r="E999" s="48" t="s">
        <v>53</v>
      </c>
      <c r="F999" s="657">
        <f t="shared" ca="1" si="360"/>
        <v>0</v>
      </c>
      <c r="G999" s="658">
        <f ca="1">+IFERROR(G$5*GETPIVOTDATA("Unique Billed Hours",'County allocation'!$A$3,"County",$D992,"HHA/CDPAP","HHA","Level of Service",$D999),0)</f>
        <v>0</v>
      </c>
      <c r="H999" s="658">
        <f>+IFERROR(H$5*GETPIVOTDATA("Unique Billed Hours",'County allocation'!$S$3,"County",$D992,"HHA/CDPAP","HHA","Level of Service",$D999),0)</f>
        <v>0</v>
      </c>
      <c r="I999" s="664">
        <f t="shared" ca="1" si="361"/>
        <v>0</v>
      </c>
      <c r="J999" s="658">
        <f ca="1">+IFERROR(J$5*GETPIVOTDATA("Unique Billed Hours",'County allocation'!$S$3,"County",$D992,"HHA/CDPAP","HHA","Level of Service",$D999),0)</f>
        <v>0</v>
      </c>
      <c r="K999" s="658">
        <f ca="1">+IFERROR(K$5*GETPIVOTDATA("Unique Billed Hours",'County allocation'!$X$3,"County",$D992,"HHA/CDPAP","HHA","Level of Service",$D999),0)</f>
        <v>0</v>
      </c>
      <c r="L999" s="658">
        <f ca="1">+IFERROR(L$5*GETPIVOTDATA("Unique Billed Hours",'County allocation'!$K$19,"County",$D992,"HHA/CDPAP","HHA","Level of Service",$D999),0)</f>
        <v>0</v>
      </c>
      <c r="M999" s="658">
        <f>+IFERROR(M$5*GETPIVOTDATA("Unique Billed Hours",'County allocation'!$S$3,"County",$D992,"HHA/CDPAP","HHA","Level of Service",$D999),0)</f>
        <v>0</v>
      </c>
      <c r="N999" s="658">
        <f>+IFERROR(N$5*GETPIVOTDATA("Unique Billed Hours",'County allocation'!$S$3,"County",$D992,"HHA/CDPAP","HHA","Level of Service",$D999),0)</f>
        <v>0</v>
      </c>
      <c r="O999" s="658">
        <f>+IFERROR(O$5*GETPIVOTDATA("Unique Billed Hours",'County allocation'!$K$19,"County",$D992,"HHA/CDPAP","HHA","Level of Service",$D999),0)</f>
        <v>0</v>
      </c>
      <c r="P999" s="658">
        <f>+IFERROR(P$5*GETPIVOTDATA("Unique Billed Hours",'County allocation'!$S$3,"County",$D992,"HHA/CDPAP","HHA","Level of Service",$D999),0)</f>
        <v>0</v>
      </c>
    </row>
    <row r="1000" spans="1:18" s="54" customFormat="1" ht="15.75" hidden="1" thickBot="1" x14ac:dyDescent="0.3">
      <c r="A1000" s="119"/>
      <c r="B1000" s="309"/>
      <c r="C1000" s="322">
        <f t="shared" ca="1" si="359"/>
        <v>0</v>
      </c>
      <c r="D1000" s="7" t="s">
        <v>39</v>
      </c>
      <c r="E1000" s="48" t="s">
        <v>52</v>
      </c>
      <c r="F1000" s="657">
        <f t="shared" ca="1" si="360"/>
        <v>0</v>
      </c>
      <c r="G1000" s="658">
        <f ca="1">+IFERROR(G$5*GETPIVOTDATA("Unique Billed Hours",'County allocation'!$A$3,"County",$D992,"HHA/CDPAP","HHA","Level of Service",$D1000),0)</f>
        <v>0</v>
      </c>
      <c r="H1000" s="658">
        <f>+IFERROR(H$5*GETPIVOTDATA("Unique Billed Hours",'County allocation'!$S$3,"County",$D992,"HHA/CDPAP","HHA","Level of Service",$D1000),0)</f>
        <v>0</v>
      </c>
      <c r="I1000" s="664">
        <f t="shared" ca="1" si="361"/>
        <v>0</v>
      </c>
      <c r="J1000" s="658">
        <f ca="1">+IFERROR(J$5*GETPIVOTDATA("Unique Billed Hours",'County allocation'!$S$3,"County",$D992,"HHA/CDPAP","HHA","Level of Service",$D1000),0)</f>
        <v>0</v>
      </c>
      <c r="K1000" s="658">
        <f ca="1">+IFERROR(K$5*GETPIVOTDATA("Unique Billed Hours",'County allocation'!$X$3,"County",$D992,"HHA/CDPAP","HHA","Level of Service",$D1000),0)</f>
        <v>0</v>
      </c>
      <c r="L1000" s="658">
        <f ca="1">+IFERROR(L$5*GETPIVOTDATA("Unique Billed Hours",'County allocation'!$K$19,"County",$D992,"HHA/CDPAP","HHA","Level of Service",$D1000),0)</f>
        <v>0</v>
      </c>
      <c r="M1000" s="658">
        <f>+IFERROR(M$5*GETPIVOTDATA("Unique Billed Hours",'County allocation'!$S$3,"County",$D992,"HHA/CDPAP","HHA","Level of Service",$D1000),0)</f>
        <v>0</v>
      </c>
      <c r="N1000" s="658">
        <f>+IFERROR(N$5*GETPIVOTDATA("Unique Billed Hours",'County allocation'!$S$3,"County",$D992,"HHA/CDPAP","HHA","Level of Service",$D1000),0)</f>
        <v>0</v>
      </c>
      <c r="O1000" s="658">
        <f>+IFERROR(O$5*GETPIVOTDATA("Unique Billed Hours",'County allocation'!$K$19,"County",$D992,"HHA/CDPAP","HHA","Level of Service",$D1000),0)</f>
        <v>0</v>
      </c>
      <c r="P1000" s="658">
        <f>+IFERROR(P$5*GETPIVOTDATA("Unique Billed Hours",'County allocation'!$S$3,"County",$D992,"HHA/CDPAP","HHA","Level of Service",$D1000),0)</f>
        <v>0</v>
      </c>
    </row>
    <row r="1001" spans="1:18" s="54" customFormat="1" ht="15.75" hidden="1" thickBot="1" x14ac:dyDescent="0.3">
      <c r="A1001" s="119"/>
      <c r="B1001" s="309"/>
      <c r="C1001" s="322">
        <f t="shared" ca="1" si="359"/>
        <v>0</v>
      </c>
      <c r="D1001" s="8" t="s">
        <v>40</v>
      </c>
      <c r="E1001" s="48" t="s">
        <v>51</v>
      </c>
      <c r="F1001" s="657">
        <f t="shared" ca="1" si="360"/>
        <v>0</v>
      </c>
      <c r="G1001" s="658">
        <f ca="1">+IFERROR(G$5*GETPIVOTDATA("Unique Billed Hours",'County allocation'!$A$3,"County",$D992,"HHA/CDPAP","HHA","Level of Service",$D1001),0)</f>
        <v>0</v>
      </c>
      <c r="H1001" s="658">
        <f>+IFERROR(H$5*GETPIVOTDATA("Unique Billed Hours",'County allocation'!$S$3,"County",$D992,"HHA/CDPAP","HHA","Level of Service",$D1001),0)</f>
        <v>0</v>
      </c>
      <c r="I1001" s="664">
        <f t="shared" ca="1" si="361"/>
        <v>0</v>
      </c>
      <c r="J1001" s="658">
        <f ca="1">+IFERROR(J$5*GETPIVOTDATA("Unique Billed Hours",'County allocation'!$S$3,"County",$D992,"HHA/CDPAP","HHA","Level of Service",$D1001),0)</f>
        <v>0</v>
      </c>
      <c r="K1001" s="658">
        <f ca="1">+IFERROR(K$5*GETPIVOTDATA("Unique Billed Hours",'County allocation'!$X$3,"County",$D992,"HHA/CDPAP","HHA","Level of Service",$D1001),0)</f>
        <v>0</v>
      </c>
      <c r="L1001" s="658">
        <f ca="1">+IFERROR(L$2*GETPIVOTDATA("Unique Billed Hours",'County allocation'!$O$3,"County",$D992,"HHA/CDPAP","HHA","Level of Service",$D1001),0)</f>
        <v>0</v>
      </c>
      <c r="M1001" s="658">
        <f>+IFERROR(M$5*GETPIVOTDATA("Unique Billed Hours",'County allocation'!$S$3,"County",$D992,"HHA/CDPAP","HHA","Level of Service",$D1001),0)</f>
        <v>0</v>
      </c>
      <c r="N1001" s="658">
        <f>+IFERROR(N$5*GETPIVOTDATA("Unique Billed Hours",'County allocation'!$S$3,"County",$D992,"HHA/CDPAP","HHA","Level of Service",$D1001),0)</f>
        <v>0</v>
      </c>
      <c r="O1001" s="658">
        <f>+IFERROR(O$5*GETPIVOTDATA("Unique Billed Hours",'County allocation'!$K$19,"County",$D992,"HHA/CDPAP","HHA","Level of Service",$D1001),0)</f>
        <v>0</v>
      </c>
      <c r="P1001" s="658">
        <f>+IFERROR(P$5*GETPIVOTDATA("Unique Billed Hours",'County allocation'!$S$3,"County",$D992,"HHA/CDPAP","HHA","Level of Service",$D1001),0)</f>
        <v>0</v>
      </c>
    </row>
    <row r="1002" spans="1:18" s="54" customFormat="1" ht="15.75" hidden="1" thickBot="1" x14ac:dyDescent="0.3">
      <c r="A1002" s="119"/>
      <c r="B1002" s="309"/>
      <c r="C1002" s="322">
        <f t="shared" ca="1" si="359"/>
        <v>0</v>
      </c>
      <c r="D1002" s="8" t="s">
        <v>41</v>
      </c>
      <c r="E1002" s="48" t="s">
        <v>50</v>
      </c>
      <c r="F1002" s="657">
        <f t="shared" ca="1" si="360"/>
        <v>0</v>
      </c>
      <c r="G1002" s="658">
        <f ca="1">+IFERROR(G$5*GETPIVOTDATA("Unique Billed Hours",'County allocation'!$A$3,"County",$D992,"HHA/CDPAP","HHA","Level of Service",$D1002),0)</f>
        <v>0</v>
      </c>
      <c r="H1002" s="658">
        <f>+IFERROR(H$5*GETPIVOTDATA("Unique Billed Hours",'County allocation'!$S$3,"County",$D992,"HHA/CDPAP","HHA","Level of Service",$D1002),0)</f>
        <v>0</v>
      </c>
      <c r="I1002" s="664">
        <f t="shared" ca="1" si="361"/>
        <v>0</v>
      </c>
      <c r="J1002" s="658">
        <f ca="1">+IFERROR(J$5*GETPIVOTDATA("Unique Billed Hours",'County allocation'!$S$3,"County",$D992,"HHA/CDPAP","HHA","Level of Service",$D1002),0)</f>
        <v>0</v>
      </c>
      <c r="K1002" s="658">
        <f ca="1">+IFERROR(K$5*GETPIVOTDATA("Unique Billed Hours",'County allocation'!$X$3,"County",$D992,"HHA/CDPAP","HHA","Level of Service",$D1002),0)</f>
        <v>0</v>
      </c>
      <c r="L1002" s="658">
        <f ca="1">+IFERROR(L$2*GETPIVOTDATA("Unique Billed Hours",'County allocation'!$O$3,"County",$D992,"HHA/CDPAP","HHA","Level of Service",$D1002),0)</f>
        <v>0</v>
      </c>
      <c r="M1002" s="658">
        <f>+IFERROR(M$5*GETPIVOTDATA("Unique Billed Hours",'County allocation'!$S$3,"County",$D992,"HHA/CDPAP","HHA","Level of Service",$D1002),0)</f>
        <v>0</v>
      </c>
      <c r="N1002" s="658">
        <f>+IFERROR(N$5*GETPIVOTDATA("Unique Billed Hours",'County allocation'!$S$3,"County",$D992,"HHA/CDPAP","HHA","Level of Service",$D1002),0)</f>
        <v>0</v>
      </c>
      <c r="O1002" s="658">
        <f>+IFERROR(O$5*GETPIVOTDATA("Unique Billed Hours",'County allocation'!$K$19,"County",$D992,"HHA/CDPAP","HHA","Level of Service",$D1002),0)</f>
        <v>0</v>
      </c>
      <c r="P1002" s="658">
        <f>+IFERROR(P$5*GETPIVOTDATA("Unique Billed Hours",'County allocation'!$S$3,"County",$D992,"HHA/CDPAP","HHA","Level of Service",$D1002),0)</f>
        <v>0</v>
      </c>
    </row>
    <row r="1003" spans="1:18" s="54" customFormat="1" ht="15.75" hidden="1" thickBot="1" x14ac:dyDescent="0.3">
      <c r="A1003" s="119"/>
      <c r="B1003" s="309"/>
      <c r="C1003" s="322">
        <f t="shared" ca="1" si="359"/>
        <v>0</v>
      </c>
      <c r="D1003" s="52" t="s">
        <v>389</v>
      </c>
      <c r="E1003" s="53" t="s">
        <v>49</v>
      </c>
      <c r="F1003" s="657">
        <f t="shared" ca="1" si="360"/>
        <v>0</v>
      </c>
      <c r="G1003" s="661">
        <f ca="1">SUM(G995:G1002)</f>
        <v>0</v>
      </c>
      <c r="H1003" s="661">
        <f>SUM(H995:H1002)</f>
        <v>0</v>
      </c>
      <c r="I1003" s="664">
        <f t="shared" ca="1" si="361"/>
        <v>0</v>
      </c>
      <c r="J1003" s="661">
        <f ca="1">SUM(J995:J1002)</f>
        <v>0</v>
      </c>
      <c r="K1003" s="661">
        <f t="shared" ref="K1003:P1003" ca="1" si="362">SUM(K995:K1002)</f>
        <v>0</v>
      </c>
      <c r="L1003" s="661">
        <f t="shared" ca="1" si="362"/>
        <v>0</v>
      </c>
      <c r="M1003" s="661">
        <f t="shared" si="362"/>
        <v>0</v>
      </c>
      <c r="N1003" s="661">
        <f t="shared" si="362"/>
        <v>0</v>
      </c>
      <c r="O1003" s="661">
        <f t="shared" si="362"/>
        <v>0</v>
      </c>
      <c r="P1003" s="661">
        <f t="shared" si="362"/>
        <v>0</v>
      </c>
    </row>
    <row r="1004" spans="1:18" s="54" customFormat="1" ht="15.75" hidden="1" thickBot="1" x14ac:dyDescent="0.3">
      <c r="A1004" s="119"/>
      <c r="B1004" s="309"/>
      <c r="C1004" s="322">
        <f t="shared" ca="1" si="359"/>
        <v>0</v>
      </c>
      <c r="D1004" s="371" t="s">
        <v>390</v>
      </c>
      <c r="E1004" s="325" t="s">
        <v>47</v>
      </c>
      <c r="F1004" s="657">
        <f t="shared" ca="1" si="360"/>
        <v>0</v>
      </c>
      <c r="G1004" s="665">
        <f ca="1">+IFERROR((G$5*GETPIVOTDATA("Unique Billed Hours",'County allocation'!$A$3,"County",$D992,"HHA/CDPAP","HHA","Level of Service",$D1004))+($G$2*GETPIVOTDATA("Unique Billed Hours",'County allocation'!$F$7,"County",$D992,"HHA/CDPAP","HHA","Level of Service",$D1004)),0)++IFERROR(J$5*GETPIVOTDATA("Unique Billed Hours",'County allocation'!$AC$3,"County",$D992,"HHA/CDPAP","HHA","Level of Service",$D1004),0)+ +IFERROR(J$5*GETPIVOTDATA("Unique Billed Hours",'County allocation'!$AC$3,"County",$D992,"HHA/CDPAP","HHA","Level of Service",$D1005),0)</f>
        <v>0</v>
      </c>
      <c r="H1004" s="665">
        <f>+IFERROR(H$5*GETPIVOTDATA("Unique Billed Hours",'County allocation'!$S$3,"County",$D992,"HHA/CDPAP","HHA","Level of Service",$D1004),0)</f>
        <v>0</v>
      </c>
      <c r="I1004" s="664">
        <f t="shared" ca="1" si="361"/>
        <v>0</v>
      </c>
      <c r="J1004" s="901"/>
      <c r="K1004" s="665">
        <f ca="1">+IFERROR(K$5*GETPIVOTDATA("Unique Billed Hours",'County allocation'!$X$3,"County",$D992,"HHA/CDPAP","HHA","Level of Service",$D1004),0)</f>
        <v>0</v>
      </c>
      <c r="L1004" s="665">
        <f ca="1">+IFERROR(L$5*GETPIVOTDATA("Unique Billed Hours",'County allocation'!$K$19,"County",$D992,"HHA/CDPAP","HHA","Level of Service",$D1004),0)</f>
        <v>0</v>
      </c>
      <c r="M1004" s="665">
        <f>+IFERROR(M$5*GETPIVOTDATA("Unique Billed Hours",'County allocation'!$S$3,"County",$D992,"HHA/CDPAP","HHA","Level of Service",$D1004),0)</f>
        <v>0</v>
      </c>
      <c r="N1004" s="665">
        <f>+IFERROR(N$5*GETPIVOTDATA("Unique Billed Hours",'County allocation'!$S$3,"County",$D992,"HHA/CDPAP","HHA","Level of Service",$D1004),0)</f>
        <v>0</v>
      </c>
      <c r="O1004" s="665">
        <f>+IFERROR(O$5*GETPIVOTDATA("Unique Billed Hours",'County allocation'!$S$3,"County",$D992,"HHA/CDPAP","HHA","Level of Service",$D1004),0)</f>
        <v>0</v>
      </c>
      <c r="P1004" s="665">
        <f>+IFERROR(P$5*GETPIVOTDATA("Unique Billed Hours",'County allocation'!$S$3,"County",$D992,"HHA/CDPAP","HHA","Level of Service",$D1004),0)</f>
        <v>0</v>
      </c>
    </row>
    <row r="1005" spans="1:18" s="54" customFormat="1" ht="15.75" hidden="1" thickBot="1" x14ac:dyDescent="0.3">
      <c r="A1005" s="119"/>
      <c r="B1005" s="309"/>
      <c r="C1005" s="322">
        <f t="shared" ca="1" si="359"/>
        <v>0</v>
      </c>
      <c r="D1005" s="8" t="s">
        <v>391</v>
      </c>
      <c r="E1005" s="370" t="s">
        <v>77</v>
      </c>
      <c r="F1005" s="657">
        <f t="shared" ca="1" si="360"/>
        <v>0</v>
      </c>
      <c r="G1005" s="656"/>
      <c r="H1005" s="658">
        <f>+IFERROR(H$5*GETPIVOTDATA("Unique Billed Hours",'County allocation'!$S$3,"County",$D992,"HHA/CDPAP","HHA","Level of Service",$D1005),0)</f>
        <v>0</v>
      </c>
      <c r="I1005" s="664">
        <f t="shared" ca="1" si="361"/>
        <v>0</v>
      </c>
      <c r="J1005" s="901"/>
      <c r="K1005" s="665">
        <f ca="1">+IFERROR(K$5*GETPIVOTDATA("Unique Billed Hours",'County allocation'!$X$3,"County",$D992,"HHA/CDPAP","HHA","Level of Service",$D1005),0)</f>
        <v>0</v>
      </c>
      <c r="L1005" s="665">
        <f ca="1">+IFERROR(L$5*GETPIVOTDATA("Unique Billed Hours",'County allocation'!$K$19,"County",$D992,"HHA/CDPAP","HHA","Level of Service",$D1005),0)</f>
        <v>0</v>
      </c>
      <c r="M1005" s="665">
        <f>+IFERROR(M$5*GETPIVOTDATA("Unique Billed Hours",'County allocation'!$S$3,"County",$D992,"HHA/CDPAP","HHA","Level of Service",$D1005),0)</f>
        <v>0</v>
      </c>
      <c r="N1005" s="665">
        <f>+IFERROR(N$5*GETPIVOTDATA("Unique Billed Hours",'County allocation'!$S$3,"County",$D992,"HHA/CDPAP","HHA","Level of Service",$D1005),0)</f>
        <v>0</v>
      </c>
      <c r="O1005" s="665">
        <f>+IFERROR(O$5*GETPIVOTDATA("Unique Billed Hours",'County allocation'!$S$3,"County",$D992,"HHA/CDPAP","HHA","Level of Service",$D1005),0)</f>
        <v>0</v>
      </c>
      <c r="P1005" s="665">
        <f>+IFERROR(P$5*GETPIVOTDATA("Unique Billed Hours",'County allocation'!$S$3,"County",$D992,"HHA/CDPAP","HHA","Level of Service",$D1005),0)</f>
        <v>0</v>
      </c>
    </row>
    <row r="1006" spans="1:18" s="54" customFormat="1" ht="15.75" hidden="1" thickBot="1" x14ac:dyDescent="0.3">
      <c r="A1006" s="119"/>
      <c r="B1006" s="309"/>
      <c r="C1006" s="322">
        <f t="shared" ca="1" si="359"/>
        <v>0</v>
      </c>
      <c r="D1006" s="8" t="s">
        <v>374</v>
      </c>
      <c r="E1006" s="370" t="s">
        <v>78</v>
      </c>
      <c r="F1006" s="657">
        <f t="shared" ca="1" si="360"/>
        <v>0</v>
      </c>
      <c r="G1006" s="658">
        <f ca="1">+IFERROR(G$5*GETPIVOTDATA("Unique Billed Hours",'County allocation'!$A$3,"County",$D992,"HHA/CDPAP","HHA","Level of Service",$D1006),0)++IFERROR(J$5*GETPIVOTDATA("Unique Billed Hours",'County allocation'!$AC$3,"County",$D992,"HHA/CDPAP","HHA","Level of Service",$D1006),0)</f>
        <v>0</v>
      </c>
      <c r="H1006" s="658">
        <f>+IFERROR(H$5*GETPIVOTDATA("Unique Billed Hours",'County allocation'!$S$3,"County",$D992,"HHA/CDPAP","HHA","Level of Service",$D1006),0)</f>
        <v>0</v>
      </c>
      <c r="I1006" s="664">
        <f t="shared" ca="1" si="361"/>
        <v>0</v>
      </c>
      <c r="J1006" s="901"/>
      <c r="K1006" s="665">
        <f ca="1">+IFERROR(K$5*GETPIVOTDATA("Unique Billed Hours",'County allocation'!$X$3,"County",$D992,"HHA/CDPAP","HHA","Level of Service",$D1006),0)</f>
        <v>0</v>
      </c>
      <c r="L1006" s="665">
        <f ca="1">+IFERROR(L$5*GETPIVOTDATA("Unique Billed Hours",'County allocation'!$K$19,"County",$D992,"HHA/CDPAP","HHA","Level of Service",$D1006),0)</f>
        <v>0</v>
      </c>
      <c r="M1006" s="665">
        <f>+IFERROR(M$5*GETPIVOTDATA("Unique Billed Hours",'County allocation'!$S$3,"County",$D992,"HHA/CDPAP","HHA","Level of Service",$D1006),0)</f>
        <v>0</v>
      </c>
      <c r="N1006" s="665">
        <f>+IFERROR(N$5*GETPIVOTDATA("Unique Billed Hours",'County allocation'!$S$3,"County",$D992,"HHA/CDPAP","HHA","Level of Service",$D1006),0)</f>
        <v>0</v>
      </c>
      <c r="O1006" s="665">
        <f>+IFERROR(O$5*GETPIVOTDATA("Unique Billed Hours",'County allocation'!$S$3,"County",$D992,"HHA/CDPAP","HHA","Level of Service",$D1006),0)</f>
        <v>0</v>
      </c>
      <c r="P1006" s="665">
        <f>+IFERROR(P$5*GETPIVOTDATA("Unique Billed Hours",'County allocation'!$S$3,"County",$D992,"HHA/CDPAP","HHA","Level of Service",$D1006),0)</f>
        <v>0</v>
      </c>
    </row>
    <row r="1007" spans="1:18" s="54" customFormat="1" ht="15.75" hidden="1" thickBot="1" x14ac:dyDescent="0.3">
      <c r="A1007" s="302"/>
      <c r="B1007" s="309"/>
      <c r="C1007" s="322">
        <f ca="1">C1006</f>
        <v>0</v>
      </c>
      <c r="D1007" s="52" t="s">
        <v>48</v>
      </c>
      <c r="E1007" s="53" t="s">
        <v>79</v>
      </c>
      <c r="F1007" s="657">
        <f t="shared" ca="1" si="360"/>
        <v>0</v>
      </c>
      <c r="G1007" s="661">
        <f t="shared" ref="G1007" ca="1" si="363">SUM(G1003:G1006)</f>
        <v>0</v>
      </c>
      <c r="H1007" s="661">
        <f t="shared" ref="H1007:P1007" si="364">SUM(H1003:H1006)</f>
        <v>0</v>
      </c>
      <c r="I1007" s="661">
        <f t="shared" ca="1" si="364"/>
        <v>0</v>
      </c>
      <c r="J1007" s="661">
        <f t="shared" ca="1" si="364"/>
        <v>0</v>
      </c>
      <c r="K1007" s="661">
        <f t="shared" ca="1" si="364"/>
        <v>0</v>
      </c>
      <c r="L1007" s="661">
        <f t="shared" ca="1" si="364"/>
        <v>0</v>
      </c>
      <c r="M1007" s="661">
        <f t="shared" si="364"/>
        <v>0</v>
      </c>
      <c r="N1007" s="661">
        <f t="shared" si="364"/>
        <v>0</v>
      </c>
      <c r="O1007" s="661">
        <f t="shared" si="364"/>
        <v>0</v>
      </c>
      <c r="P1007" s="661">
        <f t="shared" si="364"/>
        <v>0</v>
      </c>
    </row>
    <row r="1008" spans="1:18" ht="15.75" hidden="1" thickBot="1" x14ac:dyDescent="0.3"/>
    <row r="1009" spans="1:18" s="54" customFormat="1" ht="75.75" hidden="1" thickBot="1" x14ac:dyDescent="0.3">
      <c r="A1009" s="119"/>
      <c r="B1009" s="309"/>
      <c r="C1009" s="322">
        <f ca="1">IF(F1024&gt;0,1,0)</f>
        <v>0</v>
      </c>
      <c r="D1009" s="45" t="str">
        <f>A62</f>
        <v>Wayne</v>
      </c>
      <c r="E1009" s="28">
        <f>+SUMIF(A:A,D1009,B:B)</f>
        <v>0</v>
      </c>
      <c r="F1009" s="652" t="s">
        <v>61</v>
      </c>
      <c r="G1009" s="652" t="s">
        <v>387</v>
      </c>
      <c r="H1009" s="652" t="s">
        <v>388</v>
      </c>
      <c r="I1009" s="652" t="s">
        <v>392</v>
      </c>
      <c r="J1009" s="652" t="s">
        <v>31</v>
      </c>
      <c r="K1009" s="652" t="s">
        <v>32</v>
      </c>
      <c r="L1009" s="653" t="s">
        <v>33</v>
      </c>
      <c r="M1009" s="653" t="s">
        <v>60</v>
      </c>
      <c r="N1009" s="653" t="s">
        <v>59</v>
      </c>
      <c r="O1009" s="653" t="s">
        <v>58</v>
      </c>
      <c r="P1009" s="653" t="s">
        <v>16</v>
      </c>
    </row>
    <row r="1010" spans="1:18" s="54" customFormat="1" ht="15.75" hidden="1" thickBot="1" x14ac:dyDescent="0.3">
      <c r="A1010" s="119"/>
      <c r="B1010" s="309"/>
      <c r="C1010" s="322">
        <f ca="1">C1009</f>
        <v>0</v>
      </c>
      <c r="D1010" s="56"/>
      <c r="E1010" s="57"/>
      <c r="F1010" s="654" t="s">
        <v>57</v>
      </c>
      <c r="G1010" s="654" t="s">
        <v>56</v>
      </c>
      <c r="H1010" s="654" t="s">
        <v>55</v>
      </c>
      <c r="I1010" s="654" t="s">
        <v>54</v>
      </c>
      <c r="J1010" s="654" t="s">
        <v>53</v>
      </c>
      <c r="K1010" s="654" t="s">
        <v>52</v>
      </c>
      <c r="L1010" s="654" t="s">
        <v>51</v>
      </c>
      <c r="M1010" s="654" t="s">
        <v>50</v>
      </c>
      <c r="N1010" s="654" t="s">
        <v>49</v>
      </c>
      <c r="O1010" s="654" t="s">
        <v>47</v>
      </c>
      <c r="P1010" s="655" t="s">
        <v>77</v>
      </c>
    </row>
    <row r="1011" spans="1:18" s="54" customFormat="1" ht="15.75" hidden="1" thickBot="1" x14ac:dyDescent="0.3">
      <c r="A1011" s="119"/>
      <c r="B1011" s="309"/>
      <c r="C1011" s="322">
        <f t="shared" ref="C1011:C1023" ca="1" si="365">C1010</f>
        <v>0</v>
      </c>
      <c r="D1011" s="59" t="s">
        <v>26</v>
      </c>
      <c r="E1011" s="57"/>
      <c r="F1011" s="656"/>
      <c r="G1011" s="656"/>
      <c r="H1011" s="656"/>
      <c r="I1011" s="656"/>
      <c r="J1011" s="656"/>
      <c r="K1011" s="656"/>
      <c r="L1011" s="656"/>
      <c r="M1011" s="656"/>
      <c r="N1011" s="656"/>
      <c r="O1011" s="656"/>
      <c r="P1011" s="663"/>
    </row>
    <row r="1012" spans="1:18" s="54" customFormat="1" ht="15.75" hidden="1" thickBot="1" x14ac:dyDescent="0.3">
      <c r="A1012" s="119"/>
      <c r="B1012" s="309"/>
      <c r="C1012" s="322">
        <f t="shared" ca="1" si="365"/>
        <v>0</v>
      </c>
      <c r="D1012" s="7" t="s">
        <v>34</v>
      </c>
      <c r="E1012" s="48" t="s">
        <v>57</v>
      </c>
      <c r="F1012" s="657">
        <f ca="1">+H1012+G1012+I1012</f>
        <v>0</v>
      </c>
      <c r="G1012" s="658">
        <f ca="1">+IFERROR(G$5*GETPIVOTDATA("Unique Billed Hours",'County allocation'!$A$3,"County",$D1009,"HHA/CDPAP","HHA","Level of Service",$D1012),0)</f>
        <v>0</v>
      </c>
      <c r="H1012" s="658">
        <f>+IFERROR(H$5*GETPIVOTDATA("Unique Billed Hours",'County allocation'!$S$3,"County",$D1009,"HHA/CDPAP","HHA","Level of Service",$D1012),0)</f>
        <v>0</v>
      </c>
      <c r="I1012" s="664">
        <f ca="1">SUM(J1012:P1012)</f>
        <v>0</v>
      </c>
      <c r="J1012" s="658">
        <f ca="1">+IFERROR(J$5*GETPIVOTDATA("Unique Billed Hours",'County allocation'!$S$3,"County",$D1009,"HHA/CDPAP","HHA","Level of Service",$D1012),0)</f>
        <v>0</v>
      </c>
      <c r="K1012" s="658">
        <f ca="1">+IFERROR(K$5*GETPIVOTDATA("Unique Billed Hours",'County allocation'!$X$3,"County",$D1009,"HHA/CDPAP","HHA","Level of Service",$D1012),0)</f>
        <v>0</v>
      </c>
      <c r="L1012" s="658">
        <f ca="1">+IFERROR(L$2*GETPIVOTDATA("Unique Billed Hours",'County allocation'!$O$3,"County",$D1009,"HHA/CDPAP","HHA","Level of Service",$D1012),0)</f>
        <v>0</v>
      </c>
      <c r="M1012" s="658">
        <f>+IFERROR(M$5*GETPIVOTDATA("Unique Billed Hours",'County allocation'!$S$3,"County",$D1009,"HHA/CDPAP","HHA","Level of Service",$D1012),0)</f>
        <v>0</v>
      </c>
      <c r="N1012" s="658">
        <f>+IFERROR(N$5*GETPIVOTDATA("Unique Billed Hours",'County allocation'!$S$3,"County",$D1009,"HHA/CDPAP","HHA","Level of Service",$D1012),0)</f>
        <v>0</v>
      </c>
      <c r="O1012" s="658">
        <f>+IFERROR(O$5*GETPIVOTDATA("Unique Billed Hours",'County allocation'!$K$19,"County",$D1009,"HHA/CDPAP","HHA","Level of Service",$D1012),0)</f>
        <v>0</v>
      </c>
      <c r="P1012" s="658">
        <f>+IFERROR(P$5*GETPIVOTDATA("Unique Billed Hours",'County allocation'!$S$3,"County",$D1009,"HHA/CDPAP","HHA","Level of Service",$D1012),0)</f>
        <v>0</v>
      </c>
    </row>
    <row r="1013" spans="1:18" s="54" customFormat="1" ht="15.75" hidden="1" thickBot="1" x14ac:dyDescent="0.3">
      <c r="A1013" s="119"/>
      <c r="B1013" s="309"/>
      <c r="C1013" s="322">
        <f t="shared" ca="1" si="365"/>
        <v>0</v>
      </c>
      <c r="D1013" s="7" t="s">
        <v>35</v>
      </c>
      <c r="E1013" s="48" t="s">
        <v>56</v>
      </c>
      <c r="F1013" s="657">
        <f t="shared" ref="F1013:F1024" ca="1" si="366">+H1013+G1013+I1013</f>
        <v>0</v>
      </c>
      <c r="G1013" s="658">
        <f ca="1">+IFERROR(G$5*GETPIVOTDATA("Unique Billed Hours",'County allocation'!$A$3,"County",$D1009,"HHA/CDPAP","HHA","Level of Service",$D1013),0)</f>
        <v>0</v>
      </c>
      <c r="H1013" s="658">
        <f>+IFERROR(H$5*GETPIVOTDATA("Unique Billed Hours",'County allocation'!$S$3,"County",$D1009,"HHA/CDPAP","HHA","Level of Service",$D1013),0)</f>
        <v>0</v>
      </c>
      <c r="I1013" s="664">
        <f t="shared" ref="I1013:I1023" ca="1" si="367">SUM(J1013:P1013)</f>
        <v>0</v>
      </c>
      <c r="J1013" s="658">
        <f ca="1">+IFERROR(J$5*GETPIVOTDATA("Unique Billed Hours",'County allocation'!$S$3,"County",$D1009,"HHA/CDPAP","HHA","Level of Service",$D1013),0)</f>
        <v>0</v>
      </c>
      <c r="K1013" s="658">
        <f ca="1">+IFERROR(K$5*GETPIVOTDATA("Unique Billed Hours",'County allocation'!$X$3,"County",$D1009,"HHA/CDPAP","HHA","Level of Service",$D1013),0)</f>
        <v>0</v>
      </c>
      <c r="L1013" s="658">
        <f ca="1">+IFERROR(L$2*GETPIVOTDATA("Unique Billed Hours",'County allocation'!$O$3,"County",$D1009,"HHA/CDPAP","HHA","Level of Service",$D1013),0)</f>
        <v>0</v>
      </c>
      <c r="M1013" s="658">
        <f>+IFERROR(M$5*GETPIVOTDATA("Unique Billed Hours",'County allocation'!$S$3,"County",$D1009,"HHA/CDPAP","HHA","Level of Service",$D1013),0)</f>
        <v>0</v>
      </c>
      <c r="N1013" s="658">
        <f>+IFERROR(N$5*GETPIVOTDATA("Unique Billed Hours",'County allocation'!$S$3,"County",$D1009,"HHA/CDPAP","HHA","Level of Service",$D1013),0)</f>
        <v>0</v>
      </c>
      <c r="O1013" s="658">
        <f>+IFERROR(O$5*GETPIVOTDATA("Unique Billed Hours",'County allocation'!$K$19,"County",$D1009,"HHA/CDPAP","HHA","Level of Service",$D1013),0)</f>
        <v>0</v>
      </c>
      <c r="P1013" s="658">
        <f>+IFERROR(P$5*GETPIVOTDATA("Unique Billed Hours",'County allocation'!$S$3,"County",$D1009,"HHA/CDPAP","HHA","Level of Service",$D1013),0)</f>
        <v>0</v>
      </c>
      <c r="R1013" s="61"/>
    </row>
    <row r="1014" spans="1:18" s="54" customFormat="1" ht="15.75" hidden="1" thickBot="1" x14ac:dyDescent="0.3">
      <c r="A1014" s="302"/>
      <c r="B1014" s="309"/>
      <c r="C1014" s="322">
        <f t="shared" ca="1" si="365"/>
        <v>0</v>
      </c>
      <c r="D1014" s="7" t="s">
        <v>36</v>
      </c>
      <c r="E1014" s="48" t="s">
        <v>55</v>
      </c>
      <c r="F1014" s="657">
        <f t="shared" ca="1" si="366"/>
        <v>0</v>
      </c>
      <c r="G1014" s="658">
        <f ca="1">+IFERROR(G$5*GETPIVOTDATA("Unique Billed Hours",'County allocation'!$A$3,"County",$D1009,"HHA/CDPAP","HHA","Level of Service",$D1014),0)</f>
        <v>0</v>
      </c>
      <c r="H1014" s="658">
        <f>+IFERROR(H$5*GETPIVOTDATA("Unique Billed Hours",'County allocation'!$S$3,"County",$D1009,"HHA/CDPAP","HHA","Level of Service",$D1014),0)</f>
        <v>0</v>
      </c>
      <c r="I1014" s="664">
        <f t="shared" ca="1" si="367"/>
        <v>0</v>
      </c>
      <c r="J1014" s="658">
        <f ca="1">+IFERROR(J$5*GETPIVOTDATA("Unique Billed Hours",'County allocation'!$S$3,"County",$D1009,"HHA/CDPAP","HHA","Level of Service",$D1014),0)</f>
        <v>0</v>
      </c>
      <c r="K1014" s="658">
        <f ca="1">+IFERROR(K$5*GETPIVOTDATA("Unique Billed Hours",'County allocation'!$X$3,"County",$D1009,"HHA/CDPAP","HHA","Level of Service",$D1014),0)</f>
        <v>0</v>
      </c>
      <c r="L1014" s="658">
        <f ca="1">+IFERROR(L$2*GETPIVOTDATA("Unique Billed Hours",'County allocation'!$O$3,"County",$D1009,"HHA/CDPAP","HHA","Level of Service",$D1014),0)</f>
        <v>0</v>
      </c>
      <c r="M1014" s="658">
        <f>+IFERROR(M$5*GETPIVOTDATA("Unique Billed Hours",'County allocation'!$S$3,"County",$D1009,"HHA/CDPAP","HHA","Level of Service",$D1014),0)</f>
        <v>0</v>
      </c>
      <c r="N1014" s="658">
        <f>+IFERROR(N$5*GETPIVOTDATA("Unique Billed Hours",'County allocation'!$S$3,"County",$D1009,"HHA/CDPAP","HHA","Level of Service",$D1014),0)</f>
        <v>0</v>
      </c>
      <c r="O1014" s="658">
        <f>+IFERROR(O$5*GETPIVOTDATA("Unique Billed Hours",'County allocation'!$K$19,"County",$D1009,"HHA/CDPAP","HHA","Level of Service",$D1014),0)</f>
        <v>0</v>
      </c>
      <c r="P1014" s="658">
        <f>+IFERROR(P$5*GETPIVOTDATA("Unique Billed Hours",'County allocation'!$S$3,"County",$D1009,"HHA/CDPAP","HHA","Level of Service",$D1014),0)</f>
        <v>0</v>
      </c>
    </row>
    <row r="1015" spans="1:18" s="54" customFormat="1" ht="15.75" hidden="1" thickBot="1" x14ac:dyDescent="0.3">
      <c r="A1015" s="119"/>
      <c r="B1015" s="309"/>
      <c r="C1015" s="322">
        <f t="shared" ca="1" si="365"/>
        <v>0</v>
      </c>
      <c r="D1015" s="7" t="s">
        <v>37</v>
      </c>
      <c r="E1015" s="48" t="s">
        <v>54</v>
      </c>
      <c r="F1015" s="657">
        <f t="shared" ca="1" si="366"/>
        <v>0</v>
      </c>
      <c r="G1015" s="658">
        <f ca="1">+IFERROR(G$5*GETPIVOTDATA("Unique Billed Hours",'County allocation'!$A$3,"County",$D1009,"HHA/CDPAP","HHA","Level of Service",$D1015),0)</f>
        <v>0</v>
      </c>
      <c r="H1015" s="658">
        <f>+IFERROR(H$5*GETPIVOTDATA("Unique Billed Hours",'County allocation'!$S$3,"County",$D1009,"HHA/CDPAP","HHA","Level of Service",$D1015),0)</f>
        <v>0</v>
      </c>
      <c r="I1015" s="664">
        <f t="shared" ca="1" si="367"/>
        <v>0</v>
      </c>
      <c r="J1015" s="658">
        <f ca="1">+IFERROR(J$5*GETPIVOTDATA("Unique Billed Hours",'County allocation'!$S$3,"County",$D1009,"HHA/CDPAP","HHA","Level of Service",$D1015),0)</f>
        <v>0</v>
      </c>
      <c r="K1015" s="658">
        <f ca="1">+IFERROR(K$5*GETPIVOTDATA("Unique Billed Hours",'County allocation'!$X$3,"County",$D1009,"HHA/CDPAP","HHA","Level of Service",$D1015),0)</f>
        <v>0</v>
      </c>
      <c r="L1015" s="658">
        <f ca="1">+IFERROR(L$2*GETPIVOTDATA("Unique Billed Hours",'County allocation'!$O$3,"County",$D1009,"HHA/CDPAP","HHA","Level of Service",$D1015),0)</f>
        <v>0</v>
      </c>
      <c r="M1015" s="658">
        <f>+IFERROR(M$5*GETPIVOTDATA("Unique Billed Hours",'County allocation'!$S$3,"County",$D1009,"HHA/CDPAP","HHA","Level of Service",$D1015),0)</f>
        <v>0</v>
      </c>
      <c r="N1015" s="658">
        <f>+IFERROR(N$5*GETPIVOTDATA("Unique Billed Hours",'County allocation'!$S$3,"County",$D1009,"HHA/CDPAP","HHA","Level of Service",$D1015),0)</f>
        <v>0</v>
      </c>
      <c r="O1015" s="658">
        <f>+IFERROR(O$5*GETPIVOTDATA("Unique Billed Hours",'County allocation'!$K$19,"County",$D1009,"HHA/CDPAP","HHA","Level of Service",$D1015),0)</f>
        <v>0</v>
      </c>
      <c r="P1015" s="658">
        <f>+IFERROR(P$5*GETPIVOTDATA("Unique Billed Hours",'County allocation'!$S$3,"County",$D1009,"HHA/CDPAP","HHA","Level of Service",$D1015),0)</f>
        <v>0</v>
      </c>
    </row>
    <row r="1016" spans="1:18" s="54" customFormat="1" ht="15.75" hidden="1" thickBot="1" x14ac:dyDescent="0.3">
      <c r="A1016" s="119"/>
      <c r="B1016" s="309"/>
      <c r="C1016" s="322">
        <f t="shared" ca="1" si="365"/>
        <v>0</v>
      </c>
      <c r="D1016" s="7" t="s">
        <v>38</v>
      </c>
      <c r="E1016" s="48" t="s">
        <v>53</v>
      </c>
      <c r="F1016" s="657">
        <f t="shared" ca="1" si="366"/>
        <v>0</v>
      </c>
      <c r="G1016" s="658">
        <f ca="1">+IFERROR(G$5*GETPIVOTDATA("Unique Billed Hours",'County allocation'!$A$3,"County",$D1009,"HHA/CDPAP","HHA","Level of Service",$D1016),0)</f>
        <v>0</v>
      </c>
      <c r="H1016" s="658">
        <f>+IFERROR(H$5*GETPIVOTDATA("Unique Billed Hours",'County allocation'!$S$3,"County",$D1009,"HHA/CDPAP","HHA","Level of Service",$D1016),0)</f>
        <v>0</v>
      </c>
      <c r="I1016" s="664">
        <f t="shared" ca="1" si="367"/>
        <v>0</v>
      </c>
      <c r="J1016" s="658">
        <f ca="1">+IFERROR(J$5*GETPIVOTDATA("Unique Billed Hours",'County allocation'!$S$3,"County",$D1009,"HHA/CDPAP","HHA","Level of Service",$D1016),0)</f>
        <v>0</v>
      </c>
      <c r="K1016" s="658">
        <f ca="1">+IFERROR(K$5*GETPIVOTDATA("Unique Billed Hours",'County allocation'!$X$3,"County",$D1009,"HHA/CDPAP","HHA","Level of Service",$D1016),0)</f>
        <v>0</v>
      </c>
      <c r="L1016" s="658">
        <f ca="1">+IFERROR(L$5*GETPIVOTDATA("Unique Billed Hours",'County allocation'!$K$19,"County",$D1009,"HHA/CDPAP","HHA","Level of Service",$D1016),0)</f>
        <v>0</v>
      </c>
      <c r="M1016" s="658">
        <f>+IFERROR(M$5*GETPIVOTDATA("Unique Billed Hours",'County allocation'!$S$3,"County",$D1009,"HHA/CDPAP","HHA","Level of Service",$D1016),0)</f>
        <v>0</v>
      </c>
      <c r="N1016" s="658">
        <f>+IFERROR(N$5*GETPIVOTDATA("Unique Billed Hours",'County allocation'!$S$3,"County",$D1009,"HHA/CDPAP","HHA","Level of Service",$D1016),0)</f>
        <v>0</v>
      </c>
      <c r="O1016" s="658">
        <f>+IFERROR(O$5*GETPIVOTDATA("Unique Billed Hours",'County allocation'!$K$19,"County",$D1009,"HHA/CDPAP","HHA","Level of Service",$D1016),0)</f>
        <v>0</v>
      </c>
      <c r="P1016" s="658">
        <f>+IFERROR(P$5*GETPIVOTDATA("Unique Billed Hours",'County allocation'!$S$3,"County",$D1009,"HHA/CDPAP","HHA","Level of Service",$D1016),0)</f>
        <v>0</v>
      </c>
    </row>
    <row r="1017" spans="1:18" s="54" customFormat="1" ht="15.75" hidden="1" thickBot="1" x14ac:dyDescent="0.3">
      <c r="A1017" s="119"/>
      <c r="B1017" s="309"/>
      <c r="C1017" s="322">
        <f t="shared" ca="1" si="365"/>
        <v>0</v>
      </c>
      <c r="D1017" s="7" t="s">
        <v>39</v>
      </c>
      <c r="E1017" s="48" t="s">
        <v>52</v>
      </c>
      <c r="F1017" s="657">
        <f t="shared" ca="1" si="366"/>
        <v>0</v>
      </c>
      <c r="G1017" s="658">
        <f ca="1">+IFERROR(G$5*GETPIVOTDATA("Unique Billed Hours",'County allocation'!$A$3,"County",$D1009,"HHA/CDPAP","HHA","Level of Service",$D1017),0)</f>
        <v>0</v>
      </c>
      <c r="H1017" s="658">
        <f>+IFERROR(H$5*GETPIVOTDATA("Unique Billed Hours",'County allocation'!$S$3,"County",$D1009,"HHA/CDPAP","HHA","Level of Service",$D1017),0)</f>
        <v>0</v>
      </c>
      <c r="I1017" s="664">
        <f t="shared" ca="1" si="367"/>
        <v>0</v>
      </c>
      <c r="J1017" s="658">
        <f ca="1">+IFERROR(J$5*GETPIVOTDATA("Unique Billed Hours",'County allocation'!$S$3,"County",$D1009,"HHA/CDPAP","HHA","Level of Service",$D1017),0)</f>
        <v>0</v>
      </c>
      <c r="K1017" s="658">
        <f ca="1">+IFERROR(K$5*GETPIVOTDATA("Unique Billed Hours",'County allocation'!$X$3,"County",$D1009,"HHA/CDPAP","HHA","Level of Service",$D1017),0)</f>
        <v>0</v>
      </c>
      <c r="L1017" s="658">
        <f ca="1">+IFERROR(L$5*GETPIVOTDATA("Unique Billed Hours",'County allocation'!$K$19,"County",$D1009,"HHA/CDPAP","HHA","Level of Service",$D1017),0)</f>
        <v>0</v>
      </c>
      <c r="M1017" s="658">
        <f>+IFERROR(M$5*GETPIVOTDATA("Unique Billed Hours",'County allocation'!$S$3,"County",$D1009,"HHA/CDPAP","HHA","Level of Service",$D1017),0)</f>
        <v>0</v>
      </c>
      <c r="N1017" s="658">
        <f>+IFERROR(N$5*GETPIVOTDATA("Unique Billed Hours",'County allocation'!$S$3,"County",$D1009,"HHA/CDPAP","HHA","Level of Service",$D1017),0)</f>
        <v>0</v>
      </c>
      <c r="O1017" s="658">
        <f>+IFERROR(O$5*GETPIVOTDATA("Unique Billed Hours",'County allocation'!$K$19,"County",$D1009,"HHA/CDPAP","HHA","Level of Service",$D1017),0)</f>
        <v>0</v>
      </c>
      <c r="P1017" s="658">
        <f>+IFERROR(P$5*GETPIVOTDATA("Unique Billed Hours",'County allocation'!$S$3,"County",$D1009,"HHA/CDPAP","HHA","Level of Service",$D1017),0)</f>
        <v>0</v>
      </c>
    </row>
    <row r="1018" spans="1:18" s="54" customFormat="1" ht="15.75" hidden="1" thickBot="1" x14ac:dyDescent="0.3">
      <c r="A1018" s="119"/>
      <c r="B1018" s="309"/>
      <c r="C1018" s="322">
        <f t="shared" ca="1" si="365"/>
        <v>0</v>
      </c>
      <c r="D1018" s="8" t="s">
        <v>40</v>
      </c>
      <c r="E1018" s="48" t="s">
        <v>51</v>
      </c>
      <c r="F1018" s="657">
        <f t="shared" ca="1" si="366"/>
        <v>0</v>
      </c>
      <c r="G1018" s="658">
        <f ca="1">+IFERROR(G$5*GETPIVOTDATA("Unique Billed Hours",'County allocation'!$A$3,"County",$D1009,"HHA/CDPAP","HHA","Level of Service",$D1018),0)</f>
        <v>0</v>
      </c>
      <c r="H1018" s="658">
        <f>+IFERROR(H$5*GETPIVOTDATA("Unique Billed Hours",'County allocation'!$S$3,"County",$D1009,"HHA/CDPAP","HHA","Level of Service",$D1018),0)</f>
        <v>0</v>
      </c>
      <c r="I1018" s="664">
        <f t="shared" ca="1" si="367"/>
        <v>0</v>
      </c>
      <c r="J1018" s="658">
        <f ca="1">+IFERROR(J$5*GETPIVOTDATA("Unique Billed Hours",'County allocation'!$S$3,"County",$D1009,"HHA/CDPAP","HHA","Level of Service",$D1018),0)</f>
        <v>0</v>
      </c>
      <c r="K1018" s="658">
        <f ca="1">+IFERROR(K$5*GETPIVOTDATA("Unique Billed Hours",'County allocation'!$X$3,"County",$D1009,"HHA/CDPAP","HHA","Level of Service",$D1018),0)</f>
        <v>0</v>
      </c>
      <c r="L1018" s="658">
        <f ca="1">+IFERROR(L$2*GETPIVOTDATA("Unique Billed Hours",'County allocation'!$O$3,"County",$D1009,"HHA/CDPAP","HHA","Level of Service",$D1018),0)</f>
        <v>0</v>
      </c>
      <c r="M1018" s="658">
        <f>+IFERROR(M$5*GETPIVOTDATA("Unique Billed Hours",'County allocation'!$S$3,"County",$D1009,"HHA/CDPAP","HHA","Level of Service",$D1018),0)</f>
        <v>0</v>
      </c>
      <c r="N1018" s="658">
        <f>+IFERROR(N$5*GETPIVOTDATA("Unique Billed Hours",'County allocation'!$S$3,"County",$D1009,"HHA/CDPAP","HHA","Level of Service",$D1018),0)</f>
        <v>0</v>
      </c>
      <c r="O1018" s="658">
        <f>+IFERROR(O$5*GETPIVOTDATA("Unique Billed Hours",'County allocation'!$K$19,"County",$D1009,"HHA/CDPAP","HHA","Level of Service",$D1018),0)</f>
        <v>0</v>
      </c>
      <c r="P1018" s="658">
        <f>+IFERROR(P$5*GETPIVOTDATA("Unique Billed Hours",'County allocation'!$S$3,"County",$D1009,"HHA/CDPAP","HHA","Level of Service",$D1018),0)</f>
        <v>0</v>
      </c>
    </row>
    <row r="1019" spans="1:18" s="54" customFormat="1" ht="15.75" hidden="1" thickBot="1" x14ac:dyDescent="0.3">
      <c r="A1019" s="119"/>
      <c r="B1019" s="309"/>
      <c r="C1019" s="322">
        <f t="shared" ca="1" si="365"/>
        <v>0</v>
      </c>
      <c r="D1019" s="8" t="s">
        <v>41</v>
      </c>
      <c r="E1019" s="48" t="s">
        <v>50</v>
      </c>
      <c r="F1019" s="657">
        <f t="shared" ca="1" si="366"/>
        <v>0</v>
      </c>
      <c r="G1019" s="658">
        <f ca="1">+IFERROR(G$5*GETPIVOTDATA("Unique Billed Hours",'County allocation'!$A$3,"County",$D1009,"HHA/CDPAP","HHA","Level of Service",$D1019),0)</f>
        <v>0</v>
      </c>
      <c r="H1019" s="658">
        <f>+IFERROR(H$5*GETPIVOTDATA("Unique Billed Hours",'County allocation'!$S$3,"County",$D1009,"HHA/CDPAP","HHA","Level of Service",$D1019),0)</f>
        <v>0</v>
      </c>
      <c r="I1019" s="664">
        <f t="shared" ca="1" si="367"/>
        <v>0</v>
      </c>
      <c r="J1019" s="658">
        <f ca="1">+IFERROR(J$5*GETPIVOTDATA("Unique Billed Hours",'County allocation'!$S$3,"County",$D1009,"HHA/CDPAP","HHA","Level of Service",$D1019),0)</f>
        <v>0</v>
      </c>
      <c r="K1019" s="658">
        <f ca="1">+IFERROR(K$5*GETPIVOTDATA("Unique Billed Hours",'County allocation'!$X$3,"County",$D1009,"HHA/CDPAP","HHA","Level of Service",$D1019),0)</f>
        <v>0</v>
      </c>
      <c r="L1019" s="658">
        <f ca="1">+IFERROR(L$2*GETPIVOTDATA("Unique Billed Hours",'County allocation'!$O$3,"County",$D1009,"HHA/CDPAP","HHA","Level of Service",$D1019),0)</f>
        <v>0</v>
      </c>
      <c r="M1019" s="658">
        <f>+IFERROR(M$5*GETPIVOTDATA("Unique Billed Hours",'County allocation'!$S$3,"County",$D1009,"HHA/CDPAP","HHA","Level of Service",$D1019),0)</f>
        <v>0</v>
      </c>
      <c r="N1019" s="658">
        <f>+IFERROR(N$5*GETPIVOTDATA("Unique Billed Hours",'County allocation'!$S$3,"County",$D1009,"HHA/CDPAP","HHA","Level of Service",$D1019),0)</f>
        <v>0</v>
      </c>
      <c r="O1019" s="658">
        <f>+IFERROR(O$5*GETPIVOTDATA("Unique Billed Hours",'County allocation'!$K$19,"County",$D1009,"HHA/CDPAP","HHA","Level of Service",$D1019),0)</f>
        <v>0</v>
      </c>
      <c r="P1019" s="658">
        <f>+IFERROR(P$5*GETPIVOTDATA("Unique Billed Hours",'County allocation'!$S$3,"County",$D1009,"HHA/CDPAP","HHA","Level of Service",$D1019),0)</f>
        <v>0</v>
      </c>
    </row>
    <row r="1020" spans="1:18" s="54" customFormat="1" ht="15.75" hidden="1" thickBot="1" x14ac:dyDescent="0.3">
      <c r="A1020" s="119"/>
      <c r="B1020" s="309"/>
      <c r="C1020" s="322">
        <f t="shared" ca="1" si="365"/>
        <v>0</v>
      </c>
      <c r="D1020" s="52" t="s">
        <v>389</v>
      </c>
      <c r="E1020" s="53" t="s">
        <v>49</v>
      </c>
      <c r="F1020" s="657">
        <f t="shared" ca="1" si="366"/>
        <v>0</v>
      </c>
      <c r="G1020" s="661">
        <f ca="1">SUM(G1012:G1019)</f>
        <v>0</v>
      </c>
      <c r="H1020" s="661">
        <f>SUM(H1012:H1019)</f>
        <v>0</v>
      </c>
      <c r="I1020" s="664">
        <f t="shared" ca="1" si="367"/>
        <v>0</v>
      </c>
      <c r="J1020" s="661">
        <f ca="1">SUM(J1012:J1019)</f>
        <v>0</v>
      </c>
      <c r="K1020" s="661">
        <f t="shared" ref="K1020:P1020" ca="1" si="368">SUM(K1012:K1019)</f>
        <v>0</v>
      </c>
      <c r="L1020" s="661">
        <f t="shared" ca="1" si="368"/>
        <v>0</v>
      </c>
      <c r="M1020" s="661">
        <f t="shared" si="368"/>
        <v>0</v>
      </c>
      <c r="N1020" s="661">
        <f t="shared" si="368"/>
        <v>0</v>
      </c>
      <c r="O1020" s="661">
        <f t="shared" si="368"/>
        <v>0</v>
      </c>
      <c r="P1020" s="661">
        <f t="shared" si="368"/>
        <v>0</v>
      </c>
    </row>
    <row r="1021" spans="1:18" s="54" customFormat="1" ht="15.75" hidden="1" thickBot="1" x14ac:dyDescent="0.3">
      <c r="A1021" s="119"/>
      <c r="B1021" s="309"/>
      <c r="C1021" s="322">
        <f t="shared" ca="1" si="365"/>
        <v>0</v>
      </c>
      <c r="D1021" s="371" t="s">
        <v>390</v>
      </c>
      <c r="E1021" s="325" t="s">
        <v>47</v>
      </c>
      <c r="F1021" s="657">
        <f t="shared" ca="1" si="366"/>
        <v>0</v>
      </c>
      <c r="G1021" s="665">
        <f ca="1">+IFERROR((G$5*GETPIVOTDATA("Unique Billed Hours",'County allocation'!$A$3,"County",$D1009,"HHA/CDPAP","HHA","Level of Service",$D1021))+($G$2*GETPIVOTDATA("Unique Billed Hours",'County allocation'!$F$7,"County",$D1009,"HHA/CDPAP","HHA","Level of Service",$D1021)),0)++IFERROR(J$5*GETPIVOTDATA("Unique Billed Hours",'County allocation'!$AC$3,"County",$D1009,"HHA/CDPAP","HHA","Level of Service",$D1021),0)+ +IFERROR(J$5*GETPIVOTDATA("Unique Billed Hours",'County allocation'!$AC$3,"County",$D1009,"HHA/CDPAP","HHA","Level of Service",$D1022),0)</f>
        <v>0</v>
      </c>
      <c r="H1021" s="665">
        <f>+IFERROR(H$5*GETPIVOTDATA("Unique Billed Hours",'County allocation'!$S$3,"County",$D1009,"HHA/CDPAP","HHA","Level of Service",$D1021),0)</f>
        <v>0</v>
      </c>
      <c r="I1021" s="664">
        <f t="shared" ca="1" si="367"/>
        <v>0</v>
      </c>
      <c r="J1021" s="901"/>
      <c r="K1021" s="665">
        <f ca="1">+IFERROR(K$5*GETPIVOTDATA("Unique Billed Hours",'County allocation'!$X$3,"County",$D1009,"HHA/CDPAP","HHA","Level of Service",$D1021),0)</f>
        <v>0</v>
      </c>
      <c r="L1021" s="665">
        <f ca="1">+IFERROR(L$5*GETPIVOTDATA("Unique Billed Hours",'County allocation'!$K$19,"County",$D1009,"HHA/CDPAP","HHA","Level of Service",$D1021),0)</f>
        <v>0</v>
      </c>
      <c r="M1021" s="665">
        <f>+IFERROR(M$5*GETPIVOTDATA("Unique Billed Hours",'County allocation'!$S$3,"County",$D1009,"HHA/CDPAP","HHA","Level of Service",$D1021),0)</f>
        <v>0</v>
      </c>
      <c r="N1021" s="665">
        <f>+IFERROR(N$5*GETPIVOTDATA("Unique Billed Hours",'County allocation'!$S$3,"County",$D1009,"HHA/CDPAP","HHA","Level of Service",$D1021),0)</f>
        <v>0</v>
      </c>
      <c r="O1021" s="665">
        <f>+IFERROR(O$5*GETPIVOTDATA("Unique Billed Hours",'County allocation'!$S$3,"County",$D1009,"HHA/CDPAP","HHA","Level of Service",$D1021),0)</f>
        <v>0</v>
      </c>
      <c r="P1021" s="665">
        <f>+IFERROR(P$5*GETPIVOTDATA("Unique Billed Hours",'County allocation'!$S$3,"County",$D1009,"HHA/CDPAP","HHA","Level of Service",$D1021),0)</f>
        <v>0</v>
      </c>
    </row>
    <row r="1022" spans="1:18" s="54" customFormat="1" ht="15.75" hidden="1" thickBot="1" x14ac:dyDescent="0.3">
      <c r="A1022" s="119"/>
      <c r="B1022" s="309"/>
      <c r="C1022" s="322">
        <f t="shared" ca="1" si="365"/>
        <v>0</v>
      </c>
      <c r="D1022" s="8" t="s">
        <v>391</v>
      </c>
      <c r="E1022" s="370" t="s">
        <v>77</v>
      </c>
      <c r="F1022" s="657">
        <f t="shared" ca="1" si="366"/>
        <v>0</v>
      </c>
      <c r="G1022" s="656"/>
      <c r="H1022" s="658">
        <f>+IFERROR(H$5*GETPIVOTDATA("Unique Billed Hours",'County allocation'!$S$3,"County",$D1009,"HHA/CDPAP","HHA","Level of Service",$D1022),0)</f>
        <v>0</v>
      </c>
      <c r="I1022" s="664">
        <f t="shared" ca="1" si="367"/>
        <v>0</v>
      </c>
      <c r="J1022" s="901"/>
      <c r="K1022" s="665">
        <f ca="1">+IFERROR(K$5*GETPIVOTDATA("Unique Billed Hours",'County allocation'!$X$3,"County",$D1009,"HHA/CDPAP","HHA","Level of Service",$D1022),0)</f>
        <v>0</v>
      </c>
      <c r="L1022" s="665">
        <f ca="1">+IFERROR(L$5*GETPIVOTDATA("Unique Billed Hours",'County allocation'!$K$19,"County",$D1009,"HHA/CDPAP","HHA","Level of Service",$D1022),0)</f>
        <v>0</v>
      </c>
      <c r="M1022" s="665">
        <f>+IFERROR(M$5*GETPIVOTDATA("Unique Billed Hours",'County allocation'!$S$3,"County",$D1009,"HHA/CDPAP","HHA","Level of Service",$D1022),0)</f>
        <v>0</v>
      </c>
      <c r="N1022" s="665">
        <f>+IFERROR(N$5*GETPIVOTDATA("Unique Billed Hours",'County allocation'!$S$3,"County",$D1009,"HHA/CDPAP","HHA","Level of Service",$D1022),0)</f>
        <v>0</v>
      </c>
      <c r="O1022" s="665">
        <f>+IFERROR(O$5*GETPIVOTDATA("Unique Billed Hours",'County allocation'!$S$3,"County",$D1009,"HHA/CDPAP","HHA","Level of Service",$D1022),0)</f>
        <v>0</v>
      </c>
      <c r="P1022" s="665">
        <f>+IFERROR(P$5*GETPIVOTDATA("Unique Billed Hours",'County allocation'!$S$3,"County",$D1009,"HHA/CDPAP","HHA","Level of Service",$D1022),0)</f>
        <v>0</v>
      </c>
    </row>
    <row r="1023" spans="1:18" s="54" customFormat="1" ht="15.75" hidden="1" thickBot="1" x14ac:dyDescent="0.3">
      <c r="A1023" s="119"/>
      <c r="B1023" s="309"/>
      <c r="C1023" s="322">
        <f t="shared" ca="1" si="365"/>
        <v>0</v>
      </c>
      <c r="D1023" s="8" t="s">
        <v>374</v>
      </c>
      <c r="E1023" s="370" t="s">
        <v>78</v>
      </c>
      <c r="F1023" s="657">
        <f t="shared" ca="1" si="366"/>
        <v>0</v>
      </c>
      <c r="G1023" s="658">
        <f ca="1">+IFERROR(G$5*GETPIVOTDATA("Unique Billed Hours",'County allocation'!$A$3,"County",$D1009,"HHA/CDPAP","HHA","Level of Service",$D1023),0)++IFERROR(J$5*GETPIVOTDATA("Unique Billed Hours",'County allocation'!$AC$3,"County",$D1009,"HHA/CDPAP","HHA","Level of Service",$D1023),0)</f>
        <v>0</v>
      </c>
      <c r="H1023" s="658">
        <f>+IFERROR(H$5*GETPIVOTDATA("Unique Billed Hours",'County allocation'!$S$3,"County",$D1009,"HHA/CDPAP","HHA","Level of Service",$D1023),0)</f>
        <v>0</v>
      </c>
      <c r="I1023" s="664">
        <f t="shared" ca="1" si="367"/>
        <v>0</v>
      </c>
      <c r="J1023" s="901"/>
      <c r="K1023" s="665">
        <f ca="1">+IFERROR(K$5*GETPIVOTDATA("Unique Billed Hours",'County allocation'!$X$3,"County",$D1009,"HHA/CDPAP","HHA","Level of Service",$D1023),0)</f>
        <v>0</v>
      </c>
      <c r="L1023" s="665">
        <f ca="1">+IFERROR(L$5*GETPIVOTDATA("Unique Billed Hours",'County allocation'!$K$19,"County",$D1009,"HHA/CDPAP","HHA","Level of Service",$D1023),0)</f>
        <v>0</v>
      </c>
      <c r="M1023" s="665">
        <f>+IFERROR(M$5*GETPIVOTDATA("Unique Billed Hours",'County allocation'!$S$3,"County",$D1009,"HHA/CDPAP","HHA","Level of Service",$D1023),0)</f>
        <v>0</v>
      </c>
      <c r="N1023" s="665">
        <f>+IFERROR(N$5*GETPIVOTDATA("Unique Billed Hours",'County allocation'!$S$3,"County",$D1009,"HHA/CDPAP","HHA","Level of Service",$D1023),0)</f>
        <v>0</v>
      </c>
      <c r="O1023" s="665">
        <f>+IFERROR(O$5*GETPIVOTDATA("Unique Billed Hours",'County allocation'!$S$3,"County",$D1009,"HHA/CDPAP","HHA","Level of Service",$D1023),0)</f>
        <v>0</v>
      </c>
      <c r="P1023" s="665">
        <f>+IFERROR(P$5*GETPIVOTDATA("Unique Billed Hours",'County allocation'!$S$3,"County",$D1009,"HHA/CDPAP","HHA","Level of Service",$D1023),0)</f>
        <v>0</v>
      </c>
    </row>
    <row r="1024" spans="1:18" s="54" customFormat="1" ht="15.75" hidden="1" thickBot="1" x14ac:dyDescent="0.3">
      <c r="A1024" s="302"/>
      <c r="B1024" s="309"/>
      <c r="C1024" s="322">
        <f ca="1">C1023</f>
        <v>0</v>
      </c>
      <c r="D1024" s="52" t="s">
        <v>48</v>
      </c>
      <c r="E1024" s="53" t="s">
        <v>79</v>
      </c>
      <c r="F1024" s="657">
        <f t="shared" ca="1" si="366"/>
        <v>0</v>
      </c>
      <c r="G1024" s="661">
        <f t="shared" ref="G1024" ca="1" si="369">SUM(G1020:G1023)</f>
        <v>0</v>
      </c>
      <c r="H1024" s="661">
        <f t="shared" ref="H1024:P1024" si="370">SUM(H1020:H1023)</f>
        <v>0</v>
      </c>
      <c r="I1024" s="661">
        <f t="shared" ca="1" si="370"/>
        <v>0</v>
      </c>
      <c r="J1024" s="661">
        <f t="shared" ca="1" si="370"/>
        <v>0</v>
      </c>
      <c r="K1024" s="661">
        <f t="shared" ca="1" si="370"/>
        <v>0</v>
      </c>
      <c r="L1024" s="661">
        <f t="shared" ca="1" si="370"/>
        <v>0</v>
      </c>
      <c r="M1024" s="661">
        <f t="shared" si="370"/>
        <v>0</v>
      </c>
      <c r="N1024" s="661">
        <f t="shared" si="370"/>
        <v>0</v>
      </c>
      <c r="O1024" s="661">
        <f t="shared" si="370"/>
        <v>0</v>
      </c>
      <c r="P1024" s="661">
        <f t="shared" si="370"/>
        <v>0</v>
      </c>
    </row>
    <row r="1025" spans="1:18" ht="15.75" hidden="1" thickBot="1" x14ac:dyDescent="0.3"/>
    <row r="1026" spans="1:18" s="54" customFormat="1" ht="75" x14ac:dyDescent="0.25">
      <c r="A1026" s="119"/>
      <c r="B1026" s="309"/>
      <c r="C1026" s="322">
        <f ca="1">IF(F1041&gt;0,1,0)</f>
        <v>1</v>
      </c>
      <c r="D1026" s="45" t="str">
        <f>A63</f>
        <v>Westchester</v>
      </c>
      <c r="E1026" s="28">
        <f>+SUMIF(A:A,D1026,B:B)</f>
        <v>3.234950600513449E-2</v>
      </c>
      <c r="F1026" s="652" t="s">
        <v>61</v>
      </c>
      <c r="G1026" s="652" t="s">
        <v>387</v>
      </c>
      <c r="H1026" s="652" t="s">
        <v>388</v>
      </c>
      <c r="I1026" s="652" t="s">
        <v>392</v>
      </c>
      <c r="J1026" s="652" t="s">
        <v>31</v>
      </c>
      <c r="K1026" s="652" t="s">
        <v>32</v>
      </c>
      <c r="L1026" s="653" t="s">
        <v>33</v>
      </c>
      <c r="M1026" s="653" t="s">
        <v>60</v>
      </c>
      <c r="N1026" s="653" t="s">
        <v>59</v>
      </c>
      <c r="O1026" s="653" t="s">
        <v>58</v>
      </c>
      <c r="P1026" s="653" t="s">
        <v>16</v>
      </c>
    </row>
    <row r="1027" spans="1:18" s="54" customFormat="1" x14ac:dyDescent="0.25">
      <c r="A1027" s="119"/>
      <c r="B1027" s="309"/>
      <c r="C1027" s="322">
        <f ca="1">C1026</f>
        <v>1</v>
      </c>
      <c r="D1027" s="56"/>
      <c r="E1027" s="57"/>
      <c r="F1027" s="654" t="s">
        <v>57</v>
      </c>
      <c r="G1027" s="654" t="s">
        <v>56</v>
      </c>
      <c r="H1027" s="654" t="s">
        <v>55</v>
      </c>
      <c r="I1027" s="654" t="s">
        <v>54</v>
      </c>
      <c r="J1027" s="654" t="s">
        <v>53</v>
      </c>
      <c r="K1027" s="654" t="s">
        <v>52</v>
      </c>
      <c r="L1027" s="654" t="s">
        <v>51</v>
      </c>
      <c r="M1027" s="654" t="s">
        <v>50</v>
      </c>
      <c r="N1027" s="654" t="s">
        <v>49</v>
      </c>
      <c r="O1027" s="654" t="s">
        <v>47</v>
      </c>
      <c r="P1027" s="655" t="s">
        <v>77</v>
      </c>
    </row>
    <row r="1028" spans="1:18" s="54" customFormat="1" x14ac:dyDescent="0.25">
      <c r="A1028" s="119"/>
      <c r="B1028" s="309"/>
      <c r="C1028" s="322">
        <f t="shared" ref="C1028:C1040" ca="1" si="371">C1027</f>
        <v>1</v>
      </c>
      <c r="D1028" s="59" t="s">
        <v>26</v>
      </c>
      <c r="E1028" s="57"/>
      <c r="F1028" s="656"/>
      <c r="G1028" s="656"/>
      <c r="H1028" s="656"/>
      <c r="I1028" s="656"/>
      <c r="J1028" s="656"/>
      <c r="K1028" s="656"/>
      <c r="L1028" s="656"/>
      <c r="M1028" s="656"/>
      <c r="N1028" s="656"/>
      <c r="O1028" s="656"/>
      <c r="P1028" s="663"/>
    </row>
    <row r="1029" spans="1:18" s="54" customFormat="1" x14ac:dyDescent="0.25">
      <c r="A1029" s="119"/>
      <c r="B1029" s="309"/>
      <c r="C1029" s="322">
        <f t="shared" ca="1" si="371"/>
        <v>1</v>
      </c>
      <c r="D1029" s="7" t="s">
        <v>34</v>
      </c>
      <c r="E1029" s="48" t="s">
        <v>57</v>
      </c>
      <c r="F1029" s="657">
        <f ca="1">+H1029+G1029+I1029</f>
        <v>455.81115477869918</v>
      </c>
      <c r="G1029" s="658">
        <f ca="1">+IFERROR(G$5*GETPIVOTDATA("Unique Billed Hours",'County allocation'!$A$3,"County",$D1026,"HHA/CDPAP","HHA","Level of Service",$D1029),0)</f>
        <v>15.291058186308982</v>
      </c>
      <c r="H1029" s="658">
        <f>+IFERROR(H$5*GETPIVOTDATA("Unique Billed Hours",'County allocation'!$S$3,"County",$D1026,"HHA/CDPAP","HHA","Level of Service",$D1029),0)</f>
        <v>26.156860695387955</v>
      </c>
      <c r="I1029" s="664">
        <f ca="1">SUM(J1029:P1029)</f>
        <v>414.36323589700226</v>
      </c>
      <c r="J1029" s="658">
        <f ca="1">+IFERROR(J$5*GETPIVOTDATA("Unique Billed Hours",'County allocation'!$AC$3,"County",$D1026,"HHA/CDPAP","HHA","Level of Service",$D1029),0)</f>
        <v>54.459815512386655</v>
      </c>
      <c r="K1029" s="658">
        <f ca="1">+IFERROR(K$5*GETPIVOTDATA("Unique Billed Hours",'County allocation'!$X$3,"County",$D1026,"HHA/CDPAP","HHA","Level of Service",$D1029),0)</f>
        <v>352.06113444753697</v>
      </c>
      <c r="L1029" s="658">
        <f ca="1">+IFERROR(L$2*GETPIVOTDATA("Unique Billed Hours",'County allocation'!$O$3,"County",$D1026,"HHA/CDPAP","HHA","Level of Service",$D1029),0)</f>
        <v>5.0495550241412896</v>
      </c>
      <c r="M1029" s="658">
        <f>+IFERROR(M$5*GETPIVOTDATA("Unique Billed Hours",'County allocation'!$S$3,"County",$D1026,"HHA/CDPAP","HHA","Level of Service",$D1029),0)</f>
        <v>2.5769023237807631</v>
      </c>
      <c r="N1029" s="658">
        <f>+IFERROR(N$5*GETPIVOTDATA("Unique Billed Hours",'County allocation'!$S$3,"County",$D1026,"HHA/CDPAP","HHA","Level of Service",$D1029),0)</f>
        <v>0.21582858915653544</v>
      </c>
      <c r="O1029" s="658">
        <f>+IFERROR(O$5*GETPIVOTDATA("Unique Billed Hours",'County allocation'!$K$19,"County",$D1026,"HHA/CDPAP","HHA","Level of Service",$D1029),0)</f>
        <v>0</v>
      </c>
      <c r="P1029" s="658">
        <f>+IFERROR(P$5*GETPIVOTDATA("Unique Billed Hours",'County allocation'!$S$3,"County",$D1026,"HHA/CDPAP","HHA","Level of Service",$D1029),0)</f>
        <v>0</v>
      </c>
    </row>
    <row r="1030" spans="1:18" s="54" customFormat="1" x14ac:dyDescent="0.25">
      <c r="A1030" s="119"/>
      <c r="B1030" s="309"/>
      <c r="C1030" s="322">
        <f t="shared" ca="1" si="371"/>
        <v>1</v>
      </c>
      <c r="D1030" s="7" t="s">
        <v>35</v>
      </c>
      <c r="E1030" s="48" t="s">
        <v>56</v>
      </c>
      <c r="F1030" s="657">
        <f t="shared" ref="F1030:F1041" ca="1" si="372">+H1030+G1030+I1030</f>
        <v>1811694.5364569137</v>
      </c>
      <c r="G1030" s="658">
        <f ca="1">+IFERROR(G$5*GETPIVOTDATA("Unique Billed Hours",'County allocation'!$A$3,"County",$D1026,"HHA/CDPAP","HHA","Level of Service",$D1030),0)</f>
        <v>60776.76310100549</v>
      </c>
      <c r="H1030" s="658">
        <f>+IFERROR(H$5*GETPIVOTDATA("Unique Billed Hours",'County allocation'!$S$3,"County",$D1026,"HHA/CDPAP","HHA","Level of Service",$D1030),0)</f>
        <v>103964.63780204415</v>
      </c>
      <c r="I1030" s="664">
        <f t="shared" ref="I1030:I1040" ca="1" si="373">SUM(J1030:P1030)</f>
        <v>1646953.1355538641</v>
      </c>
      <c r="J1030" s="658">
        <f ca="1">+IFERROR(J$5*GETPIVOTDATA("Unique Billed Hours",'County allocation'!$AC$3,"County",$D1026,"HHA/CDPAP","HHA","Level of Service",$D1030),0)</f>
        <v>216459.27087533654</v>
      </c>
      <c r="K1030" s="658">
        <f ca="1">+IFERROR(K$5*GETPIVOTDATA("Unique Billed Hours",'County allocation'!$X$3,"County",$D1026,"HHA/CDPAP","HHA","Level of Service",$D1030),0)</f>
        <v>1399323.4414965056</v>
      </c>
      <c r="L1030" s="658">
        <f ca="1">+IFERROR(L$2*GETPIVOTDATA("Unique Billed Hours",'County allocation'!$O$3,"County",$D1026,"HHA/CDPAP","HHA","Level of Service",$D1030),0)</f>
        <v>20070.266277745879</v>
      </c>
      <c r="M1030" s="658">
        <f>+IFERROR(M$5*GETPIVOTDATA("Unique Billed Hours",'County allocation'!$S$3,"County",$D1026,"HHA/CDPAP","HHA","Level of Service",$D1030),0)</f>
        <v>10242.311562654419</v>
      </c>
      <c r="N1030" s="658">
        <f>+IFERROR(N$5*GETPIVOTDATA("Unique Billed Hours",'County allocation'!$S$3,"County",$D1026,"HHA/CDPAP","HHA","Level of Service",$D1030),0)</f>
        <v>857.84534162166563</v>
      </c>
      <c r="O1030" s="658">
        <f>+IFERROR(O$5*GETPIVOTDATA("Unique Billed Hours",'County allocation'!$K$19,"County",$D1026,"HHA/CDPAP","HHA","Level of Service",$D1030),0)</f>
        <v>0</v>
      </c>
      <c r="P1030" s="658">
        <f>+IFERROR(P$5*GETPIVOTDATA("Unique Billed Hours",'County allocation'!$S$3,"County",$D1026,"HHA/CDPAP","HHA","Level of Service",$D1030),0)</f>
        <v>0</v>
      </c>
      <c r="R1030" s="61"/>
    </row>
    <row r="1031" spans="1:18" s="54" customFormat="1" x14ac:dyDescent="0.25">
      <c r="A1031" s="302"/>
      <c r="B1031" s="309"/>
      <c r="C1031" s="322">
        <f t="shared" ca="1" si="371"/>
        <v>1</v>
      </c>
      <c r="D1031" s="7" t="s">
        <v>36</v>
      </c>
      <c r="E1031" s="48" t="s">
        <v>55</v>
      </c>
      <c r="F1031" s="657">
        <f t="shared" ca="1" si="372"/>
        <v>40283.385829875988</v>
      </c>
      <c r="G1031" s="658">
        <f ca="1">+IFERROR(G$5*GETPIVOTDATA("Unique Billed Hours",'County allocation'!$A$3,"County",$D1026,"HHA/CDPAP","HHA","Level of Service",$D1031),0)</f>
        <v>1351.3833310315335</v>
      </c>
      <c r="H1031" s="658">
        <f>+IFERROR(H$5*GETPIVOTDATA("Unique Billed Hours",'County allocation'!$S$3,"County",$D1026,"HHA/CDPAP","HHA","Level of Service",$D1031),0)</f>
        <v>2311.674254664098</v>
      </c>
      <c r="I1031" s="664">
        <f t="shared" ca="1" si="373"/>
        <v>36620.328244180353</v>
      </c>
      <c r="J1031" s="658">
        <f ca="1">+IFERROR(J$5*GETPIVOTDATA("Unique Billed Hours",'County allocation'!$AC$3,"County",$D1026,"HHA/CDPAP","HHA","Level of Service",$D1031),0)</f>
        <v>4813.0146388682851</v>
      </c>
      <c r="K1031" s="658">
        <f ca="1">+IFERROR(K$5*GETPIVOTDATA("Unique Billed Hours",'County allocation'!$X$3,"County",$D1026,"HHA/CDPAP","HHA","Level of Service",$D1031),0)</f>
        <v>31114.233089665344</v>
      </c>
      <c r="L1031" s="658">
        <f ca="1">+IFERROR(L$2*GETPIVOTDATA("Unique Billed Hours",'County allocation'!$O$3,"County",$D1026,"HHA/CDPAP","HHA","Level of Service",$D1031),0)</f>
        <v>446.26633458637366</v>
      </c>
      <c r="M1031" s="658">
        <f>+IFERROR(M$5*GETPIVOTDATA("Unique Billed Hours",'County allocation'!$S$3,"County",$D1026,"HHA/CDPAP","HHA","Level of Service",$D1031),0)</f>
        <v>227.73982046394519</v>
      </c>
      <c r="N1031" s="658">
        <f>+IFERROR(N$5*GETPIVOTDATA("Unique Billed Hours",'County allocation'!$S$3,"County",$D1026,"HHA/CDPAP","HHA","Level of Service",$D1031),0)</f>
        <v>19.074360596400226</v>
      </c>
      <c r="O1031" s="658">
        <f>+IFERROR(O$5*GETPIVOTDATA("Unique Billed Hours",'County allocation'!$K$19,"County",$D1026,"HHA/CDPAP","HHA","Level of Service",$D1031),0)</f>
        <v>0</v>
      </c>
      <c r="P1031" s="658">
        <f>+IFERROR(P$5*GETPIVOTDATA("Unique Billed Hours",'County allocation'!$S$3,"County",$D1026,"HHA/CDPAP","HHA","Level of Service",$D1031),0)</f>
        <v>0</v>
      </c>
    </row>
    <row r="1032" spans="1:18" s="54" customFormat="1" x14ac:dyDescent="0.25">
      <c r="A1032" s="119"/>
      <c r="B1032" s="309"/>
      <c r="C1032" s="322">
        <f t="shared" ca="1" si="371"/>
        <v>1</v>
      </c>
      <c r="D1032" s="7" t="s">
        <v>37</v>
      </c>
      <c r="E1032" s="48" t="s">
        <v>54</v>
      </c>
      <c r="F1032" s="657">
        <f t="shared" ca="1" si="372"/>
        <v>486565.50741056004</v>
      </c>
      <c r="G1032" s="658">
        <f ca="1">+IFERROR(G$5*GETPIVOTDATA("Unique Billed Hours",'County allocation'!$A$3,"County",$D1026,"HHA/CDPAP","HHA","Level of Service",$D1032),0)</f>
        <v>16322.771848087112</v>
      </c>
      <c r="H1032" s="658">
        <f>+IFERROR(H$5*GETPIVOTDATA("Unique Billed Hours",'County allocation'!$S$3,"County",$D1026,"HHA/CDPAP","HHA","Level of Service",$D1032),0)</f>
        <v>27921.708503816393</v>
      </c>
      <c r="I1032" s="664">
        <f t="shared" ca="1" si="373"/>
        <v>442321.02705865656</v>
      </c>
      <c r="J1032" s="658">
        <f ca="1">+IFERROR(J$5*GETPIVOTDATA("Unique Billed Hours",'County allocation'!$AC$3,"County",$D1026,"HHA/CDPAP","HHA","Level of Service",$D1032),0)</f>
        <v>58134.31174393939</v>
      </c>
      <c r="K1032" s="658">
        <f ca="1">+IFERROR(K$5*GETPIVOTDATA("Unique Billed Hours",'County allocation'!$X$3,"County",$D1026,"HHA/CDPAP","HHA","Level of Service",$D1032),0)</f>
        <v>375815.29702837457</v>
      </c>
      <c r="L1032" s="658">
        <f ca="1">+IFERROR(L$2*GETPIVOTDATA("Unique Billed Hours",'County allocation'!$O$3,"County",$D1026,"HHA/CDPAP","HHA","Level of Service",$D1032),0)</f>
        <v>5390.2570763361809</v>
      </c>
      <c r="M1032" s="658">
        <f>+IFERROR(M$5*GETPIVOTDATA("Unique Billed Hours",'County allocation'!$S$3,"County",$D1026,"HHA/CDPAP","HHA","Level of Service",$D1032),0)</f>
        <v>2750.7702994381216</v>
      </c>
      <c r="N1032" s="658">
        <f>+IFERROR(N$5*GETPIVOTDATA("Unique Billed Hours",'County allocation'!$S$3,"County",$D1026,"HHA/CDPAP","HHA","Level of Service",$D1032),0)</f>
        <v>230.39091056830466</v>
      </c>
      <c r="O1032" s="658">
        <f>+IFERROR(O$5*GETPIVOTDATA("Unique Billed Hours",'County allocation'!$K$19,"County",$D1026,"HHA/CDPAP","HHA","Level of Service",$D1032),0)</f>
        <v>0</v>
      </c>
      <c r="P1032" s="658">
        <f>+IFERROR(P$5*GETPIVOTDATA("Unique Billed Hours",'County allocation'!$S$3,"County",$D1026,"HHA/CDPAP","HHA","Level of Service",$D1032),0)</f>
        <v>0</v>
      </c>
    </row>
    <row r="1033" spans="1:18" s="54" customFormat="1" x14ac:dyDescent="0.25">
      <c r="A1033" s="119"/>
      <c r="B1033" s="309"/>
      <c r="C1033" s="322">
        <f t="shared" ca="1" si="371"/>
        <v>1</v>
      </c>
      <c r="D1033" s="7" t="s">
        <v>38</v>
      </c>
      <c r="E1033" s="48" t="s">
        <v>53</v>
      </c>
      <c r="F1033" s="657">
        <f t="shared" ca="1" si="372"/>
        <v>2107.261852592887</v>
      </c>
      <c r="G1033" s="658">
        <f ca="1">+IFERROR(G$5*GETPIVOTDATA("Unique Billed Hours",'County allocation'!$A$3,"County",$D1026,"HHA/CDPAP","HHA","Level of Service",$D1033),0)</f>
        <v>0</v>
      </c>
      <c r="H1033" s="658">
        <f>+IFERROR(H$5*GETPIVOTDATA("Unique Billed Hours",'County allocation'!$S$3,"County",$D1026,"HHA/CDPAP","HHA","Level of Service",$D1033),0)</f>
        <v>0</v>
      </c>
      <c r="I1033" s="664">
        <f t="shared" ca="1" si="373"/>
        <v>2107.261852592887</v>
      </c>
      <c r="J1033" s="658">
        <f ca="1">+IFERROR(J$5*GETPIVOTDATA("Unique Billed Hours",'County allocation'!$AC$3,"County",$D1026,"HHA/CDPAP","HHA","Level of Service",$D1033),0)</f>
        <v>41.101747556518234</v>
      </c>
      <c r="K1033" s="658">
        <f ca="1">+IFERROR(K$5*GETPIVOTDATA("Unique Billed Hours",'County allocation'!$X$3,"County",$D1026,"HHA/CDPAP","HHA","Level of Service",$D1033),0)</f>
        <v>0</v>
      </c>
      <c r="L1033" s="658">
        <f ca="1">+IFERROR(L$5*GETPIVOTDATA("Unique Billed Hours",'County allocation'!$K$19,"County",$D1026,"HHA/CDPAP","HHA","Level of Service",$D1033),0)</f>
        <v>2066.1601050363688</v>
      </c>
      <c r="M1033" s="658">
        <f>+IFERROR(M$5*GETPIVOTDATA("Unique Billed Hours",'County allocation'!$S$3,"County",$D1026,"HHA/CDPAP","HHA","Level of Service",$D1033),0)</f>
        <v>0</v>
      </c>
      <c r="N1033" s="658">
        <f>+IFERROR(N$5*GETPIVOTDATA("Unique Billed Hours",'County allocation'!$S$3,"County",$D1026,"HHA/CDPAP","HHA","Level of Service",$D1033),0)</f>
        <v>0</v>
      </c>
      <c r="O1033" s="658">
        <f>+IFERROR(O$5*GETPIVOTDATA("Unique Billed Hours",'County allocation'!$K$19,"County",$D1026,"HHA/CDPAP","HHA","Level of Service",$D1033),0)</f>
        <v>0</v>
      </c>
      <c r="P1033" s="658">
        <f>+IFERROR(P$5*GETPIVOTDATA("Unique Billed Hours",'County allocation'!$S$3,"County",$D1026,"HHA/CDPAP","HHA","Level of Service",$D1033),0)</f>
        <v>0</v>
      </c>
    </row>
    <row r="1034" spans="1:18" s="54" customFormat="1" x14ac:dyDescent="0.25">
      <c r="A1034" s="119"/>
      <c r="B1034" s="309"/>
      <c r="C1034" s="322">
        <f t="shared" ca="1" si="371"/>
        <v>1</v>
      </c>
      <c r="D1034" s="7" t="s">
        <v>39</v>
      </c>
      <c r="E1034" s="48" t="s">
        <v>52</v>
      </c>
      <c r="F1034" s="657">
        <f t="shared" ca="1" si="372"/>
        <v>3364.1869712298303</v>
      </c>
      <c r="G1034" s="658">
        <f ca="1">+IFERROR(G$5*GETPIVOTDATA("Unique Billed Hours",'County allocation'!$A$3,"County",$D1026,"HHA/CDPAP","HHA","Level of Service",$D1034),0)</f>
        <v>0</v>
      </c>
      <c r="H1034" s="658">
        <f>+IFERROR(H$5*GETPIVOTDATA("Unique Billed Hours",'County allocation'!$S$3,"County",$D1026,"HHA/CDPAP","HHA","Level of Service",$D1034),0)</f>
        <v>0</v>
      </c>
      <c r="I1034" s="664">
        <f t="shared" ca="1" si="373"/>
        <v>3364.1869712298303</v>
      </c>
      <c r="J1034" s="658">
        <f ca="1">+IFERROR(J$5*GETPIVOTDATA("Unique Billed Hours",'County allocation'!$AC$3,"County",$D1026,"HHA/CDPAP","HHA","Level of Service",$D1034),0)</f>
        <v>678.17883468255081</v>
      </c>
      <c r="K1034" s="658">
        <f ca="1">+IFERROR(K$5*GETPIVOTDATA("Unique Billed Hours",'County allocation'!$X$3,"County",$D1026,"HHA/CDPAP","HHA","Level of Service",$D1034),0)</f>
        <v>0</v>
      </c>
      <c r="L1034" s="658">
        <f ca="1">+IFERROR(L$5*GETPIVOTDATA("Unique Billed Hours",'County allocation'!$K$19,"County",$D1026,"HHA/CDPAP","HHA","Level of Service",$D1034),0)</f>
        <v>2686.0081365472797</v>
      </c>
      <c r="M1034" s="658">
        <f>+IFERROR(M$5*GETPIVOTDATA("Unique Billed Hours",'County allocation'!$S$3,"County",$D1026,"HHA/CDPAP","HHA","Level of Service",$D1034),0)</f>
        <v>0</v>
      </c>
      <c r="N1034" s="658">
        <f>+IFERROR(N$5*GETPIVOTDATA("Unique Billed Hours",'County allocation'!$S$3,"County",$D1026,"HHA/CDPAP","HHA","Level of Service",$D1034),0)</f>
        <v>0</v>
      </c>
      <c r="O1034" s="658">
        <f>+IFERROR(O$5*GETPIVOTDATA("Unique Billed Hours",'County allocation'!$K$19,"County",$D1026,"HHA/CDPAP","HHA","Level of Service",$D1034),0)</f>
        <v>0</v>
      </c>
      <c r="P1034" s="658">
        <f>+IFERROR(P$5*GETPIVOTDATA("Unique Billed Hours",'County allocation'!$S$3,"County",$D1026,"HHA/CDPAP","HHA","Level of Service",$D1034),0)</f>
        <v>0</v>
      </c>
    </row>
    <row r="1035" spans="1:18" s="54" customFormat="1" x14ac:dyDescent="0.25">
      <c r="A1035" s="119"/>
      <c r="B1035" s="309"/>
      <c r="C1035" s="322">
        <f t="shared" ca="1" si="371"/>
        <v>1</v>
      </c>
      <c r="D1035" s="8" t="s">
        <v>40</v>
      </c>
      <c r="E1035" s="48" t="s">
        <v>51</v>
      </c>
      <c r="F1035" s="657">
        <f t="shared" ca="1" si="372"/>
        <v>0</v>
      </c>
      <c r="G1035" s="658">
        <f ca="1">+IFERROR(G$5*GETPIVOTDATA("Unique Billed Hours",'County allocation'!$A$3,"County",$D1026,"HHA/CDPAP","HHA","Level of Service",$D1035),0)</f>
        <v>0</v>
      </c>
      <c r="H1035" s="658">
        <f>+IFERROR(H$5*GETPIVOTDATA("Unique Billed Hours",'County allocation'!$S$3,"County",$D1026,"HHA/CDPAP","HHA","Level of Service",$D1035),0)</f>
        <v>0</v>
      </c>
      <c r="I1035" s="664">
        <f t="shared" ca="1" si="373"/>
        <v>0</v>
      </c>
      <c r="J1035" s="658">
        <f ca="1">+IFERROR(J$5*GETPIVOTDATA("Unique Billed Hours",'County allocation'!$AC$3,"County",$D1026,"HHA/CDPAP","HHA","Level of Service",$D1035),0)</f>
        <v>0</v>
      </c>
      <c r="K1035" s="658">
        <f ca="1">+IFERROR(K$5*GETPIVOTDATA("Unique Billed Hours",'County allocation'!$X$3,"County",$D1026,"HHA/CDPAP","HHA","Level of Service",$D1035),0)</f>
        <v>0</v>
      </c>
      <c r="L1035" s="658">
        <f ca="1">+IFERROR(L$2*GETPIVOTDATA("Unique Billed Hours",'County allocation'!$O$3,"County",$D1026,"HHA/CDPAP","HHA","Level of Service",$D1035),0)</f>
        <v>0</v>
      </c>
      <c r="M1035" s="658">
        <f>+IFERROR(M$5*GETPIVOTDATA("Unique Billed Hours",'County allocation'!$S$3,"County",$D1026,"HHA/CDPAP","HHA","Level of Service",$D1035),0)</f>
        <v>0</v>
      </c>
      <c r="N1035" s="658">
        <f>+IFERROR(N$5*GETPIVOTDATA("Unique Billed Hours",'County allocation'!$S$3,"County",$D1026,"HHA/CDPAP","HHA","Level of Service",$D1035),0)</f>
        <v>0</v>
      </c>
      <c r="O1035" s="658">
        <f>+IFERROR(O$5*GETPIVOTDATA("Unique Billed Hours",'County allocation'!$K$19,"County",$D1026,"HHA/CDPAP","HHA","Level of Service",$D1035),0)</f>
        <v>0</v>
      </c>
      <c r="P1035" s="658">
        <f>+IFERROR(P$5*GETPIVOTDATA("Unique Billed Hours",'County allocation'!$S$3,"County",$D1026,"HHA/CDPAP","HHA","Level of Service",$D1035),0)</f>
        <v>0</v>
      </c>
    </row>
    <row r="1036" spans="1:18" s="54" customFormat="1" x14ac:dyDescent="0.25">
      <c r="A1036" s="119"/>
      <c r="B1036" s="309"/>
      <c r="C1036" s="322">
        <f t="shared" ca="1" si="371"/>
        <v>1</v>
      </c>
      <c r="D1036" s="8" t="s">
        <v>41</v>
      </c>
      <c r="E1036" s="48" t="s">
        <v>50</v>
      </c>
      <c r="F1036" s="657">
        <f t="shared" ca="1" si="372"/>
        <v>15170.771264709911</v>
      </c>
      <c r="G1036" s="658">
        <f ca="1">+IFERROR(G$5*GETPIVOTDATA("Unique Billed Hours",'County allocation'!$A$3,"County",$D1026,"HHA/CDPAP","HHA","Level of Service",$D1036),0)</f>
        <v>508.93257812545369</v>
      </c>
      <c r="H1036" s="658">
        <f>+IFERROR(H$5*GETPIVOTDATA("Unique Billed Hours",'County allocation'!$S$3,"County",$D1026,"HHA/CDPAP","HHA","Level of Service",$D1036),0)</f>
        <v>870.57928805027075</v>
      </c>
      <c r="I1036" s="664">
        <f t="shared" ca="1" si="373"/>
        <v>13791.259398534186</v>
      </c>
      <c r="J1036" s="658">
        <f ca="1">+IFERROR(J$5*GETPIVOTDATA("Unique Billed Hours",'County allocation'!$AC$3,"County",$D1026,"HHA/CDPAP","HHA","Level of Service",$D1036),0)</f>
        <v>1812.5870672424539</v>
      </c>
      <c r="K1036" s="658">
        <f ca="1">+IFERROR(K$5*GETPIVOTDATA("Unique Billed Hours",'County allocation'!$X$3,"County",$D1026,"HHA/CDPAP","HHA","Level of Service",$D1036),0)</f>
        <v>11717.657380480287</v>
      </c>
      <c r="L1036" s="658">
        <f ca="1">+IFERROR(L$2*GETPIVOTDATA("Unique Billed Hours",'County allocation'!$O$3,"County",$D1026,"HHA/CDPAP","HHA","Level of Service",$D1036),0)</f>
        <v>168.06443514311763</v>
      </c>
      <c r="M1036" s="658">
        <f>+IFERROR(M$5*GETPIVOTDATA("Unique Billed Hours",'County allocation'!$S$3,"County",$D1026,"HHA/CDPAP","HHA","Level of Service",$D1036),0)</f>
        <v>85.767088663193704</v>
      </c>
      <c r="N1036" s="658">
        <f>+IFERROR(N$5*GETPIVOTDATA("Unique Billed Hours",'County allocation'!$S$3,"County",$D1026,"HHA/CDPAP","HHA","Level of Service",$D1036),0)</f>
        <v>7.1834270051344999</v>
      </c>
      <c r="O1036" s="658">
        <f>+IFERROR(O$5*GETPIVOTDATA("Unique Billed Hours",'County allocation'!$K$19,"County",$D1026,"HHA/CDPAP","HHA","Level of Service",$D1036),0)</f>
        <v>0</v>
      </c>
      <c r="P1036" s="658">
        <f>+IFERROR(P$5*GETPIVOTDATA("Unique Billed Hours",'County allocation'!$S$3,"County",$D1026,"HHA/CDPAP","HHA","Level of Service",$D1036),0)</f>
        <v>0</v>
      </c>
    </row>
    <row r="1037" spans="1:18" s="54" customFormat="1" ht="15.75" thickBot="1" x14ac:dyDescent="0.3">
      <c r="A1037" s="119"/>
      <c r="B1037" s="309"/>
      <c r="C1037" s="322">
        <f t="shared" ca="1" si="371"/>
        <v>1</v>
      </c>
      <c r="D1037" s="52" t="s">
        <v>389</v>
      </c>
      <c r="E1037" s="53" t="s">
        <v>49</v>
      </c>
      <c r="F1037" s="657">
        <f t="shared" ca="1" si="372"/>
        <v>2359641.4609406614</v>
      </c>
      <c r="G1037" s="661">
        <f ca="1">SUM(G1029:G1036)</f>
        <v>78975.141916435896</v>
      </c>
      <c r="H1037" s="661">
        <f>SUM(H1029:H1036)</f>
        <v>135094.75670927032</v>
      </c>
      <c r="I1037" s="664">
        <f t="shared" ca="1" si="373"/>
        <v>2145571.5623149551</v>
      </c>
      <c r="J1037" s="661">
        <f ca="1">SUM(J1029:J1036)</f>
        <v>281992.92472313816</v>
      </c>
      <c r="K1037" s="661">
        <f t="shared" ref="K1037:P1037" ca="1" si="374">SUM(K1029:K1036)</f>
        <v>1818322.6901294736</v>
      </c>
      <c r="L1037" s="661">
        <f t="shared" ca="1" si="374"/>
        <v>30832.071920419341</v>
      </c>
      <c r="M1037" s="661">
        <f t="shared" si="374"/>
        <v>13309.165673543459</v>
      </c>
      <c r="N1037" s="661">
        <f t="shared" si="374"/>
        <v>1114.7098683806616</v>
      </c>
      <c r="O1037" s="661">
        <f t="shared" si="374"/>
        <v>0</v>
      </c>
      <c r="P1037" s="661">
        <f t="shared" si="374"/>
        <v>0</v>
      </c>
    </row>
    <row r="1038" spans="1:18" s="54" customFormat="1" x14ac:dyDescent="0.25">
      <c r="A1038" s="119"/>
      <c r="B1038" s="309"/>
      <c r="C1038" s="322">
        <f t="shared" ca="1" si="371"/>
        <v>1</v>
      </c>
      <c r="D1038" s="371" t="s">
        <v>390</v>
      </c>
      <c r="E1038" s="325" t="s">
        <v>47</v>
      </c>
      <c r="F1038" s="657">
        <f t="shared" ca="1" si="372"/>
        <v>3088441.0946630859</v>
      </c>
      <c r="G1038" s="665">
        <f ca="1">+IFERROR((G$5*GETPIVOTDATA("Unique Billed Hours",'County allocation'!$A$3,"County",$D1026,"HHA/CDPAP","HHA","Level of Service",$D1038))+($G$2*GETPIVOTDATA("Unique Billed Hours",'County allocation'!$F$7,"County",$D1026,"HHA/CDPAP","HHA","Level of Service",$D1038)),0)++IFERROR(J$5*GETPIVOTDATA("Unique Billed Hours",'County allocation'!$AC$3,"County",$D1026,"HHA/CDPAP","HHA","Level of Service",$D1038),0)+ +IFERROR(J$5*GETPIVOTDATA("Unique Billed Hours",'County allocation'!$AC$3,"County",$D1026,"HHA/CDPAP","HHA","Level of Service",$D1039),0)</f>
        <v>3088441.0946630859</v>
      </c>
      <c r="H1038" s="665">
        <f>+IFERROR(H$5*GETPIVOTDATA("Unique Billed Hours",'County allocation'!$S$3,"County",$D1026,"HHA/CDPAP","HHA","Level of Service",$D1038),0)</f>
        <v>0</v>
      </c>
      <c r="I1038" s="664">
        <f t="shared" ca="1" si="373"/>
        <v>0</v>
      </c>
      <c r="J1038" s="901"/>
      <c r="K1038" s="665">
        <f ca="1">+IFERROR(K$5*GETPIVOTDATA("Unique Billed Hours",'County allocation'!$X$3,"County",$D1026,"HHA/CDPAP","HHA","Level of Service",$D1038),0)</f>
        <v>0</v>
      </c>
      <c r="L1038" s="665">
        <f ca="1">+IFERROR(L$5*GETPIVOTDATA("Unique Billed Hours",'County allocation'!$K$19,"County",$D1026,"HHA/CDPAP","HHA","Level of Service",$D1038),0)</f>
        <v>0</v>
      </c>
      <c r="M1038" s="665">
        <f>+IFERROR(M$5*GETPIVOTDATA("Unique Billed Hours",'County allocation'!$S$3,"County",$D1026,"HHA/CDPAP","HHA","Level of Service",$D1038),0)</f>
        <v>0</v>
      </c>
      <c r="N1038" s="665">
        <f>+IFERROR(N$5*GETPIVOTDATA("Unique Billed Hours",'County allocation'!$S$3,"County",$D1026,"HHA/CDPAP","HHA","Level of Service",$D1038),0)</f>
        <v>0</v>
      </c>
      <c r="O1038" s="665">
        <f>+IFERROR(O$5*GETPIVOTDATA("Unique Billed Hours",'County allocation'!$S$3,"County",$D1026,"HHA/CDPAP","HHA","Level of Service",$D1038),0)</f>
        <v>0</v>
      </c>
      <c r="P1038" s="665">
        <f>+IFERROR(P$5*GETPIVOTDATA("Unique Billed Hours",'County allocation'!$S$3,"County",$D1026,"HHA/CDPAP","HHA","Level of Service",$D1038),0)</f>
        <v>0</v>
      </c>
    </row>
    <row r="1039" spans="1:18" s="54" customFormat="1" x14ac:dyDescent="0.25">
      <c r="A1039" s="119"/>
      <c r="B1039" s="309"/>
      <c r="C1039" s="322">
        <f t="shared" ca="1" si="371"/>
        <v>1</v>
      </c>
      <c r="D1039" s="8" t="s">
        <v>391</v>
      </c>
      <c r="E1039" s="370" t="s">
        <v>77</v>
      </c>
      <c r="F1039" s="657">
        <f t="shared" ca="1" si="372"/>
        <v>977241.99727139331</v>
      </c>
      <c r="G1039" s="656"/>
      <c r="H1039" s="658">
        <f>+IFERROR(H$5*GETPIVOTDATA("Unique Billed Hours",'County allocation'!$S$3,"County",$D1026,"HHA/CDPAP","HHA","Level of Service",$D1039),0)</f>
        <v>0</v>
      </c>
      <c r="I1039" s="664">
        <f t="shared" ca="1" si="373"/>
        <v>977241.99727139331</v>
      </c>
      <c r="J1039" s="901"/>
      <c r="K1039" s="665">
        <f ca="1">+IFERROR(K$5*GETPIVOTDATA("Unique Billed Hours",'County allocation'!$X$3,"County",$D1026,"HHA/CDPAP","HHA","Level of Service",$D1039),0)</f>
        <v>977241.99727139331</v>
      </c>
      <c r="L1039" s="665">
        <f ca="1">+IFERROR(L$5*GETPIVOTDATA("Unique Billed Hours",'County allocation'!$K$19,"County",$D1026,"HHA/CDPAP","HHA","Level of Service",$D1039),0)</f>
        <v>0</v>
      </c>
      <c r="M1039" s="665">
        <f>+IFERROR(M$5*GETPIVOTDATA("Unique Billed Hours",'County allocation'!$S$3,"County",$D1026,"HHA/CDPAP","HHA","Level of Service",$D1039),0)</f>
        <v>0</v>
      </c>
      <c r="N1039" s="665">
        <f>+IFERROR(N$5*GETPIVOTDATA("Unique Billed Hours",'County allocation'!$S$3,"County",$D1026,"HHA/CDPAP","HHA","Level of Service",$D1039),0)</f>
        <v>0</v>
      </c>
      <c r="O1039" s="665">
        <f>+IFERROR(O$5*GETPIVOTDATA("Unique Billed Hours",'County allocation'!$S$3,"County",$D1026,"HHA/CDPAP","HHA","Level of Service",$D1039),0)</f>
        <v>0</v>
      </c>
      <c r="P1039" s="665">
        <f>+IFERROR(P$5*GETPIVOTDATA("Unique Billed Hours",'County allocation'!$S$3,"County",$D1026,"HHA/CDPAP","HHA","Level of Service",$D1039),0)</f>
        <v>0</v>
      </c>
    </row>
    <row r="1040" spans="1:18" s="54" customFormat="1" x14ac:dyDescent="0.25">
      <c r="A1040" s="119"/>
      <c r="B1040" s="309"/>
      <c r="C1040" s="322">
        <f t="shared" ca="1" si="371"/>
        <v>1</v>
      </c>
      <c r="D1040" s="8" t="s">
        <v>374</v>
      </c>
      <c r="E1040" s="370" t="s">
        <v>78</v>
      </c>
      <c r="F1040" s="657">
        <f t="shared" ca="1" si="372"/>
        <v>614.59732108095977</v>
      </c>
      <c r="G1040" s="658">
        <f ca="1">+IFERROR(G$5*GETPIVOTDATA("Unique Billed Hours",'County allocation'!$A$3,"County",$D1026,"HHA/CDPAP","HHA","Level of Service",$D1040),0)++IFERROR(J$5*GETPIVOTDATA("Unique Billed Hours",'County allocation'!$AC$3,"County",$D1026,"HHA/CDPAP","HHA","Level of Service",$D1040),0)</f>
        <v>614.59732108095977</v>
      </c>
      <c r="H1040" s="658">
        <f>+IFERROR(H$5*GETPIVOTDATA("Unique Billed Hours",'County allocation'!$S$3,"County",$D1026,"HHA/CDPAP","HHA","Level of Service",$D1040),0)</f>
        <v>0</v>
      </c>
      <c r="I1040" s="664">
        <f t="shared" ca="1" si="373"/>
        <v>0</v>
      </c>
      <c r="J1040" s="901"/>
      <c r="K1040" s="665">
        <f ca="1">+IFERROR(K$5*GETPIVOTDATA("Unique Billed Hours",'County allocation'!$X$3,"County",$D1026,"HHA/CDPAP","HHA","Level of Service",$D1040),0)</f>
        <v>0</v>
      </c>
      <c r="L1040" s="665">
        <f ca="1">+IFERROR(L$5*GETPIVOTDATA("Unique Billed Hours",'County allocation'!$K$19,"County",$D1026,"HHA/CDPAP","HHA","Level of Service",$D1040),0)</f>
        <v>0</v>
      </c>
      <c r="M1040" s="665">
        <f>+IFERROR(M$5*GETPIVOTDATA("Unique Billed Hours",'County allocation'!$S$3,"County",$D1026,"HHA/CDPAP","HHA","Level of Service",$D1040),0)</f>
        <v>0</v>
      </c>
      <c r="N1040" s="665">
        <f>+IFERROR(N$5*GETPIVOTDATA("Unique Billed Hours",'County allocation'!$S$3,"County",$D1026,"HHA/CDPAP","HHA","Level of Service",$D1040),0)</f>
        <v>0</v>
      </c>
      <c r="O1040" s="665">
        <f>+IFERROR(O$5*GETPIVOTDATA("Unique Billed Hours",'County allocation'!$S$3,"County",$D1026,"HHA/CDPAP","HHA","Level of Service",$D1040),0)</f>
        <v>0</v>
      </c>
      <c r="P1040" s="665">
        <f>+IFERROR(P$5*GETPIVOTDATA("Unique Billed Hours",'County allocation'!$S$3,"County",$D1026,"HHA/CDPAP","HHA","Level of Service",$D1040),0)</f>
        <v>0</v>
      </c>
    </row>
    <row r="1041" spans="1:18" s="54" customFormat="1" ht="15.75" thickBot="1" x14ac:dyDescent="0.3">
      <c r="A1041" s="302"/>
      <c r="B1041" s="309"/>
      <c r="C1041" s="322">
        <f ca="1">C1040</f>
        <v>1</v>
      </c>
      <c r="D1041" s="52" t="s">
        <v>48</v>
      </c>
      <c r="E1041" s="53" t="s">
        <v>79</v>
      </c>
      <c r="F1041" s="657">
        <f t="shared" ca="1" si="372"/>
        <v>6425939.1501962207</v>
      </c>
      <c r="G1041" s="661">
        <f t="shared" ref="G1041" ca="1" si="375">SUM(G1037:G1040)</f>
        <v>3168030.8339006025</v>
      </c>
      <c r="H1041" s="661">
        <f t="shared" ref="H1041:P1041" si="376">SUM(H1037:H1040)</f>
        <v>135094.75670927032</v>
      </c>
      <c r="I1041" s="661">
        <f t="shared" ca="1" si="376"/>
        <v>3122813.5595863485</v>
      </c>
      <c r="J1041" s="661">
        <f t="shared" ca="1" si="376"/>
        <v>281992.92472313816</v>
      </c>
      <c r="K1041" s="661">
        <f t="shared" ca="1" si="376"/>
        <v>2795564.6874008668</v>
      </c>
      <c r="L1041" s="661">
        <f t="shared" ca="1" si="376"/>
        <v>30832.071920419341</v>
      </c>
      <c r="M1041" s="661">
        <f t="shared" si="376"/>
        <v>13309.165673543459</v>
      </c>
      <c r="N1041" s="661">
        <f t="shared" si="376"/>
        <v>1114.7098683806616</v>
      </c>
      <c r="O1041" s="661">
        <f t="shared" si="376"/>
        <v>0</v>
      </c>
      <c r="P1041" s="661">
        <f t="shared" si="376"/>
        <v>0</v>
      </c>
    </row>
    <row r="1042" spans="1:18" hidden="1" x14ac:dyDescent="0.25"/>
    <row r="1043" spans="1:18" s="54" customFormat="1" ht="75" hidden="1" x14ac:dyDescent="0.25">
      <c r="A1043" s="119"/>
      <c r="B1043" s="309"/>
      <c r="C1043" s="322">
        <f ca="1">IF(F1058&gt;0,1,0)</f>
        <v>0</v>
      </c>
      <c r="D1043" s="45" t="str">
        <f>A64</f>
        <v>Wyoming</v>
      </c>
      <c r="E1043" s="28">
        <f>+SUMIF(A:A,D1043,B:B)</f>
        <v>0</v>
      </c>
      <c r="F1043" s="652" t="s">
        <v>61</v>
      </c>
      <c r="G1043" s="652" t="s">
        <v>387</v>
      </c>
      <c r="H1043" s="652" t="s">
        <v>388</v>
      </c>
      <c r="I1043" s="652" t="s">
        <v>392</v>
      </c>
      <c r="J1043" s="652" t="s">
        <v>31</v>
      </c>
      <c r="K1043" s="652" t="s">
        <v>32</v>
      </c>
      <c r="L1043" s="653" t="s">
        <v>33</v>
      </c>
      <c r="M1043" s="653" t="s">
        <v>60</v>
      </c>
      <c r="N1043" s="653" t="s">
        <v>59</v>
      </c>
      <c r="O1043" s="653" t="s">
        <v>58</v>
      </c>
      <c r="P1043" s="653" t="s">
        <v>16</v>
      </c>
    </row>
    <row r="1044" spans="1:18" s="54" customFormat="1" hidden="1" x14ac:dyDescent="0.25">
      <c r="A1044" s="119"/>
      <c r="B1044" s="309"/>
      <c r="C1044" s="322">
        <f ca="1">C1043</f>
        <v>0</v>
      </c>
      <c r="D1044" s="56"/>
      <c r="E1044" s="57"/>
      <c r="F1044" s="654" t="s">
        <v>57</v>
      </c>
      <c r="G1044" s="654" t="s">
        <v>56</v>
      </c>
      <c r="H1044" s="654" t="s">
        <v>55</v>
      </c>
      <c r="I1044" s="654" t="s">
        <v>54</v>
      </c>
      <c r="J1044" s="654" t="s">
        <v>53</v>
      </c>
      <c r="K1044" s="654" t="s">
        <v>52</v>
      </c>
      <c r="L1044" s="654" t="s">
        <v>51</v>
      </c>
      <c r="M1044" s="654" t="s">
        <v>50</v>
      </c>
      <c r="N1044" s="654" t="s">
        <v>49</v>
      </c>
      <c r="O1044" s="654" t="s">
        <v>47</v>
      </c>
      <c r="P1044" s="655" t="s">
        <v>77</v>
      </c>
    </row>
    <row r="1045" spans="1:18" s="54" customFormat="1" hidden="1" x14ac:dyDescent="0.25">
      <c r="A1045" s="119"/>
      <c r="B1045" s="309"/>
      <c r="C1045" s="322">
        <f t="shared" ref="C1045:C1057" ca="1" si="377">C1044</f>
        <v>0</v>
      </c>
      <c r="D1045" s="59" t="s">
        <v>26</v>
      </c>
      <c r="E1045" s="57"/>
      <c r="F1045" s="656"/>
      <c r="G1045" s="656"/>
      <c r="H1045" s="656"/>
      <c r="I1045" s="656"/>
      <c r="J1045" s="656"/>
      <c r="K1045" s="656"/>
      <c r="L1045" s="656"/>
      <c r="M1045" s="656"/>
      <c r="N1045" s="656"/>
      <c r="O1045" s="656"/>
      <c r="P1045" s="663"/>
    </row>
    <row r="1046" spans="1:18" s="54" customFormat="1" hidden="1" x14ac:dyDescent="0.25">
      <c r="A1046" s="119"/>
      <c r="B1046" s="309"/>
      <c r="C1046" s="322">
        <f t="shared" ca="1" si="377"/>
        <v>0</v>
      </c>
      <c r="D1046" s="7" t="s">
        <v>34</v>
      </c>
      <c r="E1046" s="48" t="s">
        <v>57</v>
      </c>
      <c r="F1046" s="657">
        <f ca="1">+H1046+G1046+I1046</f>
        <v>0</v>
      </c>
      <c r="G1046" s="658">
        <f ca="1">+IFERROR(G$5*GETPIVOTDATA("Unique Billed Hours",'County allocation'!$A$3,"County",$D1043,"HHA/CDPAP","HHA","Level of Service",$D1046),0)</f>
        <v>0</v>
      </c>
      <c r="H1046" s="658">
        <f>+IFERROR(H$5*GETPIVOTDATA("Unique Billed Hours",'County allocation'!$S$3,"County",$D1043,"HHA/CDPAP","HHA","Level of Service",$D1046),0)</f>
        <v>0</v>
      </c>
      <c r="I1046" s="664">
        <f ca="1">SUM(J1046:P1046)</f>
        <v>0</v>
      </c>
      <c r="J1046" s="658">
        <f ca="1">+IFERROR(J$5*GETPIVOTDATA("Unique Billed Hours",'County allocation'!$S$3,"County",$D1043,"HHA/CDPAP","HHA","Level of Service",$D1046),0)</f>
        <v>0</v>
      </c>
      <c r="K1046" s="658">
        <f ca="1">+IFERROR(K$5*GETPIVOTDATA("Unique Billed Hours",'County allocation'!$X$3,"County",$D1043,"HHA/CDPAP","HHA","Level of Service",$D1046),0)</f>
        <v>0</v>
      </c>
      <c r="L1046" s="658">
        <f ca="1">+IFERROR(L$2*GETPIVOTDATA("Unique Billed Hours",'County allocation'!$O$3,"County",$D1043,"HHA/CDPAP","HHA","Level of Service",$D1046),0)</f>
        <v>0</v>
      </c>
      <c r="M1046" s="658">
        <f>+IFERROR(M$5*GETPIVOTDATA("Unique Billed Hours",'County allocation'!$S$3,"County",$D1043,"HHA/CDPAP","HHA","Level of Service",$D1046),0)</f>
        <v>0</v>
      </c>
      <c r="N1046" s="658">
        <f>+IFERROR(N$5*GETPIVOTDATA("Unique Billed Hours",'County allocation'!$S$3,"County",$D1043,"HHA/CDPAP","HHA","Level of Service",$D1046),0)</f>
        <v>0</v>
      </c>
      <c r="O1046" s="658">
        <f>+IFERROR(O$5*GETPIVOTDATA("Unique Billed Hours",'County allocation'!$K$19,"County",$D1043,"HHA/CDPAP","HHA","Level of Service",$D1046),0)</f>
        <v>0</v>
      </c>
      <c r="P1046" s="658">
        <f>+IFERROR(P$5*GETPIVOTDATA("Unique Billed Hours",'County allocation'!$S$3,"County",$D1043,"HHA/CDPAP","HHA","Level of Service",$D1046),0)</f>
        <v>0</v>
      </c>
    </row>
    <row r="1047" spans="1:18" s="54" customFormat="1" hidden="1" x14ac:dyDescent="0.25">
      <c r="A1047" s="119"/>
      <c r="B1047" s="309"/>
      <c r="C1047" s="322">
        <f t="shared" ca="1" si="377"/>
        <v>0</v>
      </c>
      <c r="D1047" s="7" t="s">
        <v>35</v>
      </c>
      <c r="E1047" s="48" t="s">
        <v>56</v>
      </c>
      <c r="F1047" s="657">
        <f t="shared" ref="F1047:F1058" ca="1" si="378">+H1047+G1047+I1047</f>
        <v>0</v>
      </c>
      <c r="G1047" s="658">
        <f ca="1">+IFERROR(G$5*GETPIVOTDATA("Unique Billed Hours",'County allocation'!$A$3,"County",$D1043,"HHA/CDPAP","HHA","Level of Service",$D1047),0)</f>
        <v>0</v>
      </c>
      <c r="H1047" s="658">
        <f>+IFERROR(H$5*GETPIVOTDATA("Unique Billed Hours",'County allocation'!$S$3,"County",$D1043,"HHA/CDPAP","HHA","Level of Service",$D1047),0)</f>
        <v>0</v>
      </c>
      <c r="I1047" s="664">
        <f t="shared" ref="I1047:I1057" ca="1" si="379">SUM(J1047:P1047)</f>
        <v>0</v>
      </c>
      <c r="J1047" s="658">
        <f ca="1">+IFERROR(J$5*GETPIVOTDATA("Unique Billed Hours",'County allocation'!$S$3,"County",$D1043,"HHA/CDPAP","HHA","Level of Service",$D1047),0)</f>
        <v>0</v>
      </c>
      <c r="K1047" s="658">
        <f ca="1">+IFERROR(K$5*GETPIVOTDATA("Unique Billed Hours",'County allocation'!$X$3,"County",$D1043,"HHA/CDPAP","HHA","Level of Service",$D1047),0)</f>
        <v>0</v>
      </c>
      <c r="L1047" s="658">
        <f ca="1">+IFERROR(L$2*GETPIVOTDATA("Unique Billed Hours",'County allocation'!$O$3,"County",$D1043,"HHA/CDPAP","HHA","Level of Service",$D1047),0)</f>
        <v>0</v>
      </c>
      <c r="M1047" s="658">
        <f>+IFERROR(M$5*GETPIVOTDATA("Unique Billed Hours",'County allocation'!$S$3,"County",$D1043,"HHA/CDPAP","HHA","Level of Service",$D1047),0)</f>
        <v>0</v>
      </c>
      <c r="N1047" s="658">
        <f>+IFERROR(N$5*GETPIVOTDATA("Unique Billed Hours",'County allocation'!$S$3,"County",$D1043,"HHA/CDPAP","HHA","Level of Service",$D1047),0)</f>
        <v>0</v>
      </c>
      <c r="O1047" s="658">
        <f>+IFERROR(O$5*GETPIVOTDATA("Unique Billed Hours",'County allocation'!$K$19,"County",$D1043,"HHA/CDPAP","HHA","Level of Service",$D1047),0)</f>
        <v>0</v>
      </c>
      <c r="P1047" s="658">
        <f>+IFERROR(P$5*GETPIVOTDATA("Unique Billed Hours",'County allocation'!$S$3,"County",$D1043,"HHA/CDPAP","HHA","Level of Service",$D1047),0)</f>
        <v>0</v>
      </c>
      <c r="R1047" s="61"/>
    </row>
    <row r="1048" spans="1:18" s="54" customFormat="1" hidden="1" x14ac:dyDescent="0.25">
      <c r="A1048" s="302"/>
      <c r="B1048" s="309"/>
      <c r="C1048" s="322">
        <f t="shared" ca="1" si="377"/>
        <v>0</v>
      </c>
      <c r="D1048" s="7" t="s">
        <v>36</v>
      </c>
      <c r="E1048" s="48" t="s">
        <v>55</v>
      </c>
      <c r="F1048" s="657">
        <f t="shared" ca="1" si="378"/>
        <v>0</v>
      </c>
      <c r="G1048" s="658">
        <f ca="1">+IFERROR(G$5*GETPIVOTDATA("Unique Billed Hours",'County allocation'!$A$3,"County",$D1043,"HHA/CDPAP","HHA","Level of Service",$D1048),0)</f>
        <v>0</v>
      </c>
      <c r="H1048" s="658">
        <f>+IFERROR(H$5*GETPIVOTDATA("Unique Billed Hours",'County allocation'!$S$3,"County",$D1043,"HHA/CDPAP","HHA","Level of Service",$D1048),0)</f>
        <v>0</v>
      </c>
      <c r="I1048" s="664">
        <f t="shared" ca="1" si="379"/>
        <v>0</v>
      </c>
      <c r="J1048" s="658">
        <f ca="1">+IFERROR(J$5*GETPIVOTDATA("Unique Billed Hours",'County allocation'!$S$3,"County",$D1043,"HHA/CDPAP","HHA","Level of Service",$D1048),0)</f>
        <v>0</v>
      </c>
      <c r="K1048" s="658">
        <f ca="1">+IFERROR(K$5*GETPIVOTDATA("Unique Billed Hours",'County allocation'!$X$3,"County",$D1043,"HHA/CDPAP","HHA","Level of Service",$D1048),0)</f>
        <v>0</v>
      </c>
      <c r="L1048" s="658">
        <f ca="1">+IFERROR(L$2*GETPIVOTDATA("Unique Billed Hours",'County allocation'!$O$3,"County",$D1043,"HHA/CDPAP","HHA","Level of Service",$D1048),0)</f>
        <v>0</v>
      </c>
      <c r="M1048" s="658">
        <f>+IFERROR(M$5*GETPIVOTDATA("Unique Billed Hours",'County allocation'!$S$3,"County",$D1043,"HHA/CDPAP","HHA","Level of Service",$D1048),0)</f>
        <v>0</v>
      </c>
      <c r="N1048" s="658">
        <f>+IFERROR(N$5*GETPIVOTDATA("Unique Billed Hours",'County allocation'!$S$3,"County",$D1043,"HHA/CDPAP","HHA","Level of Service",$D1048),0)</f>
        <v>0</v>
      </c>
      <c r="O1048" s="658">
        <f>+IFERROR(O$5*GETPIVOTDATA("Unique Billed Hours",'County allocation'!$K$19,"County",$D1043,"HHA/CDPAP","HHA","Level of Service",$D1048),0)</f>
        <v>0</v>
      </c>
      <c r="P1048" s="658">
        <f>+IFERROR(P$5*GETPIVOTDATA("Unique Billed Hours",'County allocation'!$S$3,"County",$D1043,"HHA/CDPAP","HHA","Level of Service",$D1048),0)</f>
        <v>0</v>
      </c>
    </row>
    <row r="1049" spans="1:18" s="54" customFormat="1" hidden="1" x14ac:dyDescent="0.25">
      <c r="A1049" s="119"/>
      <c r="B1049" s="309"/>
      <c r="C1049" s="322">
        <f t="shared" ca="1" si="377"/>
        <v>0</v>
      </c>
      <c r="D1049" s="7" t="s">
        <v>37</v>
      </c>
      <c r="E1049" s="48" t="s">
        <v>54</v>
      </c>
      <c r="F1049" s="657">
        <f t="shared" ca="1" si="378"/>
        <v>0</v>
      </c>
      <c r="G1049" s="658">
        <f ca="1">+IFERROR(G$5*GETPIVOTDATA("Unique Billed Hours",'County allocation'!$A$3,"County",$D1043,"HHA/CDPAP","HHA","Level of Service",$D1049),0)</f>
        <v>0</v>
      </c>
      <c r="H1049" s="658">
        <f>+IFERROR(H$5*GETPIVOTDATA("Unique Billed Hours",'County allocation'!$S$3,"County",$D1043,"HHA/CDPAP","HHA","Level of Service",$D1049),0)</f>
        <v>0</v>
      </c>
      <c r="I1049" s="664">
        <f t="shared" ca="1" si="379"/>
        <v>0</v>
      </c>
      <c r="J1049" s="658">
        <f ca="1">+IFERROR(J$5*GETPIVOTDATA("Unique Billed Hours",'County allocation'!$S$3,"County",$D1043,"HHA/CDPAP","HHA","Level of Service",$D1049),0)</f>
        <v>0</v>
      </c>
      <c r="K1049" s="658">
        <f ca="1">+IFERROR(K$5*GETPIVOTDATA("Unique Billed Hours",'County allocation'!$X$3,"County",$D1043,"HHA/CDPAP","HHA","Level of Service",$D1049),0)</f>
        <v>0</v>
      </c>
      <c r="L1049" s="658">
        <f ca="1">+IFERROR(L$2*GETPIVOTDATA("Unique Billed Hours",'County allocation'!$O$3,"County",$D1043,"HHA/CDPAP","HHA","Level of Service",$D1049),0)</f>
        <v>0</v>
      </c>
      <c r="M1049" s="658">
        <f>+IFERROR(M$5*GETPIVOTDATA("Unique Billed Hours",'County allocation'!$S$3,"County",$D1043,"HHA/CDPAP","HHA","Level of Service",$D1049),0)</f>
        <v>0</v>
      </c>
      <c r="N1049" s="658">
        <f>+IFERROR(N$5*GETPIVOTDATA("Unique Billed Hours",'County allocation'!$S$3,"County",$D1043,"HHA/CDPAP","HHA","Level of Service",$D1049),0)</f>
        <v>0</v>
      </c>
      <c r="O1049" s="658">
        <f>+IFERROR(O$5*GETPIVOTDATA("Unique Billed Hours",'County allocation'!$K$19,"County",$D1043,"HHA/CDPAP","HHA","Level of Service",$D1049),0)</f>
        <v>0</v>
      </c>
      <c r="P1049" s="658">
        <f>+IFERROR(P$5*GETPIVOTDATA("Unique Billed Hours",'County allocation'!$S$3,"County",$D1043,"HHA/CDPAP","HHA","Level of Service",$D1049),0)</f>
        <v>0</v>
      </c>
    </row>
    <row r="1050" spans="1:18" s="54" customFormat="1" hidden="1" x14ac:dyDescent="0.25">
      <c r="A1050" s="119"/>
      <c r="B1050" s="309"/>
      <c r="C1050" s="322">
        <f t="shared" ca="1" si="377"/>
        <v>0</v>
      </c>
      <c r="D1050" s="7" t="s">
        <v>38</v>
      </c>
      <c r="E1050" s="48" t="s">
        <v>53</v>
      </c>
      <c r="F1050" s="657">
        <f t="shared" ca="1" si="378"/>
        <v>0</v>
      </c>
      <c r="G1050" s="658">
        <f ca="1">+IFERROR(G$5*GETPIVOTDATA("Unique Billed Hours",'County allocation'!$A$3,"County",$D1043,"HHA/CDPAP","HHA","Level of Service",$D1050),0)</f>
        <v>0</v>
      </c>
      <c r="H1050" s="658">
        <f>+IFERROR(H$5*GETPIVOTDATA("Unique Billed Hours",'County allocation'!$S$3,"County",$D1043,"HHA/CDPAP","HHA","Level of Service",$D1050),0)</f>
        <v>0</v>
      </c>
      <c r="I1050" s="664">
        <f t="shared" ca="1" si="379"/>
        <v>0</v>
      </c>
      <c r="J1050" s="658">
        <f ca="1">+IFERROR(J$5*GETPIVOTDATA("Unique Billed Hours",'County allocation'!$S$3,"County",$D1043,"HHA/CDPAP","HHA","Level of Service",$D1050),0)</f>
        <v>0</v>
      </c>
      <c r="K1050" s="658">
        <f ca="1">+IFERROR(K$5*GETPIVOTDATA("Unique Billed Hours",'County allocation'!$X$3,"County",$D1043,"HHA/CDPAP","HHA","Level of Service",$D1050),0)</f>
        <v>0</v>
      </c>
      <c r="L1050" s="658">
        <f ca="1">+IFERROR(L$5*GETPIVOTDATA("Unique Billed Hours",'County allocation'!$K$19,"County",$D1043,"HHA/CDPAP","HHA","Level of Service",$D1050),0)</f>
        <v>0</v>
      </c>
      <c r="M1050" s="658">
        <f>+IFERROR(M$5*GETPIVOTDATA("Unique Billed Hours",'County allocation'!$S$3,"County",$D1043,"HHA/CDPAP","HHA","Level of Service",$D1050),0)</f>
        <v>0</v>
      </c>
      <c r="N1050" s="658">
        <f>+IFERROR(N$5*GETPIVOTDATA("Unique Billed Hours",'County allocation'!$S$3,"County",$D1043,"HHA/CDPAP","HHA","Level of Service",$D1050),0)</f>
        <v>0</v>
      </c>
      <c r="O1050" s="658">
        <f>+IFERROR(O$5*GETPIVOTDATA("Unique Billed Hours",'County allocation'!$K$19,"County",$D1043,"HHA/CDPAP","HHA","Level of Service",$D1050),0)</f>
        <v>0</v>
      </c>
      <c r="P1050" s="658">
        <f>+IFERROR(P$5*GETPIVOTDATA("Unique Billed Hours",'County allocation'!$S$3,"County",$D1043,"HHA/CDPAP","HHA","Level of Service",$D1050),0)</f>
        <v>0</v>
      </c>
    </row>
    <row r="1051" spans="1:18" s="54" customFormat="1" hidden="1" x14ac:dyDescent="0.25">
      <c r="A1051" s="119"/>
      <c r="B1051" s="309"/>
      <c r="C1051" s="322">
        <f t="shared" ca="1" si="377"/>
        <v>0</v>
      </c>
      <c r="D1051" s="7" t="s">
        <v>39</v>
      </c>
      <c r="E1051" s="48" t="s">
        <v>52</v>
      </c>
      <c r="F1051" s="657">
        <f t="shared" ca="1" si="378"/>
        <v>0</v>
      </c>
      <c r="G1051" s="658">
        <f ca="1">+IFERROR(G$5*GETPIVOTDATA("Unique Billed Hours",'County allocation'!$A$3,"County",$D1043,"HHA/CDPAP","HHA","Level of Service",$D1051),0)</f>
        <v>0</v>
      </c>
      <c r="H1051" s="658">
        <f>+IFERROR(H$5*GETPIVOTDATA("Unique Billed Hours",'County allocation'!$S$3,"County",$D1043,"HHA/CDPAP","HHA","Level of Service",$D1051),0)</f>
        <v>0</v>
      </c>
      <c r="I1051" s="664">
        <f t="shared" ca="1" si="379"/>
        <v>0</v>
      </c>
      <c r="J1051" s="658">
        <f ca="1">+IFERROR(J$5*GETPIVOTDATA("Unique Billed Hours",'County allocation'!$S$3,"County",$D1043,"HHA/CDPAP","HHA","Level of Service",$D1051),0)</f>
        <v>0</v>
      </c>
      <c r="K1051" s="658">
        <f ca="1">+IFERROR(K$5*GETPIVOTDATA("Unique Billed Hours",'County allocation'!$X$3,"County",$D1043,"HHA/CDPAP","HHA","Level of Service",$D1051),0)</f>
        <v>0</v>
      </c>
      <c r="L1051" s="658">
        <f ca="1">+IFERROR(L$5*GETPIVOTDATA("Unique Billed Hours",'County allocation'!$K$19,"County",$D1043,"HHA/CDPAP","HHA","Level of Service",$D1051),0)</f>
        <v>0</v>
      </c>
      <c r="M1051" s="658">
        <f>+IFERROR(M$5*GETPIVOTDATA("Unique Billed Hours",'County allocation'!$S$3,"County",$D1043,"HHA/CDPAP","HHA","Level of Service",$D1051),0)</f>
        <v>0</v>
      </c>
      <c r="N1051" s="658">
        <f>+IFERROR(N$5*GETPIVOTDATA("Unique Billed Hours",'County allocation'!$S$3,"County",$D1043,"HHA/CDPAP","HHA","Level of Service",$D1051),0)</f>
        <v>0</v>
      </c>
      <c r="O1051" s="658">
        <f>+IFERROR(O$5*GETPIVOTDATA("Unique Billed Hours",'County allocation'!$K$19,"County",$D1043,"HHA/CDPAP","HHA","Level of Service",$D1051),0)</f>
        <v>0</v>
      </c>
      <c r="P1051" s="658">
        <f>+IFERROR(P$5*GETPIVOTDATA("Unique Billed Hours",'County allocation'!$S$3,"County",$D1043,"HHA/CDPAP","HHA","Level of Service",$D1051),0)</f>
        <v>0</v>
      </c>
    </row>
    <row r="1052" spans="1:18" s="54" customFormat="1" hidden="1" x14ac:dyDescent="0.25">
      <c r="A1052" s="119"/>
      <c r="B1052" s="309"/>
      <c r="C1052" s="322">
        <f t="shared" ca="1" si="377"/>
        <v>0</v>
      </c>
      <c r="D1052" s="8" t="s">
        <v>40</v>
      </c>
      <c r="E1052" s="48" t="s">
        <v>51</v>
      </c>
      <c r="F1052" s="657">
        <f t="shared" ca="1" si="378"/>
        <v>0</v>
      </c>
      <c r="G1052" s="658">
        <f ca="1">+IFERROR(G$5*GETPIVOTDATA("Unique Billed Hours",'County allocation'!$A$3,"County",$D1043,"HHA/CDPAP","HHA","Level of Service",$D1052),0)</f>
        <v>0</v>
      </c>
      <c r="H1052" s="658">
        <f>+IFERROR(H$5*GETPIVOTDATA("Unique Billed Hours",'County allocation'!$S$3,"County",$D1043,"HHA/CDPAP","HHA","Level of Service",$D1052),0)</f>
        <v>0</v>
      </c>
      <c r="I1052" s="664">
        <f t="shared" ca="1" si="379"/>
        <v>0</v>
      </c>
      <c r="J1052" s="658">
        <f ca="1">+IFERROR(J$5*GETPIVOTDATA("Unique Billed Hours",'County allocation'!$S$3,"County",$D1043,"HHA/CDPAP","HHA","Level of Service",$D1052),0)</f>
        <v>0</v>
      </c>
      <c r="K1052" s="658">
        <f ca="1">+IFERROR(K$5*GETPIVOTDATA("Unique Billed Hours",'County allocation'!$X$3,"County",$D1043,"HHA/CDPAP","HHA","Level of Service",$D1052),0)</f>
        <v>0</v>
      </c>
      <c r="L1052" s="658">
        <f ca="1">+IFERROR(L$2*GETPIVOTDATA("Unique Billed Hours",'County allocation'!$O$3,"County",$D1043,"HHA/CDPAP","HHA","Level of Service",$D1052),0)</f>
        <v>0</v>
      </c>
      <c r="M1052" s="658">
        <f>+IFERROR(M$5*GETPIVOTDATA("Unique Billed Hours",'County allocation'!$S$3,"County",$D1043,"HHA/CDPAP","HHA","Level of Service",$D1052),0)</f>
        <v>0</v>
      </c>
      <c r="N1052" s="658">
        <f>+IFERROR(N$5*GETPIVOTDATA("Unique Billed Hours",'County allocation'!$S$3,"County",$D1043,"HHA/CDPAP","HHA","Level of Service",$D1052),0)</f>
        <v>0</v>
      </c>
      <c r="O1052" s="658">
        <f>+IFERROR(O$5*GETPIVOTDATA("Unique Billed Hours",'County allocation'!$K$19,"County",$D1043,"HHA/CDPAP","HHA","Level of Service",$D1052),0)</f>
        <v>0</v>
      </c>
      <c r="P1052" s="658">
        <f>+IFERROR(P$5*GETPIVOTDATA("Unique Billed Hours",'County allocation'!$S$3,"County",$D1043,"HHA/CDPAP","HHA","Level of Service",$D1052),0)</f>
        <v>0</v>
      </c>
    </row>
    <row r="1053" spans="1:18" s="54" customFormat="1" hidden="1" x14ac:dyDescent="0.25">
      <c r="A1053" s="119"/>
      <c r="B1053" s="309"/>
      <c r="C1053" s="322">
        <f t="shared" ca="1" si="377"/>
        <v>0</v>
      </c>
      <c r="D1053" s="8" t="s">
        <v>41</v>
      </c>
      <c r="E1053" s="48" t="s">
        <v>50</v>
      </c>
      <c r="F1053" s="657">
        <f t="shared" ca="1" si="378"/>
        <v>0</v>
      </c>
      <c r="G1053" s="658">
        <f ca="1">+IFERROR(G$5*GETPIVOTDATA("Unique Billed Hours",'County allocation'!$A$3,"County",$D1043,"HHA/CDPAP","HHA","Level of Service",$D1053),0)</f>
        <v>0</v>
      </c>
      <c r="H1053" s="658">
        <f>+IFERROR(H$5*GETPIVOTDATA("Unique Billed Hours",'County allocation'!$S$3,"County",$D1043,"HHA/CDPAP","HHA","Level of Service",$D1053),0)</f>
        <v>0</v>
      </c>
      <c r="I1053" s="664">
        <f t="shared" ca="1" si="379"/>
        <v>0</v>
      </c>
      <c r="J1053" s="658">
        <f ca="1">+IFERROR(J$5*GETPIVOTDATA("Unique Billed Hours",'County allocation'!$S$3,"County",$D1043,"HHA/CDPAP","HHA","Level of Service",$D1053),0)</f>
        <v>0</v>
      </c>
      <c r="K1053" s="658">
        <f ca="1">+IFERROR(K$5*GETPIVOTDATA("Unique Billed Hours",'County allocation'!$X$3,"County",$D1043,"HHA/CDPAP","HHA","Level of Service",$D1053),0)</f>
        <v>0</v>
      </c>
      <c r="L1053" s="658">
        <f ca="1">+IFERROR(L$2*GETPIVOTDATA("Unique Billed Hours",'County allocation'!$O$3,"County",$D1043,"HHA/CDPAP","HHA","Level of Service",$D1053),0)</f>
        <v>0</v>
      </c>
      <c r="M1053" s="658">
        <f>+IFERROR(M$5*GETPIVOTDATA("Unique Billed Hours",'County allocation'!$S$3,"County",$D1043,"HHA/CDPAP","HHA","Level of Service",$D1053),0)</f>
        <v>0</v>
      </c>
      <c r="N1053" s="658">
        <f>+IFERROR(N$5*GETPIVOTDATA("Unique Billed Hours",'County allocation'!$S$3,"County",$D1043,"HHA/CDPAP","HHA","Level of Service",$D1053),0)</f>
        <v>0</v>
      </c>
      <c r="O1053" s="658">
        <f>+IFERROR(O$5*GETPIVOTDATA("Unique Billed Hours",'County allocation'!$K$19,"County",$D1043,"HHA/CDPAP","HHA","Level of Service",$D1053),0)</f>
        <v>0</v>
      </c>
      <c r="P1053" s="658">
        <f>+IFERROR(P$5*GETPIVOTDATA("Unique Billed Hours",'County allocation'!$S$3,"County",$D1043,"HHA/CDPAP","HHA","Level of Service",$D1053),0)</f>
        <v>0</v>
      </c>
    </row>
    <row r="1054" spans="1:18" s="54" customFormat="1" ht="15.75" hidden="1" thickBot="1" x14ac:dyDescent="0.3">
      <c r="A1054" s="119"/>
      <c r="B1054" s="309"/>
      <c r="C1054" s="322">
        <f t="shared" ca="1" si="377"/>
        <v>0</v>
      </c>
      <c r="D1054" s="52" t="s">
        <v>389</v>
      </c>
      <c r="E1054" s="53" t="s">
        <v>49</v>
      </c>
      <c r="F1054" s="657">
        <f t="shared" ca="1" si="378"/>
        <v>0</v>
      </c>
      <c r="G1054" s="661">
        <f ca="1">SUM(G1046:G1053)</f>
        <v>0</v>
      </c>
      <c r="H1054" s="661">
        <f>SUM(H1046:H1053)</f>
        <v>0</v>
      </c>
      <c r="I1054" s="664">
        <f t="shared" ca="1" si="379"/>
        <v>0</v>
      </c>
      <c r="J1054" s="661">
        <f ca="1">SUM(J1046:J1053)</f>
        <v>0</v>
      </c>
      <c r="K1054" s="661">
        <f t="shared" ref="K1054:P1054" ca="1" si="380">SUM(K1046:K1053)</f>
        <v>0</v>
      </c>
      <c r="L1054" s="661">
        <f t="shared" ca="1" si="380"/>
        <v>0</v>
      </c>
      <c r="M1054" s="661">
        <f t="shared" si="380"/>
        <v>0</v>
      </c>
      <c r="N1054" s="661">
        <f t="shared" si="380"/>
        <v>0</v>
      </c>
      <c r="O1054" s="661">
        <f t="shared" si="380"/>
        <v>0</v>
      </c>
      <c r="P1054" s="661">
        <f t="shared" si="380"/>
        <v>0</v>
      </c>
    </row>
    <row r="1055" spans="1:18" s="54" customFormat="1" hidden="1" x14ac:dyDescent="0.25">
      <c r="A1055" s="119"/>
      <c r="B1055" s="309"/>
      <c r="C1055" s="322">
        <f t="shared" ca="1" si="377"/>
        <v>0</v>
      </c>
      <c r="D1055" s="371" t="s">
        <v>390</v>
      </c>
      <c r="E1055" s="325" t="s">
        <v>47</v>
      </c>
      <c r="F1055" s="657">
        <f t="shared" ca="1" si="378"/>
        <v>0</v>
      </c>
      <c r="G1055" s="665">
        <f ca="1">+IFERROR((G$5*GETPIVOTDATA("Unique Billed Hours",'County allocation'!$A$3,"County",$D1043,"HHA/CDPAP","HHA","Level of Service",$D1055))+($G$2*GETPIVOTDATA("Unique Billed Hours",'County allocation'!$F$7,"County",$D1043,"HHA/CDPAP","HHA","Level of Service",$D1055)),0)++IFERROR(J$5*GETPIVOTDATA("Unique Billed Hours",'County allocation'!$AC$3,"County",$D1043,"HHA/CDPAP","HHA","Level of Service",$D1055),0)+ +IFERROR(J$5*GETPIVOTDATA("Unique Billed Hours",'County allocation'!$AC$3,"County",$D1043,"HHA/CDPAP","HHA","Level of Service",$D1056),0)</f>
        <v>0</v>
      </c>
      <c r="H1055" s="665">
        <f>+IFERROR(H$5*GETPIVOTDATA("Unique Billed Hours",'County allocation'!$S$3,"County",$D1043,"HHA/CDPAP","HHA","Level of Service",$D1055),0)</f>
        <v>0</v>
      </c>
      <c r="I1055" s="664">
        <f t="shared" ca="1" si="379"/>
        <v>0</v>
      </c>
      <c r="J1055" s="901"/>
      <c r="K1055" s="665">
        <f ca="1">+IFERROR(K$5*GETPIVOTDATA("Unique Billed Hours",'County allocation'!$X$3,"County",$D1043,"HHA/CDPAP","HHA","Level of Service",$D1055),0)</f>
        <v>0</v>
      </c>
      <c r="L1055" s="665">
        <f ca="1">+IFERROR(L$5*GETPIVOTDATA("Unique Billed Hours",'County allocation'!$K$19,"County",$D1043,"HHA/CDPAP","HHA","Level of Service",$D1055),0)</f>
        <v>0</v>
      </c>
      <c r="M1055" s="665">
        <f>+IFERROR(M$5*GETPIVOTDATA("Unique Billed Hours",'County allocation'!$S$3,"County",$D1043,"HHA/CDPAP","HHA","Level of Service",$D1055),0)</f>
        <v>0</v>
      </c>
      <c r="N1055" s="665">
        <f>+IFERROR(N$5*GETPIVOTDATA("Unique Billed Hours",'County allocation'!$S$3,"County",$D1043,"HHA/CDPAP","HHA","Level of Service",$D1055),0)</f>
        <v>0</v>
      </c>
      <c r="O1055" s="665">
        <f>+IFERROR(O$5*GETPIVOTDATA("Unique Billed Hours",'County allocation'!$S$3,"County",$D1043,"HHA/CDPAP","HHA","Level of Service",$D1055),0)</f>
        <v>0</v>
      </c>
      <c r="P1055" s="665">
        <f>+IFERROR(P$5*GETPIVOTDATA("Unique Billed Hours",'County allocation'!$S$3,"County",$D1043,"HHA/CDPAP","HHA","Level of Service",$D1055),0)</f>
        <v>0</v>
      </c>
    </row>
    <row r="1056" spans="1:18" s="54" customFormat="1" hidden="1" x14ac:dyDescent="0.25">
      <c r="A1056" s="119"/>
      <c r="B1056" s="309"/>
      <c r="C1056" s="322">
        <f t="shared" ca="1" si="377"/>
        <v>0</v>
      </c>
      <c r="D1056" s="8" t="s">
        <v>391</v>
      </c>
      <c r="E1056" s="370" t="s">
        <v>77</v>
      </c>
      <c r="F1056" s="657">
        <f t="shared" ca="1" si="378"/>
        <v>0</v>
      </c>
      <c r="G1056" s="656"/>
      <c r="H1056" s="658">
        <f>+IFERROR(H$5*GETPIVOTDATA("Unique Billed Hours",'County allocation'!$S$3,"County",$D1043,"HHA/CDPAP","HHA","Level of Service",$D1056),0)</f>
        <v>0</v>
      </c>
      <c r="I1056" s="664">
        <f t="shared" ca="1" si="379"/>
        <v>0</v>
      </c>
      <c r="J1056" s="901"/>
      <c r="K1056" s="665">
        <f ca="1">+IFERROR(K$5*GETPIVOTDATA("Unique Billed Hours",'County allocation'!$X$3,"County",$D1043,"HHA/CDPAP","HHA","Level of Service",$D1056),0)</f>
        <v>0</v>
      </c>
      <c r="L1056" s="665">
        <f ca="1">+IFERROR(L$5*GETPIVOTDATA("Unique Billed Hours",'County allocation'!$K$19,"County",$D1043,"HHA/CDPAP","HHA","Level of Service",$D1056),0)</f>
        <v>0</v>
      </c>
      <c r="M1056" s="665">
        <f>+IFERROR(M$5*GETPIVOTDATA("Unique Billed Hours",'County allocation'!$S$3,"County",$D1043,"HHA/CDPAP","HHA","Level of Service",$D1056),0)</f>
        <v>0</v>
      </c>
      <c r="N1056" s="665">
        <f>+IFERROR(N$5*GETPIVOTDATA("Unique Billed Hours",'County allocation'!$S$3,"County",$D1043,"HHA/CDPAP","HHA","Level of Service",$D1056),0)</f>
        <v>0</v>
      </c>
      <c r="O1056" s="665">
        <f>+IFERROR(O$5*GETPIVOTDATA("Unique Billed Hours",'County allocation'!$S$3,"County",$D1043,"HHA/CDPAP","HHA","Level of Service",$D1056),0)</f>
        <v>0</v>
      </c>
      <c r="P1056" s="665">
        <f>+IFERROR(P$5*GETPIVOTDATA("Unique Billed Hours",'County allocation'!$S$3,"County",$D1043,"HHA/CDPAP","HHA","Level of Service",$D1056),0)</f>
        <v>0</v>
      </c>
    </row>
    <row r="1057" spans="1:18" s="54" customFormat="1" hidden="1" x14ac:dyDescent="0.25">
      <c r="A1057" s="119"/>
      <c r="B1057" s="309"/>
      <c r="C1057" s="322">
        <f t="shared" ca="1" si="377"/>
        <v>0</v>
      </c>
      <c r="D1057" s="8" t="s">
        <v>374</v>
      </c>
      <c r="E1057" s="370" t="s">
        <v>78</v>
      </c>
      <c r="F1057" s="657">
        <f t="shared" ca="1" si="378"/>
        <v>0</v>
      </c>
      <c r="G1057" s="658">
        <f ca="1">+IFERROR(G$5*GETPIVOTDATA("Unique Billed Hours",'County allocation'!$A$3,"County",$D1043,"HHA/CDPAP","HHA","Level of Service",$D1057),0)++IFERROR(J$5*GETPIVOTDATA("Unique Billed Hours",'County allocation'!$AC$3,"County",$D1043,"HHA/CDPAP","HHA","Level of Service",$D1057),0)</f>
        <v>0</v>
      </c>
      <c r="H1057" s="658">
        <f>+IFERROR(H$5*GETPIVOTDATA("Unique Billed Hours",'County allocation'!$S$3,"County",$D1043,"HHA/CDPAP","HHA","Level of Service",$D1057),0)</f>
        <v>0</v>
      </c>
      <c r="I1057" s="664">
        <f t="shared" ca="1" si="379"/>
        <v>0</v>
      </c>
      <c r="J1057" s="901"/>
      <c r="K1057" s="665">
        <f ca="1">+IFERROR(K$5*GETPIVOTDATA("Unique Billed Hours",'County allocation'!$X$3,"County",$D1043,"HHA/CDPAP","HHA","Level of Service",$D1057),0)</f>
        <v>0</v>
      </c>
      <c r="L1057" s="665">
        <f ca="1">+IFERROR(L$5*GETPIVOTDATA("Unique Billed Hours",'County allocation'!$K$19,"County",$D1043,"HHA/CDPAP","HHA","Level of Service",$D1057),0)</f>
        <v>0</v>
      </c>
      <c r="M1057" s="665">
        <f>+IFERROR(M$5*GETPIVOTDATA("Unique Billed Hours",'County allocation'!$S$3,"County",$D1043,"HHA/CDPAP","HHA","Level of Service",$D1057),0)</f>
        <v>0</v>
      </c>
      <c r="N1057" s="665">
        <f>+IFERROR(N$5*GETPIVOTDATA("Unique Billed Hours",'County allocation'!$S$3,"County",$D1043,"HHA/CDPAP","HHA","Level of Service",$D1057),0)</f>
        <v>0</v>
      </c>
      <c r="O1057" s="665">
        <f>+IFERROR(O$5*GETPIVOTDATA("Unique Billed Hours",'County allocation'!$S$3,"County",$D1043,"HHA/CDPAP","HHA","Level of Service",$D1057),0)</f>
        <v>0</v>
      </c>
      <c r="P1057" s="665">
        <f>+IFERROR(P$5*GETPIVOTDATA("Unique Billed Hours",'County allocation'!$S$3,"County",$D1043,"HHA/CDPAP","HHA","Level of Service",$D1057),0)</f>
        <v>0</v>
      </c>
    </row>
    <row r="1058" spans="1:18" s="54" customFormat="1" ht="15.75" hidden="1" thickBot="1" x14ac:dyDescent="0.3">
      <c r="A1058" s="302"/>
      <c r="B1058" s="309"/>
      <c r="C1058" s="322">
        <f ca="1">C1057</f>
        <v>0</v>
      </c>
      <c r="D1058" s="52" t="s">
        <v>48</v>
      </c>
      <c r="E1058" s="53" t="s">
        <v>79</v>
      </c>
      <c r="F1058" s="657">
        <f t="shared" ca="1" si="378"/>
        <v>0</v>
      </c>
      <c r="G1058" s="661">
        <f t="shared" ref="G1058" ca="1" si="381">SUM(G1054:G1057)</f>
        <v>0</v>
      </c>
      <c r="H1058" s="661">
        <f t="shared" ref="H1058:P1058" si="382">SUM(H1054:H1057)</f>
        <v>0</v>
      </c>
      <c r="I1058" s="661">
        <f t="shared" ca="1" si="382"/>
        <v>0</v>
      </c>
      <c r="J1058" s="661">
        <f t="shared" ca="1" si="382"/>
        <v>0</v>
      </c>
      <c r="K1058" s="661">
        <f t="shared" ca="1" si="382"/>
        <v>0</v>
      </c>
      <c r="L1058" s="661">
        <f t="shared" ca="1" si="382"/>
        <v>0</v>
      </c>
      <c r="M1058" s="661">
        <f t="shared" si="382"/>
        <v>0</v>
      </c>
      <c r="N1058" s="661">
        <f t="shared" si="382"/>
        <v>0</v>
      </c>
      <c r="O1058" s="661">
        <f t="shared" si="382"/>
        <v>0</v>
      </c>
      <c r="P1058" s="661">
        <f t="shared" si="382"/>
        <v>0</v>
      </c>
    </row>
    <row r="1059" spans="1:18" hidden="1" x14ac:dyDescent="0.25"/>
    <row r="1060" spans="1:18" s="54" customFormat="1" ht="75" hidden="1" x14ac:dyDescent="0.25">
      <c r="A1060" s="119"/>
      <c r="B1060" s="309"/>
      <c r="C1060" s="322">
        <f ca="1">IF(F1075&gt;0,1,0)</f>
        <v>0</v>
      </c>
      <c r="D1060" s="45" t="str">
        <f>A65</f>
        <v>Yates</v>
      </c>
      <c r="E1060" s="28">
        <f>+SUMIF(A:A,D1060,B:B)</f>
        <v>0</v>
      </c>
      <c r="F1060" s="652" t="s">
        <v>61</v>
      </c>
      <c r="G1060" s="652" t="s">
        <v>387</v>
      </c>
      <c r="H1060" s="652" t="s">
        <v>388</v>
      </c>
      <c r="I1060" s="652" t="s">
        <v>392</v>
      </c>
      <c r="J1060" s="652" t="s">
        <v>31</v>
      </c>
      <c r="K1060" s="652" t="s">
        <v>32</v>
      </c>
      <c r="L1060" s="653" t="s">
        <v>33</v>
      </c>
      <c r="M1060" s="653" t="s">
        <v>60</v>
      </c>
      <c r="N1060" s="653" t="s">
        <v>59</v>
      </c>
      <c r="O1060" s="653" t="s">
        <v>58</v>
      </c>
      <c r="P1060" s="653" t="s">
        <v>16</v>
      </c>
    </row>
    <row r="1061" spans="1:18" s="54" customFormat="1" hidden="1" x14ac:dyDescent="0.25">
      <c r="A1061" s="119"/>
      <c r="B1061" s="309"/>
      <c r="C1061" s="322">
        <f ca="1">C1060</f>
        <v>0</v>
      </c>
      <c r="D1061" s="56"/>
      <c r="E1061" s="57"/>
      <c r="F1061" s="654" t="s">
        <v>57</v>
      </c>
      <c r="G1061" s="654" t="s">
        <v>56</v>
      </c>
      <c r="H1061" s="654" t="s">
        <v>55</v>
      </c>
      <c r="I1061" s="654" t="s">
        <v>54</v>
      </c>
      <c r="J1061" s="654" t="s">
        <v>53</v>
      </c>
      <c r="K1061" s="654" t="s">
        <v>52</v>
      </c>
      <c r="L1061" s="654" t="s">
        <v>51</v>
      </c>
      <c r="M1061" s="654" t="s">
        <v>50</v>
      </c>
      <c r="N1061" s="654" t="s">
        <v>49</v>
      </c>
      <c r="O1061" s="654" t="s">
        <v>47</v>
      </c>
      <c r="P1061" s="655" t="s">
        <v>77</v>
      </c>
    </row>
    <row r="1062" spans="1:18" s="54" customFormat="1" hidden="1" x14ac:dyDescent="0.25">
      <c r="A1062" s="119"/>
      <c r="B1062" s="309"/>
      <c r="C1062" s="322">
        <f t="shared" ref="C1062:C1074" ca="1" si="383">C1061</f>
        <v>0</v>
      </c>
      <c r="D1062" s="59" t="s">
        <v>26</v>
      </c>
      <c r="E1062" s="57"/>
      <c r="F1062" s="656"/>
      <c r="G1062" s="656"/>
      <c r="H1062" s="656"/>
      <c r="I1062" s="656"/>
      <c r="J1062" s="656"/>
      <c r="K1062" s="656"/>
      <c r="L1062" s="656"/>
      <c r="M1062" s="656"/>
      <c r="N1062" s="656"/>
      <c r="O1062" s="656"/>
      <c r="P1062" s="663"/>
    </row>
    <row r="1063" spans="1:18" s="54" customFormat="1" hidden="1" x14ac:dyDescent="0.25">
      <c r="A1063" s="119"/>
      <c r="B1063" s="309"/>
      <c r="C1063" s="322">
        <f t="shared" ca="1" si="383"/>
        <v>0</v>
      </c>
      <c r="D1063" s="7" t="s">
        <v>34</v>
      </c>
      <c r="E1063" s="48" t="s">
        <v>57</v>
      </c>
      <c r="F1063" s="657">
        <f ca="1">+H1063+G1063+I1063</f>
        <v>0</v>
      </c>
      <c r="G1063" s="658">
        <f ca="1">+IFERROR(G$5*GETPIVOTDATA("Unique Billed Hours",'County allocation'!$A$3,"County",$D1060,"HHA/CDPAP","HHA","Level of Service",$D1063),0)</f>
        <v>0</v>
      </c>
      <c r="H1063" s="658">
        <f>+IFERROR(H$5*GETPIVOTDATA("Unique Billed Hours",'County allocation'!$S$3,"County",$D1060,"HHA/CDPAP","HHA","Level of Service",$D1063),0)</f>
        <v>0</v>
      </c>
      <c r="I1063" s="664">
        <f ca="1">SUM(J1063:P1063)</f>
        <v>0</v>
      </c>
      <c r="J1063" s="658">
        <f ca="1">+IFERROR(J$5*GETPIVOTDATA("Unique Billed Hours",'County allocation'!$S$3,"County",$D1060,"HHA/CDPAP","HHA","Level of Service",$D1063),0)</f>
        <v>0</v>
      </c>
      <c r="K1063" s="658">
        <f ca="1">+IFERROR(K$5*GETPIVOTDATA("Unique Billed Hours",'County allocation'!$X$3,"County",$D1060,"HHA/CDPAP","HHA","Level of Service",$D1063),0)</f>
        <v>0</v>
      </c>
      <c r="L1063" s="658">
        <f ca="1">+IFERROR(L$2*GETPIVOTDATA("Unique Billed Hours",'County allocation'!$O$3,"County",$D1060,"HHA/CDPAP","HHA","Level of Service",$D1063),0)</f>
        <v>0</v>
      </c>
      <c r="M1063" s="658">
        <f>+IFERROR(M$5*GETPIVOTDATA("Unique Billed Hours",'County allocation'!$S$3,"County",$D1060,"HHA/CDPAP","HHA","Level of Service",$D1063),0)</f>
        <v>0</v>
      </c>
      <c r="N1063" s="658">
        <f>+IFERROR(N$5*GETPIVOTDATA("Unique Billed Hours",'County allocation'!$S$3,"County",$D1060,"HHA/CDPAP","HHA","Level of Service",$D1063),0)</f>
        <v>0</v>
      </c>
      <c r="O1063" s="658">
        <f>+IFERROR(O$5*GETPIVOTDATA("Unique Billed Hours",'County allocation'!$K$19,"County",$D1060,"HHA/CDPAP","HHA","Level of Service",$D1063),0)</f>
        <v>0</v>
      </c>
      <c r="P1063" s="658">
        <f>+IFERROR(P$5*GETPIVOTDATA("Unique Billed Hours",'County allocation'!$S$3,"County",$D1060,"HHA/CDPAP","HHA","Level of Service",$D1063),0)</f>
        <v>0</v>
      </c>
    </row>
    <row r="1064" spans="1:18" s="54" customFormat="1" hidden="1" x14ac:dyDescent="0.25">
      <c r="A1064" s="119"/>
      <c r="B1064" s="309"/>
      <c r="C1064" s="322">
        <f t="shared" ca="1" si="383"/>
        <v>0</v>
      </c>
      <c r="D1064" s="7" t="s">
        <v>35</v>
      </c>
      <c r="E1064" s="48" t="s">
        <v>56</v>
      </c>
      <c r="F1064" s="657">
        <f t="shared" ref="F1064:F1075" ca="1" si="384">+H1064+G1064+I1064</f>
        <v>0</v>
      </c>
      <c r="G1064" s="658">
        <f ca="1">+IFERROR(G$5*GETPIVOTDATA("Unique Billed Hours",'County allocation'!$A$3,"County",$D1060,"HHA/CDPAP","HHA","Level of Service",$D1064),0)</f>
        <v>0</v>
      </c>
      <c r="H1064" s="658">
        <f>+IFERROR(H$5*GETPIVOTDATA("Unique Billed Hours",'County allocation'!$S$3,"County",$D1060,"HHA/CDPAP","HHA","Level of Service",$D1064),0)</f>
        <v>0</v>
      </c>
      <c r="I1064" s="664">
        <f t="shared" ref="I1064:I1074" ca="1" si="385">SUM(J1064:P1064)</f>
        <v>0</v>
      </c>
      <c r="J1064" s="658">
        <f ca="1">+IFERROR(J$5*GETPIVOTDATA("Unique Billed Hours",'County allocation'!$S$3,"County",$D1060,"HHA/CDPAP","HHA","Level of Service",$D1064),0)</f>
        <v>0</v>
      </c>
      <c r="K1064" s="658">
        <f ca="1">+IFERROR(K$5*GETPIVOTDATA("Unique Billed Hours",'County allocation'!$X$3,"County",$D1060,"HHA/CDPAP","HHA","Level of Service",$D1064),0)</f>
        <v>0</v>
      </c>
      <c r="L1064" s="658">
        <f ca="1">+IFERROR(L$2*GETPIVOTDATA("Unique Billed Hours",'County allocation'!$O$3,"County",$D1060,"HHA/CDPAP","HHA","Level of Service",$D1064),0)</f>
        <v>0</v>
      </c>
      <c r="M1064" s="658">
        <f>+IFERROR(M$5*GETPIVOTDATA("Unique Billed Hours",'County allocation'!$S$3,"County",$D1060,"HHA/CDPAP","HHA","Level of Service",$D1064),0)</f>
        <v>0</v>
      </c>
      <c r="N1064" s="658">
        <f>+IFERROR(N$5*GETPIVOTDATA("Unique Billed Hours",'County allocation'!$S$3,"County",$D1060,"HHA/CDPAP","HHA","Level of Service",$D1064),0)</f>
        <v>0</v>
      </c>
      <c r="O1064" s="658">
        <f>+IFERROR(O$5*GETPIVOTDATA("Unique Billed Hours",'County allocation'!$K$19,"County",$D1060,"HHA/CDPAP","HHA","Level of Service",$D1064),0)</f>
        <v>0</v>
      </c>
      <c r="P1064" s="658">
        <f>+IFERROR(P$5*GETPIVOTDATA("Unique Billed Hours",'County allocation'!$S$3,"County",$D1060,"HHA/CDPAP","HHA","Level of Service",$D1064),0)</f>
        <v>0</v>
      </c>
      <c r="R1064" s="61"/>
    </row>
    <row r="1065" spans="1:18" s="54" customFormat="1" hidden="1" x14ac:dyDescent="0.25">
      <c r="A1065" s="302"/>
      <c r="B1065" s="309"/>
      <c r="C1065" s="322">
        <f t="shared" ca="1" si="383"/>
        <v>0</v>
      </c>
      <c r="D1065" s="7" t="s">
        <v>36</v>
      </c>
      <c r="E1065" s="48" t="s">
        <v>55</v>
      </c>
      <c r="F1065" s="657">
        <f t="shared" ca="1" si="384"/>
        <v>0</v>
      </c>
      <c r="G1065" s="658">
        <f ca="1">+IFERROR(G$5*GETPIVOTDATA("Unique Billed Hours",'County allocation'!$A$3,"County",$D1060,"HHA/CDPAP","HHA","Level of Service",$D1065),0)</f>
        <v>0</v>
      </c>
      <c r="H1065" s="658">
        <f>+IFERROR(H$5*GETPIVOTDATA("Unique Billed Hours",'County allocation'!$S$3,"County",$D1060,"HHA/CDPAP","HHA","Level of Service",$D1065),0)</f>
        <v>0</v>
      </c>
      <c r="I1065" s="664">
        <f t="shared" ca="1" si="385"/>
        <v>0</v>
      </c>
      <c r="J1065" s="658">
        <f ca="1">+IFERROR(J$5*GETPIVOTDATA("Unique Billed Hours",'County allocation'!$S$3,"County",$D1060,"HHA/CDPAP","HHA","Level of Service",$D1065),0)</f>
        <v>0</v>
      </c>
      <c r="K1065" s="658">
        <f ca="1">+IFERROR(K$5*GETPIVOTDATA("Unique Billed Hours",'County allocation'!$X$3,"County",$D1060,"HHA/CDPAP","HHA","Level of Service",$D1065),0)</f>
        <v>0</v>
      </c>
      <c r="L1065" s="658">
        <f ca="1">+IFERROR(L$2*GETPIVOTDATA("Unique Billed Hours",'County allocation'!$O$3,"County",$D1060,"HHA/CDPAP","HHA","Level of Service",$D1065),0)</f>
        <v>0</v>
      </c>
      <c r="M1065" s="658">
        <f>+IFERROR(M$5*GETPIVOTDATA("Unique Billed Hours",'County allocation'!$S$3,"County",$D1060,"HHA/CDPAP","HHA","Level of Service",$D1065),0)</f>
        <v>0</v>
      </c>
      <c r="N1065" s="658">
        <f>+IFERROR(N$5*GETPIVOTDATA("Unique Billed Hours",'County allocation'!$S$3,"County",$D1060,"HHA/CDPAP","HHA","Level of Service",$D1065),0)</f>
        <v>0</v>
      </c>
      <c r="O1065" s="658">
        <f>+IFERROR(O$5*GETPIVOTDATA("Unique Billed Hours",'County allocation'!$K$19,"County",$D1060,"HHA/CDPAP","HHA","Level of Service",$D1065),0)</f>
        <v>0</v>
      </c>
      <c r="P1065" s="658">
        <f>+IFERROR(P$5*GETPIVOTDATA("Unique Billed Hours",'County allocation'!$S$3,"County",$D1060,"HHA/CDPAP","HHA","Level of Service",$D1065),0)</f>
        <v>0</v>
      </c>
    </row>
    <row r="1066" spans="1:18" s="54" customFormat="1" hidden="1" x14ac:dyDescent="0.25">
      <c r="A1066" s="119"/>
      <c r="B1066" s="309"/>
      <c r="C1066" s="322">
        <f t="shared" ca="1" si="383"/>
        <v>0</v>
      </c>
      <c r="D1066" s="7" t="s">
        <v>37</v>
      </c>
      <c r="E1066" s="48" t="s">
        <v>54</v>
      </c>
      <c r="F1066" s="657">
        <f t="shared" ca="1" si="384"/>
        <v>0</v>
      </c>
      <c r="G1066" s="658">
        <f ca="1">+IFERROR(G$5*GETPIVOTDATA("Unique Billed Hours",'County allocation'!$A$3,"County",$D1060,"HHA/CDPAP","HHA","Level of Service",$D1066),0)</f>
        <v>0</v>
      </c>
      <c r="H1066" s="658">
        <f>+IFERROR(H$5*GETPIVOTDATA("Unique Billed Hours",'County allocation'!$S$3,"County",$D1060,"HHA/CDPAP","HHA","Level of Service",$D1066),0)</f>
        <v>0</v>
      </c>
      <c r="I1066" s="664">
        <f t="shared" ca="1" si="385"/>
        <v>0</v>
      </c>
      <c r="J1066" s="658">
        <f ca="1">+IFERROR(J$5*GETPIVOTDATA("Unique Billed Hours",'County allocation'!$S$3,"County",$D1060,"HHA/CDPAP","HHA","Level of Service",$D1066),0)</f>
        <v>0</v>
      </c>
      <c r="K1066" s="658">
        <f ca="1">+IFERROR(K$5*GETPIVOTDATA("Unique Billed Hours",'County allocation'!$X$3,"County",$D1060,"HHA/CDPAP","HHA","Level of Service",$D1066),0)</f>
        <v>0</v>
      </c>
      <c r="L1066" s="658">
        <f ca="1">+IFERROR(L$2*GETPIVOTDATA("Unique Billed Hours",'County allocation'!$O$3,"County",$D1060,"HHA/CDPAP","HHA","Level of Service",$D1066),0)</f>
        <v>0</v>
      </c>
      <c r="M1066" s="658">
        <f>+IFERROR(M$5*GETPIVOTDATA("Unique Billed Hours",'County allocation'!$S$3,"County",$D1060,"HHA/CDPAP","HHA","Level of Service",$D1066),0)</f>
        <v>0</v>
      </c>
      <c r="N1066" s="658">
        <f>+IFERROR(N$5*GETPIVOTDATA("Unique Billed Hours",'County allocation'!$S$3,"County",$D1060,"HHA/CDPAP","HHA","Level of Service",$D1066),0)</f>
        <v>0</v>
      </c>
      <c r="O1066" s="658">
        <f>+IFERROR(O$5*GETPIVOTDATA("Unique Billed Hours",'County allocation'!$K$19,"County",$D1060,"HHA/CDPAP","HHA","Level of Service",$D1066),0)</f>
        <v>0</v>
      </c>
      <c r="P1066" s="658">
        <f>+IFERROR(P$5*GETPIVOTDATA("Unique Billed Hours",'County allocation'!$S$3,"County",$D1060,"HHA/CDPAP","HHA","Level of Service",$D1066),0)</f>
        <v>0</v>
      </c>
    </row>
    <row r="1067" spans="1:18" s="54" customFormat="1" hidden="1" x14ac:dyDescent="0.25">
      <c r="A1067" s="119"/>
      <c r="B1067" s="309"/>
      <c r="C1067" s="322">
        <f t="shared" ca="1" si="383"/>
        <v>0</v>
      </c>
      <c r="D1067" s="7" t="s">
        <v>38</v>
      </c>
      <c r="E1067" s="48" t="s">
        <v>53</v>
      </c>
      <c r="F1067" s="657">
        <f t="shared" ca="1" si="384"/>
        <v>0</v>
      </c>
      <c r="G1067" s="658">
        <f ca="1">+IFERROR(G$5*GETPIVOTDATA("Unique Billed Hours",'County allocation'!$A$3,"County",$D1060,"HHA/CDPAP","HHA","Level of Service",$D1067),0)</f>
        <v>0</v>
      </c>
      <c r="H1067" s="658">
        <f>+IFERROR(H$5*GETPIVOTDATA("Unique Billed Hours",'County allocation'!$S$3,"County",$D1060,"HHA/CDPAP","HHA","Level of Service",$D1067),0)</f>
        <v>0</v>
      </c>
      <c r="I1067" s="664">
        <f t="shared" ca="1" si="385"/>
        <v>0</v>
      </c>
      <c r="J1067" s="658">
        <f ca="1">+IFERROR(J$5*GETPIVOTDATA("Unique Billed Hours",'County allocation'!$S$3,"County",$D1060,"HHA/CDPAP","HHA","Level of Service",$D1067),0)</f>
        <v>0</v>
      </c>
      <c r="K1067" s="658">
        <f ca="1">+IFERROR(K$5*GETPIVOTDATA("Unique Billed Hours",'County allocation'!$X$3,"County",$D1060,"HHA/CDPAP","HHA","Level of Service",$D1067),0)</f>
        <v>0</v>
      </c>
      <c r="L1067" s="658">
        <f ca="1">+IFERROR(L$5*GETPIVOTDATA("Unique Billed Hours",'County allocation'!$K$19,"County",$D1060,"HHA/CDPAP","HHA","Level of Service",$D1067),0)</f>
        <v>0</v>
      </c>
      <c r="M1067" s="658">
        <f>+IFERROR(M$5*GETPIVOTDATA("Unique Billed Hours",'County allocation'!$S$3,"County",$D1060,"HHA/CDPAP","HHA","Level of Service",$D1067),0)</f>
        <v>0</v>
      </c>
      <c r="N1067" s="658">
        <f>+IFERROR(N$5*GETPIVOTDATA("Unique Billed Hours",'County allocation'!$S$3,"County",$D1060,"HHA/CDPAP","HHA","Level of Service",$D1067),0)</f>
        <v>0</v>
      </c>
      <c r="O1067" s="658">
        <f>+IFERROR(O$5*GETPIVOTDATA("Unique Billed Hours",'County allocation'!$K$19,"County",$D1060,"HHA/CDPAP","HHA","Level of Service",$D1067),0)</f>
        <v>0</v>
      </c>
      <c r="P1067" s="658">
        <f>+IFERROR(P$5*GETPIVOTDATA("Unique Billed Hours",'County allocation'!$S$3,"County",$D1060,"HHA/CDPAP","HHA","Level of Service",$D1067),0)</f>
        <v>0</v>
      </c>
    </row>
    <row r="1068" spans="1:18" s="54" customFormat="1" hidden="1" x14ac:dyDescent="0.25">
      <c r="A1068" s="119"/>
      <c r="B1068" s="309"/>
      <c r="C1068" s="322">
        <f t="shared" ca="1" si="383"/>
        <v>0</v>
      </c>
      <c r="D1068" s="7" t="s">
        <v>39</v>
      </c>
      <c r="E1068" s="48" t="s">
        <v>52</v>
      </c>
      <c r="F1068" s="657">
        <f t="shared" ca="1" si="384"/>
        <v>0</v>
      </c>
      <c r="G1068" s="658">
        <f ca="1">+IFERROR(G$5*GETPIVOTDATA("Unique Billed Hours",'County allocation'!$A$3,"County",$D1060,"HHA/CDPAP","HHA","Level of Service",$D1068),0)</f>
        <v>0</v>
      </c>
      <c r="H1068" s="658">
        <f>+IFERROR(H$5*GETPIVOTDATA("Unique Billed Hours",'County allocation'!$S$3,"County",$D1060,"HHA/CDPAP","HHA","Level of Service",$D1068),0)</f>
        <v>0</v>
      </c>
      <c r="I1068" s="664">
        <f t="shared" ca="1" si="385"/>
        <v>0</v>
      </c>
      <c r="J1068" s="658">
        <f ca="1">+IFERROR(J$5*GETPIVOTDATA("Unique Billed Hours",'County allocation'!$S$3,"County",$D1060,"HHA/CDPAP","HHA","Level of Service",$D1068),0)</f>
        <v>0</v>
      </c>
      <c r="K1068" s="658">
        <f ca="1">+IFERROR(K$5*GETPIVOTDATA("Unique Billed Hours",'County allocation'!$X$3,"County",$D1060,"HHA/CDPAP","HHA","Level of Service",$D1068),0)</f>
        <v>0</v>
      </c>
      <c r="L1068" s="658">
        <f ca="1">+IFERROR(L$5*GETPIVOTDATA("Unique Billed Hours",'County allocation'!$K$19,"County",$D1060,"HHA/CDPAP","HHA","Level of Service",$D1068),0)</f>
        <v>0</v>
      </c>
      <c r="M1068" s="658">
        <f>+IFERROR(M$5*GETPIVOTDATA("Unique Billed Hours",'County allocation'!$S$3,"County",$D1060,"HHA/CDPAP","HHA","Level of Service",$D1068),0)</f>
        <v>0</v>
      </c>
      <c r="N1068" s="658">
        <f>+IFERROR(N$5*GETPIVOTDATA("Unique Billed Hours",'County allocation'!$S$3,"County",$D1060,"HHA/CDPAP","HHA","Level of Service",$D1068),0)</f>
        <v>0</v>
      </c>
      <c r="O1068" s="658">
        <f>+IFERROR(O$5*GETPIVOTDATA("Unique Billed Hours",'County allocation'!$K$19,"County",$D1060,"HHA/CDPAP","HHA","Level of Service",$D1068),0)</f>
        <v>0</v>
      </c>
      <c r="P1068" s="658">
        <f>+IFERROR(P$5*GETPIVOTDATA("Unique Billed Hours",'County allocation'!$S$3,"County",$D1060,"HHA/CDPAP","HHA","Level of Service",$D1068),0)</f>
        <v>0</v>
      </c>
    </row>
    <row r="1069" spans="1:18" s="54" customFormat="1" hidden="1" x14ac:dyDescent="0.25">
      <c r="A1069" s="119"/>
      <c r="B1069" s="309"/>
      <c r="C1069" s="322">
        <f t="shared" ca="1" si="383"/>
        <v>0</v>
      </c>
      <c r="D1069" s="8" t="s">
        <v>40</v>
      </c>
      <c r="E1069" s="48" t="s">
        <v>51</v>
      </c>
      <c r="F1069" s="657">
        <f t="shared" ca="1" si="384"/>
        <v>0</v>
      </c>
      <c r="G1069" s="658">
        <f ca="1">+IFERROR(G$5*GETPIVOTDATA("Unique Billed Hours",'County allocation'!$A$3,"County",$D1060,"HHA/CDPAP","HHA","Level of Service",$D1069),0)</f>
        <v>0</v>
      </c>
      <c r="H1069" s="658">
        <f>+IFERROR(H$5*GETPIVOTDATA("Unique Billed Hours",'County allocation'!$S$3,"County",$D1060,"HHA/CDPAP","HHA","Level of Service",$D1069),0)</f>
        <v>0</v>
      </c>
      <c r="I1069" s="664">
        <f t="shared" ca="1" si="385"/>
        <v>0</v>
      </c>
      <c r="J1069" s="658">
        <f ca="1">+IFERROR(J$5*GETPIVOTDATA("Unique Billed Hours",'County allocation'!$S$3,"County",$D1060,"HHA/CDPAP","HHA","Level of Service",$D1069),0)</f>
        <v>0</v>
      </c>
      <c r="K1069" s="658">
        <f ca="1">+IFERROR(K$5*GETPIVOTDATA("Unique Billed Hours",'County allocation'!$X$3,"County",$D1060,"HHA/CDPAP","HHA","Level of Service",$D1069),0)</f>
        <v>0</v>
      </c>
      <c r="L1069" s="658">
        <f ca="1">+IFERROR(L$2*GETPIVOTDATA("Unique Billed Hours",'County allocation'!$O$3,"County",$D1060,"HHA/CDPAP","HHA","Level of Service",$D1069),0)</f>
        <v>0</v>
      </c>
      <c r="M1069" s="658">
        <f>+IFERROR(M$5*GETPIVOTDATA("Unique Billed Hours",'County allocation'!$S$3,"County",$D1060,"HHA/CDPAP","HHA","Level of Service",$D1069),0)</f>
        <v>0</v>
      </c>
      <c r="N1069" s="658">
        <f>+IFERROR(N$5*GETPIVOTDATA("Unique Billed Hours",'County allocation'!$S$3,"County",$D1060,"HHA/CDPAP","HHA","Level of Service",$D1069),0)</f>
        <v>0</v>
      </c>
      <c r="O1069" s="658">
        <f>+IFERROR(O$5*GETPIVOTDATA("Unique Billed Hours",'County allocation'!$K$19,"County",$D1060,"HHA/CDPAP","HHA","Level of Service",$D1069),0)</f>
        <v>0</v>
      </c>
      <c r="P1069" s="658">
        <f>+IFERROR(P$5*GETPIVOTDATA("Unique Billed Hours",'County allocation'!$S$3,"County",$D1060,"HHA/CDPAP","HHA","Level of Service",$D1069),0)</f>
        <v>0</v>
      </c>
    </row>
    <row r="1070" spans="1:18" s="54" customFormat="1" hidden="1" x14ac:dyDescent="0.25">
      <c r="A1070" s="119"/>
      <c r="B1070" s="309"/>
      <c r="C1070" s="322">
        <f t="shared" ca="1" si="383"/>
        <v>0</v>
      </c>
      <c r="D1070" s="8" t="s">
        <v>41</v>
      </c>
      <c r="E1070" s="48" t="s">
        <v>50</v>
      </c>
      <c r="F1070" s="657">
        <f t="shared" ca="1" si="384"/>
        <v>0</v>
      </c>
      <c r="G1070" s="658">
        <f ca="1">+IFERROR(G$5*GETPIVOTDATA("Unique Billed Hours",'County allocation'!$A$3,"County",$D1060,"HHA/CDPAP","HHA","Level of Service",$D1070),0)</f>
        <v>0</v>
      </c>
      <c r="H1070" s="658">
        <f>+IFERROR(H$5*GETPIVOTDATA("Unique Billed Hours",'County allocation'!$S$3,"County",$D1060,"HHA/CDPAP","HHA","Level of Service",$D1070),0)</f>
        <v>0</v>
      </c>
      <c r="I1070" s="664">
        <f t="shared" ca="1" si="385"/>
        <v>0</v>
      </c>
      <c r="J1070" s="658">
        <f ca="1">+IFERROR(J$5*GETPIVOTDATA("Unique Billed Hours",'County allocation'!$S$3,"County",$D1060,"HHA/CDPAP","HHA","Level of Service",$D1070),0)</f>
        <v>0</v>
      </c>
      <c r="K1070" s="658">
        <f ca="1">+IFERROR(K$5*GETPIVOTDATA("Unique Billed Hours",'County allocation'!$X$3,"County",$D1060,"HHA/CDPAP","HHA","Level of Service",$D1070),0)</f>
        <v>0</v>
      </c>
      <c r="L1070" s="658">
        <f ca="1">+IFERROR(L$2*GETPIVOTDATA("Unique Billed Hours",'County allocation'!$O$3,"County",$D1060,"HHA/CDPAP","HHA","Level of Service",$D1070),0)</f>
        <v>0</v>
      </c>
      <c r="M1070" s="658">
        <f>+IFERROR(M$5*GETPIVOTDATA("Unique Billed Hours",'County allocation'!$S$3,"County",$D1060,"HHA/CDPAP","HHA","Level of Service",$D1070),0)</f>
        <v>0</v>
      </c>
      <c r="N1070" s="658">
        <f>+IFERROR(N$5*GETPIVOTDATA("Unique Billed Hours",'County allocation'!$S$3,"County",$D1060,"HHA/CDPAP","HHA","Level of Service",$D1070),0)</f>
        <v>0</v>
      </c>
      <c r="O1070" s="658">
        <f>+IFERROR(O$5*GETPIVOTDATA("Unique Billed Hours",'County allocation'!$K$19,"County",$D1060,"HHA/CDPAP","HHA","Level of Service",$D1070),0)</f>
        <v>0</v>
      </c>
      <c r="P1070" s="658">
        <f>+IFERROR(P$5*GETPIVOTDATA("Unique Billed Hours",'County allocation'!$S$3,"County",$D1060,"HHA/CDPAP","HHA","Level of Service",$D1070),0)</f>
        <v>0</v>
      </c>
    </row>
    <row r="1071" spans="1:18" s="54" customFormat="1" ht="15.75" hidden="1" thickBot="1" x14ac:dyDescent="0.3">
      <c r="A1071" s="119"/>
      <c r="B1071" s="309"/>
      <c r="C1071" s="322">
        <f t="shared" ca="1" si="383"/>
        <v>0</v>
      </c>
      <c r="D1071" s="52" t="s">
        <v>389</v>
      </c>
      <c r="E1071" s="53" t="s">
        <v>49</v>
      </c>
      <c r="F1071" s="657">
        <f t="shared" ca="1" si="384"/>
        <v>0</v>
      </c>
      <c r="G1071" s="661">
        <f ca="1">SUM(G1063:G1070)</f>
        <v>0</v>
      </c>
      <c r="H1071" s="661">
        <f>SUM(H1063:H1070)</f>
        <v>0</v>
      </c>
      <c r="I1071" s="664">
        <f t="shared" ca="1" si="385"/>
        <v>0</v>
      </c>
      <c r="J1071" s="661">
        <f ca="1">SUM(J1063:J1070)</f>
        <v>0</v>
      </c>
      <c r="K1071" s="661">
        <f t="shared" ref="K1071:P1071" ca="1" si="386">SUM(K1063:K1070)</f>
        <v>0</v>
      </c>
      <c r="L1071" s="661">
        <f t="shared" ca="1" si="386"/>
        <v>0</v>
      </c>
      <c r="M1071" s="661">
        <f t="shared" si="386"/>
        <v>0</v>
      </c>
      <c r="N1071" s="661">
        <f t="shared" si="386"/>
        <v>0</v>
      </c>
      <c r="O1071" s="661">
        <f t="shared" si="386"/>
        <v>0</v>
      </c>
      <c r="P1071" s="661">
        <f t="shared" si="386"/>
        <v>0</v>
      </c>
    </row>
    <row r="1072" spans="1:18" s="54" customFormat="1" hidden="1" x14ac:dyDescent="0.25">
      <c r="A1072" s="119"/>
      <c r="B1072" s="309"/>
      <c r="C1072" s="322">
        <f t="shared" ca="1" si="383"/>
        <v>0</v>
      </c>
      <c r="D1072" s="371" t="s">
        <v>390</v>
      </c>
      <c r="E1072" s="325" t="s">
        <v>47</v>
      </c>
      <c r="F1072" s="657">
        <f t="shared" ca="1" si="384"/>
        <v>0</v>
      </c>
      <c r="G1072" s="665">
        <f ca="1">+IFERROR((G$5*GETPIVOTDATA("Unique Billed Hours",'County allocation'!$A$3,"County",$D1060,"HHA/CDPAP","HHA","Level of Service",$D1072))+($G$2*GETPIVOTDATA("Unique Billed Hours",'County allocation'!$F$7,"County",$D1060,"HHA/CDPAP","HHA","Level of Service",$D1072)),0)++IFERROR(J$5*GETPIVOTDATA("Unique Billed Hours",'County allocation'!$AC$3,"County",$D1060,"HHA/CDPAP","HHA","Level of Service",$D1072),0)+ +IFERROR(J$5*GETPIVOTDATA("Unique Billed Hours",'County allocation'!$AC$3,"County",$D1060,"HHA/CDPAP","HHA","Level of Service",$D1073),0)</f>
        <v>0</v>
      </c>
      <c r="H1072" s="665">
        <f>+IFERROR(H$5*GETPIVOTDATA("Unique Billed Hours",'County allocation'!$S$3,"County",$D1060,"HHA/CDPAP","HHA","Level of Service",$D1072),0)</f>
        <v>0</v>
      </c>
      <c r="I1072" s="664">
        <f t="shared" ca="1" si="385"/>
        <v>0</v>
      </c>
      <c r="J1072" s="901"/>
      <c r="K1072" s="665">
        <f ca="1">+IFERROR(K$5*GETPIVOTDATA("Unique Billed Hours",'County allocation'!$X$3,"County",$D1060,"HHA/CDPAP","HHA","Level of Service",$D1072),0)</f>
        <v>0</v>
      </c>
      <c r="L1072" s="665">
        <f ca="1">+IFERROR(L$5*GETPIVOTDATA("Unique Billed Hours",'County allocation'!$K$19,"County",$D1060,"HHA/CDPAP","HHA","Level of Service",$D1072),0)</f>
        <v>0</v>
      </c>
      <c r="M1072" s="665">
        <f>+IFERROR(M$5*GETPIVOTDATA("Unique Billed Hours",'County allocation'!$S$3,"County",$D1060,"HHA/CDPAP","HHA","Level of Service",$D1072),0)</f>
        <v>0</v>
      </c>
      <c r="N1072" s="665">
        <f>+IFERROR(N$5*GETPIVOTDATA("Unique Billed Hours",'County allocation'!$S$3,"County",$D1060,"HHA/CDPAP","HHA","Level of Service",$D1072),0)</f>
        <v>0</v>
      </c>
      <c r="O1072" s="665">
        <f>+IFERROR(O$5*GETPIVOTDATA("Unique Billed Hours",'County allocation'!$S$3,"County",$D1060,"HHA/CDPAP","HHA","Level of Service",$D1072),0)</f>
        <v>0</v>
      </c>
      <c r="P1072" s="665">
        <f>+IFERROR(P$5*GETPIVOTDATA("Unique Billed Hours",'County allocation'!$S$3,"County",$D1060,"HHA/CDPAP","HHA","Level of Service",$D1072),0)</f>
        <v>0</v>
      </c>
    </row>
    <row r="1073" spans="1:16" s="54" customFormat="1" hidden="1" x14ac:dyDescent="0.25">
      <c r="A1073" s="119"/>
      <c r="B1073" s="309"/>
      <c r="C1073" s="322">
        <f t="shared" ca="1" si="383"/>
        <v>0</v>
      </c>
      <c r="D1073" s="8" t="s">
        <v>391</v>
      </c>
      <c r="E1073" s="370" t="s">
        <v>77</v>
      </c>
      <c r="F1073" s="657">
        <f t="shared" ca="1" si="384"/>
        <v>0</v>
      </c>
      <c r="G1073" s="656"/>
      <c r="H1073" s="658">
        <f>+IFERROR(H$5*GETPIVOTDATA("Unique Billed Hours",'County allocation'!$S$3,"County",$D1060,"HHA/CDPAP","HHA","Level of Service",$D1073),0)</f>
        <v>0</v>
      </c>
      <c r="I1073" s="664">
        <f t="shared" ca="1" si="385"/>
        <v>0</v>
      </c>
      <c r="J1073" s="901"/>
      <c r="K1073" s="665">
        <f ca="1">+IFERROR(K$5*GETPIVOTDATA("Unique Billed Hours",'County allocation'!$X$3,"County",$D1060,"HHA/CDPAP","HHA","Level of Service",$D1073),0)</f>
        <v>0</v>
      </c>
      <c r="L1073" s="665">
        <f ca="1">+IFERROR(L$5*GETPIVOTDATA("Unique Billed Hours",'County allocation'!$K$19,"County",$D1060,"HHA/CDPAP","HHA","Level of Service",$D1073),0)</f>
        <v>0</v>
      </c>
      <c r="M1073" s="665">
        <f>+IFERROR(M$5*GETPIVOTDATA("Unique Billed Hours",'County allocation'!$S$3,"County",$D1060,"HHA/CDPAP","HHA","Level of Service",$D1073),0)</f>
        <v>0</v>
      </c>
      <c r="N1073" s="665">
        <f>+IFERROR(N$5*GETPIVOTDATA("Unique Billed Hours",'County allocation'!$S$3,"County",$D1060,"HHA/CDPAP","HHA","Level of Service",$D1073),0)</f>
        <v>0</v>
      </c>
      <c r="O1073" s="665">
        <f>+IFERROR(O$5*GETPIVOTDATA("Unique Billed Hours",'County allocation'!$S$3,"County",$D1060,"HHA/CDPAP","HHA","Level of Service",$D1073),0)</f>
        <v>0</v>
      </c>
      <c r="P1073" s="665">
        <f>+IFERROR(P$5*GETPIVOTDATA("Unique Billed Hours",'County allocation'!$S$3,"County",$D1060,"HHA/CDPAP","HHA","Level of Service",$D1073),0)</f>
        <v>0</v>
      </c>
    </row>
    <row r="1074" spans="1:16" s="54" customFormat="1" hidden="1" x14ac:dyDescent="0.25">
      <c r="A1074" s="119"/>
      <c r="B1074" s="309"/>
      <c r="C1074" s="322">
        <f t="shared" ca="1" si="383"/>
        <v>0</v>
      </c>
      <c r="D1074" s="8" t="s">
        <v>374</v>
      </c>
      <c r="E1074" s="370" t="s">
        <v>78</v>
      </c>
      <c r="F1074" s="657">
        <f t="shared" ca="1" si="384"/>
        <v>0</v>
      </c>
      <c r="G1074" s="658">
        <f ca="1">+IFERROR(G$5*GETPIVOTDATA("Unique Billed Hours",'County allocation'!$A$3,"County",$D1060,"HHA/CDPAP","HHA","Level of Service",$D1074),0)++IFERROR(J$5*GETPIVOTDATA("Unique Billed Hours",'County allocation'!$AC$3,"County",$D1060,"HHA/CDPAP","HHA","Level of Service",$D1074),0)</f>
        <v>0</v>
      </c>
      <c r="H1074" s="658">
        <f>+IFERROR(H$5*GETPIVOTDATA("Unique Billed Hours",'County allocation'!$S$3,"County",$D1060,"HHA/CDPAP","HHA","Level of Service",$D1074),0)</f>
        <v>0</v>
      </c>
      <c r="I1074" s="664">
        <f t="shared" ca="1" si="385"/>
        <v>0</v>
      </c>
      <c r="J1074" s="901"/>
      <c r="K1074" s="665">
        <f ca="1">+IFERROR(K$5*GETPIVOTDATA("Unique Billed Hours",'County allocation'!$X$3,"County",$D1060,"HHA/CDPAP","HHA","Level of Service",$D1074),0)</f>
        <v>0</v>
      </c>
      <c r="L1074" s="665">
        <f ca="1">+IFERROR(L$5*GETPIVOTDATA("Unique Billed Hours",'County allocation'!$K$19,"County",$D1060,"HHA/CDPAP","HHA","Level of Service",$D1074),0)</f>
        <v>0</v>
      </c>
      <c r="M1074" s="665">
        <f>+IFERROR(M$5*GETPIVOTDATA("Unique Billed Hours",'County allocation'!$S$3,"County",$D1060,"HHA/CDPAP","HHA","Level of Service",$D1074),0)</f>
        <v>0</v>
      </c>
      <c r="N1074" s="665">
        <f>+IFERROR(N$5*GETPIVOTDATA("Unique Billed Hours",'County allocation'!$S$3,"County",$D1060,"HHA/CDPAP","HHA","Level of Service",$D1074),0)</f>
        <v>0</v>
      </c>
      <c r="O1074" s="665">
        <f>+IFERROR(O$5*GETPIVOTDATA("Unique Billed Hours",'County allocation'!$S$3,"County",$D1060,"HHA/CDPAP","HHA","Level of Service",$D1074),0)</f>
        <v>0</v>
      </c>
      <c r="P1074" s="665">
        <f>+IFERROR(P$5*GETPIVOTDATA("Unique Billed Hours",'County allocation'!$S$3,"County",$D1060,"HHA/CDPAP","HHA","Level of Service",$D1074),0)</f>
        <v>0</v>
      </c>
    </row>
    <row r="1075" spans="1:16" s="54" customFormat="1" ht="15.75" hidden="1" thickBot="1" x14ac:dyDescent="0.3">
      <c r="A1075" s="302"/>
      <c r="B1075" s="309"/>
      <c r="C1075" s="322">
        <f ca="1">C1074</f>
        <v>0</v>
      </c>
      <c r="D1075" s="52" t="s">
        <v>48</v>
      </c>
      <c r="E1075" s="53" t="s">
        <v>79</v>
      </c>
      <c r="F1075" s="657">
        <f t="shared" ca="1" si="384"/>
        <v>0</v>
      </c>
      <c r="G1075" s="661">
        <f t="shared" ref="G1075" ca="1" si="387">SUM(G1071:G1074)</f>
        <v>0</v>
      </c>
      <c r="H1075" s="661">
        <f t="shared" ref="H1075:P1075" si="388">SUM(H1071:H1074)</f>
        <v>0</v>
      </c>
      <c r="I1075" s="661">
        <f t="shared" ca="1" si="388"/>
        <v>0</v>
      </c>
      <c r="J1075" s="661">
        <f t="shared" ca="1" si="388"/>
        <v>0</v>
      </c>
      <c r="K1075" s="661">
        <f t="shared" ca="1" si="388"/>
        <v>0</v>
      </c>
      <c r="L1075" s="661">
        <f t="shared" ca="1" si="388"/>
        <v>0</v>
      </c>
      <c r="M1075" s="661">
        <f t="shared" si="388"/>
        <v>0</v>
      </c>
      <c r="N1075" s="661">
        <f t="shared" si="388"/>
        <v>0</v>
      </c>
      <c r="O1075" s="661">
        <f t="shared" si="388"/>
        <v>0</v>
      </c>
      <c r="P1075" s="661">
        <f t="shared" si="388"/>
        <v>0</v>
      </c>
    </row>
    <row r="1076" spans="1:16" hidden="1" x14ac:dyDescent="0.25"/>
    <row r="1077" spans="1:16" x14ac:dyDescent="0.25">
      <c r="C1077" s="323">
        <v>1</v>
      </c>
    </row>
    <row r="1078" spans="1:16" x14ac:dyDescent="0.25">
      <c r="C1078" s="323">
        <v>1</v>
      </c>
      <c r="D1078" s="373" t="s">
        <v>68</v>
      </c>
      <c r="E1078" s="372">
        <f>SUM(E1060,E1043,E1026,E1009,E992,E975,E958,E941,E924,E907,E890,E873,E856,E839,E822,E805,E788,E771,E754,E737,E720,E703,E686,E669,E652,E635,E618,E601,E584,E567,E550,E533,E516,E499,E482,E465,E448,E431,E414,E397,E380,E363,E346,E329,E312,E295,E278,E261,E244,E227,E210,E193,E176,E159,E142,E125,E108,E91,E74,E57,E40,E22)</f>
        <v>0.99999999999999978</v>
      </c>
    </row>
    <row r="1079" spans="1:16" x14ac:dyDescent="0.25">
      <c r="C1079" s="323">
        <v>1</v>
      </c>
      <c r="D1079" s="9" t="s">
        <v>379</v>
      </c>
      <c r="F1079" s="648" t="s">
        <v>404</v>
      </c>
      <c r="G1079" s="668">
        <f ca="1">SUM(G37,G55,G72,G89,G106,G123,G140,G157,G174,G191,G208,G225,G242,G259,G276,G293,G310,G327,G344,G361,G378,G395,G412,G429,G446,G463,G480,G497,G514,G531,G548,G565,G582,G599,G616,G633,G650,G667,G684,G701,G718,G735,G752,G769,G786,G803,G820,G837,G854,G871,G888,G905,G922,G939,G956,G973,G990,G1007,G1024,G1041,G1058,G1075)</f>
        <v>81334506.99828586</v>
      </c>
      <c r="H1079" s="668">
        <f>SUM(H37,H55,H72,H89,H106,H123,H140,H157,H174,H191,H208,H225,H242,H259,H276,H293,H310,H327,H344,H361,H378,H395,H412,H429,H446,H463,H480,H497,H514,H531,H548,H565,H582,H599,H616,H633,H650,H667,H684,H701,H718,H735,H752,H769,H786,H803,H820,H837,H854,H871,H888,H905,H922,H939,H956,H973,H990,H1007,H1024,H1041,H1058,H1075)</f>
        <v>5530124.9443754954</v>
      </c>
      <c r="I1079" s="668">
        <f t="shared" ref="I1079:P1079" ca="1" si="389">SUM(I37,I55,I72,I89,I106,I123,I140,I157,I174,I191,I208,I225,I242,I259,I276,I293,I310,I327,I344,I361,I378,I395,I412,I429,I446,I463,I480,I497,I514,I531,I548,I565,I582,I599,I616,I633,I650,I667,I684,I701,I718,I735,I752,I769,I786,I803,I820,I837,I854,I871,I888,I905,I922,I939,I956,I973,I990,I1007,I1024,I1041,I1058,I1075)</f>
        <v>131415804.5095498</v>
      </c>
      <c r="J1079" s="668">
        <f t="shared" ca="1" si="389"/>
        <v>11539944.48323011</v>
      </c>
      <c r="K1079" s="668">
        <f t="shared" ca="1" si="389"/>
        <v>117980223.09213997</v>
      </c>
      <c r="L1079" s="668">
        <f t="shared" ca="1" si="389"/>
        <v>1305193.3383514739</v>
      </c>
      <c r="M1079" s="668">
        <f t="shared" si="389"/>
        <v>544812.77344080806</v>
      </c>
      <c r="N1079" s="668">
        <f t="shared" si="389"/>
        <v>45630.822387427346</v>
      </c>
      <c r="O1079" s="668">
        <f t="shared" si="389"/>
        <v>0</v>
      </c>
      <c r="P1079" s="668">
        <f t="shared" si="389"/>
        <v>0</v>
      </c>
    </row>
    <row r="1080" spans="1:16" x14ac:dyDescent="0.25">
      <c r="C1080" s="323">
        <v>1</v>
      </c>
      <c r="G1080" s="648">
        <f ca="1">G1079-G18</f>
        <v>0</v>
      </c>
      <c r="H1080" s="648">
        <f t="shared" ref="H1080:N1080" si="390">H1079-H18</f>
        <v>0</v>
      </c>
      <c r="I1080" s="648">
        <f t="shared" ca="1" si="390"/>
        <v>0</v>
      </c>
      <c r="J1080" s="648">
        <f t="shared" ca="1" si="390"/>
        <v>0</v>
      </c>
      <c r="K1080" s="648">
        <f t="shared" ca="1" si="390"/>
        <v>0</v>
      </c>
      <c r="L1080" s="648">
        <f t="shared" ca="1" si="390"/>
        <v>0</v>
      </c>
      <c r="M1080" s="648">
        <f t="shared" si="390"/>
        <v>0</v>
      </c>
      <c r="N1080" s="648">
        <f t="shared" si="390"/>
        <v>0</v>
      </c>
      <c r="O1080" s="648">
        <f>O1079-O18</f>
        <v>0</v>
      </c>
      <c r="P1080" s="648">
        <f t="shared" ref="P1080" si="391">P1079-P18</f>
        <v>0</v>
      </c>
    </row>
  </sheetData>
  <autoFilter ref="A1:R1080" xr:uid="{00000000-0001-0000-0700-000000000000}">
    <filterColumn colId="2">
      <filters>
        <filter val="1"/>
      </filters>
    </filterColumn>
  </autoFilter>
  <customSheetViews>
    <customSheetView guid="{DE5AAEC6-B417-4CB5-A2E1-8776196B56AA}" scale="85" showPageBreaks="1" fitToPage="1" printArea="1">
      <pageMargins left="0.7" right="0.7" top="0.75" bottom="0.75" header="0.3" footer="0.3"/>
      <pageSetup paperSize="17" scale="82" orientation="landscape" horizontalDpi="1200" verticalDpi="1200" r:id="rId1"/>
    </customSheetView>
    <customSheetView guid="{3ACE1F12-3844-4D90-9B24-992DA32A7B7A}" scale="85" fitToPage="1">
      <pageMargins left="0.7" right="0.7" top="0.75" bottom="0.75" header="0.3" footer="0.3"/>
      <pageSetup paperSize="17" scale="82" orientation="landscape" horizontalDpi="1200" verticalDpi="1200" r:id="rId2"/>
    </customSheetView>
  </customSheetViews>
  <phoneticPr fontId="100" type="noConversion"/>
  <pageMargins left="0.7" right="0.7" top="0.75" bottom="0.75" header="0.3" footer="0.3"/>
  <pageSetup paperSize="17" scale="77" orientation="landscape" horizontalDpi="1200" verticalDpi="1200" r:id="rId3"/>
  <ignoredErrors>
    <ignoredError sqref="H4:I4" numberStoredAsText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 filterMode="1">
    <tabColor rgb="FF92D050"/>
    <pageSetUpPr fitToPage="1"/>
  </sheetPr>
  <dimension ref="A1:R830"/>
  <sheetViews>
    <sheetView workbookViewId="0"/>
  </sheetViews>
  <sheetFormatPr defaultColWidth="9.28515625" defaultRowHeight="15" x14ac:dyDescent="0.25"/>
  <cols>
    <col min="1" max="1" width="16.28515625" style="119" bestFit="1" customWidth="1"/>
    <col min="2" max="2" width="13.28515625" style="119" customWidth="1"/>
    <col min="3" max="3" width="4.85546875" style="9" bestFit="1" customWidth="1"/>
    <col min="4" max="4" width="47.42578125" style="9" customWidth="1"/>
    <col min="5" max="5" width="10.28515625" style="10" bestFit="1" customWidth="1"/>
    <col min="6" max="16" width="17.7109375" style="648" customWidth="1"/>
    <col min="17" max="17" width="12" style="9" bestFit="1" customWidth="1"/>
    <col min="18" max="18" width="11.42578125" style="9" bestFit="1" customWidth="1"/>
    <col min="19" max="16384" width="9.28515625" style="9"/>
  </cols>
  <sheetData>
    <row r="1" spans="1:18" x14ac:dyDescent="0.25">
      <c r="A1" s="289" t="s">
        <v>15</v>
      </c>
      <c r="B1" s="62"/>
      <c r="C1" s="9">
        <v>1</v>
      </c>
      <c r="D1" s="22" t="s">
        <v>65</v>
      </c>
      <c r="E1" s="928"/>
      <c r="F1" s="929"/>
      <c r="G1" s="929"/>
      <c r="H1" s="930"/>
      <c r="I1" s="931"/>
      <c r="J1" s="586"/>
      <c r="K1" s="586"/>
      <c r="L1" s="586"/>
      <c r="M1" s="586"/>
      <c r="N1" s="586"/>
    </row>
    <row r="2" spans="1:18" ht="15.75" thickBot="1" x14ac:dyDescent="0.3">
      <c r="A2" s="62"/>
      <c r="B2" s="62"/>
      <c r="C2" s="9">
        <v>1</v>
      </c>
      <c r="D2" s="23" t="s">
        <v>66</v>
      </c>
      <c r="E2" s="932"/>
      <c r="F2" s="933"/>
      <c r="G2" s="933"/>
      <c r="H2" s="934"/>
      <c r="I2" s="935"/>
      <c r="J2" s="586"/>
      <c r="K2" s="586"/>
      <c r="L2" s="586"/>
      <c r="M2" s="586"/>
      <c r="N2" s="586"/>
    </row>
    <row r="3" spans="1:18" ht="85.5" customHeight="1" x14ac:dyDescent="0.25">
      <c r="A3" s="121"/>
      <c r="B3" s="121"/>
      <c r="C3" s="9">
        <v>1</v>
      </c>
      <c r="D3" s="20" t="s">
        <v>67</v>
      </c>
      <c r="E3" s="19">
        <f>IFERROR(+GETPIVOTDATA("Unique Billed Hours",'HHA-CDPAP'!$A$3,"HHA/CDPAP","CDPAP"),0)</f>
        <v>0.35046017298789561</v>
      </c>
      <c r="F3" s="652" t="s">
        <v>396</v>
      </c>
      <c r="G3" s="652" t="s">
        <v>387</v>
      </c>
      <c r="H3" s="652" t="s">
        <v>388</v>
      </c>
      <c r="I3" s="652" t="s">
        <v>392</v>
      </c>
      <c r="J3" s="652" t="s">
        <v>31</v>
      </c>
      <c r="K3" s="652" t="s">
        <v>32</v>
      </c>
      <c r="L3" s="653" t="s">
        <v>33</v>
      </c>
      <c r="M3" s="653" t="s">
        <v>60</v>
      </c>
      <c r="N3" s="653" t="s">
        <v>59</v>
      </c>
      <c r="O3" s="653" t="s">
        <v>58</v>
      </c>
      <c r="P3" s="653" t="s">
        <v>16</v>
      </c>
    </row>
    <row r="4" spans="1:18" x14ac:dyDescent="0.25">
      <c r="A4" s="60" t="s">
        <v>303</v>
      </c>
      <c r="B4" s="24">
        <f>IFERROR(+GETPIVOTDATA("Unique Billed Hours",'County allocation'!$A$3,"County",A4,"HHA/CDPAP","CDPAP"),0)</f>
        <v>2.8863005701790602E-2</v>
      </c>
      <c r="C4" s="9">
        <v>1</v>
      </c>
      <c r="D4" s="25"/>
      <c r="E4" s="12"/>
      <c r="F4" s="669" t="s">
        <v>57</v>
      </c>
      <c r="G4" s="669" t="s">
        <v>56</v>
      </c>
      <c r="H4" s="669" t="s">
        <v>55</v>
      </c>
      <c r="I4" s="669" t="s">
        <v>54</v>
      </c>
      <c r="J4" s="669" t="s">
        <v>53</v>
      </c>
      <c r="K4" s="669" t="s">
        <v>52</v>
      </c>
      <c r="L4" s="669" t="s">
        <v>51</v>
      </c>
      <c r="M4" s="669" t="s">
        <v>50</v>
      </c>
      <c r="N4" s="669" t="s">
        <v>49</v>
      </c>
      <c r="O4" s="669" t="s">
        <v>47</v>
      </c>
      <c r="P4" s="670" t="s">
        <v>77</v>
      </c>
    </row>
    <row r="5" spans="1:18" x14ac:dyDescent="0.25">
      <c r="A5" s="60" t="s">
        <v>304</v>
      </c>
      <c r="B5" s="24">
        <f>IFERROR(+GETPIVOTDATA("Unique Billed Hours",'County allocation'!$A$3,"County",A5,"HHA/CDPAP","CDPAP"),0)</f>
        <v>6.0503815062404201E-4</v>
      </c>
      <c r="C5" s="9">
        <v>1</v>
      </c>
      <c r="D5" s="26" t="s">
        <v>26</v>
      </c>
      <c r="E5" s="12"/>
      <c r="F5" s="656">
        <f ca="1">+G5+I5+H5</f>
        <v>86203456.727788851</v>
      </c>
      <c r="G5" s="656">
        <f ca="1">+SUMIF('TB Tagging'!$C:$C,G3,'TB Tagging'!$B:$B)*$E$3</f>
        <v>3465564.5354507128</v>
      </c>
      <c r="H5" s="656">
        <f>+SUMIF('TB Tagging'!$C:$C,H3,'TB Tagging'!$B:$B)*$E$3</f>
        <v>2983787.0813338063</v>
      </c>
      <c r="I5" s="656">
        <f ca="1">SUM(J5:P5)</f>
        <v>79754105.111004338</v>
      </c>
      <c r="J5" s="656">
        <f ca="1">-'Schedule 3b'!J2+SUMIF('TB Tagging'!$C:$C,J3,'TB Tagging'!$B:$B)*$E$3</f>
        <v>15779126.779181318</v>
      </c>
      <c r="K5" s="656">
        <f ca="1">+SUMIF('TB Tagging'!$C:$C,K3,'TB Tagging'!$B:$B)*$E$3</f>
        <v>63656403.617651246</v>
      </c>
      <c r="L5" s="671">
        <v>0</v>
      </c>
      <c r="M5" s="656">
        <f>+SUMIF('TB Tagging'!$C:$C,M3,'TB Tagging'!$B:$B)*$E$3</f>
        <v>293954.53655919188</v>
      </c>
      <c r="N5" s="656">
        <f>+SUMIF('TB Tagging'!$C:$C,N3,'TB Tagging'!$B:$B)*$E$3</f>
        <v>24620.177612572654</v>
      </c>
      <c r="O5" s="671">
        <v>0</v>
      </c>
      <c r="P5" s="656">
        <f>+SUMIF('TB Tagging'!$C:$C,P3,'TB Tagging'!$B:$B)*$E$3</f>
        <v>0</v>
      </c>
      <c r="Q5" s="44"/>
      <c r="R5" s="44"/>
    </row>
    <row r="6" spans="1:18" x14ac:dyDescent="0.25">
      <c r="A6" s="60" t="s">
        <v>305</v>
      </c>
      <c r="B6" s="24">
        <f>IFERROR(+GETPIVOTDATA("Unique Billed Hours",'County allocation'!$A$3,"County",A6,"HHA/CDPAP","CDPAP"),0)</f>
        <v>0.10098052035465671</v>
      </c>
      <c r="C6" s="9">
        <v>1</v>
      </c>
      <c r="D6" s="398" t="s">
        <v>18</v>
      </c>
      <c r="E6" s="48" t="s">
        <v>57</v>
      </c>
      <c r="F6" s="672">
        <f ca="1">SUM(G6:I6)</f>
        <v>83554626.060974255</v>
      </c>
      <c r="G6" s="658">
        <f t="shared" ref="G6:H11" ca="1" si="0">SUMIF($D$22:$D$1048576,$D6,G$22:G$1048576)</f>
        <v>3359075.8403591192</v>
      </c>
      <c r="H6" s="658">
        <f t="shared" si="0"/>
        <v>2892102.2809291105</v>
      </c>
      <c r="I6" s="672">
        <f ca="1">SUM(J6:P6)</f>
        <v>77303447.93968603</v>
      </c>
      <c r="J6" s="658">
        <f t="shared" ref="J6:P11" ca="1" si="1">SUMIF($D$22:$D$1048576,$D6,J$22:J$1048576)</f>
        <v>15294271.107555134</v>
      </c>
      <c r="K6" s="658">
        <f t="shared" ca="1" si="1"/>
        <v>61700391.174043447</v>
      </c>
      <c r="L6" s="658">
        <f t="shared" si="1"/>
        <v>0</v>
      </c>
      <c r="M6" s="658">
        <f t="shared" si="1"/>
        <v>284922.00096672692</v>
      </c>
      <c r="N6" s="658">
        <f t="shared" si="1"/>
        <v>23863.657120725813</v>
      </c>
      <c r="O6" s="658">
        <f t="shared" si="1"/>
        <v>0</v>
      </c>
      <c r="P6" s="658">
        <f t="shared" si="1"/>
        <v>0</v>
      </c>
    </row>
    <row r="7" spans="1:18" x14ac:dyDescent="0.25">
      <c r="A7" s="60" t="s">
        <v>306</v>
      </c>
      <c r="B7" s="24">
        <f>IFERROR(+GETPIVOTDATA("Unique Billed Hours",'County allocation'!$A$3,"County",A7,"HHA/CDPAP","CDPAP"),0)</f>
        <v>1.3044882123262387E-2</v>
      </c>
      <c r="C7" s="9">
        <v>1</v>
      </c>
      <c r="D7" s="27" t="s">
        <v>42</v>
      </c>
      <c r="E7" s="48" t="s">
        <v>56</v>
      </c>
      <c r="F7" s="672">
        <f t="shared" ref="F7:F11" ca="1" si="2">SUM(G7:I7)</f>
        <v>114875.86720116928</v>
      </c>
      <c r="G7" s="658">
        <f t="shared" ca="1" si="0"/>
        <v>4618.2571611792682</v>
      </c>
      <c r="H7" s="658">
        <f t="shared" si="0"/>
        <v>3976.2341502643226</v>
      </c>
      <c r="I7" s="672">
        <f t="shared" ref="I7:I11" ca="1" si="3">SUM(J7:P7)</f>
        <v>106281.37588972569</v>
      </c>
      <c r="J7" s="658">
        <f t="shared" ca="1" si="1"/>
        <v>21027.473157596913</v>
      </c>
      <c r="K7" s="658">
        <f t="shared" ca="1" si="1"/>
        <v>84829.365852193558</v>
      </c>
      <c r="L7" s="658">
        <f t="shared" si="1"/>
        <v>0</v>
      </c>
      <c r="M7" s="658">
        <f t="shared" si="1"/>
        <v>391.72770543979038</v>
      </c>
      <c r="N7" s="658">
        <f t="shared" si="1"/>
        <v>32.809174495427953</v>
      </c>
      <c r="O7" s="658">
        <f t="shared" si="1"/>
        <v>0</v>
      </c>
      <c r="P7" s="658">
        <f t="shared" si="1"/>
        <v>0</v>
      </c>
    </row>
    <row r="8" spans="1:18" x14ac:dyDescent="0.25">
      <c r="A8" s="60" t="s">
        <v>307</v>
      </c>
      <c r="B8" s="24">
        <f>IFERROR(+GETPIVOTDATA("Unique Billed Hours",'County allocation'!$A$3,"County",A8,"HHA/CDPAP","CDPAP"),0)</f>
        <v>2.4245220368889499E-3</v>
      </c>
      <c r="C8" s="9">
        <v>1</v>
      </c>
      <c r="D8" s="398" t="s">
        <v>43</v>
      </c>
      <c r="E8" s="48" t="s">
        <v>55</v>
      </c>
      <c r="F8" s="672">
        <f t="shared" ca="1" si="2"/>
        <v>1088481.937989651</v>
      </c>
      <c r="G8" s="658">
        <f t="shared" ca="1" si="0"/>
        <v>43759.31714301632</v>
      </c>
      <c r="H8" s="658">
        <f t="shared" si="0"/>
        <v>37675.96414485469</v>
      </c>
      <c r="I8" s="672">
        <f t="shared" ca="1" si="3"/>
        <v>1007046.65670178</v>
      </c>
      <c r="J8" s="658">
        <f t="shared" ca="1" si="1"/>
        <v>199241.36627865632</v>
      </c>
      <c r="K8" s="658">
        <f t="shared" ca="1" si="1"/>
        <v>803782.68117473612</v>
      </c>
      <c r="L8" s="658">
        <f t="shared" si="1"/>
        <v>0</v>
      </c>
      <c r="M8" s="658">
        <f t="shared" si="1"/>
        <v>3711.7328675713543</v>
      </c>
      <c r="N8" s="658">
        <f t="shared" si="1"/>
        <v>310.8763808162185</v>
      </c>
      <c r="O8" s="658">
        <f t="shared" si="1"/>
        <v>0</v>
      </c>
      <c r="P8" s="658">
        <f t="shared" si="1"/>
        <v>0</v>
      </c>
    </row>
    <row r="9" spans="1:18" x14ac:dyDescent="0.25">
      <c r="A9" s="60" t="s">
        <v>308</v>
      </c>
      <c r="B9" s="24">
        <f>IFERROR(+GETPIVOTDATA("Unique Billed Hours",'County allocation'!$A$3,"County",A9,"HHA/CDPAP","CDPAP"),0)</f>
        <v>2.2764753186393966E-3</v>
      </c>
      <c r="C9" s="9">
        <v>1</v>
      </c>
      <c r="D9" s="398" t="s">
        <v>44</v>
      </c>
      <c r="E9" s="48" t="s">
        <v>54</v>
      </c>
      <c r="F9" s="672">
        <f t="shared" ca="1" si="2"/>
        <v>1375796.2362549796</v>
      </c>
      <c r="G9" s="658">
        <f t="shared" ca="1" si="0"/>
        <v>55309.970450811714</v>
      </c>
      <c r="H9" s="658">
        <f t="shared" si="0"/>
        <v>47620.86338658334</v>
      </c>
      <c r="I9" s="672">
        <f t="shared" ca="1" si="3"/>
        <v>1272865.4024175846</v>
      </c>
      <c r="J9" s="658">
        <f t="shared" ca="1" si="1"/>
        <v>251832.86214077851</v>
      </c>
      <c r="K9" s="658">
        <f t="shared" ca="1" si="1"/>
        <v>1015948.1282432197</v>
      </c>
      <c r="L9" s="658">
        <f t="shared" si="1"/>
        <v>0</v>
      </c>
      <c r="M9" s="658">
        <f t="shared" si="1"/>
        <v>4691.4771214486827</v>
      </c>
      <c r="N9" s="658">
        <f t="shared" si="1"/>
        <v>392.93491213777935</v>
      </c>
      <c r="O9" s="658">
        <f t="shared" si="1"/>
        <v>0</v>
      </c>
      <c r="P9" s="658">
        <f t="shared" si="1"/>
        <v>0</v>
      </c>
    </row>
    <row r="10" spans="1:18" x14ac:dyDescent="0.25">
      <c r="A10" s="60" t="s">
        <v>309</v>
      </c>
      <c r="B10" s="24">
        <f>IFERROR(+GETPIVOTDATA("Unique Billed Hours",'County allocation'!$A$3,"County",A10,"HHA/CDPAP","CDPAP"),0)</f>
        <v>4.8428754605175017E-3</v>
      </c>
      <c r="C10" s="9">
        <v>1</v>
      </c>
      <c r="D10" s="27" t="s">
        <v>45</v>
      </c>
      <c r="E10" s="48" t="s">
        <v>53</v>
      </c>
      <c r="F10" s="672">
        <f t="shared" ca="1" si="2"/>
        <v>69388.590984572424</v>
      </c>
      <c r="G10" s="658">
        <f t="shared" ca="1" si="0"/>
        <v>2789.570734273238</v>
      </c>
      <c r="H10" s="658">
        <f t="shared" si="0"/>
        <v>2401.7688991928812</v>
      </c>
      <c r="I10" s="672">
        <f t="shared" ca="1" si="3"/>
        <v>64197.251351106301</v>
      </c>
      <c r="J10" s="658">
        <f t="shared" ca="1" si="1"/>
        <v>12701.246745031896</v>
      </c>
      <c r="K10" s="658">
        <f t="shared" ca="1" si="1"/>
        <v>51239.571147616982</v>
      </c>
      <c r="L10" s="658">
        <f t="shared" si="1"/>
        <v>0</v>
      </c>
      <c r="M10" s="658">
        <f t="shared" si="1"/>
        <v>236.61569825180837</v>
      </c>
      <c r="N10" s="658">
        <f t="shared" si="1"/>
        <v>19.817760205613865</v>
      </c>
      <c r="O10" s="658">
        <f t="shared" si="1"/>
        <v>0</v>
      </c>
      <c r="P10" s="658">
        <f t="shared" si="1"/>
        <v>0</v>
      </c>
    </row>
    <row r="11" spans="1:18" x14ac:dyDescent="0.25">
      <c r="A11" s="60" t="s">
        <v>310</v>
      </c>
      <c r="B11" s="24">
        <f>IFERROR(+GETPIVOTDATA("Unique Billed Hours",'County allocation'!$A$3,"County",A11,"HHA/CDPAP","CDPAP"),0)</f>
        <v>4.5517940222924687E-3</v>
      </c>
      <c r="C11" s="9">
        <v>1</v>
      </c>
      <c r="D11" s="27" t="s">
        <v>46</v>
      </c>
      <c r="E11" s="48" t="s">
        <v>52</v>
      </c>
      <c r="F11" s="672">
        <f t="shared" ca="1" si="2"/>
        <v>288.03438422589335</v>
      </c>
      <c r="G11" s="658">
        <f t="shared" ca="1" si="0"/>
        <v>11.57960231357934</v>
      </c>
      <c r="H11" s="658">
        <f t="shared" si="0"/>
        <v>9.9698238012317262</v>
      </c>
      <c r="I11" s="672">
        <f t="shared" ca="1" si="3"/>
        <v>266.48495811108228</v>
      </c>
      <c r="J11" s="658">
        <f t="shared" ca="1" si="1"/>
        <v>52.723304122428246</v>
      </c>
      <c r="K11" s="658">
        <f t="shared" ca="1" si="1"/>
        <v>212.69719004359249</v>
      </c>
      <c r="L11" s="658">
        <f t="shared" si="1"/>
        <v>0</v>
      </c>
      <c r="M11" s="658">
        <f t="shared" si="1"/>
        <v>0.98219975326048015</v>
      </c>
      <c r="N11" s="658">
        <f t="shared" si="1"/>
        <v>8.2264191801063383E-2</v>
      </c>
      <c r="O11" s="658">
        <f t="shared" si="1"/>
        <v>0</v>
      </c>
      <c r="P11" s="658">
        <f t="shared" si="1"/>
        <v>0</v>
      </c>
    </row>
    <row r="12" spans="1:18" ht="15.75" thickBot="1" x14ac:dyDescent="0.3">
      <c r="A12" s="60" t="s">
        <v>360</v>
      </c>
      <c r="B12" s="24">
        <f>IFERROR(+GETPIVOTDATA("Unique Billed Hours",'County allocation'!$A$3,"County",A12,"HHA/CDPAP","CDPAP"),0)</f>
        <v>2.3404746812160262E-3</v>
      </c>
      <c r="C12" s="9">
        <v>1</v>
      </c>
      <c r="D12" s="52" t="s">
        <v>389</v>
      </c>
      <c r="E12" s="370" t="s">
        <v>51</v>
      </c>
      <c r="F12" s="673">
        <f ca="1">SUM(F6:F11)</f>
        <v>86203456.727788836</v>
      </c>
      <c r="G12" s="673">
        <f t="shared" ref="G12:N12" ca="1" si="4">SUM(G6:G11)</f>
        <v>3465564.5354507132</v>
      </c>
      <c r="H12" s="673">
        <f t="shared" si="4"/>
        <v>2983787.0813338077</v>
      </c>
      <c r="I12" s="673">
        <f t="shared" ca="1" si="4"/>
        <v>79754105.111004323</v>
      </c>
      <c r="J12" s="673">
        <f t="shared" ca="1" si="4"/>
        <v>15779126.77918132</v>
      </c>
      <c r="K12" s="673">
        <f t="shared" ca="1" si="4"/>
        <v>63656403.617651261</v>
      </c>
      <c r="L12" s="673">
        <f t="shared" si="4"/>
        <v>0</v>
      </c>
      <c r="M12" s="673">
        <f t="shared" si="4"/>
        <v>293954.53655919182</v>
      </c>
      <c r="N12" s="673">
        <f t="shared" si="4"/>
        <v>24620.177612572654</v>
      </c>
      <c r="O12" s="673">
        <f>SUM(O6:O11)</f>
        <v>0</v>
      </c>
      <c r="P12" s="673">
        <f t="shared" ref="P12" si="5">SUM(P6:P11)</f>
        <v>0</v>
      </c>
    </row>
    <row r="13" spans="1:18" x14ac:dyDescent="0.25">
      <c r="A13" s="60" t="s">
        <v>311</v>
      </c>
      <c r="B13" s="24">
        <f>IFERROR(+GETPIVOTDATA("Unique Billed Hours",'County allocation'!$A$3,"County",A13,"HHA/CDPAP","CDPAP"),0)</f>
        <v>1.9496030722264293E-3</v>
      </c>
      <c r="C13" s="9">
        <v>1</v>
      </c>
      <c r="D13" s="378" t="s">
        <v>390</v>
      </c>
      <c r="E13" s="370" t="s">
        <v>50</v>
      </c>
      <c r="F13" s="672">
        <f t="shared" ref="F13" ca="1" si="6">+G13+I13</f>
        <v>0</v>
      </c>
      <c r="G13" s="658">
        <f ca="1">SUMIF($D$22:$D$1048576,$D13,G$22:G$1048576)</f>
        <v>0</v>
      </c>
      <c r="H13" s="659"/>
      <c r="I13" s="673"/>
      <c r="J13" s="659"/>
      <c r="K13" s="659"/>
      <c r="L13" s="659"/>
      <c r="M13" s="659"/>
      <c r="N13" s="659"/>
      <c r="O13" s="659"/>
      <c r="P13" s="659"/>
    </row>
    <row r="14" spans="1:18" ht="15.75" thickBot="1" x14ac:dyDescent="0.3">
      <c r="A14" s="60" t="s">
        <v>312</v>
      </c>
      <c r="B14" s="24">
        <f>IFERROR(+GETPIVOTDATA("Unique Billed Hours",'County allocation'!$A$3,"County",A14,"HHA/CDPAP","CDPAP"),0)</f>
        <v>5.0344880099186158E-4</v>
      </c>
      <c r="C14" s="9">
        <v>1</v>
      </c>
      <c r="D14" s="11" t="s">
        <v>48</v>
      </c>
      <c r="E14" s="53" t="s">
        <v>49</v>
      </c>
      <c r="F14" s="662">
        <f ca="1">SUBTOTAL(9,F6:F11)</f>
        <v>86203456.727788836</v>
      </c>
      <c r="G14" s="662">
        <f t="shared" ref="G14:P14" ca="1" si="7">SUBTOTAL(9,G6:G11)</f>
        <v>3465564.5354507132</v>
      </c>
      <c r="H14" s="662">
        <f t="shared" ref="H14" si="8">SUBTOTAL(9,H6:H11)</f>
        <v>2983787.0813338077</v>
      </c>
      <c r="I14" s="662">
        <f t="shared" ca="1" si="7"/>
        <v>79754105.111004323</v>
      </c>
      <c r="J14" s="662">
        <f t="shared" ca="1" si="7"/>
        <v>15779126.77918132</v>
      </c>
      <c r="K14" s="662">
        <f t="shared" ca="1" si="7"/>
        <v>63656403.617651261</v>
      </c>
      <c r="L14" s="662">
        <f t="shared" si="7"/>
        <v>0</v>
      </c>
      <c r="M14" s="662">
        <f t="shared" si="7"/>
        <v>293954.53655919182</v>
      </c>
      <c r="N14" s="662">
        <f t="shared" si="7"/>
        <v>24620.177612572654</v>
      </c>
      <c r="O14" s="662">
        <f t="shared" si="7"/>
        <v>0</v>
      </c>
      <c r="P14" s="662">
        <f t="shared" si="7"/>
        <v>0</v>
      </c>
    </row>
    <row r="15" spans="1:18" ht="15.75" thickBot="1" x14ac:dyDescent="0.3">
      <c r="A15" s="60" t="s">
        <v>313</v>
      </c>
      <c r="B15" s="24">
        <f>IFERROR(+GETPIVOTDATA("Unique Billed Hours",'County allocation'!$A$3,"County",A15,"HHA/CDPAP","CDPAP"),0)</f>
        <v>1.1321975588355585E-3</v>
      </c>
      <c r="C15" s="9">
        <v>1</v>
      </c>
      <c r="F15" s="648">
        <f ca="1">+F14-F5</f>
        <v>0</v>
      </c>
      <c r="G15" s="648">
        <f t="shared" ref="G15:H15" ca="1" si="9">+G14-G5</f>
        <v>0</v>
      </c>
      <c r="H15" s="648">
        <f t="shared" si="9"/>
        <v>0</v>
      </c>
      <c r="I15" s="648">
        <f t="shared" ref="I15:P15" ca="1" si="10">+I14-I5</f>
        <v>0</v>
      </c>
      <c r="J15" s="648">
        <f t="shared" ca="1" si="10"/>
        <v>0</v>
      </c>
      <c r="K15" s="648">
        <f t="shared" ca="1" si="10"/>
        <v>0</v>
      </c>
      <c r="L15" s="648">
        <f t="shared" si="10"/>
        <v>0</v>
      </c>
      <c r="M15" s="648">
        <f t="shared" si="10"/>
        <v>0</v>
      </c>
      <c r="N15" s="648">
        <f t="shared" si="10"/>
        <v>0</v>
      </c>
      <c r="O15" s="648">
        <f t="shared" si="10"/>
        <v>0</v>
      </c>
      <c r="P15" s="648">
        <f t="shared" si="10"/>
        <v>0</v>
      </c>
    </row>
    <row r="16" spans="1:18" ht="15.75" hidden="1" thickBot="1" x14ac:dyDescent="0.3">
      <c r="A16" s="60" t="s">
        <v>314</v>
      </c>
      <c r="B16" s="24">
        <f>IFERROR(+GETPIVOTDATA("Unique Billed Hours",'County allocation'!$A$3,"County",A16,"HHA/CDPAP","CDPAP"),0)</f>
        <v>1.0651138896287298E-3</v>
      </c>
    </row>
    <row r="17" spans="1:16" ht="15.75" hidden="1" thickBot="1" x14ac:dyDescent="0.3">
      <c r="A17" s="60" t="s">
        <v>315</v>
      </c>
      <c r="B17" s="24">
        <f>IFERROR(+GETPIVOTDATA("Unique Billed Hours",'County allocation'!$A$3,"County",A17,"HHA/CDPAP","CDPAP"),0)</f>
        <v>8.4414902213022138E-3</v>
      </c>
    </row>
    <row r="18" spans="1:16" ht="15.75" hidden="1" thickBot="1" x14ac:dyDescent="0.3">
      <c r="A18" s="60" t="s">
        <v>316</v>
      </c>
      <c r="B18" s="24">
        <f>IFERROR(+GETPIVOTDATA("Unique Billed Hours",'County allocation'!$A$3,"County",A18,"HHA/CDPAP","CDPAP"),0)</f>
        <v>2.6305537197862446E-2</v>
      </c>
    </row>
    <row r="19" spans="1:16" ht="15.75" hidden="1" thickBot="1" x14ac:dyDescent="0.3">
      <c r="A19" s="60" t="s">
        <v>317</v>
      </c>
      <c r="B19" s="24">
        <f>IFERROR(+GETPIVOTDATA("Unique Billed Hours",'County allocation'!$A$3,"County",A19,"HHA/CDPAP","CDPAP"),0)</f>
        <v>2.022791098305527E-4</v>
      </c>
    </row>
    <row r="20" spans="1:16" ht="15.75" hidden="1" thickBot="1" x14ac:dyDescent="0.3">
      <c r="A20" s="60" t="s">
        <v>318</v>
      </c>
      <c r="B20" s="24">
        <f>IFERROR(+GETPIVOTDATA("Unique Billed Hours",'County allocation'!$A$3,"County",A20,"HHA/CDPAP","CDPAP"),0)</f>
        <v>9.3602280587727475E-4</v>
      </c>
    </row>
    <row r="21" spans="1:16" ht="75" x14ac:dyDescent="0.25">
      <c r="A21" s="119" t="s">
        <v>319</v>
      </c>
      <c r="B21" s="24">
        <f>IFERROR(+GETPIVOTDATA("Unique Billed Hours",'County allocation'!$A$3,"County",A21,"HHA/CDPAP","CDPAP"),0)</f>
        <v>4.1658701551888161E-3</v>
      </c>
      <c r="C21" s="9">
        <f ca="1">IF(F32&gt;0,1,0)</f>
        <v>1</v>
      </c>
      <c r="D21" s="379" t="str">
        <f>A4</f>
        <v>Albany</v>
      </c>
      <c r="E21" s="28">
        <f>SUMIF(A:A,D21,B:B)</f>
        <v>2.8863005701790602E-2</v>
      </c>
      <c r="F21" s="652" t="s">
        <v>396</v>
      </c>
      <c r="G21" s="652" t="s">
        <v>387</v>
      </c>
      <c r="H21" s="652" t="s">
        <v>388</v>
      </c>
      <c r="I21" s="652" t="s">
        <v>392</v>
      </c>
      <c r="J21" s="652" t="s">
        <v>31</v>
      </c>
      <c r="K21" s="652" t="s">
        <v>32</v>
      </c>
      <c r="L21" s="653" t="s">
        <v>33</v>
      </c>
      <c r="M21" s="653" t="s">
        <v>60</v>
      </c>
      <c r="N21" s="653" t="s">
        <v>59</v>
      </c>
      <c r="O21" s="653" t="s">
        <v>58</v>
      </c>
      <c r="P21" s="653" t="s">
        <v>16</v>
      </c>
    </row>
    <row r="22" spans="1:16" x14ac:dyDescent="0.25">
      <c r="A22" s="119" t="s">
        <v>320</v>
      </c>
      <c r="B22" s="24">
        <f>IFERROR(+GETPIVOTDATA("Unique Billed Hours",'County allocation'!$A$3,"County",A22,"HHA/CDPAP","CDPAP"),0)</f>
        <v>1.7283040715096493E-3</v>
      </c>
      <c r="C22" s="9">
        <f ca="1">C21</f>
        <v>1</v>
      </c>
      <c r="D22" s="47"/>
      <c r="E22" s="48"/>
      <c r="F22" s="669" t="s">
        <v>57</v>
      </c>
      <c r="G22" s="669" t="s">
        <v>56</v>
      </c>
      <c r="H22" s="669" t="s">
        <v>55</v>
      </c>
      <c r="I22" s="669" t="s">
        <v>54</v>
      </c>
      <c r="J22" s="669" t="s">
        <v>53</v>
      </c>
      <c r="K22" s="669" t="s">
        <v>52</v>
      </c>
      <c r="L22" s="669" t="s">
        <v>51</v>
      </c>
      <c r="M22" s="669" t="s">
        <v>50</v>
      </c>
      <c r="N22" s="669" t="s">
        <v>49</v>
      </c>
      <c r="O22" s="669" t="s">
        <v>47</v>
      </c>
      <c r="P22" s="670" t="s">
        <v>77</v>
      </c>
    </row>
    <row r="23" spans="1:16" x14ac:dyDescent="0.25">
      <c r="A23" s="119" t="s">
        <v>321</v>
      </c>
      <c r="B23" s="24">
        <f>IFERROR(+GETPIVOTDATA("Unique Billed Hours",'County allocation'!$A$3,"County",A23,"HHA/CDPAP","CDPAP"),0)</f>
        <v>1.8330419841601578E-3</v>
      </c>
      <c r="C23" s="9">
        <f t="shared" ref="C23:C32" ca="1" si="11">C22</f>
        <v>1</v>
      </c>
      <c r="D23" s="51" t="s">
        <v>26</v>
      </c>
      <c r="E23" s="48"/>
      <c r="F23" s="656">
        <f ca="1">+G23+H23+I23</f>
        <v>86798695.117615849</v>
      </c>
      <c r="G23" s="656">
        <f ca="1">+SUMIF('TB Tagging'!$C:$C,G21,'TB Tagging'!$B:$B)*$E$3</f>
        <v>3465564.5354507128</v>
      </c>
      <c r="H23" s="656">
        <f>+SUMIF('TB Tagging'!$C:$C,H21,'TB Tagging'!$B:$B)*$E$3</f>
        <v>2983787.0813338063</v>
      </c>
      <c r="I23" s="656">
        <f ca="1">SUM(J23:P23)</f>
        <v>80349343.500831336</v>
      </c>
      <c r="J23" s="656">
        <f ca="1">+SUMIF('TB Tagging'!$C:$C,J21,'TB Tagging'!$B:$B)*$E$3</f>
        <v>15916946.88586702</v>
      </c>
      <c r="K23" s="656">
        <f ca="1">+SUMIF('TB Tagging'!$C:$C,K21,'TB Tagging'!$B:$B)*$E$3</f>
        <v>63656403.617651246</v>
      </c>
      <c r="L23" s="656">
        <f ca="1">+SUMIF('TB Tagging'!$C:$C,L21,'TB Tagging'!$B:$B)*$E$3</f>
        <v>457418.2831413066</v>
      </c>
      <c r="M23" s="656">
        <f>+SUMIF('TB Tagging'!$C:$C,M21,'TB Tagging'!$B:$B)*$E$3</f>
        <v>293954.53655919188</v>
      </c>
      <c r="N23" s="656">
        <f>+SUMIF('TB Tagging'!$C:$C,N21,'TB Tagging'!$B:$B)*$E$3</f>
        <v>24620.177612572654</v>
      </c>
      <c r="O23" s="656">
        <f>+SUMIF('TB Tagging'!$C:$C,O21,'TB Tagging'!$B:$B)*$E$3</f>
        <v>0</v>
      </c>
      <c r="P23" s="656">
        <f>+SUMIF('TB Tagging'!$C:$C,P21,'TB Tagging'!$B:$B)*$E$3</f>
        <v>0</v>
      </c>
    </row>
    <row r="24" spans="1:16" x14ac:dyDescent="0.25">
      <c r="A24" s="119" t="s">
        <v>322</v>
      </c>
      <c r="B24" s="24">
        <f>IFERROR(+GETPIVOTDATA("Unique Billed Hours",'County allocation'!$A$3,"County",A24,"HHA/CDPAP","CDPAP"),0)</f>
        <v>1.0782221928070756E-4</v>
      </c>
      <c r="C24" s="9">
        <f t="shared" ca="1" si="11"/>
        <v>1</v>
      </c>
      <c r="D24" s="267" t="s">
        <v>18</v>
      </c>
      <c r="E24" s="48" t="s">
        <v>57</v>
      </c>
      <c r="F24" s="678">
        <f ca="1">SUM(G24:I24)</f>
        <v>2488090.8630482289</v>
      </c>
      <c r="G24" s="658">
        <f ca="1">+IFERROR(G$5*GETPIVOTDATA("Unique Billed Hours",'County allocation'!$A$3,"County",$D$21,"HHA/CDPAP","CDPAP","Level of Service",$D24),0)</f>
        <v>100026.60894663722</v>
      </c>
      <c r="H24" s="658">
        <f>+IFERROR(H$5*GETPIVOTDATA("Unique Billed Hours",'County allocation'!$A$3,"County",$D$21,"HHA/CDPAP","CDPAP","Level of Service",$D24),0)</f>
        <v>86121.063541466792</v>
      </c>
      <c r="I24" s="678">
        <f ca="1">SUM(J24:P24)</f>
        <v>2301943.1905601248</v>
      </c>
      <c r="J24" s="658">
        <f ca="1">+IFERROR(J$5*GETPIVOTDATA("Unique Billed Hours",'County allocation'!$S$3,"County",$D$21,"HHA/CDPAP","CDPAP","Level of Service",$D24),0)</f>
        <v>455433.02619678719</v>
      </c>
      <c r="K24" s="658">
        <f ca="1">+IFERROR(K$5*GETPIVOTDATA("Unique Billed Hours",'County allocation'!$X$3,"County",$D$21,"HHA/CDPAP","CDPAP","Level of Service",$D24),0)</f>
        <v>1837315.1405717519</v>
      </c>
      <c r="L24" s="658">
        <f>+IFERROR(L$5*GETPIVOTDATA("Unique Billed Hours",'County allocation'!$K$19,"County",$D$21,"HHA/CDPAP","CDPAP","Level of Service",$D24),0)</f>
        <v>0</v>
      </c>
      <c r="M24" s="658">
        <f>+IFERROR(M$5*GETPIVOTDATA("Unique Billed Hours",'County allocation'!$S$3,"County",$D$21,"HHA/CDPAP","CDPAP","Level of Service",$D24),0)</f>
        <v>8484.4114647751685</v>
      </c>
      <c r="N24" s="658">
        <f>+IFERROR(N$5*GETPIVOTDATA("Unique Billed Hours",'County allocation'!$S$3,"County",$D$21,"HHA/CDPAP","CDPAP","Level of Service",$D24),0)</f>
        <v>710.61232681078184</v>
      </c>
      <c r="O24" s="658">
        <f>+IFERROR(O$5*GETPIVOTDATA("Unique Billed Hours",'County allocation'!$S$3,"County",$D$21,"HHA/CDPAP","CDPAP","Level of Service",$D24),0)</f>
        <v>0</v>
      </c>
      <c r="P24" s="658">
        <f>+IFERROR(P$5*GETPIVOTDATA("Unique Billed Hours",'County allocation'!$S$3,"County",$D$21,"HHA/CDPAP","CDPAP","Level of Service",$D24),0)</f>
        <v>0</v>
      </c>
    </row>
    <row r="25" spans="1:16" x14ac:dyDescent="0.25">
      <c r="A25" s="119" t="s">
        <v>323</v>
      </c>
      <c r="B25" s="24">
        <f>IFERROR(+GETPIVOTDATA("Unique Billed Hours",'County allocation'!$A$3,"County",A25,"HHA/CDPAP","CDPAP"),0)</f>
        <v>1.6613489150790787E-3</v>
      </c>
      <c r="C25" s="9">
        <f t="shared" ca="1" si="11"/>
        <v>1</v>
      </c>
      <c r="D25" s="267" t="s">
        <v>42</v>
      </c>
      <c r="E25" s="48" t="s">
        <v>56</v>
      </c>
      <c r="F25" s="678">
        <f t="shared" ref="F25:F31" ca="1" si="12">SUM(G25:I25)</f>
        <v>0</v>
      </c>
      <c r="G25" s="658">
        <f ca="1">+IFERROR(G$5*GETPIVOTDATA("Unique Billed Hours",'County allocation'!$A$3,"County",$D$21,"HHA/CDPAP","CDPAP","Level of Service",$D25),0)</f>
        <v>0</v>
      </c>
      <c r="H25" s="658">
        <f>+IFERROR(H$5*GETPIVOTDATA("Unique Billed Hours",'County allocation'!$A$3,"County",$D$21,"HHA/CDPAP","CDPAP","Level of Service",$D25),0)</f>
        <v>0</v>
      </c>
      <c r="I25" s="678">
        <f t="shared" ref="I25:I32" ca="1" si="13">SUM(J25:P25)</f>
        <v>0</v>
      </c>
      <c r="J25" s="658">
        <f ca="1">+IFERROR(J$5*GETPIVOTDATA("Unique Billed Hours",'County allocation'!$S$3,"County",$D$21,"HHA/CDPAP","CDPAP","Level of Service",$D25),0)</f>
        <v>0</v>
      </c>
      <c r="K25" s="658">
        <f ca="1">+IFERROR(K$5*GETPIVOTDATA("Unique Billed Hours",'County allocation'!$X$3,"County",$D$21,"HHA/CDPAP","CDPAP","Level of Service",$D25),0)</f>
        <v>0</v>
      </c>
      <c r="L25" s="658">
        <f>+IFERROR(L$5*GETPIVOTDATA("Unique Billed Hours",'County allocation'!$K$19,"County",$D$21,"HHA/CDPAP","CDPAP","Level of Service",$D25),0)</f>
        <v>0</v>
      </c>
      <c r="M25" s="658">
        <f>+IFERROR(M$5*GETPIVOTDATA("Unique Billed Hours",'County allocation'!$S$3,"County",$D$21,"HHA/CDPAP","CDPAP","Level of Service",$D25),0)</f>
        <v>0</v>
      </c>
      <c r="N25" s="658">
        <f>+IFERROR(N$5*GETPIVOTDATA("Unique Billed Hours",'County allocation'!$S$3,"County",$D$21,"HHA/CDPAP","CDPAP","Level of Service",$D25),0)</f>
        <v>0</v>
      </c>
      <c r="O25" s="658">
        <f>+IFERROR(O$5*GETPIVOTDATA("Unique Billed Hours",'County allocation'!$S$3,"County",$D$21,"HHA/CDPAP","CDPAP","Level of Service",$D25),0)</f>
        <v>0</v>
      </c>
      <c r="P25" s="658">
        <f>+IFERROR(P$5*GETPIVOTDATA("Unique Billed Hours",'County allocation'!$S$3,"County",$D$21,"HHA/CDPAP","CDPAP","Level of Service",$D25),0)</f>
        <v>0</v>
      </c>
    </row>
    <row r="26" spans="1:16" x14ac:dyDescent="0.25">
      <c r="A26" s="119" t="s">
        <v>324</v>
      </c>
      <c r="B26" s="24">
        <f>IFERROR(+GETPIVOTDATA("Unique Billed Hours",'County allocation'!$A$3,"County",A26,"HHA/CDPAP","CDPAP"),0)</f>
        <v>6.5581997416250632E-3</v>
      </c>
      <c r="C26" s="9">
        <f t="shared" ca="1" si="11"/>
        <v>1</v>
      </c>
      <c r="D26" s="267" t="s">
        <v>43</v>
      </c>
      <c r="E26" s="48" t="s">
        <v>55</v>
      </c>
      <c r="F26" s="678">
        <f t="shared" ca="1" si="12"/>
        <v>0</v>
      </c>
      <c r="G26" s="658">
        <f ca="1">+IFERROR(G$5*GETPIVOTDATA("Unique Billed Hours",'County allocation'!$A$3,"County",$D$21,"HHA/CDPAP","CDPAP","Level of Service",$D26),0)</f>
        <v>0</v>
      </c>
      <c r="H26" s="658">
        <f>+IFERROR(H$5*GETPIVOTDATA("Unique Billed Hours",'County allocation'!$A$3,"County",$D$21,"HHA/CDPAP","CDPAP","Level of Service",$D26),0)</f>
        <v>0</v>
      </c>
      <c r="I26" s="678">
        <f t="shared" ca="1" si="13"/>
        <v>0</v>
      </c>
      <c r="J26" s="658">
        <f ca="1">+IFERROR(J$5*GETPIVOTDATA("Unique Billed Hours",'County allocation'!$S$3,"County",$D$21,"HHA/CDPAP","CDPAP","Level of Service",$D26),0)</f>
        <v>0</v>
      </c>
      <c r="K26" s="658">
        <f ca="1">+IFERROR(K$5*GETPIVOTDATA("Unique Billed Hours",'County allocation'!$X$3,"County",$D$21,"HHA/CDPAP","CDPAP","Level of Service",$D26),0)</f>
        <v>0</v>
      </c>
      <c r="L26" s="658">
        <f>+IFERROR(L$5*GETPIVOTDATA("Unique Billed Hours",'County allocation'!$K$19,"County",$D$21,"HHA/CDPAP","CDPAP","Level of Service",$D26),0)</f>
        <v>0</v>
      </c>
      <c r="M26" s="658">
        <f>+IFERROR(M$5*GETPIVOTDATA("Unique Billed Hours",'County allocation'!$S$3,"County",$D$21,"HHA/CDPAP","CDPAP","Level of Service",$D26),0)</f>
        <v>0</v>
      </c>
      <c r="N26" s="658">
        <f>+IFERROR(N$5*GETPIVOTDATA("Unique Billed Hours",'County allocation'!$S$3,"County",$D$21,"HHA/CDPAP","CDPAP","Level of Service",$D26),0)</f>
        <v>0</v>
      </c>
      <c r="O26" s="658">
        <f>+IFERROR(O$5*GETPIVOTDATA("Unique Billed Hours",'County allocation'!$S$3,"County",$D$21,"HHA/CDPAP","CDPAP","Level of Service",$D26),0)</f>
        <v>0</v>
      </c>
      <c r="P26" s="658">
        <f>+IFERROR(P$5*GETPIVOTDATA("Unique Billed Hours",'County allocation'!$S$3,"County",$D$21,"HHA/CDPAP","CDPAP","Level of Service",$D26),0)</f>
        <v>0</v>
      </c>
    </row>
    <row r="27" spans="1:16" x14ac:dyDescent="0.25">
      <c r="A27" s="119" t="s">
        <v>365</v>
      </c>
      <c r="B27" s="24">
        <f>IFERROR(+GETPIVOTDATA("Unique Billed Hours",'County allocation'!$A$3,"County",A27,"HHA/CDPAP","CDPAP"),0)</f>
        <v>0.19849003913535318</v>
      </c>
      <c r="C27" s="9">
        <f t="shared" ca="1" si="11"/>
        <v>1</v>
      </c>
      <c r="D27" s="267" t="s">
        <v>44</v>
      </c>
      <c r="E27" s="48" t="s">
        <v>54</v>
      </c>
      <c r="F27" s="678">
        <f t="shared" ca="1" si="12"/>
        <v>0</v>
      </c>
      <c r="G27" s="658">
        <f ca="1">+IFERROR(G$5*GETPIVOTDATA("Unique Billed Hours",'County allocation'!$A$3,"County",$D$21,"HHA/CDPAP","CDPAP","Level of Service",$D27),0)</f>
        <v>0</v>
      </c>
      <c r="H27" s="658">
        <f>+IFERROR(H$5*GETPIVOTDATA("Unique Billed Hours",'County allocation'!$A$3,"County",$D$21,"HHA/CDPAP","CDPAP","Level of Service",$D27),0)</f>
        <v>0</v>
      </c>
      <c r="I27" s="678">
        <f t="shared" ca="1" si="13"/>
        <v>0</v>
      </c>
      <c r="J27" s="658">
        <f ca="1">+IFERROR(J$5*GETPIVOTDATA("Unique Billed Hours",'County allocation'!$S$3,"County",$D$21,"HHA/CDPAP","CDPAP","Level of Service",$D27),0)</f>
        <v>0</v>
      </c>
      <c r="K27" s="658">
        <f ca="1">+IFERROR(K$5*GETPIVOTDATA("Unique Billed Hours",'County allocation'!$X$3,"County",$D$21,"HHA/CDPAP","CDPAP","Level of Service",$D27),0)</f>
        <v>0</v>
      </c>
      <c r="L27" s="658">
        <f>+IFERROR(L$5*GETPIVOTDATA("Unique Billed Hours",'County allocation'!$K$19,"County",$D$21,"HHA/CDPAP","CDPAP","Level of Service",$D27),0)</f>
        <v>0</v>
      </c>
      <c r="M27" s="658">
        <f>+IFERROR(M$5*GETPIVOTDATA("Unique Billed Hours",'County allocation'!$S$3,"County",$D$21,"HHA/CDPAP","CDPAP","Level of Service",$D27),0)</f>
        <v>0</v>
      </c>
      <c r="N27" s="658">
        <f>+IFERROR(N$5*GETPIVOTDATA("Unique Billed Hours",'County allocation'!$S$3,"County",$D$21,"HHA/CDPAP","CDPAP","Level of Service",$D27),0)</f>
        <v>0</v>
      </c>
      <c r="O27" s="658">
        <f>+IFERROR(O$5*GETPIVOTDATA("Unique Billed Hours",'County allocation'!$S$3,"County",$D$21,"HHA/CDPAP","CDPAP","Level of Service",$D27),0)</f>
        <v>0</v>
      </c>
      <c r="P27" s="658">
        <f>+IFERROR(P$5*GETPIVOTDATA("Unique Billed Hours",'County allocation'!$S$3,"County",$D$21,"HHA/CDPAP","CDPAP","Level of Service",$D27),0)</f>
        <v>0</v>
      </c>
    </row>
    <row r="28" spans="1:16" x14ac:dyDescent="0.25">
      <c r="A28" s="119" t="s">
        <v>325</v>
      </c>
      <c r="B28" s="24">
        <f>IFERROR(+GETPIVOTDATA("Unique Billed Hours",'County allocation'!$A$3,"County",A28,"HHA/CDPAP","CDPAP"),0)</f>
        <v>1.5695907928306577E-3</v>
      </c>
      <c r="C28" s="9">
        <f t="shared" ca="1" si="11"/>
        <v>1</v>
      </c>
      <c r="D28" s="267" t="s">
        <v>45</v>
      </c>
      <c r="E28" s="48" t="s">
        <v>53</v>
      </c>
      <c r="F28" s="678">
        <f t="shared" ca="1" si="12"/>
        <v>0</v>
      </c>
      <c r="G28" s="658">
        <f ca="1">+IFERROR(G$5*GETPIVOTDATA("Unique Billed Hours",'County allocation'!$A$3,"County",$D$21,"HHA/CDPAP","CDPAP","Level of Service",$D28),0)</f>
        <v>0</v>
      </c>
      <c r="H28" s="658">
        <f>+IFERROR(H$5*GETPIVOTDATA("Unique Billed Hours",'County allocation'!$A$3,"County",$D$21,"HHA/CDPAP","CDPAP","Level of Service",$D28),0)</f>
        <v>0</v>
      </c>
      <c r="I28" s="678">
        <f t="shared" ca="1" si="13"/>
        <v>0</v>
      </c>
      <c r="J28" s="658">
        <f ca="1">+IFERROR(J$5*GETPIVOTDATA("Unique Billed Hours",'County allocation'!$S$3,"County",$D$21,"HHA/CDPAP","CDPAP","Level of Service",$D28),0)</f>
        <v>0</v>
      </c>
      <c r="K28" s="658">
        <f ca="1">+IFERROR(K$5*GETPIVOTDATA("Unique Billed Hours",'County allocation'!$X$3,"County",$D$21,"HHA/CDPAP","CDPAP","Level of Service",$D28),0)</f>
        <v>0</v>
      </c>
      <c r="L28" s="658">
        <f>+IFERROR(L$5*GETPIVOTDATA("Unique Billed Hours",'County allocation'!$K$19,"County",$D$21,"HHA/CDPAP","CDPAP","Level of Service",$D28),0)</f>
        <v>0</v>
      </c>
      <c r="M28" s="658">
        <f>+IFERROR(M$5*GETPIVOTDATA("Unique Billed Hours",'County allocation'!$S$3,"County",$D$21,"HHA/CDPAP","CDPAP","Level of Service",$D28),0)</f>
        <v>0</v>
      </c>
      <c r="N28" s="658">
        <f>+IFERROR(N$5*GETPIVOTDATA("Unique Billed Hours",'County allocation'!$S$3,"County",$D$21,"HHA/CDPAP","CDPAP","Level of Service",$D28),0)</f>
        <v>0</v>
      </c>
      <c r="O28" s="658">
        <f>+IFERROR(O$5*GETPIVOTDATA("Unique Billed Hours",'County allocation'!$S$3,"County",$D$21,"HHA/CDPAP","CDPAP","Level of Service",$D28),0)</f>
        <v>0</v>
      </c>
      <c r="P28" s="658">
        <f>+IFERROR(P$5*GETPIVOTDATA("Unique Billed Hours",'County allocation'!$S$3,"County",$D$21,"HHA/CDPAP","CDPAP","Level of Service",$D28),0)</f>
        <v>0</v>
      </c>
    </row>
    <row r="29" spans="1:16" x14ac:dyDescent="0.25">
      <c r="A29" s="119" t="s">
        <v>326</v>
      </c>
      <c r="B29" s="24">
        <f>IFERROR(+GETPIVOTDATA("Unique Billed Hours",'County allocation'!$A$3,"County",A29,"HHA/CDPAP","CDPAP"),0)</f>
        <v>1.1180611534471463E-3</v>
      </c>
      <c r="C29" s="9">
        <f t="shared" ca="1" si="11"/>
        <v>1</v>
      </c>
      <c r="D29" s="267" t="s">
        <v>46</v>
      </c>
      <c r="E29" s="48" t="s">
        <v>52</v>
      </c>
      <c r="F29" s="678">
        <f t="shared" ca="1" si="12"/>
        <v>0</v>
      </c>
      <c r="G29" s="658">
        <f ca="1">+IFERROR(G$5*GETPIVOTDATA("Unique Billed Hours",'County allocation'!$A$3,"County",$D$21,"HHA/CDPAP","CDPAP","Level of Service",$D29),0)</f>
        <v>0</v>
      </c>
      <c r="H29" s="658">
        <f>+IFERROR(H$5*GETPIVOTDATA("Unique Billed Hours",'County allocation'!$A$3,"County",$D$21,"HHA/CDPAP","CDPAP","Level of Service",$D29),0)</f>
        <v>0</v>
      </c>
      <c r="I29" s="678">
        <f t="shared" ca="1" si="13"/>
        <v>0</v>
      </c>
      <c r="J29" s="658">
        <f ca="1">+IFERROR(J$5*GETPIVOTDATA("Unique Billed Hours",'County allocation'!$S$3,"County",$D$21,"HHA/CDPAP","CDPAP","Level of Service",$D29),0)</f>
        <v>0</v>
      </c>
      <c r="K29" s="658">
        <f ca="1">+IFERROR(K$5*GETPIVOTDATA("Unique Billed Hours",'County allocation'!$X$3,"County",$D$21,"HHA/CDPAP","CDPAP","Level of Service",$D29),0)</f>
        <v>0</v>
      </c>
      <c r="L29" s="658">
        <f>+IFERROR(L$5*GETPIVOTDATA("Unique Billed Hours",'County allocation'!$K$19,"County",$D$21,"HHA/CDPAP","CDPAP","Level of Service",$D29),0)</f>
        <v>0</v>
      </c>
      <c r="M29" s="658">
        <f>+IFERROR(M$5*GETPIVOTDATA("Unique Billed Hours",'County allocation'!$S$3,"County",$D$21,"HHA/CDPAP","CDPAP","Level of Service",$D29),0)</f>
        <v>0</v>
      </c>
      <c r="N29" s="658">
        <f>+IFERROR(N$5*GETPIVOTDATA("Unique Billed Hours",'County allocation'!$S$3,"County",$D$21,"HHA/CDPAP","CDPAP","Level of Service",$D29),0)</f>
        <v>0</v>
      </c>
      <c r="O29" s="658">
        <f>+IFERROR(O$5*GETPIVOTDATA("Unique Billed Hours",'County allocation'!$S$3,"County",$D$21,"HHA/CDPAP","CDPAP","Level of Service",$D29),0)</f>
        <v>0</v>
      </c>
      <c r="P29" s="658">
        <f>+IFERROR(P$5*GETPIVOTDATA("Unique Billed Hours",'County allocation'!$S$3,"County",$D$21,"HHA/CDPAP","CDPAP","Level of Service",$D29),0)</f>
        <v>0</v>
      </c>
    </row>
    <row r="30" spans="1:16" ht="15.75" thickBot="1" x14ac:dyDescent="0.3">
      <c r="A30" s="119" t="s">
        <v>327</v>
      </c>
      <c r="B30" s="24">
        <f>IFERROR(+GETPIVOTDATA("Unique Billed Hours",'County allocation'!$A$3,"County",A30,"HHA/CDPAP","CDPAP"),0)</f>
        <v>1.9127199054402991E-3</v>
      </c>
      <c r="C30" s="9">
        <f t="shared" ca="1" si="11"/>
        <v>1</v>
      </c>
      <c r="D30" s="52" t="s">
        <v>389</v>
      </c>
      <c r="E30" s="370" t="s">
        <v>51</v>
      </c>
      <c r="F30" s="679">
        <f ca="1">SUM(F24:F29)</f>
        <v>2488090.8630482289</v>
      </c>
      <c r="G30" s="679">
        <f t="shared" ref="G30:H30" ca="1" si="14">SUM(G24:G29)</f>
        <v>100026.60894663722</v>
      </c>
      <c r="H30" s="679">
        <f t="shared" si="14"/>
        <v>86121.063541466792</v>
      </c>
      <c r="I30" s="678">
        <f t="shared" ca="1" si="13"/>
        <v>2301943.1905601248</v>
      </c>
      <c r="J30" s="679">
        <f ca="1">SUM(J24:J29)</f>
        <v>455433.02619678719</v>
      </c>
      <c r="K30" s="679">
        <f t="shared" ref="K30" ca="1" si="15">SUM(K24:K29)</f>
        <v>1837315.1405717519</v>
      </c>
      <c r="L30" s="679">
        <f t="shared" ref="L30" si="16">SUM(L24:L29)</f>
        <v>0</v>
      </c>
      <c r="M30" s="679">
        <f t="shared" ref="M30" si="17">SUM(M24:M29)</f>
        <v>8484.4114647751685</v>
      </c>
      <c r="N30" s="679">
        <f t="shared" ref="N30" si="18">SUM(N24:N29)</f>
        <v>710.61232681078184</v>
      </c>
      <c r="O30" s="679">
        <f t="shared" ref="O30" si="19">SUM(O24:O29)</f>
        <v>0</v>
      </c>
      <c r="P30" s="679">
        <f t="shared" ref="P30" si="20">SUM(P24:P29)</f>
        <v>0</v>
      </c>
    </row>
    <row r="31" spans="1:16" x14ac:dyDescent="0.25">
      <c r="A31" s="119" t="s">
        <v>285</v>
      </c>
      <c r="B31" s="24">
        <f>IFERROR(+GETPIVOTDATA("Unique Billed Hours",'County allocation'!$A$3,"County",A31,"HHA/CDPAP","CDPAP"),0)</f>
        <v>3.1956436739103963E-2</v>
      </c>
      <c r="C31" s="9">
        <f t="shared" ca="1" si="11"/>
        <v>1</v>
      </c>
      <c r="D31" s="378" t="s">
        <v>390</v>
      </c>
      <c r="E31" s="370" t="s">
        <v>50</v>
      </c>
      <c r="F31" s="678">
        <f t="shared" ca="1" si="12"/>
        <v>0</v>
      </c>
      <c r="G31" s="658">
        <f ca="1">+IFERROR(G$5*GETPIVOTDATA("Unique Billed Hours",'County allocation'!$A$3,"County",$D$21,"HHA/CDPAP","CDPAP","Level of Service",$D31),0)</f>
        <v>0</v>
      </c>
      <c r="H31" s="659"/>
      <c r="I31" s="678">
        <f t="shared" si="13"/>
        <v>0</v>
      </c>
      <c r="J31" s="659"/>
      <c r="K31" s="659"/>
      <c r="L31" s="659"/>
      <c r="M31" s="659"/>
      <c r="N31" s="659"/>
      <c r="O31" s="659"/>
      <c r="P31" s="659"/>
    </row>
    <row r="32" spans="1:16" ht="15.75" thickBot="1" x14ac:dyDescent="0.3">
      <c r="A32" s="119" t="s">
        <v>328</v>
      </c>
      <c r="B32" s="24">
        <f>IFERROR(+GETPIVOTDATA("Unique Billed Hours",'County allocation'!$A$3,"County",A32,"HHA/CDPAP","CDPAP"),0)</f>
        <v>5.4683471425666123E-3</v>
      </c>
      <c r="C32" s="9">
        <f t="shared" ca="1" si="11"/>
        <v>1</v>
      </c>
      <c r="D32" s="11" t="s">
        <v>48</v>
      </c>
      <c r="E32" s="53" t="s">
        <v>49</v>
      </c>
      <c r="F32" s="662">
        <f ca="1">SUBTOTAL(9,F24:F29)</f>
        <v>2488090.8630482289</v>
      </c>
      <c r="G32" s="662">
        <f t="shared" ref="G32:P32" ca="1" si="21">SUBTOTAL(9,G24:G29)</f>
        <v>100026.60894663722</v>
      </c>
      <c r="H32" s="662">
        <f>SUBTOTAL(9,H24:H29)</f>
        <v>86121.063541466792</v>
      </c>
      <c r="I32" s="678">
        <f t="shared" ca="1" si="13"/>
        <v>2301943.1905601248</v>
      </c>
      <c r="J32" s="662">
        <f t="shared" ca="1" si="21"/>
        <v>455433.02619678719</v>
      </c>
      <c r="K32" s="662">
        <f t="shared" ca="1" si="21"/>
        <v>1837315.1405717519</v>
      </c>
      <c r="L32" s="662">
        <f t="shared" si="21"/>
        <v>0</v>
      </c>
      <c r="M32" s="662">
        <f t="shared" si="21"/>
        <v>8484.4114647751685</v>
      </c>
      <c r="N32" s="662">
        <f t="shared" si="21"/>
        <v>710.61232681078184</v>
      </c>
      <c r="O32" s="662">
        <f t="shared" si="21"/>
        <v>0</v>
      </c>
      <c r="P32" s="662">
        <f t="shared" si="21"/>
        <v>0</v>
      </c>
    </row>
    <row r="33" spans="1:16" ht="15.75" hidden="1" thickBot="1" x14ac:dyDescent="0.3">
      <c r="A33" s="119" t="s">
        <v>329</v>
      </c>
      <c r="B33" s="24">
        <f>IFERROR(+GETPIVOTDATA("Unique Billed Hours",'County allocation'!$A$3,"County",A33,"HHA/CDPAP","CDPAP"),0)</f>
        <v>5.1693236147688171E-2</v>
      </c>
      <c r="D33" s="54"/>
      <c r="E33" s="55"/>
      <c r="F33" s="666"/>
      <c r="G33" s="666"/>
      <c r="H33" s="666"/>
      <c r="I33" s="666"/>
      <c r="J33" s="666"/>
      <c r="K33" s="666"/>
      <c r="L33" s="666"/>
      <c r="M33" s="666"/>
      <c r="N33" s="666"/>
      <c r="O33" s="666"/>
      <c r="P33" s="666"/>
    </row>
    <row r="34" spans="1:16" ht="15.75" hidden="1" thickBot="1" x14ac:dyDescent="0.3">
      <c r="A34" s="119" t="s">
        <v>366</v>
      </c>
      <c r="B34" s="24">
        <f>IFERROR(+GETPIVOTDATA("Unique Billed Hours",'County allocation'!$A$3,"County",A34,"HHA/CDPAP","CDPAP"),0)</f>
        <v>6.8695669215824678E-2</v>
      </c>
      <c r="D34" s="272"/>
      <c r="E34" s="324"/>
      <c r="F34" s="667"/>
      <c r="G34" s="667"/>
      <c r="H34" s="667"/>
      <c r="I34" s="667"/>
      <c r="J34" s="667"/>
      <c r="K34" s="667"/>
      <c r="L34" s="667"/>
      <c r="M34" s="667"/>
      <c r="N34" s="667"/>
      <c r="O34" s="667"/>
      <c r="P34" s="667"/>
    </row>
    <row r="35" spans="1:16" ht="75" x14ac:dyDescent="0.25">
      <c r="A35" s="119" t="s">
        <v>330</v>
      </c>
      <c r="B35" s="24">
        <f>IFERROR(+GETPIVOTDATA("Unique Billed Hours",'County allocation'!$A$3,"County",A35,"HHA/CDPAP","CDPAP"),0)</f>
        <v>5.8328093760351305E-3</v>
      </c>
      <c r="C35" s="9">
        <f ca="1">IF(F46&gt;0,1,0)</f>
        <v>1</v>
      </c>
      <c r="D35" s="45" t="str">
        <f>A5</f>
        <v>Allegany</v>
      </c>
      <c r="E35" s="28">
        <f>SUMIF(A:A,D35,B:B)</f>
        <v>6.0503815062404201E-4</v>
      </c>
      <c r="F35" s="652" t="s">
        <v>396</v>
      </c>
      <c r="G35" s="652" t="s">
        <v>387</v>
      </c>
      <c r="H35" s="652" t="s">
        <v>388</v>
      </c>
      <c r="I35" s="652" t="s">
        <v>392</v>
      </c>
      <c r="J35" s="652" t="s">
        <v>31</v>
      </c>
      <c r="K35" s="652" t="s">
        <v>32</v>
      </c>
      <c r="L35" s="653" t="s">
        <v>33</v>
      </c>
      <c r="M35" s="653" t="s">
        <v>60</v>
      </c>
      <c r="N35" s="653" t="s">
        <v>59</v>
      </c>
      <c r="O35" s="653" t="s">
        <v>58</v>
      </c>
      <c r="P35" s="653" t="s">
        <v>16</v>
      </c>
    </row>
    <row r="36" spans="1:16" x14ac:dyDescent="0.25">
      <c r="A36" s="119" t="s">
        <v>331</v>
      </c>
      <c r="B36" s="24">
        <f>IFERROR(+GETPIVOTDATA("Unique Billed Hours",'County allocation'!$A$3,"County",A36,"HHA/CDPAP","CDPAP"),0)</f>
        <v>7.1008449393757042E-3</v>
      </c>
      <c r="C36" s="9">
        <f ca="1">C35</f>
        <v>1</v>
      </c>
      <c r="D36" s="47"/>
      <c r="E36" s="48"/>
      <c r="F36" s="669" t="s">
        <v>57</v>
      </c>
      <c r="G36" s="669" t="s">
        <v>56</v>
      </c>
      <c r="H36" s="669" t="s">
        <v>55</v>
      </c>
      <c r="I36" s="669" t="s">
        <v>54</v>
      </c>
      <c r="J36" s="669" t="s">
        <v>53</v>
      </c>
      <c r="K36" s="669" t="s">
        <v>52</v>
      </c>
      <c r="L36" s="669" t="s">
        <v>51</v>
      </c>
      <c r="M36" s="669" t="s">
        <v>50</v>
      </c>
      <c r="N36" s="669" t="s">
        <v>49</v>
      </c>
      <c r="O36" s="669" t="s">
        <v>47</v>
      </c>
      <c r="P36" s="670" t="s">
        <v>77</v>
      </c>
    </row>
    <row r="37" spans="1:16" x14ac:dyDescent="0.25">
      <c r="A37" s="119" t="s">
        <v>332</v>
      </c>
      <c r="B37" s="24">
        <f>IFERROR(+GETPIVOTDATA("Unique Billed Hours",'County allocation'!$A$3,"County",A37,"HHA/CDPAP","CDPAP"),0)</f>
        <v>2.2146992270920353E-2</v>
      </c>
      <c r="C37" s="9">
        <f t="shared" ref="C37:C46" ca="1" si="22">C36</f>
        <v>1</v>
      </c>
      <c r="D37" s="51" t="s">
        <v>26</v>
      </c>
      <c r="E37" s="48"/>
      <c r="F37" s="674"/>
      <c r="G37" s="674"/>
      <c r="H37" s="674"/>
      <c r="I37" s="674"/>
      <c r="J37" s="674"/>
      <c r="K37" s="674"/>
      <c r="L37" s="675"/>
      <c r="M37" s="675"/>
      <c r="N37" s="676"/>
      <c r="O37" s="674"/>
      <c r="P37" s="677"/>
    </row>
    <row r="38" spans="1:16" x14ac:dyDescent="0.25">
      <c r="A38" s="119" t="s">
        <v>333</v>
      </c>
      <c r="B38" s="24">
        <f>IFERROR(+GETPIVOTDATA("Unique Billed Hours",'County allocation'!$A$3,"County",A38,"HHA/CDPAP","CDPAP"),0)</f>
        <v>3.0558410502578128E-3</v>
      </c>
      <c r="C38" s="9">
        <f t="shared" ca="1" si="22"/>
        <v>1</v>
      </c>
      <c r="D38" s="267" t="s">
        <v>18</v>
      </c>
      <c r="E38" s="48" t="s">
        <v>57</v>
      </c>
      <c r="F38" s="678">
        <f ca="1">SUM(G38:I38)</f>
        <v>52156.380035980997</v>
      </c>
      <c r="G38" s="658">
        <f ca="1">+IFERROR(G$5*GETPIVOTDATA("Unique Billed Hours",'County allocation'!$A$3,"County",$D$35,"HHA/CDPAP","CDPAP","Level of Service",$D38),0)</f>
        <v>2096.7987573973664</v>
      </c>
      <c r="H38" s="658">
        <f>+IFERROR(H$5*GETPIVOTDATA("Unique Billed Hours",'County allocation'!$A$3,"County",$D$35,"HHA/CDPAP","CDPAP","Level of Service",$D38),0)</f>
        <v>1805.3050175461142</v>
      </c>
      <c r="I38" s="678">
        <f ca="1">SUM(J38:P38)</f>
        <v>48254.276261037514</v>
      </c>
      <c r="J38" s="658">
        <f ca="1">+IFERROR(J$5*GETPIVOTDATA("Unique Billed Hours",'County allocation'!$S$3,"County",$D$35,"HHA/CDPAP","CDPAP","Level of Service",$D38),0)</f>
        <v>9546.9736849381607</v>
      </c>
      <c r="K38" s="658">
        <f ca="1">+IFERROR(K$5*GETPIVOTDATA("Unique Billed Hours",'County allocation'!$X$3,"County",$D$35,"HHA/CDPAP","CDPAP","Level of Service",$D38),0)</f>
        <v>38514.552720201289</v>
      </c>
      <c r="L38" s="658">
        <f>+IFERROR(L$5*GETPIVOTDATA("Unique Billed Hours",'County allocation'!$K$19,"County",$D$35,"HHA/CDPAP","CDPAP","Level of Service",$D38),0)</f>
        <v>0</v>
      </c>
      <c r="M38" s="658">
        <f>+IFERROR(M$5*GETPIVOTDATA("Unique Billed Hours",'County allocation'!$S$3,"County",$D$35,"HHA/CDPAP","CDPAP","Level of Service",$D38),0)</f>
        <v>177.8537091673208</v>
      </c>
      <c r="N38" s="658">
        <f>+IFERROR(N$5*GETPIVOTDATA("Unique Billed Hours",'County allocation'!$S$3,"County",$D$35,"HHA/CDPAP","CDPAP","Level of Service",$D38),0)</f>
        <v>14.8961467307464</v>
      </c>
      <c r="O38" s="658">
        <f>+IFERROR(O$5*GETPIVOTDATA("Unique Billed Hours",'County allocation'!$S$3,"County",$D$35,"HHA/CDPAP","CDPAP","Level of Service",$D38),0)</f>
        <v>0</v>
      </c>
      <c r="P38" s="658">
        <f>+IFERROR(P$5*GETPIVOTDATA("Unique Billed Hours",'County allocation'!$S$3,"County",$D$35,"HHA/CDPAP","CDPAP","Level of Service",$D38),0)</f>
        <v>0</v>
      </c>
    </row>
    <row r="39" spans="1:16" x14ac:dyDescent="0.25">
      <c r="A39" s="119" t="s">
        <v>334</v>
      </c>
      <c r="B39" s="24">
        <f>IFERROR(+GETPIVOTDATA("Unique Billed Hours",'County allocation'!$A$3,"County",A39,"HHA/CDPAP","CDPAP"),0)</f>
        <v>1.2293981971585183E-2</v>
      </c>
      <c r="C39" s="9">
        <f t="shared" ca="1" si="22"/>
        <v>1</v>
      </c>
      <c r="D39" s="267" t="s">
        <v>42</v>
      </c>
      <c r="E39" s="48" t="s">
        <v>56</v>
      </c>
      <c r="F39" s="678">
        <f t="shared" ref="F39:F43" ca="1" si="23">SUM(G39:I39)</f>
        <v>0</v>
      </c>
      <c r="G39" s="658">
        <f ca="1">+IFERROR(G$5*GETPIVOTDATA("Unique Billed Hours",'County allocation'!$A$3,"County",$D$35,"HHA/CDPAP","CDPAP","Level of Service",$D39),0)</f>
        <v>0</v>
      </c>
      <c r="H39" s="658">
        <f>+IFERROR(H$5*GETPIVOTDATA("Unique Billed Hours",'County allocation'!$A$3,"County",$D$35,"HHA/CDPAP","CDPAP","Level of Service",$D39),0)</f>
        <v>0</v>
      </c>
      <c r="I39" s="678">
        <f t="shared" ref="I39:I46" ca="1" si="24">SUM(J39:P39)</f>
        <v>0</v>
      </c>
      <c r="J39" s="658">
        <f ca="1">+IFERROR(J$5*GETPIVOTDATA("Unique Billed Hours",'County allocation'!$S$3,"County",$D$35,"HHA/CDPAP","CDPAP","Level of Service",$D39),0)</f>
        <v>0</v>
      </c>
      <c r="K39" s="658">
        <f ca="1">+IFERROR(K$5*GETPIVOTDATA("Unique Billed Hours",'County allocation'!$X$3,"County",$D$35,"HHA/CDPAP","CDPAP","Level of Service",$D39),0)</f>
        <v>0</v>
      </c>
      <c r="L39" s="658">
        <f>+IFERROR(L$5*GETPIVOTDATA("Unique Billed Hours",'County allocation'!$K$19,"County",$D$35,"HHA/CDPAP","CDPAP","Level of Service",$D39),0)</f>
        <v>0</v>
      </c>
      <c r="M39" s="658">
        <f>+IFERROR(M$5*GETPIVOTDATA("Unique Billed Hours",'County allocation'!$S$3,"County",$D$35,"HHA/CDPAP","CDPAP","Level of Service",$D39),0)</f>
        <v>0</v>
      </c>
      <c r="N39" s="658">
        <f>+IFERROR(N$5*GETPIVOTDATA("Unique Billed Hours",'County allocation'!$S$3,"County",$D$35,"HHA/CDPAP","CDPAP","Level of Service",$D39),0)</f>
        <v>0</v>
      </c>
      <c r="O39" s="658">
        <f>+IFERROR(O$5*GETPIVOTDATA("Unique Billed Hours",'County allocation'!$S$3,"County",$D$35,"HHA/CDPAP","CDPAP","Level of Service",$D39),0)</f>
        <v>0</v>
      </c>
      <c r="P39" s="658">
        <f>+IFERROR(P$5*GETPIVOTDATA("Unique Billed Hours",'County allocation'!$S$3,"County",$D$35,"HHA/CDPAP","CDPAP","Level of Service",$D39),0)</f>
        <v>0</v>
      </c>
    </row>
    <row r="40" spans="1:16" x14ac:dyDescent="0.25">
      <c r="A40" s="119" t="s">
        <v>335</v>
      </c>
      <c r="B40" s="24">
        <f>IFERROR(+GETPIVOTDATA("Unique Billed Hours",'County allocation'!$A$3,"County",A40,"HHA/CDPAP","CDPAP"),0)</f>
        <v>1.1805826190968058E-3</v>
      </c>
      <c r="C40" s="9">
        <f t="shared" ca="1" si="22"/>
        <v>1</v>
      </c>
      <c r="D40" s="267" t="s">
        <v>43</v>
      </c>
      <c r="E40" s="48" t="s">
        <v>55</v>
      </c>
      <c r="F40" s="678">
        <f t="shared" ca="1" si="23"/>
        <v>0</v>
      </c>
      <c r="G40" s="658">
        <f ca="1">+IFERROR(G$5*GETPIVOTDATA("Unique Billed Hours",'County allocation'!$A$3,"County",$D$35,"HHA/CDPAP","CDPAP","Level of Service",$D40),0)</f>
        <v>0</v>
      </c>
      <c r="H40" s="658">
        <f>+IFERROR(H$5*GETPIVOTDATA("Unique Billed Hours",'County allocation'!$A$3,"County",$D$35,"HHA/CDPAP","CDPAP","Level of Service",$D40),0)</f>
        <v>0</v>
      </c>
      <c r="I40" s="678">
        <f t="shared" ca="1" si="24"/>
        <v>0</v>
      </c>
      <c r="J40" s="658">
        <f ca="1">+IFERROR(J$5*GETPIVOTDATA("Unique Billed Hours",'County allocation'!$S$3,"County",$D$35,"HHA/CDPAP","CDPAP","Level of Service",$D40),0)</f>
        <v>0</v>
      </c>
      <c r="K40" s="658">
        <f ca="1">+IFERROR(K$5*GETPIVOTDATA("Unique Billed Hours",'County allocation'!$X$3,"County",$D$35,"HHA/CDPAP","CDPAP","Level of Service",$D40),0)</f>
        <v>0</v>
      </c>
      <c r="L40" s="658">
        <f>+IFERROR(L$5*GETPIVOTDATA("Unique Billed Hours",'County allocation'!$K$19,"County",$D$35,"HHA/CDPAP","CDPAP","Level of Service",$D40),0)</f>
        <v>0</v>
      </c>
      <c r="M40" s="658">
        <f>+IFERROR(M$5*GETPIVOTDATA("Unique Billed Hours",'County allocation'!$S$3,"County",$D$35,"HHA/CDPAP","CDPAP","Level of Service",$D40),0)</f>
        <v>0</v>
      </c>
      <c r="N40" s="658">
        <f>+IFERROR(N$5*GETPIVOTDATA("Unique Billed Hours",'County allocation'!$S$3,"County",$D$35,"HHA/CDPAP","CDPAP","Level of Service",$D40),0)</f>
        <v>0</v>
      </c>
      <c r="O40" s="658">
        <f>+IFERROR(O$5*GETPIVOTDATA("Unique Billed Hours",'County allocation'!$S$3,"County",$D$35,"HHA/CDPAP","CDPAP","Level of Service",$D40),0)</f>
        <v>0</v>
      </c>
      <c r="P40" s="658">
        <f>+IFERROR(P$5*GETPIVOTDATA("Unique Billed Hours",'County allocation'!$S$3,"County",$D$35,"HHA/CDPAP","CDPAP","Level of Service",$D40),0)</f>
        <v>0</v>
      </c>
    </row>
    <row r="41" spans="1:16" x14ac:dyDescent="0.25">
      <c r="A41" s="119" t="s">
        <v>336</v>
      </c>
      <c r="B41" s="24">
        <f>IFERROR(+GETPIVOTDATA("Unique Billed Hours",'County allocation'!$A$3,"County",A41,"HHA/CDPAP","CDPAP"),0)</f>
        <v>3.9130855242887541E-3</v>
      </c>
      <c r="C41" s="9">
        <f t="shared" ca="1" si="22"/>
        <v>1</v>
      </c>
      <c r="D41" s="267" t="s">
        <v>44</v>
      </c>
      <c r="E41" s="48" t="s">
        <v>54</v>
      </c>
      <c r="F41" s="678">
        <f t="shared" ca="1" si="23"/>
        <v>0</v>
      </c>
      <c r="G41" s="658">
        <f ca="1">+IFERROR(G$5*GETPIVOTDATA("Unique Billed Hours",'County allocation'!$A$3,"County",$D$35,"HHA/CDPAP","CDPAP","Level of Service",$D41),0)</f>
        <v>0</v>
      </c>
      <c r="H41" s="658">
        <f>+IFERROR(H$5*GETPIVOTDATA("Unique Billed Hours",'County allocation'!$A$3,"County",$D$35,"HHA/CDPAP","CDPAP","Level of Service",$D41),0)</f>
        <v>0</v>
      </c>
      <c r="I41" s="678">
        <f t="shared" ca="1" si="24"/>
        <v>0</v>
      </c>
      <c r="J41" s="658">
        <f ca="1">+IFERROR(J$5*GETPIVOTDATA("Unique Billed Hours",'County allocation'!$S$3,"County",$D$35,"HHA/CDPAP","CDPAP","Level of Service",$D41),0)</f>
        <v>0</v>
      </c>
      <c r="K41" s="658">
        <f ca="1">+IFERROR(K$5*GETPIVOTDATA("Unique Billed Hours",'County allocation'!$X$3,"County",$D$35,"HHA/CDPAP","CDPAP","Level of Service",$D41),0)</f>
        <v>0</v>
      </c>
      <c r="L41" s="658">
        <f>+IFERROR(L$5*GETPIVOTDATA("Unique Billed Hours",'County allocation'!$K$19,"County",$D$35,"HHA/CDPAP","CDPAP","Level of Service",$D41),0)</f>
        <v>0</v>
      </c>
      <c r="M41" s="658">
        <f>+IFERROR(M$5*GETPIVOTDATA("Unique Billed Hours",'County allocation'!$S$3,"County",$D$35,"HHA/CDPAP","CDPAP","Level of Service",$D41),0)</f>
        <v>0</v>
      </c>
      <c r="N41" s="658">
        <f>+IFERROR(N$5*GETPIVOTDATA("Unique Billed Hours",'County allocation'!$S$3,"County",$D$35,"HHA/CDPAP","CDPAP","Level of Service",$D41),0)</f>
        <v>0</v>
      </c>
      <c r="O41" s="658">
        <f>+IFERROR(O$5*GETPIVOTDATA("Unique Billed Hours",'County allocation'!$S$3,"County",$D$35,"HHA/CDPAP","CDPAP","Level of Service",$D41),0)</f>
        <v>0</v>
      </c>
      <c r="P41" s="658">
        <f>+IFERROR(P$5*GETPIVOTDATA("Unique Billed Hours",'County allocation'!$S$3,"County",$D$35,"HHA/CDPAP","CDPAP","Level of Service",$D41),0)</f>
        <v>0</v>
      </c>
    </row>
    <row r="42" spans="1:16" x14ac:dyDescent="0.25">
      <c r="A42" s="119" t="s">
        <v>337</v>
      </c>
      <c r="B42" s="24">
        <f>IFERROR(+GETPIVOTDATA("Unique Billed Hours",'County allocation'!$A$3,"County",A42,"HHA/CDPAP","CDPAP"),0)</f>
        <v>1.6648187600380527E-3</v>
      </c>
      <c r="C42" s="9">
        <f t="shared" ca="1" si="22"/>
        <v>1</v>
      </c>
      <c r="D42" s="267" t="s">
        <v>45</v>
      </c>
      <c r="E42" s="48" t="s">
        <v>53</v>
      </c>
      <c r="F42" s="678">
        <f t="shared" ca="1" si="23"/>
        <v>0</v>
      </c>
      <c r="G42" s="658">
        <f ca="1">+IFERROR(G$5*GETPIVOTDATA("Unique Billed Hours",'County allocation'!$A$3,"County",$D$35,"HHA/CDPAP","CDPAP","Level of Service",$D42),0)</f>
        <v>0</v>
      </c>
      <c r="H42" s="658">
        <f>+IFERROR(H$5*GETPIVOTDATA("Unique Billed Hours",'County allocation'!$A$3,"County",$D$35,"HHA/CDPAP","CDPAP","Level of Service",$D42),0)</f>
        <v>0</v>
      </c>
      <c r="I42" s="678">
        <f t="shared" ca="1" si="24"/>
        <v>0</v>
      </c>
      <c r="J42" s="658">
        <f ca="1">+IFERROR(J$5*GETPIVOTDATA("Unique Billed Hours",'County allocation'!$S$3,"County",$D$35,"HHA/CDPAP","CDPAP","Level of Service",$D42),0)</f>
        <v>0</v>
      </c>
      <c r="K42" s="658">
        <f ca="1">+IFERROR(K$5*GETPIVOTDATA("Unique Billed Hours",'County allocation'!$X$3,"County",$D$35,"HHA/CDPAP","CDPAP","Level of Service",$D42),0)</f>
        <v>0</v>
      </c>
      <c r="L42" s="658">
        <f>+IFERROR(L$5*GETPIVOTDATA("Unique Billed Hours",'County allocation'!$K$19,"County",$D$35,"HHA/CDPAP","CDPAP","Level of Service",$D42),0)</f>
        <v>0</v>
      </c>
      <c r="M42" s="658">
        <f>+IFERROR(M$5*GETPIVOTDATA("Unique Billed Hours",'County allocation'!$S$3,"County",$D$35,"HHA/CDPAP","CDPAP","Level of Service",$D42),0)</f>
        <v>0</v>
      </c>
      <c r="N42" s="658">
        <f>+IFERROR(N$5*GETPIVOTDATA("Unique Billed Hours",'County allocation'!$S$3,"County",$D$35,"HHA/CDPAP","CDPAP","Level of Service",$D42),0)</f>
        <v>0</v>
      </c>
      <c r="O42" s="658">
        <f>+IFERROR(O$5*GETPIVOTDATA("Unique Billed Hours",'County allocation'!$S$3,"County",$D$35,"HHA/CDPAP","CDPAP","Level of Service",$D42),0)</f>
        <v>0</v>
      </c>
      <c r="P42" s="658">
        <f>+IFERROR(P$5*GETPIVOTDATA("Unique Billed Hours",'County allocation'!$S$3,"County",$D$35,"HHA/CDPAP","CDPAP","Level of Service",$D42),0)</f>
        <v>0</v>
      </c>
    </row>
    <row r="43" spans="1:16" x14ac:dyDescent="0.25">
      <c r="A43" s="119" t="s">
        <v>338</v>
      </c>
      <c r="B43" s="24">
        <f>IFERROR(+GETPIVOTDATA("Unique Billed Hours",'County allocation'!$A$3,"County",A43,"HHA/CDPAP","CDPAP"),0)</f>
        <v>6.9943078478575799E-4</v>
      </c>
      <c r="C43" s="9">
        <f t="shared" ca="1" si="22"/>
        <v>1</v>
      </c>
      <c r="D43" s="267" t="s">
        <v>46</v>
      </c>
      <c r="E43" s="48" t="s">
        <v>52</v>
      </c>
      <c r="F43" s="678">
        <f t="shared" ca="1" si="23"/>
        <v>0</v>
      </c>
      <c r="G43" s="658">
        <f ca="1">+IFERROR(G$5*GETPIVOTDATA("Unique Billed Hours",'County allocation'!$A$3,"County",$D$35,"HHA/CDPAP","CDPAP","Level of Service",$D43),0)</f>
        <v>0</v>
      </c>
      <c r="H43" s="658">
        <f>+IFERROR(H$5*GETPIVOTDATA("Unique Billed Hours",'County allocation'!$A$3,"County",$D$35,"HHA/CDPAP","CDPAP","Level of Service",$D43),0)</f>
        <v>0</v>
      </c>
      <c r="I43" s="678">
        <f t="shared" ca="1" si="24"/>
        <v>0</v>
      </c>
      <c r="J43" s="658">
        <f ca="1">+IFERROR(J$5*GETPIVOTDATA("Unique Billed Hours",'County allocation'!$S$3,"County",$D$35,"HHA/CDPAP","CDPAP","Level of Service",$D43),0)</f>
        <v>0</v>
      </c>
      <c r="K43" s="658">
        <f ca="1">+IFERROR(K$5*GETPIVOTDATA("Unique Billed Hours",'County allocation'!$X$3,"County",$D$35,"HHA/CDPAP","CDPAP","Level of Service",$D43),0)</f>
        <v>0</v>
      </c>
      <c r="L43" s="658">
        <f>+IFERROR(L$5*GETPIVOTDATA("Unique Billed Hours",'County allocation'!$K$19,"County",$D$35,"HHA/CDPAP","CDPAP","Level of Service",$D43),0)</f>
        <v>0</v>
      </c>
      <c r="M43" s="658">
        <f>+IFERROR(M$5*GETPIVOTDATA("Unique Billed Hours",'County allocation'!$S$3,"County",$D$35,"HHA/CDPAP","CDPAP","Level of Service",$D43),0)</f>
        <v>0</v>
      </c>
      <c r="N43" s="658">
        <f>+IFERROR(N$5*GETPIVOTDATA("Unique Billed Hours",'County allocation'!$S$3,"County",$D$35,"HHA/CDPAP","CDPAP","Level of Service",$D43),0)</f>
        <v>0</v>
      </c>
      <c r="O43" s="658">
        <f>+IFERROR(O$5*GETPIVOTDATA("Unique Billed Hours",'County allocation'!$S$3,"County",$D$35,"HHA/CDPAP","CDPAP","Level of Service",$D43),0)</f>
        <v>0</v>
      </c>
      <c r="P43" s="658">
        <f>+IFERROR(P$5*GETPIVOTDATA("Unique Billed Hours",'County allocation'!$S$3,"County",$D$35,"HHA/CDPAP","CDPAP","Level of Service",$D43),0)</f>
        <v>0</v>
      </c>
    </row>
    <row r="44" spans="1:16" ht="15.75" thickBot="1" x14ac:dyDescent="0.3">
      <c r="A44" s="119" t="s">
        <v>339</v>
      </c>
      <c r="B44" s="24">
        <f>IFERROR(+GETPIVOTDATA("Unique Billed Hours",'County allocation'!$A$3,"County",A44,"HHA/CDPAP","CDPAP"),0)</f>
        <v>0.13455152735828174</v>
      </c>
      <c r="C44" s="9">
        <f t="shared" ca="1" si="22"/>
        <v>1</v>
      </c>
      <c r="D44" s="52" t="s">
        <v>389</v>
      </c>
      <c r="E44" s="370" t="s">
        <v>51</v>
      </c>
      <c r="F44" s="679">
        <f ca="1">SUM(F38:F43)</f>
        <v>52156.380035980997</v>
      </c>
      <c r="G44" s="679">
        <f t="shared" ref="G44:H44" ca="1" si="25">SUM(G38:G43)</f>
        <v>2096.7987573973664</v>
      </c>
      <c r="H44" s="679">
        <f t="shared" si="25"/>
        <v>1805.3050175461142</v>
      </c>
      <c r="I44" s="678">
        <f t="shared" ca="1" si="24"/>
        <v>48254.276261037514</v>
      </c>
      <c r="J44" s="679">
        <f ca="1">SUM(J38:J43)</f>
        <v>9546.9736849381607</v>
      </c>
      <c r="K44" s="679">
        <f t="shared" ref="K44:P44" ca="1" si="26">SUM(K38:K43)</f>
        <v>38514.552720201289</v>
      </c>
      <c r="L44" s="679">
        <f t="shared" si="26"/>
        <v>0</v>
      </c>
      <c r="M44" s="679">
        <f t="shared" si="26"/>
        <v>177.8537091673208</v>
      </c>
      <c r="N44" s="679">
        <f t="shared" si="26"/>
        <v>14.8961467307464</v>
      </c>
      <c r="O44" s="679">
        <f t="shared" si="26"/>
        <v>0</v>
      </c>
      <c r="P44" s="679">
        <f t="shared" si="26"/>
        <v>0</v>
      </c>
    </row>
    <row r="45" spans="1:16" x14ac:dyDescent="0.25">
      <c r="A45" s="119" t="s">
        <v>340</v>
      </c>
      <c r="B45" s="24">
        <f>IFERROR(+GETPIVOTDATA("Unique Billed Hours",'County allocation'!$A$3,"County",A45,"HHA/CDPAP","CDPAP"),0)</f>
        <v>1.1879078473435285E-2</v>
      </c>
      <c r="C45" s="9">
        <f t="shared" ca="1" si="22"/>
        <v>1</v>
      </c>
      <c r="D45" s="378" t="s">
        <v>390</v>
      </c>
      <c r="E45" s="370" t="s">
        <v>50</v>
      </c>
      <c r="F45" s="678">
        <f t="shared" ref="F45" ca="1" si="27">SUM(G45:I45)</f>
        <v>0</v>
      </c>
      <c r="G45" s="658">
        <f ca="1">+IFERROR(G$5*GETPIVOTDATA("Unique Billed Hours",'County allocation'!$A$3,"County",$D$35,"HHA/CDPAP","CDPAP","Level of Service",$D45),0)</f>
        <v>0</v>
      </c>
      <c r="H45" s="659"/>
      <c r="I45" s="678">
        <f t="shared" si="24"/>
        <v>0</v>
      </c>
      <c r="J45" s="659"/>
      <c r="K45" s="659"/>
      <c r="L45" s="659"/>
      <c r="M45" s="659"/>
      <c r="N45" s="659"/>
      <c r="O45" s="659"/>
      <c r="P45" s="659"/>
    </row>
    <row r="46" spans="1:16" ht="15.75" thickBot="1" x14ac:dyDescent="0.3">
      <c r="A46" s="119" t="s">
        <v>367</v>
      </c>
      <c r="B46" s="24">
        <f>IFERROR(+GETPIVOTDATA("Unique Billed Hours",'County allocation'!$A$3,"County",A46,"HHA/CDPAP","CDPAP"),0)</f>
        <v>6.7007910925224526E-2</v>
      </c>
      <c r="C46" s="9">
        <f t="shared" ca="1" si="22"/>
        <v>1</v>
      </c>
      <c r="D46" s="11" t="s">
        <v>48</v>
      </c>
      <c r="E46" s="53" t="s">
        <v>49</v>
      </c>
      <c r="F46" s="662">
        <f ca="1">SUBTOTAL(9,F38:F43)</f>
        <v>52156.380035980997</v>
      </c>
      <c r="G46" s="662">
        <f t="shared" ref="G46" ca="1" si="28">SUBTOTAL(9,G38:G43)</f>
        <v>2096.7987573973664</v>
      </c>
      <c r="H46" s="662">
        <f>SUBTOTAL(9,H38:H43)</f>
        <v>1805.3050175461142</v>
      </c>
      <c r="I46" s="678">
        <f t="shared" ca="1" si="24"/>
        <v>48254.276261037514</v>
      </c>
      <c r="J46" s="662">
        <f t="shared" ref="J46:P46" ca="1" si="29">SUBTOTAL(9,J38:J43)</f>
        <v>9546.9736849381607</v>
      </c>
      <c r="K46" s="662">
        <f t="shared" ca="1" si="29"/>
        <v>38514.552720201289</v>
      </c>
      <c r="L46" s="662">
        <f t="shared" si="29"/>
        <v>0</v>
      </c>
      <c r="M46" s="662">
        <f t="shared" si="29"/>
        <v>177.8537091673208</v>
      </c>
      <c r="N46" s="662">
        <f t="shared" si="29"/>
        <v>14.8961467307464</v>
      </c>
      <c r="O46" s="662">
        <f t="shared" si="29"/>
        <v>0</v>
      </c>
      <c r="P46" s="662">
        <f t="shared" si="29"/>
        <v>0</v>
      </c>
    </row>
    <row r="47" spans="1:16" ht="15.75" hidden="1" thickBot="1" x14ac:dyDescent="0.3">
      <c r="A47" s="119" t="s">
        <v>341</v>
      </c>
      <c r="B47" s="24">
        <f>IFERROR(+GETPIVOTDATA("Unique Billed Hours",'County allocation'!$A$3,"County",A47,"HHA/CDPAP","CDPAP"),0)</f>
        <v>8.6451829716716073E-3</v>
      </c>
      <c r="D47" s="54"/>
      <c r="E47" s="55"/>
      <c r="F47" s="666"/>
      <c r="G47" s="666"/>
      <c r="H47" s="666"/>
      <c r="I47" s="666"/>
      <c r="J47" s="666"/>
      <c r="K47" s="666"/>
      <c r="L47" s="666"/>
      <c r="M47" s="666"/>
      <c r="N47" s="666"/>
      <c r="O47" s="666"/>
      <c r="P47" s="666"/>
    </row>
    <row r="48" spans="1:16" ht="75" x14ac:dyDescent="0.25">
      <c r="A48" s="119" t="s">
        <v>342</v>
      </c>
      <c r="B48" s="24">
        <f>IFERROR(+GETPIVOTDATA("Unique Billed Hours",'County allocation'!$A$3,"County",A48,"HHA/CDPAP","CDPAP"),0)</f>
        <v>2.5221917468452523E-3</v>
      </c>
      <c r="C48" s="9">
        <f ca="1">IF(F59&gt;0,1,0)</f>
        <v>1</v>
      </c>
      <c r="D48" s="45" t="str">
        <f>A6</f>
        <v>Bronx</v>
      </c>
      <c r="E48" s="28">
        <f>SUMIF(A:A,D48,B:B)</f>
        <v>0.10098052035465671</v>
      </c>
      <c r="F48" s="652" t="s">
        <v>396</v>
      </c>
      <c r="G48" s="652" t="s">
        <v>387</v>
      </c>
      <c r="H48" s="652" t="s">
        <v>388</v>
      </c>
      <c r="I48" s="652" t="s">
        <v>392</v>
      </c>
      <c r="J48" s="652" t="s">
        <v>31</v>
      </c>
      <c r="K48" s="652" t="s">
        <v>32</v>
      </c>
      <c r="L48" s="653" t="s">
        <v>33</v>
      </c>
      <c r="M48" s="653" t="s">
        <v>60</v>
      </c>
      <c r="N48" s="653" t="s">
        <v>59</v>
      </c>
      <c r="O48" s="653" t="s">
        <v>58</v>
      </c>
      <c r="P48" s="653" t="s">
        <v>16</v>
      </c>
    </row>
    <row r="49" spans="1:16" x14ac:dyDescent="0.25">
      <c r="A49" s="119" t="s">
        <v>343</v>
      </c>
      <c r="B49" s="24">
        <f>IFERROR(+GETPIVOTDATA("Unique Billed Hours",'County allocation'!$A$3,"County",A49,"HHA/CDPAP","CDPAP"),0)</f>
        <v>6.3457038660819764E-3</v>
      </c>
      <c r="C49" s="9">
        <f ca="1">C48</f>
        <v>1</v>
      </c>
      <c r="D49" s="47"/>
      <c r="E49" s="48"/>
      <c r="F49" s="669" t="s">
        <v>57</v>
      </c>
      <c r="G49" s="669" t="s">
        <v>56</v>
      </c>
      <c r="H49" s="669" t="s">
        <v>55</v>
      </c>
      <c r="I49" s="669" t="s">
        <v>54</v>
      </c>
      <c r="J49" s="669" t="s">
        <v>53</v>
      </c>
      <c r="K49" s="669" t="s">
        <v>52</v>
      </c>
      <c r="L49" s="669" t="s">
        <v>51</v>
      </c>
      <c r="M49" s="669" t="s">
        <v>50</v>
      </c>
      <c r="N49" s="669" t="s">
        <v>49</v>
      </c>
      <c r="O49" s="669" t="s">
        <v>47</v>
      </c>
      <c r="P49" s="670" t="s">
        <v>77</v>
      </c>
    </row>
    <row r="50" spans="1:16" x14ac:dyDescent="0.25">
      <c r="A50" s="119" t="s">
        <v>344</v>
      </c>
      <c r="B50" s="24">
        <f>IFERROR(+GETPIVOTDATA("Unique Billed Hours",'County allocation'!$A$3,"County",A50,"HHA/CDPAP","CDPAP"),0)</f>
        <v>3.6612583135718163E-2</v>
      </c>
      <c r="C50" s="9">
        <f t="shared" ref="C50:C59" ca="1" si="30">C49</f>
        <v>1</v>
      </c>
      <c r="D50" s="51" t="s">
        <v>26</v>
      </c>
      <c r="E50" s="48"/>
      <c r="F50" s="674"/>
      <c r="G50" s="674"/>
      <c r="H50" s="674"/>
      <c r="I50" s="674"/>
      <c r="J50" s="674"/>
      <c r="K50" s="674"/>
      <c r="L50" s="675"/>
      <c r="M50" s="675"/>
      <c r="N50" s="676"/>
      <c r="O50" s="674"/>
      <c r="P50" s="677"/>
    </row>
    <row r="51" spans="1:16" x14ac:dyDescent="0.25">
      <c r="A51" s="119" t="s">
        <v>345</v>
      </c>
      <c r="B51" s="24">
        <f>IFERROR(+GETPIVOTDATA("Unique Billed Hours",'County allocation'!$A$3,"County",A51,"HHA/CDPAP","CDPAP"),0)</f>
        <v>2.3823698462762297E-3</v>
      </c>
      <c r="C51" s="9">
        <f t="shared" ca="1" si="30"/>
        <v>1</v>
      </c>
      <c r="D51" s="267" t="s">
        <v>18</v>
      </c>
      <c r="E51" s="48" t="s">
        <v>57</v>
      </c>
      <c r="F51" s="678">
        <f ca="1">SUM(G51:I51)</f>
        <v>8399326.3654290866</v>
      </c>
      <c r="G51" s="658">
        <f ca="1">+IFERROR(G$5*GETPIVOTDATA("Unique Billed Hours",'County allocation'!$A$3,"County",$D$48,"HHA/CDPAP","CDPAP","Level of Service",$D51),0)</f>
        <v>337671.00158900808</v>
      </c>
      <c r="H51" s="658">
        <f>+IFERROR(H$5*GETPIVOTDATA("Unique Billed Hours",'County allocation'!$A$3,"County",$D$48,"HHA/CDPAP","CDPAP","Level of Service",$D51),0)</f>
        <v>290728.49804867199</v>
      </c>
      <c r="I51" s="678">
        <f ca="1">SUM(J51:P51)</f>
        <v>7770926.8657914065</v>
      </c>
      <c r="J51" s="658">
        <f ca="1">+IFERROR(J$5*GETPIVOTDATA("Unique Billed Hours",'County allocation'!$S$3,"County",$D$48,"HHA/CDPAP","CDPAP","Level of Service",$D51),0)</f>
        <v>1537456.1602365726</v>
      </c>
      <c r="K51" s="658">
        <f ca="1">+IFERROR(K$5*GETPIVOTDATA("Unique Billed Hours",'County allocation'!$X$3,"County",$D$48,"HHA/CDPAP","CDPAP","Level of Service",$D51),0)</f>
        <v>6202430.0362165784</v>
      </c>
      <c r="L51" s="658">
        <f>+IFERROR(L$5*GETPIVOTDATA("Unique Billed Hours",'County allocation'!$K$19,"County",$D$48,"HHA/CDPAP","CDPAP","Level of Service",$D51),0)</f>
        <v>0</v>
      </c>
      <c r="M51" s="658">
        <f>+IFERROR(M$5*GETPIVOTDATA("Unique Billed Hours",'County allocation'!$S$3,"County",$D$48,"HHA/CDPAP","CDPAP","Level of Service",$D51),0)</f>
        <v>28641.775897174513</v>
      </c>
      <c r="N51" s="658">
        <f>+IFERROR(N$5*GETPIVOTDATA("Unique Billed Hours",'County allocation'!$S$3,"County",$D$48,"HHA/CDPAP","CDPAP","Level of Service",$D51),0)</f>
        <v>2398.8934410813013</v>
      </c>
      <c r="O51" s="658">
        <f>+IFERROR(O$5*GETPIVOTDATA("Unique Billed Hours",'County allocation'!$S$3,"County",$D$48,"HHA/CDPAP","CDPAP","Level of Service",$D51),0)</f>
        <v>0</v>
      </c>
      <c r="P51" s="658">
        <f>+IFERROR(P$5*GETPIVOTDATA("Unique Billed Hours",'County allocation'!$S$3,"County",$D$48,"HHA/CDPAP","CDPAP","Level of Service",$D51),0)</f>
        <v>0</v>
      </c>
    </row>
    <row r="52" spans="1:16" x14ac:dyDescent="0.25">
      <c r="A52" s="119" t="s">
        <v>346</v>
      </c>
      <c r="B52" s="24">
        <f>IFERROR(+GETPIVOTDATA("Unique Billed Hours",'County allocation'!$A$3,"County",A52,"HHA/CDPAP","CDPAP"),0)</f>
        <v>6.2373675956962351E-4</v>
      </c>
      <c r="C52" s="9">
        <f t="shared" ca="1" si="30"/>
        <v>1</v>
      </c>
      <c r="D52" s="267" t="s">
        <v>42</v>
      </c>
      <c r="E52" s="48" t="s">
        <v>56</v>
      </c>
      <c r="F52" s="678">
        <f t="shared" ref="F52:F56" ca="1" si="31">SUM(G52:I52)</f>
        <v>0</v>
      </c>
      <c r="G52" s="658">
        <f ca="1">+IFERROR(G$5*GETPIVOTDATA("Unique Billed Hours",'County allocation'!$A$3,"County",$D$48,"HHA/CDPAP","CDPAP","Level of Service",$D52),0)</f>
        <v>0</v>
      </c>
      <c r="H52" s="658">
        <f>+IFERROR(H$5*GETPIVOTDATA("Unique Billed Hours",'County allocation'!$A$3,"County",$D$48,"HHA/CDPAP","CDPAP","Level of Service",$D52),0)</f>
        <v>0</v>
      </c>
      <c r="I52" s="678">
        <f t="shared" ref="I52:I59" ca="1" si="32">SUM(J52:P52)</f>
        <v>0</v>
      </c>
      <c r="J52" s="658">
        <f ca="1">+IFERROR(J$5*GETPIVOTDATA("Unique Billed Hours",'County allocation'!$S$3,"County",$D$48,"HHA/CDPAP","CDPAP","Level of Service",$D52),0)</f>
        <v>0</v>
      </c>
      <c r="K52" s="658">
        <f ca="1">+IFERROR(K$5*GETPIVOTDATA("Unique Billed Hours",'County allocation'!$X$3,"County",$D$48,"HHA/CDPAP","CDPAP","Level of Service",$D52),0)</f>
        <v>0</v>
      </c>
      <c r="L52" s="658">
        <f>+IFERROR(L$5*GETPIVOTDATA("Unique Billed Hours",'County allocation'!$K$19,"County",$D$48,"HHA/CDPAP","CDPAP","Level of Service",$D52),0)</f>
        <v>0</v>
      </c>
      <c r="M52" s="658">
        <f>+IFERROR(M$5*GETPIVOTDATA("Unique Billed Hours",'County allocation'!$S$3,"County",$D$48,"HHA/CDPAP","CDPAP","Level of Service",$D52),0)</f>
        <v>0</v>
      </c>
      <c r="N52" s="658">
        <f>+IFERROR(N$5*GETPIVOTDATA("Unique Billed Hours",'County allocation'!$S$3,"County",$D$48,"HHA/CDPAP","CDPAP","Level of Service",$D52),0)</f>
        <v>0</v>
      </c>
      <c r="O52" s="658">
        <f>+IFERROR(O$5*GETPIVOTDATA("Unique Billed Hours",'County allocation'!$S$3,"County",$D$48,"HHA/CDPAP","CDPAP","Level of Service",$D52),0)</f>
        <v>0</v>
      </c>
      <c r="P52" s="658">
        <f>+IFERROR(P$5*GETPIVOTDATA("Unique Billed Hours",'County allocation'!$S$3,"County",$D$48,"HHA/CDPAP","CDPAP","Level of Service",$D52),0)</f>
        <v>0</v>
      </c>
    </row>
    <row r="53" spans="1:16" x14ac:dyDescent="0.25">
      <c r="A53" s="119" t="s">
        <v>347</v>
      </c>
      <c r="B53" s="24">
        <f>IFERROR(+GETPIVOTDATA("Unique Billed Hours",'County allocation'!$A$3,"County",A53,"HHA/CDPAP","CDPAP"),0)</f>
        <v>5.0916761953535567E-4</v>
      </c>
      <c r="C53" s="9">
        <f t="shared" ca="1" si="30"/>
        <v>1</v>
      </c>
      <c r="D53" s="267" t="s">
        <v>43</v>
      </c>
      <c r="E53" s="48" t="s">
        <v>55</v>
      </c>
      <c r="F53" s="678">
        <f t="shared" ca="1" si="31"/>
        <v>210553.13486912803</v>
      </c>
      <c r="G53" s="658">
        <f ca="1">+IFERROR(G$5*GETPIVOTDATA("Unique Billed Hours",'County allocation'!$A$3,"County",$D$48,"HHA/CDPAP","CDPAP","Level of Service",$D53),0)</f>
        <v>8464.6892912264975</v>
      </c>
      <c r="H53" s="658">
        <f>+IFERROR(H$5*GETPIVOTDATA("Unique Billed Hours",'County allocation'!$A$3,"County",$D$48,"HHA/CDPAP","CDPAP","Level of Service",$D53),0)</f>
        <v>7287.9411987003923</v>
      </c>
      <c r="I53" s="678">
        <f t="shared" ca="1" si="32"/>
        <v>194800.50437920113</v>
      </c>
      <c r="J53" s="658">
        <f ca="1">+IFERROR(J$5*GETPIVOTDATA("Unique Billed Hours",'County allocation'!$S$3,"County",$D$48,"HHA/CDPAP","CDPAP","Level of Service",$D53),0)</f>
        <v>38540.735313495046</v>
      </c>
      <c r="K53" s="658">
        <f ca="1">+IFERROR(K$5*GETPIVOTDATA("Unique Billed Hours",'County allocation'!$X$3,"County",$D$48,"HHA/CDPAP","CDPAP","Level of Service",$D53),0)</f>
        <v>155481.64592186612</v>
      </c>
      <c r="L53" s="658">
        <f>+IFERROR(L$5*GETPIVOTDATA("Unique Billed Hours",'County allocation'!$K$19,"County",$D$48,"HHA/CDPAP","CDPAP","Level of Service",$D53),0)</f>
        <v>0</v>
      </c>
      <c r="M53" s="658">
        <f>+IFERROR(M$5*GETPIVOTDATA("Unique Billed Hours",'County allocation'!$S$3,"County",$D$48,"HHA/CDPAP","CDPAP","Level of Service",$D53),0)</f>
        <v>717.988019633411</v>
      </c>
      <c r="N53" s="658">
        <f>+IFERROR(N$5*GETPIVOTDATA("Unique Billed Hours",'County allocation'!$S$3,"County",$D$48,"HHA/CDPAP","CDPAP","Level of Service",$D53),0)</f>
        <v>60.135124206577331</v>
      </c>
      <c r="O53" s="658">
        <f>+IFERROR(O$5*GETPIVOTDATA("Unique Billed Hours",'County allocation'!$S$3,"County",$D$48,"HHA/CDPAP","CDPAP","Level of Service",$D53),0)</f>
        <v>0</v>
      </c>
      <c r="P53" s="658">
        <f>+IFERROR(P$5*GETPIVOTDATA("Unique Billed Hours",'County allocation'!$S$3,"County",$D$48,"HHA/CDPAP","CDPAP","Level of Service",$D53),0)</f>
        <v>0</v>
      </c>
    </row>
    <row r="54" spans="1:16" x14ac:dyDescent="0.25">
      <c r="A54" s="119" t="s">
        <v>348</v>
      </c>
      <c r="B54" s="24">
        <f>IFERROR(+GETPIVOTDATA("Unique Billed Hours",'County allocation'!$A$3,"County",A54,"HHA/CDPAP","CDPAP"),0)</f>
        <v>2.7722133530557608E-3</v>
      </c>
      <c r="C54" s="9">
        <f t="shared" ca="1" si="30"/>
        <v>1</v>
      </c>
      <c r="D54" s="267" t="s">
        <v>44</v>
      </c>
      <c r="E54" s="48" t="s">
        <v>54</v>
      </c>
      <c r="F54" s="678">
        <f t="shared" ca="1" si="31"/>
        <v>94990.41644403548</v>
      </c>
      <c r="G54" s="658">
        <f ca="1">+IFERROR(G$5*GETPIVOTDATA("Unique Billed Hours",'County allocation'!$A$3,"County",$D$48,"HHA/CDPAP","CDPAP","Level of Service",$D54),0)</f>
        <v>3818.8192322225404</v>
      </c>
      <c r="H54" s="658">
        <f>+IFERROR(H$5*GETPIVOTDATA("Unique Billed Hours",'County allocation'!$A$3,"County",$D$48,"HHA/CDPAP","CDPAP","Level of Service",$D54),0)</f>
        <v>3287.9328532177478</v>
      </c>
      <c r="I54" s="678">
        <f t="shared" ca="1" si="32"/>
        <v>87883.664358595197</v>
      </c>
      <c r="J54" s="658">
        <f ca="1">+IFERROR(J$5*GETPIVOTDATA("Unique Billed Hours",'County allocation'!$S$3,"County",$D$48,"HHA/CDPAP","CDPAP","Level of Service",$D54),0)</f>
        <v>17387.537353760039</v>
      </c>
      <c r="K54" s="658">
        <f ca="1">+IFERROR(K$5*GETPIVOTDATA("Unique Billed Hours",'County allocation'!$X$3,"County",$D$48,"HHA/CDPAP","CDPAP","Level of Service",$D54),0)</f>
        <v>70145.079078030147</v>
      </c>
      <c r="L54" s="658">
        <f>+IFERROR(L$5*GETPIVOTDATA("Unique Billed Hours",'County allocation'!$K$19,"County",$D$48,"HHA/CDPAP","CDPAP","Level of Service",$D54),0)</f>
        <v>0</v>
      </c>
      <c r="M54" s="658">
        <f>+IFERROR(M$5*GETPIVOTDATA("Unique Billed Hours",'County allocation'!$S$3,"County",$D$48,"HHA/CDPAP","CDPAP","Level of Service",$D54),0)</f>
        <v>323.91814555123028</v>
      </c>
      <c r="N54" s="658">
        <f>+IFERROR(N$5*GETPIVOTDATA("Unique Billed Hours",'County allocation'!$S$3,"County",$D$48,"HHA/CDPAP","CDPAP","Level of Service",$D54),0)</f>
        <v>27.129781253777615</v>
      </c>
      <c r="O54" s="658">
        <f>+IFERROR(O$5*GETPIVOTDATA("Unique Billed Hours",'County allocation'!$S$3,"County",$D$48,"HHA/CDPAP","CDPAP","Level of Service",$D54),0)</f>
        <v>0</v>
      </c>
      <c r="P54" s="658">
        <f>+IFERROR(P$5*GETPIVOTDATA("Unique Billed Hours",'County allocation'!$S$3,"County",$D$48,"HHA/CDPAP","CDPAP","Level of Service",$D54),0)</f>
        <v>0</v>
      </c>
    </row>
    <row r="55" spans="1:16" x14ac:dyDescent="0.25">
      <c r="A55" s="119" t="s">
        <v>349</v>
      </c>
      <c r="B55" s="24">
        <f>IFERROR(+GETPIVOTDATA("Unique Billed Hours",'County allocation'!$A$3,"County",A55,"HHA/CDPAP","CDPAP"),0)</f>
        <v>4.7178453804958088E-2</v>
      </c>
      <c r="C55" s="9">
        <f t="shared" ca="1" si="30"/>
        <v>1</v>
      </c>
      <c r="D55" s="267" t="s">
        <v>45</v>
      </c>
      <c r="E55" s="48" t="s">
        <v>53</v>
      </c>
      <c r="F55" s="678">
        <f t="shared" ca="1" si="31"/>
        <v>0</v>
      </c>
      <c r="G55" s="658">
        <f ca="1">+IFERROR(G$5*GETPIVOTDATA("Unique Billed Hours",'County allocation'!$A$3,"County",$D$48,"HHA/CDPAP","CDPAP","Level of Service",$D55),0)</f>
        <v>0</v>
      </c>
      <c r="H55" s="658">
        <f>+IFERROR(H$5*GETPIVOTDATA("Unique Billed Hours",'County allocation'!$A$3,"County",$D$48,"HHA/CDPAP","CDPAP","Level of Service",$D55),0)</f>
        <v>0</v>
      </c>
      <c r="I55" s="678">
        <f t="shared" ca="1" si="32"/>
        <v>0</v>
      </c>
      <c r="J55" s="658">
        <f ca="1">+IFERROR(J$5*GETPIVOTDATA("Unique Billed Hours",'County allocation'!$S$3,"County",$D$48,"HHA/CDPAP","CDPAP","Level of Service",$D55),0)</f>
        <v>0</v>
      </c>
      <c r="K55" s="658">
        <f ca="1">+IFERROR(K$5*GETPIVOTDATA("Unique Billed Hours",'County allocation'!$X$3,"County",$D$48,"HHA/CDPAP","CDPAP","Level of Service",$D55),0)</f>
        <v>0</v>
      </c>
      <c r="L55" s="658">
        <f>+IFERROR(L$5*GETPIVOTDATA("Unique Billed Hours",'County allocation'!$K$19,"County",$D$48,"HHA/CDPAP","CDPAP","Level of Service",$D55),0)</f>
        <v>0</v>
      </c>
      <c r="M55" s="658">
        <f>+IFERROR(M$5*GETPIVOTDATA("Unique Billed Hours",'County allocation'!$S$3,"County",$D$48,"HHA/CDPAP","CDPAP","Level of Service",$D55),0)</f>
        <v>0</v>
      </c>
      <c r="N55" s="658">
        <f>+IFERROR(N$5*GETPIVOTDATA("Unique Billed Hours",'County allocation'!$S$3,"County",$D$48,"HHA/CDPAP","CDPAP","Level of Service",$D55),0)</f>
        <v>0</v>
      </c>
      <c r="O55" s="658">
        <f>+IFERROR(O$5*GETPIVOTDATA("Unique Billed Hours",'County allocation'!$S$3,"County",$D$48,"HHA/CDPAP","CDPAP","Level of Service",$D55),0)</f>
        <v>0</v>
      </c>
      <c r="P55" s="658">
        <f>+IFERROR(P$5*GETPIVOTDATA("Unique Billed Hours",'County allocation'!$S$3,"County",$D$48,"HHA/CDPAP","CDPAP","Level of Service",$D55),0)</f>
        <v>0</v>
      </c>
    </row>
    <row r="56" spans="1:16" x14ac:dyDescent="0.25">
      <c r="A56" s="119" t="s">
        <v>350</v>
      </c>
      <c r="B56" s="24">
        <f>IFERROR(+GETPIVOTDATA("Unique Billed Hours",'County allocation'!$A$3,"County",A56,"HHA/CDPAP","CDPAP"),0)</f>
        <v>2.5908175693671806E-3</v>
      </c>
      <c r="C56" s="9">
        <f t="shared" ca="1" si="30"/>
        <v>1</v>
      </c>
      <c r="D56" s="267" t="s">
        <v>46</v>
      </c>
      <c r="E56" s="48" t="s">
        <v>52</v>
      </c>
      <c r="F56" s="678">
        <f t="shared" ca="1" si="31"/>
        <v>0</v>
      </c>
      <c r="G56" s="658">
        <f ca="1">+IFERROR(G$5*GETPIVOTDATA("Unique Billed Hours",'County allocation'!$A$3,"County",$D$48,"HHA/CDPAP","CDPAP","Level of Service",$D56),0)</f>
        <v>0</v>
      </c>
      <c r="H56" s="658">
        <f>+IFERROR(H$5*GETPIVOTDATA("Unique Billed Hours",'County allocation'!$A$3,"County",$D$48,"HHA/CDPAP","CDPAP","Level of Service",$D56),0)</f>
        <v>0</v>
      </c>
      <c r="I56" s="678">
        <f t="shared" ca="1" si="32"/>
        <v>0</v>
      </c>
      <c r="J56" s="658">
        <f ca="1">+IFERROR(J$5*GETPIVOTDATA("Unique Billed Hours",'County allocation'!$S$3,"County",$D$48,"HHA/CDPAP","CDPAP","Level of Service",$D56),0)</f>
        <v>0</v>
      </c>
      <c r="K56" s="658">
        <f ca="1">+IFERROR(K$5*GETPIVOTDATA("Unique Billed Hours",'County allocation'!$X$3,"County",$D$48,"HHA/CDPAP","CDPAP","Level of Service",$D56),0)</f>
        <v>0</v>
      </c>
      <c r="L56" s="658">
        <f>+IFERROR(L$5*GETPIVOTDATA("Unique Billed Hours",'County allocation'!$K$19,"County",$D$48,"HHA/CDPAP","CDPAP","Level of Service",$D56),0)</f>
        <v>0</v>
      </c>
      <c r="M56" s="658">
        <f>+IFERROR(M$5*GETPIVOTDATA("Unique Billed Hours",'County allocation'!$S$3,"County",$D$48,"HHA/CDPAP","CDPAP","Level of Service",$D56),0)</f>
        <v>0</v>
      </c>
      <c r="N56" s="658">
        <f>+IFERROR(N$5*GETPIVOTDATA("Unique Billed Hours",'County allocation'!$S$3,"County",$D$48,"HHA/CDPAP","CDPAP","Level of Service",$D56),0)</f>
        <v>0</v>
      </c>
      <c r="O56" s="658">
        <f>+IFERROR(O$5*GETPIVOTDATA("Unique Billed Hours",'County allocation'!$S$3,"County",$D$48,"HHA/CDPAP","CDPAP","Level of Service",$D56),0)</f>
        <v>0</v>
      </c>
      <c r="P56" s="658">
        <f>+IFERROR(P$5*GETPIVOTDATA("Unique Billed Hours",'County allocation'!$S$3,"County",$D$48,"HHA/CDPAP","CDPAP","Level of Service",$D56),0)</f>
        <v>0</v>
      </c>
    </row>
    <row r="57" spans="1:16" ht="15.75" thickBot="1" x14ac:dyDescent="0.3">
      <c r="A57" s="119" t="s">
        <v>351</v>
      </c>
      <c r="B57" s="24">
        <f>IFERROR(+GETPIVOTDATA("Unique Billed Hours",'County allocation'!$A$3,"County",A57,"HHA/CDPAP","CDPAP"),0)</f>
        <v>1.4345881213713213E-3</v>
      </c>
      <c r="C57" s="9">
        <f t="shared" ca="1" si="30"/>
        <v>1</v>
      </c>
      <c r="D57" s="52" t="s">
        <v>389</v>
      </c>
      <c r="E57" s="370" t="s">
        <v>51</v>
      </c>
      <c r="F57" s="679">
        <f ca="1">SUM(F51:F56)</f>
        <v>8704869.9167422503</v>
      </c>
      <c r="G57" s="679">
        <f t="shared" ref="G57:H57" ca="1" si="33">SUM(G51:G56)</f>
        <v>349954.51011245715</v>
      </c>
      <c r="H57" s="679">
        <f t="shared" si="33"/>
        <v>301304.37210059015</v>
      </c>
      <c r="I57" s="678">
        <f t="shared" ca="1" si="32"/>
        <v>8053611.0345292035</v>
      </c>
      <c r="J57" s="679">
        <f ca="1">SUM(J51:J56)</f>
        <v>1593384.4329038279</v>
      </c>
      <c r="K57" s="679">
        <f t="shared" ref="K57:P57" ca="1" si="34">SUM(K51:K56)</f>
        <v>6428056.7612164747</v>
      </c>
      <c r="L57" s="679">
        <f t="shared" si="34"/>
        <v>0</v>
      </c>
      <c r="M57" s="679">
        <f t="shared" si="34"/>
        <v>29683.682062359156</v>
      </c>
      <c r="N57" s="679">
        <f t="shared" si="34"/>
        <v>2486.1583465416566</v>
      </c>
      <c r="O57" s="679">
        <f t="shared" si="34"/>
        <v>0</v>
      </c>
      <c r="P57" s="679">
        <f t="shared" si="34"/>
        <v>0</v>
      </c>
    </row>
    <row r="58" spans="1:16" x14ac:dyDescent="0.25">
      <c r="A58" s="119" t="s">
        <v>352</v>
      </c>
      <c r="B58" s="24">
        <f>IFERROR(+GETPIVOTDATA("Unique Billed Hours",'County allocation'!$A$3,"County",A58,"HHA/CDPAP","CDPAP"),0)</f>
        <v>1.0364555405231305E-3</v>
      </c>
      <c r="C58" s="9">
        <f t="shared" ca="1" si="30"/>
        <v>1</v>
      </c>
      <c r="D58" s="378" t="s">
        <v>390</v>
      </c>
      <c r="E58" s="370" t="s">
        <v>50</v>
      </c>
      <c r="F58" s="678">
        <f t="shared" ref="F58" ca="1" si="35">SUM(G58:I58)</f>
        <v>0</v>
      </c>
      <c r="G58" s="658">
        <f ca="1">+IFERROR(G$5*GETPIVOTDATA("Unique Billed Hours",'County allocation'!$A$3,"County",$D$48,"HHA/CDPAP","CDPAP","Level of Service",$D58),0)</f>
        <v>0</v>
      </c>
      <c r="H58" s="659"/>
      <c r="I58" s="678">
        <f t="shared" si="32"/>
        <v>0</v>
      </c>
      <c r="J58" s="659"/>
      <c r="K58" s="659"/>
      <c r="L58" s="659"/>
      <c r="M58" s="659"/>
      <c r="N58" s="659"/>
      <c r="O58" s="659"/>
      <c r="P58" s="659"/>
    </row>
    <row r="59" spans="1:16" ht="15.75" thickBot="1" x14ac:dyDescent="0.3">
      <c r="A59" s="119" t="s">
        <v>353</v>
      </c>
      <c r="B59" s="24">
        <f>IFERROR(+GETPIVOTDATA("Unique Billed Hours",'County allocation'!$A$3,"County",A59,"HHA/CDPAP","CDPAP"),0)</f>
        <v>8.5279793197240439E-3</v>
      </c>
      <c r="C59" s="9">
        <f t="shared" ca="1" si="30"/>
        <v>1</v>
      </c>
      <c r="D59" s="11" t="s">
        <v>48</v>
      </c>
      <c r="E59" s="53" t="s">
        <v>49</v>
      </c>
      <c r="F59" s="662">
        <f ca="1">SUBTOTAL(9,F51:F56)</f>
        <v>8704869.9167422503</v>
      </c>
      <c r="G59" s="662">
        <f t="shared" ref="G59" ca="1" si="36">SUBTOTAL(9,G51:G56)</f>
        <v>349954.51011245715</v>
      </c>
      <c r="H59" s="662">
        <f>SUBTOTAL(9,H51:H56)</f>
        <v>301304.37210059015</v>
      </c>
      <c r="I59" s="678">
        <f t="shared" ca="1" si="32"/>
        <v>8053611.0345292035</v>
      </c>
      <c r="J59" s="662">
        <f t="shared" ref="J59:P59" ca="1" si="37">SUBTOTAL(9,J51:J56)</f>
        <v>1593384.4329038279</v>
      </c>
      <c r="K59" s="662">
        <f t="shared" ca="1" si="37"/>
        <v>6428056.7612164747</v>
      </c>
      <c r="L59" s="662">
        <f t="shared" si="37"/>
        <v>0</v>
      </c>
      <c r="M59" s="662">
        <f t="shared" si="37"/>
        <v>29683.682062359156</v>
      </c>
      <c r="N59" s="662">
        <f t="shared" si="37"/>
        <v>2486.1583465416566</v>
      </c>
      <c r="O59" s="662">
        <f t="shared" si="37"/>
        <v>0</v>
      </c>
      <c r="P59" s="662">
        <f t="shared" si="37"/>
        <v>0</v>
      </c>
    </row>
    <row r="60" spans="1:16" ht="15.75" hidden="1" thickBot="1" x14ac:dyDescent="0.3">
      <c r="A60" s="119" t="s">
        <v>354</v>
      </c>
      <c r="B60" s="24">
        <f>IFERROR(+GETPIVOTDATA("Unique Billed Hours",'County allocation'!$A$3,"County",A60,"HHA/CDPAP","CDPAP"),0)</f>
        <v>1.4283552517227942E-3</v>
      </c>
      <c r="D60" s="54"/>
      <c r="E60" s="55"/>
      <c r="F60" s="666"/>
      <c r="G60" s="666"/>
      <c r="H60" s="666"/>
      <c r="I60" s="666"/>
      <c r="J60" s="666"/>
      <c r="K60" s="666"/>
      <c r="L60" s="666"/>
      <c r="M60" s="666"/>
      <c r="N60" s="666"/>
      <c r="O60" s="666"/>
      <c r="P60" s="666"/>
    </row>
    <row r="61" spans="1:16" ht="75" x14ac:dyDescent="0.25">
      <c r="A61" s="119" t="s">
        <v>355</v>
      </c>
      <c r="B61" s="24">
        <f>IFERROR(+GETPIVOTDATA("Unique Billed Hours",'County allocation'!$A$3,"County",A61,"HHA/CDPAP","CDPAP"),0)</f>
        <v>2.2537928136298082E-3</v>
      </c>
      <c r="C61" s="9">
        <f ca="1">IF(F72&gt;0,1,0)</f>
        <v>1</v>
      </c>
      <c r="D61" s="45" t="str">
        <f>A7</f>
        <v>Broome</v>
      </c>
      <c r="E61" s="28">
        <f>SUMIF(A:A,D61,B:B)</f>
        <v>1.3044882123262387E-2</v>
      </c>
      <c r="F61" s="652" t="s">
        <v>396</v>
      </c>
      <c r="G61" s="652" t="s">
        <v>387</v>
      </c>
      <c r="H61" s="652" t="s">
        <v>388</v>
      </c>
      <c r="I61" s="652" t="s">
        <v>392</v>
      </c>
      <c r="J61" s="652" t="s">
        <v>31</v>
      </c>
      <c r="K61" s="652" t="s">
        <v>32</v>
      </c>
      <c r="L61" s="653" t="s">
        <v>33</v>
      </c>
      <c r="M61" s="653" t="s">
        <v>60</v>
      </c>
      <c r="N61" s="653" t="s">
        <v>59</v>
      </c>
      <c r="O61" s="653" t="s">
        <v>58</v>
      </c>
      <c r="P61" s="653" t="s">
        <v>16</v>
      </c>
    </row>
    <row r="62" spans="1:16" x14ac:dyDescent="0.25">
      <c r="A62" s="119" t="s">
        <v>361</v>
      </c>
      <c r="B62" s="24">
        <f>IFERROR(+GETPIVOTDATA("Unique Billed Hours",'County allocation'!$A$3,"County",A62,"HHA/CDPAP","CDPAP"),0)</f>
        <v>8.7420816049703603E-4</v>
      </c>
      <c r="C62" s="9">
        <f ca="1">C61</f>
        <v>1</v>
      </c>
      <c r="D62" s="47"/>
      <c r="E62" s="48"/>
      <c r="F62" s="669" t="s">
        <v>57</v>
      </c>
      <c r="G62" s="669" t="s">
        <v>56</v>
      </c>
      <c r="H62" s="669" t="s">
        <v>55</v>
      </c>
      <c r="I62" s="669" t="s">
        <v>54</v>
      </c>
      <c r="J62" s="669" t="s">
        <v>53</v>
      </c>
      <c r="K62" s="669" t="s">
        <v>52</v>
      </c>
      <c r="L62" s="669" t="s">
        <v>51</v>
      </c>
      <c r="M62" s="669" t="s">
        <v>50</v>
      </c>
      <c r="N62" s="669" t="s">
        <v>49</v>
      </c>
      <c r="O62" s="669" t="s">
        <v>47</v>
      </c>
      <c r="P62" s="670" t="s">
        <v>77</v>
      </c>
    </row>
    <row r="63" spans="1:16" x14ac:dyDescent="0.25">
      <c r="A63" s="119" t="s">
        <v>362</v>
      </c>
      <c r="B63" s="24">
        <f>IFERROR(+GETPIVOTDATA("Unique Billed Hours",'County allocation'!$A$3,"County",A63,"HHA/CDPAP","CDPAP"),0)</f>
        <v>2.408470791134289E-2</v>
      </c>
      <c r="C63" s="9">
        <f t="shared" ref="C63:C72" ca="1" si="38">C62</f>
        <v>1</v>
      </c>
      <c r="D63" s="51" t="s">
        <v>26</v>
      </c>
      <c r="E63" s="48"/>
      <c r="F63" s="674"/>
      <c r="G63" s="674"/>
      <c r="H63" s="674"/>
      <c r="I63" s="674"/>
      <c r="J63" s="674"/>
      <c r="K63" s="674"/>
      <c r="L63" s="675"/>
      <c r="M63" s="675"/>
      <c r="N63" s="676"/>
      <c r="O63" s="674"/>
      <c r="P63" s="677"/>
    </row>
    <row r="64" spans="1:16" x14ac:dyDescent="0.25">
      <c r="A64" s="119" t="s">
        <v>363</v>
      </c>
      <c r="B64" s="24">
        <f>IFERROR(+GETPIVOTDATA("Unique Billed Hours",'County allocation'!$A$3,"County",A64,"HHA/CDPAP","CDPAP"),0)</f>
        <v>6.0201810038197211E-4</v>
      </c>
      <c r="C64" s="9">
        <f t="shared" ca="1" si="38"/>
        <v>1</v>
      </c>
      <c r="D64" s="267" t="s">
        <v>18</v>
      </c>
      <c r="E64" s="48" t="s">
        <v>57</v>
      </c>
      <c r="F64" s="678">
        <f ca="1">SUM(G64:I64)</f>
        <v>1124513.9316317555</v>
      </c>
      <c r="G64" s="658">
        <f ca="1">+IFERROR(G$5*GETPIVOTDATA("Unique Billed Hours",'County allocation'!$A$3,"County",$D$61,"HHA/CDPAP","CDPAP","Level of Service",$D64),0)</f>
        <v>45207.880855513125</v>
      </c>
      <c r="H64" s="658">
        <f>+IFERROR(H$5*GETPIVOTDATA("Unique Billed Hours",'County allocation'!$A$3,"County",$D$61,"HHA/CDPAP","CDPAP","Level of Service",$D64),0)</f>
        <v>38923.150756912626</v>
      </c>
      <c r="I64" s="678">
        <f ca="1">SUM(J64:P64)</f>
        <v>1040382.9000193297</v>
      </c>
      <c r="J64" s="658">
        <f ca="1">+IFERROR(J$5*GETPIVOTDATA("Unique Billed Hours",'County allocation'!$S$3,"County",$D$61,"HHA/CDPAP","CDPAP","Level of Service",$D64),0)</f>
        <v>205836.84884243319</v>
      </c>
      <c r="K64" s="658">
        <f ca="1">+IFERROR(K$5*GETPIVOTDATA("Unique Billed Hours",'County allocation'!$X$3,"County",$D$61,"HHA/CDPAP","CDPAP","Level of Service",$D64),0)</f>
        <v>830390.2815830739</v>
      </c>
      <c r="L64" s="658">
        <f>+IFERROR(L$5*GETPIVOTDATA("Unique Billed Hours",'County allocation'!$K$19,"County",$D$61,"HHA/CDPAP","CDPAP","Level of Service",$D64),0)</f>
        <v>0</v>
      </c>
      <c r="M64" s="658">
        <f>+IFERROR(M$5*GETPIVOTDATA("Unique Billed Hours",'County allocation'!$S$3,"County",$D$61,"HHA/CDPAP","CDPAP","Level of Service",$D64),0)</f>
        <v>3834.6022790128818</v>
      </c>
      <c r="N64" s="658">
        <f>+IFERROR(N$5*GETPIVOTDATA("Unique Billed Hours",'County allocation'!$S$3,"County",$D$61,"HHA/CDPAP","CDPAP","Level of Service",$D64),0)</f>
        <v>321.16731480979382</v>
      </c>
      <c r="O64" s="658">
        <f>+IFERROR(O$5*GETPIVOTDATA("Unique Billed Hours",'County allocation'!$S$3,"County",$D$61,"HHA/CDPAP","CDPAP","Level of Service",$D64),0)</f>
        <v>0</v>
      </c>
      <c r="P64" s="658">
        <f>+IFERROR(P$5*GETPIVOTDATA("Unique Billed Hours",'County allocation'!$S$3,"County",$D$61,"HHA/CDPAP","CDPAP","Level of Service",$D64),0)</f>
        <v>0</v>
      </c>
    </row>
    <row r="65" spans="1:16" x14ac:dyDescent="0.25">
      <c r="A65" s="119" t="s">
        <v>364</v>
      </c>
      <c r="B65" s="24">
        <f>IFERROR(+GETPIVOTDATA("Unique Billed Hours",'County allocation'!$A$3,"County",A65,"HHA/CDPAP","CDPAP"),0)</f>
        <v>8.2460222886133507E-4</v>
      </c>
      <c r="C65" s="9">
        <f t="shared" ca="1" si="38"/>
        <v>1</v>
      </c>
      <c r="D65" s="267" t="s">
        <v>42</v>
      </c>
      <c r="E65" s="48" t="s">
        <v>56</v>
      </c>
      <c r="F65" s="678">
        <f t="shared" ref="F65:F69" ca="1" si="39">SUM(G65:I65)</f>
        <v>0</v>
      </c>
      <c r="G65" s="658">
        <f ca="1">+IFERROR(G$5*GETPIVOTDATA("Unique Billed Hours",'County allocation'!$A$3,"County",$D$61,"HHA/CDPAP","CDPAP","Level of Service",$D65),0)</f>
        <v>0</v>
      </c>
      <c r="H65" s="658">
        <f>+IFERROR(H$5*GETPIVOTDATA("Unique Billed Hours",'County allocation'!$A$3,"County",$D$61,"HHA/CDPAP","CDPAP","Level of Service",$D65),0)</f>
        <v>0</v>
      </c>
      <c r="I65" s="678">
        <f t="shared" ref="I65:I72" ca="1" si="40">SUM(J65:P65)</f>
        <v>0</v>
      </c>
      <c r="J65" s="658">
        <f ca="1">+IFERROR(J$5*GETPIVOTDATA("Unique Billed Hours",'County allocation'!$S$3,"County",$D$61,"HHA/CDPAP","CDPAP","Level of Service",$D65),0)</f>
        <v>0</v>
      </c>
      <c r="K65" s="658">
        <f ca="1">+IFERROR(K$5*GETPIVOTDATA("Unique Billed Hours",'County allocation'!$X$3,"County",$D$61,"HHA/CDPAP","CDPAP","Level of Service",$D65),0)</f>
        <v>0</v>
      </c>
      <c r="L65" s="658">
        <f>+IFERROR(L$5*GETPIVOTDATA("Unique Billed Hours",'County allocation'!$K$19,"County",$D$61,"HHA/CDPAP","CDPAP","Level of Service",$D65),0)</f>
        <v>0</v>
      </c>
      <c r="M65" s="658">
        <f>+IFERROR(M$5*GETPIVOTDATA("Unique Billed Hours",'County allocation'!$S$3,"County",$D$61,"HHA/CDPAP","CDPAP","Level of Service",$D65),0)</f>
        <v>0</v>
      </c>
      <c r="N65" s="658">
        <f>+IFERROR(N$5*GETPIVOTDATA("Unique Billed Hours",'County allocation'!$S$3,"County",$D$61,"HHA/CDPAP","CDPAP","Level of Service",$D65),0)</f>
        <v>0</v>
      </c>
      <c r="O65" s="658">
        <f>+IFERROR(O$5*GETPIVOTDATA("Unique Billed Hours",'County allocation'!$S$3,"County",$D$61,"HHA/CDPAP","CDPAP","Level of Service",$D65),0)</f>
        <v>0</v>
      </c>
      <c r="P65" s="658">
        <f>+IFERROR(P$5*GETPIVOTDATA("Unique Billed Hours",'County allocation'!$S$3,"County",$D$61,"HHA/CDPAP","CDPAP","Level of Service",$D65),0)</f>
        <v>0</v>
      </c>
    </row>
    <row r="66" spans="1:16" x14ac:dyDescent="0.25">
      <c r="B66" s="24"/>
      <c r="C66" s="9">
        <f t="shared" ca="1" si="38"/>
        <v>1</v>
      </c>
      <c r="D66" s="267" t="s">
        <v>43</v>
      </c>
      <c r="E66" s="48" t="s">
        <v>55</v>
      </c>
      <c r="F66" s="678">
        <f t="shared" ca="1" si="39"/>
        <v>0</v>
      </c>
      <c r="G66" s="658">
        <f ca="1">+IFERROR(G$5*GETPIVOTDATA("Unique Billed Hours",'County allocation'!$A$3,"County",$D$61,"HHA/CDPAP","CDPAP","Level of Service",$D66),0)</f>
        <v>0</v>
      </c>
      <c r="H66" s="658">
        <f>+IFERROR(H$5*GETPIVOTDATA("Unique Billed Hours",'County allocation'!$A$3,"County",$D$61,"HHA/CDPAP","CDPAP","Level of Service",$D66),0)</f>
        <v>0</v>
      </c>
      <c r="I66" s="678">
        <f t="shared" ca="1" si="40"/>
        <v>0</v>
      </c>
      <c r="J66" s="658">
        <f ca="1">+IFERROR(J$5*GETPIVOTDATA("Unique Billed Hours",'County allocation'!$S$3,"County",$D$61,"HHA/CDPAP","CDPAP","Level of Service",$D66),0)</f>
        <v>0</v>
      </c>
      <c r="K66" s="658">
        <f ca="1">+IFERROR(K$5*GETPIVOTDATA("Unique Billed Hours",'County allocation'!$X$3,"County",$D$61,"HHA/CDPAP","CDPAP","Level of Service",$D66),0)</f>
        <v>0</v>
      </c>
      <c r="L66" s="658">
        <f>+IFERROR(L$5*GETPIVOTDATA("Unique Billed Hours",'County allocation'!$K$19,"County",$D$61,"HHA/CDPAP","CDPAP","Level of Service",$D66),0)</f>
        <v>0</v>
      </c>
      <c r="M66" s="658">
        <f>+IFERROR(M$5*GETPIVOTDATA("Unique Billed Hours",'County allocation'!$S$3,"County",$D$61,"HHA/CDPAP","CDPAP","Level of Service",$D66),0)</f>
        <v>0</v>
      </c>
      <c r="N66" s="658">
        <f>+IFERROR(N$5*GETPIVOTDATA("Unique Billed Hours",'County allocation'!$S$3,"County",$D$61,"HHA/CDPAP","CDPAP","Level of Service",$D66),0)</f>
        <v>0</v>
      </c>
      <c r="O66" s="658">
        <f>+IFERROR(O$5*GETPIVOTDATA("Unique Billed Hours",'County allocation'!$S$3,"County",$D$61,"HHA/CDPAP","CDPAP","Level of Service",$D66),0)</f>
        <v>0</v>
      </c>
      <c r="P66" s="658">
        <f>+IFERROR(P$5*GETPIVOTDATA("Unique Billed Hours",'County allocation'!$S$3,"County",$D$61,"HHA/CDPAP","CDPAP","Level of Service",$D66),0)</f>
        <v>0</v>
      </c>
    </row>
    <row r="67" spans="1:16" x14ac:dyDescent="0.25">
      <c r="B67" s="24"/>
      <c r="C67" s="9">
        <f t="shared" ca="1" si="38"/>
        <v>1</v>
      </c>
      <c r="D67" s="267" t="s">
        <v>44</v>
      </c>
      <c r="E67" s="48" t="s">
        <v>54</v>
      </c>
      <c r="F67" s="678">
        <f t="shared" ca="1" si="39"/>
        <v>0</v>
      </c>
      <c r="G67" s="658">
        <f ca="1">+IFERROR(G$5*GETPIVOTDATA("Unique Billed Hours",'County allocation'!$A$3,"County",$D$61,"HHA/CDPAP","CDPAP","Level of Service",$D67),0)</f>
        <v>0</v>
      </c>
      <c r="H67" s="658">
        <f>+IFERROR(H$5*GETPIVOTDATA("Unique Billed Hours",'County allocation'!$A$3,"County",$D$61,"HHA/CDPAP","CDPAP","Level of Service",$D67),0)</f>
        <v>0</v>
      </c>
      <c r="I67" s="678">
        <f t="shared" ca="1" si="40"/>
        <v>0</v>
      </c>
      <c r="J67" s="658">
        <f ca="1">+IFERROR(J$5*GETPIVOTDATA("Unique Billed Hours",'County allocation'!$S$3,"County",$D$61,"HHA/CDPAP","CDPAP","Level of Service",$D67),0)</f>
        <v>0</v>
      </c>
      <c r="K67" s="658">
        <f ca="1">+IFERROR(K$5*GETPIVOTDATA("Unique Billed Hours",'County allocation'!$X$3,"County",$D$61,"HHA/CDPAP","CDPAP","Level of Service",$D67),0)</f>
        <v>0</v>
      </c>
      <c r="L67" s="658">
        <f>+IFERROR(L$5*GETPIVOTDATA("Unique Billed Hours",'County allocation'!$K$19,"County",$D$61,"HHA/CDPAP","CDPAP","Level of Service",$D67),0)</f>
        <v>0</v>
      </c>
      <c r="M67" s="658">
        <f>+IFERROR(M$5*GETPIVOTDATA("Unique Billed Hours",'County allocation'!$S$3,"County",$D$61,"HHA/CDPAP","CDPAP","Level of Service",$D67),0)</f>
        <v>0</v>
      </c>
      <c r="N67" s="658">
        <f>+IFERROR(N$5*GETPIVOTDATA("Unique Billed Hours",'County allocation'!$S$3,"County",$D$61,"HHA/CDPAP","CDPAP","Level of Service",$D67),0)</f>
        <v>0</v>
      </c>
      <c r="O67" s="658">
        <f>+IFERROR(O$5*GETPIVOTDATA("Unique Billed Hours",'County allocation'!$S$3,"County",$D$61,"HHA/CDPAP","CDPAP","Level of Service",$D67),0)</f>
        <v>0</v>
      </c>
      <c r="P67" s="658">
        <f>+IFERROR(P$5*GETPIVOTDATA("Unique Billed Hours",'County allocation'!$S$3,"County",$D$61,"HHA/CDPAP","CDPAP","Level of Service",$D67),0)</f>
        <v>0</v>
      </c>
    </row>
    <row r="68" spans="1:16" x14ac:dyDescent="0.25">
      <c r="B68" s="24"/>
      <c r="C68" s="9">
        <f t="shared" ca="1" si="38"/>
        <v>1</v>
      </c>
      <c r="D68" s="267" t="s">
        <v>45</v>
      </c>
      <c r="E68" s="48" t="s">
        <v>53</v>
      </c>
      <c r="F68" s="678">
        <f t="shared" ca="1" si="39"/>
        <v>0</v>
      </c>
      <c r="G68" s="658">
        <f ca="1">+IFERROR(G$5*GETPIVOTDATA("Unique Billed Hours",'County allocation'!$A$3,"County",$D$61,"HHA/CDPAP","CDPAP","Level of Service",$D68),0)</f>
        <v>0</v>
      </c>
      <c r="H68" s="658">
        <f>+IFERROR(H$5*GETPIVOTDATA("Unique Billed Hours",'County allocation'!$A$3,"County",$D$61,"HHA/CDPAP","CDPAP","Level of Service",$D68),0)</f>
        <v>0</v>
      </c>
      <c r="I68" s="678">
        <f t="shared" ca="1" si="40"/>
        <v>0</v>
      </c>
      <c r="J68" s="658">
        <f ca="1">+IFERROR(J$5*GETPIVOTDATA("Unique Billed Hours",'County allocation'!$S$3,"County",$D$61,"HHA/CDPAP","CDPAP","Level of Service",$D68),0)</f>
        <v>0</v>
      </c>
      <c r="K68" s="658">
        <f ca="1">+IFERROR(K$5*GETPIVOTDATA("Unique Billed Hours",'County allocation'!$X$3,"County",$D$61,"HHA/CDPAP","CDPAP","Level of Service",$D68),0)</f>
        <v>0</v>
      </c>
      <c r="L68" s="658">
        <f>+IFERROR(L$5*GETPIVOTDATA("Unique Billed Hours",'County allocation'!$K$19,"County",$D$61,"HHA/CDPAP","CDPAP","Level of Service",$D68),0)</f>
        <v>0</v>
      </c>
      <c r="M68" s="658">
        <f>+IFERROR(M$5*GETPIVOTDATA("Unique Billed Hours",'County allocation'!$S$3,"County",$D$61,"HHA/CDPAP","CDPAP","Level of Service",$D68),0)</f>
        <v>0</v>
      </c>
      <c r="N68" s="658">
        <f>+IFERROR(N$5*GETPIVOTDATA("Unique Billed Hours",'County allocation'!$S$3,"County",$D$61,"HHA/CDPAP","CDPAP","Level of Service",$D68),0)</f>
        <v>0</v>
      </c>
      <c r="O68" s="658">
        <f>+IFERROR(O$5*GETPIVOTDATA("Unique Billed Hours",'County allocation'!$S$3,"County",$D$61,"HHA/CDPAP","CDPAP","Level of Service",$D68),0)</f>
        <v>0</v>
      </c>
      <c r="P68" s="658">
        <f>+IFERROR(P$5*GETPIVOTDATA("Unique Billed Hours",'County allocation'!$S$3,"County",$D$61,"HHA/CDPAP","CDPAP","Level of Service",$D68),0)</f>
        <v>0</v>
      </c>
    </row>
    <row r="69" spans="1:16" x14ac:dyDescent="0.25">
      <c r="A69" s="302"/>
      <c r="B69" s="24"/>
      <c r="C69" s="9">
        <f t="shared" ca="1" si="38"/>
        <v>1</v>
      </c>
      <c r="D69" s="267" t="s">
        <v>46</v>
      </c>
      <c r="E69" s="48" t="s">
        <v>52</v>
      </c>
      <c r="F69" s="678">
        <f t="shared" ca="1" si="39"/>
        <v>0</v>
      </c>
      <c r="G69" s="658">
        <f ca="1">+IFERROR(G$5*GETPIVOTDATA("Unique Billed Hours",'County allocation'!$A$3,"County",$D$61,"HHA/CDPAP","CDPAP","Level of Service",$D69),0)</f>
        <v>0</v>
      </c>
      <c r="H69" s="658">
        <f>+IFERROR(H$5*GETPIVOTDATA("Unique Billed Hours",'County allocation'!$A$3,"County",$D$61,"HHA/CDPAP","CDPAP","Level of Service",$D69),0)</f>
        <v>0</v>
      </c>
      <c r="I69" s="678">
        <f t="shared" ca="1" si="40"/>
        <v>0</v>
      </c>
      <c r="J69" s="658">
        <f ca="1">+IFERROR(J$5*GETPIVOTDATA("Unique Billed Hours",'County allocation'!$S$3,"County",$D$61,"HHA/CDPAP","CDPAP","Level of Service",$D69),0)</f>
        <v>0</v>
      </c>
      <c r="K69" s="658">
        <f ca="1">+IFERROR(K$5*GETPIVOTDATA("Unique Billed Hours",'County allocation'!$X$3,"County",$D$61,"HHA/CDPAP","CDPAP","Level of Service",$D69),0)</f>
        <v>0</v>
      </c>
      <c r="L69" s="658">
        <f>+IFERROR(L$5*GETPIVOTDATA("Unique Billed Hours",'County allocation'!$K$19,"County",$D$61,"HHA/CDPAP","CDPAP","Level of Service",$D69),0)</f>
        <v>0</v>
      </c>
      <c r="M69" s="658">
        <f>+IFERROR(M$5*GETPIVOTDATA("Unique Billed Hours",'County allocation'!$S$3,"County",$D$61,"HHA/CDPAP","CDPAP","Level of Service",$D69),0)</f>
        <v>0</v>
      </c>
      <c r="N69" s="658">
        <f>+IFERROR(N$5*GETPIVOTDATA("Unique Billed Hours",'County allocation'!$S$3,"County",$D$61,"HHA/CDPAP","CDPAP","Level of Service",$D69),0)</f>
        <v>0</v>
      </c>
      <c r="O69" s="658">
        <f>+IFERROR(O$5*GETPIVOTDATA("Unique Billed Hours",'County allocation'!$S$3,"County",$D$61,"HHA/CDPAP","CDPAP","Level of Service",$D69),0)</f>
        <v>0</v>
      </c>
      <c r="P69" s="658">
        <f>+IFERROR(P$5*GETPIVOTDATA("Unique Billed Hours",'County allocation'!$S$3,"County",$D$61,"HHA/CDPAP","CDPAP","Level of Service",$D69),0)</f>
        <v>0</v>
      </c>
    </row>
    <row r="70" spans="1:16" ht="15.75" thickBot="1" x14ac:dyDescent="0.3">
      <c r="A70" s="302"/>
      <c r="B70" s="24"/>
      <c r="C70" s="9">
        <f t="shared" ca="1" si="38"/>
        <v>1</v>
      </c>
      <c r="D70" s="52" t="s">
        <v>389</v>
      </c>
      <c r="E70" s="370" t="s">
        <v>51</v>
      </c>
      <c r="F70" s="679">
        <f ca="1">SUM(F64:F69)</f>
        <v>1124513.9316317555</v>
      </c>
      <c r="G70" s="679">
        <f t="shared" ref="G70:H70" ca="1" si="41">SUM(G64:G69)</f>
        <v>45207.880855513125</v>
      </c>
      <c r="H70" s="679">
        <f t="shared" si="41"/>
        <v>38923.150756912626</v>
      </c>
      <c r="I70" s="678">
        <f t="shared" ca="1" si="40"/>
        <v>1040382.9000193297</v>
      </c>
      <c r="J70" s="679">
        <f ca="1">SUM(J64:J69)</f>
        <v>205836.84884243319</v>
      </c>
      <c r="K70" s="679">
        <f t="shared" ref="K70:P70" ca="1" si="42">SUM(K64:K69)</f>
        <v>830390.2815830739</v>
      </c>
      <c r="L70" s="679">
        <f t="shared" si="42"/>
        <v>0</v>
      </c>
      <c r="M70" s="679">
        <f t="shared" si="42"/>
        <v>3834.6022790128818</v>
      </c>
      <c r="N70" s="679">
        <f t="shared" si="42"/>
        <v>321.16731480979382</v>
      </c>
      <c r="O70" s="679">
        <f t="shared" si="42"/>
        <v>0</v>
      </c>
      <c r="P70" s="679">
        <f t="shared" si="42"/>
        <v>0</v>
      </c>
    </row>
    <row r="71" spans="1:16" x14ac:dyDescent="0.25">
      <c r="A71" s="302"/>
      <c r="B71" s="24"/>
      <c r="C71" s="9">
        <f t="shared" ca="1" si="38"/>
        <v>1</v>
      </c>
      <c r="D71" s="378" t="s">
        <v>390</v>
      </c>
      <c r="E71" s="370" t="s">
        <v>50</v>
      </c>
      <c r="F71" s="678">
        <f t="shared" ref="F71" ca="1" si="43">SUM(G71:I71)</f>
        <v>0</v>
      </c>
      <c r="G71" s="658">
        <f ca="1">+IFERROR(G$5*GETPIVOTDATA("Unique Billed Hours",'County allocation'!$A$3,"County",$D$61,"HHA/CDPAP","CDPAP","Level of Service",$D71),0)</f>
        <v>0</v>
      </c>
      <c r="H71" s="659"/>
      <c r="I71" s="678">
        <f t="shared" si="40"/>
        <v>0</v>
      </c>
      <c r="J71" s="659"/>
      <c r="K71" s="659"/>
      <c r="L71" s="659"/>
      <c r="M71" s="659"/>
      <c r="N71" s="659"/>
      <c r="O71" s="659"/>
      <c r="P71" s="659"/>
    </row>
    <row r="72" spans="1:16" ht="15.75" thickBot="1" x14ac:dyDescent="0.3">
      <c r="B72" s="24"/>
      <c r="C72" s="9">
        <f t="shared" ca="1" si="38"/>
        <v>1</v>
      </c>
      <c r="D72" s="11" t="s">
        <v>48</v>
      </c>
      <c r="E72" s="53" t="s">
        <v>49</v>
      </c>
      <c r="F72" s="662">
        <f ca="1">SUBTOTAL(9,F64:F69)</f>
        <v>1124513.9316317555</v>
      </c>
      <c r="G72" s="662">
        <f t="shared" ref="G72" ca="1" si="44">SUBTOTAL(9,G64:G69)</f>
        <v>45207.880855513125</v>
      </c>
      <c r="H72" s="662">
        <f>SUBTOTAL(9,H64:H69)</f>
        <v>38923.150756912626</v>
      </c>
      <c r="I72" s="678">
        <f t="shared" ca="1" si="40"/>
        <v>1040382.9000193297</v>
      </c>
      <c r="J72" s="662">
        <f t="shared" ref="J72:P72" ca="1" si="45">SUBTOTAL(9,J64:J69)</f>
        <v>205836.84884243319</v>
      </c>
      <c r="K72" s="662">
        <f t="shared" ca="1" si="45"/>
        <v>830390.2815830739</v>
      </c>
      <c r="L72" s="662">
        <f t="shared" si="45"/>
        <v>0</v>
      </c>
      <c r="M72" s="662">
        <f t="shared" si="45"/>
        <v>3834.6022790128818</v>
      </c>
      <c r="N72" s="662">
        <f t="shared" si="45"/>
        <v>321.16731480979382</v>
      </c>
      <c r="O72" s="662">
        <f t="shared" si="45"/>
        <v>0</v>
      </c>
      <c r="P72" s="662">
        <f t="shared" si="45"/>
        <v>0</v>
      </c>
    </row>
    <row r="73" spans="1:16" ht="15.75" hidden="1" thickBot="1" x14ac:dyDescent="0.3">
      <c r="B73" s="24"/>
      <c r="D73" s="54"/>
      <c r="E73" s="55"/>
      <c r="F73" s="666"/>
      <c r="G73" s="666"/>
      <c r="H73" s="666"/>
      <c r="I73" s="666"/>
      <c r="J73" s="666"/>
      <c r="K73" s="666"/>
      <c r="L73" s="666"/>
      <c r="M73" s="666"/>
      <c r="N73" s="666"/>
      <c r="O73" s="666"/>
      <c r="P73" s="666"/>
    </row>
    <row r="74" spans="1:16" ht="75" x14ac:dyDescent="0.25">
      <c r="A74" s="60"/>
      <c r="B74" s="24"/>
      <c r="C74" s="9">
        <f ca="1">IF(F85&gt;0,1,0)</f>
        <v>1</v>
      </c>
      <c r="D74" s="45" t="str">
        <f>A8</f>
        <v>Cattaraugus</v>
      </c>
      <c r="E74" s="28">
        <f>SUMIF(A:A,D74,B:B)</f>
        <v>2.4245220368889499E-3</v>
      </c>
      <c r="F74" s="652" t="s">
        <v>396</v>
      </c>
      <c r="G74" s="652" t="s">
        <v>387</v>
      </c>
      <c r="H74" s="652" t="s">
        <v>388</v>
      </c>
      <c r="I74" s="652" t="s">
        <v>392</v>
      </c>
      <c r="J74" s="652" t="s">
        <v>31</v>
      </c>
      <c r="K74" s="652" t="s">
        <v>32</v>
      </c>
      <c r="L74" s="653" t="s">
        <v>33</v>
      </c>
      <c r="M74" s="653" t="s">
        <v>60</v>
      </c>
      <c r="N74" s="653" t="s">
        <v>59</v>
      </c>
      <c r="O74" s="653" t="s">
        <v>58</v>
      </c>
      <c r="P74" s="653" t="s">
        <v>16</v>
      </c>
    </row>
    <row r="75" spans="1:16" x14ac:dyDescent="0.25">
      <c r="A75" s="60"/>
      <c r="B75" s="24"/>
      <c r="C75" s="9">
        <f ca="1">C74</f>
        <v>1</v>
      </c>
      <c r="D75" s="47"/>
      <c r="E75" s="48"/>
      <c r="F75" s="669" t="s">
        <v>57</v>
      </c>
      <c r="G75" s="669" t="s">
        <v>56</v>
      </c>
      <c r="H75" s="669" t="s">
        <v>55</v>
      </c>
      <c r="I75" s="669" t="s">
        <v>54</v>
      </c>
      <c r="J75" s="669" t="s">
        <v>53</v>
      </c>
      <c r="K75" s="669" t="s">
        <v>52</v>
      </c>
      <c r="L75" s="669" t="s">
        <v>51</v>
      </c>
      <c r="M75" s="669" t="s">
        <v>50</v>
      </c>
      <c r="N75" s="669" t="s">
        <v>49</v>
      </c>
      <c r="O75" s="669" t="s">
        <v>47</v>
      </c>
      <c r="P75" s="670" t="s">
        <v>77</v>
      </c>
    </row>
    <row r="76" spans="1:16" x14ac:dyDescent="0.25">
      <c r="B76" s="24"/>
      <c r="C76" s="9">
        <f t="shared" ref="C76:C85" ca="1" si="46">C75</f>
        <v>1</v>
      </c>
      <c r="D76" s="51" t="s">
        <v>26</v>
      </c>
      <c r="E76" s="48"/>
      <c r="F76" s="674"/>
      <c r="G76" s="674"/>
      <c r="H76" s="674"/>
      <c r="I76" s="674"/>
      <c r="J76" s="674"/>
      <c r="K76" s="674"/>
      <c r="L76" s="675"/>
      <c r="M76" s="675"/>
      <c r="N76" s="676"/>
      <c r="O76" s="674"/>
      <c r="P76" s="677"/>
    </row>
    <row r="77" spans="1:16" x14ac:dyDescent="0.25">
      <c r="B77" s="24"/>
      <c r="C77" s="9">
        <f t="shared" ca="1" si="46"/>
        <v>1</v>
      </c>
      <c r="D77" s="267" t="s">
        <v>18</v>
      </c>
      <c r="E77" s="48" t="s">
        <v>57</v>
      </c>
      <c r="F77" s="678">
        <f ca="1">SUM(G77:I77)</f>
        <v>209002.18049252706</v>
      </c>
      <c r="G77" s="658">
        <f ca="1">+IFERROR(G$5*GETPIVOTDATA("Unique Billed Hours",'County allocation'!$A$3,"County",$D74,"HHA/CDPAP","CDPAP","Level of Service",$D77),0)</f>
        <v>8402.3375864610698</v>
      </c>
      <c r="H77" s="658">
        <f>+IFERROR(H$5*GETPIVOTDATA("Unique Billed Hours",'County allocation'!$A$3,"County",$D74,"HHA/CDPAP","CDPAP","Level of Service",$D77),0)</f>
        <v>7234.2575320783753</v>
      </c>
      <c r="I77" s="678">
        <f ca="1">SUM(J77:P77)</f>
        <v>193365.58537398762</v>
      </c>
      <c r="J77" s="658">
        <f ca="1">+IFERROR(J$5*GETPIVOTDATA("Unique Billed Hours",'County allocation'!$S$3,"County",$D74,"HHA/CDPAP","CDPAP","Level of Service",$D77),0)</f>
        <v>38256.840598989664</v>
      </c>
      <c r="K77" s="658">
        <f ca="1">+IFERROR(K$5*GETPIVOTDATA("Unique Billed Hours",'County allocation'!$X$3,"County",$D74,"HHA/CDPAP","CDPAP","Level of Service",$D77),0)</f>
        <v>154336.35336009291</v>
      </c>
      <c r="L77" s="658">
        <f>+IFERROR(L$5*GETPIVOTDATA("Unique Billed Hours",'County allocation'!$K$19,"County",$D74,"HHA/CDPAP","CDPAP","Level of Service",$D77),0)</f>
        <v>0</v>
      </c>
      <c r="M77" s="658">
        <f>+IFERROR(M$5*GETPIVOTDATA("Unique Billed Hours",'County allocation'!$S$3,"County",$D74,"HHA/CDPAP","CDPAP","Level of Service",$D77),0)</f>
        <v>712.6992517312392</v>
      </c>
      <c r="N77" s="658">
        <f>+IFERROR(N$5*GETPIVOTDATA("Unique Billed Hours",'County allocation'!$S$3,"County",$D74,"HHA/CDPAP","CDPAP","Level of Service",$D77),0)</f>
        <v>59.692163173802378</v>
      </c>
      <c r="O77" s="658">
        <f>+IFERROR(O$5*GETPIVOTDATA("Unique Billed Hours",'County allocation'!$S$3,"County",$D74,"HHA/CDPAP","CDPAP","Level of Service",$D77),0)</f>
        <v>0</v>
      </c>
      <c r="P77" s="658">
        <f>+IFERROR(P$5*GETPIVOTDATA("Unique Billed Hours",'County allocation'!$S$3,"County",$D74,"HHA/CDPAP","CDPAP","Level of Service",$D77),0)</f>
        <v>0</v>
      </c>
    </row>
    <row r="78" spans="1:16" x14ac:dyDescent="0.25">
      <c r="B78" s="24"/>
      <c r="C78" s="9">
        <f t="shared" ca="1" si="46"/>
        <v>1</v>
      </c>
      <c r="D78" s="267" t="s">
        <v>42</v>
      </c>
      <c r="E78" s="48" t="s">
        <v>56</v>
      </c>
      <c r="F78" s="678">
        <f t="shared" ref="F78:F82" ca="1" si="47">SUM(G78:I78)</f>
        <v>0</v>
      </c>
      <c r="G78" s="658">
        <f ca="1">+IFERROR(G$5*GETPIVOTDATA("Unique Billed Hours",'County allocation'!$A$3,"County",$D74,"HHA/CDPAP","CDPAP","Level of Service",$D78),0)</f>
        <v>0</v>
      </c>
      <c r="H78" s="658">
        <f>+IFERROR(H$5*GETPIVOTDATA("Unique Billed Hours",'County allocation'!$A$3,"County",$D74,"HHA/CDPAP","CDPAP","Level of Service",$D78),0)</f>
        <v>0</v>
      </c>
      <c r="I78" s="678">
        <f t="shared" ref="I78:I85" ca="1" si="48">SUM(J78:P78)</f>
        <v>0</v>
      </c>
      <c r="J78" s="658">
        <f ca="1">+IFERROR(J$5*GETPIVOTDATA("Unique Billed Hours",'County allocation'!$S$3,"County",$D74,"HHA/CDPAP","CDPAP","Level of Service",$D78),0)</f>
        <v>0</v>
      </c>
      <c r="K78" s="658">
        <f ca="1">+IFERROR(K$5*GETPIVOTDATA("Unique Billed Hours",'County allocation'!$X$3,"County",$D74,"HHA/CDPAP","CDPAP","Level of Service",$D78),0)</f>
        <v>0</v>
      </c>
      <c r="L78" s="658">
        <f>+IFERROR(L$5*GETPIVOTDATA("Unique Billed Hours",'County allocation'!$K$19,"County",$D74,"HHA/CDPAP","CDPAP","Level of Service",$D78),0)</f>
        <v>0</v>
      </c>
      <c r="M78" s="658">
        <f>+IFERROR(M$5*GETPIVOTDATA("Unique Billed Hours",'County allocation'!$S$3,"County",$D74,"HHA/CDPAP","CDPAP","Level of Service",$D78),0)</f>
        <v>0</v>
      </c>
      <c r="N78" s="658">
        <f>+IFERROR(N$5*GETPIVOTDATA("Unique Billed Hours",'County allocation'!$S$3,"County",$D74,"HHA/CDPAP","CDPAP","Level of Service",$D78),0)</f>
        <v>0</v>
      </c>
      <c r="O78" s="658">
        <f>+IFERROR(O$5*GETPIVOTDATA("Unique Billed Hours",'County allocation'!$S$3,"County",$D74,"HHA/CDPAP","CDPAP","Level of Service",$D78),0)</f>
        <v>0</v>
      </c>
      <c r="P78" s="658">
        <f>+IFERROR(P$5*GETPIVOTDATA("Unique Billed Hours",'County allocation'!$S$3,"County",$D74,"HHA/CDPAP","CDPAP","Level of Service",$D78),0)</f>
        <v>0</v>
      </c>
    </row>
    <row r="79" spans="1:16" x14ac:dyDescent="0.25">
      <c r="B79" s="24"/>
      <c r="C79" s="9">
        <f t="shared" ca="1" si="46"/>
        <v>1</v>
      </c>
      <c r="D79" s="267" t="s">
        <v>43</v>
      </c>
      <c r="E79" s="48" t="s">
        <v>55</v>
      </c>
      <c r="F79" s="678">
        <f t="shared" ca="1" si="47"/>
        <v>0</v>
      </c>
      <c r="G79" s="658">
        <f ca="1">+IFERROR(G$5*GETPIVOTDATA("Unique Billed Hours",'County allocation'!$A$3,"County",$D74,"HHA/CDPAP","CDPAP","Level of Service",$D79),0)</f>
        <v>0</v>
      </c>
      <c r="H79" s="658">
        <f>+IFERROR(H$5*GETPIVOTDATA("Unique Billed Hours",'County allocation'!$A$3,"County",$D74,"HHA/CDPAP","CDPAP","Level of Service",$D79),0)</f>
        <v>0</v>
      </c>
      <c r="I79" s="678">
        <f t="shared" ca="1" si="48"/>
        <v>0</v>
      </c>
      <c r="J79" s="658">
        <f ca="1">+IFERROR(J$5*GETPIVOTDATA("Unique Billed Hours",'County allocation'!$S$3,"County",$D74,"HHA/CDPAP","CDPAP","Level of Service",$D79),0)</f>
        <v>0</v>
      </c>
      <c r="K79" s="658">
        <f ca="1">+IFERROR(K$5*GETPIVOTDATA("Unique Billed Hours",'County allocation'!$X$3,"County",$D74,"HHA/CDPAP","CDPAP","Level of Service",$D79),0)</f>
        <v>0</v>
      </c>
      <c r="L79" s="658">
        <f>+IFERROR(L$5*GETPIVOTDATA("Unique Billed Hours",'County allocation'!$K$19,"County",$D74,"HHA/CDPAP","CDPAP","Level of Service",$D79),0)</f>
        <v>0</v>
      </c>
      <c r="M79" s="658">
        <f>+IFERROR(M$5*GETPIVOTDATA("Unique Billed Hours",'County allocation'!$S$3,"County",$D74,"HHA/CDPAP","CDPAP","Level of Service",$D79),0)</f>
        <v>0</v>
      </c>
      <c r="N79" s="658">
        <f>+IFERROR(N$5*GETPIVOTDATA("Unique Billed Hours",'County allocation'!$S$3,"County",$D74,"HHA/CDPAP","CDPAP","Level of Service",$D79),0)</f>
        <v>0</v>
      </c>
      <c r="O79" s="658">
        <f>+IFERROR(O$5*GETPIVOTDATA("Unique Billed Hours",'County allocation'!$S$3,"County",$D74,"HHA/CDPAP","CDPAP","Level of Service",$D79),0)</f>
        <v>0</v>
      </c>
      <c r="P79" s="658">
        <f>+IFERROR(P$5*GETPIVOTDATA("Unique Billed Hours",'County allocation'!$S$3,"County",$D74,"HHA/CDPAP","CDPAP","Level of Service",$D79),0)</f>
        <v>0</v>
      </c>
    </row>
    <row r="80" spans="1:16" x14ac:dyDescent="0.25">
      <c r="B80" s="24"/>
      <c r="C80" s="9">
        <f t="shared" ca="1" si="46"/>
        <v>1</v>
      </c>
      <c r="D80" s="267" t="s">
        <v>44</v>
      </c>
      <c r="E80" s="48" t="s">
        <v>54</v>
      </c>
      <c r="F80" s="678">
        <f t="shared" ca="1" si="47"/>
        <v>0</v>
      </c>
      <c r="G80" s="658">
        <f ca="1">+IFERROR(G$5*GETPIVOTDATA("Unique Billed Hours",'County allocation'!$A$3,"County",$D74,"HHA/CDPAP","CDPAP","Level of Service",$D80),0)</f>
        <v>0</v>
      </c>
      <c r="H80" s="658">
        <f>+IFERROR(H$5*GETPIVOTDATA("Unique Billed Hours",'County allocation'!$A$3,"County",$D74,"HHA/CDPAP","CDPAP","Level of Service",$D80),0)</f>
        <v>0</v>
      </c>
      <c r="I80" s="678">
        <f t="shared" ca="1" si="48"/>
        <v>0</v>
      </c>
      <c r="J80" s="658">
        <f ca="1">+IFERROR(J$5*GETPIVOTDATA("Unique Billed Hours",'County allocation'!$S$3,"County",$D74,"HHA/CDPAP","CDPAP","Level of Service",$D80),0)</f>
        <v>0</v>
      </c>
      <c r="K80" s="658">
        <f ca="1">+IFERROR(K$5*GETPIVOTDATA("Unique Billed Hours",'County allocation'!$X$3,"County",$D74,"HHA/CDPAP","CDPAP","Level of Service",$D80),0)</f>
        <v>0</v>
      </c>
      <c r="L80" s="658">
        <f>+IFERROR(L$5*GETPIVOTDATA("Unique Billed Hours",'County allocation'!$K$19,"County",$D74,"HHA/CDPAP","CDPAP","Level of Service",$D80),0)</f>
        <v>0</v>
      </c>
      <c r="M80" s="658">
        <f>+IFERROR(M$5*GETPIVOTDATA("Unique Billed Hours",'County allocation'!$S$3,"County",$D74,"HHA/CDPAP","CDPAP","Level of Service",$D80),0)</f>
        <v>0</v>
      </c>
      <c r="N80" s="658">
        <f>+IFERROR(N$5*GETPIVOTDATA("Unique Billed Hours",'County allocation'!$S$3,"County",$D74,"HHA/CDPAP","CDPAP","Level of Service",$D80),0)</f>
        <v>0</v>
      </c>
      <c r="O80" s="658">
        <f>+IFERROR(O$5*GETPIVOTDATA("Unique Billed Hours",'County allocation'!$S$3,"County",$D74,"HHA/CDPAP","CDPAP","Level of Service",$D80),0)</f>
        <v>0</v>
      </c>
      <c r="P80" s="658">
        <f>+IFERROR(P$5*GETPIVOTDATA("Unique Billed Hours",'County allocation'!$S$3,"County",$D74,"HHA/CDPAP","CDPAP","Level of Service",$D80),0)</f>
        <v>0</v>
      </c>
    </row>
    <row r="81" spans="1:16" x14ac:dyDescent="0.25">
      <c r="B81" s="24"/>
      <c r="C81" s="9">
        <f t="shared" ca="1" si="46"/>
        <v>1</v>
      </c>
      <c r="D81" s="267" t="s">
        <v>45</v>
      </c>
      <c r="E81" s="48" t="s">
        <v>53</v>
      </c>
      <c r="F81" s="678">
        <f t="shared" ca="1" si="47"/>
        <v>0</v>
      </c>
      <c r="G81" s="658">
        <f ca="1">+IFERROR(G$5*GETPIVOTDATA("Unique Billed Hours",'County allocation'!$A$3,"County",$D74,"HHA/CDPAP","CDPAP","Level of Service",$D81),0)</f>
        <v>0</v>
      </c>
      <c r="H81" s="658">
        <f>+IFERROR(H$5*GETPIVOTDATA("Unique Billed Hours",'County allocation'!$A$3,"County",$D74,"HHA/CDPAP","CDPAP","Level of Service",$D81),0)</f>
        <v>0</v>
      </c>
      <c r="I81" s="678">
        <f t="shared" ca="1" si="48"/>
        <v>0</v>
      </c>
      <c r="J81" s="658">
        <f ca="1">+IFERROR(J$5*GETPIVOTDATA("Unique Billed Hours",'County allocation'!$S$3,"County",$D74,"HHA/CDPAP","CDPAP","Level of Service",$D81),0)</f>
        <v>0</v>
      </c>
      <c r="K81" s="658">
        <f ca="1">+IFERROR(K$5*GETPIVOTDATA("Unique Billed Hours",'County allocation'!$X$3,"County",$D74,"HHA/CDPAP","CDPAP","Level of Service",$D81),0)</f>
        <v>0</v>
      </c>
      <c r="L81" s="658">
        <f>+IFERROR(L$5*GETPIVOTDATA("Unique Billed Hours",'County allocation'!$K$19,"County",$D74,"HHA/CDPAP","CDPAP","Level of Service",$D81),0)</f>
        <v>0</v>
      </c>
      <c r="M81" s="658">
        <f>+IFERROR(M$5*GETPIVOTDATA("Unique Billed Hours",'County allocation'!$S$3,"County",$D74,"HHA/CDPAP","CDPAP","Level of Service",$D81),0)</f>
        <v>0</v>
      </c>
      <c r="N81" s="658">
        <f>+IFERROR(N$5*GETPIVOTDATA("Unique Billed Hours",'County allocation'!$S$3,"County",$D74,"HHA/CDPAP","CDPAP","Level of Service",$D81),0)</f>
        <v>0</v>
      </c>
      <c r="O81" s="658">
        <f>+IFERROR(O$5*GETPIVOTDATA("Unique Billed Hours",'County allocation'!$S$3,"County",$D74,"HHA/CDPAP","CDPAP","Level of Service",$D81),0)</f>
        <v>0</v>
      </c>
      <c r="P81" s="658">
        <f>+IFERROR(P$5*GETPIVOTDATA("Unique Billed Hours",'County allocation'!$S$3,"County",$D74,"HHA/CDPAP","CDPAP","Level of Service",$D81),0)</f>
        <v>0</v>
      </c>
    </row>
    <row r="82" spans="1:16" x14ac:dyDescent="0.25">
      <c r="A82" s="302"/>
      <c r="B82" s="24"/>
      <c r="C82" s="9">
        <f t="shared" ca="1" si="46"/>
        <v>1</v>
      </c>
      <c r="D82" s="267" t="s">
        <v>46</v>
      </c>
      <c r="E82" s="48" t="s">
        <v>52</v>
      </c>
      <c r="F82" s="678">
        <f t="shared" ca="1" si="47"/>
        <v>0</v>
      </c>
      <c r="G82" s="658">
        <f ca="1">+IFERROR(G$5*GETPIVOTDATA("Unique Billed Hours",'County allocation'!$A$3,"County",$D74,"HHA/CDPAP","CDPAP","Level of Service",$D82),0)</f>
        <v>0</v>
      </c>
      <c r="H82" s="658">
        <f>+IFERROR(H$5*GETPIVOTDATA("Unique Billed Hours",'County allocation'!$A$3,"County",$D74,"HHA/CDPAP","CDPAP","Level of Service",$D82),0)</f>
        <v>0</v>
      </c>
      <c r="I82" s="678">
        <f t="shared" ca="1" si="48"/>
        <v>0</v>
      </c>
      <c r="J82" s="658">
        <f ca="1">+IFERROR(J$5*GETPIVOTDATA("Unique Billed Hours",'County allocation'!$S$3,"County",$D74,"HHA/CDPAP","CDPAP","Level of Service",$D82),0)</f>
        <v>0</v>
      </c>
      <c r="K82" s="658">
        <f ca="1">+IFERROR(K$5*GETPIVOTDATA("Unique Billed Hours",'County allocation'!$X$3,"County",$D74,"HHA/CDPAP","CDPAP","Level of Service",$D82),0)</f>
        <v>0</v>
      </c>
      <c r="L82" s="658">
        <f>+IFERROR(L$5*GETPIVOTDATA("Unique Billed Hours",'County allocation'!$K$19,"County",$D74,"HHA/CDPAP","CDPAP","Level of Service",$D82),0)</f>
        <v>0</v>
      </c>
      <c r="M82" s="658">
        <f>+IFERROR(M$5*GETPIVOTDATA("Unique Billed Hours",'County allocation'!$S$3,"County",$D74,"HHA/CDPAP","CDPAP","Level of Service",$D82),0)</f>
        <v>0</v>
      </c>
      <c r="N82" s="658">
        <f>+IFERROR(N$5*GETPIVOTDATA("Unique Billed Hours",'County allocation'!$S$3,"County",$D74,"HHA/CDPAP","CDPAP","Level of Service",$D82),0)</f>
        <v>0</v>
      </c>
      <c r="O82" s="658">
        <f>+IFERROR(O$5*GETPIVOTDATA("Unique Billed Hours",'County allocation'!$S$3,"County",$D74,"HHA/CDPAP","CDPAP","Level of Service",$D82),0)</f>
        <v>0</v>
      </c>
      <c r="P82" s="658">
        <f>+IFERROR(P$5*GETPIVOTDATA("Unique Billed Hours",'County allocation'!$S$3,"County",$D74,"HHA/CDPAP","CDPAP","Level of Service",$D82),0)</f>
        <v>0</v>
      </c>
    </row>
    <row r="83" spans="1:16" ht="15.75" thickBot="1" x14ac:dyDescent="0.3">
      <c r="A83" s="302"/>
      <c r="B83" s="24"/>
      <c r="C83" s="9">
        <f t="shared" ca="1" si="46"/>
        <v>1</v>
      </c>
      <c r="D83" s="52" t="s">
        <v>389</v>
      </c>
      <c r="E83" s="370" t="s">
        <v>51</v>
      </c>
      <c r="F83" s="679">
        <f ca="1">SUM(F77:F82)</f>
        <v>209002.18049252706</v>
      </c>
      <c r="G83" s="679">
        <f t="shared" ref="G83:H83" ca="1" si="49">SUM(G77:G82)</f>
        <v>8402.3375864610698</v>
      </c>
      <c r="H83" s="679">
        <f t="shared" si="49"/>
        <v>7234.2575320783753</v>
      </c>
      <c r="I83" s="678">
        <f t="shared" ca="1" si="48"/>
        <v>193365.58537398762</v>
      </c>
      <c r="J83" s="679">
        <f ca="1">SUM(J77:J82)</f>
        <v>38256.840598989664</v>
      </c>
      <c r="K83" s="679">
        <f t="shared" ref="K83:P83" ca="1" si="50">SUM(K77:K82)</f>
        <v>154336.35336009291</v>
      </c>
      <c r="L83" s="679">
        <f t="shared" si="50"/>
        <v>0</v>
      </c>
      <c r="M83" s="679">
        <f t="shared" si="50"/>
        <v>712.6992517312392</v>
      </c>
      <c r="N83" s="679">
        <f t="shared" si="50"/>
        <v>59.692163173802378</v>
      </c>
      <c r="O83" s="679">
        <f t="shared" si="50"/>
        <v>0</v>
      </c>
      <c r="P83" s="679">
        <f t="shared" si="50"/>
        <v>0</v>
      </c>
    </row>
    <row r="84" spans="1:16" x14ac:dyDescent="0.25">
      <c r="A84" s="302"/>
      <c r="B84" s="24"/>
      <c r="C84" s="9">
        <f t="shared" ca="1" si="46"/>
        <v>1</v>
      </c>
      <c r="D84" s="378" t="s">
        <v>390</v>
      </c>
      <c r="E84" s="370" t="s">
        <v>50</v>
      </c>
      <c r="F84" s="678">
        <f t="shared" ref="F84" ca="1" si="51">SUM(G84:I84)</f>
        <v>0</v>
      </c>
      <c r="G84" s="658">
        <f ca="1">+IFERROR(G$5*GETPIVOTDATA("Unique Billed Hours",'County allocation'!$A$3,"County",$D74,"HHA/CDPAP","CDPAP","Level of Service",$D84),0)</f>
        <v>0</v>
      </c>
      <c r="H84" s="659"/>
      <c r="I84" s="678">
        <f t="shared" si="48"/>
        <v>0</v>
      </c>
      <c r="J84" s="659"/>
      <c r="K84" s="659"/>
      <c r="L84" s="659"/>
      <c r="M84" s="659"/>
      <c r="N84" s="659"/>
      <c r="O84" s="659"/>
      <c r="P84" s="659"/>
    </row>
    <row r="85" spans="1:16" ht="15.75" thickBot="1" x14ac:dyDescent="0.3">
      <c r="B85" s="24"/>
      <c r="C85" s="9">
        <f t="shared" ca="1" si="46"/>
        <v>1</v>
      </c>
      <c r="D85" s="11" t="s">
        <v>48</v>
      </c>
      <c r="E85" s="53" t="s">
        <v>49</v>
      </c>
      <c r="F85" s="662">
        <f ca="1">SUBTOTAL(9,F77:F82)</f>
        <v>209002.18049252706</v>
      </c>
      <c r="G85" s="662">
        <f t="shared" ref="G85" ca="1" si="52">SUBTOTAL(9,G77:G82)</f>
        <v>8402.3375864610698</v>
      </c>
      <c r="H85" s="662">
        <f>SUBTOTAL(9,H77:H82)</f>
        <v>7234.2575320783753</v>
      </c>
      <c r="I85" s="678">
        <f t="shared" ca="1" si="48"/>
        <v>193365.58537398762</v>
      </c>
      <c r="J85" s="662">
        <f t="shared" ref="J85:P85" ca="1" si="53">SUBTOTAL(9,J77:J82)</f>
        <v>38256.840598989664</v>
      </c>
      <c r="K85" s="662">
        <f t="shared" ca="1" si="53"/>
        <v>154336.35336009291</v>
      </c>
      <c r="L85" s="662">
        <f t="shared" si="53"/>
        <v>0</v>
      </c>
      <c r="M85" s="662">
        <f t="shared" si="53"/>
        <v>712.6992517312392</v>
      </c>
      <c r="N85" s="662">
        <f t="shared" si="53"/>
        <v>59.692163173802378</v>
      </c>
      <c r="O85" s="662">
        <f t="shared" si="53"/>
        <v>0</v>
      </c>
      <c r="P85" s="662">
        <f t="shared" si="53"/>
        <v>0</v>
      </c>
    </row>
    <row r="86" spans="1:16" ht="15.75" hidden="1" thickBot="1" x14ac:dyDescent="0.3">
      <c r="B86" s="24"/>
      <c r="D86" s="54"/>
      <c r="E86" s="55"/>
      <c r="F86" s="666"/>
      <c r="G86" s="666"/>
      <c r="H86" s="666"/>
      <c r="I86" s="666"/>
      <c r="J86" s="666"/>
      <c r="K86" s="666"/>
      <c r="L86" s="666"/>
      <c r="M86" s="666"/>
      <c r="N86" s="666"/>
      <c r="O86" s="666"/>
      <c r="P86" s="666"/>
    </row>
    <row r="87" spans="1:16" ht="75" x14ac:dyDescent="0.25">
      <c r="A87" s="60"/>
      <c r="B87" s="24"/>
      <c r="C87" s="9">
        <f ca="1">IF(F98&gt;0,1,0)</f>
        <v>1</v>
      </c>
      <c r="D87" s="45" t="str">
        <f>A9</f>
        <v>Cayuga</v>
      </c>
      <c r="E87" s="28">
        <f>SUMIF(A:A,D87,B:B)</f>
        <v>2.2764753186393966E-3</v>
      </c>
      <c r="F87" s="652" t="s">
        <v>396</v>
      </c>
      <c r="G87" s="652" t="s">
        <v>387</v>
      </c>
      <c r="H87" s="652" t="s">
        <v>388</v>
      </c>
      <c r="I87" s="652" t="s">
        <v>392</v>
      </c>
      <c r="J87" s="652" t="s">
        <v>31</v>
      </c>
      <c r="K87" s="652" t="s">
        <v>32</v>
      </c>
      <c r="L87" s="653" t="s">
        <v>33</v>
      </c>
      <c r="M87" s="653" t="s">
        <v>60</v>
      </c>
      <c r="N87" s="653" t="s">
        <v>59</v>
      </c>
      <c r="O87" s="653" t="s">
        <v>58</v>
      </c>
      <c r="P87" s="653" t="s">
        <v>16</v>
      </c>
    </row>
    <row r="88" spans="1:16" x14ac:dyDescent="0.25">
      <c r="A88" s="60"/>
      <c r="B88" s="24"/>
      <c r="C88" s="9">
        <f ca="1">C87</f>
        <v>1</v>
      </c>
      <c r="D88" s="47"/>
      <c r="E88" s="48"/>
      <c r="F88" s="669" t="s">
        <v>57</v>
      </c>
      <c r="G88" s="669" t="s">
        <v>56</v>
      </c>
      <c r="H88" s="669" t="s">
        <v>55</v>
      </c>
      <c r="I88" s="669" t="s">
        <v>54</v>
      </c>
      <c r="J88" s="669" t="s">
        <v>53</v>
      </c>
      <c r="K88" s="669" t="s">
        <v>52</v>
      </c>
      <c r="L88" s="669" t="s">
        <v>51</v>
      </c>
      <c r="M88" s="669" t="s">
        <v>50</v>
      </c>
      <c r="N88" s="669" t="s">
        <v>49</v>
      </c>
      <c r="O88" s="669" t="s">
        <v>47</v>
      </c>
      <c r="P88" s="670" t="s">
        <v>77</v>
      </c>
    </row>
    <row r="89" spans="1:16" x14ac:dyDescent="0.25">
      <c r="B89" s="24"/>
      <c r="C89" s="9">
        <f t="shared" ref="C89:C98" ca="1" si="54">C88</f>
        <v>1</v>
      </c>
      <c r="D89" s="51" t="s">
        <v>26</v>
      </c>
      <c r="E89" s="48"/>
      <c r="F89" s="674"/>
      <c r="G89" s="674"/>
      <c r="H89" s="674"/>
      <c r="I89" s="674"/>
      <c r="J89" s="674"/>
      <c r="K89" s="674"/>
      <c r="L89" s="675"/>
      <c r="M89" s="675"/>
      <c r="N89" s="676"/>
      <c r="O89" s="674"/>
      <c r="P89" s="677"/>
    </row>
    <row r="90" spans="1:16" x14ac:dyDescent="0.25">
      <c r="B90" s="24"/>
      <c r="C90" s="9">
        <f t="shared" ca="1" si="54"/>
        <v>1</v>
      </c>
      <c r="D90" s="267" t="s">
        <v>18</v>
      </c>
      <c r="E90" s="48" t="s">
        <v>57</v>
      </c>
      <c r="F90" s="678">
        <f ca="1">SUM(G90:I90)</f>
        <v>196240.04162221056</v>
      </c>
      <c r="G90" s="658">
        <f ca="1">+IFERROR(G$5*GETPIVOTDATA("Unique Billed Hours",'County allocation'!$A$3,"County",$D87,"HHA/CDPAP","CDPAP","Level of Service",$D90),0)</f>
        <v>7889.2721301055535</v>
      </c>
      <c r="H90" s="658">
        <f>+IFERROR(H$5*GETPIVOTDATA("Unique Billed Hours",'County allocation'!$A$3,"County",$D87,"HHA/CDPAP","CDPAP","Level of Service",$D90),0)</f>
        <v>6792.5176467314914</v>
      </c>
      <c r="I90" s="678">
        <f ca="1">SUM(J90:P90)</f>
        <v>181558.25184537351</v>
      </c>
      <c r="J90" s="658">
        <f ca="1">+IFERROR(J$5*GETPIVOTDATA("Unique Billed Hours",'County allocation'!$S$3,"County",$D87,"HHA/CDPAP","CDPAP","Level of Service",$D90),0)</f>
        <v>35920.792662488224</v>
      </c>
      <c r="K90" s="658">
        <f ca="1">+IFERROR(K$5*GETPIVOTDATA("Unique Billed Hours",'County allocation'!$X$3,"County",$D87,"HHA/CDPAP","CDPAP","Level of Service",$D90),0)</f>
        <v>144912.23170893066</v>
      </c>
      <c r="L90" s="658">
        <f>+IFERROR(L$5*GETPIVOTDATA("Unique Billed Hours",'County allocation'!$K$19,"County",$D87,"HHA/CDPAP","CDPAP","Level of Service",$D90),0)</f>
        <v>0</v>
      </c>
      <c r="M90" s="658">
        <f>+IFERROR(M$5*GETPIVOTDATA("Unique Billed Hours",'County allocation'!$S$3,"County",$D87,"HHA/CDPAP","CDPAP","Level of Service",$D90),0)</f>
        <v>669.18024727908244</v>
      </c>
      <c r="N90" s="658">
        <f>+IFERROR(N$5*GETPIVOTDATA("Unique Billed Hours",'County allocation'!$S$3,"County",$D87,"HHA/CDPAP","CDPAP","Level of Service",$D90),0)</f>
        <v>56.047226675539868</v>
      </c>
      <c r="O90" s="658">
        <f>+IFERROR(O$5*GETPIVOTDATA("Unique Billed Hours",'County allocation'!$S$3,"County",$D87,"HHA/CDPAP","CDPAP","Level of Service",$D90),0)</f>
        <v>0</v>
      </c>
      <c r="P90" s="658">
        <f>+IFERROR(P$5*GETPIVOTDATA("Unique Billed Hours",'County allocation'!$S$3,"County",$D87,"HHA/CDPAP","CDPAP","Level of Service",$D90),0)</f>
        <v>0</v>
      </c>
    </row>
    <row r="91" spans="1:16" x14ac:dyDescent="0.25">
      <c r="B91" s="24"/>
      <c r="C91" s="9">
        <f t="shared" ca="1" si="54"/>
        <v>1</v>
      </c>
      <c r="D91" s="267" t="s">
        <v>42</v>
      </c>
      <c r="E91" s="48" t="s">
        <v>56</v>
      </c>
      <c r="F91" s="678">
        <f t="shared" ref="F91:F95" ca="1" si="55">SUM(G91:I91)</f>
        <v>0</v>
      </c>
      <c r="G91" s="658">
        <f ca="1">+IFERROR(G$5*GETPIVOTDATA("Unique Billed Hours",'County allocation'!$A$3,"County",$D87,"HHA/CDPAP","CDPAP","Level of Service",$D91),0)</f>
        <v>0</v>
      </c>
      <c r="H91" s="658">
        <f>+IFERROR(H$5*GETPIVOTDATA("Unique Billed Hours",'County allocation'!$A$3,"County",$D87,"HHA/CDPAP","CDPAP","Level of Service",$D91),0)</f>
        <v>0</v>
      </c>
      <c r="I91" s="678">
        <f t="shared" ref="I91:I98" ca="1" si="56">SUM(J91:P91)</f>
        <v>0</v>
      </c>
      <c r="J91" s="658">
        <f ca="1">+IFERROR(J$5*GETPIVOTDATA("Unique Billed Hours",'County allocation'!$S$3,"County",$D87,"HHA/CDPAP","CDPAP","Level of Service",$D91),0)</f>
        <v>0</v>
      </c>
      <c r="K91" s="658">
        <f ca="1">+IFERROR(K$5*GETPIVOTDATA("Unique Billed Hours",'County allocation'!$X$3,"County",$D87,"HHA/CDPAP","CDPAP","Level of Service",$D91),0)</f>
        <v>0</v>
      </c>
      <c r="L91" s="658">
        <f>+IFERROR(L$5*GETPIVOTDATA("Unique Billed Hours",'County allocation'!$K$19,"County",$D87,"HHA/CDPAP","CDPAP","Level of Service",$D91),0)</f>
        <v>0</v>
      </c>
      <c r="M91" s="658">
        <f>+IFERROR(M$5*GETPIVOTDATA("Unique Billed Hours",'County allocation'!$S$3,"County",$D87,"HHA/CDPAP","CDPAP","Level of Service",$D91),0)</f>
        <v>0</v>
      </c>
      <c r="N91" s="658">
        <f>+IFERROR(N$5*GETPIVOTDATA("Unique Billed Hours",'County allocation'!$S$3,"County",$D87,"HHA/CDPAP","CDPAP","Level of Service",$D91),0)</f>
        <v>0</v>
      </c>
      <c r="O91" s="658">
        <f>+IFERROR(O$5*GETPIVOTDATA("Unique Billed Hours",'County allocation'!$S$3,"County",$D87,"HHA/CDPAP","CDPAP","Level of Service",$D91),0)</f>
        <v>0</v>
      </c>
      <c r="P91" s="658">
        <f>+IFERROR(P$5*GETPIVOTDATA("Unique Billed Hours",'County allocation'!$S$3,"County",$D87,"HHA/CDPAP","CDPAP","Level of Service",$D91),0)</f>
        <v>0</v>
      </c>
    </row>
    <row r="92" spans="1:16" x14ac:dyDescent="0.25">
      <c r="B92" s="24"/>
      <c r="C92" s="9">
        <f t="shared" ca="1" si="54"/>
        <v>1</v>
      </c>
      <c r="D92" s="267" t="s">
        <v>43</v>
      </c>
      <c r="E92" s="48" t="s">
        <v>55</v>
      </c>
      <c r="F92" s="678">
        <f t="shared" ca="1" si="55"/>
        <v>0</v>
      </c>
      <c r="G92" s="658">
        <f ca="1">+IFERROR(G$5*GETPIVOTDATA("Unique Billed Hours",'County allocation'!$A$3,"County",$D87,"HHA/CDPAP","CDPAP","Level of Service",$D92),0)</f>
        <v>0</v>
      </c>
      <c r="H92" s="658">
        <f>+IFERROR(H$5*GETPIVOTDATA("Unique Billed Hours",'County allocation'!$A$3,"County",$D87,"HHA/CDPAP","CDPAP","Level of Service",$D92),0)</f>
        <v>0</v>
      </c>
      <c r="I92" s="678">
        <f t="shared" ca="1" si="56"/>
        <v>0</v>
      </c>
      <c r="J92" s="658">
        <f ca="1">+IFERROR(J$5*GETPIVOTDATA("Unique Billed Hours",'County allocation'!$S$3,"County",$D87,"HHA/CDPAP","CDPAP","Level of Service",$D92),0)</f>
        <v>0</v>
      </c>
      <c r="K92" s="658">
        <f ca="1">+IFERROR(K$5*GETPIVOTDATA("Unique Billed Hours",'County allocation'!$X$3,"County",$D87,"HHA/CDPAP","CDPAP","Level of Service",$D92),0)</f>
        <v>0</v>
      </c>
      <c r="L92" s="658">
        <f>+IFERROR(L$5*GETPIVOTDATA("Unique Billed Hours",'County allocation'!$K$19,"County",$D87,"HHA/CDPAP","CDPAP","Level of Service",$D92),0)</f>
        <v>0</v>
      </c>
      <c r="M92" s="658">
        <f>+IFERROR(M$5*GETPIVOTDATA("Unique Billed Hours",'County allocation'!$S$3,"County",$D87,"HHA/CDPAP","CDPAP","Level of Service",$D92),0)</f>
        <v>0</v>
      </c>
      <c r="N92" s="658">
        <f>+IFERROR(N$5*GETPIVOTDATA("Unique Billed Hours",'County allocation'!$S$3,"County",$D87,"HHA/CDPAP","CDPAP","Level of Service",$D92),0)</f>
        <v>0</v>
      </c>
      <c r="O92" s="658">
        <f>+IFERROR(O$5*GETPIVOTDATA("Unique Billed Hours",'County allocation'!$S$3,"County",$D87,"HHA/CDPAP","CDPAP","Level of Service",$D92),0)</f>
        <v>0</v>
      </c>
      <c r="P92" s="658">
        <f>+IFERROR(P$5*GETPIVOTDATA("Unique Billed Hours",'County allocation'!$S$3,"County",$D87,"HHA/CDPAP","CDPAP","Level of Service",$D92),0)</f>
        <v>0</v>
      </c>
    </row>
    <row r="93" spans="1:16" x14ac:dyDescent="0.25">
      <c r="B93" s="24"/>
      <c r="C93" s="9">
        <f t="shared" ca="1" si="54"/>
        <v>1</v>
      </c>
      <c r="D93" s="267" t="s">
        <v>44</v>
      </c>
      <c r="E93" s="48" t="s">
        <v>54</v>
      </c>
      <c r="F93" s="678">
        <f t="shared" ca="1" si="55"/>
        <v>0</v>
      </c>
      <c r="G93" s="658">
        <f ca="1">+IFERROR(G$5*GETPIVOTDATA("Unique Billed Hours",'County allocation'!$A$3,"County",$D87,"HHA/CDPAP","CDPAP","Level of Service",$D93),0)</f>
        <v>0</v>
      </c>
      <c r="H93" s="658">
        <f>+IFERROR(H$5*GETPIVOTDATA("Unique Billed Hours",'County allocation'!$A$3,"County",$D87,"HHA/CDPAP","CDPAP","Level of Service",$D93),0)</f>
        <v>0</v>
      </c>
      <c r="I93" s="678">
        <f t="shared" ca="1" si="56"/>
        <v>0</v>
      </c>
      <c r="J93" s="658">
        <f ca="1">+IFERROR(J$5*GETPIVOTDATA("Unique Billed Hours",'County allocation'!$S$3,"County",$D87,"HHA/CDPAP","CDPAP","Level of Service",$D93),0)</f>
        <v>0</v>
      </c>
      <c r="K93" s="658">
        <f ca="1">+IFERROR(K$5*GETPIVOTDATA("Unique Billed Hours",'County allocation'!$X$3,"County",$D87,"HHA/CDPAP","CDPAP","Level of Service",$D93),0)</f>
        <v>0</v>
      </c>
      <c r="L93" s="658">
        <f>+IFERROR(L$5*GETPIVOTDATA("Unique Billed Hours",'County allocation'!$K$19,"County",$D87,"HHA/CDPAP","CDPAP","Level of Service",$D93),0)</f>
        <v>0</v>
      </c>
      <c r="M93" s="658">
        <f>+IFERROR(M$5*GETPIVOTDATA("Unique Billed Hours",'County allocation'!$S$3,"County",$D87,"HHA/CDPAP","CDPAP","Level of Service",$D93),0)</f>
        <v>0</v>
      </c>
      <c r="N93" s="658">
        <f>+IFERROR(N$5*GETPIVOTDATA("Unique Billed Hours",'County allocation'!$S$3,"County",$D87,"HHA/CDPAP","CDPAP","Level of Service",$D93),0)</f>
        <v>0</v>
      </c>
      <c r="O93" s="658">
        <f>+IFERROR(O$5*GETPIVOTDATA("Unique Billed Hours",'County allocation'!$S$3,"County",$D87,"HHA/CDPAP","CDPAP","Level of Service",$D93),0)</f>
        <v>0</v>
      </c>
      <c r="P93" s="658">
        <f>+IFERROR(P$5*GETPIVOTDATA("Unique Billed Hours",'County allocation'!$S$3,"County",$D87,"HHA/CDPAP","CDPAP","Level of Service",$D93),0)</f>
        <v>0</v>
      </c>
    </row>
    <row r="94" spans="1:16" x14ac:dyDescent="0.25">
      <c r="B94" s="24"/>
      <c r="C94" s="9">
        <f t="shared" ca="1" si="54"/>
        <v>1</v>
      </c>
      <c r="D94" s="267" t="s">
        <v>45</v>
      </c>
      <c r="E94" s="48" t="s">
        <v>53</v>
      </c>
      <c r="F94" s="678">
        <f t="shared" ca="1" si="55"/>
        <v>0</v>
      </c>
      <c r="G94" s="658">
        <f ca="1">+IFERROR(G$5*GETPIVOTDATA("Unique Billed Hours",'County allocation'!$A$3,"County",$D87,"HHA/CDPAP","CDPAP","Level of Service",$D94),0)</f>
        <v>0</v>
      </c>
      <c r="H94" s="658">
        <f>+IFERROR(H$5*GETPIVOTDATA("Unique Billed Hours",'County allocation'!$A$3,"County",$D87,"HHA/CDPAP","CDPAP","Level of Service",$D94),0)</f>
        <v>0</v>
      </c>
      <c r="I94" s="678">
        <f t="shared" ca="1" si="56"/>
        <v>0</v>
      </c>
      <c r="J94" s="658">
        <f ca="1">+IFERROR(J$5*GETPIVOTDATA("Unique Billed Hours",'County allocation'!$S$3,"County",$D87,"HHA/CDPAP","CDPAP","Level of Service",$D94),0)</f>
        <v>0</v>
      </c>
      <c r="K94" s="658">
        <f ca="1">+IFERROR(K$5*GETPIVOTDATA("Unique Billed Hours",'County allocation'!$X$3,"County",$D87,"HHA/CDPAP","CDPAP","Level of Service",$D94),0)</f>
        <v>0</v>
      </c>
      <c r="L94" s="658">
        <f>+IFERROR(L$5*GETPIVOTDATA("Unique Billed Hours",'County allocation'!$K$19,"County",$D87,"HHA/CDPAP","CDPAP","Level of Service",$D94),0)</f>
        <v>0</v>
      </c>
      <c r="M94" s="658">
        <f>+IFERROR(M$5*GETPIVOTDATA("Unique Billed Hours",'County allocation'!$S$3,"County",$D87,"HHA/CDPAP","CDPAP","Level of Service",$D94),0)</f>
        <v>0</v>
      </c>
      <c r="N94" s="658">
        <f>+IFERROR(N$5*GETPIVOTDATA("Unique Billed Hours",'County allocation'!$S$3,"County",$D87,"HHA/CDPAP","CDPAP","Level of Service",$D94),0)</f>
        <v>0</v>
      </c>
      <c r="O94" s="658">
        <f>+IFERROR(O$5*GETPIVOTDATA("Unique Billed Hours",'County allocation'!$S$3,"County",$D87,"HHA/CDPAP","CDPAP","Level of Service",$D94),0)</f>
        <v>0</v>
      </c>
      <c r="P94" s="658">
        <f>+IFERROR(P$5*GETPIVOTDATA("Unique Billed Hours",'County allocation'!$S$3,"County",$D87,"HHA/CDPAP","CDPAP","Level of Service",$D94),0)</f>
        <v>0</v>
      </c>
    </row>
    <row r="95" spans="1:16" x14ac:dyDescent="0.25">
      <c r="A95" s="302"/>
      <c r="B95" s="24"/>
      <c r="C95" s="9">
        <f t="shared" ca="1" si="54"/>
        <v>1</v>
      </c>
      <c r="D95" s="267" t="s">
        <v>46</v>
      </c>
      <c r="E95" s="48" t="s">
        <v>52</v>
      </c>
      <c r="F95" s="678">
        <f t="shared" ca="1" si="55"/>
        <v>0</v>
      </c>
      <c r="G95" s="658">
        <f ca="1">+IFERROR(G$5*GETPIVOTDATA("Unique Billed Hours",'County allocation'!$A$3,"County",$D87,"HHA/CDPAP","CDPAP","Level of Service",$D95),0)</f>
        <v>0</v>
      </c>
      <c r="H95" s="658">
        <f>+IFERROR(H$5*GETPIVOTDATA("Unique Billed Hours",'County allocation'!$A$3,"County",$D87,"HHA/CDPAP","CDPAP","Level of Service",$D95),0)</f>
        <v>0</v>
      </c>
      <c r="I95" s="678">
        <f t="shared" ca="1" si="56"/>
        <v>0</v>
      </c>
      <c r="J95" s="658">
        <f ca="1">+IFERROR(J$5*GETPIVOTDATA("Unique Billed Hours",'County allocation'!$S$3,"County",$D87,"HHA/CDPAP","CDPAP","Level of Service",$D95),0)</f>
        <v>0</v>
      </c>
      <c r="K95" s="658">
        <f ca="1">+IFERROR(K$5*GETPIVOTDATA("Unique Billed Hours",'County allocation'!$X$3,"County",$D87,"HHA/CDPAP","CDPAP","Level of Service",$D95),0)</f>
        <v>0</v>
      </c>
      <c r="L95" s="658">
        <f>+IFERROR(L$5*GETPIVOTDATA("Unique Billed Hours",'County allocation'!$K$19,"County",$D87,"HHA/CDPAP","CDPAP","Level of Service",$D95),0)</f>
        <v>0</v>
      </c>
      <c r="M95" s="658">
        <f>+IFERROR(M$5*GETPIVOTDATA("Unique Billed Hours",'County allocation'!$S$3,"County",$D87,"HHA/CDPAP","CDPAP","Level of Service",$D95),0)</f>
        <v>0</v>
      </c>
      <c r="N95" s="658">
        <f>+IFERROR(N$5*GETPIVOTDATA("Unique Billed Hours",'County allocation'!$S$3,"County",$D87,"HHA/CDPAP","CDPAP","Level of Service",$D95),0)</f>
        <v>0</v>
      </c>
      <c r="O95" s="658">
        <f>+IFERROR(O$5*GETPIVOTDATA("Unique Billed Hours",'County allocation'!$S$3,"County",$D87,"HHA/CDPAP","CDPAP","Level of Service",$D95),0)</f>
        <v>0</v>
      </c>
      <c r="P95" s="658">
        <f>+IFERROR(P$5*GETPIVOTDATA("Unique Billed Hours",'County allocation'!$S$3,"County",$D87,"HHA/CDPAP","CDPAP","Level of Service",$D95),0)</f>
        <v>0</v>
      </c>
    </row>
    <row r="96" spans="1:16" ht="15.75" thickBot="1" x14ac:dyDescent="0.3">
      <c r="A96" s="302"/>
      <c r="B96" s="24"/>
      <c r="C96" s="9">
        <f t="shared" ca="1" si="54"/>
        <v>1</v>
      </c>
      <c r="D96" s="52" t="s">
        <v>389</v>
      </c>
      <c r="E96" s="370" t="s">
        <v>51</v>
      </c>
      <c r="F96" s="679">
        <f ca="1">SUM(F90:F95)</f>
        <v>196240.04162221056</v>
      </c>
      <c r="G96" s="679">
        <f t="shared" ref="G96:H96" ca="1" si="57">SUM(G90:G95)</f>
        <v>7889.2721301055535</v>
      </c>
      <c r="H96" s="679">
        <f t="shared" si="57"/>
        <v>6792.5176467314914</v>
      </c>
      <c r="I96" s="678">
        <f t="shared" ca="1" si="56"/>
        <v>181558.25184537351</v>
      </c>
      <c r="J96" s="679">
        <f ca="1">SUM(J90:J95)</f>
        <v>35920.792662488224</v>
      </c>
      <c r="K96" s="679">
        <f t="shared" ref="K96:P96" ca="1" si="58">SUM(K90:K95)</f>
        <v>144912.23170893066</v>
      </c>
      <c r="L96" s="679">
        <f t="shared" si="58"/>
        <v>0</v>
      </c>
      <c r="M96" s="679">
        <f t="shared" si="58"/>
        <v>669.18024727908244</v>
      </c>
      <c r="N96" s="679">
        <f t="shared" si="58"/>
        <v>56.047226675539868</v>
      </c>
      <c r="O96" s="679">
        <f t="shared" si="58"/>
        <v>0</v>
      </c>
      <c r="P96" s="679">
        <f t="shared" si="58"/>
        <v>0</v>
      </c>
    </row>
    <row r="97" spans="1:16" x14ac:dyDescent="0.25">
      <c r="A97" s="302"/>
      <c r="B97" s="24"/>
      <c r="C97" s="9">
        <f t="shared" ca="1" si="54"/>
        <v>1</v>
      </c>
      <c r="D97" s="378" t="s">
        <v>390</v>
      </c>
      <c r="E97" s="370" t="s">
        <v>50</v>
      </c>
      <c r="F97" s="678">
        <f t="shared" ref="F97" ca="1" si="59">SUM(G97:I97)</f>
        <v>0</v>
      </c>
      <c r="G97" s="658">
        <f ca="1">+IFERROR(G$5*GETPIVOTDATA("Unique Billed Hours",'County allocation'!$A$3,"County",$D87,"HHA/CDPAP","CDPAP","Level of Service",$D97),0)</f>
        <v>0</v>
      </c>
      <c r="H97" s="659"/>
      <c r="I97" s="678">
        <f t="shared" si="56"/>
        <v>0</v>
      </c>
      <c r="J97" s="659"/>
      <c r="K97" s="659"/>
      <c r="L97" s="659"/>
      <c r="M97" s="659"/>
      <c r="N97" s="659"/>
      <c r="O97" s="659"/>
      <c r="P97" s="659"/>
    </row>
    <row r="98" spans="1:16" ht="15.75" thickBot="1" x14ac:dyDescent="0.3">
      <c r="B98" s="24"/>
      <c r="C98" s="9">
        <f t="shared" ca="1" si="54"/>
        <v>1</v>
      </c>
      <c r="D98" s="11" t="s">
        <v>48</v>
      </c>
      <c r="E98" s="53" t="s">
        <v>49</v>
      </c>
      <c r="F98" s="662">
        <f ca="1">SUBTOTAL(9,F90:F95)</f>
        <v>196240.04162221056</v>
      </c>
      <c r="G98" s="662">
        <f t="shared" ref="G98" ca="1" si="60">SUBTOTAL(9,G90:G95)</f>
        <v>7889.2721301055535</v>
      </c>
      <c r="H98" s="662">
        <f>SUBTOTAL(9,H90:H95)</f>
        <v>6792.5176467314914</v>
      </c>
      <c r="I98" s="678">
        <f t="shared" ca="1" si="56"/>
        <v>181558.25184537351</v>
      </c>
      <c r="J98" s="662">
        <f t="shared" ref="J98:P98" ca="1" si="61">SUBTOTAL(9,J90:J95)</f>
        <v>35920.792662488224</v>
      </c>
      <c r="K98" s="662">
        <f t="shared" ca="1" si="61"/>
        <v>144912.23170893066</v>
      </c>
      <c r="L98" s="662">
        <f t="shared" si="61"/>
        <v>0</v>
      </c>
      <c r="M98" s="662">
        <f t="shared" si="61"/>
        <v>669.18024727908244</v>
      </c>
      <c r="N98" s="662">
        <f t="shared" si="61"/>
        <v>56.047226675539868</v>
      </c>
      <c r="O98" s="662">
        <f t="shared" si="61"/>
        <v>0</v>
      </c>
      <c r="P98" s="662">
        <f t="shared" si="61"/>
        <v>0</v>
      </c>
    </row>
    <row r="99" spans="1:16" ht="15.75" hidden="1" thickBot="1" x14ac:dyDescent="0.3"/>
    <row r="100" spans="1:16" ht="75" x14ac:dyDescent="0.25">
      <c r="A100" s="60"/>
      <c r="B100" s="24"/>
      <c r="C100" s="9">
        <f ca="1">IF(F111&gt;0,1,0)</f>
        <v>1</v>
      </c>
      <c r="D100" s="45" t="str">
        <f>A10</f>
        <v>Chautauqua</v>
      </c>
      <c r="E100" s="28">
        <f>SUMIF(A:A,D100,B:B)</f>
        <v>4.8428754605175017E-3</v>
      </c>
      <c r="F100" s="652" t="s">
        <v>396</v>
      </c>
      <c r="G100" s="652" t="s">
        <v>387</v>
      </c>
      <c r="H100" s="652" t="s">
        <v>388</v>
      </c>
      <c r="I100" s="652" t="s">
        <v>392</v>
      </c>
      <c r="J100" s="652" t="s">
        <v>31</v>
      </c>
      <c r="K100" s="652" t="s">
        <v>32</v>
      </c>
      <c r="L100" s="653" t="s">
        <v>33</v>
      </c>
      <c r="M100" s="653" t="s">
        <v>60</v>
      </c>
      <c r="N100" s="653" t="s">
        <v>59</v>
      </c>
      <c r="O100" s="653" t="s">
        <v>58</v>
      </c>
      <c r="P100" s="653" t="s">
        <v>16</v>
      </c>
    </row>
    <row r="101" spans="1:16" x14ac:dyDescent="0.25">
      <c r="A101" s="60"/>
      <c r="B101" s="24"/>
      <c r="C101" s="9">
        <f ca="1">C100</f>
        <v>1</v>
      </c>
      <c r="D101" s="47"/>
      <c r="E101" s="48"/>
      <c r="F101" s="669" t="s">
        <v>57</v>
      </c>
      <c r="G101" s="669" t="s">
        <v>56</v>
      </c>
      <c r="H101" s="669" t="s">
        <v>55</v>
      </c>
      <c r="I101" s="669" t="s">
        <v>54</v>
      </c>
      <c r="J101" s="669" t="s">
        <v>53</v>
      </c>
      <c r="K101" s="669" t="s">
        <v>52</v>
      </c>
      <c r="L101" s="669" t="s">
        <v>51</v>
      </c>
      <c r="M101" s="669" t="s">
        <v>50</v>
      </c>
      <c r="N101" s="669" t="s">
        <v>49</v>
      </c>
      <c r="O101" s="669" t="s">
        <v>47</v>
      </c>
      <c r="P101" s="670" t="s">
        <v>77</v>
      </c>
    </row>
    <row r="102" spans="1:16" x14ac:dyDescent="0.25">
      <c r="B102" s="24"/>
      <c r="C102" s="9">
        <f t="shared" ref="C102:C111" ca="1" si="62">C101</f>
        <v>1</v>
      </c>
      <c r="D102" s="51" t="s">
        <v>26</v>
      </c>
      <c r="E102" s="48"/>
      <c r="F102" s="674"/>
      <c r="G102" s="674"/>
      <c r="H102" s="674"/>
      <c r="I102" s="674"/>
      <c r="J102" s="674"/>
      <c r="K102" s="674"/>
      <c r="L102" s="675"/>
      <c r="M102" s="675"/>
      <c r="N102" s="676"/>
      <c r="O102" s="674"/>
      <c r="P102" s="677"/>
    </row>
    <row r="103" spans="1:16" x14ac:dyDescent="0.25">
      <c r="B103" s="24"/>
      <c r="C103" s="9">
        <f t="shared" ca="1" si="62"/>
        <v>1</v>
      </c>
      <c r="D103" s="267" t="s">
        <v>18</v>
      </c>
      <c r="E103" s="48" t="s">
        <v>57</v>
      </c>
      <c r="F103" s="678">
        <f ca="1">SUM(G103:I103)</f>
        <v>385783.28381116915</v>
      </c>
      <c r="G103" s="658">
        <f ca="1">+IFERROR(G$5*GETPIVOTDATA("Unique Billed Hours",'County allocation'!$A$3,"County",$D100,"HHA/CDPAP","CDPAP","Level of Service",$D103),0)</f>
        <v>15509.31850642039</v>
      </c>
      <c r="H103" s="658">
        <f>+IFERROR(H$5*GETPIVOTDATA("Unique Billed Hours",'County allocation'!$A$3,"County",$D100,"HHA/CDPAP","CDPAP","Level of Service",$D103),0)</f>
        <v>13353.236890084347</v>
      </c>
      <c r="I103" s="678">
        <f ca="1">SUM(J103:P103)</f>
        <v>356920.72841466439</v>
      </c>
      <c r="J103" s="658">
        <f ca="1">+IFERROR(J$5*GETPIVOTDATA("Unique Billed Hours",'County allocation'!$S$3,"County",$D100,"HHA/CDPAP","CDPAP","Level of Service",$D103),0)</f>
        <v>70615.768504129999</v>
      </c>
      <c r="K103" s="658">
        <f ca="1">+IFERROR(K$5*GETPIVOTDATA("Unique Billed Hours",'County allocation'!$X$3,"County",$D100,"HHA/CDPAP","CDPAP","Level of Service",$D103),0)</f>
        <v>284879.25374934782</v>
      </c>
      <c r="L103" s="658">
        <f>+IFERROR(L$5*GETPIVOTDATA("Unique Billed Hours",'County allocation'!$K$19,"County",$D100,"HHA/CDPAP","CDPAP","Level of Service",$D103),0)</f>
        <v>0</v>
      </c>
      <c r="M103" s="658">
        <f>+IFERROR(M$5*GETPIVOTDATA("Unique Billed Hours",'County allocation'!$S$3,"County",$D100,"HHA/CDPAP","CDPAP","Level of Service",$D103),0)</f>
        <v>1315.524350294859</v>
      </c>
      <c r="N103" s="658">
        <f>+IFERROR(N$5*GETPIVOTDATA("Unique Billed Hours",'County allocation'!$S$3,"County",$D100,"HHA/CDPAP","CDPAP","Level of Service",$D103),0)</f>
        <v>110.18181089170503</v>
      </c>
      <c r="O103" s="658">
        <f>+IFERROR(O$5*GETPIVOTDATA("Unique Billed Hours",'County allocation'!$S$3,"County",$D100,"HHA/CDPAP","CDPAP","Level of Service",$D103),0)</f>
        <v>0</v>
      </c>
      <c r="P103" s="658">
        <f>+IFERROR(P$5*GETPIVOTDATA("Unique Billed Hours",'County allocation'!$S$3,"County",$D100,"HHA/CDPAP","CDPAP","Level of Service",$D103),0)</f>
        <v>0</v>
      </c>
    </row>
    <row r="104" spans="1:16" x14ac:dyDescent="0.25">
      <c r="B104" s="24"/>
      <c r="C104" s="9">
        <f t="shared" ca="1" si="62"/>
        <v>1</v>
      </c>
      <c r="D104" s="267" t="s">
        <v>42</v>
      </c>
      <c r="E104" s="48" t="s">
        <v>56</v>
      </c>
      <c r="F104" s="678">
        <f t="shared" ref="F104:F108" ca="1" si="63">SUM(G104:I104)</f>
        <v>0</v>
      </c>
      <c r="G104" s="658">
        <f ca="1">+IFERROR(G$5*GETPIVOTDATA("Unique Billed Hours",'County allocation'!$A$3,"County",$D100,"HHA/CDPAP","CDPAP","Level of Service",$D104),0)</f>
        <v>0</v>
      </c>
      <c r="H104" s="658">
        <f>+IFERROR(H$5*GETPIVOTDATA("Unique Billed Hours",'County allocation'!$A$3,"County",$D100,"HHA/CDPAP","CDPAP","Level of Service",$D104),0)</f>
        <v>0</v>
      </c>
      <c r="I104" s="678">
        <f t="shared" ref="I104:I111" ca="1" si="64">SUM(J104:P104)</f>
        <v>0</v>
      </c>
      <c r="J104" s="658">
        <f ca="1">+IFERROR(J$5*GETPIVOTDATA("Unique Billed Hours",'County allocation'!$S$3,"County",$D100,"HHA/CDPAP","CDPAP","Level of Service",$D104),0)</f>
        <v>0</v>
      </c>
      <c r="K104" s="658">
        <f ca="1">+IFERROR(K$5*GETPIVOTDATA("Unique Billed Hours",'County allocation'!$X$3,"County",$D100,"HHA/CDPAP","CDPAP","Level of Service",$D104),0)</f>
        <v>0</v>
      </c>
      <c r="L104" s="658">
        <f>+IFERROR(L$5*GETPIVOTDATA("Unique Billed Hours",'County allocation'!$K$19,"County",$D100,"HHA/CDPAP","CDPAP","Level of Service",$D104),0)</f>
        <v>0</v>
      </c>
      <c r="M104" s="658">
        <f>+IFERROR(M$5*GETPIVOTDATA("Unique Billed Hours",'County allocation'!$S$3,"County",$D100,"HHA/CDPAP","CDPAP","Level of Service",$D104),0)</f>
        <v>0</v>
      </c>
      <c r="N104" s="658">
        <f>+IFERROR(N$5*GETPIVOTDATA("Unique Billed Hours",'County allocation'!$S$3,"County",$D100,"HHA/CDPAP","CDPAP","Level of Service",$D104),0)</f>
        <v>0</v>
      </c>
      <c r="O104" s="658">
        <f>+IFERROR(O$5*GETPIVOTDATA("Unique Billed Hours",'County allocation'!$S$3,"County",$D100,"HHA/CDPAP","CDPAP","Level of Service",$D104),0)</f>
        <v>0</v>
      </c>
      <c r="P104" s="658">
        <f>+IFERROR(P$5*GETPIVOTDATA("Unique Billed Hours",'County allocation'!$S$3,"County",$D100,"HHA/CDPAP","CDPAP","Level of Service",$D104),0)</f>
        <v>0</v>
      </c>
    </row>
    <row r="105" spans="1:16" x14ac:dyDescent="0.25">
      <c r="B105" s="24"/>
      <c r="C105" s="9">
        <f t="shared" ca="1" si="62"/>
        <v>1</v>
      </c>
      <c r="D105" s="267" t="s">
        <v>43</v>
      </c>
      <c r="E105" s="48" t="s">
        <v>55</v>
      </c>
      <c r="F105" s="678">
        <f t="shared" ca="1" si="63"/>
        <v>0</v>
      </c>
      <c r="G105" s="658">
        <f ca="1">+IFERROR(G$5*GETPIVOTDATA("Unique Billed Hours",'County allocation'!$A$3,"County",$D100,"HHA/CDPAP","CDPAP","Level of Service",$D105),0)</f>
        <v>0</v>
      </c>
      <c r="H105" s="658">
        <f>+IFERROR(H$5*GETPIVOTDATA("Unique Billed Hours",'County allocation'!$A$3,"County",$D100,"HHA/CDPAP","CDPAP","Level of Service",$D105),0)</f>
        <v>0</v>
      </c>
      <c r="I105" s="678">
        <f t="shared" ca="1" si="64"/>
        <v>0</v>
      </c>
      <c r="J105" s="658">
        <f ca="1">+IFERROR(J$5*GETPIVOTDATA("Unique Billed Hours",'County allocation'!$S$3,"County",$D100,"HHA/CDPAP","CDPAP","Level of Service",$D105),0)</f>
        <v>0</v>
      </c>
      <c r="K105" s="658">
        <f ca="1">+IFERROR(K$5*GETPIVOTDATA("Unique Billed Hours",'County allocation'!$X$3,"County",$D100,"HHA/CDPAP","CDPAP","Level of Service",$D105),0)</f>
        <v>0</v>
      </c>
      <c r="L105" s="658">
        <f>+IFERROR(L$5*GETPIVOTDATA("Unique Billed Hours",'County allocation'!$K$19,"County",$D100,"HHA/CDPAP","CDPAP","Level of Service",$D105),0)</f>
        <v>0</v>
      </c>
      <c r="M105" s="658">
        <f>+IFERROR(M$5*GETPIVOTDATA("Unique Billed Hours",'County allocation'!$S$3,"County",$D100,"HHA/CDPAP","CDPAP","Level of Service",$D105),0)</f>
        <v>0</v>
      </c>
      <c r="N105" s="658">
        <f>+IFERROR(N$5*GETPIVOTDATA("Unique Billed Hours",'County allocation'!$S$3,"County",$D100,"HHA/CDPAP","CDPAP","Level of Service",$D105),0)</f>
        <v>0</v>
      </c>
      <c r="O105" s="658">
        <f>+IFERROR(O$5*GETPIVOTDATA("Unique Billed Hours",'County allocation'!$S$3,"County",$D100,"HHA/CDPAP","CDPAP","Level of Service",$D105),0)</f>
        <v>0</v>
      </c>
      <c r="P105" s="658">
        <f>+IFERROR(P$5*GETPIVOTDATA("Unique Billed Hours",'County allocation'!$S$3,"County",$D100,"HHA/CDPAP","CDPAP","Level of Service",$D105),0)</f>
        <v>0</v>
      </c>
    </row>
    <row r="106" spans="1:16" x14ac:dyDescent="0.25">
      <c r="B106" s="24"/>
      <c r="C106" s="9">
        <f t="shared" ca="1" si="62"/>
        <v>1</v>
      </c>
      <c r="D106" s="267" t="s">
        <v>44</v>
      </c>
      <c r="E106" s="48" t="s">
        <v>54</v>
      </c>
      <c r="F106" s="678">
        <f t="shared" ca="1" si="63"/>
        <v>31689.321387621843</v>
      </c>
      <c r="G106" s="658">
        <f ca="1">+IFERROR(G$5*GETPIVOTDATA("Unique Billed Hours",'County allocation'!$A$3,"County",$D100,"HHA/CDPAP","CDPAP","Level of Service",$D106),0)</f>
        <v>1273.9789391536037</v>
      </c>
      <c r="H106" s="658">
        <f>+IFERROR(H$5*GETPIVOTDATA("Unique Billed Hours",'County allocation'!$A$3,"County",$D100,"HHA/CDPAP","CDPAP","Level of Service",$D106),0)</f>
        <v>1096.8723455162828</v>
      </c>
      <c r="I106" s="678">
        <f t="shared" ca="1" si="64"/>
        <v>29318.470102951957</v>
      </c>
      <c r="J106" s="658">
        <f ca="1">+IFERROR(J$5*GETPIVOTDATA("Unique Billed Hours",'County allocation'!$S$3,"County",$D100,"HHA/CDPAP","CDPAP","Level of Service",$D106),0)</f>
        <v>5800.5773631617694</v>
      </c>
      <c r="K106" s="658">
        <f ca="1">+IFERROR(K$5*GETPIVOTDATA("Unique Billed Hours",'County allocation'!$X$3,"County",$D100,"HHA/CDPAP","CDPAP","Level of Service",$D106),0)</f>
        <v>23400.781235372935</v>
      </c>
      <c r="L106" s="658">
        <f>+IFERROR(L$5*GETPIVOTDATA("Unique Billed Hours",'County allocation'!$K$19,"County",$D100,"HHA/CDPAP","CDPAP","Level of Service",$D106),0)</f>
        <v>0</v>
      </c>
      <c r="M106" s="658">
        <f>+IFERROR(M$5*GETPIVOTDATA("Unique Billed Hours",'County allocation'!$S$3,"County",$D100,"HHA/CDPAP","CDPAP","Level of Service",$D106),0)</f>
        <v>108.06086131544629</v>
      </c>
      <c r="N106" s="658">
        <f>+IFERROR(N$5*GETPIVOTDATA("Unique Billed Hours",'County allocation'!$S$3,"County",$D100,"HHA/CDPAP","CDPAP","Level of Service",$D106),0)</f>
        <v>9.0506431018054538</v>
      </c>
      <c r="O106" s="658">
        <f>+IFERROR(O$5*GETPIVOTDATA("Unique Billed Hours",'County allocation'!$S$3,"County",$D100,"HHA/CDPAP","CDPAP","Level of Service",$D106),0)</f>
        <v>0</v>
      </c>
      <c r="P106" s="658">
        <f>+IFERROR(P$5*GETPIVOTDATA("Unique Billed Hours",'County allocation'!$S$3,"County",$D100,"HHA/CDPAP","CDPAP","Level of Service",$D106),0)</f>
        <v>0</v>
      </c>
    </row>
    <row r="107" spans="1:16" x14ac:dyDescent="0.25">
      <c r="B107" s="24"/>
      <c r="C107" s="9">
        <f t="shared" ca="1" si="62"/>
        <v>1</v>
      </c>
      <c r="D107" s="267" t="s">
        <v>45</v>
      </c>
      <c r="E107" s="48" t="s">
        <v>53</v>
      </c>
      <c r="F107" s="678">
        <f t="shared" ca="1" si="63"/>
        <v>0</v>
      </c>
      <c r="G107" s="658">
        <f ca="1">+IFERROR(G$5*GETPIVOTDATA("Unique Billed Hours",'County allocation'!$A$3,"County",$D100,"HHA/CDPAP","CDPAP","Level of Service",$D107),0)</f>
        <v>0</v>
      </c>
      <c r="H107" s="658">
        <f>+IFERROR(H$5*GETPIVOTDATA("Unique Billed Hours",'County allocation'!$A$3,"County",$D100,"HHA/CDPAP","CDPAP","Level of Service",$D107),0)</f>
        <v>0</v>
      </c>
      <c r="I107" s="678">
        <f t="shared" ca="1" si="64"/>
        <v>0</v>
      </c>
      <c r="J107" s="658">
        <f ca="1">+IFERROR(J$5*GETPIVOTDATA("Unique Billed Hours",'County allocation'!$S$3,"County",$D100,"HHA/CDPAP","CDPAP","Level of Service",$D107),0)</f>
        <v>0</v>
      </c>
      <c r="K107" s="658">
        <f ca="1">+IFERROR(K$5*GETPIVOTDATA("Unique Billed Hours",'County allocation'!$X$3,"County",$D100,"HHA/CDPAP","CDPAP","Level of Service",$D107),0)</f>
        <v>0</v>
      </c>
      <c r="L107" s="658">
        <f>+IFERROR(L$5*GETPIVOTDATA("Unique Billed Hours",'County allocation'!$K$19,"County",$D100,"HHA/CDPAP","CDPAP","Level of Service",$D107),0)</f>
        <v>0</v>
      </c>
      <c r="M107" s="658">
        <f>+IFERROR(M$5*GETPIVOTDATA("Unique Billed Hours",'County allocation'!$S$3,"County",$D100,"HHA/CDPAP","CDPAP","Level of Service",$D107),0)</f>
        <v>0</v>
      </c>
      <c r="N107" s="658">
        <f>+IFERROR(N$5*GETPIVOTDATA("Unique Billed Hours",'County allocation'!$S$3,"County",$D100,"HHA/CDPAP","CDPAP","Level of Service",$D107),0)</f>
        <v>0</v>
      </c>
      <c r="O107" s="658">
        <f>+IFERROR(O$5*GETPIVOTDATA("Unique Billed Hours",'County allocation'!$S$3,"County",$D100,"HHA/CDPAP","CDPAP","Level of Service",$D107),0)</f>
        <v>0</v>
      </c>
      <c r="P107" s="658">
        <f>+IFERROR(P$5*GETPIVOTDATA("Unique Billed Hours",'County allocation'!$S$3,"County",$D100,"HHA/CDPAP","CDPAP","Level of Service",$D107),0)</f>
        <v>0</v>
      </c>
    </row>
    <row r="108" spans="1:16" x14ac:dyDescent="0.25">
      <c r="A108" s="302"/>
      <c r="B108" s="24"/>
      <c r="C108" s="9">
        <f t="shared" ca="1" si="62"/>
        <v>1</v>
      </c>
      <c r="D108" s="267" t="s">
        <v>46</v>
      </c>
      <c r="E108" s="48" t="s">
        <v>52</v>
      </c>
      <c r="F108" s="678">
        <f t="shared" ca="1" si="63"/>
        <v>0</v>
      </c>
      <c r="G108" s="658">
        <f ca="1">+IFERROR(G$5*GETPIVOTDATA("Unique Billed Hours",'County allocation'!$A$3,"County",$D100,"HHA/CDPAP","CDPAP","Level of Service",$D108),0)</f>
        <v>0</v>
      </c>
      <c r="H108" s="658">
        <f>+IFERROR(H$5*GETPIVOTDATA("Unique Billed Hours",'County allocation'!$A$3,"County",$D100,"HHA/CDPAP","CDPAP","Level of Service",$D108),0)</f>
        <v>0</v>
      </c>
      <c r="I108" s="678">
        <f t="shared" ca="1" si="64"/>
        <v>0</v>
      </c>
      <c r="J108" s="658">
        <f ca="1">+IFERROR(J$5*GETPIVOTDATA("Unique Billed Hours",'County allocation'!$S$3,"County",$D100,"HHA/CDPAP","CDPAP","Level of Service",$D108),0)</f>
        <v>0</v>
      </c>
      <c r="K108" s="658">
        <f ca="1">+IFERROR(K$5*GETPIVOTDATA("Unique Billed Hours",'County allocation'!$X$3,"County",$D100,"HHA/CDPAP","CDPAP","Level of Service",$D108),0)</f>
        <v>0</v>
      </c>
      <c r="L108" s="658">
        <f>+IFERROR(L$5*GETPIVOTDATA("Unique Billed Hours",'County allocation'!$K$19,"County",$D100,"HHA/CDPAP","CDPAP","Level of Service",$D108),0)</f>
        <v>0</v>
      </c>
      <c r="M108" s="658">
        <f>+IFERROR(M$5*GETPIVOTDATA("Unique Billed Hours",'County allocation'!$S$3,"County",$D100,"HHA/CDPAP","CDPAP","Level of Service",$D108),0)</f>
        <v>0</v>
      </c>
      <c r="N108" s="658">
        <f>+IFERROR(N$5*GETPIVOTDATA("Unique Billed Hours",'County allocation'!$S$3,"County",$D100,"HHA/CDPAP","CDPAP","Level of Service",$D108),0)</f>
        <v>0</v>
      </c>
      <c r="O108" s="658">
        <f>+IFERROR(O$5*GETPIVOTDATA("Unique Billed Hours",'County allocation'!$S$3,"County",$D100,"HHA/CDPAP","CDPAP","Level of Service",$D108),0)</f>
        <v>0</v>
      </c>
      <c r="P108" s="658">
        <f>+IFERROR(P$5*GETPIVOTDATA("Unique Billed Hours",'County allocation'!$S$3,"County",$D100,"HHA/CDPAP","CDPAP","Level of Service",$D108),0)</f>
        <v>0</v>
      </c>
    </row>
    <row r="109" spans="1:16" ht="15.75" thickBot="1" x14ac:dyDescent="0.3">
      <c r="A109" s="302"/>
      <c r="B109" s="24"/>
      <c r="C109" s="9">
        <f t="shared" ca="1" si="62"/>
        <v>1</v>
      </c>
      <c r="D109" s="52" t="s">
        <v>389</v>
      </c>
      <c r="E109" s="370" t="s">
        <v>51</v>
      </c>
      <c r="F109" s="679">
        <f ca="1">SUM(F103:F108)</f>
        <v>417472.60519879102</v>
      </c>
      <c r="G109" s="679">
        <f t="shared" ref="G109:H109" ca="1" si="65">SUM(G103:G108)</f>
        <v>16783.297445573993</v>
      </c>
      <c r="H109" s="679">
        <f t="shared" si="65"/>
        <v>14450.10923560063</v>
      </c>
      <c r="I109" s="678">
        <f t="shared" ca="1" si="64"/>
        <v>386239.19851761637</v>
      </c>
      <c r="J109" s="679">
        <f ca="1">SUM(J103:J108)</f>
        <v>76416.345867291762</v>
      </c>
      <c r="K109" s="679">
        <f t="shared" ref="K109:P109" ca="1" si="66">SUM(K103:K108)</f>
        <v>308280.03498472075</v>
      </c>
      <c r="L109" s="679">
        <f t="shared" si="66"/>
        <v>0</v>
      </c>
      <c r="M109" s="679">
        <f t="shared" si="66"/>
        <v>1423.5852116103054</v>
      </c>
      <c r="N109" s="679">
        <f t="shared" si="66"/>
        <v>119.23245399351048</v>
      </c>
      <c r="O109" s="679">
        <f t="shared" si="66"/>
        <v>0</v>
      </c>
      <c r="P109" s="679">
        <f t="shared" si="66"/>
        <v>0</v>
      </c>
    </row>
    <row r="110" spans="1:16" x14ac:dyDescent="0.25">
      <c r="A110" s="302"/>
      <c r="B110" s="24"/>
      <c r="C110" s="9">
        <f t="shared" ca="1" si="62"/>
        <v>1</v>
      </c>
      <c r="D110" s="378" t="s">
        <v>390</v>
      </c>
      <c r="E110" s="370" t="s">
        <v>50</v>
      </c>
      <c r="F110" s="678">
        <f t="shared" ref="F110" ca="1" si="67">SUM(G110:I110)</f>
        <v>0</v>
      </c>
      <c r="G110" s="658">
        <f ca="1">+IFERROR(G$5*GETPIVOTDATA("Unique Billed Hours",'County allocation'!$A$3,"County",$D100,"HHA/CDPAP","CDPAP","Level of Service",$D110),0)</f>
        <v>0</v>
      </c>
      <c r="H110" s="659"/>
      <c r="I110" s="678">
        <f t="shared" si="64"/>
        <v>0</v>
      </c>
      <c r="J110" s="659"/>
      <c r="K110" s="659"/>
      <c r="L110" s="659"/>
      <c r="M110" s="659"/>
      <c r="N110" s="659"/>
      <c r="O110" s="659"/>
      <c r="P110" s="659"/>
    </row>
    <row r="111" spans="1:16" ht="15.75" thickBot="1" x14ac:dyDescent="0.3">
      <c r="B111" s="24"/>
      <c r="C111" s="9">
        <f t="shared" ca="1" si="62"/>
        <v>1</v>
      </c>
      <c r="D111" s="11" t="s">
        <v>48</v>
      </c>
      <c r="E111" s="53" t="s">
        <v>49</v>
      </c>
      <c r="F111" s="662">
        <f ca="1">SUBTOTAL(9,F103:F108)</f>
        <v>417472.60519879102</v>
      </c>
      <c r="G111" s="662">
        <f t="shared" ref="G111" ca="1" si="68">SUBTOTAL(9,G103:G108)</f>
        <v>16783.297445573993</v>
      </c>
      <c r="H111" s="662">
        <f>SUBTOTAL(9,H103:H108)</f>
        <v>14450.10923560063</v>
      </c>
      <c r="I111" s="678">
        <f t="shared" ca="1" si="64"/>
        <v>386239.19851761637</v>
      </c>
      <c r="J111" s="662">
        <f t="shared" ref="J111:P111" ca="1" si="69">SUBTOTAL(9,J103:J108)</f>
        <v>76416.345867291762</v>
      </c>
      <c r="K111" s="662">
        <f t="shared" ca="1" si="69"/>
        <v>308280.03498472075</v>
      </c>
      <c r="L111" s="662">
        <f t="shared" si="69"/>
        <v>0</v>
      </c>
      <c r="M111" s="662">
        <f t="shared" si="69"/>
        <v>1423.5852116103054</v>
      </c>
      <c r="N111" s="662">
        <f t="shared" si="69"/>
        <v>119.23245399351048</v>
      </c>
      <c r="O111" s="662">
        <f t="shared" si="69"/>
        <v>0</v>
      </c>
      <c r="P111" s="662">
        <f t="shared" si="69"/>
        <v>0</v>
      </c>
    </row>
    <row r="112" spans="1:16" ht="15.75" hidden="1" thickBot="1" x14ac:dyDescent="0.3"/>
    <row r="113" spans="1:16" ht="75" x14ac:dyDescent="0.25">
      <c r="A113" s="60"/>
      <c r="B113" s="24"/>
      <c r="C113" s="9">
        <f ca="1">IF(F124&gt;0,1,0)</f>
        <v>1</v>
      </c>
      <c r="D113" s="45" t="str">
        <f>A11</f>
        <v>Chemung</v>
      </c>
      <c r="E113" s="28">
        <f>SUMIF(A:A,D113,B:B)</f>
        <v>4.5517940222924687E-3</v>
      </c>
      <c r="F113" s="652" t="s">
        <v>396</v>
      </c>
      <c r="G113" s="652" t="s">
        <v>387</v>
      </c>
      <c r="H113" s="652" t="s">
        <v>388</v>
      </c>
      <c r="I113" s="652" t="s">
        <v>392</v>
      </c>
      <c r="J113" s="652" t="s">
        <v>31</v>
      </c>
      <c r="K113" s="652" t="s">
        <v>32</v>
      </c>
      <c r="L113" s="653" t="s">
        <v>33</v>
      </c>
      <c r="M113" s="653" t="s">
        <v>60</v>
      </c>
      <c r="N113" s="653" t="s">
        <v>59</v>
      </c>
      <c r="O113" s="653" t="s">
        <v>58</v>
      </c>
      <c r="P113" s="653" t="s">
        <v>16</v>
      </c>
    </row>
    <row r="114" spans="1:16" x14ac:dyDescent="0.25">
      <c r="A114" s="60"/>
      <c r="B114" s="24"/>
      <c r="C114" s="9">
        <f ca="1">C113</f>
        <v>1</v>
      </c>
      <c r="D114" s="47"/>
      <c r="E114" s="48"/>
      <c r="F114" s="669" t="s">
        <v>57</v>
      </c>
      <c r="G114" s="669" t="s">
        <v>56</v>
      </c>
      <c r="H114" s="669" t="s">
        <v>55</v>
      </c>
      <c r="I114" s="669" t="s">
        <v>54</v>
      </c>
      <c r="J114" s="669" t="s">
        <v>53</v>
      </c>
      <c r="K114" s="669" t="s">
        <v>52</v>
      </c>
      <c r="L114" s="669" t="s">
        <v>51</v>
      </c>
      <c r="M114" s="669" t="s">
        <v>50</v>
      </c>
      <c r="N114" s="669" t="s">
        <v>49</v>
      </c>
      <c r="O114" s="669" t="s">
        <v>47</v>
      </c>
      <c r="P114" s="670" t="s">
        <v>77</v>
      </c>
    </row>
    <row r="115" spans="1:16" x14ac:dyDescent="0.25">
      <c r="B115" s="24"/>
      <c r="C115" s="9">
        <f t="shared" ref="C115:C124" ca="1" si="70">C114</f>
        <v>1</v>
      </c>
      <c r="D115" s="51" t="s">
        <v>26</v>
      </c>
      <c r="E115" s="48"/>
      <c r="F115" s="674"/>
      <c r="G115" s="674"/>
      <c r="H115" s="674"/>
      <c r="I115" s="674"/>
      <c r="J115" s="674"/>
      <c r="K115" s="674"/>
      <c r="L115" s="675"/>
      <c r="M115" s="675"/>
      <c r="N115" s="676"/>
      <c r="O115" s="674"/>
      <c r="P115" s="677"/>
    </row>
    <row r="116" spans="1:16" x14ac:dyDescent="0.25">
      <c r="B116" s="24"/>
      <c r="C116" s="9">
        <f t="shared" ca="1" si="70"/>
        <v>1</v>
      </c>
      <c r="D116" s="267" t="s">
        <v>18</v>
      </c>
      <c r="E116" s="48" t="s">
        <v>57</v>
      </c>
      <c r="F116" s="678">
        <f ca="1">SUM(G116:I116)</f>
        <v>392380.37903449673</v>
      </c>
      <c r="G116" s="658">
        <f ca="1">+IFERROR(G$5*GETPIVOTDATA("Unique Billed Hours",'County allocation'!$A$3,"County",$D113,"HHA/CDPAP","CDPAP","Level of Service",$D116),0)</f>
        <v>15774.53593633333</v>
      </c>
      <c r="H116" s="658">
        <f>+IFERROR(H$5*GETPIVOTDATA("Unique Billed Hours",'County allocation'!$A$3,"County",$D113,"HHA/CDPAP","CDPAP","Level of Service",$D116),0)</f>
        <v>13581.584200608711</v>
      </c>
      <c r="I116" s="678">
        <f ca="1">SUM(J116:P116)</f>
        <v>363024.25889755471</v>
      </c>
      <c r="J116" s="658">
        <f ca="1">+IFERROR(J$5*GETPIVOTDATA("Unique Billed Hours",'County allocation'!$S$3,"County",$D113,"HHA/CDPAP","CDPAP","Level of Service",$D116),0)</f>
        <v>71823.334950472534</v>
      </c>
      <c r="K116" s="658">
        <f ca="1">+IFERROR(K$5*GETPIVOTDATA("Unique Billed Hours",'County allocation'!$X$3,"County",$D113,"HHA/CDPAP","CDPAP","Level of Service",$D116),0)</f>
        <v>289750.83746746165</v>
      </c>
      <c r="L116" s="658">
        <f>+IFERROR(L$5*GETPIVOTDATA("Unique Billed Hours",'County allocation'!$K$19,"County",$D113,"HHA/CDPAP","CDPAP","Level of Service",$D116),0)</f>
        <v>0</v>
      </c>
      <c r="M116" s="658">
        <f>+IFERROR(M$5*GETPIVOTDATA("Unique Billed Hours",'County allocation'!$S$3,"County",$D113,"HHA/CDPAP","CDPAP","Level of Service",$D116),0)</f>
        <v>1338.0205023358826</v>
      </c>
      <c r="N116" s="658">
        <f>+IFERROR(N$5*GETPIVOTDATA("Unique Billed Hours",'County allocation'!$S$3,"County",$D113,"HHA/CDPAP","CDPAP","Level of Service",$D116),0)</f>
        <v>112.06597728468707</v>
      </c>
      <c r="O116" s="658">
        <f>+IFERROR(O$5*GETPIVOTDATA("Unique Billed Hours",'County allocation'!$S$3,"County",$D113,"HHA/CDPAP","CDPAP","Level of Service",$D116),0)</f>
        <v>0</v>
      </c>
      <c r="P116" s="658">
        <f>+IFERROR(P$5*GETPIVOTDATA("Unique Billed Hours",'County allocation'!$S$3,"County",$D113,"HHA/CDPAP","CDPAP","Level of Service",$D116),0)</f>
        <v>0</v>
      </c>
    </row>
    <row r="117" spans="1:16" x14ac:dyDescent="0.25">
      <c r="B117" s="24"/>
      <c r="C117" s="9">
        <f t="shared" ca="1" si="70"/>
        <v>1</v>
      </c>
      <c r="D117" s="267" t="s">
        <v>42</v>
      </c>
      <c r="E117" s="48" t="s">
        <v>56</v>
      </c>
      <c r="F117" s="678">
        <f t="shared" ref="F117:F121" ca="1" si="71">SUM(G117:I117)</f>
        <v>0</v>
      </c>
      <c r="G117" s="658">
        <f ca="1">+IFERROR(G$5*GETPIVOTDATA("Unique Billed Hours",'County allocation'!$A$3,"County",$D113,"HHA/CDPAP","CDPAP","Level of Service",$D117),0)</f>
        <v>0</v>
      </c>
      <c r="H117" s="658">
        <f>+IFERROR(H$5*GETPIVOTDATA("Unique Billed Hours",'County allocation'!$A$3,"County",$D113,"HHA/CDPAP","CDPAP","Level of Service",$D117),0)</f>
        <v>0</v>
      </c>
      <c r="I117" s="678">
        <f t="shared" ref="I117:I124" ca="1" si="72">SUM(J117:P117)</f>
        <v>0</v>
      </c>
      <c r="J117" s="658">
        <f ca="1">+IFERROR(J$5*GETPIVOTDATA("Unique Billed Hours",'County allocation'!$S$3,"County",$D113,"HHA/CDPAP","CDPAP","Level of Service",$D117),0)</f>
        <v>0</v>
      </c>
      <c r="K117" s="658">
        <f ca="1">+IFERROR(K$5*GETPIVOTDATA("Unique Billed Hours",'County allocation'!$X$3,"County",$D113,"HHA/CDPAP","CDPAP","Level of Service",$D117),0)</f>
        <v>0</v>
      </c>
      <c r="L117" s="658">
        <f>+IFERROR(L$5*GETPIVOTDATA("Unique Billed Hours",'County allocation'!$K$19,"County",$D113,"HHA/CDPAP","CDPAP","Level of Service",$D117),0)</f>
        <v>0</v>
      </c>
      <c r="M117" s="658">
        <f>+IFERROR(M$5*GETPIVOTDATA("Unique Billed Hours",'County allocation'!$S$3,"County",$D113,"HHA/CDPAP","CDPAP","Level of Service",$D117),0)</f>
        <v>0</v>
      </c>
      <c r="N117" s="658">
        <f>+IFERROR(N$5*GETPIVOTDATA("Unique Billed Hours",'County allocation'!$S$3,"County",$D113,"HHA/CDPAP","CDPAP","Level of Service",$D117),0)</f>
        <v>0</v>
      </c>
      <c r="O117" s="658">
        <f>+IFERROR(O$5*GETPIVOTDATA("Unique Billed Hours",'County allocation'!$S$3,"County",$D113,"HHA/CDPAP","CDPAP","Level of Service",$D117),0)</f>
        <v>0</v>
      </c>
      <c r="P117" s="658">
        <f>+IFERROR(P$5*GETPIVOTDATA("Unique Billed Hours",'County allocation'!$S$3,"County",$D113,"HHA/CDPAP","CDPAP","Level of Service",$D117),0)</f>
        <v>0</v>
      </c>
    </row>
    <row r="118" spans="1:16" x14ac:dyDescent="0.25">
      <c r="B118" s="24"/>
      <c r="C118" s="9">
        <f t="shared" ca="1" si="70"/>
        <v>1</v>
      </c>
      <c r="D118" s="267" t="s">
        <v>43</v>
      </c>
      <c r="E118" s="48" t="s">
        <v>55</v>
      </c>
      <c r="F118" s="678">
        <f t="shared" ca="1" si="71"/>
        <v>0</v>
      </c>
      <c r="G118" s="658">
        <f ca="1">+IFERROR(G$5*GETPIVOTDATA("Unique Billed Hours",'County allocation'!$A$3,"County",$D113,"HHA/CDPAP","CDPAP","Level of Service",$D118),0)</f>
        <v>0</v>
      </c>
      <c r="H118" s="658">
        <f>+IFERROR(H$5*GETPIVOTDATA("Unique Billed Hours",'County allocation'!$A$3,"County",$D113,"HHA/CDPAP","CDPAP","Level of Service",$D118),0)</f>
        <v>0</v>
      </c>
      <c r="I118" s="678">
        <f t="shared" ca="1" si="72"/>
        <v>0</v>
      </c>
      <c r="J118" s="658">
        <f ca="1">+IFERROR(J$5*GETPIVOTDATA("Unique Billed Hours",'County allocation'!$S$3,"County",$D113,"HHA/CDPAP","CDPAP","Level of Service",$D118),0)</f>
        <v>0</v>
      </c>
      <c r="K118" s="658">
        <f ca="1">+IFERROR(K$5*GETPIVOTDATA("Unique Billed Hours",'County allocation'!$X$3,"County",$D113,"HHA/CDPAP","CDPAP","Level of Service",$D118),0)</f>
        <v>0</v>
      </c>
      <c r="L118" s="658">
        <f>+IFERROR(L$5*GETPIVOTDATA("Unique Billed Hours",'County allocation'!$K$19,"County",$D113,"HHA/CDPAP","CDPAP","Level of Service",$D118),0)</f>
        <v>0</v>
      </c>
      <c r="M118" s="658">
        <f>+IFERROR(M$5*GETPIVOTDATA("Unique Billed Hours",'County allocation'!$S$3,"County",$D113,"HHA/CDPAP","CDPAP","Level of Service",$D118),0)</f>
        <v>0</v>
      </c>
      <c r="N118" s="658">
        <f>+IFERROR(N$5*GETPIVOTDATA("Unique Billed Hours",'County allocation'!$S$3,"County",$D113,"HHA/CDPAP","CDPAP","Level of Service",$D118),0)</f>
        <v>0</v>
      </c>
      <c r="O118" s="658">
        <f>+IFERROR(O$5*GETPIVOTDATA("Unique Billed Hours",'County allocation'!$S$3,"County",$D113,"HHA/CDPAP","CDPAP","Level of Service",$D118),0)</f>
        <v>0</v>
      </c>
      <c r="P118" s="658">
        <f>+IFERROR(P$5*GETPIVOTDATA("Unique Billed Hours",'County allocation'!$S$3,"County",$D113,"HHA/CDPAP","CDPAP","Level of Service",$D118),0)</f>
        <v>0</v>
      </c>
    </row>
    <row r="119" spans="1:16" x14ac:dyDescent="0.25">
      <c r="B119" s="24"/>
      <c r="C119" s="9">
        <f t="shared" ca="1" si="70"/>
        <v>1</v>
      </c>
      <c r="D119" s="267" t="s">
        <v>44</v>
      </c>
      <c r="E119" s="48" t="s">
        <v>54</v>
      </c>
      <c r="F119" s="678">
        <f t="shared" ca="1" si="71"/>
        <v>0</v>
      </c>
      <c r="G119" s="658">
        <f ca="1">+IFERROR(G$5*GETPIVOTDATA("Unique Billed Hours",'County allocation'!$A$3,"County",$D113,"HHA/CDPAP","CDPAP","Level of Service",$D119),0)</f>
        <v>0</v>
      </c>
      <c r="H119" s="658">
        <f>+IFERROR(H$5*GETPIVOTDATA("Unique Billed Hours",'County allocation'!$A$3,"County",$D113,"HHA/CDPAP","CDPAP","Level of Service",$D119),0)</f>
        <v>0</v>
      </c>
      <c r="I119" s="678">
        <f t="shared" ca="1" si="72"/>
        <v>0</v>
      </c>
      <c r="J119" s="658">
        <f ca="1">+IFERROR(J$5*GETPIVOTDATA("Unique Billed Hours",'County allocation'!$S$3,"County",$D113,"HHA/CDPAP","CDPAP","Level of Service",$D119),0)</f>
        <v>0</v>
      </c>
      <c r="K119" s="658">
        <f ca="1">+IFERROR(K$5*GETPIVOTDATA("Unique Billed Hours",'County allocation'!$X$3,"County",$D113,"HHA/CDPAP","CDPAP","Level of Service",$D119),0)</f>
        <v>0</v>
      </c>
      <c r="L119" s="658">
        <f>+IFERROR(L$5*GETPIVOTDATA("Unique Billed Hours",'County allocation'!$K$19,"County",$D113,"HHA/CDPAP","CDPAP","Level of Service",$D119),0)</f>
        <v>0</v>
      </c>
      <c r="M119" s="658">
        <f>+IFERROR(M$5*GETPIVOTDATA("Unique Billed Hours",'County allocation'!$S$3,"County",$D113,"HHA/CDPAP","CDPAP","Level of Service",$D119),0)</f>
        <v>0</v>
      </c>
      <c r="N119" s="658">
        <f>+IFERROR(N$5*GETPIVOTDATA("Unique Billed Hours",'County allocation'!$S$3,"County",$D113,"HHA/CDPAP","CDPAP","Level of Service",$D119),0)</f>
        <v>0</v>
      </c>
      <c r="O119" s="658">
        <f>+IFERROR(O$5*GETPIVOTDATA("Unique Billed Hours",'County allocation'!$S$3,"County",$D113,"HHA/CDPAP","CDPAP","Level of Service",$D119),0)</f>
        <v>0</v>
      </c>
      <c r="P119" s="658">
        <f>+IFERROR(P$5*GETPIVOTDATA("Unique Billed Hours",'County allocation'!$S$3,"County",$D113,"HHA/CDPAP","CDPAP","Level of Service",$D119),0)</f>
        <v>0</v>
      </c>
    </row>
    <row r="120" spans="1:16" x14ac:dyDescent="0.25">
      <c r="B120" s="24"/>
      <c r="C120" s="9">
        <f t="shared" ca="1" si="70"/>
        <v>1</v>
      </c>
      <c r="D120" s="267" t="s">
        <v>45</v>
      </c>
      <c r="E120" s="48" t="s">
        <v>53</v>
      </c>
      <c r="F120" s="678">
        <f t="shared" ca="1" si="71"/>
        <v>0</v>
      </c>
      <c r="G120" s="658">
        <f ca="1">+IFERROR(G$5*GETPIVOTDATA("Unique Billed Hours",'County allocation'!$A$3,"County",$D113,"HHA/CDPAP","CDPAP","Level of Service",$D120),0)</f>
        <v>0</v>
      </c>
      <c r="H120" s="658">
        <f>+IFERROR(H$5*GETPIVOTDATA("Unique Billed Hours",'County allocation'!$A$3,"County",$D113,"HHA/CDPAP","CDPAP","Level of Service",$D120),0)</f>
        <v>0</v>
      </c>
      <c r="I120" s="678">
        <f t="shared" ca="1" si="72"/>
        <v>0</v>
      </c>
      <c r="J120" s="658">
        <f ca="1">+IFERROR(J$5*GETPIVOTDATA("Unique Billed Hours",'County allocation'!$S$3,"County",$D113,"HHA/CDPAP","CDPAP","Level of Service",$D120),0)</f>
        <v>0</v>
      </c>
      <c r="K120" s="658">
        <f ca="1">+IFERROR(K$5*GETPIVOTDATA("Unique Billed Hours",'County allocation'!$X$3,"County",$D113,"HHA/CDPAP","CDPAP","Level of Service",$D120),0)</f>
        <v>0</v>
      </c>
      <c r="L120" s="658">
        <f>+IFERROR(L$5*GETPIVOTDATA("Unique Billed Hours",'County allocation'!$K$19,"County",$D113,"HHA/CDPAP","CDPAP","Level of Service",$D120),0)</f>
        <v>0</v>
      </c>
      <c r="M120" s="658">
        <f>+IFERROR(M$5*GETPIVOTDATA("Unique Billed Hours",'County allocation'!$S$3,"County",$D113,"HHA/CDPAP","CDPAP","Level of Service",$D120),0)</f>
        <v>0</v>
      </c>
      <c r="N120" s="658">
        <f>+IFERROR(N$5*GETPIVOTDATA("Unique Billed Hours",'County allocation'!$S$3,"County",$D113,"HHA/CDPAP","CDPAP","Level of Service",$D120),0)</f>
        <v>0</v>
      </c>
      <c r="O120" s="658">
        <f>+IFERROR(O$5*GETPIVOTDATA("Unique Billed Hours",'County allocation'!$S$3,"County",$D113,"HHA/CDPAP","CDPAP","Level of Service",$D120),0)</f>
        <v>0</v>
      </c>
      <c r="P120" s="658">
        <f>+IFERROR(P$5*GETPIVOTDATA("Unique Billed Hours",'County allocation'!$S$3,"County",$D113,"HHA/CDPAP","CDPAP","Level of Service",$D120),0)</f>
        <v>0</v>
      </c>
    </row>
    <row r="121" spans="1:16" x14ac:dyDescent="0.25">
      <c r="A121" s="302"/>
      <c r="B121" s="24"/>
      <c r="C121" s="9">
        <f t="shared" ca="1" si="70"/>
        <v>1</v>
      </c>
      <c r="D121" s="267" t="s">
        <v>46</v>
      </c>
      <c r="E121" s="48" t="s">
        <v>52</v>
      </c>
      <c r="F121" s="678">
        <f t="shared" ca="1" si="71"/>
        <v>0</v>
      </c>
      <c r="G121" s="658">
        <f ca="1">+IFERROR(G$5*GETPIVOTDATA("Unique Billed Hours",'County allocation'!$A$3,"County",$D113,"HHA/CDPAP","CDPAP","Level of Service",$D121),0)</f>
        <v>0</v>
      </c>
      <c r="H121" s="658">
        <f>+IFERROR(H$5*GETPIVOTDATA("Unique Billed Hours",'County allocation'!$A$3,"County",$D113,"HHA/CDPAP","CDPAP","Level of Service",$D121),0)</f>
        <v>0</v>
      </c>
      <c r="I121" s="678">
        <f t="shared" ca="1" si="72"/>
        <v>0</v>
      </c>
      <c r="J121" s="658">
        <f ca="1">+IFERROR(J$5*GETPIVOTDATA("Unique Billed Hours",'County allocation'!$S$3,"County",$D113,"HHA/CDPAP","CDPAP","Level of Service",$D121),0)</f>
        <v>0</v>
      </c>
      <c r="K121" s="658">
        <f ca="1">+IFERROR(K$5*GETPIVOTDATA("Unique Billed Hours",'County allocation'!$X$3,"County",$D113,"HHA/CDPAP","CDPAP","Level of Service",$D121),0)</f>
        <v>0</v>
      </c>
      <c r="L121" s="658">
        <f>+IFERROR(L$5*GETPIVOTDATA("Unique Billed Hours",'County allocation'!$K$19,"County",$D113,"HHA/CDPAP","CDPAP","Level of Service",$D121),0)</f>
        <v>0</v>
      </c>
      <c r="M121" s="658">
        <f>+IFERROR(M$5*GETPIVOTDATA("Unique Billed Hours",'County allocation'!$S$3,"County",$D113,"HHA/CDPAP","CDPAP","Level of Service",$D121),0)</f>
        <v>0</v>
      </c>
      <c r="N121" s="658">
        <f>+IFERROR(N$5*GETPIVOTDATA("Unique Billed Hours",'County allocation'!$S$3,"County",$D113,"HHA/CDPAP","CDPAP","Level of Service",$D121),0)</f>
        <v>0</v>
      </c>
      <c r="O121" s="658">
        <f>+IFERROR(O$5*GETPIVOTDATA("Unique Billed Hours",'County allocation'!$S$3,"County",$D113,"HHA/CDPAP","CDPAP","Level of Service",$D121),0)</f>
        <v>0</v>
      </c>
      <c r="P121" s="658">
        <f>+IFERROR(P$5*GETPIVOTDATA("Unique Billed Hours",'County allocation'!$S$3,"County",$D113,"HHA/CDPAP","CDPAP","Level of Service",$D121),0)</f>
        <v>0</v>
      </c>
    </row>
    <row r="122" spans="1:16" ht="15.75" thickBot="1" x14ac:dyDescent="0.3">
      <c r="A122" s="302"/>
      <c r="B122" s="24"/>
      <c r="C122" s="9">
        <f t="shared" ca="1" si="70"/>
        <v>1</v>
      </c>
      <c r="D122" s="52" t="s">
        <v>389</v>
      </c>
      <c r="E122" s="370" t="s">
        <v>51</v>
      </c>
      <c r="F122" s="679">
        <f ca="1">SUM(F116:F121)</f>
        <v>392380.37903449673</v>
      </c>
      <c r="G122" s="679">
        <f t="shared" ref="G122:H122" ca="1" si="73">SUM(G116:G121)</f>
        <v>15774.53593633333</v>
      </c>
      <c r="H122" s="679">
        <f t="shared" si="73"/>
        <v>13581.584200608711</v>
      </c>
      <c r="I122" s="678">
        <f t="shared" ca="1" si="72"/>
        <v>363024.25889755471</v>
      </c>
      <c r="J122" s="679">
        <f ca="1">SUM(J116:J121)</f>
        <v>71823.334950472534</v>
      </c>
      <c r="K122" s="679">
        <f t="shared" ref="K122:P122" ca="1" si="74">SUM(K116:K121)</f>
        <v>289750.83746746165</v>
      </c>
      <c r="L122" s="679">
        <f t="shared" si="74"/>
        <v>0</v>
      </c>
      <c r="M122" s="679">
        <f t="shared" si="74"/>
        <v>1338.0205023358826</v>
      </c>
      <c r="N122" s="679">
        <f t="shared" si="74"/>
        <v>112.06597728468707</v>
      </c>
      <c r="O122" s="679">
        <f t="shared" si="74"/>
        <v>0</v>
      </c>
      <c r="P122" s="679">
        <f t="shared" si="74"/>
        <v>0</v>
      </c>
    </row>
    <row r="123" spans="1:16" x14ac:dyDescent="0.25">
      <c r="A123" s="302"/>
      <c r="B123" s="24"/>
      <c r="C123" s="9">
        <f t="shared" ca="1" si="70"/>
        <v>1</v>
      </c>
      <c r="D123" s="378" t="s">
        <v>390</v>
      </c>
      <c r="E123" s="370" t="s">
        <v>50</v>
      </c>
      <c r="F123" s="678">
        <f t="shared" ref="F123" ca="1" si="75">SUM(G123:I123)</f>
        <v>0</v>
      </c>
      <c r="G123" s="658">
        <f ca="1">+IFERROR(G$5*GETPIVOTDATA("Unique Billed Hours",'County allocation'!$A$3,"County",$D113,"HHA/CDPAP","CDPAP","Level of Service",$D123),0)</f>
        <v>0</v>
      </c>
      <c r="H123" s="659"/>
      <c r="I123" s="678">
        <f t="shared" si="72"/>
        <v>0</v>
      </c>
      <c r="J123" s="659"/>
      <c r="K123" s="659"/>
      <c r="L123" s="659"/>
      <c r="M123" s="659"/>
      <c r="N123" s="659"/>
      <c r="O123" s="659"/>
      <c r="P123" s="659"/>
    </row>
    <row r="124" spans="1:16" ht="15.75" thickBot="1" x14ac:dyDescent="0.3">
      <c r="B124" s="24"/>
      <c r="C124" s="9">
        <f t="shared" ca="1" si="70"/>
        <v>1</v>
      </c>
      <c r="D124" s="11" t="s">
        <v>48</v>
      </c>
      <c r="E124" s="53" t="s">
        <v>49</v>
      </c>
      <c r="F124" s="662">
        <f ca="1">SUBTOTAL(9,F116:F121)</f>
        <v>392380.37903449673</v>
      </c>
      <c r="G124" s="662">
        <f t="shared" ref="G124" ca="1" si="76">SUBTOTAL(9,G116:G121)</f>
        <v>15774.53593633333</v>
      </c>
      <c r="H124" s="662">
        <f>SUBTOTAL(9,H116:H121)</f>
        <v>13581.584200608711</v>
      </c>
      <c r="I124" s="678">
        <f t="shared" ca="1" si="72"/>
        <v>363024.25889755471</v>
      </c>
      <c r="J124" s="662">
        <f t="shared" ref="J124:P124" ca="1" si="77">SUBTOTAL(9,J116:J121)</f>
        <v>71823.334950472534</v>
      </c>
      <c r="K124" s="662">
        <f t="shared" ca="1" si="77"/>
        <v>289750.83746746165</v>
      </c>
      <c r="L124" s="662">
        <f t="shared" si="77"/>
        <v>0</v>
      </c>
      <c r="M124" s="662">
        <f t="shared" si="77"/>
        <v>1338.0205023358826</v>
      </c>
      <c r="N124" s="662">
        <f t="shared" si="77"/>
        <v>112.06597728468707</v>
      </c>
      <c r="O124" s="662">
        <f t="shared" si="77"/>
        <v>0</v>
      </c>
      <c r="P124" s="662">
        <f t="shared" si="77"/>
        <v>0</v>
      </c>
    </row>
    <row r="125" spans="1:16" ht="15.75" hidden="1" thickBot="1" x14ac:dyDescent="0.3"/>
    <row r="126" spans="1:16" ht="75" x14ac:dyDescent="0.25">
      <c r="A126" s="60"/>
      <c r="B126" s="24"/>
      <c r="C126" s="9">
        <f ca="1">IF(F137&gt;0,1,0)</f>
        <v>1</v>
      </c>
      <c r="D126" s="45" t="str">
        <f>A12</f>
        <v>Chenango</v>
      </c>
      <c r="E126" s="28">
        <f>SUMIF(A:A,D126,B:B)</f>
        <v>2.3404746812160262E-3</v>
      </c>
      <c r="F126" s="652" t="s">
        <v>396</v>
      </c>
      <c r="G126" s="652" t="s">
        <v>387</v>
      </c>
      <c r="H126" s="652" t="s">
        <v>388</v>
      </c>
      <c r="I126" s="652" t="s">
        <v>392</v>
      </c>
      <c r="J126" s="652" t="s">
        <v>31</v>
      </c>
      <c r="K126" s="652" t="s">
        <v>32</v>
      </c>
      <c r="L126" s="653" t="s">
        <v>33</v>
      </c>
      <c r="M126" s="653" t="s">
        <v>60</v>
      </c>
      <c r="N126" s="653" t="s">
        <v>59</v>
      </c>
      <c r="O126" s="653" t="s">
        <v>58</v>
      </c>
      <c r="P126" s="653" t="s">
        <v>16</v>
      </c>
    </row>
    <row r="127" spans="1:16" x14ac:dyDescent="0.25">
      <c r="A127" s="60"/>
      <c r="B127" s="24"/>
      <c r="C127" s="9">
        <f ca="1">C126</f>
        <v>1</v>
      </c>
      <c r="D127" s="47"/>
      <c r="E127" s="48"/>
      <c r="F127" s="669" t="s">
        <v>57</v>
      </c>
      <c r="G127" s="669" t="s">
        <v>56</v>
      </c>
      <c r="H127" s="669" t="s">
        <v>55</v>
      </c>
      <c r="I127" s="669" t="s">
        <v>54</v>
      </c>
      <c r="J127" s="669" t="s">
        <v>53</v>
      </c>
      <c r="K127" s="669" t="s">
        <v>52</v>
      </c>
      <c r="L127" s="669" t="s">
        <v>51</v>
      </c>
      <c r="M127" s="669" t="s">
        <v>50</v>
      </c>
      <c r="N127" s="669" t="s">
        <v>49</v>
      </c>
      <c r="O127" s="669" t="s">
        <v>47</v>
      </c>
      <c r="P127" s="670" t="s">
        <v>77</v>
      </c>
    </row>
    <row r="128" spans="1:16" x14ac:dyDescent="0.25">
      <c r="B128" s="24"/>
      <c r="C128" s="9">
        <f t="shared" ref="C128:C137" ca="1" si="78">C127</f>
        <v>1</v>
      </c>
      <c r="D128" s="51" t="s">
        <v>26</v>
      </c>
      <c r="E128" s="48"/>
      <c r="F128" s="674"/>
      <c r="G128" s="674"/>
      <c r="H128" s="674"/>
      <c r="I128" s="674"/>
      <c r="J128" s="674"/>
      <c r="K128" s="674"/>
      <c r="L128" s="675"/>
      <c r="M128" s="675"/>
      <c r="N128" s="676"/>
      <c r="O128" s="674"/>
      <c r="P128" s="677"/>
    </row>
    <row r="129" spans="1:16" x14ac:dyDescent="0.25">
      <c r="B129" s="24"/>
      <c r="C129" s="9">
        <f t="shared" ca="1" si="78"/>
        <v>1</v>
      </c>
      <c r="D129" s="267" t="s">
        <v>18</v>
      </c>
      <c r="E129" s="48" t="s">
        <v>57</v>
      </c>
      <c r="F129" s="678">
        <f ca="1">SUM(G129:I129)</f>
        <v>201757.0079046911</v>
      </c>
      <c r="G129" s="658">
        <f ca="1">+IFERROR(G$5*GETPIVOTDATA("Unique Billed Hours",'County allocation'!$A$3,"County",$D126,"HHA/CDPAP","CDPAP","Level of Service",$D129),0)</f>
        <v>8111.0660513425728</v>
      </c>
      <c r="H129" s="658">
        <f>+IFERROR(H$5*GETPIVOTDATA("Unique Billed Hours",'County allocation'!$A$3,"County",$D126,"HHA/CDPAP","CDPAP","Level of Service",$D129),0)</f>
        <v>6983.4781180012378</v>
      </c>
      <c r="I129" s="678">
        <f ca="1">SUM(J129:P129)</f>
        <v>186662.46373534729</v>
      </c>
      <c r="J129" s="658">
        <f ca="1">+IFERROR(J$5*GETPIVOTDATA("Unique Billed Hours",'County allocation'!$S$3,"County",$D126,"HHA/CDPAP","CDPAP","Level of Service",$D129),0)</f>
        <v>36930.64671837166</v>
      </c>
      <c r="K129" s="658">
        <f ca="1">+IFERROR(K$5*GETPIVOTDATA("Unique Billed Hours",'County allocation'!$X$3,"County",$D126,"HHA/CDPAP","CDPAP","Level of Service",$D129),0)</f>
        <v>148986.20096438099</v>
      </c>
      <c r="L129" s="658">
        <f>+IFERROR(L$5*GETPIVOTDATA("Unique Billed Hours",'County allocation'!$K$19,"County",$D126,"HHA/CDPAP","CDPAP","Level of Service",$D129),0)</f>
        <v>0</v>
      </c>
      <c r="M129" s="658">
        <f>+IFERROR(M$5*GETPIVOTDATA("Unique Billed Hours",'County allocation'!$S$3,"County",$D126,"HHA/CDPAP","CDPAP","Level of Service",$D129),0)</f>
        <v>687.9931502453793</v>
      </c>
      <c r="N129" s="658">
        <f>+IFERROR(N$5*GETPIVOTDATA("Unique Billed Hours",'County allocation'!$S$3,"County",$D126,"HHA/CDPAP","CDPAP","Level of Service",$D129),0)</f>
        <v>57.622902349267925</v>
      </c>
      <c r="O129" s="658">
        <f>+IFERROR(O$5*GETPIVOTDATA("Unique Billed Hours",'County allocation'!$S$3,"County",$D126,"HHA/CDPAP","CDPAP","Level of Service",$D129),0)</f>
        <v>0</v>
      </c>
      <c r="P129" s="658">
        <f>+IFERROR(P$5*GETPIVOTDATA("Unique Billed Hours",'County allocation'!$S$3,"County",$D126,"HHA/CDPAP","CDPAP","Level of Service",$D129),0)</f>
        <v>0</v>
      </c>
    </row>
    <row r="130" spans="1:16" x14ac:dyDescent="0.25">
      <c r="B130" s="24"/>
      <c r="C130" s="9">
        <f t="shared" ca="1" si="78"/>
        <v>1</v>
      </c>
      <c r="D130" s="267" t="s">
        <v>42</v>
      </c>
      <c r="E130" s="48" t="s">
        <v>56</v>
      </c>
      <c r="F130" s="678">
        <f t="shared" ref="F130:F134" ca="1" si="79">SUM(G130:I130)</f>
        <v>0</v>
      </c>
      <c r="G130" s="658">
        <f ca="1">+IFERROR(G$5*GETPIVOTDATA("Unique Billed Hours",'County allocation'!$A$3,"County",$D126,"HHA/CDPAP","CDPAP","Level of Service",$D130),0)</f>
        <v>0</v>
      </c>
      <c r="H130" s="658">
        <f>+IFERROR(H$5*GETPIVOTDATA("Unique Billed Hours",'County allocation'!$A$3,"County",$D126,"HHA/CDPAP","CDPAP","Level of Service",$D130),0)</f>
        <v>0</v>
      </c>
      <c r="I130" s="678">
        <f t="shared" ref="I130:I137" ca="1" si="80">SUM(J130:P130)</f>
        <v>0</v>
      </c>
      <c r="J130" s="658">
        <f ca="1">+IFERROR(J$5*GETPIVOTDATA("Unique Billed Hours",'County allocation'!$S$3,"County",$D126,"HHA/CDPAP","CDPAP","Level of Service",$D130),0)</f>
        <v>0</v>
      </c>
      <c r="K130" s="658">
        <f ca="1">+IFERROR(K$5*GETPIVOTDATA("Unique Billed Hours",'County allocation'!$X$3,"County",$D126,"HHA/CDPAP","CDPAP","Level of Service",$D130),0)</f>
        <v>0</v>
      </c>
      <c r="L130" s="658">
        <f>+IFERROR(L$5*GETPIVOTDATA("Unique Billed Hours",'County allocation'!$K$19,"County",$D126,"HHA/CDPAP","CDPAP","Level of Service",$D130),0)</f>
        <v>0</v>
      </c>
      <c r="M130" s="658">
        <f>+IFERROR(M$5*GETPIVOTDATA("Unique Billed Hours",'County allocation'!$S$3,"County",$D126,"HHA/CDPAP","CDPAP","Level of Service",$D130),0)</f>
        <v>0</v>
      </c>
      <c r="N130" s="658">
        <f>+IFERROR(N$5*GETPIVOTDATA("Unique Billed Hours",'County allocation'!$S$3,"County",$D126,"HHA/CDPAP","CDPAP","Level of Service",$D130),0)</f>
        <v>0</v>
      </c>
      <c r="O130" s="658">
        <f>+IFERROR(O$5*GETPIVOTDATA("Unique Billed Hours",'County allocation'!$S$3,"County",$D126,"HHA/CDPAP","CDPAP","Level of Service",$D130),0)</f>
        <v>0</v>
      </c>
      <c r="P130" s="658">
        <f>+IFERROR(P$5*GETPIVOTDATA("Unique Billed Hours",'County allocation'!$S$3,"County",$D126,"HHA/CDPAP","CDPAP","Level of Service",$D130),0)</f>
        <v>0</v>
      </c>
    </row>
    <row r="131" spans="1:16" x14ac:dyDescent="0.25">
      <c r="B131" s="24"/>
      <c r="C131" s="9">
        <f t="shared" ca="1" si="78"/>
        <v>1</v>
      </c>
      <c r="D131" s="267" t="s">
        <v>43</v>
      </c>
      <c r="E131" s="48" t="s">
        <v>55</v>
      </c>
      <c r="F131" s="678">
        <f t="shared" ca="1" si="79"/>
        <v>0</v>
      </c>
      <c r="G131" s="658">
        <f ca="1">+IFERROR(G$5*GETPIVOTDATA("Unique Billed Hours",'County allocation'!$A$3,"County",$D126,"HHA/CDPAP","CDPAP","Level of Service",$D131),0)</f>
        <v>0</v>
      </c>
      <c r="H131" s="658">
        <f>+IFERROR(H$5*GETPIVOTDATA("Unique Billed Hours",'County allocation'!$A$3,"County",$D126,"HHA/CDPAP","CDPAP","Level of Service",$D131),0)</f>
        <v>0</v>
      </c>
      <c r="I131" s="678">
        <f t="shared" ca="1" si="80"/>
        <v>0</v>
      </c>
      <c r="J131" s="658">
        <f ca="1">+IFERROR(J$5*GETPIVOTDATA("Unique Billed Hours",'County allocation'!$S$3,"County",$D126,"HHA/CDPAP","CDPAP","Level of Service",$D131),0)</f>
        <v>0</v>
      </c>
      <c r="K131" s="658">
        <f ca="1">+IFERROR(K$5*GETPIVOTDATA("Unique Billed Hours",'County allocation'!$X$3,"County",$D126,"HHA/CDPAP","CDPAP","Level of Service",$D131),0)</f>
        <v>0</v>
      </c>
      <c r="L131" s="658">
        <f>+IFERROR(L$5*GETPIVOTDATA("Unique Billed Hours",'County allocation'!$K$19,"County",$D126,"HHA/CDPAP","CDPAP","Level of Service",$D131),0)</f>
        <v>0</v>
      </c>
      <c r="M131" s="658">
        <f>+IFERROR(M$5*GETPIVOTDATA("Unique Billed Hours",'County allocation'!$S$3,"County",$D126,"HHA/CDPAP","CDPAP","Level of Service",$D131),0)</f>
        <v>0</v>
      </c>
      <c r="N131" s="658">
        <f>+IFERROR(N$5*GETPIVOTDATA("Unique Billed Hours",'County allocation'!$S$3,"County",$D126,"HHA/CDPAP","CDPAP","Level of Service",$D131),0)</f>
        <v>0</v>
      </c>
      <c r="O131" s="658">
        <f>+IFERROR(O$5*GETPIVOTDATA("Unique Billed Hours",'County allocation'!$S$3,"County",$D126,"HHA/CDPAP","CDPAP","Level of Service",$D131),0)</f>
        <v>0</v>
      </c>
      <c r="P131" s="658">
        <f>+IFERROR(P$5*GETPIVOTDATA("Unique Billed Hours",'County allocation'!$S$3,"County",$D126,"HHA/CDPAP","CDPAP","Level of Service",$D131),0)</f>
        <v>0</v>
      </c>
    </row>
    <row r="132" spans="1:16" x14ac:dyDescent="0.25">
      <c r="B132" s="24"/>
      <c r="C132" s="9">
        <f t="shared" ca="1" si="78"/>
        <v>1</v>
      </c>
      <c r="D132" s="267" t="s">
        <v>44</v>
      </c>
      <c r="E132" s="48" t="s">
        <v>54</v>
      </c>
      <c r="F132" s="678">
        <f t="shared" ca="1" si="79"/>
        <v>0</v>
      </c>
      <c r="G132" s="658">
        <f ca="1">+IFERROR(G$5*GETPIVOTDATA("Unique Billed Hours",'County allocation'!$A$3,"County",$D126,"HHA/CDPAP","CDPAP","Level of Service",$D132),0)</f>
        <v>0</v>
      </c>
      <c r="H132" s="658">
        <f>+IFERROR(H$5*GETPIVOTDATA("Unique Billed Hours",'County allocation'!$A$3,"County",$D126,"HHA/CDPAP","CDPAP","Level of Service",$D132),0)</f>
        <v>0</v>
      </c>
      <c r="I132" s="678">
        <f t="shared" ca="1" si="80"/>
        <v>0</v>
      </c>
      <c r="J132" s="658">
        <f ca="1">+IFERROR(J$5*GETPIVOTDATA("Unique Billed Hours",'County allocation'!$S$3,"County",$D126,"HHA/CDPAP","CDPAP","Level of Service",$D132),0)</f>
        <v>0</v>
      </c>
      <c r="K132" s="658">
        <f ca="1">+IFERROR(K$5*GETPIVOTDATA("Unique Billed Hours",'County allocation'!$X$3,"County",$D126,"HHA/CDPAP","CDPAP","Level of Service",$D132),0)</f>
        <v>0</v>
      </c>
      <c r="L132" s="658">
        <f>+IFERROR(L$5*GETPIVOTDATA("Unique Billed Hours",'County allocation'!$K$19,"County",$D126,"HHA/CDPAP","CDPAP","Level of Service",$D132),0)</f>
        <v>0</v>
      </c>
      <c r="M132" s="658">
        <f>+IFERROR(M$5*GETPIVOTDATA("Unique Billed Hours",'County allocation'!$S$3,"County",$D126,"HHA/CDPAP","CDPAP","Level of Service",$D132),0)</f>
        <v>0</v>
      </c>
      <c r="N132" s="658">
        <f>+IFERROR(N$5*GETPIVOTDATA("Unique Billed Hours",'County allocation'!$S$3,"County",$D126,"HHA/CDPAP","CDPAP","Level of Service",$D132),0)</f>
        <v>0</v>
      </c>
      <c r="O132" s="658">
        <f>+IFERROR(O$5*GETPIVOTDATA("Unique Billed Hours",'County allocation'!$S$3,"County",$D126,"HHA/CDPAP","CDPAP","Level of Service",$D132),0)</f>
        <v>0</v>
      </c>
      <c r="P132" s="658">
        <f>+IFERROR(P$5*GETPIVOTDATA("Unique Billed Hours",'County allocation'!$S$3,"County",$D126,"HHA/CDPAP","CDPAP","Level of Service",$D132),0)</f>
        <v>0</v>
      </c>
    </row>
    <row r="133" spans="1:16" x14ac:dyDescent="0.25">
      <c r="B133" s="24"/>
      <c r="C133" s="9">
        <f t="shared" ca="1" si="78"/>
        <v>1</v>
      </c>
      <c r="D133" s="267" t="s">
        <v>45</v>
      </c>
      <c r="E133" s="48" t="s">
        <v>53</v>
      </c>
      <c r="F133" s="678">
        <f t="shared" ca="1" si="79"/>
        <v>0</v>
      </c>
      <c r="G133" s="658">
        <f ca="1">+IFERROR(G$5*GETPIVOTDATA("Unique Billed Hours",'County allocation'!$A$3,"County",$D126,"HHA/CDPAP","CDPAP","Level of Service",$D133),0)</f>
        <v>0</v>
      </c>
      <c r="H133" s="658">
        <f>+IFERROR(H$5*GETPIVOTDATA("Unique Billed Hours",'County allocation'!$A$3,"County",$D126,"HHA/CDPAP","CDPAP","Level of Service",$D133),0)</f>
        <v>0</v>
      </c>
      <c r="I133" s="678">
        <f t="shared" ca="1" si="80"/>
        <v>0</v>
      </c>
      <c r="J133" s="658">
        <f ca="1">+IFERROR(J$5*GETPIVOTDATA("Unique Billed Hours",'County allocation'!$S$3,"County",$D126,"HHA/CDPAP","CDPAP","Level of Service",$D133),0)</f>
        <v>0</v>
      </c>
      <c r="K133" s="658">
        <f ca="1">+IFERROR(K$5*GETPIVOTDATA("Unique Billed Hours",'County allocation'!$X$3,"County",$D126,"HHA/CDPAP","CDPAP","Level of Service",$D133),0)</f>
        <v>0</v>
      </c>
      <c r="L133" s="658">
        <f>+IFERROR(L$5*GETPIVOTDATA("Unique Billed Hours",'County allocation'!$K$19,"County",$D126,"HHA/CDPAP","CDPAP","Level of Service",$D133),0)</f>
        <v>0</v>
      </c>
      <c r="M133" s="658">
        <f>+IFERROR(M$5*GETPIVOTDATA("Unique Billed Hours",'County allocation'!$S$3,"County",$D126,"HHA/CDPAP","CDPAP","Level of Service",$D133),0)</f>
        <v>0</v>
      </c>
      <c r="N133" s="658">
        <f>+IFERROR(N$5*GETPIVOTDATA("Unique Billed Hours",'County allocation'!$S$3,"County",$D126,"HHA/CDPAP","CDPAP","Level of Service",$D133),0)</f>
        <v>0</v>
      </c>
      <c r="O133" s="658">
        <f>+IFERROR(O$5*GETPIVOTDATA("Unique Billed Hours",'County allocation'!$S$3,"County",$D126,"HHA/CDPAP","CDPAP","Level of Service",$D133),0)</f>
        <v>0</v>
      </c>
      <c r="P133" s="658">
        <f>+IFERROR(P$5*GETPIVOTDATA("Unique Billed Hours",'County allocation'!$S$3,"County",$D126,"HHA/CDPAP","CDPAP","Level of Service",$D133),0)</f>
        <v>0</v>
      </c>
    </row>
    <row r="134" spans="1:16" x14ac:dyDescent="0.25">
      <c r="A134" s="302"/>
      <c r="B134" s="24"/>
      <c r="C134" s="9">
        <f t="shared" ca="1" si="78"/>
        <v>1</v>
      </c>
      <c r="D134" s="267" t="s">
        <v>46</v>
      </c>
      <c r="E134" s="48" t="s">
        <v>52</v>
      </c>
      <c r="F134" s="678">
        <f t="shared" ca="1" si="79"/>
        <v>0</v>
      </c>
      <c r="G134" s="658">
        <f ca="1">+IFERROR(G$5*GETPIVOTDATA("Unique Billed Hours",'County allocation'!$A$3,"County",$D126,"HHA/CDPAP","CDPAP","Level of Service",$D134),0)</f>
        <v>0</v>
      </c>
      <c r="H134" s="658">
        <f>+IFERROR(H$5*GETPIVOTDATA("Unique Billed Hours",'County allocation'!$A$3,"County",$D126,"HHA/CDPAP","CDPAP","Level of Service",$D134),0)</f>
        <v>0</v>
      </c>
      <c r="I134" s="678">
        <f t="shared" ca="1" si="80"/>
        <v>0</v>
      </c>
      <c r="J134" s="658">
        <f ca="1">+IFERROR(J$5*GETPIVOTDATA("Unique Billed Hours",'County allocation'!$S$3,"County",$D126,"HHA/CDPAP","CDPAP","Level of Service",$D134),0)</f>
        <v>0</v>
      </c>
      <c r="K134" s="658">
        <f ca="1">+IFERROR(K$5*GETPIVOTDATA("Unique Billed Hours",'County allocation'!$X$3,"County",$D126,"HHA/CDPAP","CDPAP","Level of Service",$D134),0)</f>
        <v>0</v>
      </c>
      <c r="L134" s="658">
        <f>+IFERROR(L$5*GETPIVOTDATA("Unique Billed Hours",'County allocation'!$K$19,"County",$D126,"HHA/CDPAP","CDPAP","Level of Service",$D134),0)</f>
        <v>0</v>
      </c>
      <c r="M134" s="658">
        <f>+IFERROR(M$5*GETPIVOTDATA("Unique Billed Hours",'County allocation'!$S$3,"County",$D126,"HHA/CDPAP","CDPAP","Level of Service",$D134),0)</f>
        <v>0</v>
      </c>
      <c r="N134" s="658">
        <f>+IFERROR(N$5*GETPIVOTDATA("Unique Billed Hours",'County allocation'!$S$3,"County",$D126,"HHA/CDPAP","CDPAP","Level of Service",$D134),0)</f>
        <v>0</v>
      </c>
      <c r="O134" s="658">
        <f>+IFERROR(O$5*GETPIVOTDATA("Unique Billed Hours",'County allocation'!$S$3,"County",$D126,"HHA/CDPAP","CDPAP","Level of Service",$D134),0)</f>
        <v>0</v>
      </c>
      <c r="P134" s="658">
        <f>+IFERROR(P$5*GETPIVOTDATA("Unique Billed Hours",'County allocation'!$S$3,"County",$D126,"HHA/CDPAP","CDPAP","Level of Service",$D134),0)</f>
        <v>0</v>
      </c>
    </row>
    <row r="135" spans="1:16" ht="15.75" thickBot="1" x14ac:dyDescent="0.3">
      <c r="A135" s="302"/>
      <c r="B135" s="24"/>
      <c r="C135" s="9">
        <f t="shared" ca="1" si="78"/>
        <v>1</v>
      </c>
      <c r="D135" s="52" t="s">
        <v>389</v>
      </c>
      <c r="E135" s="370" t="s">
        <v>51</v>
      </c>
      <c r="F135" s="679">
        <f ca="1">SUM(F129:F134)</f>
        <v>201757.0079046911</v>
      </c>
      <c r="G135" s="679">
        <f t="shared" ref="G135:H135" ca="1" si="81">SUM(G129:G134)</f>
        <v>8111.0660513425728</v>
      </c>
      <c r="H135" s="679">
        <f t="shared" si="81"/>
        <v>6983.4781180012378</v>
      </c>
      <c r="I135" s="678">
        <f t="shared" ca="1" si="80"/>
        <v>186662.46373534729</v>
      </c>
      <c r="J135" s="679">
        <f ca="1">SUM(J129:J134)</f>
        <v>36930.64671837166</v>
      </c>
      <c r="K135" s="679">
        <f t="shared" ref="K135:P135" ca="1" si="82">SUM(K129:K134)</f>
        <v>148986.20096438099</v>
      </c>
      <c r="L135" s="679">
        <f t="shared" si="82"/>
        <v>0</v>
      </c>
      <c r="M135" s="679">
        <f t="shared" si="82"/>
        <v>687.9931502453793</v>
      </c>
      <c r="N135" s="679">
        <f t="shared" si="82"/>
        <v>57.622902349267925</v>
      </c>
      <c r="O135" s="679">
        <f t="shared" si="82"/>
        <v>0</v>
      </c>
      <c r="P135" s="679">
        <f t="shared" si="82"/>
        <v>0</v>
      </c>
    </row>
    <row r="136" spans="1:16" x14ac:dyDescent="0.25">
      <c r="A136" s="302"/>
      <c r="B136" s="24"/>
      <c r="C136" s="9">
        <f t="shared" ca="1" si="78"/>
        <v>1</v>
      </c>
      <c r="D136" s="378" t="s">
        <v>390</v>
      </c>
      <c r="E136" s="370" t="s">
        <v>50</v>
      </c>
      <c r="F136" s="678">
        <f t="shared" ref="F136" ca="1" si="83">SUM(G136:I136)</f>
        <v>0</v>
      </c>
      <c r="G136" s="658">
        <f ca="1">+IFERROR(G$5*GETPIVOTDATA("Unique Billed Hours",'County allocation'!$A$3,"County",$D126,"HHA/CDPAP","CDPAP","Level of Service",$D136),0)</f>
        <v>0</v>
      </c>
      <c r="H136" s="659"/>
      <c r="I136" s="678">
        <f t="shared" si="80"/>
        <v>0</v>
      </c>
      <c r="J136" s="659"/>
      <c r="K136" s="659"/>
      <c r="L136" s="659"/>
      <c r="M136" s="659"/>
      <c r="N136" s="659"/>
      <c r="O136" s="659"/>
      <c r="P136" s="659"/>
    </row>
    <row r="137" spans="1:16" ht="15.75" thickBot="1" x14ac:dyDescent="0.3">
      <c r="B137" s="24"/>
      <c r="C137" s="9">
        <f t="shared" ca="1" si="78"/>
        <v>1</v>
      </c>
      <c r="D137" s="11" t="s">
        <v>48</v>
      </c>
      <c r="E137" s="53" t="s">
        <v>49</v>
      </c>
      <c r="F137" s="662">
        <f ca="1">SUBTOTAL(9,F129:F134)</f>
        <v>201757.0079046911</v>
      </c>
      <c r="G137" s="662">
        <f t="shared" ref="G137" ca="1" si="84">SUBTOTAL(9,G129:G134)</f>
        <v>8111.0660513425728</v>
      </c>
      <c r="H137" s="662">
        <f>SUBTOTAL(9,H129:H134)</f>
        <v>6983.4781180012378</v>
      </c>
      <c r="I137" s="678">
        <f t="shared" ca="1" si="80"/>
        <v>186662.46373534729</v>
      </c>
      <c r="J137" s="662">
        <f t="shared" ref="J137:P137" ca="1" si="85">SUBTOTAL(9,J129:J134)</f>
        <v>36930.64671837166</v>
      </c>
      <c r="K137" s="662">
        <f t="shared" ca="1" si="85"/>
        <v>148986.20096438099</v>
      </c>
      <c r="L137" s="662">
        <f t="shared" si="85"/>
        <v>0</v>
      </c>
      <c r="M137" s="662">
        <f t="shared" si="85"/>
        <v>687.9931502453793</v>
      </c>
      <c r="N137" s="662">
        <f t="shared" si="85"/>
        <v>57.622902349267925</v>
      </c>
      <c r="O137" s="662">
        <f t="shared" si="85"/>
        <v>0</v>
      </c>
      <c r="P137" s="662">
        <f t="shared" si="85"/>
        <v>0</v>
      </c>
    </row>
    <row r="138" spans="1:16" ht="15.75" hidden="1" thickBot="1" x14ac:dyDescent="0.3"/>
    <row r="139" spans="1:16" ht="75" x14ac:dyDescent="0.25">
      <c r="A139" s="60"/>
      <c r="B139" s="24"/>
      <c r="C139" s="9">
        <f ca="1">IF(F150&gt;0,1,0)</f>
        <v>1</v>
      </c>
      <c r="D139" s="45" t="str">
        <f>A13</f>
        <v>Clinton</v>
      </c>
      <c r="E139" s="28">
        <f>SUMIF(A:A,D139,B:B)</f>
        <v>1.9496030722264293E-3</v>
      </c>
      <c r="F139" s="652" t="s">
        <v>396</v>
      </c>
      <c r="G139" s="652" t="s">
        <v>387</v>
      </c>
      <c r="H139" s="652" t="s">
        <v>388</v>
      </c>
      <c r="I139" s="652" t="s">
        <v>392</v>
      </c>
      <c r="J139" s="652" t="s">
        <v>31</v>
      </c>
      <c r="K139" s="652" t="s">
        <v>32</v>
      </c>
      <c r="L139" s="653" t="s">
        <v>33</v>
      </c>
      <c r="M139" s="653" t="s">
        <v>60</v>
      </c>
      <c r="N139" s="653" t="s">
        <v>59</v>
      </c>
      <c r="O139" s="653" t="s">
        <v>58</v>
      </c>
      <c r="P139" s="653" t="s">
        <v>16</v>
      </c>
    </row>
    <row r="140" spans="1:16" x14ac:dyDescent="0.25">
      <c r="A140" s="60"/>
      <c r="B140" s="24"/>
      <c r="C140" s="9">
        <f ca="1">C139</f>
        <v>1</v>
      </c>
      <c r="D140" s="47"/>
      <c r="E140" s="48"/>
      <c r="F140" s="669" t="s">
        <v>57</v>
      </c>
      <c r="G140" s="669" t="s">
        <v>56</v>
      </c>
      <c r="H140" s="669" t="s">
        <v>55</v>
      </c>
      <c r="I140" s="669" t="s">
        <v>54</v>
      </c>
      <c r="J140" s="669" t="s">
        <v>53</v>
      </c>
      <c r="K140" s="669" t="s">
        <v>52</v>
      </c>
      <c r="L140" s="669" t="s">
        <v>51</v>
      </c>
      <c r="M140" s="669" t="s">
        <v>50</v>
      </c>
      <c r="N140" s="669" t="s">
        <v>49</v>
      </c>
      <c r="O140" s="669" t="s">
        <v>47</v>
      </c>
      <c r="P140" s="670" t="s">
        <v>77</v>
      </c>
    </row>
    <row r="141" spans="1:16" x14ac:dyDescent="0.25">
      <c r="B141" s="24"/>
      <c r="C141" s="9">
        <f t="shared" ref="C141:C150" ca="1" si="86">C140</f>
        <v>1</v>
      </c>
      <c r="D141" s="51" t="s">
        <v>26</v>
      </c>
      <c r="E141" s="48"/>
      <c r="F141" s="674"/>
      <c r="G141" s="674"/>
      <c r="H141" s="674"/>
      <c r="I141" s="674"/>
      <c r="J141" s="674"/>
      <c r="K141" s="674"/>
      <c r="L141" s="675"/>
      <c r="M141" s="675"/>
      <c r="N141" s="676"/>
      <c r="O141" s="674"/>
      <c r="P141" s="677"/>
    </row>
    <row r="142" spans="1:16" x14ac:dyDescent="0.25">
      <c r="B142" s="24"/>
      <c r="C142" s="9">
        <f t="shared" ca="1" si="86"/>
        <v>1</v>
      </c>
      <c r="D142" s="267" t="s">
        <v>18</v>
      </c>
      <c r="E142" s="48" t="s">
        <v>57</v>
      </c>
      <c r="F142" s="678">
        <f ca="1">SUM(G142:I142)</f>
        <v>168062.52407303519</v>
      </c>
      <c r="G142" s="658">
        <f ca="1">+IFERROR(G$5*GETPIVOTDATA("Unique Billed Hours",'County allocation'!$A$3,"County",$D139,"HHA/CDPAP","CDPAP","Level of Service",$D142),0)</f>
        <v>6756.4752653136684</v>
      </c>
      <c r="H142" s="658">
        <f>+IFERROR(H$5*GETPIVOTDATA("Unique Billed Hours",'County allocation'!$A$3,"County",$D139,"HHA/CDPAP","CDPAP","Level of Service",$D142),0)</f>
        <v>5817.2004606379196</v>
      </c>
      <c r="I142" s="678">
        <f ca="1">SUM(J142:P142)</f>
        <v>155488.84834708361</v>
      </c>
      <c r="J142" s="658">
        <f ca="1">+IFERROR(J$5*GETPIVOTDATA("Unique Billed Hours",'County allocation'!$S$3,"County",$D139,"HHA/CDPAP","CDPAP","Level of Service",$D142),0)</f>
        <v>30763.034045742221</v>
      </c>
      <c r="K142" s="658">
        <f ca="1">+IFERROR(K$5*GETPIVOTDATA("Unique Billed Hours",'County allocation'!$X$3,"County",$D139,"HHA/CDPAP","CDPAP","Level of Service",$D142),0)</f>
        <v>124104.72005985846</v>
      </c>
      <c r="L142" s="658">
        <f>+IFERROR(L$5*GETPIVOTDATA("Unique Billed Hours",'County allocation'!$K$19,"County",$D139,"HHA/CDPAP","CDPAP","Level of Service",$D142),0)</f>
        <v>0</v>
      </c>
      <c r="M142" s="658">
        <f>+IFERROR(M$5*GETPIVOTDATA("Unique Billed Hours",'County allocation'!$S$3,"County",$D139,"HHA/CDPAP","CDPAP","Level of Service",$D142),0)</f>
        <v>573.09466757069674</v>
      </c>
      <c r="N142" s="658">
        <f>+IFERROR(N$5*GETPIVOTDATA("Unique Billed Hours",'County allocation'!$S$3,"County",$D139,"HHA/CDPAP","CDPAP","Level of Service",$D142),0)</f>
        <v>47.999573912232002</v>
      </c>
      <c r="O142" s="658">
        <f>+IFERROR(O$5*GETPIVOTDATA("Unique Billed Hours",'County allocation'!$S$3,"County",$D139,"HHA/CDPAP","CDPAP","Level of Service",$D142),0)</f>
        <v>0</v>
      </c>
      <c r="P142" s="658">
        <f>+IFERROR(P$5*GETPIVOTDATA("Unique Billed Hours",'County allocation'!$S$3,"County",$D139,"HHA/CDPAP","CDPAP","Level of Service",$D142),0)</f>
        <v>0</v>
      </c>
    </row>
    <row r="143" spans="1:16" x14ac:dyDescent="0.25">
      <c r="B143" s="24"/>
      <c r="C143" s="9">
        <f t="shared" ca="1" si="86"/>
        <v>1</v>
      </c>
      <c r="D143" s="267" t="s">
        <v>42</v>
      </c>
      <c r="E143" s="48" t="s">
        <v>56</v>
      </c>
      <c r="F143" s="678">
        <f t="shared" ref="F143:F147" ca="1" si="87">SUM(G143:I143)</f>
        <v>0</v>
      </c>
      <c r="G143" s="658">
        <f ca="1">+IFERROR(G$5*GETPIVOTDATA("Unique Billed Hours",'County allocation'!$A$3,"County",$D140,"HHA/CDPAP","CDPAP","Level of Service",$D143),0)</f>
        <v>0</v>
      </c>
      <c r="H143" s="658">
        <f>+IFERROR(H$5*GETPIVOTDATA("Unique Billed Hours",'County allocation'!$A$3,"County",$D140,"HHA/CDPAP","CDPAP","Level of Service",$D143),0)</f>
        <v>0</v>
      </c>
      <c r="I143" s="678">
        <f t="shared" ref="I143:I150" ca="1" si="88">SUM(J143:P143)</f>
        <v>0</v>
      </c>
      <c r="J143" s="658">
        <f ca="1">+IFERROR(J$5*GETPIVOTDATA("Unique Billed Hours",'County allocation'!$S$3,"County",$D139,"HHA/CDPAP","CDPAP","Level of Service",$D143),0)</f>
        <v>0</v>
      </c>
      <c r="K143" s="658">
        <f ca="1">+IFERROR(K$5*GETPIVOTDATA("Unique Billed Hours",'County allocation'!$X$3,"County",$D139,"HHA/CDPAP","CDPAP","Level of Service",$D143),0)</f>
        <v>0</v>
      </c>
      <c r="L143" s="658">
        <f>+IFERROR(L$5*GETPIVOTDATA("Unique Billed Hours",'County allocation'!$K$19,"County",$D139,"HHA/CDPAP","CDPAP","Level of Service",$D143),0)</f>
        <v>0</v>
      </c>
      <c r="M143" s="658">
        <f>+IFERROR(M$5*GETPIVOTDATA("Unique Billed Hours",'County allocation'!$S$3,"County",$D139,"HHA/CDPAP","CDPAP","Level of Service",$D143),0)</f>
        <v>0</v>
      </c>
      <c r="N143" s="658">
        <f>+IFERROR(N$5*GETPIVOTDATA("Unique Billed Hours",'County allocation'!$S$3,"County",$D139,"HHA/CDPAP","CDPAP","Level of Service",$D143),0)</f>
        <v>0</v>
      </c>
      <c r="O143" s="658">
        <f>+IFERROR(O$5*GETPIVOTDATA("Unique Billed Hours",'County allocation'!$S$3,"County",$D139,"HHA/CDPAP","CDPAP","Level of Service",$D143),0)</f>
        <v>0</v>
      </c>
      <c r="P143" s="658">
        <f>+IFERROR(P$5*GETPIVOTDATA("Unique Billed Hours",'County allocation'!$S$3,"County",$D139,"HHA/CDPAP","CDPAP","Level of Service",$D143),0)</f>
        <v>0</v>
      </c>
    </row>
    <row r="144" spans="1:16" x14ac:dyDescent="0.25">
      <c r="B144" s="24"/>
      <c r="C144" s="9">
        <f t="shared" ca="1" si="86"/>
        <v>1</v>
      </c>
      <c r="D144" s="267" t="s">
        <v>43</v>
      </c>
      <c r="E144" s="48" t="s">
        <v>55</v>
      </c>
      <c r="F144" s="678">
        <f t="shared" ca="1" si="87"/>
        <v>0</v>
      </c>
      <c r="G144" s="658">
        <f ca="1">+IFERROR(G$5*GETPIVOTDATA("Unique Billed Hours",'County allocation'!$A$3,"County",$D141,"HHA/CDPAP","CDPAP","Level of Service",$D144),0)</f>
        <v>0</v>
      </c>
      <c r="H144" s="658">
        <f>+IFERROR(H$5*GETPIVOTDATA("Unique Billed Hours",'County allocation'!$A$3,"County",$D141,"HHA/CDPAP","CDPAP","Level of Service",$D144),0)</f>
        <v>0</v>
      </c>
      <c r="I144" s="678">
        <f t="shared" ca="1" si="88"/>
        <v>0</v>
      </c>
      <c r="J144" s="658">
        <f ca="1">+IFERROR(J$5*GETPIVOTDATA("Unique Billed Hours",'County allocation'!$S$3,"County",$D139,"HHA/CDPAP","CDPAP","Level of Service",$D144),0)</f>
        <v>0</v>
      </c>
      <c r="K144" s="658">
        <f ca="1">+IFERROR(K$5*GETPIVOTDATA("Unique Billed Hours",'County allocation'!$X$3,"County",$D139,"HHA/CDPAP","CDPAP","Level of Service",$D144),0)</f>
        <v>0</v>
      </c>
      <c r="L144" s="658">
        <f>+IFERROR(L$5*GETPIVOTDATA("Unique Billed Hours",'County allocation'!$K$19,"County",$D139,"HHA/CDPAP","CDPAP","Level of Service",$D144),0)</f>
        <v>0</v>
      </c>
      <c r="M144" s="658">
        <f>+IFERROR(M$5*GETPIVOTDATA("Unique Billed Hours",'County allocation'!$S$3,"County",$D139,"HHA/CDPAP","CDPAP","Level of Service",$D144),0)</f>
        <v>0</v>
      </c>
      <c r="N144" s="658">
        <f>+IFERROR(N$5*GETPIVOTDATA("Unique Billed Hours",'County allocation'!$S$3,"County",$D139,"HHA/CDPAP","CDPAP","Level of Service",$D144),0)</f>
        <v>0</v>
      </c>
      <c r="O144" s="658">
        <f>+IFERROR(O$5*GETPIVOTDATA("Unique Billed Hours",'County allocation'!$S$3,"County",$D139,"HHA/CDPAP","CDPAP","Level of Service",$D144),0)</f>
        <v>0</v>
      </c>
      <c r="P144" s="658">
        <f>+IFERROR(P$5*GETPIVOTDATA("Unique Billed Hours",'County allocation'!$S$3,"County",$D139,"HHA/CDPAP","CDPAP","Level of Service",$D144),0)</f>
        <v>0</v>
      </c>
    </row>
    <row r="145" spans="1:16" x14ac:dyDescent="0.25">
      <c r="B145" s="24"/>
      <c r="C145" s="9">
        <f t="shared" ca="1" si="86"/>
        <v>1</v>
      </c>
      <c r="D145" s="267" t="s">
        <v>44</v>
      </c>
      <c r="E145" s="48" t="s">
        <v>54</v>
      </c>
      <c r="F145" s="678">
        <f t="shared" ca="1" si="87"/>
        <v>0</v>
      </c>
      <c r="G145" s="658">
        <f ca="1">+IFERROR(G$5*GETPIVOTDATA("Unique Billed Hours",'County allocation'!$A$3,"County",$D142,"HHA/CDPAP","CDPAP","Level of Service",$D145),0)</f>
        <v>0</v>
      </c>
      <c r="H145" s="658">
        <f>+IFERROR(H$5*GETPIVOTDATA("Unique Billed Hours",'County allocation'!$A$3,"County",$D142,"HHA/CDPAP","CDPAP","Level of Service",$D145),0)</f>
        <v>0</v>
      </c>
      <c r="I145" s="678">
        <f t="shared" ca="1" si="88"/>
        <v>0</v>
      </c>
      <c r="J145" s="658">
        <f ca="1">+IFERROR(J$5*GETPIVOTDATA("Unique Billed Hours",'County allocation'!$S$3,"County",$D139,"HHA/CDPAP","CDPAP","Level of Service",$D145),0)</f>
        <v>0</v>
      </c>
      <c r="K145" s="658">
        <f ca="1">+IFERROR(K$5*GETPIVOTDATA("Unique Billed Hours",'County allocation'!$X$3,"County",$D139,"HHA/CDPAP","CDPAP","Level of Service",$D145),0)</f>
        <v>0</v>
      </c>
      <c r="L145" s="658">
        <f>+IFERROR(L$5*GETPIVOTDATA("Unique Billed Hours",'County allocation'!$K$19,"County",$D139,"HHA/CDPAP","CDPAP","Level of Service",$D145),0)</f>
        <v>0</v>
      </c>
      <c r="M145" s="658">
        <f>+IFERROR(M$5*GETPIVOTDATA("Unique Billed Hours",'County allocation'!$S$3,"County",$D139,"HHA/CDPAP","CDPAP","Level of Service",$D145),0)</f>
        <v>0</v>
      </c>
      <c r="N145" s="658">
        <f>+IFERROR(N$5*GETPIVOTDATA("Unique Billed Hours",'County allocation'!$S$3,"County",$D139,"HHA/CDPAP","CDPAP","Level of Service",$D145),0)</f>
        <v>0</v>
      </c>
      <c r="O145" s="658">
        <f>+IFERROR(O$5*GETPIVOTDATA("Unique Billed Hours",'County allocation'!$S$3,"County",$D139,"HHA/CDPAP","CDPAP","Level of Service",$D145),0)</f>
        <v>0</v>
      </c>
      <c r="P145" s="658">
        <f>+IFERROR(P$5*GETPIVOTDATA("Unique Billed Hours",'County allocation'!$S$3,"County",$D139,"HHA/CDPAP","CDPAP","Level of Service",$D145),0)</f>
        <v>0</v>
      </c>
    </row>
    <row r="146" spans="1:16" x14ac:dyDescent="0.25">
      <c r="B146" s="24"/>
      <c r="C146" s="9">
        <f t="shared" ca="1" si="86"/>
        <v>1</v>
      </c>
      <c r="D146" s="267" t="s">
        <v>45</v>
      </c>
      <c r="E146" s="48" t="s">
        <v>53</v>
      </c>
      <c r="F146" s="678">
        <f t="shared" ca="1" si="87"/>
        <v>0</v>
      </c>
      <c r="G146" s="658">
        <f ca="1">+IFERROR(G$5*GETPIVOTDATA("Unique Billed Hours",'County allocation'!$A$3,"County",$D143,"HHA/CDPAP","CDPAP","Level of Service",$D146),0)</f>
        <v>0</v>
      </c>
      <c r="H146" s="658">
        <f>+IFERROR(H$5*GETPIVOTDATA("Unique Billed Hours",'County allocation'!$A$3,"County",$D143,"HHA/CDPAP","CDPAP","Level of Service",$D146),0)</f>
        <v>0</v>
      </c>
      <c r="I146" s="678">
        <f t="shared" ca="1" si="88"/>
        <v>0</v>
      </c>
      <c r="J146" s="658">
        <f ca="1">+IFERROR(J$5*GETPIVOTDATA("Unique Billed Hours",'County allocation'!$S$3,"County",$D139,"HHA/CDPAP","CDPAP","Level of Service",$D146),0)</f>
        <v>0</v>
      </c>
      <c r="K146" s="658">
        <f ca="1">+IFERROR(K$5*GETPIVOTDATA("Unique Billed Hours",'County allocation'!$X$3,"County",$D139,"HHA/CDPAP","CDPAP","Level of Service",$D146),0)</f>
        <v>0</v>
      </c>
      <c r="L146" s="658">
        <f>+IFERROR(L$5*GETPIVOTDATA("Unique Billed Hours",'County allocation'!$K$19,"County",$D139,"HHA/CDPAP","CDPAP","Level of Service",$D146),0)</f>
        <v>0</v>
      </c>
      <c r="M146" s="658">
        <f>+IFERROR(M$5*GETPIVOTDATA("Unique Billed Hours",'County allocation'!$S$3,"County",$D139,"HHA/CDPAP","CDPAP","Level of Service",$D146),0)</f>
        <v>0</v>
      </c>
      <c r="N146" s="658">
        <f>+IFERROR(N$5*GETPIVOTDATA("Unique Billed Hours",'County allocation'!$S$3,"County",$D139,"HHA/CDPAP","CDPAP","Level of Service",$D146),0)</f>
        <v>0</v>
      </c>
      <c r="O146" s="658">
        <f>+IFERROR(O$5*GETPIVOTDATA("Unique Billed Hours",'County allocation'!$S$3,"County",$D139,"HHA/CDPAP","CDPAP","Level of Service",$D146),0)</f>
        <v>0</v>
      </c>
      <c r="P146" s="658">
        <f>+IFERROR(P$5*GETPIVOTDATA("Unique Billed Hours",'County allocation'!$S$3,"County",$D139,"HHA/CDPAP","CDPAP","Level of Service",$D146),0)</f>
        <v>0</v>
      </c>
    </row>
    <row r="147" spans="1:16" x14ac:dyDescent="0.25">
      <c r="A147" s="302"/>
      <c r="B147" s="24"/>
      <c r="C147" s="9">
        <f t="shared" ca="1" si="86"/>
        <v>1</v>
      </c>
      <c r="D147" s="267" t="s">
        <v>46</v>
      </c>
      <c r="E147" s="48" t="s">
        <v>52</v>
      </c>
      <c r="F147" s="678">
        <f t="shared" ca="1" si="87"/>
        <v>0</v>
      </c>
      <c r="G147" s="658">
        <f ca="1">+IFERROR(G$5*GETPIVOTDATA("Unique Billed Hours",'County allocation'!$A$3,"County",$D144,"HHA/CDPAP","CDPAP","Level of Service",$D147),0)</f>
        <v>0</v>
      </c>
      <c r="H147" s="658">
        <f>+IFERROR(H$5*GETPIVOTDATA("Unique Billed Hours",'County allocation'!$A$3,"County",$D144,"HHA/CDPAP","CDPAP","Level of Service",$D147),0)</f>
        <v>0</v>
      </c>
      <c r="I147" s="678">
        <f t="shared" ca="1" si="88"/>
        <v>0</v>
      </c>
      <c r="J147" s="658">
        <f ca="1">+IFERROR(J$5*GETPIVOTDATA("Unique Billed Hours",'County allocation'!$S$3,"County",$D139,"HHA/CDPAP","CDPAP","Level of Service",$D147),0)</f>
        <v>0</v>
      </c>
      <c r="K147" s="658">
        <f ca="1">+IFERROR(K$5*GETPIVOTDATA("Unique Billed Hours",'County allocation'!$X$3,"County",$D139,"HHA/CDPAP","CDPAP","Level of Service",$D147),0)</f>
        <v>0</v>
      </c>
      <c r="L147" s="658">
        <f>+IFERROR(L$5*GETPIVOTDATA("Unique Billed Hours",'County allocation'!$K$19,"County",$D139,"HHA/CDPAP","CDPAP","Level of Service",$D147),0)</f>
        <v>0</v>
      </c>
      <c r="M147" s="658">
        <f>+IFERROR(M$5*GETPIVOTDATA("Unique Billed Hours",'County allocation'!$S$3,"County",$D139,"HHA/CDPAP","CDPAP","Level of Service",$D147),0)</f>
        <v>0</v>
      </c>
      <c r="N147" s="658">
        <f>+IFERROR(N$5*GETPIVOTDATA("Unique Billed Hours",'County allocation'!$S$3,"County",$D139,"HHA/CDPAP","CDPAP","Level of Service",$D147),0)</f>
        <v>0</v>
      </c>
      <c r="O147" s="658">
        <f>+IFERROR(O$5*GETPIVOTDATA("Unique Billed Hours",'County allocation'!$S$3,"County",$D139,"HHA/CDPAP","CDPAP","Level of Service",$D147),0)</f>
        <v>0</v>
      </c>
      <c r="P147" s="658">
        <f>+IFERROR(P$5*GETPIVOTDATA("Unique Billed Hours",'County allocation'!$S$3,"County",$D139,"HHA/CDPAP","CDPAP","Level of Service",$D147),0)</f>
        <v>0</v>
      </c>
    </row>
    <row r="148" spans="1:16" ht="15.75" thickBot="1" x14ac:dyDescent="0.3">
      <c r="A148" s="302"/>
      <c r="B148" s="24"/>
      <c r="C148" s="9">
        <f t="shared" ca="1" si="86"/>
        <v>1</v>
      </c>
      <c r="D148" s="52" t="s">
        <v>389</v>
      </c>
      <c r="E148" s="370" t="s">
        <v>51</v>
      </c>
      <c r="F148" s="679">
        <f ca="1">SUM(F142:F147)</f>
        <v>168062.52407303519</v>
      </c>
      <c r="G148" s="679">
        <f t="shared" ref="G148:H148" ca="1" si="89">SUM(G142:G147)</f>
        <v>6756.4752653136684</v>
      </c>
      <c r="H148" s="679">
        <f t="shared" si="89"/>
        <v>5817.2004606379196</v>
      </c>
      <c r="I148" s="678">
        <f t="shared" ca="1" si="88"/>
        <v>155488.84834708361</v>
      </c>
      <c r="J148" s="679">
        <f ca="1">SUM(J142:J147)</f>
        <v>30763.034045742221</v>
      </c>
      <c r="K148" s="679">
        <f t="shared" ref="K148:P148" ca="1" si="90">SUM(K142:K147)</f>
        <v>124104.72005985846</v>
      </c>
      <c r="L148" s="679">
        <f t="shared" si="90"/>
        <v>0</v>
      </c>
      <c r="M148" s="679">
        <f t="shared" si="90"/>
        <v>573.09466757069674</v>
      </c>
      <c r="N148" s="679">
        <f t="shared" si="90"/>
        <v>47.999573912232002</v>
      </c>
      <c r="O148" s="679">
        <f t="shared" si="90"/>
        <v>0</v>
      </c>
      <c r="P148" s="679">
        <f t="shared" si="90"/>
        <v>0</v>
      </c>
    </row>
    <row r="149" spans="1:16" x14ac:dyDescent="0.25">
      <c r="A149" s="302"/>
      <c r="B149" s="24"/>
      <c r="C149" s="9">
        <f t="shared" ca="1" si="86"/>
        <v>1</v>
      </c>
      <c r="D149" s="378" t="s">
        <v>390</v>
      </c>
      <c r="E149" s="370" t="s">
        <v>50</v>
      </c>
      <c r="F149" s="678">
        <f t="shared" ref="F149" ca="1" si="91">SUM(G149:I149)</f>
        <v>0</v>
      </c>
      <c r="G149" s="658">
        <f ca="1">+IFERROR(G$5*GETPIVOTDATA("Unique Billed Hours",'County allocation'!$A$3,"County",$D139,"HHA/CDPAP","CDPAP","Level of Service",$D149),0)</f>
        <v>0</v>
      </c>
      <c r="H149" s="659"/>
      <c r="I149" s="678">
        <f t="shared" si="88"/>
        <v>0</v>
      </c>
      <c r="J149" s="659"/>
      <c r="K149" s="659"/>
      <c r="L149" s="659"/>
      <c r="M149" s="659"/>
      <c r="N149" s="659"/>
      <c r="O149" s="659"/>
      <c r="P149" s="659"/>
    </row>
    <row r="150" spans="1:16" ht="15.75" thickBot="1" x14ac:dyDescent="0.3">
      <c r="B150" s="24"/>
      <c r="C150" s="9">
        <f t="shared" ca="1" si="86"/>
        <v>1</v>
      </c>
      <c r="D150" s="11" t="s">
        <v>48</v>
      </c>
      <c r="E150" s="53" t="s">
        <v>49</v>
      </c>
      <c r="F150" s="662">
        <f ca="1">SUBTOTAL(9,F142:F147)</f>
        <v>168062.52407303519</v>
      </c>
      <c r="G150" s="662">
        <f t="shared" ref="G150" ca="1" si="92">SUBTOTAL(9,G142:G147)</f>
        <v>6756.4752653136684</v>
      </c>
      <c r="H150" s="662">
        <f>SUBTOTAL(9,H142:H147)</f>
        <v>5817.2004606379196</v>
      </c>
      <c r="I150" s="678">
        <f t="shared" ca="1" si="88"/>
        <v>155488.84834708361</v>
      </c>
      <c r="J150" s="662">
        <f t="shared" ref="J150:P150" ca="1" si="93">SUBTOTAL(9,J142:J147)</f>
        <v>30763.034045742221</v>
      </c>
      <c r="K150" s="662">
        <f t="shared" ca="1" si="93"/>
        <v>124104.72005985846</v>
      </c>
      <c r="L150" s="662">
        <f t="shared" si="93"/>
        <v>0</v>
      </c>
      <c r="M150" s="662">
        <f t="shared" si="93"/>
        <v>573.09466757069674</v>
      </c>
      <c r="N150" s="662">
        <f t="shared" si="93"/>
        <v>47.999573912232002</v>
      </c>
      <c r="O150" s="662">
        <f t="shared" si="93"/>
        <v>0</v>
      </c>
      <c r="P150" s="662">
        <f t="shared" si="93"/>
        <v>0</v>
      </c>
    </row>
    <row r="151" spans="1:16" ht="15.75" hidden="1" thickBot="1" x14ac:dyDescent="0.3"/>
    <row r="152" spans="1:16" ht="75" x14ac:dyDescent="0.25">
      <c r="A152" s="60"/>
      <c r="B152" s="24"/>
      <c r="C152" s="9">
        <f ca="1">IF(F163&gt;0,1,0)</f>
        <v>1</v>
      </c>
      <c r="D152" s="45" t="str">
        <f>A14</f>
        <v>Columbia</v>
      </c>
      <c r="E152" s="28">
        <f>SUMIF(A:A,D152,B:B)</f>
        <v>5.0344880099186158E-4</v>
      </c>
      <c r="F152" s="652" t="s">
        <v>396</v>
      </c>
      <c r="G152" s="652" t="s">
        <v>387</v>
      </c>
      <c r="H152" s="652" t="s">
        <v>388</v>
      </c>
      <c r="I152" s="652" t="s">
        <v>392</v>
      </c>
      <c r="J152" s="652" t="s">
        <v>31</v>
      </c>
      <c r="K152" s="652" t="s">
        <v>32</v>
      </c>
      <c r="L152" s="653" t="s">
        <v>33</v>
      </c>
      <c r="M152" s="653" t="s">
        <v>60</v>
      </c>
      <c r="N152" s="653" t="s">
        <v>59</v>
      </c>
      <c r="O152" s="653" t="s">
        <v>58</v>
      </c>
      <c r="P152" s="653" t="s">
        <v>16</v>
      </c>
    </row>
    <row r="153" spans="1:16" x14ac:dyDescent="0.25">
      <c r="A153" s="60"/>
      <c r="B153" s="24"/>
      <c r="C153" s="9">
        <f ca="1">C152</f>
        <v>1</v>
      </c>
      <c r="D153" s="47"/>
      <c r="E153" s="48"/>
      <c r="F153" s="669" t="s">
        <v>57</v>
      </c>
      <c r="G153" s="669" t="s">
        <v>56</v>
      </c>
      <c r="H153" s="669" t="s">
        <v>55</v>
      </c>
      <c r="I153" s="669" t="s">
        <v>54</v>
      </c>
      <c r="J153" s="669" t="s">
        <v>53</v>
      </c>
      <c r="K153" s="669" t="s">
        <v>52</v>
      </c>
      <c r="L153" s="669" t="s">
        <v>51</v>
      </c>
      <c r="M153" s="669" t="s">
        <v>50</v>
      </c>
      <c r="N153" s="669" t="s">
        <v>49</v>
      </c>
      <c r="O153" s="669" t="s">
        <v>47</v>
      </c>
      <c r="P153" s="670" t="s">
        <v>77</v>
      </c>
    </row>
    <row r="154" spans="1:16" x14ac:dyDescent="0.25">
      <c r="B154" s="24"/>
      <c r="C154" s="9">
        <f t="shared" ref="C154:C163" ca="1" si="94">C153</f>
        <v>1</v>
      </c>
      <c r="D154" s="51" t="s">
        <v>26</v>
      </c>
      <c r="E154" s="48"/>
      <c r="F154" s="674"/>
      <c r="G154" s="674"/>
      <c r="H154" s="674"/>
      <c r="I154" s="674"/>
      <c r="J154" s="674"/>
      <c r="K154" s="674"/>
      <c r="L154" s="675"/>
      <c r="M154" s="675"/>
      <c r="N154" s="676"/>
      <c r="O154" s="674"/>
      <c r="P154" s="677"/>
    </row>
    <row r="155" spans="1:16" x14ac:dyDescent="0.25">
      <c r="B155" s="24"/>
      <c r="C155" s="9">
        <f t="shared" ca="1" si="94"/>
        <v>1</v>
      </c>
      <c r="D155" s="267" t="s">
        <v>18</v>
      </c>
      <c r="E155" s="48" t="s">
        <v>57</v>
      </c>
      <c r="F155" s="678">
        <f ca="1">SUM(G155:I155)</f>
        <v>43399.026930959117</v>
      </c>
      <c r="G155" s="658">
        <f ca="1">+IFERROR(G$5*GETPIVOTDATA("Unique Billed Hours",'County allocation'!$A$3,"County",$D152,"HHA/CDPAP","CDPAP","Level of Service",$D155),0)</f>
        <v>1744.7343101325791</v>
      </c>
      <c r="H155" s="658">
        <f>+IFERROR(H$5*GETPIVOTDATA("Unique Billed Hours",'County allocation'!$A$3,"County",$D152,"HHA/CDPAP","CDPAP","Level of Service",$D155),0)</f>
        <v>1502.1840285125108</v>
      </c>
      <c r="I155" s="678">
        <f ca="1">SUM(J155:P155)</f>
        <v>40152.108592314027</v>
      </c>
      <c r="J155" s="658">
        <f ca="1">+IFERROR(J$5*GETPIVOTDATA("Unique Billed Hours",'County allocation'!$S$3,"County",$D152,"HHA/CDPAP","CDPAP","Level of Service",$D155),0)</f>
        <v>7943.982457677409</v>
      </c>
      <c r="K155" s="658">
        <f ca="1">+IFERROR(K$5*GETPIVOTDATA("Unique Billed Hours",'County allocation'!$X$3,"County",$D152,"HHA/CDPAP","CDPAP","Level of Service",$D155),0)</f>
        <v>32047.740076760521</v>
      </c>
      <c r="L155" s="658">
        <f>+IFERROR(L$5*GETPIVOTDATA("Unique Billed Hours",'County allocation'!$K$19,"County",$D152,"HHA/CDPAP","CDPAP","Level of Service",$D155),0)</f>
        <v>0</v>
      </c>
      <c r="M155" s="658">
        <f>+IFERROR(M$5*GETPIVOTDATA("Unique Billed Hours",'County allocation'!$S$3,"County",$D152,"HHA/CDPAP","CDPAP","Level of Service",$D155),0)</f>
        <v>147.9910589768435</v>
      </c>
      <c r="N155" s="658">
        <f>+IFERROR(N$5*GETPIVOTDATA("Unique Billed Hours",'County allocation'!$S$3,"County",$D152,"HHA/CDPAP","CDPAP","Level of Service",$D155),0)</f>
        <v>12.394998899256375</v>
      </c>
      <c r="O155" s="658">
        <f>+IFERROR(O$5*GETPIVOTDATA("Unique Billed Hours",'County allocation'!$S$3,"County",$D152,"HHA/CDPAP","CDPAP","Level of Service",$D155),0)</f>
        <v>0</v>
      </c>
      <c r="P155" s="658">
        <f>+IFERROR(P$5*GETPIVOTDATA("Unique Billed Hours",'County allocation'!$S$3,"County",$D152,"HHA/CDPAP","CDPAP","Level of Service",$D155),0)</f>
        <v>0</v>
      </c>
    </row>
    <row r="156" spans="1:16" x14ac:dyDescent="0.25">
      <c r="B156" s="24"/>
      <c r="C156" s="9">
        <f t="shared" ca="1" si="94"/>
        <v>1</v>
      </c>
      <c r="D156" s="267" t="s">
        <v>42</v>
      </c>
      <c r="E156" s="48" t="s">
        <v>56</v>
      </c>
      <c r="F156" s="678">
        <f t="shared" ref="F156:F160" ca="1" si="95">SUM(G156:I156)</f>
        <v>0</v>
      </c>
      <c r="G156" s="658">
        <f ca="1">+IFERROR(G$5*GETPIVOTDATA("Unique Billed Hours",'County allocation'!$A$3,"County",$D152,"HHA/CDPAP","CDPAP","Level of Service",$D156),0)</f>
        <v>0</v>
      </c>
      <c r="H156" s="658">
        <f>+IFERROR(H$5*GETPIVOTDATA("Unique Billed Hours",'County allocation'!$A$3,"County",$D152,"HHA/CDPAP","CDPAP","Level of Service",$D156),0)</f>
        <v>0</v>
      </c>
      <c r="I156" s="678">
        <f t="shared" ref="I156:I163" ca="1" si="96">SUM(J156:P156)</f>
        <v>0</v>
      </c>
      <c r="J156" s="658">
        <f ca="1">+IFERROR(J$5*GETPIVOTDATA("Unique Billed Hours",'County allocation'!$S$3,"County",$D152,"HHA/CDPAP","CDPAP","Level of Service",$D156),0)</f>
        <v>0</v>
      </c>
      <c r="K156" s="658">
        <f ca="1">+IFERROR(K$5*GETPIVOTDATA("Unique Billed Hours",'County allocation'!$X$3,"County",$D152,"HHA/CDPAP","CDPAP","Level of Service",$D156),0)</f>
        <v>0</v>
      </c>
      <c r="L156" s="658">
        <f>+IFERROR(L$5*GETPIVOTDATA("Unique Billed Hours",'County allocation'!$K$19,"County",$D152,"HHA/CDPAP","CDPAP","Level of Service",$D156),0)</f>
        <v>0</v>
      </c>
      <c r="M156" s="658">
        <f>+IFERROR(M$5*GETPIVOTDATA("Unique Billed Hours",'County allocation'!$S$3,"County",$D152,"HHA/CDPAP","CDPAP","Level of Service",$D156),0)</f>
        <v>0</v>
      </c>
      <c r="N156" s="658">
        <f>+IFERROR(N$5*GETPIVOTDATA("Unique Billed Hours",'County allocation'!$S$3,"County",$D152,"HHA/CDPAP","CDPAP","Level of Service",$D156),0)</f>
        <v>0</v>
      </c>
      <c r="O156" s="658">
        <f>+IFERROR(O$5*GETPIVOTDATA("Unique Billed Hours",'County allocation'!$S$3,"County",$D152,"HHA/CDPAP","CDPAP","Level of Service",$D156),0)</f>
        <v>0</v>
      </c>
      <c r="P156" s="658">
        <f>+IFERROR(P$5*GETPIVOTDATA("Unique Billed Hours",'County allocation'!$S$3,"County",$D152,"HHA/CDPAP","CDPAP","Level of Service",$D156),0)</f>
        <v>0</v>
      </c>
    </row>
    <row r="157" spans="1:16" x14ac:dyDescent="0.25">
      <c r="B157" s="24"/>
      <c r="C157" s="9">
        <f t="shared" ca="1" si="94"/>
        <v>1</v>
      </c>
      <c r="D157" s="267" t="s">
        <v>43</v>
      </c>
      <c r="E157" s="48" t="s">
        <v>55</v>
      </c>
      <c r="F157" s="678">
        <f t="shared" ca="1" si="95"/>
        <v>0</v>
      </c>
      <c r="G157" s="658">
        <f ca="1">+IFERROR(G$5*GETPIVOTDATA("Unique Billed Hours",'County allocation'!$A$3,"County",$D152,"HHA/CDPAP","CDPAP","Level of Service",$D157),0)</f>
        <v>0</v>
      </c>
      <c r="H157" s="658">
        <f>+IFERROR(H$5*GETPIVOTDATA("Unique Billed Hours",'County allocation'!$A$3,"County",$D152,"HHA/CDPAP","CDPAP","Level of Service",$D157),0)</f>
        <v>0</v>
      </c>
      <c r="I157" s="678">
        <f t="shared" ca="1" si="96"/>
        <v>0</v>
      </c>
      <c r="J157" s="658">
        <f ca="1">+IFERROR(J$5*GETPIVOTDATA("Unique Billed Hours",'County allocation'!$S$3,"County",$D152,"HHA/CDPAP","CDPAP","Level of Service",$D157),0)</f>
        <v>0</v>
      </c>
      <c r="K157" s="658">
        <f ca="1">+IFERROR(K$5*GETPIVOTDATA("Unique Billed Hours",'County allocation'!$X$3,"County",$D152,"HHA/CDPAP","CDPAP","Level of Service",$D157),0)</f>
        <v>0</v>
      </c>
      <c r="L157" s="658">
        <f>+IFERROR(L$5*GETPIVOTDATA("Unique Billed Hours",'County allocation'!$K$19,"County",$D152,"HHA/CDPAP","CDPAP","Level of Service",$D157),0)</f>
        <v>0</v>
      </c>
      <c r="M157" s="658">
        <f>+IFERROR(M$5*GETPIVOTDATA("Unique Billed Hours",'County allocation'!$S$3,"County",$D152,"HHA/CDPAP","CDPAP","Level of Service",$D157),0)</f>
        <v>0</v>
      </c>
      <c r="N157" s="658">
        <f>+IFERROR(N$5*GETPIVOTDATA("Unique Billed Hours",'County allocation'!$S$3,"County",$D152,"HHA/CDPAP","CDPAP","Level of Service",$D157),0)</f>
        <v>0</v>
      </c>
      <c r="O157" s="658">
        <f>+IFERROR(O$5*GETPIVOTDATA("Unique Billed Hours",'County allocation'!$S$3,"County",$D152,"HHA/CDPAP","CDPAP","Level of Service",$D157),0)</f>
        <v>0</v>
      </c>
      <c r="P157" s="658">
        <f>+IFERROR(P$5*GETPIVOTDATA("Unique Billed Hours",'County allocation'!$S$3,"County",$D152,"HHA/CDPAP","CDPAP","Level of Service",$D157),0)</f>
        <v>0</v>
      </c>
    </row>
    <row r="158" spans="1:16" x14ac:dyDescent="0.25">
      <c r="B158" s="24"/>
      <c r="C158" s="9">
        <f t="shared" ca="1" si="94"/>
        <v>1</v>
      </c>
      <c r="D158" s="267" t="s">
        <v>44</v>
      </c>
      <c r="E158" s="48" t="s">
        <v>54</v>
      </c>
      <c r="F158" s="678">
        <f t="shared" ca="1" si="95"/>
        <v>0</v>
      </c>
      <c r="G158" s="658">
        <f ca="1">+IFERROR(G$5*GETPIVOTDATA("Unique Billed Hours",'County allocation'!$A$3,"County",$D152,"HHA/CDPAP","CDPAP","Level of Service",$D158),0)</f>
        <v>0</v>
      </c>
      <c r="H158" s="658">
        <f>+IFERROR(H$5*GETPIVOTDATA("Unique Billed Hours",'County allocation'!$A$3,"County",$D152,"HHA/CDPAP","CDPAP","Level of Service",$D158),0)</f>
        <v>0</v>
      </c>
      <c r="I158" s="678">
        <f t="shared" ca="1" si="96"/>
        <v>0</v>
      </c>
      <c r="J158" s="658">
        <f ca="1">+IFERROR(J$5*GETPIVOTDATA("Unique Billed Hours",'County allocation'!$S$3,"County",$D152,"HHA/CDPAP","CDPAP","Level of Service",$D158),0)</f>
        <v>0</v>
      </c>
      <c r="K158" s="658">
        <f ca="1">+IFERROR(K$5*GETPIVOTDATA("Unique Billed Hours",'County allocation'!$X$3,"County",$D152,"HHA/CDPAP","CDPAP","Level of Service",$D158),0)</f>
        <v>0</v>
      </c>
      <c r="L158" s="658">
        <f>+IFERROR(L$5*GETPIVOTDATA("Unique Billed Hours",'County allocation'!$K$19,"County",$D152,"HHA/CDPAP","CDPAP","Level of Service",$D158),0)</f>
        <v>0</v>
      </c>
      <c r="M158" s="658">
        <f>+IFERROR(M$5*GETPIVOTDATA("Unique Billed Hours",'County allocation'!$S$3,"County",$D152,"HHA/CDPAP","CDPAP","Level of Service",$D158),0)</f>
        <v>0</v>
      </c>
      <c r="N158" s="658">
        <f>+IFERROR(N$5*GETPIVOTDATA("Unique Billed Hours",'County allocation'!$S$3,"County",$D152,"HHA/CDPAP","CDPAP","Level of Service",$D158),0)</f>
        <v>0</v>
      </c>
      <c r="O158" s="658">
        <f>+IFERROR(O$5*GETPIVOTDATA("Unique Billed Hours",'County allocation'!$S$3,"County",$D152,"HHA/CDPAP","CDPAP","Level of Service",$D158),0)</f>
        <v>0</v>
      </c>
      <c r="P158" s="658">
        <f>+IFERROR(P$5*GETPIVOTDATA("Unique Billed Hours",'County allocation'!$S$3,"County",$D152,"HHA/CDPAP","CDPAP","Level of Service",$D158),0)</f>
        <v>0</v>
      </c>
    </row>
    <row r="159" spans="1:16" x14ac:dyDescent="0.25">
      <c r="B159" s="24"/>
      <c r="C159" s="9">
        <f t="shared" ca="1" si="94"/>
        <v>1</v>
      </c>
      <c r="D159" s="267" t="s">
        <v>45</v>
      </c>
      <c r="E159" s="48" t="s">
        <v>53</v>
      </c>
      <c r="F159" s="678">
        <f t="shared" ca="1" si="95"/>
        <v>0</v>
      </c>
      <c r="G159" s="658">
        <f ca="1">+IFERROR(G$5*GETPIVOTDATA("Unique Billed Hours",'County allocation'!$A$3,"County",$D152,"HHA/CDPAP","CDPAP","Level of Service",$D159),0)</f>
        <v>0</v>
      </c>
      <c r="H159" s="658">
        <f>+IFERROR(H$5*GETPIVOTDATA("Unique Billed Hours",'County allocation'!$A$3,"County",$D152,"HHA/CDPAP","CDPAP","Level of Service",$D159),0)</f>
        <v>0</v>
      </c>
      <c r="I159" s="678">
        <f t="shared" ca="1" si="96"/>
        <v>0</v>
      </c>
      <c r="J159" s="658">
        <f ca="1">+IFERROR(J$5*GETPIVOTDATA("Unique Billed Hours",'County allocation'!$S$3,"County",$D152,"HHA/CDPAP","CDPAP","Level of Service",$D159),0)</f>
        <v>0</v>
      </c>
      <c r="K159" s="658">
        <f ca="1">+IFERROR(K$5*GETPIVOTDATA("Unique Billed Hours",'County allocation'!$X$3,"County",$D152,"HHA/CDPAP","CDPAP","Level of Service",$D159),0)</f>
        <v>0</v>
      </c>
      <c r="L159" s="658">
        <f>+IFERROR(L$5*GETPIVOTDATA("Unique Billed Hours",'County allocation'!$K$19,"County",$D152,"HHA/CDPAP","CDPAP","Level of Service",$D159),0)</f>
        <v>0</v>
      </c>
      <c r="M159" s="658">
        <f>+IFERROR(M$5*GETPIVOTDATA("Unique Billed Hours",'County allocation'!$S$3,"County",$D152,"HHA/CDPAP","CDPAP","Level of Service",$D159),0)</f>
        <v>0</v>
      </c>
      <c r="N159" s="658">
        <f>+IFERROR(N$5*GETPIVOTDATA("Unique Billed Hours",'County allocation'!$S$3,"County",$D152,"HHA/CDPAP","CDPAP","Level of Service",$D159),0)</f>
        <v>0</v>
      </c>
      <c r="O159" s="658">
        <f>+IFERROR(O$5*GETPIVOTDATA("Unique Billed Hours",'County allocation'!$S$3,"County",$D152,"HHA/CDPAP","CDPAP","Level of Service",$D159),0)</f>
        <v>0</v>
      </c>
      <c r="P159" s="658">
        <f>+IFERROR(P$5*GETPIVOTDATA("Unique Billed Hours",'County allocation'!$S$3,"County",$D152,"HHA/CDPAP","CDPAP","Level of Service",$D159),0)</f>
        <v>0</v>
      </c>
    </row>
    <row r="160" spans="1:16" x14ac:dyDescent="0.25">
      <c r="A160" s="302"/>
      <c r="B160" s="24"/>
      <c r="C160" s="9">
        <f t="shared" ca="1" si="94"/>
        <v>1</v>
      </c>
      <c r="D160" s="267" t="s">
        <v>46</v>
      </c>
      <c r="E160" s="48" t="s">
        <v>52</v>
      </c>
      <c r="F160" s="678">
        <f t="shared" ca="1" si="95"/>
        <v>0</v>
      </c>
      <c r="G160" s="658">
        <f ca="1">+IFERROR(G$5*GETPIVOTDATA("Unique Billed Hours",'County allocation'!$A$3,"County",$D152,"HHA/CDPAP","CDPAP","Level of Service",$D160),0)</f>
        <v>0</v>
      </c>
      <c r="H160" s="658">
        <f>+IFERROR(H$5*GETPIVOTDATA("Unique Billed Hours",'County allocation'!$A$3,"County",$D152,"HHA/CDPAP","CDPAP","Level of Service",$D160),0)</f>
        <v>0</v>
      </c>
      <c r="I160" s="678">
        <f t="shared" ca="1" si="96"/>
        <v>0</v>
      </c>
      <c r="J160" s="658">
        <f ca="1">+IFERROR(J$5*GETPIVOTDATA("Unique Billed Hours",'County allocation'!$S$3,"County",$D152,"HHA/CDPAP","CDPAP","Level of Service",$D160),0)</f>
        <v>0</v>
      </c>
      <c r="K160" s="658">
        <f ca="1">+IFERROR(K$5*GETPIVOTDATA("Unique Billed Hours",'County allocation'!$X$3,"County",$D152,"HHA/CDPAP","CDPAP","Level of Service",$D160),0)</f>
        <v>0</v>
      </c>
      <c r="L160" s="658">
        <f>+IFERROR(L$5*GETPIVOTDATA("Unique Billed Hours",'County allocation'!$K$19,"County",$D152,"HHA/CDPAP","CDPAP","Level of Service",$D160),0)</f>
        <v>0</v>
      </c>
      <c r="M160" s="658">
        <f>+IFERROR(M$5*GETPIVOTDATA("Unique Billed Hours",'County allocation'!$S$3,"County",$D152,"HHA/CDPAP","CDPAP","Level of Service",$D160),0)</f>
        <v>0</v>
      </c>
      <c r="N160" s="658">
        <f>+IFERROR(N$5*GETPIVOTDATA("Unique Billed Hours",'County allocation'!$S$3,"County",$D152,"HHA/CDPAP","CDPAP","Level of Service",$D160),0)</f>
        <v>0</v>
      </c>
      <c r="O160" s="658">
        <f>+IFERROR(O$5*GETPIVOTDATA("Unique Billed Hours",'County allocation'!$S$3,"County",$D152,"HHA/CDPAP","CDPAP","Level of Service",$D160),0)</f>
        <v>0</v>
      </c>
      <c r="P160" s="658">
        <f>+IFERROR(P$5*GETPIVOTDATA("Unique Billed Hours",'County allocation'!$S$3,"County",$D152,"HHA/CDPAP","CDPAP","Level of Service",$D160),0)</f>
        <v>0</v>
      </c>
    </row>
    <row r="161" spans="1:16" ht="15.75" thickBot="1" x14ac:dyDescent="0.3">
      <c r="A161" s="302"/>
      <c r="B161" s="24"/>
      <c r="C161" s="9">
        <f t="shared" ca="1" si="94"/>
        <v>1</v>
      </c>
      <c r="D161" s="52" t="s">
        <v>389</v>
      </c>
      <c r="E161" s="370" t="s">
        <v>51</v>
      </c>
      <c r="F161" s="679">
        <f ca="1">SUM(F155:F160)</f>
        <v>43399.026930959117</v>
      </c>
      <c r="G161" s="679">
        <f t="shared" ref="G161:H161" ca="1" si="97">SUM(G155:G160)</f>
        <v>1744.7343101325791</v>
      </c>
      <c r="H161" s="679">
        <f t="shared" si="97"/>
        <v>1502.1840285125108</v>
      </c>
      <c r="I161" s="678">
        <f t="shared" ca="1" si="96"/>
        <v>40152.108592314027</v>
      </c>
      <c r="J161" s="679">
        <f ca="1">SUM(J155:J160)</f>
        <v>7943.982457677409</v>
      </c>
      <c r="K161" s="679">
        <f t="shared" ref="K161:P161" ca="1" si="98">SUM(K155:K160)</f>
        <v>32047.740076760521</v>
      </c>
      <c r="L161" s="679">
        <f t="shared" si="98"/>
        <v>0</v>
      </c>
      <c r="M161" s="679">
        <f t="shared" si="98"/>
        <v>147.9910589768435</v>
      </c>
      <c r="N161" s="679">
        <f t="shared" si="98"/>
        <v>12.394998899256375</v>
      </c>
      <c r="O161" s="679">
        <f t="shared" si="98"/>
        <v>0</v>
      </c>
      <c r="P161" s="679">
        <f t="shared" si="98"/>
        <v>0</v>
      </c>
    </row>
    <row r="162" spans="1:16" x14ac:dyDescent="0.25">
      <c r="A162" s="302"/>
      <c r="B162" s="24"/>
      <c r="C162" s="9">
        <f t="shared" ca="1" si="94"/>
        <v>1</v>
      </c>
      <c r="D162" s="378" t="s">
        <v>390</v>
      </c>
      <c r="E162" s="370" t="s">
        <v>50</v>
      </c>
      <c r="F162" s="678">
        <f t="shared" ref="F162" ca="1" si="99">SUM(G162:I162)</f>
        <v>0</v>
      </c>
      <c r="G162" s="658">
        <f ca="1">+IFERROR(G$5*GETPIVOTDATA("Unique Billed Hours",'County allocation'!$A$3,"County",$D152,"HHA/CDPAP","CDPAP","Level of Service",$D162),0)</f>
        <v>0</v>
      </c>
      <c r="H162" s="659"/>
      <c r="I162" s="678">
        <f t="shared" si="96"/>
        <v>0</v>
      </c>
      <c r="J162" s="659"/>
      <c r="K162" s="659"/>
      <c r="L162" s="659"/>
      <c r="M162" s="659"/>
      <c r="N162" s="659"/>
      <c r="O162" s="659"/>
      <c r="P162" s="659"/>
    </row>
    <row r="163" spans="1:16" ht="15.75" thickBot="1" x14ac:dyDescent="0.3">
      <c r="B163" s="24"/>
      <c r="C163" s="9">
        <f t="shared" ca="1" si="94"/>
        <v>1</v>
      </c>
      <c r="D163" s="11" t="s">
        <v>48</v>
      </c>
      <c r="E163" s="53" t="s">
        <v>49</v>
      </c>
      <c r="F163" s="662">
        <f ca="1">SUBTOTAL(9,F155:F160)</f>
        <v>43399.026930959117</v>
      </c>
      <c r="G163" s="662">
        <f t="shared" ref="G163" ca="1" si="100">SUBTOTAL(9,G155:G160)</f>
        <v>1744.7343101325791</v>
      </c>
      <c r="H163" s="662">
        <f>SUBTOTAL(9,H155:H160)</f>
        <v>1502.1840285125108</v>
      </c>
      <c r="I163" s="678">
        <f t="shared" ca="1" si="96"/>
        <v>40152.108592314027</v>
      </c>
      <c r="J163" s="662">
        <f t="shared" ref="J163:P163" ca="1" si="101">SUBTOTAL(9,J155:J160)</f>
        <v>7943.982457677409</v>
      </c>
      <c r="K163" s="662">
        <f t="shared" ca="1" si="101"/>
        <v>32047.740076760521</v>
      </c>
      <c r="L163" s="662">
        <f t="shared" si="101"/>
        <v>0</v>
      </c>
      <c r="M163" s="662">
        <f t="shared" si="101"/>
        <v>147.9910589768435</v>
      </c>
      <c r="N163" s="662">
        <f t="shared" si="101"/>
        <v>12.394998899256375</v>
      </c>
      <c r="O163" s="662">
        <f t="shared" si="101"/>
        <v>0</v>
      </c>
      <c r="P163" s="662">
        <f t="shared" si="101"/>
        <v>0</v>
      </c>
    </row>
    <row r="164" spans="1:16" ht="15.75" hidden="1" thickBot="1" x14ac:dyDescent="0.3"/>
    <row r="165" spans="1:16" ht="75" x14ac:dyDescent="0.25">
      <c r="A165" s="60"/>
      <c r="B165" s="24"/>
      <c r="C165" s="9">
        <f ca="1">IF(F176&gt;0,1,0)</f>
        <v>1</v>
      </c>
      <c r="D165" s="45" t="str">
        <f>A15</f>
        <v>Cortland</v>
      </c>
      <c r="E165" s="28">
        <f>SUMIF(A:A,D165,B:B)</f>
        <v>1.1321975588355585E-3</v>
      </c>
      <c r="F165" s="652" t="s">
        <v>396</v>
      </c>
      <c r="G165" s="652" t="s">
        <v>387</v>
      </c>
      <c r="H165" s="652" t="s">
        <v>388</v>
      </c>
      <c r="I165" s="652" t="s">
        <v>392</v>
      </c>
      <c r="J165" s="652" t="s">
        <v>31</v>
      </c>
      <c r="K165" s="652" t="s">
        <v>32</v>
      </c>
      <c r="L165" s="653" t="s">
        <v>33</v>
      </c>
      <c r="M165" s="653" t="s">
        <v>60</v>
      </c>
      <c r="N165" s="653" t="s">
        <v>59</v>
      </c>
      <c r="O165" s="653" t="s">
        <v>58</v>
      </c>
      <c r="P165" s="653" t="s">
        <v>16</v>
      </c>
    </row>
    <row r="166" spans="1:16" x14ac:dyDescent="0.25">
      <c r="A166" s="60"/>
      <c r="B166" s="24"/>
      <c r="C166" s="9">
        <f ca="1">C165</f>
        <v>1</v>
      </c>
      <c r="D166" s="47"/>
      <c r="E166" s="48"/>
      <c r="F166" s="669" t="s">
        <v>57</v>
      </c>
      <c r="G166" s="669" t="s">
        <v>56</v>
      </c>
      <c r="H166" s="669" t="s">
        <v>55</v>
      </c>
      <c r="I166" s="669" t="s">
        <v>54</v>
      </c>
      <c r="J166" s="669" t="s">
        <v>53</v>
      </c>
      <c r="K166" s="669" t="s">
        <v>52</v>
      </c>
      <c r="L166" s="669" t="s">
        <v>51</v>
      </c>
      <c r="M166" s="669" t="s">
        <v>50</v>
      </c>
      <c r="N166" s="669" t="s">
        <v>49</v>
      </c>
      <c r="O166" s="669" t="s">
        <v>47</v>
      </c>
      <c r="P166" s="670" t="s">
        <v>77</v>
      </c>
    </row>
    <row r="167" spans="1:16" x14ac:dyDescent="0.25">
      <c r="B167" s="24"/>
      <c r="C167" s="9">
        <f t="shared" ref="C167:C176" ca="1" si="102">C166</f>
        <v>1</v>
      </c>
      <c r="D167" s="51" t="s">
        <v>26</v>
      </c>
      <c r="E167" s="48"/>
      <c r="F167" s="674"/>
      <c r="G167" s="674"/>
      <c r="H167" s="674"/>
      <c r="I167" s="674"/>
      <c r="J167" s="674"/>
      <c r="K167" s="674"/>
      <c r="L167" s="675"/>
      <c r="M167" s="675"/>
      <c r="N167" s="676"/>
      <c r="O167" s="674"/>
      <c r="P167" s="677"/>
    </row>
    <row r="168" spans="1:16" x14ac:dyDescent="0.25">
      <c r="B168" s="24"/>
      <c r="C168" s="9">
        <f t="shared" ca="1" si="102"/>
        <v>1</v>
      </c>
      <c r="D168" s="267" t="s">
        <v>18</v>
      </c>
      <c r="E168" s="48" t="s">
        <v>57</v>
      </c>
      <c r="F168" s="678">
        <f ca="1">SUM(G168:I168)</f>
        <v>97599.343270389247</v>
      </c>
      <c r="G168" s="658">
        <f ca="1">+IFERROR(G$5*GETPIVOTDATA("Unique Billed Hours",'County allocation'!$A$3,"County",$D165,"HHA/CDPAP","CDPAP","Level of Service",$D168),0)</f>
        <v>3923.7037070243832</v>
      </c>
      <c r="H168" s="658">
        <f>+IFERROR(H$5*GETPIVOTDATA("Unique Billed Hours",'County allocation'!$A$3,"County",$D165,"HHA/CDPAP","CDPAP","Level of Service",$D168),0)</f>
        <v>3378.2364495712113</v>
      </c>
      <c r="I168" s="678">
        <f ca="1">SUM(J168:P168)</f>
        <v>90297.403113793654</v>
      </c>
      <c r="J168" s="658">
        <f ca="1">+IFERROR(J$5*GETPIVOTDATA("Unique Billed Hours",'County allocation'!$S$3,"County",$D165,"HHA/CDPAP","CDPAP","Level of Service",$D168),0)</f>
        <v>17865.088819945879</v>
      </c>
      <c r="K168" s="658">
        <f ca="1">+IFERROR(K$5*GETPIVOTDATA("Unique Billed Hours",'County allocation'!$X$3,"County",$D165,"HHA/CDPAP","CDPAP","Level of Service",$D168),0)</f>
        <v>72071.624780155762</v>
      </c>
      <c r="L168" s="658">
        <f>+IFERROR(L$5*GETPIVOTDATA("Unique Billed Hours",'County allocation'!$K$19,"County",$D165,"HHA/CDPAP","CDPAP","Level of Service",$D168),0)</f>
        <v>0</v>
      </c>
      <c r="M168" s="658">
        <f>+IFERROR(M$5*GETPIVOTDATA("Unique Billed Hours",'County allocation'!$S$3,"County",$D165,"HHA/CDPAP","CDPAP","Level of Service",$D168),0)</f>
        <v>332.81460870095498</v>
      </c>
      <c r="N168" s="658">
        <f>+IFERROR(N$5*GETPIVOTDATA("Unique Billed Hours",'County allocation'!$S$3,"County",$D165,"HHA/CDPAP","CDPAP","Level of Service",$D168),0)</f>
        <v>27.874904991052627</v>
      </c>
      <c r="O168" s="658">
        <f>+IFERROR(O$5*GETPIVOTDATA("Unique Billed Hours",'County allocation'!$S$3,"County",$D165,"HHA/CDPAP","CDPAP","Level of Service",$D168),0)</f>
        <v>0</v>
      </c>
      <c r="P168" s="658">
        <f>+IFERROR(P$5*GETPIVOTDATA("Unique Billed Hours",'County allocation'!$S$3,"County",$D165,"HHA/CDPAP","CDPAP","Level of Service",$D168),0)</f>
        <v>0</v>
      </c>
    </row>
    <row r="169" spans="1:16" x14ac:dyDescent="0.25">
      <c r="B169" s="24"/>
      <c r="C169" s="9">
        <f t="shared" ca="1" si="102"/>
        <v>1</v>
      </c>
      <c r="D169" s="267" t="s">
        <v>42</v>
      </c>
      <c r="E169" s="48" t="s">
        <v>56</v>
      </c>
      <c r="F169" s="678">
        <f t="shared" ref="F169:F173" ca="1" si="103">SUM(G169:I169)</f>
        <v>0</v>
      </c>
      <c r="G169" s="658">
        <f ca="1">+IFERROR(G$5*GETPIVOTDATA("Unique Billed Hours",'County allocation'!$A$3,"County",$D165,"HHA/CDPAP","CDPAP","Level of Service",$D169),0)</f>
        <v>0</v>
      </c>
      <c r="H169" s="658">
        <f>+IFERROR(H$5*GETPIVOTDATA("Unique Billed Hours",'County allocation'!$A$3,"County",$D165,"HHA/CDPAP","CDPAP","Level of Service",$D169),0)</f>
        <v>0</v>
      </c>
      <c r="I169" s="678">
        <f t="shared" ref="I169:I176" ca="1" si="104">SUM(J169:P169)</f>
        <v>0</v>
      </c>
      <c r="J169" s="658">
        <f ca="1">+IFERROR(J$5*GETPIVOTDATA("Unique Billed Hours",'County allocation'!$S$3,"County",$D165,"HHA/CDPAP","CDPAP","Level of Service",$D169),0)</f>
        <v>0</v>
      </c>
      <c r="K169" s="658">
        <f ca="1">+IFERROR(K$5*GETPIVOTDATA("Unique Billed Hours",'County allocation'!$X$3,"County",$D165,"HHA/CDPAP","CDPAP","Level of Service",$D169),0)</f>
        <v>0</v>
      </c>
      <c r="L169" s="658">
        <f>+IFERROR(L$5*GETPIVOTDATA("Unique Billed Hours",'County allocation'!$K$19,"County",$D165,"HHA/CDPAP","CDPAP","Level of Service",$D169),0)</f>
        <v>0</v>
      </c>
      <c r="M169" s="658">
        <f>+IFERROR(M$5*GETPIVOTDATA("Unique Billed Hours",'County allocation'!$S$3,"County",$D165,"HHA/CDPAP","CDPAP","Level of Service",$D169),0)</f>
        <v>0</v>
      </c>
      <c r="N169" s="658">
        <f>+IFERROR(N$5*GETPIVOTDATA("Unique Billed Hours",'County allocation'!$S$3,"County",$D165,"HHA/CDPAP","CDPAP","Level of Service",$D169),0)</f>
        <v>0</v>
      </c>
      <c r="O169" s="658">
        <f>+IFERROR(O$5*GETPIVOTDATA("Unique Billed Hours",'County allocation'!$S$3,"County",$D165,"HHA/CDPAP","CDPAP","Level of Service",$D169),0)</f>
        <v>0</v>
      </c>
      <c r="P169" s="658">
        <f>+IFERROR(P$5*GETPIVOTDATA("Unique Billed Hours",'County allocation'!$S$3,"County",$D165,"HHA/CDPAP","CDPAP","Level of Service",$D169),0)</f>
        <v>0</v>
      </c>
    </row>
    <row r="170" spans="1:16" x14ac:dyDescent="0.25">
      <c r="B170" s="24"/>
      <c r="C170" s="9">
        <f t="shared" ca="1" si="102"/>
        <v>1</v>
      </c>
      <c r="D170" s="267" t="s">
        <v>43</v>
      </c>
      <c r="E170" s="48" t="s">
        <v>55</v>
      </c>
      <c r="F170" s="678">
        <f t="shared" ca="1" si="103"/>
        <v>0</v>
      </c>
      <c r="G170" s="658">
        <f ca="1">+IFERROR(G$5*GETPIVOTDATA("Unique Billed Hours",'County allocation'!$A$3,"County",$D165,"HHA/CDPAP","CDPAP","Level of Service",$D170),0)</f>
        <v>0</v>
      </c>
      <c r="H170" s="658">
        <f>+IFERROR(H$5*GETPIVOTDATA("Unique Billed Hours",'County allocation'!$A$3,"County",$D165,"HHA/CDPAP","CDPAP","Level of Service",$D170),0)</f>
        <v>0</v>
      </c>
      <c r="I170" s="678">
        <f t="shared" ca="1" si="104"/>
        <v>0</v>
      </c>
      <c r="J170" s="658">
        <f ca="1">+IFERROR(J$5*GETPIVOTDATA("Unique Billed Hours",'County allocation'!$S$3,"County",$D165,"HHA/CDPAP","CDPAP","Level of Service",$D170),0)</f>
        <v>0</v>
      </c>
      <c r="K170" s="658">
        <f ca="1">+IFERROR(K$5*GETPIVOTDATA("Unique Billed Hours",'County allocation'!$X$3,"County",$D165,"HHA/CDPAP","CDPAP","Level of Service",$D170),0)</f>
        <v>0</v>
      </c>
      <c r="L170" s="658">
        <f>+IFERROR(L$5*GETPIVOTDATA("Unique Billed Hours",'County allocation'!$K$19,"County",$D165,"HHA/CDPAP","CDPAP","Level of Service",$D170),0)</f>
        <v>0</v>
      </c>
      <c r="M170" s="658">
        <f>+IFERROR(M$5*GETPIVOTDATA("Unique Billed Hours",'County allocation'!$S$3,"County",$D165,"HHA/CDPAP","CDPAP","Level of Service",$D170),0)</f>
        <v>0</v>
      </c>
      <c r="N170" s="658">
        <f>+IFERROR(N$5*GETPIVOTDATA("Unique Billed Hours",'County allocation'!$S$3,"County",$D165,"HHA/CDPAP","CDPAP","Level of Service",$D170),0)</f>
        <v>0</v>
      </c>
      <c r="O170" s="658">
        <f>+IFERROR(O$5*GETPIVOTDATA("Unique Billed Hours",'County allocation'!$S$3,"County",$D165,"HHA/CDPAP","CDPAP","Level of Service",$D170),0)</f>
        <v>0</v>
      </c>
      <c r="P170" s="658">
        <f>+IFERROR(P$5*GETPIVOTDATA("Unique Billed Hours",'County allocation'!$S$3,"County",$D165,"HHA/CDPAP","CDPAP","Level of Service",$D170),0)</f>
        <v>0</v>
      </c>
    </row>
    <row r="171" spans="1:16" x14ac:dyDescent="0.25">
      <c r="B171" s="24"/>
      <c r="C171" s="9">
        <f t="shared" ca="1" si="102"/>
        <v>1</v>
      </c>
      <c r="D171" s="267" t="s">
        <v>44</v>
      </c>
      <c r="E171" s="48" t="s">
        <v>54</v>
      </c>
      <c r="F171" s="678">
        <f t="shared" ca="1" si="103"/>
        <v>0</v>
      </c>
      <c r="G171" s="658">
        <f ca="1">+IFERROR(G$5*GETPIVOTDATA("Unique Billed Hours",'County allocation'!$A$3,"County",$D165,"HHA/CDPAP","CDPAP","Level of Service",$D171),0)</f>
        <v>0</v>
      </c>
      <c r="H171" s="658">
        <f>+IFERROR(H$5*GETPIVOTDATA("Unique Billed Hours",'County allocation'!$A$3,"County",$D165,"HHA/CDPAP","CDPAP","Level of Service",$D171),0)</f>
        <v>0</v>
      </c>
      <c r="I171" s="678">
        <f t="shared" ca="1" si="104"/>
        <v>0</v>
      </c>
      <c r="J171" s="658">
        <f ca="1">+IFERROR(J$5*GETPIVOTDATA("Unique Billed Hours",'County allocation'!$S$3,"County",$D165,"HHA/CDPAP","CDPAP","Level of Service",$D171),0)</f>
        <v>0</v>
      </c>
      <c r="K171" s="658">
        <f ca="1">+IFERROR(K$5*GETPIVOTDATA("Unique Billed Hours",'County allocation'!$X$3,"County",$D165,"HHA/CDPAP","CDPAP","Level of Service",$D171),0)</f>
        <v>0</v>
      </c>
      <c r="L171" s="658">
        <f>+IFERROR(L$5*GETPIVOTDATA("Unique Billed Hours",'County allocation'!$K$19,"County",$D165,"HHA/CDPAP","CDPAP","Level of Service",$D171),0)</f>
        <v>0</v>
      </c>
      <c r="M171" s="658">
        <f>+IFERROR(M$5*GETPIVOTDATA("Unique Billed Hours",'County allocation'!$S$3,"County",$D165,"HHA/CDPAP","CDPAP","Level of Service",$D171),0)</f>
        <v>0</v>
      </c>
      <c r="N171" s="658">
        <f>+IFERROR(N$5*GETPIVOTDATA("Unique Billed Hours",'County allocation'!$S$3,"County",$D165,"HHA/CDPAP","CDPAP","Level of Service",$D171),0)</f>
        <v>0</v>
      </c>
      <c r="O171" s="658">
        <f>+IFERROR(O$5*GETPIVOTDATA("Unique Billed Hours",'County allocation'!$S$3,"County",$D165,"HHA/CDPAP","CDPAP","Level of Service",$D171),0)</f>
        <v>0</v>
      </c>
      <c r="P171" s="658">
        <f>+IFERROR(P$5*GETPIVOTDATA("Unique Billed Hours",'County allocation'!$S$3,"County",$D165,"HHA/CDPAP","CDPAP","Level of Service",$D171),0)</f>
        <v>0</v>
      </c>
    </row>
    <row r="172" spans="1:16" x14ac:dyDescent="0.25">
      <c r="B172" s="24"/>
      <c r="C172" s="9">
        <f t="shared" ca="1" si="102"/>
        <v>1</v>
      </c>
      <c r="D172" s="267" t="s">
        <v>45</v>
      </c>
      <c r="E172" s="48" t="s">
        <v>53</v>
      </c>
      <c r="F172" s="678">
        <f t="shared" ca="1" si="103"/>
        <v>0</v>
      </c>
      <c r="G172" s="658">
        <f ca="1">+IFERROR(G$5*GETPIVOTDATA("Unique Billed Hours",'County allocation'!$A$3,"County",$D165,"HHA/CDPAP","CDPAP","Level of Service",$D172),0)</f>
        <v>0</v>
      </c>
      <c r="H172" s="658">
        <f>+IFERROR(H$5*GETPIVOTDATA("Unique Billed Hours",'County allocation'!$A$3,"County",$D165,"HHA/CDPAP","CDPAP","Level of Service",$D172),0)</f>
        <v>0</v>
      </c>
      <c r="I172" s="678">
        <f t="shared" ca="1" si="104"/>
        <v>0</v>
      </c>
      <c r="J172" s="658">
        <f ca="1">+IFERROR(J$5*GETPIVOTDATA("Unique Billed Hours",'County allocation'!$S$3,"County",$D165,"HHA/CDPAP","CDPAP","Level of Service",$D172),0)</f>
        <v>0</v>
      </c>
      <c r="K172" s="658">
        <f ca="1">+IFERROR(K$5*GETPIVOTDATA("Unique Billed Hours",'County allocation'!$X$3,"County",$D165,"HHA/CDPAP","CDPAP","Level of Service",$D172),0)</f>
        <v>0</v>
      </c>
      <c r="L172" s="658">
        <f>+IFERROR(L$5*GETPIVOTDATA("Unique Billed Hours",'County allocation'!$K$19,"County",$D165,"HHA/CDPAP","CDPAP","Level of Service",$D172),0)</f>
        <v>0</v>
      </c>
      <c r="M172" s="658">
        <f>+IFERROR(M$5*GETPIVOTDATA("Unique Billed Hours",'County allocation'!$S$3,"County",$D165,"HHA/CDPAP","CDPAP","Level of Service",$D172),0)</f>
        <v>0</v>
      </c>
      <c r="N172" s="658">
        <f>+IFERROR(N$5*GETPIVOTDATA("Unique Billed Hours",'County allocation'!$S$3,"County",$D165,"HHA/CDPAP","CDPAP","Level of Service",$D172),0)</f>
        <v>0</v>
      </c>
      <c r="O172" s="658">
        <f>+IFERROR(O$5*GETPIVOTDATA("Unique Billed Hours",'County allocation'!$S$3,"County",$D165,"HHA/CDPAP","CDPAP","Level of Service",$D172),0)</f>
        <v>0</v>
      </c>
      <c r="P172" s="658">
        <f>+IFERROR(P$5*GETPIVOTDATA("Unique Billed Hours",'County allocation'!$S$3,"County",$D165,"HHA/CDPAP","CDPAP","Level of Service",$D172),0)</f>
        <v>0</v>
      </c>
    </row>
    <row r="173" spans="1:16" x14ac:dyDescent="0.25">
      <c r="A173" s="302"/>
      <c r="B173" s="24"/>
      <c r="C173" s="9">
        <f t="shared" ca="1" si="102"/>
        <v>1</v>
      </c>
      <c r="D173" s="267" t="s">
        <v>46</v>
      </c>
      <c r="E173" s="48" t="s">
        <v>52</v>
      </c>
      <c r="F173" s="678">
        <f t="shared" ca="1" si="103"/>
        <v>0</v>
      </c>
      <c r="G173" s="658">
        <f ca="1">+IFERROR(G$5*GETPIVOTDATA("Unique Billed Hours",'County allocation'!$A$3,"County",$D165,"HHA/CDPAP","CDPAP","Level of Service",$D173),0)</f>
        <v>0</v>
      </c>
      <c r="H173" s="658">
        <f>+IFERROR(H$5*GETPIVOTDATA("Unique Billed Hours",'County allocation'!$A$3,"County",$D165,"HHA/CDPAP","CDPAP","Level of Service",$D173),0)</f>
        <v>0</v>
      </c>
      <c r="I173" s="678">
        <f t="shared" ca="1" si="104"/>
        <v>0</v>
      </c>
      <c r="J173" s="658">
        <f ca="1">+IFERROR(J$5*GETPIVOTDATA("Unique Billed Hours",'County allocation'!$S$3,"County",$D165,"HHA/CDPAP","CDPAP","Level of Service",$D173),0)</f>
        <v>0</v>
      </c>
      <c r="K173" s="658">
        <f ca="1">+IFERROR(K$5*GETPIVOTDATA("Unique Billed Hours",'County allocation'!$X$3,"County",$D165,"HHA/CDPAP","CDPAP","Level of Service",$D173),0)</f>
        <v>0</v>
      </c>
      <c r="L173" s="658">
        <f>+IFERROR(L$5*GETPIVOTDATA("Unique Billed Hours",'County allocation'!$K$19,"County",$D165,"HHA/CDPAP","CDPAP","Level of Service",$D173),0)</f>
        <v>0</v>
      </c>
      <c r="M173" s="658">
        <f>+IFERROR(M$5*GETPIVOTDATA("Unique Billed Hours",'County allocation'!$S$3,"County",$D165,"HHA/CDPAP","CDPAP","Level of Service",$D173),0)</f>
        <v>0</v>
      </c>
      <c r="N173" s="658">
        <f>+IFERROR(N$5*GETPIVOTDATA("Unique Billed Hours",'County allocation'!$S$3,"County",$D165,"HHA/CDPAP","CDPAP","Level of Service",$D173),0)</f>
        <v>0</v>
      </c>
      <c r="O173" s="658">
        <f>+IFERROR(O$5*GETPIVOTDATA("Unique Billed Hours",'County allocation'!$S$3,"County",$D165,"HHA/CDPAP","CDPAP","Level of Service",$D173),0)</f>
        <v>0</v>
      </c>
      <c r="P173" s="658">
        <f>+IFERROR(P$5*GETPIVOTDATA("Unique Billed Hours",'County allocation'!$S$3,"County",$D165,"HHA/CDPAP","CDPAP","Level of Service",$D173),0)</f>
        <v>0</v>
      </c>
    </row>
    <row r="174" spans="1:16" ht="15.75" thickBot="1" x14ac:dyDescent="0.3">
      <c r="A174" s="302"/>
      <c r="B174" s="24"/>
      <c r="C174" s="9">
        <f t="shared" ca="1" si="102"/>
        <v>1</v>
      </c>
      <c r="D174" s="52" t="s">
        <v>389</v>
      </c>
      <c r="E174" s="370" t="s">
        <v>51</v>
      </c>
      <c r="F174" s="679">
        <f ca="1">SUM(F168:F173)</f>
        <v>97599.343270389247</v>
      </c>
      <c r="G174" s="679">
        <f t="shared" ref="G174:H174" ca="1" si="105">SUM(G168:G173)</f>
        <v>3923.7037070243832</v>
      </c>
      <c r="H174" s="679">
        <f t="shared" si="105"/>
        <v>3378.2364495712113</v>
      </c>
      <c r="I174" s="678">
        <f t="shared" ca="1" si="104"/>
        <v>90297.403113793654</v>
      </c>
      <c r="J174" s="679">
        <f ca="1">SUM(J168:J173)</f>
        <v>17865.088819945879</v>
      </c>
      <c r="K174" s="679">
        <f t="shared" ref="K174:P174" ca="1" si="106">SUM(K168:K173)</f>
        <v>72071.624780155762</v>
      </c>
      <c r="L174" s="679">
        <f t="shared" si="106"/>
        <v>0</v>
      </c>
      <c r="M174" s="679">
        <f t="shared" si="106"/>
        <v>332.81460870095498</v>
      </c>
      <c r="N174" s="679">
        <f t="shared" si="106"/>
        <v>27.874904991052627</v>
      </c>
      <c r="O174" s="679">
        <f t="shared" si="106"/>
        <v>0</v>
      </c>
      <c r="P174" s="679">
        <f t="shared" si="106"/>
        <v>0</v>
      </c>
    </row>
    <row r="175" spans="1:16" x14ac:dyDescent="0.25">
      <c r="A175" s="302"/>
      <c r="B175" s="24"/>
      <c r="C175" s="9">
        <f t="shared" ca="1" si="102"/>
        <v>1</v>
      </c>
      <c r="D175" s="378" t="s">
        <v>390</v>
      </c>
      <c r="E175" s="370" t="s">
        <v>50</v>
      </c>
      <c r="F175" s="678">
        <f t="shared" ref="F175" ca="1" si="107">SUM(G175:I175)</f>
        <v>0</v>
      </c>
      <c r="G175" s="658">
        <f ca="1">+IFERROR(G$5*GETPIVOTDATA("Unique Billed Hours",'County allocation'!$A$3,"County",$D165,"HHA/CDPAP","CDPAP","Level of Service",$D175),0)</f>
        <v>0</v>
      </c>
      <c r="H175" s="659"/>
      <c r="I175" s="678">
        <f t="shared" si="104"/>
        <v>0</v>
      </c>
      <c r="J175" s="659"/>
      <c r="K175" s="659"/>
      <c r="L175" s="659"/>
      <c r="M175" s="659"/>
      <c r="N175" s="659"/>
      <c r="O175" s="659"/>
      <c r="P175" s="659"/>
    </row>
    <row r="176" spans="1:16" ht="15.75" thickBot="1" x14ac:dyDescent="0.3">
      <c r="B176" s="24"/>
      <c r="C176" s="9">
        <f t="shared" ca="1" si="102"/>
        <v>1</v>
      </c>
      <c r="D176" s="11" t="s">
        <v>48</v>
      </c>
      <c r="E176" s="53" t="s">
        <v>49</v>
      </c>
      <c r="F176" s="662">
        <f ca="1">SUBTOTAL(9,F168:F173)</f>
        <v>97599.343270389247</v>
      </c>
      <c r="G176" s="662">
        <f t="shared" ref="G176" ca="1" si="108">SUBTOTAL(9,G168:G173)</f>
        <v>3923.7037070243832</v>
      </c>
      <c r="H176" s="662">
        <f>SUBTOTAL(9,H168:H173)</f>
        <v>3378.2364495712113</v>
      </c>
      <c r="I176" s="678">
        <f t="shared" ca="1" si="104"/>
        <v>90297.403113793654</v>
      </c>
      <c r="J176" s="662">
        <f t="shared" ref="J176:P176" ca="1" si="109">SUBTOTAL(9,J168:J173)</f>
        <v>17865.088819945879</v>
      </c>
      <c r="K176" s="662">
        <f t="shared" ca="1" si="109"/>
        <v>72071.624780155762</v>
      </c>
      <c r="L176" s="662">
        <f t="shared" si="109"/>
        <v>0</v>
      </c>
      <c r="M176" s="662">
        <f t="shared" si="109"/>
        <v>332.81460870095498</v>
      </c>
      <c r="N176" s="662">
        <f t="shared" si="109"/>
        <v>27.874904991052627</v>
      </c>
      <c r="O176" s="662">
        <f t="shared" si="109"/>
        <v>0</v>
      </c>
      <c r="P176" s="662">
        <f t="shared" si="109"/>
        <v>0</v>
      </c>
    </row>
    <row r="177" spans="1:16" ht="15.75" hidden="1" thickBot="1" x14ac:dyDescent="0.3"/>
    <row r="178" spans="1:16" ht="75" x14ac:dyDescent="0.25">
      <c r="A178" s="60"/>
      <c r="B178" s="24"/>
      <c r="C178" s="9">
        <f ca="1">IF(F189&gt;0,1,0)</f>
        <v>1</v>
      </c>
      <c r="D178" s="45" t="str">
        <f>A16</f>
        <v>Delaware</v>
      </c>
      <c r="E178" s="28">
        <f>SUMIF(A:A,D178,B:B)</f>
        <v>1.0651138896287298E-3</v>
      </c>
      <c r="F178" s="652" t="s">
        <v>396</v>
      </c>
      <c r="G178" s="652" t="s">
        <v>387</v>
      </c>
      <c r="H178" s="652" t="s">
        <v>388</v>
      </c>
      <c r="I178" s="652" t="s">
        <v>392</v>
      </c>
      <c r="J178" s="652" t="s">
        <v>31</v>
      </c>
      <c r="K178" s="652" t="s">
        <v>32</v>
      </c>
      <c r="L178" s="653" t="s">
        <v>33</v>
      </c>
      <c r="M178" s="653" t="s">
        <v>60</v>
      </c>
      <c r="N178" s="653" t="s">
        <v>59</v>
      </c>
      <c r="O178" s="653" t="s">
        <v>58</v>
      </c>
      <c r="P178" s="653" t="s">
        <v>16</v>
      </c>
    </row>
    <row r="179" spans="1:16" x14ac:dyDescent="0.25">
      <c r="A179" s="60"/>
      <c r="B179" s="24"/>
      <c r="C179" s="9">
        <f ca="1">C178</f>
        <v>1</v>
      </c>
      <c r="D179" s="47"/>
      <c r="E179" s="48"/>
      <c r="F179" s="669" t="s">
        <v>57</v>
      </c>
      <c r="G179" s="669" t="s">
        <v>56</v>
      </c>
      <c r="H179" s="669" t="s">
        <v>55</v>
      </c>
      <c r="I179" s="669" t="s">
        <v>54</v>
      </c>
      <c r="J179" s="669" t="s">
        <v>53</v>
      </c>
      <c r="K179" s="669" t="s">
        <v>52</v>
      </c>
      <c r="L179" s="669" t="s">
        <v>51</v>
      </c>
      <c r="M179" s="669" t="s">
        <v>50</v>
      </c>
      <c r="N179" s="669" t="s">
        <v>49</v>
      </c>
      <c r="O179" s="669" t="s">
        <v>47</v>
      </c>
      <c r="P179" s="670" t="s">
        <v>77</v>
      </c>
    </row>
    <row r="180" spans="1:16" x14ac:dyDescent="0.25">
      <c r="B180" s="24"/>
      <c r="C180" s="9">
        <f t="shared" ref="C180:C189" ca="1" si="110">C179</f>
        <v>1</v>
      </c>
      <c r="D180" s="51" t="s">
        <v>26</v>
      </c>
      <c r="E180" s="48"/>
      <c r="F180" s="674"/>
      <c r="G180" s="674"/>
      <c r="H180" s="674"/>
      <c r="I180" s="674"/>
      <c r="J180" s="674"/>
      <c r="K180" s="674"/>
      <c r="L180" s="675"/>
      <c r="M180" s="675"/>
      <c r="N180" s="676"/>
      <c r="O180" s="674"/>
      <c r="P180" s="677"/>
    </row>
    <row r="181" spans="1:16" x14ac:dyDescent="0.25">
      <c r="B181" s="24"/>
      <c r="C181" s="9">
        <f t="shared" ca="1" si="110"/>
        <v>1</v>
      </c>
      <c r="D181" s="267" t="s">
        <v>18</v>
      </c>
      <c r="E181" s="48" t="s">
        <v>57</v>
      </c>
      <c r="F181" s="678">
        <f ca="1">SUM(G181:I181)</f>
        <v>91816.499094777071</v>
      </c>
      <c r="G181" s="658">
        <f ca="1">+IFERROR(G$5*GETPIVOTDATA("Unique Billed Hours",'County allocation'!$A$3,"County",$D178,"HHA/CDPAP","CDPAP","Level of Service",$D181),0)</f>
        <v>3691.2209221132907</v>
      </c>
      <c r="H181" s="658">
        <f>+IFERROR(H$5*GETPIVOTDATA("Unique Billed Hours",'County allocation'!$A$3,"County",$D178,"HHA/CDPAP","CDPAP","Level of Service",$D181),0)</f>
        <v>3178.0730640234055</v>
      </c>
      <c r="I181" s="678">
        <f ca="1">SUM(J181:P181)</f>
        <v>84947.205108640381</v>
      </c>
      <c r="J181" s="658">
        <f ca="1">+IFERROR(J$5*GETPIVOTDATA("Unique Billed Hours",'County allocation'!$S$3,"County",$D178,"HHA/CDPAP","CDPAP","Level of Service",$D181),0)</f>
        <v>16806.567098718664</v>
      </c>
      <c r="K181" s="658">
        <f ca="1">+IFERROR(K$5*GETPIVOTDATA("Unique Billed Hours",'County allocation'!$X$3,"County",$D178,"HHA/CDPAP","CDPAP","Level of Service",$D181),0)</f>
        <v>67801.319656972861</v>
      </c>
      <c r="L181" s="658">
        <f>+IFERROR(L$5*GETPIVOTDATA("Unique Billed Hours",'County allocation'!$K$19,"County",$D178,"HHA/CDPAP","CDPAP","Level of Service",$D181),0)</f>
        <v>0</v>
      </c>
      <c r="M181" s="658">
        <f>+IFERROR(M$5*GETPIVOTDATA("Unique Billed Hours",'County allocation'!$S$3,"County",$D178,"HHA/CDPAP","CDPAP","Level of Service",$D181),0)</f>
        <v>313.09505980857153</v>
      </c>
      <c r="N181" s="658">
        <f>+IFERROR(N$5*GETPIVOTDATA("Unique Billed Hours",'County allocation'!$S$3,"County",$D178,"HHA/CDPAP","CDPAP","Level of Service",$D181),0)</f>
        <v>26.223293140277434</v>
      </c>
      <c r="O181" s="658">
        <f>+IFERROR(O$5*GETPIVOTDATA("Unique Billed Hours",'County allocation'!$S$3,"County",$D178,"HHA/CDPAP","CDPAP","Level of Service",$D181),0)</f>
        <v>0</v>
      </c>
      <c r="P181" s="658">
        <f>+IFERROR(P$5*GETPIVOTDATA("Unique Billed Hours",'County allocation'!$S$3,"County",$D178,"HHA/CDPAP","CDPAP","Level of Service",$D181),0)</f>
        <v>0</v>
      </c>
    </row>
    <row r="182" spans="1:16" x14ac:dyDescent="0.25">
      <c r="B182" s="24"/>
      <c r="C182" s="9">
        <f t="shared" ca="1" si="110"/>
        <v>1</v>
      </c>
      <c r="D182" s="267" t="s">
        <v>42</v>
      </c>
      <c r="E182" s="48" t="s">
        <v>56</v>
      </c>
      <c r="F182" s="678">
        <f t="shared" ref="F182:F186" ca="1" si="111">SUM(G182:I182)</f>
        <v>0</v>
      </c>
      <c r="G182" s="658">
        <f ca="1">+IFERROR(G$5*GETPIVOTDATA("Unique Billed Hours",'County allocation'!$A$3,"County",$D178,"HHA/CDPAP","CDPAP","Level of Service",$D182),0)</f>
        <v>0</v>
      </c>
      <c r="H182" s="658">
        <f>+IFERROR(H$5*GETPIVOTDATA("Unique Billed Hours",'County allocation'!$A$3,"County",$D178,"HHA/CDPAP","CDPAP","Level of Service",$D182),0)</f>
        <v>0</v>
      </c>
      <c r="I182" s="678">
        <f t="shared" ref="I182:I189" ca="1" si="112">SUM(J182:P182)</f>
        <v>0</v>
      </c>
      <c r="J182" s="658">
        <f ca="1">+IFERROR(J$5*GETPIVOTDATA("Unique Billed Hours",'County allocation'!$S$3,"County",$D178,"HHA/CDPAP","CDPAP","Level of Service",$D182),0)</f>
        <v>0</v>
      </c>
      <c r="K182" s="658">
        <f ca="1">+IFERROR(K$5*GETPIVOTDATA("Unique Billed Hours",'County allocation'!$X$3,"County",$D178,"HHA/CDPAP","CDPAP","Level of Service",$D182),0)</f>
        <v>0</v>
      </c>
      <c r="L182" s="658">
        <f>+IFERROR(L$5*GETPIVOTDATA("Unique Billed Hours",'County allocation'!$K$19,"County",$D178,"HHA/CDPAP","CDPAP","Level of Service",$D182),0)</f>
        <v>0</v>
      </c>
      <c r="M182" s="658">
        <f>+IFERROR(M$5*GETPIVOTDATA("Unique Billed Hours",'County allocation'!$S$3,"County",$D178,"HHA/CDPAP","CDPAP","Level of Service",$D182),0)</f>
        <v>0</v>
      </c>
      <c r="N182" s="658">
        <f>+IFERROR(N$5*GETPIVOTDATA("Unique Billed Hours",'County allocation'!$S$3,"County",$D178,"HHA/CDPAP","CDPAP","Level of Service",$D182),0)</f>
        <v>0</v>
      </c>
      <c r="O182" s="658">
        <f>+IFERROR(O$5*GETPIVOTDATA("Unique Billed Hours",'County allocation'!$S$3,"County",$D178,"HHA/CDPAP","CDPAP","Level of Service",$D182),0)</f>
        <v>0</v>
      </c>
      <c r="P182" s="658">
        <f>+IFERROR(P$5*GETPIVOTDATA("Unique Billed Hours",'County allocation'!$S$3,"County",$D178,"HHA/CDPAP","CDPAP","Level of Service",$D182),0)</f>
        <v>0</v>
      </c>
    </row>
    <row r="183" spans="1:16" x14ac:dyDescent="0.25">
      <c r="B183" s="24"/>
      <c r="C183" s="9">
        <f t="shared" ca="1" si="110"/>
        <v>1</v>
      </c>
      <c r="D183" s="267" t="s">
        <v>43</v>
      </c>
      <c r="E183" s="48" t="s">
        <v>55</v>
      </c>
      <c r="F183" s="678">
        <f t="shared" ca="1" si="111"/>
        <v>0</v>
      </c>
      <c r="G183" s="658">
        <f ca="1">+IFERROR(G$5*GETPIVOTDATA("Unique Billed Hours",'County allocation'!$A$3,"County",$D178,"HHA/CDPAP","CDPAP","Level of Service",$D183),0)</f>
        <v>0</v>
      </c>
      <c r="H183" s="658">
        <f>+IFERROR(H$5*GETPIVOTDATA("Unique Billed Hours",'County allocation'!$A$3,"County",$D178,"HHA/CDPAP","CDPAP","Level of Service",$D183),0)</f>
        <v>0</v>
      </c>
      <c r="I183" s="678">
        <f t="shared" ca="1" si="112"/>
        <v>0</v>
      </c>
      <c r="J183" s="658">
        <f ca="1">+IFERROR(J$5*GETPIVOTDATA("Unique Billed Hours",'County allocation'!$S$3,"County",$D178,"HHA/CDPAP","CDPAP","Level of Service",$D183),0)</f>
        <v>0</v>
      </c>
      <c r="K183" s="658">
        <f ca="1">+IFERROR(K$5*GETPIVOTDATA("Unique Billed Hours",'County allocation'!$X$3,"County",$D178,"HHA/CDPAP","CDPAP","Level of Service",$D183),0)</f>
        <v>0</v>
      </c>
      <c r="L183" s="658">
        <f>+IFERROR(L$5*GETPIVOTDATA("Unique Billed Hours",'County allocation'!$K$19,"County",$D178,"HHA/CDPAP","CDPAP","Level of Service",$D183),0)</f>
        <v>0</v>
      </c>
      <c r="M183" s="658">
        <f>+IFERROR(M$5*GETPIVOTDATA("Unique Billed Hours",'County allocation'!$S$3,"County",$D178,"HHA/CDPAP","CDPAP","Level of Service",$D183),0)</f>
        <v>0</v>
      </c>
      <c r="N183" s="658">
        <f>+IFERROR(N$5*GETPIVOTDATA("Unique Billed Hours",'County allocation'!$S$3,"County",$D178,"HHA/CDPAP","CDPAP","Level of Service",$D183),0)</f>
        <v>0</v>
      </c>
      <c r="O183" s="658">
        <f>+IFERROR(O$5*GETPIVOTDATA("Unique Billed Hours",'County allocation'!$S$3,"County",$D178,"HHA/CDPAP","CDPAP","Level of Service",$D183),0)</f>
        <v>0</v>
      </c>
      <c r="P183" s="658">
        <f>+IFERROR(P$5*GETPIVOTDATA("Unique Billed Hours",'County allocation'!$S$3,"County",$D178,"HHA/CDPAP","CDPAP","Level of Service",$D183),0)</f>
        <v>0</v>
      </c>
    </row>
    <row r="184" spans="1:16" x14ac:dyDescent="0.25">
      <c r="B184" s="24"/>
      <c r="C184" s="9">
        <f t="shared" ca="1" si="110"/>
        <v>1</v>
      </c>
      <c r="D184" s="267" t="s">
        <v>44</v>
      </c>
      <c r="E184" s="48" t="s">
        <v>54</v>
      </c>
      <c r="F184" s="678">
        <f t="shared" ca="1" si="111"/>
        <v>0</v>
      </c>
      <c r="G184" s="658">
        <f ca="1">+IFERROR(G$5*GETPIVOTDATA("Unique Billed Hours",'County allocation'!$A$3,"County",$D178,"HHA/CDPAP","CDPAP","Level of Service",$D184),0)</f>
        <v>0</v>
      </c>
      <c r="H184" s="658">
        <f>+IFERROR(H$5*GETPIVOTDATA("Unique Billed Hours",'County allocation'!$A$3,"County",$D178,"HHA/CDPAP","CDPAP","Level of Service",$D184),0)</f>
        <v>0</v>
      </c>
      <c r="I184" s="678">
        <f t="shared" ca="1" si="112"/>
        <v>0</v>
      </c>
      <c r="J184" s="658">
        <f ca="1">+IFERROR(J$5*GETPIVOTDATA("Unique Billed Hours",'County allocation'!$S$3,"County",$D178,"HHA/CDPAP","CDPAP","Level of Service",$D184),0)</f>
        <v>0</v>
      </c>
      <c r="K184" s="658">
        <f ca="1">+IFERROR(K$5*GETPIVOTDATA("Unique Billed Hours",'County allocation'!$X$3,"County",$D178,"HHA/CDPAP","CDPAP","Level of Service",$D184),0)</f>
        <v>0</v>
      </c>
      <c r="L184" s="658">
        <f>+IFERROR(L$5*GETPIVOTDATA("Unique Billed Hours",'County allocation'!$K$19,"County",$D178,"HHA/CDPAP","CDPAP","Level of Service",$D184),0)</f>
        <v>0</v>
      </c>
      <c r="M184" s="658">
        <f>+IFERROR(M$5*GETPIVOTDATA("Unique Billed Hours",'County allocation'!$S$3,"County",$D178,"HHA/CDPAP","CDPAP","Level of Service",$D184),0)</f>
        <v>0</v>
      </c>
      <c r="N184" s="658">
        <f>+IFERROR(N$5*GETPIVOTDATA("Unique Billed Hours",'County allocation'!$S$3,"County",$D178,"HHA/CDPAP","CDPAP","Level of Service",$D184),0)</f>
        <v>0</v>
      </c>
      <c r="O184" s="658">
        <f>+IFERROR(O$5*GETPIVOTDATA("Unique Billed Hours",'County allocation'!$S$3,"County",$D178,"HHA/CDPAP","CDPAP","Level of Service",$D184),0)</f>
        <v>0</v>
      </c>
      <c r="P184" s="658">
        <f>+IFERROR(P$5*GETPIVOTDATA("Unique Billed Hours",'County allocation'!$S$3,"County",$D178,"HHA/CDPAP","CDPAP","Level of Service",$D184),0)</f>
        <v>0</v>
      </c>
    </row>
    <row r="185" spans="1:16" x14ac:dyDescent="0.25">
      <c r="B185" s="24"/>
      <c r="C185" s="9">
        <f t="shared" ca="1" si="110"/>
        <v>1</v>
      </c>
      <c r="D185" s="267" t="s">
        <v>45</v>
      </c>
      <c r="E185" s="48" t="s">
        <v>53</v>
      </c>
      <c r="F185" s="678">
        <f t="shared" ca="1" si="111"/>
        <v>0</v>
      </c>
      <c r="G185" s="658">
        <f ca="1">+IFERROR(G$5*GETPIVOTDATA("Unique Billed Hours",'County allocation'!$A$3,"County",$D178,"HHA/CDPAP","CDPAP","Level of Service",$D185),0)</f>
        <v>0</v>
      </c>
      <c r="H185" s="658">
        <f>+IFERROR(H$5*GETPIVOTDATA("Unique Billed Hours",'County allocation'!$A$3,"County",$D178,"HHA/CDPAP","CDPAP","Level of Service",$D185),0)</f>
        <v>0</v>
      </c>
      <c r="I185" s="678">
        <f t="shared" ca="1" si="112"/>
        <v>0</v>
      </c>
      <c r="J185" s="658">
        <f ca="1">+IFERROR(J$5*GETPIVOTDATA("Unique Billed Hours",'County allocation'!$S$3,"County",$D178,"HHA/CDPAP","CDPAP","Level of Service",$D185),0)</f>
        <v>0</v>
      </c>
      <c r="K185" s="658">
        <f ca="1">+IFERROR(K$5*GETPIVOTDATA("Unique Billed Hours",'County allocation'!$X$3,"County",$D178,"HHA/CDPAP","CDPAP","Level of Service",$D185),0)</f>
        <v>0</v>
      </c>
      <c r="L185" s="658">
        <f>+IFERROR(L$5*GETPIVOTDATA("Unique Billed Hours",'County allocation'!$K$19,"County",$D178,"HHA/CDPAP","CDPAP","Level of Service",$D185),0)</f>
        <v>0</v>
      </c>
      <c r="M185" s="658">
        <f>+IFERROR(M$5*GETPIVOTDATA("Unique Billed Hours",'County allocation'!$S$3,"County",$D178,"HHA/CDPAP","CDPAP","Level of Service",$D185),0)</f>
        <v>0</v>
      </c>
      <c r="N185" s="658">
        <f>+IFERROR(N$5*GETPIVOTDATA("Unique Billed Hours",'County allocation'!$S$3,"County",$D178,"HHA/CDPAP","CDPAP","Level of Service",$D185),0)</f>
        <v>0</v>
      </c>
      <c r="O185" s="658">
        <f>+IFERROR(O$5*GETPIVOTDATA("Unique Billed Hours",'County allocation'!$S$3,"County",$D178,"HHA/CDPAP","CDPAP","Level of Service",$D185),0)</f>
        <v>0</v>
      </c>
      <c r="P185" s="658">
        <f>+IFERROR(P$5*GETPIVOTDATA("Unique Billed Hours",'County allocation'!$S$3,"County",$D178,"HHA/CDPAP","CDPAP","Level of Service",$D185),0)</f>
        <v>0</v>
      </c>
    </row>
    <row r="186" spans="1:16" x14ac:dyDescent="0.25">
      <c r="A186" s="302"/>
      <c r="B186" s="24"/>
      <c r="C186" s="9">
        <f t="shared" ca="1" si="110"/>
        <v>1</v>
      </c>
      <c r="D186" s="267" t="s">
        <v>46</v>
      </c>
      <c r="E186" s="48" t="s">
        <v>52</v>
      </c>
      <c r="F186" s="678">
        <f t="shared" ca="1" si="111"/>
        <v>0</v>
      </c>
      <c r="G186" s="658">
        <f ca="1">+IFERROR(G$5*GETPIVOTDATA("Unique Billed Hours",'County allocation'!$A$3,"County",$D178,"HHA/CDPAP","CDPAP","Level of Service",$D186),0)</f>
        <v>0</v>
      </c>
      <c r="H186" s="658">
        <f>+IFERROR(H$5*GETPIVOTDATA("Unique Billed Hours",'County allocation'!$A$3,"County",$D178,"HHA/CDPAP","CDPAP","Level of Service",$D186),0)</f>
        <v>0</v>
      </c>
      <c r="I186" s="678">
        <f t="shared" ca="1" si="112"/>
        <v>0</v>
      </c>
      <c r="J186" s="658">
        <f ca="1">+IFERROR(J$5*GETPIVOTDATA("Unique Billed Hours",'County allocation'!$S$3,"County",$D178,"HHA/CDPAP","CDPAP","Level of Service",$D186),0)</f>
        <v>0</v>
      </c>
      <c r="K186" s="658">
        <f ca="1">+IFERROR(K$5*GETPIVOTDATA("Unique Billed Hours",'County allocation'!$X$3,"County",$D178,"HHA/CDPAP","CDPAP","Level of Service",$D186),0)</f>
        <v>0</v>
      </c>
      <c r="L186" s="658">
        <f>+IFERROR(L$5*GETPIVOTDATA("Unique Billed Hours",'County allocation'!$K$19,"County",$D178,"HHA/CDPAP","CDPAP","Level of Service",$D186),0)</f>
        <v>0</v>
      </c>
      <c r="M186" s="658">
        <f>+IFERROR(M$5*GETPIVOTDATA("Unique Billed Hours",'County allocation'!$S$3,"County",$D178,"HHA/CDPAP","CDPAP","Level of Service",$D186),0)</f>
        <v>0</v>
      </c>
      <c r="N186" s="658">
        <f>+IFERROR(N$5*GETPIVOTDATA("Unique Billed Hours",'County allocation'!$S$3,"County",$D178,"HHA/CDPAP","CDPAP","Level of Service",$D186),0)</f>
        <v>0</v>
      </c>
      <c r="O186" s="658">
        <f>+IFERROR(O$5*GETPIVOTDATA("Unique Billed Hours",'County allocation'!$S$3,"County",$D178,"HHA/CDPAP","CDPAP","Level of Service",$D186),0)</f>
        <v>0</v>
      </c>
      <c r="P186" s="658">
        <f>+IFERROR(P$5*GETPIVOTDATA("Unique Billed Hours",'County allocation'!$S$3,"County",$D178,"HHA/CDPAP","CDPAP","Level of Service",$D186),0)</f>
        <v>0</v>
      </c>
    </row>
    <row r="187" spans="1:16" ht="15.75" thickBot="1" x14ac:dyDescent="0.3">
      <c r="A187" s="302"/>
      <c r="B187" s="24"/>
      <c r="C187" s="9">
        <f t="shared" ca="1" si="110"/>
        <v>1</v>
      </c>
      <c r="D187" s="52" t="s">
        <v>389</v>
      </c>
      <c r="E187" s="370" t="s">
        <v>51</v>
      </c>
      <c r="F187" s="679">
        <f ca="1">SUM(F181:F186)</f>
        <v>91816.499094777071</v>
      </c>
      <c r="G187" s="679">
        <f t="shared" ref="G187:H187" ca="1" si="113">SUM(G181:G186)</f>
        <v>3691.2209221132907</v>
      </c>
      <c r="H187" s="679">
        <f t="shared" si="113"/>
        <v>3178.0730640234055</v>
      </c>
      <c r="I187" s="678">
        <f t="shared" ca="1" si="112"/>
        <v>84947.205108640381</v>
      </c>
      <c r="J187" s="679">
        <f ca="1">SUM(J181:J186)</f>
        <v>16806.567098718664</v>
      </c>
      <c r="K187" s="679">
        <f t="shared" ref="K187:P187" ca="1" si="114">SUM(K181:K186)</f>
        <v>67801.319656972861</v>
      </c>
      <c r="L187" s="679">
        <f t="shared" si="114"/>
        <v>0</v>
      </c>
      <c r="M187" s="679">
        <f t="shared" si="114"/>
        <v>313.09505980857153</v>
      </c>
      <c r="N187" s="679">
        <f t="shared" si="114"/>
        <v>26.223293140277434</v>
      </c>
      <c r="O187" s="679">
        <f t="shared" si="114"/>
        <v>0</v>
      </c>
      <c r="P187" s="679">
        <f t="shared" si="114"/>
        <v>0</v>
      </c>
    </row>
    <row r="188" spans="1:16" x14ac:dyDescent="0.25">
      <c r="A188" s="302"/>
      <c r="B188" s="24"/>
      <c r="C188" s="9">
        <f t="shared" ca="1" si="110"/>
        <v>1</v>
      </c>
      <c r="D188" s="378" t="s">
        <v>390</v>
      </c>
      <c r="E188" s="370" t="s">
        <v>50</v>
      </c>
      <c r="F188" s="678">
        <f t="shared" ref="F188" ca="1" si="115">SUM(G188:I188)</f>
        <v>0</v>
      </c>
      <c r="G188" s="658">
        <f ca="1">+IFERROR(G$5*GETPIVOTDATA("Unique Billed Hours",'County allocation'!$A$3,"County",$D178,"HHA/CDPAP","CDPAP","Level of Service",$D188),0)</f>
        <v>0</v>
      </c>
      <c r="H188" s="659"/>
      <c r="I188" s="678">
        <f t="shared" si="112"/>
        <v>0</v>
      </c>
      <c r="J188" s="659"/>
      <c r="K188" s="659"/>
      <c r="L188" s="659"/>
      <c r="M188" s="659"/>
      <c r="N188" s="659"/>
      <c r="O188" s="659"/>
      <c r="P188" s="659"/>
    </row>
    <row r="189" spans="1:16" ht="15.75" thickBot="1" x14ac:dyDescent="0.3">
      <c r="B189" s="24"/>
      <c r="C189" s="9">
        <f t="shared" ca="1" si="110"/>
        <v>1</v>
      </c>
      <c r="D189" s="11" t="s">
        <v>48</v>
      </c>
      <c r="E189" s="53" t="s">
        <v>49</v>
      </c>
      <c r="F189" s="662">
        <f ca="1">SUBTOTAL(9,F181:F186)</f>
        <v>91816.499094777071</v>
      </c>
      <c r="G189" s="662">
        <f t="shared" ref="G189" ca="1" si="116">SUBTOTAL(9,G181:G186)</f>
        <v>3691.2209221132907</v>
      </c>
      <c r="H189" s="662">
        <f>SUBTOTAL(9,H181:H186)</f>
        <v>3178.0730640234055</v>
      </c>
      <c r="I189" s="678">
        <f t="shared" ca="1" si="112"/>
        <v>84947.205108640381</v>
      </c>
      <c r="J189" s="662">
        <f t="shared" ref="J189:P189" ca="1" si="117">SUBTOTAL(9,J181:J186)</f>
        <v>16806.567098718664</v>
      </c>
      <c r="K189" s="662">
        <f t="shared" ca="1" si="117"/>
        <v>67801.319656972861</v>
      </c>
      <c r="L189" s="662">
        <f t="shared" si="117"/>
        <v>0</v>
      </c>
      <c r="M189" s="662">
        <f t="shared" si="117"/>
        <v>313.09505980857153</v>
      </c>
      <c r="N189" s="662">
        <f t="shared" si="117"/>
        <v>26.223293140277434</v>
      </c>
      <c r="O189" s="662">
        <f t="shared" si="117"/>
        <v>0</v>
      </c>
      <c r="P189" s="662">
        <f t="shared" si="117"/>
        <v>0</v>
      </c>
    </row>
    <row r="190" spans="1:16" ht="15.75" hidden="1" thickBot="1" x14ac:dyDescent="0.3"/>
    <row r="191" spans="1:16" ht="75" x14ac:dyDescent="0.25">
      <c r="A191" s="60"/>
      <c r="B191" s="24"/>
      <c r="C191" s="9">
        <f ca="1">IF(F202&gt;0,1,0)</f>
        <v>1</v>
      </c>
      <c r="D191" s="45" t="str">
        <f>A17</f>
        <v>Dutchess</v>
      </c>
      <c r="E191" s="28">
        <f>SUMIF(A:A,D191,B:B)</f>
        <v>8.4414902213022138E-3</v>
      </c>
      <c r="F191" s="652" t="s">
        <v>396</v>
      </c>
      <c r="G191" s="652" t="s">
        <v>387</v>
      </c>
      <c r="H191" s="652" t="s">
        <v>388</v>
      </c>
      <c r="I191" s="652" t="s">
        <v>392</v>
      </c>
      <c r="J191" s="652" t="s">
        <v>31</v>
      </c>
      <c r="K191" s="652" t="s">
        <v>32</v>
      </c>
      <c r="L191" s="653" t="s">
        <v>33</v>
      </c>
      <c r="M191" s="653" t="s">
        <v>60</v>
      </c>
      <c r="N191" s="653" t="s">
        <v>59</v>
      </c>
      <c r="O191" s="653" t="s">
        <v>58</v>
      </c>
      <c r="P191" s="653" t="s">
        <v>16</v>
      </c>
    </row>
    <row r="192" spans="1:16" x14ac:dyDescent="0.25">
      <c r="A192" s="60"/>
      <c r="B192" s="24"/>
      <c r="C192" s="9">
        <f ca="1">C191</f>
        <v>1</v>
      </c>
      <c r="D192" s="47"/>
      <c r="E192" s="48"/>
      <c r="F192" s="669" t="s">
        <v>57</v>
      </c>
      <c r="G192" s="669" t="s">
        <v>56</v>
      </c>
      <c r="H192" s="669" t="s">
        <v>55</v>
      </c>
      <c r="I192" s="669" t="s">
        <v>54</v>
      </c>
      <c r="J192" s="669" t="s">
        <v>53</v>
      </c>
      <c r="K192" s="669" t="s">
        <v>52</v>
      </c>
      <c r="L192" s="669" t="s">
        <v>51</v>
      </c>
      <c r="M192" s="669" t="s">
        <v>50</v>
      </c>
      <c r="N192" s="669" t="s">
        <v>49</v>
      </c>
      <c r="O192" s="669" t="s">
        <v>47</v>
      </c>
      <c r="P192" s="670" t="s">
        <v>77</v>
      </c>
    </row>
    <row r="193" spans="1:16" x14ac:dyDescent="0.25">
      <c r="B193" s="24"/>
      <c r="C193" s="9">
        <f t="shared" ref="C193:C202" ca="1" si="118">C192</f>
        <v>1</v>
      </c>
      <c r="D193" s="51" t="s">
        <v>26</v>
      </c>
      <c r="E193" s="48"/>
      <c r="F193" s="674"/>
      <c r="G193" s="674"/>
      <c r="H193" s="674"/>
      <c r="I193" s="674"/>
      <c r="J193" s="674"/>
      <c r="K193" s="674"/>
      <c r="L193" s="675"/>
      <c r="M193" s="675"/>
      <c r="N193" s="676"/>
      <c r="O193" s="674"/>
      <c r="P193" s="677"/>
    </row>
    <row r="194" spans="1:16" x14ac:dyDescent="0.25">
      <c r="B194" s="24"/>
      <c r="C194" s="9">
        <f t="shared" ca="1" si="118"/>
        <v>1</v>
      </c>
      <c r="D194" s="267" t="s">
        <v>18</v>
      </c>
      <c r="E194" s="48" t="s">
        <v>57</v>
      </c>
      <c r="F194" s="678">
        <f ca="1">SUM(G194:I194)</f>
        <v>727685.63701007818</v>
      </c>
      <c r="G194" s="658">
        <f ca="1">+IFERROR(G$5*GETPIVOTDATA("Unique Billed Hours",'County allocation'!$A$3,"County",$D191,"HHA/CDPAP","CDPAP","Level of Service",$D194),0)</f>
        <v>29254.529137298941</v>
      </c>
      <c r="H194" s="658">
        <f>+IFERROR(H$5*GETPIVOTDATA("Unique Billed Hours",'County allocation'!$A$3,"County",$D191,"HHA/CDPAP","CDPAP","Level of Service",$D194),0)</f>
        <v>25187.6094695272</v>
      </c>
      <c r="I194" s="678">
        <f ca="1">SUM(J194:P194)</f>
        <v>673243.49840325199</v>
      </c>
      <c r="J194" s="658">
        <f ca="1">+IFERROR(J$5*GETPIVOTDATA("Unique Billed Hours",'County allocation'!$S$3,"County",$D191,"HHA/CDPAP","CDPAP","Level of Service",$D194),0)</f>
        <v>133199.344407147</v>
      </c>
      <c r="K194" s="658">
        <f ca="1">+IFERROR(K$5*GETPIVOTDATA("Unique Billed Hours",'County allocation'!$X$3,"County",$D191,"HHA/CDPAP","CDPAP","Level of Service",$D194),0)</f>
        <v>537354.90866166982</v>
      </c>
      <c r="L194" s="658">
        <f>+IFERROR(L$5*GETPIVOTDATA("Unique Billed Hours",'County allocation'!$K$19,"County",$D191,"HHA/CDPAP","CDPAP","Level of Service",$D194),0)</f>
        <v>0</v>
      </c>
      <c r="M194" s="658">
        <f>+IFERROR(M$5*GETPIVOTDATA("Unique Billed Hours",'County allocation'!$S$3,"County",$D191,"HHA/CDPAP","CDPAP","Level of Service",$D194),0)</f>
        <v>2481.4143458718422</v>
      </c>
      <c r="N194" s="658">
        <f>+IFERROR(N$5*GETPIVOTDATA("Unique Billed Hours",'County allocation'!$S$3,"County",$D191,"HHA/CDPAP","CDPAP","Level of Service",$D194),0)</f>
        <v>207.83098856325574</v>
      </c>
      <c r="O194" s="658">
        <f>+IFERROR(O$5*GETPIVOTDATA("Unique Billed Hours",'County allocation'!$S$3,"County",$D191,"HHA/CDPAP","CDPAP","Level of Service",$D194),0)</f>
        <v>0</v>
      </c>
      <c r="P194" s="658">
        <f>+IFERROR(P$5*GETPIVOTDATA("Unique Billed Hours",'County allocation'!$S$3,"County",$D191,"HHA/CDPAP","CDPAP","Level of Service",$D194),0)</f>
        <v>0</v>
      </c>
    </row>
    <row r="195" spans="1:16" x14ac:dyDescent="0.25">
      <c r="B195" s="24"/>
      <c r="C195" s="9">
        <f t="shared" ca="1" si="118"/>
        <v>1</v>
      </c>
      <c r="D195" s="267" t="s">
        <v>42</v>
      </c>
      <c r="E195" s="48" t="s">
        <v>56</v>
      </c>
      <c r="F195" s="678">
        <f t="shared" ref="F195:F199" ca="1" si="119">SUM(G195:I195)</f>
        <v>0</v>
      </c>
      <c r="G195" s="658">
        <f ca="1">+IFERROR(G$5*GETPIVOTDATA("Unique Billed Hours",'County allocation'!$A$3,"County",$D191,"HHA/CDPAP","CDPAP","Level of Service",$D195),0)</f>
        <v>0</v>
      </c>
      <c r="H195" s="658">
        <f>+IFERROR(H$5*GETPIVOTDATA("Unique Billed Hours",'County allocation'!$A$3,"County",$D191,"HHA/CDPAP","CDPAP","Level of Service",$D195),0)</f>
        <v>0</v>
      </c>
      <c r="I195" s="678">
        <f t="shared" ref="I195:I202" ca="1" si="120">SUM(J195:P195)</f>
        <v>0</v>
      </c>
      <c r="J195" s="658">
        <f ca="1">+IFERROR(J$5*GETPIVOTDATA("Unique Billed Hours",'County allocation'!$S$3,"County",$D191,"HHA/CDPAP","CDPAP","Level of Service",$D195),0)</f>
        <v>0</v>
      </c>
      <c r="K195" s="658">
        <f ca="1">+IFERROR(K$5*GETPIVOTDATA("Unique Billed Hours",'County allocation'!$X$3,"County",$D191,"HHA/CDPAP","CDPAP","Level of Service",$D195),0)</f>
        <v>0</v>
      </c>
      <c r="L195" s="658">
        <f>+IFERROR(L$5*GETPIVOTDATA("Unique Billed Hours",'County allocation'!$K$19,"County",$D191,"HHA/CDPAP","CDPAP","Level of Service",$D195),0)</f>
        <v>0</v>
      </c>
      <c r="M195" s="658">
        <f>+IFERROR(M$5*GETPIVOTDATA("Unique Billed Hours",'County allocation'!$S$3,"County",$D191,"HHA/CDPAP","CDPAP","Level of Service",$D195),0)</f>
        <v>0</v>
      </c>
      <c r="N195" s="658">
        <f>+IFERROR(N$5*GETPIVOTDATA("Unique Billed Hours",'County allocation'!$S$3,"County",$D191,"HHA/CDPAP","CDPAP","Level of Service",$D195),0)</f>
        <v>0</v>
      </c>
      <c r="O195" s="658">
        <f>+IFERROR(O$5*GETPIVOTDATA("Unique Billed Hours",'County allocation'!$S$3,"County",$D191,"HHA/CDPAP","CDPAP","Level of Service",$D195),0)</f>
        <v>0</v>
      </c>
      <c r="P195" s="658">
        <f>+IFERROR(P$5*GETPIVOTDATA("Unique Billed Hours",'County allocation'!$S$3,"County",$D191,"HHA/CDPAP","CDPAP","Level of Service",$D195),0)</f>
        <v>0</v>
      </c>
    </row>
    <row r="196" spans="1:16" x14ac:dyDescent="0.25">
      <c r="B196" s="24"/>
      <c r="C196" s="9">
        <f t="shared" ca="1" si="118"/>
        <v>1</v>
      </c>
      <c r="D196" s="267" t="s">
        <v>43</v>
      </c>
      <c r="E196" s="48" t="s">
        <v>55</v>
      </c>
      <c r="F196" s="678">
        <f t="shared" ca="1" si="119"/>
        <v>0</v>
      </c>
      <c r="G196" s="658">
        <f ca="1">+IFERROR(G$5*GETPIVOTDATA("Unique Billed Hours",'County allocation'!$A$3,"County",$D191,"HHA/CDPAP","CDPAP","Level of Service",$D196),0)</f>
        <v>0</v>
      </c>
      <c r="H196" s="658">
        <f>+IFERROR(H$5*GETPIVOTDATA("Unique Billed Hours",'County allocation'!$A$3,"County",$D191,"HHA/CDPAP","CDPAP","Level of Service",$D196),0)</f>
        <v>0</v>
      </c>
      <c r="I196" s="678">
        <f t="shared" ca="1" si="120"/>
        <v>0</v>
      </c>
      <c r="J196" s="658">
        <f ca="1">+IFERROR(J$5*GETPIVOTDATA("Unique Billed Hours",'County allocation'!$S$3,"County",$D191,"HHA/CDPAP","CDPAP","Level of Service",$D196),0)</f>
        <v>0</v>
      </c>
      <c r="K196" s="658">
        <f ca="1">+IFERROR(K$5*GETPIVOTDATA("Unique Billed Hours",'County allocation'!$X$3,"County",$D191,"HHA/CDPAP","CDPAP","Level of Service",$D196),0)</f>
        <v>0</v>
      </c>
      <c r="L196" s="658">
        <f>+IFERROR(L$5*GETPIVOTDATA("Unique Billed Hours",'County allocation'!$K$19,"County",$D191,"HHA/CDPAP","CDPAP","Level of Service",$D196),0)</f>
        <v>0</v>
      </c>
      <c r="M196" s="658">
        <f>+IFERROR(M$5*GETPIVOTDATA("Unique Billed Hours",'County allocation'!$S$3,"County",$D191,"HHA/CDPAP","CDPAP","Level of Service",$D196),0)</f>
        <v>0</v>
      </c>
      <c r="N196" s="658">
        <f>+IFERROR(N$5*GETPIVOTDATA("Unique Billed Hours",'County allocation'!$S$3,"County",$D191,"HHA/CDPAP","CDPAP","Level of Service",$D196),0)</f>
        <v>0</v>
      </c>
      <c r="O196" s="658">
        <f>+IFERROR(O$5*GETPIVOTDATA("Unique Billed Hours",'County allocation'!$S$3,"County",$D191,"HHA/CDPAP","CDPAP","Level of Service",$D196),0)</f>
        <v>0</v>
      </c>
      <c r="P196" s="658">
        <f>+IFERROR(P$5*GETPIVOTDATA("Unique Billed Hours",'County allocation'!$S$3,"County",$D191,"HHA/CDPAP","CDPAP","Level of Service",$D196),0)</f>
        <v>0</v>
      </c>
    </row>
    <row r="197" spans="1:16" x14ac:dyDescent="0.25">
      <c r="B197" s="24"/>
      <c r="C197" s="9">
        <f t="shared" ca="1" si="118"/>
        <v>1</v>
      </c>
      <c r="D197" s="267" t="s">
        <v>44</v>
      </c>
      <c r="E197" s="48" t="s">
        <v>54</v>
      </c>
      <c r="F197" s="678">
        <f t="shared" ca="1" si="119"/>
        <v>0</v>
      </c>
      <c r="G197" s="658">
        <f ca="1">+IFERROR(G$5*GETPIVOTDATA("Unique Billed Hours",'County allocation'!$A$3,"County",$D191,"HHA/CDPAP","CDPAP","Level of Service",$D197),0)</f>
        <v>0</v>
      </c>
      <c r="H197" s="658">
        <f>+IFERROR(H$5*GETPIVOTDATA("Unique Billed Hours",'County allocation'!$A$3,"County",$D191,"HHA/CDPAP","CDPAP","Level of Service",$D197),0)</f>
        <v>0</v>
      </c>
      <c r="I197" s="678">
        <f t="shared" ca="1" si="120"/>
        <v>0</v>
      </c>
      <c r="J197" s="658">
        <f ca="1">+IFERROR(J$5*GETPIVOTDATA("Unique Billed Hours",'County allocation'!$S$3,"County",$D191,"HHA/CDPAP","CDPAP","Level of Service",$D197),0)</f>
        <v>0</v>
      </c>
      <c r="K197" s="658">
        <f ca="1">+IFERROR(K$5*GETPIVOTDATA("Unique Billed Hours",'County allocation'!$X$3,"County",$D191,"HHA/CDPAP","CDPAP","Level of Service",$D197),0)</f>
        <v>0</v>
      </c>
      <c r="L197" s="658">
        <f>+IFERROR(L$5*GETPIVOTDATA("Unique Billed Hours",'County allocation'!$K$19,"County",$D191,"HHA/CDPAP","CDPAP","Level of Service",$D197),0)</f>
        <v>0</v>
      </c>
      <c r="M197" s="658">
        <f>+IFERROR(M$5*GETPIVOTDATA("Unique Billed Hours",'County allocation'!$S$3,"County",$D191,"HHA/CDPAP","CDPAP","Level of Service",$D197),0)</f>
        <v>0</v>
      </c>
      <c r="N197" s="658">
        <f>+IFERROR(N$5*GETPIVOTDATA("Unique Billed Hours",'County allocation'!$S$3,"County",$D191,"HHA/CDPAP","CDPAP","Level of Service",$D197),0)</f>
        <v>0</v>
      </c>
      <c r="O197" s="658">
        <f>+IFERROR(O$5*GETPIVOTDATA("Unique Billed Hours",'County allocation'!$S$3,"County",$D191,"HHA/CDPAP","CDPAP","Level of Service",$D197),0)</f>
        <v>0</v>
      </c>
      <c r="P197" s="658">
        <f>+IFERROR(P$5*GETPIVOTDATA("Unique Billed Hours",'County allocation'!$S$3,"County",$D191,"HHA/CDPAP","CDPAP","Level of Service",$D197),0)</f>
        <v>0</v>
      </c>
    </row>
    <row r="198" spans="1:16" x14ac:dyDescent="0.25">
      <c r="B198" s="24"/>
      <c r="C198" s="9">
        <f t="shared" ca="1" si="118"/>
        <v>1</v>
      </c>
      <c r="D198" s="267" t="s">
        <v>45</v>
      </c>
      <c r="E198" s="48" t="s">
        <v>53</v>
      </c>
      <c r="F198" s="678">
        <f t="shared" ca="1" si="119"/>
        <v>0</v>
      </c>
      <c r="G198" s="658">
        <f ca="1">+IFERROR(G$5*GETPIVOTDATA("Unique Billed Hours",'County allocation'!$A$3,"County",$D191,"HHA/CDPAP","CDPAP","Level of Service",$D198),0)</f>
        <v>0</v>
      </c>
      <c r="H198" s="658">
        <f>+IFERROR(H$5*GETPIVOTDATA("Unique Billed Hours",'County allocation'!$A$3,"County",$D191,"HHA/CDPAP","CDPAP","Level of Service",$D198),0)</f>
        <v>0</v>
      </c>
      <c r="I198" s="678">
        <f t="shared" ca="1" si="120"/>
        <v>0</v>
      </c>
      <c r="J198" s="658">
        <f ca="1">+IFERROR(J$5*GETPIVOTDATA("Unique Billed Hours",'County allocation'!$S$3,"County",$D191,"HHA/CDPAP","CDPAP","Level of Service",$D198),0)</f>
        <v>0</v>
      </c>
      <c r="K198" s="658">
        <f ca="1">+IFERROR(K$5*GETPIVOTDATA("Unique Billed Hours",'County allocation'!$X$3,"County",$D191,"HHA/CDPAP","CDPAP","Level of Service",$D198),0)</f>
        <v>0</v>
      </c>
      <c r="L198" s="658">
        <f>+IFERROR(L$5*GETPIVOTDATA("Unique Billed Hours",'County allocation'!$K$19,"County",$D191,"HHA/CDPAP","CDPAP","Level of Service",$D198),0)</f>
        <v>0</v>
      </c>
      <c r="M198" s="658">
        <f>+IFERROR(M$5*GETPIVOTDATA("Unique Billed Hours",'County allocation'!$S$3,"County",$D191,"HHA/CDPAP","CDPAP","Level of Service",$D198),0)</f>
        <v>0</v>
      </c>
      <c r="N198" s="658">
        <f>+IFERROR(N$5*GETPIVOTDATA("Unique Billed Hours",'County allocation'!$S$3,"County",$D191,"HHA/CDPAP","CDPAP","Level of Service",$D198),0)</f>
        <v>0</v>
      </c>
      <c r="O198" s="658">
        <f>+IFERROR(O$5*GETPIVOTDATA("Unique Billed Hours",'County allocation'!$S$3,"County",$D191,"HHA/CDPAP","CDPAP","Level of Service",$D198),0)</f>
        <v>0</v>
      </c>
      <c r="P198" s="658">
        <f>+IFERROR(P$5*GETPIVOTDATA("Unique Billed Hours",'County allocation'!$S$3,"County",$D191,"HHA/CDPAP","CDPAP","Level of Service",$D198),0)</f>
        <v>0</v>
      </c>
    </row>
    <row r="199" spans="1:16" x14ac:dyDescent="0.25">
      <c r="A199" s="302"/>
      <c r="B199" s="24"/>
      <c r="C199" s="9">
        <f t="shared" ca="1" si="118"/>
        <v>1</v>
      </c>
      <c r="D199" s="267" t="s">
        <v>46</v>
      </c>
      <c r="E199" s="48" t="s">
        <v>52</v>
      </c>
      <c r="F199" s="678">
        <f t="shared" ca="1" si="119"/>
        <v>0</v>
      </c>
      <c r="G199" s="658">
        <f ca="1">+IFERROR(G$5*GETPIVOTDATA("Unique Billed Hours",'County allocation'!$A$3,"County",$D191,"HHA/CDPAP","CDPAP","Level of Service",$D199),0)</f>
        <v>0</v>
      </c>
      <c r="H199" s="658">
        <f>+IFERROR(H$5*GETPIVOTDATA("Unique Billed Hours",'County allocation'!$A$3,"County",$D191,"HHA/CDPAP","CDPAP","Level of Service",$D199),0)</f>
        <v>0</v>
      </c>
      <c r="I199" s="678">
        <f t="shared" ca="1" si="120"/>
        <v>0</v>
      </c>
      <c r="J199" s="658">
        <f ca="1">+IFERROR(J$5*GETPIVOTDATA("Unique Billed Hours",'County allocation'!$S$3,"County",$D191,"HHA/CDPAP","CDPAP","Level of Service",$D199),0)</f>
        <v>0</v>
      </c>
      <c r="K199" s="658">
        <f ca="1">+IFERROR(K$5*GETPIVOTDATA("Unique Billed Hours",'County allocation'!$X$3,"County",$D191,"HHA/CDPAP","CDPAP","Level of Service",$D199),0)</f>
        <v>0</v>
      </c>
      <c r="L199" s="658">
        <f>+IFERROR(L$5*GETPIVOTDATA("Unique Billed Hours",'County allocation'!$K$19,"County",$D191,"HHA/CDPAP","CDPAP","Level of Service",$D199),0)</f>
        <v>0</v>
      </c>
      <c r="M199" s="658">
        <f>+IFERROR(M$5*GETPIVOTDATA("Unique Billed Hours",'County allocation'!$S$3,"County",$D191,"HHA/CDPAP","CDPAP","Level of Service",$D199),0)</f>
        <v>0</v>
      </c>
      <c r="N199" s="658">
        <f>+IFERROR(N$5*GETPIVOTDATA("Unique Billed Hours",'County allocation'!$S$3,"County",$D191,"HHA/CDPAP","CDPAP","Level of Service",$D199),0)</f>
        <v>0</v>
      </c>
      <c r="O199" s="658">
        <f>+IFERROR(O$5*GETPIVOTDATA("Unique Billed Hours",'County allocation'!$S$3,"County",$D191,"HHA/CDPAP","CDPAP","Level of Service",$D199),0)</f>
        <v>0</v>
      </c>
      <c r="P199" s="658">
        <f>+IFERROR(P$5*GETPIVOTDATA("Unique Billed Hours",'County allocation'!$S$3,"County",$D191,"HHA/CDPAP","CDPAP","Level of Service",$D199),0)</f>
        <v>0</v>
      </c>
    </row>
    <row r="200" spans="1:16" ht="15.75" thickBot="1" x14ac:dyDescent="0.3">
      <c r="A200" s="302"/>
      <c r="B200" s="24"/>
      <c r="C200" s="9">
        <f t="shared" ca="1" si="118"/>
        <v>1</v>
      </c>
      <c r="D200" s="52" t="s">
        <v>389</v>
      </c>
      <c r="E200" s="370" t="s">
        <v>51</v>
      </c>
      <c r="F200" s="679">
        <f ca="1">SUM(F194:F199)</f>
        <v>727685.63701007818</v>
      </c>
      <c r="G200" s="679">
        <f t="shared" ref="G200:H200" ca="1" si="121">SUM(G194:G199)</f>
        <v>29254.529137298941</v>
      </c>
      <c r="H200" s="679">
        <f t="shared" si="121"/>
        <v>25187.6094695272</v>
      </c>
      <c r="I200" s="678">
        <f t="shared" ca="1" si="120"/>
        <v>673243.49840325199</v>
      </c>
      <c r="J200" s="679">
        <f ca="1">SUM(J194:J199)</f>
        <v>133199.344407147</v>
      </c>
      <c r="K200" s="679">
        <f t="shared" ref="K200:P200" ca="1" si="122">SUM(K194:K199)</f>
        <v>537354.90866166982</v>
      </c>
      <c r="L200" s="679">
        <f t="shared" si="122"/>
        <v>0</v>
      </c>
      <c r="M200" s="679">
        <f t="shared" si="122"/>
        <v>2481.4143458718422</v>
      </c>
      <c r="N200" s="679">
        <f t="shared" si="122"/>
        <v>207.83098856325574</v>
      </c>
      <c r="O200" s="679">
        <f t="shared" si="122"/>
        <v>0</v>
      </c>
      <c r="P200" s="679">
        <f t="shared" si="122"/>
        <v>0</v>
      </c>
    </row>
    <row r="201" spans="1:16" x14ac:dyDescent="0.25">
      <c r="A201" s="302"/>
      <c r="B201" s="24"/>
      <c r="C201" s="9">
        <f t="shared" ca="1" si="118"/>
        <v>1</v>
      </c>
      <c r="D201" s="378" t="s">
        <v>390</v>
      </c>
      <c r="E201" s="370" t="s">
        <v>50</v>
      </c>
      <c r="F201" s="678">
        <f t="shared" ref="F201" ca="1" si="123">SUM(G201:I201)</f>
        <v>0</v>
      </c>
      <c r="G201" s="658">
        <f ca="1">+IFERROR(G$5*GETPIVOTDATA("Unique Billed Hours",'County allocation'!$A$3,"County",$D191,"HHA/CDPAP","CDPAP","Level of Service",$D201),0)</f>
        <v>0</v>
      </c>
      <c r="H201" s="659"/>
      <c r="I201" s="678">
        <f t="shared" si="120"/>
        <v>0</v>
      </c>
      <c r="J201" s="659"/>
      <c r="K201" s="659"/>
      <c r="L201" s="659"/>
      <c r="M201" s="659"/>
      <c r="N201" s="659"/>
      <c r="O201" s="659"/>
      <c r="P201" s="659"/>
    </row>
    <row r="202" spans="1:16" ht="15.75" thickBot="1" x14ac:dyDescent="0.3">
      <c r="B202" s="24"/>
      <c r="C202" s="9">
        <f t="shared" ca="1" si="118"/>
        <v>1</v>
      </c>
      <c r="D202" s="11" t="s">
        <v>48</v>
      </c>
      <c r="E202" s="53" t="s">
        <v>49</v>
      </c>
      <c r="F202" s="662">
        <f ca="1">SUBTOTAL(9,F194:F199)</f>
        <v>727685.63701007818</v>
      </c>
      <c r="G202" s="662">
        <f t="shared" ref="G202" ca="1" si="124">SUBTOTAL(9,G194:G199)</f>
        <v>29254.529137298941</v>
      </c>
      <c r="H202" s="662">
        <f>SUBTOTAL(9,H194:H199)</f>
        <v>25187.6094695272</v>
      </c>
      <c r="I202" s="678">
        <f t="shared" ca="1" si="120"/>
        <v>673243.49840325199</v>
      </c>
      <c r="J202" s="662">
        <f t="shared" ref="J202:P202" ca="1" si="125">SUBTOTAL(9,J194:J199)</f>
        <v>133199.344407147</v>
      </c>
      <c r="K202" s="662">
        <f t="shared" ca="1" si="125"/>
        <v>537354.90866166982</v>
      </c>
      <c r="L202" s="662">
        <f t="shared" si="125"/>
        <v>0</v>
      </c>
      <c r="M202" s="662">
        <f t="shared" si="125"/>
        <v>2481.4143458718422</v>
      </c>
      <c r="N202" s="662">
        <f t="shared" si="125"/>
        <v>207.83098856325574</v>
      </c>
      <c r="O202" s="662">
        <f t="shared" si="125"/>
        <v>0</v>
      </c>
      <c r="P202" s="662">
        <f t="shared" si="125"/>
        <v>0</v>
      </c>
    </row>
    <row r="203" spans="1:16" ht="15.75" hidden="1" thickBot="1" x14ac:dyDescent="0.3"/>
    <row r="204" spans="1:16" ht="75" x14ac:dyDescent="0.25">
      <c r="A204" s="60"/>
      <c r="B204" s="24"/>
      <c r="C204" s="9">
        <f ca="1">IF(F215&gt;0,1,0)</f>
        <v>1</v>
      </c>
      <c r="D204" s="45" t="str">
        <f>A18</f>
        <v>Erie</v>
      </c>
      <c r="E204" s="28">
        <f>SUMIF(A:A,D204,B:B)</f>
        <v>2.6305537197862446E-2</v>
      </c>
      <c r="F204" s="652" t="s">
        <v>396</v>
      </c>
      <c r="G204" s="652" t="s">
        <v>387</v>
      </c>
      <c r="H204" s="652" t="s">
        <v>388</v>
      </c>
      <c r="I204" s="652" t="s">
        <v>392</v>
      </c>
      <c r="J204" s="652" t="s">
        <v>31</v>
      </c>
      <c r="K204" s="652" t="s">
        <v>32</v>
      </c>
      <c r="L204" s="653" t="s">
        <v>33</v>
      </c>
      <c r="M204" s="653" t="s">
        <v>60</v>
      </c>
      <c r="N204" s="653" t="s">
        <v>59</v>
      </c>
      <c r="O204" s="653" t="s">
        <v>58</v>
      </c>
      <c r="P204" s="653" t="s">
        <v>16</v>
      </c>
    </row>
    <row r="205" spans="1:16" x14ac:dyDescent="0.25">
      <c r="A205" s="60"/>
      <c r="B205" s="24"/>
      <c r="C205" s="9">
        <f ca="1">C204</f>
        <v>1</v>
      </c>
      <c r="D205" s="47"/>
      <c r="E205" s="48"/>
      <c r="F205" s="669" t="s">
        <v>57</v>
      </c>
      <c r="G205" s="669" t="s">
        <v>56</v>
      </c>
      <c r="H205" s="669" t="s">
        <v>55</v>
      </c>
      <c r="I205" s="669" t="s">
        <v>54</v>
      </c>
      <c r="J205" s="669" t="s">
        <v>53</v>
      </c>
      <c r="K205" s="669" t="s">
        <v>52</v>
      </c>
      <c r="L205" s="669" t="s">
        <v>51</v>
      </c>
      <c r="M205" s="669" t="s">
        <v>50</v>
      </c>
      <c r="N205" s="669" t="s">
        <v>49</v>
      </c>
      <c r="O205" s="669" t="s">
        <v>47</v>
      </c>
      <c r="P205" s="670" t="s">
        <v>77</v>
      </c>
    </row>
    <row r="206" spans="1:16" x14ac:dyDescent="0.25">
      <c r="B206" s="24"/>
      <c r="C206" s="9">
        <f t="shared" ref="C206:C215" ca="1" si="126">C205</f>
        <v>1</v>
      </c>
      <c r="D206" s="51" t="s">
        <v>26</v>
      </c>
      <c r="E206" s="48"/>
      <c r="F206" s="674"/>
      <c r="G206" s="674"/>
      <c r="H206" s="674"/>
      <c r="I206" s="674"/>
      <c r="J206" s="674"/>
      <c r="K206" s="674"/>
      <c r="L206" s="675"/>
      <c r="M206" s="675"/>
      <c r="N206" s="676"/>
      <c r="O206" s="674"/>
      <c r="P206" s="677"/>
    </row>
    <row r="207" spans="1:16" x14ac:dyDescent="0.25">
      <c r="B207" s="24"/>
      <c r="C207" s="9">
        <f t="shared" ca="1" si="126"/>
        <v>1</v>
      </c>
      <c r="D207" s="267" t="s">
        <v>18</v>
      </c>
      <c r="E207" s="48" t="s">
        <v>57</v>
      </c>
      <c r="F207" s="678">
        <f ca="1">SUM(G207:I207)</f>
        <v>2165575.4395568324</v>
      </c>
      <c r="G207" s="658">
        <f ca="1">+IFERROR(G$5*GETPIVOTDATA("Unique Billed Hours",'County allocation'!$A$3,"County",$D204,"HHA/CDPAP","CDPAP","Level of Service",$D207),0)</f>
        <v>87060.794625326511</v>
      </c>
      <c r="H207" s="658">
        <f>+IFERROR(H$5*GETPIVOTDATA("Unique Billed Hours",'County allocation'!$A$3,"County",$D204,"HHA/CDPAP","CDPAP","Level of Service",$D207),0)</f>
        <v>74957.736794799144</v>
      </c>
      <c r="I207" s="678">
        <f ca="1">SUM(J207:P207)</f>
        <v>2003556.9081367066</v>
      </c>
      <c r="J207" s="658">
        <f ca="1">+IFERROR(J$5*GETPIVOTDATA("Unique Billed Hours",'County allocation'!$S$3,"County",$D204,"HHA/CDPAP","CDPAP","Level of Service",$D207),0)</f>
        <v>396398.13422508747</v>
      </c>
      <c r="K207" s="658">
        <f ca="1">+IFERROR(K$5*GETPIVOTDATA("Unique Billed Hours",'County allocation'!$X$3,"County",$D204,"HHA/CDPAP","CDPAP","Level of Service",$D207),0)</f>
        <v>1599155.6426815947</v>
      </c>
      <c r="L207" s="658">
        <f>+IFERROR(L$5*GETPIVOTDATA("Unique Billed Hours",'County allocation'!$K$19,"County",$D204,"HHA/CDPAP","CDPAP","Level of Service",$D207),0)</f>
        <v>0</v>
      </c>
      <c r="M207" s="658">
        <f>+IFERROR(M$5*GETPIVOTDATA("Unique Billed Hours",'County allocation'!$S$3,"County",$D204,"HHA/CDPAP","CDPAP","Level of Service",$D207),0)</f>
        <v>7384.6310679753333</v>
      </c>
      <c r="N207" s="658">
        <f>+IFERROR(N$5*GETPIVOTDATA("Unique Billed Hours",'County allocation'!$S$3,"County",$D204,"HHA/CDPAP","CDPAP","Level of Service",$D207),0)</f>
        <v>618.50016204891813</v>
      </c>
      <c r="O207" s="658">
        <f>+IFERROR(O$5*GETPIVOTDATA("Unique Billed Hours",'County allocation'!$S$3,"County",$D204,"HHA/CDPAP","CDPAP","Level of Service",$D207),0)</f>
        <v>0</v>
      </c>
      <c r="P207" s="658">
        <f>+IFERROR(P$5*GETPIVOTDATA("Unique Billed Hours",'County allocation'!$S$3,"County",$D204,"HHA/CDPAP","CDPAP","Level of Service",$D207),0)</f>
        <v>0</v>
      </c>
    </row>
    <row r="208" spans="1:16" x14ac:dyDescent="0.25">
      <c r="B208" s="24"/>
      <c r="C208" s="9">
        <f t="shared" ca="1" si="126"/>
        <v>1</v>
      </c>
      <c r="D208" s="267" t="s">
        <v>42</v>
      </c>
      <c r="E208" s="48" t="s">
        <v>56</v>
      </c>
      <c r="F208" s="678">
        <f t="shared" ref="F208:F212" ca="1" si="127">SUM(G208:I208)</f>
        <v>0</v>
      </c>
      <c r="G208" s="658">
        <f ca="1">+IFERROR(G$5*GETPIVOTDATA("Unique Billed Hours",'County allocation'!$A$3,"County",$D204,"HHA/CDPAP","CDPAP","Level of Service",$D208),0)</f>
        <v>0</v>
      </c>
      <c r="H208" s="658">
        <f>+IFERROR(H$5*GETPIVOTDATA("Unique Billed Hours",'County allocation'!$A$3,"County",$D204,"HHA/CDPAP","CDPAP","Level of Service",$D208),0)</f>
        <v>0</v>
      </c>
      <c r="I208" s="678">
        <f t="shared" ref="I208:I215" ca="1" si="128">SUM(J208:P208)</f>
        <v>0</v>
      </c>
      <c r="J208" s="658">
        <f ca="1">+IFERROR(J$5*GETPIVOTDATA("Unique Billed Hours",'County allocation'!$S$3,"County",$D204,"HHA/CDPAP","CDPAP","Level of Service",$D208),0)</f>
        <v>0</v>
      </c>
      <c r="K208" s="658">
        <f ca="1">+IFERROR(K$5*GETPIVOTDATA("Unique Billed Hours",'County allocation'!$X$3,"County",$D204,"HHA/CDPAP","CDPAP","Level of Service",$D208),0)</f>
        <v>0</v>
      </c>
      <c r="L208" s="658">
        <f>+IFERROR(L$5*GETPIVOTDATA("Unique Billed Hours",'County allocation'!$K$19,"County",$D204,"HHA/CDPAP","CDPAP","Level of Service",$D208),0)</f>
        <v>0</v>
      </c>
      <c r="M208" s="658">
        <f>+IFERROR(M$5*GETPIVOTDATA("Unique Billed Hours",'County allocation'!$S$3,"County",$D204,"HHA/CDPAP","CDPAP","Level of Service",$D208),0)</f>
        <v>0</v>
      </c>
      <c r="N208" s="658">
        <f>+IFERROR(N$5*GETPIVOTDATA("Unique Billed Hours",'County allocation'!$S$3,"County",$D204,"HHA/CDPAP","CDPAP","Level of Service",$D208),0)</f>
        <v>0</v>
      </c>
      <c r="O208" s="658">
        <f>+IFERROR(O$5*GETPIVOTDATA("Unique Billed Hours",'County allocation'!$S$3,"County",$D204,"HHA/CDPAP","CDPAP","Level of Service",$D208),0)</f>
        <v>0</v>
      </c>
      <c r="P208" s="658">
        <f>+IFERROR(P$5*GETPIVOTDATA("Unique Billed Hours",'County allocation'!$S$3,"County",$D204,"HHA/CDPAP","CDPAP","Level of Service",$D208),0)</f>
        <v>0</v>
      </c>
    </row>
    <row r="209" spans="1:16" x14ac:dyDescent="0.25">
      <c r="B209" s="24"/>
      <c r="C209" s="9">
        <f t="shared" ca="1" si="126"/>
        <v>1</v>
      </c>
      <c r="D209" s="267" t="s">
        <v>43</v>
      </c>
      <c r="E209" s="48" t="s">
        <v>55</v>
      </c>
      <c r="F209" s="678">
        <f t="shared" ca="1" si="127"/>
        <v>0</v>
      </c>
      <c r="G209" s="658">
        <f ca="1">+IFERROR(G$5*GETPIVOTDATA("Unique Billed Hours",'County allocation'!$A$3,"County",$D204,"HHA/CDPAP","CDPAP","Level of Service",$D209),0)</f>
        <v>0</v>
      </c>
      <c r="H209" s="658">
        <f>+IFERROR(H$5*GETPIVOTDATA("Unique Billed Hours",'County allocation'!$A$3,"County",$D204,"HHA/CDPAP","CDPAP","Level of Service",$D209),0)</f>
        <v>0</v>
      </c>
      <c r="I209" s="678">
        <f t="shared" ca="1" si="128"/>
        <v>0</v>
      </c>
      <c r="J209" s="658">
        <f ca="1">+IFERROR(J$5*GETPIVOTDATA("Unique Billed Hours",'County allocation'!$S$3,"County",$D204,"HHA/CDPAP","CDPAP","Level of Service",$D209),0)</f>
        <v>0</v>
      </c>
      <c r="K209" s="658">
        <f ca="1">+IFERROR(K$5*GETPIVOTDATA("Unique Billed Hours",'County allocation'!$X$3,"County",$D204,"HHA/CDPAP","CDPAP","Level of Service",$D209),0)</f>
        <v>0</v>
      </c>
      <c r="L209" s="658">
        <f>+IFERROR(L$5*GETPIVOTDATA("Unique Billed Hours",'County allocation'!$K$19,"County",$D204,"HHA/CDPAP","CDPAP","Level of Service",$D209),0)</f>
        <v>0</v>
      </c>
      <c r="M209" s="658">
        <f>+IFERROR(M$5*GETPIVOTDATA("Unique Billed Hours",'County allocation'!$S$3,"County",$D204,"HHA/CDPAP","CDPAP","Level of Service",$D209),0)</f>
        <v>0</v>
      </c>
      <c r="N209" s="658">
        <f>+IFERROR(N$5*GETPIVOTDATA("Unique Billed Hours",'County allocation'!$S$3,"County",$D204,"HHA/CDPAP","CDPAP","Level of Service",$D209),0)</f>
        <v>0</v>
      </c>
      <c r="O209" s="658">
        <f>+IFERROR(O$5*GETPIVOTDATA("Unique Billed Hours",'County allocation'!$S$3,"County",$D204,"HHA/CDPAP","CDPAP","Level of Service",$D209),0)</f>
        <v>0</v>
      </c>
      <c r="P209" s="658">
        <f>+IFERROR(P$5*GETPIVOTDATA("Unique Billed Hours",'County allocation'!$S$3,"County",$D204,"HHA/CDPAP","CDPAP","Level of Service",$D209),0)</f>
        <v>0</v>
      </c>
    </row>
    <row r="210" spans="1:16" x14ac:dyDescent="0.25">
      <c r="B210" s="24"/>
      <c r="C210" s="9">
        <f t="shared" ca="1" si="126"/>
        <v>1</v>
      </c>
      <c r="D210" s="267" t="s">
        <v>44</v>
      </c>
      <c r="E210" s="48" t="s">
        <v>54</v>
      </c>
      <c r="F210" s="678">
        <f t="shared" ca="1" si="127"/>
        <v>102052.79798034343</v>
      </c>
      <c r="G210" s="658">
        <f ca="1">+IFERROR(G$5*GETPIVOTDATA("Unique Billed Hours",'County allocation'!$A$3,"County",$D204,"HHA/CDPAP","CDPAP","Level of Service",$D210),0)</f>
        <v>4102.7421735651105</v>
      </c>
      <c r="H210" s="658">
        <f>+IFERROR(H$5*GETPIVOTDATA("Unique Billed Hours",'County allocation'!$A$3,"County",$D204,"HHA/CDPAP","CDPAP","Level of Service",$D210),0)</f>
        <v>3532.3852637287177</v>
      </c>
      <c r="I210" s="678">
        <f t="shared" ca="1" si="128"/>
        <v>94417.670543049608</v>
      </c>
      <c r="J210" s="658">
        <f ca="1">+IFERROR(J$5*GETPIVOTDATA("Unique Billed Hours",'County allocation'!$S$3,"County",$D204,"HHA/CDPAP","CDPAP","Level of Service",$D210),0)</f>
        <v>18680.272214454191</v>
      </c>
      <c r="K210" s="658">
        <f ca="1">+IFERROR(K$5*GETPIVOTDATA("Unique Billed Hours",'County allocation'!$X$3,"County",$D204,"HHA/CDPAP","CDPAP","Level of Service",$D210),0)</f>
        <v>75360.250564675924</v>
      </c>
      <c r="L210" s="658">
        <f>+IFERROR(L$5*GETPIVOTDATA("Unique Billed Hours",'County allocation'!$K$19,"County",$D204,"HHA/CDPAP","CDPAP","Level of Service",$D210),0)</f>
        <v>0</v>
      </c>
      <c r="M210" s="658">
        <f>+IFERROR(M$5*GETPIVOTDATA("Unique Billed Hours",'County allocation'!$S$3,"County",$D204,"HHA/CDPAP","CDPAP","Level of Service",$D210),0)</f>
        <v>348.00092796290551</v>
      </c>
      <c r="N210" s="658">
        <f>+IFERROR(N$5*GETPIVOTDATA("Unique Billed Hours",'County allocation'!$S$3,"County",$D204,"HHA/CDPAP","CDPAP","Level of Service",$D210),0)</f>
        <v>29.146835956592149</v>
      </c>
      <c r="O210" s="658">
        <f>+IFERROR(O$5*GETPIVOTDATA("Unique Billed Hours",'County allocation'!$S$3,"County",$D204,"HHA/CDPAP","CDPAP","Level of Service",$D210),0)</f>
        <v>0</v>
      </c>
      <c r="P210" s="658">
        <f>+IFERROR(P$5*GETPIVOTDATA("Unique Billed Hours",'County allocation'!$S$3,"County",$D204,"HHA/CDPAP","CDPAP","Level of Service",$D210),0)</f>
        <v>0</v>
      </c>
    </row>
    <row r="211" spans="1:16" x14ac:dyDescent="0.25">
      <c r="B211" s="24"/>
      <c r="C211" s="9">
        <f t="shared" ca="1" si="126"/>
        <v>1</v>
      </c>
      <c r="D211" s="267" t="s">
        <v>45</v>
      </c>
      <c r="E211" s="48" t="s">
        <v>53</v>
      </c>
      <c r="F211" s="678">
        <f t="shared" ca="1" si="127"/>
        <v>0</v>
      </c>
      <c r="G211" s="658">
        <f ca="1">+IFERROR(G$5*GETPIVOTDATA("Unique Billed Hours",'County allocation'!$A$3,"County",$D204,"HHA/CDPAP","CDPAP","Level of Service",$D211),0)</f>
        <v>0</v>
      </c>
      <c r="H211" s="658">
        <f>+IFERROR(H$5*GETPIVOTDATA("Unique Billed Hours",'County allocation'!$A$3,"County",$D204,"HHA/CDPAP","CDPAP","Level of Service",$D211),0)</f>
        <v>0</v>
      </c>
      <c r="I211" s="678">
        <f t="shared" ca="1" si="128"/>
        <v>0</v>
      </c>
      <c r="J211" s="658">
        <f ca="1">+IFERROR(J$5*GETPIVOTDATA("Unique Billed Hours",'County allocation'!$S$3,"County",$D204,"HHA/CDPAP","CDPAP","Level of Service",$D211),0)</f>
        <v>0</v>
      </c>
      <c r="K211" s="658">
        <f ca="1">+IFERROR(K$5*GETPIVOTDATA("Unique Billed Hours",'County allocation'!$X$3,"County",$D204,"HHA/CDPAP","CDPAP","Level of Service",$D211),0)</f>
        <v>0</v>
      </c>
      <c r="L211" s="658">
        <f>+IFERROR(L$5*GETPIVOTDATA("Unique Billed Hours",'County allocation'!$K$19,"County",$D204,"HHA/CDPAP","CDPAP","Level of Service",$D211),0)</f>
        <v>0</v>
      </c>
      <c r="M211" s="658">
        <f>+IFERROR(M$5*GETPIVOTDATA("Unique Billed Hours",'County allocation'!$S$3,"County",$D204,"HHA/CDPAP","CDPAP","Level of Service",$D211),0)</f>
        <v>0</v>
      </c>
      <c r="N211" s="658">
        <f>+IFERROR(N$5*GETPIVOTDATA("Unique Billed Hours",'County allocation'!$S$3,"County",$D204,"HHA/CDPAP","CDPAP","Level of Service",$D211),0)</f>
        <v>0</v>
      </c>
      <c r="O211" s="658">
        <f>+IFERROR(O$5*GETPIVOTDATA("Unique Billed Hours",'County allocation'!$S$3,"County",$D204,"HHA/CDPAP","CDPAP","Level of Service",$D211),0)</f>
        <v>0</v>
      </c>
      <c r="P211" s="658">
        <f>+IFERROR(P$5*GETPIVOTDATA("Unique Billed Hours",'County allocation'!$S$3,"County",$D204,"HHA/CDPAP","CDPAP","Level of Service",$D211),0)</f>
        <v>0</v>
      </c>
    </row>
    <row r="212" spans="1:16" x14ac:dyDescent="0.25">
      <c r="A212" s="302"/>
      <c r="B212" s="24"/>
      <c r="C212" s="9">
        <f t="shared" ca="1" si="126"/>
        <v>1</v>
      </c>
      <c r="D212" s="267" t="s">
        <v>46</v>
      </c>
      <c r="E212" s="48" t="s">
        <v>52</v>
      </c>
      <c r="F212" s="678">
        <f t="shared" ca="1" si="127"/>
        <v>0</v>
      </c>
      <c r="G212" s="658">
        <f ca="1">+IFERROR(G$5*GETPIVOTDATA("Unique Billed Hours",'County allocation'!$A$3,"County",$D204,"HHA/CDPAP","CDPAP","Level of Service",$D212),0)</f>
        <v>0</v>
      </c>
      <c r="H212" s="658">
        <f>+IFERROR(H$5*GETPIVOTDATA("Unique Billed Hours",'County allocation'!$A$3,"County",$D204,"HHA/CDPAP","CDPAP","Level of Service",$D212),0)</f>
        <v>0</v>
      </c>
      <c r="I212" s="678">
        <f t="shared" ca="1" si="128"/>
        <v>0</v>
      </c>
      <c r="J212" s="658">
        <f ca="1">+IFERROR(J$5*GETPIVOTDATA("Unique Billed Hours",'County allocation'!$S$3,"County",$D204,"HHA/CDPAP","CDPAP","Level of Service",$D212),0)</f>
        <v>0</v>
      </c>
      <c r="K212" s="658">
        <f ca="1">+IFERROR(K$5*GETPIVOTDATA("Unique Billed Hours",'County allocation'!$X$3,"County",$D204,"HHA/CDPAP","CDPAP","Level of Service",$D212),0)</f>
        <v>0</v>
      </c>
      <c r="L212" s="658">
        <f>+IFERROR(L$5*GETPIVOTDATA("Unique Billed Hours",'County allocation'!$K$19,"County",$D204,"HHA/CDPAP","CDPAP","Level of Service",$D212),0)</f>
        <v>0</v>
      </c>
      <c r="M212" s="658">
        <f>+IFERROR(M$5*GETPIVOTDATA("Unique Billed Hours",'County allocation'!$S$3,"County",$D204,"HHA/CDPAP","CDPAP","Level of Service",$D212),0)</f>
        <v>0</v>
      </c>
      <c r="N212" s="658">
        <f>+IFERROR(N$5*GETPIVOTDATA("Unique Billed Hours",'County allocation'!$S$3,"County",$D204,"HHA/CDPAP","CDPAP","Level of Service",$D212),0)</f>
        <v>0</v>
      </c>
      <c r="O212" s="658">
        <f>+IFERROR(O$5*GETPIVOTDATA("Unique Billed Hours",'County allocation'!$S$3,"County",$D204,"HHA/CDPAP","CDPAP","Level of Service",$D212),0)</f>
        <v>0</v>
      </c>
      <c r="P212" s="658">
        <f>+IFERROR(P$5*GETPIVOTDATA("Unique Billed Hours",'County allocation'!$S$3,"County",$D204,"HHA/CDPAP","CDPAP","Level of Service",$D212),0)</f>
        <v>0</v>
      </c>
    </row>
    <row r="213" spans="1:16" ht="15.75" thickBot="1" x14ac:dyDescent="0.3">
      <c r="A213" s="302"/>
      <c r="B213" s="24"/>
      <c r="C213" s="9">
        <f t="shared" ca="1" si="126"/>
        <v>1</v>
      </c>
      <c r="D213" s="52" t="s">
        <v>389</v>
      </c>
      <c r="E213" s="370" t="s">
        <v>51</v>
      </c>
      <c r="F213" s="679">
        <f ca="1">SUM(F207:F212)</f>
        <v>2267628.2375371759</v>
      </c>
      <c r="G213" s="679">
        <f t="shared" ref="G213:H213" ca="1" si="129">SUM(G207:G212)</f>
        <v>91163.536798891626</v>
      </c>
      <c r="H213" s="679">
        <f t="shared" si="129"/>
        <v>78490.122058527864</v>
      </c>
      <c r="I213" s="678">
        <f t="shared" ca="1" si="128"/>
        <v>2097974.5786797558</v>
      </c>
      <c r="J213" s="679">
        <f ca="1">SUM(J207:J212)</f>
        <v>415078.40643954166</v>
      </c>
      <c r="K213" s="679">
        <f t="shared" ref="K213:P213" ca="1" si="130">SUM(K207:K212)</f>
        <v>1674515.8932462707</v>
      </c>
      <c r="L213" s="679">
        <f t="shared" si="130"/>
        <v>0</v>
      </c>
      <c r="M213" s="679">
        <f t="shared" si="130"/>
        <v>7732.631995938239</v>
      </c>
      <c r="N213" s="679">
        <f t="shared" si="130"/>
        <v>647.64699800551023</v>
      </c>
      <c r="O213" s="679">
        <f t="shared" si="130"/>
        <v>0</v>
      </c>
      <c r="P213" s="679">
        <f t="shared" si="130"/>
        <v>0</v>
      </c>
    </row>
    <row r="214" spans="1:16" x14ac:dyDescent="0.25">
      <c r="A214" s="302"/>
      <c r="B214" s="24"/>
      <c r="C214" s="9">
        <f t="shared" ca="1" si="126"/>
        <v>1</v>
      </c>
      <c r="D214" s="378" t="s">
        <v>390</v>
      </c>
      <c r="E214" s="370" t="s">
        <v>50</v>
      </c>
      <c r="F214" s="678">
        <f t="shared" ref="F214" ca="1" si="131">SUM(G214:I214)</f>
        <v>0</v>
      </c>
      <c r="G214" s="658">
        <f ca="1">+IFERROR(G$5*GETPIVOTDATA("Unique Billed Hours",'County allocation'!$A$3,"County",$D204,"HHA/CDPAP","CDPAP","Level of Service",$D214),0)</f>
        <v>0</v>
      </c>
      <c r="H214" s="659"/>
      <c r="I214" s="678">
        <f t="shared" si="128"/>
        <v>0</v>
      </c>
      <c r="J214" s="659"/>
      <c r="K214" s="659"/>
      <c r="L214" s="659"/>
      <c r="M214" s="659"/>
      <c r="N214" s="659"/>
      <c r="O214" s="659"/>
      <c r="P214" s="659"/>
    </row>
    <row r="215" spans="1:16" ht="15.75" thickBot="1" x14ac:dyDescent="0.3">
      <c r="B215" s="24"/>
      <c r="C215" s="9">
        <f t="shared" ca="1" si="126"/>
        <v>1</v>
      </c>
      <c r="D215" s="11" t="s">
        <v>48</v>
      </c>
      <c r="E215" s="53" t="s">
        <v>49</v>
      </c>
      <c r="F215" s="662">
        <f ca="1">SUBTOTAL(9,F207:F212)</f>
        <v>2267628.2375371759</v>
      </c>
      <c r="G215" s="662">
        <f t="shared" ref="G215" ca="1" si="132">SUBTOTAL(9,G207:G212)</f>
        <v>91163.536798891626</v>
      </c>
      <c r="H215" s="662">
        <f>SUBTOTAL(9,H207:H212)</f>
        <v>78490.122058527864</v>
      </c>
      <c r="I215" s="678">
        <f t="shared" ca="1" si="128"/>
        <v>2097974.5786797558</v>
      </c>
      <c r="J215" s="662">
        <f t="shared" ref="J215:P215" ca="1" si="133">SUBTOTAL(9,J207:J212)</f>
        <v>415078.40643954166</v>
      </c>
      <c r="K215" s="662">
        <f t="shared" ca="1" si="133"/>
        <v>1674515.8932462707</v>
      </c>
      <c r="L215" s="662">
        <f t="shared" si="133"/>
        <v>0</v>
      </c>
      <c r="M215" s="662">
        <f t="shared" si="133"/>
        <v>7732.631995938239</v>
      </c>
      <c r="N215" s="662">
        <f t="shared" si="133"/>
        <v>647.64699800551023</v>
      </c>
      <c r="O215" s="662">
        <f t="shared" si="133"/>
        <v>0</v>
      </c>
      <c r="P215" s="662">
        <f t="shared" si="133"/>
        <v>0</v>
      </c>
    </row>
    <row r="216" spans="1:16" ht="15.75" hidden="1" thickBot="1" x14ac:dyDescent="0.3"/>
    <row r="217" spans="1:16" ht="75" x14ac:dyDescent="0.25">
      <c r="A217" s="60"/>
      <c r="B217" s="24"/>
      <c r="C217" s="9">
        <f ca="1">IF(F228&gt;0,1,0)</f>
        <v>1</v>
      </c>
      <c r="D217" s="45" t="str">
        <f>A19</f>
        <v>Essex</v>
      </c>
      <c r="E217" s="28">
        <f>SUMIF(A:A,D217,B:B)</f>
        <v>2.022791098305527E-4</v>
      </c>
      <c r="F217" s="652" t="s">
        <v>396</v>
      </c>
      <c r="G217" s="652" t="s">
        <v>387</v>
      </c>
      <c r="H217" s="652" t="s">
        <v>388</v>
      </c>
      <c r="I217" s="652" t="s">
        <v>392</v>
      </c>
      <c r="J217" s="652" t="s">
        <v>31</v>
      </c>
      <c r="K217" s="652" t="s">
        <v>32</v>
      </c>
      <c r="L217" s="653" t="s">
        <v>33</v>
      </c>
      <c r="M217" s="653" t="s">
        <v>60</v>
      </c>
      <c r="N217" s="653" t="s">
        <v>59</v>
      </c>
      <c r="O217" s="653" t="s">
        <v>58</v>
      </c>
      <c r="P217" s="653" t="s">
        <v>16</v>
      </c>
    </row>
    <row r="218" spans="1:16" x14ac:dyDescent="0.25">
      <c r="A218" s="60"/>
      <c r="B218" s="24"/>
      <c r="C218" s="9">
        <f ca="1">C217</f>
        <v>1</v>
      </c>
      <c r="D218" s="47"/>
      <c r="E218" s="48"/>
      <c r="F218" s="669" t="s">
        <v>57</v>
      </c>
      <c r="G218" s="669" t="s">
        <v>56</v>
      </c>
      <c r="H218" s="669" t="s">
        <v>55</v>
      </c>
      <c r="I218" s="669" t="s">
        <v>54</v>
      </c>
      <c r="J218" s="669" t="s">
        <v>53</v>
      </c>
      <c r="K218" s="669" t="s">
        <v>52</v>
      </c>
      <c r="L218" s="669" t="s">
        <v>51</v>
      </c>
      <c r="M218" s="669" t="s">
        <v>50</v>
      </c>
      <c r="N218" s="669" t="s">
        <v>49</v>
      </c>
      <c r="O218" s="669" t="s">
        <v>47</v>
      </c>
      <c r="P218" s="670" t="s">
        <v>77</v>
      </c>
    </row>
    <row r="219" spans="1:16" x14ac:dyDescent="0.25">
      <c r="B219" s="24"/>
      <c r="C219" s="9">
        <f t="shared" ref="C219:C228" ca="1" si="134">C218</f>
        <v>1</v>
      </c>
      <c r="D219" s="51" t="s">
        <v>26</v>
      </c>
      <c r="E219" s="48"/>
      <c r="F219" s="674"/>
      <c r="G219" s="674"/>
      <c r="H219" s="674"/>
      <c r="I219" s="674"/>
      <c r="J219" s="674"/>
      <c r="K219" s="674"/>
      <c r="L219" s="675"/>
      <c r="M219" s="675"/>
      <c r="N219" s="676"/>
      <c r="O219" s="674"/>
      <c r="P219" s="677"/>
    </row>
    <row r="220" spans="1:16" x14ac:dyDescent="0.25">
      <c r="B220" s="24"/>
      <c r="C220" s="9">
        <f t="shared" ca="1" si="134"/>
        <v>1</v>
      </c>
      <c r="D220" s="267" t="s">
        <v>18</v>
      </c>
      <c r="E220" s="48" t="s">
        <v>57</v>
      </c>
      <c r="F220" s="678">
        <f ca="1">SUM(G220:I220)</f>
        <v>17437.158491213697</v>
      </c>
      <c r="G220" s="658">
        <f ca="1">+IFERROR(G$5*GETPIVOTDATA("Unique Billed Hours",'County allocation'!$A$3,"County",$D217,"HHA/CDPAP","CDPAP","Level of Service",$D220),0)</f>
        <v>701.01130929130306</v>
      </c>
      <c r="H220" s="658">
        <f>+IFERROR(H$5*GETPIVOTDATA("Unique Billed Hours",'County allocation'!$A$3,"County",$D217,"HHA/CDPAP","CDPAP","Level of Service",$D220),0)</f>
        <v>603.55779473610528</v>
      </c>
      <c r="I220" s="678">
        <f ca="1">SUM(J220:P220)</f>
        <v>16132.589387186288</v>
      </c>
      <c r="J220" s="658">
        <f ca="1">+IFERROR(J$5*GETPIVOTDATA("Unique Billed Hours",'County allocation'!$S$3,"County",$D217,"HHA/CDPAP","CDPAP","Level of Service",$D220),0)</f>
        <v>3191.7877187962331</v>
      </c>
      <c r="K220" s="658">
        <f ca="1">+IFERROR(K$5*GETPIVOTDATA("Unique Billed Hours",'County allocation'!$X$3,"County",$D217,"HHA/CDPAP","CDPAP","Level of Service",$D220),0)</f>
        <v>12876.360658792868</v>
      </c>
      <c r="L220" s="658">
        <f>+IFERROR(L$5*GETPIVOTDATA("Unique Billed Hours",'County allocation'!$K$19,"County",$D217,"HHA/CDPAP","CDPAP","Level of Service",$D220),0)</f>
        <v>0</v>
      </c>
      <c r="M220" s="658">
        <f>+IFERROR(M$5*GETPIVOTDATA("Unique Billed Hours",'County allocation'!$S$3,"County",$D217,"HHA/CDPAP","CDPAP","Level of Service",$D220),0)</f>
        <v>59.460861985845995</v>
      </c>
      <c r="N220" s="658">
        <f>+IFERROR(N$5*GETPIVOTDATA("Unique Billed Hours",'County allocation'!$S$3,"County",$D217,"HHA/CDPAP","CDPAP","Level of Service",$D220),0)</f>
        <v>4.9801476113412981</v>
      </c>
      <c r="O220" s="658">
        <f>+IFERROR(O$5*GETPIVOTDATA("Unique Billed Hours",'County allocation'!$S$3,"County",$D217,"HHA/CDPAP","CDPAP","Level of Service",$D220),0)</f>
        <v>0</v>
      </c>
      <c r="P220" s="658">
        <f>+IFERROR(P$5*GETPIVOTDATA("Unique Billed Hours",'County allocation'!$S$3,"County",$D217,"HHA/CDPAP","CDPAP","Level of Service",$D220),0)</f>
        <v>0</v>
      </c>
    </row>
    <row r="221" spans="1:16" x14ac:dyDescent="0.25">
      <c r="B221" s="24"/>
      <c r="C221" s="9">
        <f t="shared" ca="1" si="134"/>
        <v>1</v>
      </c>
      <c r="D221" s="267" t="s">
        <v>42</v>
      </c>
      <c r="E221" s="48" t="s">
        <v>56</v>
      </c>
      <c r="F221" s="678">
        <f t="shared" ref="F221:F225" ca="1" si="135">SUM(G221:I221)</f>
        <v>0</v>
      </c>
      <c r="G221" s="658">
        <f ca="1">+IFERROR(G$5*GETPIVOTDATA("Unique Billed Hours",'County allocation'!$A$3,"County",$D217,"HHA/CDPAP","CDPAP","Level of Service",$D221),0)</f>
        <v>0</v>
      </c>
      <c r="H221" s="658">
        <f>+IFERROR(H$5*GETPIVOTDATA("Unique Billed Hours",'County allocation'!$A$3,"County",$D217,"HHA/CDPAP","CDPAP","Level of Service",$D221),0)</f>
        <v>0</v>
      </c>
      <c r="I221" s="678">
        <f t="shared" ref="I221:I228" ca="1" si="136">SUM(J221:P221)</f>
        <v>0</v>
      </c>
      <c r="J221" s="658">
        <f ca="1">+IFERROR(J$5*GETPIVOTDATA("Unique Billed Hours",'County allocation'!$S$3,"County",$D217,"HHA/CDPAP","CDPAP","Level of Service",$D221),0)</f>
        <v>0</v>
      </c>
      <c r="K221" s="658">
        <f ca="1">+IFERROR(K$5*GETPIVOTDATA("Unique Billed Hours",'County allocation'!$X$3,"County",$D217,"HHA/CDPAP","CDPAP","Level of Service",$D221),0)</f>
        <v>0</v>
      </c>
      <c r="L221" s="658">
        <f>+IFERROR(L$5*GETPIVOTDATA("Unique Billed Hours",'County allocation'!$K$19,"County",$D217,"HHA/CDPAP","CDPAP","Level of Service",$D221),0)</f>
        <v>0</v>
      </c>
      <c r="M221" s="658">
        <f>+IFERROR(M$5*GETPIVOTDATA("Unique Billed Hours",'County allocation'!$S$3,"County",$D217,"HHA/CDPAP","CDPAP","Level of Service",$D221),0)</f>
        <v>0</v>
      </c>
      <c r="N221" s="658">
        <f>+IFERROR(N$5*GETPIVOTDATA("Unique Billed Hours",'County allocation'!$S$3,"County",$D217,"HHA/CDPAP","CDPAP","Level of Service",$D221),0)</f>
        <v>0</v>
      </c>
      <c r="O221" s="658">
        <f>+IFERROR(O$5*GETPIVOTDATA("Unique Billed Hours",'County allocation'!$S$3,"County",$D217,"HHA/CDPAP","CDPAP","Level of Service",$D221),0)</f>
        <v>0</v>
      </c>
      <c r="P221" s="658">
        <f>+IFERROR(P$5*GETPIVOTDATA("Unique Billed Hours",'County allocation'!$S$3,"County",$D217,"HHA/CDPAP","CDPAP","Level of Service",$D221),0)</f>
        <v>0</v>
      </c>
    </row>
    <row r="222" spans="1:16" x14ac:dyDescent="0.25">
      <c r="B222" s="24"/>
      <c r="C222" s="9">
        <f t="shared" ca="1" si="134"/>
        <v>1</v>
      </c>
      <c r="D222" s="267" t="s">
        <v>43</v>
      </c>
      <c r="E222" s="48" t="s">
        <v>55</v>
      </c>
      <c r="F222" s="678">
        <f t="shared" ca="1" si="135"/>
        <v>0</v>
      </c>
      <c r="G222" s="658">
        <f ca="1">+IFERROR(G$5*GETPIVOTDATA("Unique Billed Hours",'County allocation'!$A$3,"County",$D217,"HHA/CDPAP","CDPAP","Level of Service",$D222),0)</f>
        <v>0</v>
      </c>
      <c r="H222" s="658">
        <f>+IFERROR(H$5*GETPIVOTDATA("Unique Billed Hours",'County allocation'!$A$3,"County",$D217,"HHA/CDPAP","CDPAP","Level of Service",$D222),0)</f>
        <v>0</v>
      </c>
      <c r="I222" s="678">
        <f t="shared" ca="1" si="136"/>
        <v>0</v>
      </c>
      <c r="J222" s="658">
        <f ca="1">+IFERROR(J$5*GETPIVOTDATA("Unique Billed Hours",'County allocation'!$S$3,"County",$D217,"HHA/CDPAP","CDPAP","Level of Service",$D222),0)</f>
        <v>0</v>
      </c>
      <c r="K222" s="658">
        <f ca="1">+IFERROR(K$5*GETPIVOTDATA("Unique Billed Hours",'County allocation'!$X$3,"County",$D217,"HHA/CDPAP","CDPAP","Level of Service",$D222),0)</f>
        <v>0</v>
      </c>
      <c r="L222" s="658">
        <f>+IFERROR(L$5*GETPIVOTDATA("Unique Billed Hours",'County allocation'!$K$19,"County",$D217,"HHA/CDPAP","CDPAP","Level of Service",$D222),0)</f>
        <v>0</v>
      </c>
      <c r="M222" s="658">
        <f>+IFERROR(M$5*GETPIVOTDATA("Unique Billed Hours",'County allocation'!$S$3,"County",$D217,"HHA/CDPAP","CDPAP","Level of Service",$D222),0)</f>
        <v>0</v>
      </c>
      <c r="N222" s="658">
        <f>+IFERROR(N$5*GETPIVOTDATA("Unique Billed Hours",'County allocation'!$S$3,"County",$D217,"HHA/CDPAP","CDPAP","Level of Service",$D222),0)</f>
        <v>0</v>
      </c>
      <c r="O222" s="658">
        <f>+IFERROR(O$5*GETPIVOTDATA("Unique Billed Hours",'County allocation'!$S$3,"County",$D217,"HHA/CDPAP","CDPAP","Level of Service",$D222),0)</f>
        <v>0</v>
      </c>
      <c r="P222" s="658">
        <f>+IFERROR(P$5*GETPIVOTDATA("Unique Billed Hours",'County allocation'!$S$3,"County",$D217,"HHA/CDPAP","CDPAP","Level of Service",$D222),0)</f>
        <v>0</v>
      </c>
    </row>
    <row r="223" spans="1:16" x14ac:dyDescent="0.25">
      <c r="B223" s="24"/>
      <c r="C223" s="9">
        <f t="shared" ca="1" si="134"/>
        <v>1</v>
      </c>
      <c r="D223" s="267" t="s">
        <v>44</v>
      </c>
      <c r="E223" s="48" t="s">
        <v>54</v>
      </c>
      <c r="F223" s="678">
        <f t="shared" ca="1" si="135"/>
        <v>0</v>
      </c>
      <c r="G223" s="658">
        <f ca="1">+IFERROR(G$5*GETPIVOTDATA("Unique Billed Hours",'County allocation'!$A$3,"County",$D217,"HHA/CDPAP","CDPAP","Level of Service",$D223),0)</f>
        <v>0</v>
      </c>
      <c r="H223" s="658">
        <f>+IFERROR(H$5*GETPIVOTDATA("Unique Billed Hours",'County allocation'!$A$3,"County",$D217,"HHA/CDPAP","CDPAP","Level of Service",$D223),0)</f>
        <v>0</v>
      </c>
      <c r="I223" s="678">
        <f t="shared" ca="1" si="136"/>
        <v>0</v>
      </c>
      <c r="J223" s="658">
        <f ca="1">+IFERROR(J$5*GETPIVOTDATA("Unique Billed Hours",'County allocation'!$S$3,"County",$D217,"HHA/CDPAP","CDPAP","Level of Service",$D223),0)</f>
        <v>0</v>
      </c>
      <c r="K223" s="658">
        <f ca="1">+IFERROR(K$5*GETPIVOTDATA("Unique Billed Hours",'County allocation'!$X$3,"County",$D217,"HHA/CDPAP","CDPAP","Level of Service",$D223),0)</f>
        <v>0</v>
      </c>
      <c r="L223" s="658">
        <f>+IFERROR(L$5*GETPIVOTDATA("Unique Billed Hours",'County allocation'!$K$19,"County",$D217,"HHA/CDPAP","CDPAP","Level of Service",$D223),0)</f>
        <v>0</v>
      </c>
      <c r="M223" s="658">
        <f>+IFERROR(M$5*GETPIVOTDATA("Unique Billed Hours",'County allocation'!$S$3,"County",$D217,"HHA/CDPAP","CDPAP","Level of Service",$D223),0)</f>
        <v>0</v>
      </c>
      <c r="N223" s="658">
        <f>+IFERROR(N$5*GETPIVOTDATA("Unique Billed Hours",'County allocation'!$S$3,"County",$D217,"HHA/CDPAP","CDPAP","Level of Service",$D223),0)</f>
        <v>0</v>
      </c>
      <c r="O223" s="658">
        <f>+IFERROR(O$5*GETPIVOTDATA("Unique Billed Hours",'County allocation'!$S$3,"County",$D217,"HHA/CDPAP","CDPAP","Level of Service",$D223),0)</f>
        <v>0</v>
      </c>
      <c r="P223" s="658">
        <f>+IFERROR(P$5*GETPIVOTDATA("Unique Billed Hours",'County allocation'!$S$3,"County",$D217,"HHA/CDPAP","CDPAP","Level of Service",$D223),0)</f>
        <v>0</v>
      </c>
    </row>
    <row r="224" spans="1:16" x14ac:dyDescent="0.25">
      <c r="B224" s="24"/>
      <c r="C224" s="9">
        <f t="shared" ca="1" si="134"/>
        <v>1</v>
      </c>
      <c r="D224" s="267" t="s">
        <v>45</v>
      </c>
      <c r="E224" s="48" t="s">
        <v>53</v>
      </c>
      <c r="F224" s="678">
        <f t="shared" ca="1" si="135"/>
        <v>0</v>
      </c>
      <c r="G224" s="658">
        <f ca="1">+IFERROR(G$5*GETPIVOTDATA("Unique Billed Hours",'County allocation'!$A$3,"County",$D217,"HHA/CDPAP","CDPAP","Level of Service",$D224),0)</f>
        <v>0</v>
      </c>
      <c r="H224" s="658">
        <f>+IFERROR(H$5*GETPIVOTDATA("Unique Billed Hours",'County allocation'!$A$3,"County",$D217,"HHA/CDPAP","CDPAP","Level of Service",$D224),0)</f>
        <v>0</v>
      </c>
      <c r="I224" s="678">
        <f t="shared" ca="1" si="136"/>
        <v>0</v>
      </c>
      <c r="J224" s="658">
        <f ca="1">+IFERROR(J$5*GETPIVOTDATA("Unique Billed Hours",'County allocation'!$S$3,"County",$D217,"HHA/CDPAP","CDPAP","Level of Service",$D224),0)</f>
        <v>0</v>
      </c>
      <c r="K224" s="658">
        <f ca="1">+IFERROR(K$5*GETPIVOTDATA("Unique Billed Hours",'County allocation'!$X$3,"County",$D217,"HHA/CDPAP","CDPAP","Level of Service",$D224),0)</f>
        <v>0</v>
      </c>
      <c r="L224" s="658">
        <f>+IFERROR(L$5*GETPIVOTDATA("Unique Billed Hours",'County allocation'!$K$19,"County",$D217,"HHA/CDPAP","CDPAP","Level of Service",$D224),0)</f>
        <v>0</v>
      </c>
      <c r="M224" s="658">
        <f>+IFERROR(M$5*GETPIVOTDATA("Unique Billed Hours",'County allocation'!$S$3,"County",$D217,"HHA/CDPAP","CDPAP","Level of Service",$D224),0)</f>
        <v>0</v>
      </c>
      <c r="N224" s="658">
        <f>+IFERROR(N$5*GETPIVOTDATA("Unique Billed Hours",'County allocation'!$S$3,"County",$D217,"HHA/CDPAP","CDPAP","Level of Service",$D224),0)</f>
        <v>0</v>
      </c>
      <c r="O224" s="658">
        <f>+IFERROR(O$5*GETPIVOTDATA("Unique Billed Hours",'County allocation'!$S$3,"County",$D217,"HHA/CDPAP","CDPAP","Level of Service",$D224),0)</f>
        <v>0</v>
      </c>
      <c r="P224" s="658">
        <f>+IFERROR(P$5*GETPIVOTDATA("Unique Billed Hours",'County allocation'!$S$3,"County",$D217,"HHA/CDPAP","CDPAP","Level of Service",$D224),0)</f>
        <v>0</v>
      </c>
    </row>
    <row r="225" spans="1:16" x14ac:dyDescent="0.25">
      <c r="A225" s="302"/>
      <c r="B225" s="24"/>
      <c r="C225" s="9">
        <f t="shared" ca="1" si="134"/>
        <v>1</v>
      </c>
      <c r="D225" s="267" t="s">
        <v>46</v>
      </c>
      <c r="E225" s="48" t="s">
        <v>52</v>
      </c>
      <c r="F225" s="678">
        <f t="shared" ca="1" si="135"/>
        <v>0</v>
      </c>
      <c r="G225" s="658">
        <f ca="1">+IFERROR(G$5*GETPIVOTDATA("Unique Billed Hours",'County allocation'!$A$3,"County",$D217,"HHA/CDPAP","CDPAP","Level of Service",$D225),0)</f>
        <v>0</v>
      </c>
      <c r="H225" s="658">
        <f>+IFERROR(H$5*GETPIVOTDATA("Unique Billed Hours",'County allocation'!$A$3,"County",$D217,"HHA/CDPAP","CDPAP","Level of Service",$D225),0)</f>
        <v>0</v>
      </c>
      <c r="I225" s="678">
        <f t="shared" ca="1" si="136"/>
        <v>0</v>
      </c>
      <c r="J225" s="658">
        <f ca="1">+IFERROR(J$5*GETPIVOTDATA("Unique Billed Hours",'County allocation'!$S$3,"County",$D217,"HHA/CDPAP","CDPAP","Level of Service",$D225),0)</f>
        <v>0</v>
      </c>
      <c r="K225" s="658">
        <f ca="1">+IFERROR(K$5*GETPIVOTDATA("Unique Billed Hours",'County allocation'!$X$3,"County",$D217,"HHA/CDPAP","CDPAP","Level of Service",$D225),0)</f>
        <v>0</v>
      </c>
      <c r="L225" s="658">
        <f>+IFERROR(L$5*GETPIVOTDATA("Unique Billed Hours",'County allocation'!$K$19,"County",$D217,"HHA/CDPAP","CDPAP","Level of Service",$D225),0)</f>
        <v>0</v>
      </c>
      <c r="M225" s="658">
        <f>+IFERROR(M$5*GETPIVOTDATA("Unique Billed Hours",'County allocation'!$S$3,"County",$D217,"HHA/CDPAP","CDPAP","Level of Service",$D225),0)</f>
        <v>0</v>
      </c>
      <c r="N225" s="658">
        <f>+IFERROR(N$5*GETPIVOTDATA("Unique Billed Hours",'County allocation'!$S$3,"County",$D217,"HHA/CDPAP","CDPAP","Level of Service",$D225),0)</f>
        <v>0</v>
      </c>
      <c r="O225" s="658">
        <f>+IFERROR(O$5*GETPIVOTDATA("Unique Billed Hours",'County allocation'!$S$3,"County",$D217,"HHA/CDPAP","CDPAP","Level of Service",$D225),0)</f>
        <v>0</v>
      </c>
      <c r="P225" s="658">
        <f>+IFERROR(P$5*GETPIVOTDATA("Unique Billed Hours",'County allocation'!$S$3,"County",$D217,"HHA/CDPAP","CDPAP","Level of Service",$D225),0)</f>
        <v>0</v>
      </c>
    </row>
    <row r="226" spans="1:16" ht="15.75" thickBot="1" x14ac:dyDescent="0.3">
      <c r="A226" s="302"/>
      <c r="B226" s="24"/>
      <c r="C226" s="9">
        <f t="shared" ca="1" si="134"/>
        <v>1</v>
      </c>
      <c r="D226" s="52" t="s">
        <v>389</v>
      </c>
      <c r="E226" s="370" t="s">
        <v>51</v>
      </c>
      <c r="F226" s="679">
        <f ca="1">SUM(F220:F225)</f>
        <v>17437.158491213697</v>
      </c>
      <c r="G226" s="679">
        <f t="shared" ref="G226:H226" ca="1" si="137">SUM(G220:G225)</f>
        <v>701.01130929130306</v>
      </c>
      <c r="H226" s="679">
        <f t="shared" si="137"/>
        <v>603.55779473610528</v>
      </c>
      <c r="I226" s="678">
        <f t="shared" ca="1" si="136"/>
        <v>16132.589387186288</v>
      </c>
      <c r="J226" s="679">
        <f ca="1">SUM(J220:J225)</f>
        <v>3191.7877187962331</v>
      </c>
      <c r="K226" s="679">
        <f t="shared" ref="K226:P226" ca="1" si="138">SUM(K220:K225)</f>
        <v>12876.360658792868</v>
      </c>
      <c r="L226" s="679">
        <f t="shared" si="138"/>
        <v>0</v>
      </c>
      <c r="M226" s="679">
        <f t="shared" si="138"/>
        <v>59.460861985845995</v>
      </c>
      <c r="N226" s="679">
        <f t="shared" si="138"/>
        <v>4.9801476113412981</v>
      </c>
      <c r="O226" s="679">
        <f t="shared" si="138"/>
        <v>0</v>
      </c>
      <c r="P226" s="679">
        <f t="shared" si="138"/>
        <v>0</v>
      </c>
    </row>
    <row r="227" spans="1:16" x14ac:dyDescent="0.25">
      <c r="A227" s="302"/>
      <c r="B227" s="24"/>
      <c r="C227" s="9">
        <f t="shared" ca="1" si="134"/>
        <v>1</v>
      </c>
      <c r="D227" s="378" t="s">
        <v>390</v>
      </c>
      <c r="E227" s="370" t="s">
        <v>50</v>
      </c>
      <c r="F227" s="678">
        <f t="shared" ref="F227" ca="1" si="139">SUM(G227:I227)</f>
        <v>0</v>
      </c>
      <c r="G227" s="658">
        <f ca="1">+IFERROR(G$5*GETPIVOTDATA("Unique Billed Hours",'County allocation'!$A$3,"County",$D217,"HHA/CDPAP","CDPAP","Level of Service",$D227),0)</f>
        <v>0</v>
      </c>
      <c r="H227" s="659"/>
      <c r="I227" s="678">
        <f t="shared" si="136"/>
        <v>0</v>
      </c>
      <c r="J227" s="659"/>
      <c r="K227" s="659"/>
      <c r="L227" s="659"/>
      <c r="M227" s="659"/>
      <c r="N227" s="659"/>
      <c r="O227" s="659"/>
      <c r="P227" s="659"/>
    </row>
    <row r="228" spans="1:16" ht="15.75" thickBot="1" x14ac:dyDescent="0.3">
      <c r="B228" s="24"/>
      <c r="C228" s="9">
        <f t="shared" ca="1" si="134"/>
        <v>1</v>
      </c>
      <c r="D228" s="11" t="s">
        <v>48</v>
      </c>
      <c r="E228" s="53" t="s">
        <v>49</v>
      </c>
      <c r="F228" s="662">
        <f ca="1">SUBTOTAL(9,F220:F225)</f>
        <v>17437.158491213697</v>
      </c>
      <c r="G228" s="662">
        <f t="shared" ref="G228" ca="1" si="140">SUBTOTAL(9,G220:G225)</f>
        <v>701.01130929130306</v>
      </c>
      <c r="H228" s="662">
        <f>SUBTOTAL(9,H220:H225)</f>
        <v>603.55779473610528</v>
      </c>
      <c r="I228" s="678">
        <f t="shared" ca="1" si="136"/>
        <v>16132.589387186288</v>
      </c>
      <c r="J228" s="662">
        <f t="shared" ref="J228:P228" ca="1" si="141">SUBTOTAL(9,J220:J225)</f>
        <v>3191.7877187962331</v>
      </c>
      <c r="K228" s="662">
        <f t="shared" ca="1" si="141"/>
        <v>12876.360658792868</v>
      </c>
      <c r="L228" s="662">
        <f t="shared" si="141"/>
        <v>0</v>
      </c>
      <c r="M228" s="662">
        <f t="shared" si="141"/>
        <v>59.460861985845995</v>
      </c>
      <c r="N228" s="662">
        <f t="shared" si="141"/>
        <v>4.9801476113412981</v>
      </c>
      <c r="O228" s="662">
        <f t="shared" si="141"/>
        <v>0</v>
      </c>
      <c r="P228" s="662">
        <f t="shared" si="141"/>
        <v>0</v>
      </c>
    </row>
    <row r="229" spans="1:16" ht="15.75" hidden="1" thickBot="1" x14ac:dyDescent="0.3"/>
    <row r="230" spans="1:16" ht="75" x14ac:dyDescent="0.25">
      <c r="A230" s="60"/>
      <c r="B230" s="24"/>
      <c r="C230" s="9">
        <f ca="1">IF(F241&gt;0,1,0)</f>
        <v>1</v>
      </c>
      <c r="D230" s="45" t="str">
        <f>A20</f>
        <v>Franklin</v>
      </c>
      <c r="E230" s="28">
        <f>SUMIF(A:A,D230,B:B)</f>
        <v>9.3602280587727475E-4</v>
      </c>
      <c r="F230" s="652" t="s">
        <v>396</v>
      </c>
      <c r="G230" s="652" t="s">
        <v>387</v>
      </c>
      <c r="H230" s="652" t="s">
        <v>388</v>
      </c>
      <c r="I230" s="652" t="s">
        <v>392</v>
      </c>
      <c r="J230" s="652" t="s">
        <v>31</v>
      </c>
      <c r="K230" s="652" t="s">
        <v>32</v>
      </c>
      <c r="L230" s="653" t="s">
        <v>33</v>
      </c>
      <c r="M230" s="653" t="s">
        <v>60</v>
      </c>
      <c r="N230" s="653" t="s">
        <v>59</v>
      </c>
      <c r="O230" s="653" t="s">
        <v>58</v>
      </c>
      <c r="P230" s="653" t="s">
        <v>16</v>
      </c>
    </row>
    <row r="231" spans="1:16" x14ac:dyDescent="0.25">
      <c r="A231" s="60"/>
      <c r="B231" s="24"/>
      <c r="C231" s="9">
        <f ca="1">C230</f>
        <v>1</v>
      </c>
      <c r="D231" s="47"/>
      <c r="E231" s="48"/>
      <c r="F231" s="669" t="s">
        <v>57</v>
      </c>
      <c r="G231" s="669" t="s">
        <v>56</v>
      </c>
      <c r="H231" s="669" t="s">
        <v>55</v>
      </c>
      <c r="I231" s="669" t="s">
        <v>54</v>
      </c>
      <c r="J231" s="669" t="s">
        <v>53</v>
      </c>
      <c r="K231" s="669" t="s">
        <v>52</v>
      </c>
      <c r="L231" s="669" t="s">
        <v>51</v>
      </c>
      <c r="M231" s="669" t="s">
        <v>50</v>
      </c>
      <c r="N231" s="669" t="s">
        <v>49</v>
      </c>
      <c r="O231" s="669" t="s">
        <v>47</v>
      </c>
      <c r="P231" s="670" t="s">
        <v>77</v>
      </c>
    </row>
    <row r="232" spans="1:16" x14ac:dyDescent="0.25">
      <c r="B232" s="24"/>
      <c r="C232" s="9">
        <f t="shared" ref="C232:C241" ca="1" si="142">C231</f>
        <v>1</v>
      </c>
      <c r="D232" s="51" t="s">
        <v>26</v>
      </c>
      <c r="E232" s="48"/>
      <c r="F232" s="674"/>
      <c r="G232" s="674"/>
      <c r="H232" s="674"/>
      <c r="I232" s="674"/>
      <c r="J232" s="674"/>
      <c r="K232" s="674"/>
      <c r="L232" s="675"/>
      <c r="M232" s="675"/>
      <c r="N232" s="676"/>
      <c r="O232" s="674"/>
      <c r="P232" s="677"/>
    </row>
    <row r="233" spans="1:16" x14ac:dyDescent="0.25">
      <c r="B233" s="24"/>
      <c r="C233" s="9">
        <f t="shared" ca="1" si="142"/>
        <v>1</v>
      </c>
      <c r="D233" s="267" t="s">
        <v>18</v>
      </c>
      <c r="E233" s="48" t="s">
        <v>57</v>
      </c>
      <c r="F233" s="678">
        <f ca="1">SUM(G233:I233)</f>
        <v>80688.401442665156</v>
      </c>
      <c r="G233" s="658">
        <f ca="1">+IFERROR(G$5*GETPIVOTDATA("Unique Billed Hours",'County allocation'!$A$3,"County",$D230,"HHA/CDPAP","CDPAP","Level of Service",$D233),0)</f>
        <v>3243.8474404213503</v>
      </c>
      <c r="H233" s="658">
        <f>+IFERROR(H$5*GETPIVOTDATA("Unique Billed Hours",'County allocation'!$A$3,"County",$D230,"HHA/CDPAP","CDPAP","Level of Service",$D233),0)</f>
        <v>2792.8927560104335</v>
      </c>
      <c r="I233" s="678">
        <f ca="1">SUM(J233:P233)</f>
        <v>74651.661246233372</v>
      </c>
      <c r="J233" s="658">
        <f ca="1">+IFERROR(J$5*GETPIVOTDATA("Unique Billed Hours",'County allocation'!$S$3,"County",$D230,"HHA/CDPAP","CDPAP","Level of Service",$D233),0)</f>
        <v>14769.622522142543</v>
      </c>
      <c r="K233" s="658">
        <f ca="1">+IFERROR(K$5*GETPIVOTDATA("Unique Billed Hours",'County allocation'!$X$3,"County",$D230,"HHA/CDPAP","CDPAP","Level of Service",$D233),0)</f>
        <v>59583.845526250225</v>
      </c>
      <c r="L233" s="658">
        <f>+IFERROR(L$5*GETPIVOTDATA("Unique Billed Hours",'County allocation'!$K$19,"County",$D230,"HHA/CDPAP","CDPAP","Level of Service",$D233),0)</f>
        <v>0</v>
      </c>
      <c r="M233" s="658">
        <f>+IFERROR(M$5*GETPIVOTDATA("Unique Billed Hours",'County allocation'!$S$3,"County",$D230,"HHA/CDPAP","CDPAP","Level of Service",$D233),0)</f>
        <v>275.1481501104887</v>
      </c>
      <c r="N233" s="658">
        <f>+IFERROR(N$5*GETPIVOTDATA("Unique Billed Hours",'County allocation'!$S$3,"County",$D230,"HHA/CDPAP","CDPAP","Level of Service",$D233),0)</f>
        <v>23.045047730117119</v>
      </c>
      <c r="O233" s="658">
        <f>+IFERROR(O$5*GETPIVOTDATA("Unique Billed Hours",'County allocation'!$S$3,"County",$D230,"HHA/CDPAP","CDPAP","Level of Service",$D233),0)</f>
        <v>0</v>
      </c>
      <c r="P233" s="658">
        <f>+IFERROR(P$5*GETPIVOTDATA("Unique Billed Hours",'County allocation'!$S$3,"County",$D230,"HHA/CDPAP","CDPAP","Level of Service",$D233),0)</f>
        <v>0</v>
      </c>
    </row>
    <row r="234" spans="1:16" x14ac:dyDescent="0.25">
      <c r="B234" s="24"/>
      <c r="C234" s="9">
        <f t="shared" ca="1" si="142"/>
        <v>1</v>
      </c>
      <c r="D234" s="267" t="s">
        <v>42</v>
      </c>
      <c r="E234" s="48" t="s">
        <v>56</v>
      </c>
      <c r="F234" s="678">
        <f t="shared" ref="F234:F238" ca="1" si="143">SUM(G234:I234)</f>
        <v>0</v>
      </c>
      <c r="G234" s="658">
        <f ca="1">+IFERROR(G$5*GETPIVOTDATA("Unique Billed Hours",'County allocation'!$A$3,"County",$D230,"HHA/CDPAP","CDPAP","Level of Service",$D234),0)</f>
        <v>0</v>
      </c>
      <c r="H234" s="658">
        <f>+IFERROR(H$5*GETPIVOTDATA("Unique Billed Hours",'County allocation'!$A$3,"County",$D230,"HHA/CDPAP","CDPAP","Level of Service",$D234),0)</f>
        <v>0</v>
      </c>
      <c r="I234" s="678">
        <f t="shared" ref="I234:I241" ca="1" si="144">SUM(J234:P234)</f>
        <v>0</v>
      </c>
      <c r="J234" s="658">
        <f ca="1">+IFERROR(J$5*GETPIVOTDATA("Unique Billed Hours",'County allocation'!$S$3,"County",$D230,"HHA/CDPAP","CDPAP","Level of Service",$D234),0)</f>
        <v>0</v>
      </c>
      <c r="K234" s="658">
        <f ca="1">+IFERROR(K$5*GETPIVOTDATA("Unique Billed Hours",'County allocation'!$X$3,"County",$D230,"HHA/CDPAP","CDPAP","Level of Service",$D234),0)</f>
        <v>0</v>
      </c>
      <c r="L234" s="658">
        <f>+IFERROR(L$5*GETPIVOTDATA("Unique Billed Hours",'County allocation'!$K$19,"County",$D230,"HHA/CDPAP","CDPAP","Level of Service",$D234),0)</f>
        <v>0</v>
      </c>
      <c r="M234" s="658">
        <f>+IFERROR(M$5*GETPIVOTDATA("Unique Billed Hours",'County allocation'!$S$3,"County",$D230,"HHA/CDPAP","CDPAP","Level of Service",$D234),0)</f>
        <v>0</v>
      </c>
      <c r="N234" s="658">
        <f>+IFERROR(N$5*GETPIVOTDATA("Unique Billed Hours",'County allocation'!$S$3,"County",$D230,"HHA/CDPAP","CDPAP","Level of Service",$D234),0)</f>
        <v>0</v>
      </c>
      <c r="O234" s="658">
        <f>+IFERROR(O$5*GETPIVOTDATA("Unique Billed Hours",'County allocation'!$S$3,"County",$D230,"HHA/CDPAP","CDPAP","Level of Service",$D234),0)</f>
        <v>0</v>
      </c>
      <c r="P234" s="658">
        <f>+IFERROR(P$5*GETPIVOTDATA("Unique Billed Hours",'County allocation'!$S$3,"County",$D230,"HHA/CDPAP","CDPAP","Level of Service",$D234),0)</f>
        <v>0</v>
      </c>
    </row>
    <row r="235" spans="1:16" x14ac:dyDescent="0.25">
      <c r="B235" s="24"/>
      <c r="C235" s="9">
        <f t="shared" ca="1" si="142"/>
        <v>1</v>
      </c>
      <c r="D235" s="267" t="s">
        <v>43</v>
      </c>
      <c r="E235" s="48" t="s">
        <v>55</v>
      </c>
      <c r="F235" s="678">
        <f t="shared" ca="1" si="143"/>
        <v>0</v>
      </c>
      <c r="G235" s="658">
        <f ca="1">+IFERROR(G$5*GETPIVOTDATA("Unique Billed Hours",'County allocation'!$A$3,"County",$D230,"HHA/CDPAP","CDPAP","Level of Service",$D235),0)</f>
        <v>0</v>
      </c>
      <c r="H235" s="658">
        <f>+IFERROR(H$5*GETPIVOTDATA("Unique Billed Hours",'County allocation'!$A$3,"County",$D230,"HHA/CDPAP","CDPAP","Level of Service",$D235),0)</f>
        <v>0</v>
      </c>
      <c r="I235" s="678">
        <f t="shared" ca="1" si="144"/>
        <v>0</v>
      </c>
      <c r="J235" s="658">
        <f ca="1">+IFERROR(J$5*GETPIVOTDATA("Unique Billed Hours",'County allocation'!$S$3,"County",$D230,"HHA/CDPAP","CDPAP","Level of Service",$D235),0)</f>
        <v>0</v>
      </c>
      <c r="K235" s="658">
        <f ca="1">+IFERROR(K$5*GETPIVOTDATA("Unique Billed Hours",'County allocation'!$X$3,"County",$D230,"HHA/CDPAP","CDPAP","Level of Service",$D235),0)</f>
        <v>0</v>
      </c>
      <c r="L235" s="658">
        <f>+IFERROR(L$5*GETPIVOTDATA("Unique Billed Hours",'County allocation'!$K$19,"County",$D230,"HHA/CDPAP","CDPAP","Level of Service",$D235),0)</f>
        <v>0</v>
      </c>
      <c r="M235" s="658">
        <f>+IFERROR(M$5*GETPIVOTDATA("Unique Billed Hours",'County allocation'!$S$3,"County",$D230,"HHA/CDPAP","CDPAP","Level of Service",$D235),0)</f>
        <v>0</v>
      </c>
      <c r="N235" s="658">
        <f>+IFERROR(N$5*GETPIVOTDATA("Unique Billed Hours",'County allocation'!$S$3,"County",$D230,"HHA/CDPAP","CDPAP","Level of Service",$D235),0)</f>
        <v>0</v>
      </c>
      <c r="O235" s="658">
        <f>+IFERROR(O$5*GETPIVOTDATA("Unique Billed Hours",'County allocation'!$S$3,"County",$D230,"HHA/CDPAP","CDPAP","Level of Service",$D235),0)</f>
        <v>0</v>
      </c>
      <c r="P235" s="658">
        <f>+IFERROR(P$5*GETPIVOTDATA("Unique Billed Hours",'County allocation'!$S$3,"County",$D230,"HHA/CDPAP","CDPAP","Level of Service",$D235),0)</f>
        <v>0</v>
      </c>
    </row>
    <row r="236" spans="1:16" x14ac:dyDescent="0.25">
      <c r="B236" s="24"/>
      <c r="C236" s="9">
        <f t="shared" ca="1" si="142"/>
        <v>1</v>
      </c>
      <c r="D236" s="267" t="s">
        <v>44</v>
      </c>
      <c r="E236" s="48" t="s">
        <v>54</v>
      </c>
      <c r="F236" s="678">
        <f t="shared" ca="1" si="143"/>
        <v>0</v>
      </c>
      <c r="G236" s="658">
        <f ca="1">+IFERROR(G$5*GETPIVOTDATA("Unique Billed Hours",'County allocation'!$A$3,"County",$D230,"HHA/CDPAP","CDPAP","Level of Service",$D236),0)</f>
        <v>0</v>
      </c>
      <c r="H236" s="658">
        <f>+IFERROR(H$5*GETPIVOTDATA("Unique Billed Hours",'County allocation'!$A$3,"County",$D230,"HHA/CDPAP","CDPAP","Level of Service",$D236),0)</f>
        <v>0</v>
      </c>
      <c r="I236" s="678">
        <f t="shared" ca="1" si="144"/>
        <v>0</v>
      </c>
      <c r="J236" s="658">
        <f ca="1">+IFERROR(J$5*GETPIVOTDATA("Unique Billed Hours",'County allocation'!$S$3,"County",$D230,"HHA/CDPAP","CDPAP","Level of Service",$D236),0)</f>
        <v>0</v>
      </c>
      <c r="K236" s="658">
        <f ca="1">+IFERROR(K$5*GETPIVOTDATA("Unique Billed Hours",'County allocation'!$X$3,"County",$D230,"HHA/CDPAP","CDPAP","Level of Service",$D236),0)</f>
        <v>0</v>
      </c>
      <c r="L236" s="658">
        <f>+IFERROR(L$5*GETPIVOTDATA("Unique Billed Hours",'County allocation'!$K$19,"County",$D230,"HHA/CDPAP","CDPAP","Level of Service",$D236),0)</f>
        <v>0</v>
      </c>
      <c r="M236" s="658">
        <f>+IFERROR(M$5*GETPIVOTDATA("Unique Billed Hours",'County allocation'!$S$3,"County",$D230,"HHA/CDPAP","CDPAP","Level of Service",$D236),0)</f>
        <v>0</v>
      </c>
      <c r="N236" s="658">
        <f>+IFERROR(N$5*GETPIVOTDATA("Unique Billed Hours",'County allocation'!$S$3,"County",$D230,"HHA/CDPAP","CDPAP","Level of Service",$D236),0)</f>
        <v>0</v>
      </c>
      <c r="O236" s="658">
        <f>+IFERROR(O$5*GETPIVOTDATA("Unique Billed Hours",'County allocation'!$S$3,"County",$D230,"HHA/CDPAP","CDPAP","Level of Service",$D236),0)</f>
        <v>0</v>
      </c>
      <c r="P236" s="658">
        <f>+IFERROR(P$5*GETPIVOTDATA("Unique Billed Hours",'County allocation'!$S$3,"County",$D230,"HHA/CDPAP","CDPAP","Level of Service",$D236),0)</f>
        <v>0</v>
      </c>
    </row>
    <row r="237" spans="1:16" x14ac:dyDescent="0.25">
      <c r="B237" s="24"/>
      <c r="C237" s="9">
        <f t="shared" ca="1" si="142"/>
        <v>1</v>
      </c>
      <c r="D237" s="267" t="s">
        <v>45</v>
      </c>
      <c r="E237" s="48" t="s">
        <v>53</v>
      </c>
      <c r="F237" s="678">
        <f t="shared" ca="1" si="143"/>
        <v>0</v>
      </c>
      <c r="G237" s="658">
        <f ca="1">+IFERROR(G$5*GETPIVOTDATA("Unique Billed Hours",'County allocation'!$A$3,"County",$D230,"HHA/CDPAP","CDPAP","Level of Service",$D237),0)</f>
        <v>0</v>
      </c>
      <c r="H237" s="658">
        <f>+IFERROR(H$5*GETPIVOTDATA("Unique Billed Hours",'County allocation'!$A$3,"County",$D230,"HHA/CDPAP","CDPAP","Level of Service",$D237),0)</f>
        <v>0</v>
      </c>
      <c r="I237" s="678">
        <f t="shared" ca="1" si="144"/>
        <v>0</v>
      </c>
      <c r="J237" s="658">
        <f ca="1">+IFERROR(J$5*GETPIVOTDATA("Unique Billed Hours",'County allocation'!$S$3,"County",$D230,"HHA/CDPAP","CDPAP","Level of Service",$D237),0)</f>
        <v>0</v>
      </c>
      <c r="K237" s="658">
        <f ca="1">+IFERROR(K$5*GETPIVOTDATA("Unique Billed Hours",'County allocation'!$X$3,"County",$D230,"HHA/CDPAP","CDPAP","Level of Service",$D237),0)</f>
        <v>0</v>
      </c>
      <c r="L237" s="658">
        <f>+IFERROR(L$5*GETPIVOTDATA("Unique Billed Hours",'County allocation'!$K$19,"County",$D230,"HHA/CDPAP","CDPAP","Level of Service",$D237),0)</f>
        <v>0</v>
      </c>
      <c r="M237" s="658">
        <f>+IFERROR(M$5*GETPIVOTDATA("Unique Billed Hours",'County allocation'!$S$3,"County",$D230,"HHA/CDPAP","CDPAP","Level of Service",$D237),0)</f>
        <v>0</v>
      </c>
      <c r="N237" s="658">
        <f>+IFERROR(N$5*GETPIVOTDATA("Unique Billed Hours",'County allocation'!$S$3,"County",$D230,"HHA/CDPAP","CDPAP","Level of Service",$D237),0)</f>
        <v>0</v>
      </c>
      <c r="O237" s="658">
        <f>+IFERROR(O$5*GETPIVOTDATA("Unique Billed Hours",'County allocation'!$S$3,"County",$D230,"HHA/CDPAP","CDPAP","Level of Service",$D237),0)</f>
        <v>0</v>
      </c>
      <c r="P237" s="658">
        <f>+IFERROR(P$5*GETPIVOTDATA("Unique Billed Hours",'County allocation'!$S$3,"County",$D230,"HHA/CDPAP","CDPAP","Level of Service",$D237),0)</f>
        <v>0</v>
      </c>
    </row>
    <row r="238" spans="1:16" x14ac:dyDescent="0.25">
      <c r="A238" s="302"/>
      <c r="B238" s="24"/>
      <c r="C238" s="9">
        <f t="shared" ca="1" si="142"/>
        <v>1</v>
      </c>
      <c r="D238" s="267" t="s">
        <v>46</v>
      </c>
      <c r="E238" s="48" t="s">
        <v>52</v>
      </c>
      <c r="F238" s="678">
        <f t="shared" ca="1" si="143"/>
        <v>0</v>
      </c>
      <c r="G238" s="658">
        <f ca="1">+IFERROR(G$5*GETPIVOTDATA("Unique Billed Hours",'County allocation'!$A$3,"County",$D230,"HHA/CDPAP","CDPAP","Level of Service",$D238),0)</f>
        <v>0</v>
      </c>
      <c r="H238" s="658">
        <f>+IFERROR(H$5*GETPIVOTDATA("Unique Billed Hours",'County allocation'!$A$3,"County",$D230,"HHA/CDPAP","CDPAP","Level of Service",$D238),0)</f>
        <v>0</v>
      </c>
      <c r="I238" s="678">
        <f t="shared" ca="1" si="144"/>
        <v>0</v>
      </c>
      <c r="J238" s="658">
        <f ca="1">+IFERROR(J$5*GETPIVOTDATA("Unique Billed Hours",'County allocation'!$S$3,"County",$D230,"HHA/CDPAP","CDPAP","Level of Service",$D238),0)</f>
        <v>0</v>
      </c>
      <c r="K238" s="658">
        <f ca="1">+IFERROR(K$5*GETPIVOTDATA("Unique Billed Hours",'County allocation'!$X$3,"County",$D230,"HHA/CDPAP","CDPAP","Level of Service",$D238),0)</f>
        <v>0</v>
      </c>
      <c r="L238" s="658">
        <f>+IFERROR(L$5*GETPIVOTDATA("Unique Billed Hours",'County allocation'!$K$19,"County",$D230,"HHA/CDPAP","CDPAP","Level of Service",$D238),0)</f>
        <v>0</v>
      </c>
      <c r="M238" s="658">
        <f>+IFERROR(M$5*GETPIVOTDATA("Unique Billed Hours",'County allocation'!$S$3,"County",$D230,"HHA/CDPAP","CDPAP","Level of Service",$D238),0)</f>
        <v>0</v>
      </c>
      <c r="N238" s="658">
        <f>+IFERROR(N$5*GETPIVOTDATA("Unique Billed Hours",'County allocation'!$S$3,"County",$D230,"HHA/CDPAP","CDPAP","Level of Service",$D238),0)</f>
        <v>0</v>
      </c>
      <c r="O238" s="658">
        <f>+IFERROR(O$5*GETPIVOTDATA("Unique Billed Hours",'County allocation'!$S$3,"County",$D230,"HHA/CDPAP","CDPAP","Level of Service",$D238),0)</f>
        <v>0</v>
      </c>
      <c r="P238" s="658">
        <f>+IFERROR(P$5*GETPIVOTDATA("Unique Billed Hours",'County allocation'!$S$3,"County",$D230,"HHA/CDPAP","CDPAP","Level of Service",$D238),0)</f>
        <v>0</v>
      </c>
    </row>
    <row r="239" spans="1:16" ht="15.75" thickBot="1" x14ac:dyDescent="0.3">
      <c r="A239" s="302"/>
      <c r="B239" s="24"/>
      <c r="C239" s="9">
        <f t="shared" ca="1" si="142"/>
        <v>1</v>
      </c>
      <c r="D239" s="52" t="s">
        <v>389</v>
      </c>
      <c r="E239" s="370" t="s">
        <v>51</v>
      </c>
      <c r="F239" s="679">
        <f ca="1">SUM(F233:F238)</f>
        <v>80688.401442665156</v>
      </c>
      <c r="G239" s="679">
        <f t="shared" ref="G239:H239" ca="1" si="145">SUM(G233:G238)</f>
        <v>3243.8474404213503</v>
      </c>
      <c r="H239" s="679">
        <f t="shared" si="145"/>
        <v>2792.8927560104335</v>
      </c>
      <c r="I239" s="678">
        <f t="shared" ca="1" si="144"/>
        <v>74651.661246233372</v>
      </c>
      <c r="J239" s="679">
        <f ca="1">SUM(J233:J238)</f>
        <v>14769.622522142543</v>
      </c>
      <c r="K239" s="679">
        <f t="shared" ref="K239:P239" ca="1" si="146">SUM(K233:K238)</f>
        <v>59583.845526250225</v>
      </c>
      <c r="L239" s="679">
        <f t="shared" si="146"/>
        <v>0</v>
      </c>
      <c r="M239" s="679">
        <f t="shared" si="146"/>
        <v>275.1481501104887</v>
      </c>
      <c r="N239" s="679">
        <f t="shared" si="146"/>
        <v>23.045047730117119</v>
      </c>
      <c r="O239" s="679">
        <f t="shared" si="146"/>
        <v>0</v>
      </c>
      <c r="P239" s="679">
        <f t="shared" si="146"/>
        <v>0</v>
      </c>
    </row>
    <row r="240" spans="1:16" x14ac:dyDescent="0.25">
      <c r="A240" s="302"/>
      <c r="B240" s="24"/>
      <c r="C240" s="9">
        <f t="shared" ca="1" si="142"/>
        <v>1</v>
      </c>
      <c r="D240" s="378" t="s">
        <v>390</v>
      </c>
      <c r="E240" s="370" t="s">
        <v>50</v>
      </c>
      <c r="F240" s="678">
        <f t="shared" ref="F240" ca="1" si="147">SUM(G240:I240)</f>
        <v>0</v>
      </c>
      <c r="G240" s="658">
        <f ca="1">+IFERROR(G$5*GETPIVOTDATA("Unique Billed Hours",'County allocation'!$A$3,"County",$D230,"HHA/CDPAP","CDPAP","Level of Service",$D240),0)</f>
        <v>0</v>
      </c>
      <c r="H240" s="659"/>
      <c r="I240" s="678">
        <f t="shared" si="144"/>
        <v>0</v>
      </c>
      <c r="J240" s="659"/>
      <c r="K240" s="659"/>
      <c r="L240" s="659"/>
      <c r="M240" s="659"/>
      <c r="N240" s="659"/>
      <c r="O240" s="659"/>
      <c r="P240" s="659"/>
    </row>
    <row r="241" spans="1:16" ht="15.75" thickBot="1" x14ac:dyDescent="0.3">
      <c r="B241" s="24"/>
      <c r="C241" s="9">
        <f t="shared" ca="1" si="142"/>
        <v>1</v>
      </c>
      <c r="D241" s="11" t="s">
        <v>48</v>
      </c>
      <c r="E241" s="53" t="s">
        <v>49</v>
      </c>
      <c r="F241" s="662">
        <f ca="1">SUBTOTAL(9,F233:F238)</f>
        <v>80688.401442665156</v>
      </c>
      <c r="G241" s="662">
        <f t="shared" ref="G241" ca="1" si="148">SUBTOTAL(9,G233:G238)</f>
        <v>3243.8474404213503</v>
      </c>
      <c r="H241" s="662">
        <f>SUBTOTAL(9,H233:H238)</f>
        <v>2792.8927560104335</v>
      </c>
      <c r="I241" s="678">
        <f t="shared" ca="1" si="144"/>
        <v>74651.661246233372</v>
      </c>
      <c r="J241" s="662">
        <f t="shared" ref="J241:P241" ca="1" si="149">SUBTOTAL(9,J233:J238)</f>
        <v>14769.622522142543</v>
      </c>
      <c r="K241" s="662">
        <f t="shared" ca="1" si="149"/>
        <v>59583.845526250225</v>
      </c>
      <c r="L241" s="662">
        <f t="shared" si="149"/>
        <v>0</v>
      </c>
      <c r="M241" s="662">
        <f t="shared" si="149"/>
        <v>275.1481501104887</v>
      </c>
      <c r="N241" s="662">
        <f t="shared" si="149"/>
        <v>23.045047730117119</v>
      </c>
      <c r="O241" s="662">
        <f t="shared" si="149"/>
        <v>0</v>
      </c>
      <c r="P241" s="662">
        <f t="shared" si="149"/>
        <v>0</v>
      </c>
    </row>
    <row r="242" spans="1:16" ht="15.75" hidden="1" thickBot="1" x14ac:dyDescent="0.3"/>
    <row r="243" spans="1:16" ht="75" x14ac:dyDescent="0.25">
      <c r="A243" s="60"/>
      <c r="B243" s="24"/>
      <c r="C243" s="9">
        <f ca="1">IF(F254&gt;0,1,0)</f>
        <v>1</v>
      </c>
      <c r="D243" s="45" t="str">
        <f>A21</f>
        <v>Fulton</v>
      </c>
      <c r="E243" s="28">
        <f>SUMIF(A:A,D243,B:B)</f>
        <v>4.1658701551888161E-3</v>
      </c>
      <c r="F243" s="652" t="s">
        <v>396</v>
      </c>
      <c r="G243" s="652" t="s">
        <v>387</v>
      </c>
      <c r="H243" s="652" t="s">
        <v>388</v>
      </c>
      <c r="I243" s="652" t="s">
        <v>392</v>
      </c>
      <c r="J243" s="652" t="s">
        <v>31</v>
      </c>
      <c r="K243" s="652" t="s">
        <v>32</v>
      </c>
      <c r="L243" s="653" t="s">
        <v>33</v>
      </c>
      <c r="M243" s="653" t="s">
        <v>60</v>
      </c>
      <c r="N243" s="653" t="s">
        <v>59</v>
      </c>
      <c r="O243" s="653" t="s">
        <v>58</v>
      </c>
      <c r="P243" s="653" t="s">
        <v>16</v>
      </c>
    </row>
    <row r="244" spans="1:16" x14ac:dyDescent="0.25">
      <c r="A244" s="60"/>
      <c r="B244" s="24"/>
      <c r="C244" s="9">
        <f ca="1">C243</f>
        <v>1</v>
      </c>
      <c r="D244" s="47"/>
      <c r="E244" s="48"/>
      <c r="F244" s="669" t="s">
        <v>57</v>
      </c>
      <c r="G244" s="669" t="s">
        <v>56</v>
      </c>
      <c r="H244" s="669" t="s">
        <v>55</v>
      </c>
      <c r="I244" s="669" t="s">
        <v>54</v>
      </c>
      <c r="J244" s="669" t="s">
        <v>53</v>
      </c>
      <c r="K244" s="669" t="s">
        <v>52</v>
      </c>
      <c r="L244" s="669" t="s">
        <v>51</v>
      </c>
      <c r="M244" s="669" t="s">
        <v>50</v>
      </c>
      <c r="N244" s="669" t="s">
        <v>49</v>
      </c>
      <c r="O244" s="669" t="s">
        <v>47</v>
      </c>
      <c r="P244" s="670" t="s">
        <v>77</v>
      </c>
    </row>
    <row r="245" spans="1:16" x14ac:dyDescent="0.25">
      <c r="B245" s="24"/>
      <c r="C245" s="9">
        <f t="shared" ref="C245:C254" ca="1" si="150">C244</f>
        <v>1</v>
      </c>
      <c r="D245" s="51" t="s">
        <v>26</v>
      </c>
      <c r="E245" s="48"/>
      <c r="F245" s="674"/>
      <c r="G245" s="674"/>
      <c r="H245" s="674"/>
      <c r="I245" s="674"/>
      <c r="J245" s="674"/>
      <c r="K245" s="674"/>
      <c r="L245" s="675"/>
      <c r="M245" s="675"/>
      <c r="N245" s="676"/>
      <c r="O245" s="674"/>
      <c r="P245" s="677"/>
    </row>
    <row r="246" spans="1:16" x14ac:dyDescent="0.25">
      <c r="B246" s="24"/>
      <c r="C246" s="9">
        <f t="shared" ca="1" si="150"/>
        <v>1</v>
      </c>
      <c r="D246" s="267" t="s">
        <v>18</v>
      </c>
      <c r="E246" s="48" t="s">
        <v>57</v>
      </c>
      <c r="F246" s="678">
        <f ca="1">SUM(G246:I246)</f>
        <v>359112.40765640617</v>
      </c>
      <c r="G246" s="658">
        <f ca="1">+IFERROR(G$5*GETPIVOTDATA("Unique Billed Hours",'County allocation'!$A$3,"County",$D243,"HHA/CDPAP","CDPAP","Level of Service",$D246),0)</f>
        <v>14437.091869114918</v>
      </c>
      <c r="H246" s="658">
        <f>+IFERROR(H$5*GETPIVOTDATA("Unique Billed Hours",'County allocation'!$A$3,"County",$D243,"HHA/CDPAP","CDPAP","Level of Service",$D246),0)</f>
        <v>12430.069551566448</v>
      </c>
      <c r="I246" s="678">
        <f ca="1">SUM(J246:P246)</f>
        <v>332245.24623572477</v>
      </c>
      <c r="J246" s="658">
        <f ca="1">+IFERROR(J$5*GETPIVOTDATA("Unique Billed Hours",'County allocation'!$S$3,"County",$D243,"HHA/CDPAP","CDPAP","Level of Service",$D246),0)</f>
        <v>65733.793324332088</v>
      </c>
      <c r="K246" s="658">
        <f ca="1">+IFERROR(K$5*GETPIVOTDATA("Unique Billed Hours",'County allocation'!$X$3,"County",$D243,"HHA/CDPAP","CDPAP","Level of Service",$D246),0)</f>
        <v>265184.31201742671</v>
      </c>
      <c r="L246" s="658">
        <f>+IFERROR(L$5*GETPIVOTDATA("Unique Billed Hours",'County allocation'!$K$19,"County",$D243,"HHA/CDPAP","CDPAP","Level of Service",$D246),0)</f>
        <v>0</v>
      </c>
      <c r="M246" s="658">
        <f>+IFERROR(M$5*GETPIVOTDATA("Unique Billed Hours",'County allocation'!$S$3,"County",$D243,"HHA/CDPAP","CDPAP","Level of Service",$D246),0)</f>
        <v>1224.5764308342973</v>
      </c>
      <c r="N246" s="658">
        <f>+IFERROR(N$5*GETPIVOTDATA("Unique Billed Hours",'County allocation'!$S$3,"County",$D243,"HHA/CDPAP","CDPAP","Level of Service",$D246),0)</f>
        <v>102.56446313166425</v>
      </c>
      <c r="O246" s="658">
        <f>+IFERROR(O$5*GETPIVOTDATA("Unique Billed Hours",'County allocation'!$S$3,"County",$D243,"HHA/CDPAP","CDPAP","Level of Service",$D246),0)</f>
        <v>0</v>
      </c>
      <c r="P246" s="658">
        <f>+IFERROR(P$5*GETPIVOTDATA("Unique Billed Hours",'County allocation'!$S$3,"County",$D243,"HHA/CDPAP","CDPAP","Level of Service",$D246),0)</f>
        <v>0</v>
      </c>
    </row>
    <row r="247" spans="1:16" x14ac:dyDescent="0.25">
      <c r="B247" s="24"/>
      <c r="C247" s="9">
        <f t="shared" ca="1" si="150"/>
        <v>1</v>
      </c>
      <c r="D247" s="267" t="s">
        <v>42</v>
      </c>
      <c r="E247" s="48" t="s">
        <v>56</v>
      </c>
      <c r="F247" s="678">
        <f t="shared" ref="F247:F251" ca="1" si="151">SUM(G247:I247)</f>
        <v>0</v>
      </c>
      <c r="G247" s="658">
        <f ca="1">+IFERROR(G$5*GETPIVOTDATA("Unique Billed Hours",'County allocation'!$A$3,"County",$D243,"HHA/CDPAP","CDPAP","Level of Service",$D247),0)</f>
        <v>0</v>
      </c>
      <c r="H247" s="658">
        <f>+IFERROR(H$5*GETPIVOTDATA("Unique Billed Hours",'County allocation'!$A$3,"County",$D243,"HHA/CDPAP","CDPAP","Level of Service",$D247),0)</f>
        <v>0</v>
      </c>
      <c r="I247" s="678">
        <f t="shared" ref="I247:I254" ca="1" si="152">SUM(J247:P247)</f>
        <v>0</v>
      </c>
      <c r="J247" s="658">
        <f ca="1">+IFERROR(J$5*GETPIVOTDATA("Unique Billed Hours",'County allocation'!$S$3,"County",$D243,"HHA/CDPAP","CDPAP","Level of Service",$D247),0)</f>
        <v>0</v>
      </c>
      <c r="K247" s="658">
        <f ca="1">+IFERROR(K$5*GETPIVOTDATA("Unique Billed Hours",'County allocation'!$X$3,"County",$D243,"HHA/CDPAP","CDPAP","Level of Service",$D247),0)</f>
        <v>0</v>
      </c>
      <c r="L247" s="658">
        <f>+IFERROR(L$5*GETPIVOTDATA("Unique Billed Hours",'County allocation'!$K$19,"County",$D243,"HHA/CDPAP","CDPAP","Level of Service",$D247),0)</f>
        <v>0</v>
      </c>
      <c r="M247" s="658">
        <f>+IFERROR(M$5*GETPIVOTDATA("Unique Billed Hours",'County allocation'!$S$3,"County",$D243,"HHA/CDPAP","CDPAP","Level of Service",$D247),0)</f>
        <v>0</v>
      </c>
      <c r="N247" s="658">
        <f>+IFERROR(N$5*GETPIVOTDATA("Unique Billed Hours",'County allocation'!$S$3,"County",$D243,"HHA/CDPAP","CDPAP","Level of Service",$D247),0)</f>
        <v>0</v>
      </c>
      <c r="O247" s="658">
        <f>+IFERROR(O$5*GETPIVOTDATA("Unique Billed Hours",'County allocation'!$S$3,"County",$D243,"HHA/CDPAP","CDPAP","Level of Service",$D247),0)</f>
        <v>0</v>
      </c>
      <c r="P247" s="658">
        <f>+IFERROR(P$5*GETPIVOTDATA("Unique Billed Hours",'County allocation'!$S$3,"County",$D243,"HHA/CDPAP","CDPAP","Level of Service",$D247),0)</f>
        <v>0</v>
      </c>
    </row>
    <row r="248" spans="1:16" x14ac:dyDescent="0.25">
      <c r="B248" s="24"/>
      <c r="C248" s="9">
        <f t="shared" ca="1" si="150"/>
        <v>1</v>
      </c>
      <c r="D248" s="267" t="s">
        <v>43</v>
      </c>
      <c r="E248" s="48" t="s">
        <v>55</v>
      </c>
      <c r="F248" s="678">
        <f t="shared" ca="1" si="151"/>
        <v>0</v>
      </c>
      <c r="G248" s="658">
        <f ca="1">+IFERROR(G$5*GETPIVOTDATA("Unique Billed Hours",'County allocation'!$A$3,"County",$D243,"HHA/CDPAP","CDPAP","Level of Service",$D248),0)</f>
        <v>0</v>
      </c>
      <c r="H248" s="658">
        <f>+IFERROR(H$5*GETPIVOTDATA("Unique Billed Hours",'County allocation'!$A$3,"County",$D243,"HHA/CDPAP","CDPAP","Level of Service",$D248),0)</f>
        <v>0</v>
      </c>
      <c r="I248" s="678">
        <f t="shared" ca="1" si="152"/>
        <v>0</v>
      </c>
      <c r="J248" s="658">
        <f ca="1">+IFERROR(J$5*GETPIVOTDATA("Unique Billed Hours",'County allocation'!$S$3,"County",$D243,"HHA/CDPAP","CDPAP","Level of Service",$D248),0)</f>
        <v>0</v>
      </c>
      <c r="K248" s="658">
        <f ca="1">+IFERROR(K$5*GETPIVOTDATA("Unique Billed Hours",'County allocation'!$X$3,"County",$D243,"HHA/CDPAP","CDPAP","Level of Service",$D248),0)</f>
        <v>0</v>
      </c>
      <c r="L248" s="658">
        <f>+IFERROR(L$5*GETPIVOTDATA("Unique Billed Hours",'County allocation'!$K$19,"County",$D243,"HHA/CDPAP","CDPAP","Level of Service",$D248),0)</f>
        <v>0</v>
      </c>
      <c r="M248" s="658">
        <f>+IFERROR(M$5*GETPIVOTDATA("Unique Billed Hours",'County allocation'!$S$3,"County",$D243,"HHA/CDPAP","CDPAP","Level of Service",$D248),0)</f>
        <v>0</v>
      </c>
      <c r="N248" s="658">
        <f>+IFERROR(N$5*GETPIVOTDATA("Unique Billed Hours",'County allocation'!$S$3,"County",$D243,"HHA/CDPAP","CDPAP","Level of Service",$D248),0)</f>
        <v>0</v>
      </c>
      <c r="O248" s="658">
        <f>+IFERROR(O$5*GETPIVOTDATA("Unique Billed Hours",'County allocation'!$S$3,"County",$D243,"HHA/CDPAP","CDPAP","Level of Service",$D248),0)</f>
        <v>0</v>
      </c>
      <c r="P248" s="658">
        <f>+IFERROR(P$5*GETPIVOTDATA("Unique Billed Hours",'County allocation'!$S$3,"County",$D243,"HHA/CDPAP","CDPAP","Level of Service",$D248),0)</f>
        <v>0</v>
      </c>
    </row>
    <row r="249" spans="1:16" x14ac:dyDescent="0.25">
      <c r="B249" s="24"/>
      <c r="C249" s="9">
        <f t="shared" ca="1" si="150"/>
        <v>1</v>
      </c>
      <c r="D249" s="267" t="s">
        <v>44</v>
      </c>
      <c r="E249" s="48" t="s">
        <v>54</v>
      </c>
      <c r="F249" s="678">
        <f t="shared" ca="1" si="151"/>
        <v>0</v>
      </c>
      <c r="G249" s="658">
        <f ca="1">+IFERROR(G$5*GETPIVOTDATA("Unique Billed Hours",'County allocation'!$A$3,"County",$D243,"HHA/CDPAP","CDPAP","Level of Service",$D249),0)</f>
        <v>0</v>
      </c>
      <c r="H249" s="658">
        <f>+IFERROR(H$5*GETPIVOTDATA("Unique Billed Hours",'County allocation'!$A$3,"County",$D243,"HHA/CDPAP","CDPAP","Level of Service",$D249),0)</f>
        <v>0</v>
      </c>
      <c r="I249" s="678">
        <f t="shared" ca="1" si="152"/>
        <v>0</v>
      </c>
      <c r="J249" s="658">
        <f ca="1">+IFERROR(J$5*GETPIVOTDATA("Unique Billed Hours",'County allocation'!$S$3,"County",$D243,"HHA/CDPAP","CDPAP","Level of Service",$D249),0)</f>
        <v>0</v>
      </c>
      <c r="K249" s="658">
        <f ca="1">+IFERROR(K$5*GETPIVOTDATA("Unique Billed Hours",'County allocation'!$X$3,"County",$D243,"HHA/CDPAP","CDPAP","Level of Service",$D249),0)</f>
        <v>0</v>
      </c>
      <c r="L249" s="658">
        <f>+IFERROR(L$5*GETPIVOTDATA("Unique Billed Hours",'County allocation'!$K$19,"County",$D243,"HHA/CDPAP","CDPAP","Level of Service",$D249),0)</f>
        <v>0</v>
      </c>
      <c r="M249" s="658">
        <f>+IFERROR(M$5*GETPIVOTDATA("Unique Billed Hours",'County allocation'!$S$3,"County",$D243,"HHA/CDPAP","CDPAP","Level of Service",$D249),0)</f>
        <v>0</v>
      </c>
      <c r="N249" s="658">
        <f>+IFERROR(N$5*GETPIVOTDATA("Unique Billed Hours",'County allocation'!$S$3,"County",$D243,"HHA/CDPAP","CDPAP","Level of Service",$D249),0)</f>
        <v>0</v>
      </c>
      <c r="O249" s="658">
        <f>+IFERROR(O$5*GETPIVOTDATA("Unique Billed Hours",'County allocation'!$S$3,"County",$D243,"HHA/CDPAP","CDPAP","Level of Service",$D249),0)</f>
        <v>0</v>
      </c>
      <c r="P249" s="658">
        <f>+IFERROR(P$5*GETPIVOTDATA("Unique Billed Hours",'County allocation'!$S$3,"County",$D243,"HHA/CDPAP","CDPAP","Level of Service",$D249),0)</f>
        <v>0</v>
      </c>
    </row>
    <row r="250" spans="1:16" x14ac:dyDescent="0.25">
      <c r="B250" s="24"/>
      <c r="C250" s="9">
        <f t="shared" ca="1" si="150"/>
        <v>1</v>
      </c>
      <c r="D250" s="267" t="s">
        <v>45</v>
      </c>
      <c r="E250" s="48" t="s">
        <v>53</v>
      </c>
      <c r="F250" s="678">
        <f t="shared" ca="1" si="151"/>
        <v>0</v>
      </c>
      <c r="G250" s="658">
        <f ca="1">+IFERROR(G$5*GETPIVOTDATA("Unique Billed Hours",'County allocation'!$A$3,"County",$D243,"HHA/CDPAP","CDPAP","Level of Service",$D250),0)</f>
        <v>0</v>
      </c>
      <c r="H250" s="658">
        <f>+IFERROR(H$5*GETPIVOTDATA("Unique Billed Hours",'County allocation'!$A$3,"County",$D243,"HHA/CDPAP","CDPAP","Level of Service",$D250),0)</f>
        <v>0</v>
      </c>
      <c r="I250" s="678">
        <f t="shared" ca="1" si="152"/>
        <v>0</v>
      </c>
      <c r="J250" s="658">
        <f ca="1">+IFERROR(J$5*GETPIVOTDATA("Unique Billed Hours",'County allocation'!$S$3,"County",$D243,"HHA/CDPAP","CDPAP","Level of Service",$D250),0)</f>
        <v>0</v>
      </c>
      <c r="K250" s="658">
        <f ca="1">+IFERROR(K$5*GETPIVOTDATA("Unique Billed Hours",'County allocation'!$X$3,"County",$D243,"HHA/CDPAP","CDPAP","Level of Service",$D250),0)</f>
        <v>0</v>
      </c>
      <c r="L250" s="658">
        <f>+IFERROR(L$5*GETPIVOTDATA("Unique Billed Hours",'County allocation'!$K$19,"County",$D243,"HHA/CDPAP","CDPAP","Level of Service",$D250),0)</f>
        <v>0</v>
      </c>
      <c r="M250" s="658">
        <f>+IFERROR(M$5*GETPIVOTDATA("Unique Billed Hours",'County allocation'!$S$3,"County",$D243,"HHA/CDPAP","CDPAP","Level of Service",$D250),0)</f>
        <v>0</v>
      </c>
      <c r="N250" s="658">
        <f>+IFERROR(N$5*GETPIVOTDATA("Unique Billed Hours",'County allocation'!$S$3,"County",$D243,"HHA/CDPAP","CDPAP","Level of Service",$D250),0)</f>
        <v>0</v>
      </c>
      <c r="O250" s="658">
        <f>+IFERROR(O$5*GETPIVOTDATA("Unique Billed Hours",'County allocation'!$S$3,"County",$D243,"HHA/CDPAP","CDPAP","Level of Service",$D250),0)</f>
        <v>0</v>
      </c>
      <c r="P250" s="658">
        <f>+IFERROR(P$5*GETPIVOTDATA("Unique Billed Hours",'County allocation'!$S$3,"County",$D243,"HHA/CDPAP","CDPAP","Level of Service",$D250),0)</f>
        <v>0</v>
      </c>
    </row>
    <row r="251" spans="1:16" x14ac:dyDescent="0.25">
      <c r="A251" s="302"/>
      <c r="B251" s="24"/>
      <c r="C251" s="9">
        <f t="shared" ca="1" si="150"/>
        <v>1</v>
      </c>
      <c r="D251" s="267" t="s">
        <v>46</v>
      </c>
      <c r="E251" s="48" t="s">
        <v>52</v>
      </c>
      <c r="F251" s="678">
        <f t="shared" ca="1" si="151"/>
        <v>0</v>
      </c>
      <c r="G251" s="658">
        <f ca="1">+IFERROR(G$5*GETPIVOTDATA("Unique Billed Hours",'County allocation'!$A$3,"County",$D243,"HHA/CDPAP","CDPAP","Level of Service",$D251),0)</f>
        <v>0</v>
      </c>
      <c r="H251" s="658">
        <f>+IFERROR(H$5*GETPIVOTDATA("Unique Billed Hours",'County allocation'!$A$3,"County",$D243,"HHA/CDPAP","CDPAP","Level of Service",$D251),0)</f>
        <v>0</v>
      </c>
      <c r="I251" s="678">
        <f t="shared" ca="1" si="152"/>
        <v>0</v>
      </c>
      <c r="J251" s="658">
        <f ca="1">+IFERROR(J$5*GETPIVOTDATA("Unique Billed Hours",'County allocation'!$S$3,"County",$D243,"HHA/CDPAP","CDPAP","Level of Service",$D251),0)</f>
        <v>0</v>
      </c>
      <c r="K251" s="658">
        <f ca="1">+IFERROR(K$5*GETPIVOTDATA("Unique Billed Hours",'County allocation'!$X$3,"County",$D243,"HHA/CDPAP","CDPAP","Level of Service",$D251),0)</f>
        <v>0</v>
      </c>
      <c r="L251" s="658">
        <f>+IFERROR(L$5*GETPIVOTDATA("Unique Billed Hours",'County allocation'!$K$19,"County",$D243,"HHA/CDPAP","CDPAP","Level of Service",$D251),0)</f>
        <v>0</v>
      </c>
      <c r="M251" s="658">
        <f>+IFERROR(M$5*GETPIVOTDATA("Unique Billed Hours",'County allocation'!$S$3,"County",$D243,"HHA/CDPAP","CDPAP","Level of Service",$D251),0)</f>
        <v>0</v>
      </c>
      <c r="N251" s="658">
        <f>+IFERROR(N$5*GETPIVOTDATA("Unique Billed Hours",'County allocation'!$S$3,"County",$D243,"HHA/CDPAP","CDPAP","Level of Service",$D251),0)</f>
        <v>0</v>
      </c>
      <c r="O251" s="658">
        <f>+IFERROR(O$5*GETPIVOTDATA("Unique Billed Hours",'County allocation'!$S$3,"County",$D243,"HHA/CDPAP","CDPAP","Level of Service",$D251),0)</f>
        <v>0</v>
      </c>
      <c r="P251" s="658">
        <f>+IFERROR(P$5*GETPIVOTDATA("Unique Billed Hours",'County allocation'!$S$3,"County",$D243,"HHA/CDPAP","CDPAP","Level of Service",$D251),0)</f>
        <v>0</v>
      </c>
    </row>
    <row r="252" spans="1:16" ht="15.75" thickBot="1" x14ac:dyDescent="0.3">
      <c r="A252" s="302"/>
      <c r="B252" s="24"/>
      <c r="C252" s="9">
        <f t="shared" ca="1" si="150"/>
        <v>1</v>
      </c>
      <c r="D252" s="52" t="s">
        <v>389</v>
      </c>
      <c r="E252" s="370" t="s">
        <v>51</v>
      </c>
      <c r="F252" s="679">
        <f ca="1">SUM(F246:F251)</f>
        <v>359112.40765640617</v>
      </c>
      <c r="G252" s="679">
        <f t="shared" ref="G252:H252" ca="1" si="153">SUM(G246:G251)</f>
        <v>14437.091869114918</v>
      </c>
      <c r="H252" s="679">
        <f t="shared" si="153"/>
        <v>12430.069551566448</v>
      </c>
      <c r="I252" s="678">
        <f t="shared" ca="1" si="152"/>
        <v>332245.24623572477</v>
      </c>
      <c r="J252" s="679">
        <f ca="1">SUM(J246:J251)</f>
        <v>65733.793324332088</v>
      </c>
      <c r="K252" s="679">
        <f t="shared" ref="K252:P252" ca="1" si="154">SUM(K246:K251)</f>
        <v>265184.31201742671</v>
      </c>
      <c r="L252" s="679">
        <f t="shared" si="154"/>
        <v>0</v>
      </c>
      <c r="M252" s="679">
        <f t="shared" si="154"/>
        <v>1224.5764308342973</v>
      </c>
      <c r="N252" s="679">
        <f t="shared" si="154"/>
        <v>102.56446313166425</v>
      </c>
      <c r="O252" s="679">
        <f t="shared" si="154"/>
        <v>0</v>
      </c>
      <c r="P252" s="679">
        <f t="shared" si="154"/>
        <v>0</v>
      </c>
    </row>
    <row r="253" spans="1:16" x14ac:dyDescent="0.25">
      <c r="A253" s="302"/>
      <c r="B253" s="24"/>
      <c r="C253" s="9">
        <f t="shared" ca="1" si="150"/>
        <v>1</v>
      </c>
      <c r="D253" s="378" t="s">
        <v>390</v>
      </c>
      <c r="E253" s="370" t="s">
        <v>50</v>
      </c>
      <c r="F253" s="678">
        <f t="shared" ref="F253" ca="1" si="155">SUM(G253:I253)</f>
        <v>0</v>
      </c>
      <c r="G253" s="658">
        <f ca="1">+IFERROR(G$5*GETPIVOTDATA("Unique Billed Hours",'County allocation'!$A$3,"County",$D243,"HHA/CDPAP","CDPAP","Level of Service",$D253),0)</f>
        <v>0</v>
      </c>
      <c r="H253" s="659"/>
      <c r="I253" s="678">
        <f t="shared" si="152"/>
        <v>0</v>
      </c>
      <c r="J253" s="659"/>
      <c r="K253" s="659"/>
      <c r="L253" s="659"/>
      <c r="M253" s="659"/>
      <c r="N253" s="659"/>
      <c r="O253" s="659"/>
      <c r="P253" s="659"/>
    </row>
    <row r="254" spans="1:16" ht="15.75" thickBot="1" x14ac:dyDescent="0.3">
      <c r="B254" s="24"/>
      <c r="C254" s="9">
        <f t="shared" ca="1" si="150"/>
        <v>1</v>
      </c>
      <c r="D254" s="11" t="s">
        <v>48</v>
      </c>
      <c r="E254" s="53" t="s">
        <v>49</v>
      </c>
      <c r="F254" s="662">
        <f ca="1">SUBTOTAL(9,F246:F251)</f>
        <v>359112.40765640617</v>
      </c>
      <c r="G254" s="662">
        <f t="shared" ref="G254" ca="1" si="156">SUBTOTAL(9,G246:G251)</f>
        <v>14437.091869114918</v>
      </c>
      <c r="H254" s="662">
        <f>SUBTOTAL(9,H246:H251)</f>
        <v>12430.069551566448</v>
      </c>
      <c r="I254" s="678">
        <f t="shared" ca="1" si="152"/>
        <v>332245.24623572477</v>
      </c>
      <c r="J254" s="662">
        <f t="shared" ref="J254:P254" ca="1" si="157">SUBTOTAL(9,J246:J251)</f>
        <v>65733.793324332088</v>
      </c>
      <c r="K254" s="662">
        <f t="shared" ca="1" si="157"/>
        <v>265184.31201742671</v>
      </c>
      <c r="L254" s="662">
        <f t="shared" si="157"/>
        <v>0</v>
      </c>
      <c r="M254" s="662">
        <f t="shared" si="157"/>
        <v>1224.5764308342973</v>
      </c>
      <c r="N254" s="662">
        <f t="shared" si="157"/>
        <v>102.56446313166425</v>
      </c>
      <c r="O254" s="662">
        <f t="shared" si="157"/>
        <v>0</v>
      </c>
      <c r="P254" s="662">
        <f t="shared" si="157"/>
        <v>0</v>
      </c>
    </row>
    <row r="255" spans="1:16" ht="15.75" hidden="1" thickBot="1" x14ac:dyDescent="0.3"/>
    <row r="256" spans="1:16" ht="75" x14ac:dyDescent="0.25">
      <c r="A256" s="60"/>
      <c r="B256" s="24"/>
      <c r="C256" s="9">
        <f ca="1">IF(F267&gt;0,1,0)</f>
        <v>1</v>
      </c>
      <c r="D256" s="45" t="str">
        <f>A22</f>
        <v>Genesee</v>
      </c>
      <c r="E256" s="28">
        <f>SUMIF(A:A,D256,B:B)</f>
        <v>1.7283040715096493E-3</v>
      </c>
      <c r="F256" s="652" t="s">
        <v>396</v>
      </c>
      <c r="G256" s="652" t="s">
        <v>387</v>
      </c>
      <c r="H256" s="652" t="s">
        <v>388</v>
      </c>
      <c r="I256" s="652" t="s">
        <v>392</v>
      </c>
      <c r="J256" s="652" t="s">
        <v>31</v>
      </c>
      <c r="K256" s="652" t="s">
        <v>32</v>
      </c>
      <c r="L256" s="653" t="s">
        <v>33</v>
      </c>
      <c r="M256" s="653" t="s">
        <v>60</v>
      </c>
      <c r="N256" s="653" t="s">
        <v>59</v>
      </c>
      <c r="O256" s="653" t="s">
        <v>58</v>
      </c>
      <c r="P256" s="653" t="s">
        <v>16</v>
      </c>
    </row>
    <row r="257" spans="1:16" x14ac:dyDescent="0.25">
      <c r="A257" s="60"/>
      <c r="B257" s="24"/>
      <c r="C257" s="9">
        <f ca="1">C256</f>
        <v>1</v>
      </c>
      <c r="D257" s="47"/>
      <c r="E257" s="48"/>
      <c r="F257" s="669" t="s">
        <v>57</v>
      </c>
      <c r="G257" s="669" t="s">
        <v>56</v>
      </c>
      <c r="H257" s="669" t="s">
        <v>55</v>
      </c>
      <c r="I257" s="669" t="s">
        <v>54</v>
      </c>
      <c r="J257" s="669" t="s">
        <v>53</v>
      </c>
      <c r="K257" s="669" t="s">
        <v>52</v>
      </c>
      <c r="L257" s="669" t="s">
        <v>51</v>
      </c>
      <c r="M257" s="669" t="s">
        <v>50</v>
      </c>
      <c r="N257" s="669" t="s">
        <v>49</v>
      </c>
      <c r="O257" s="669" t="s">
        <v>47</v>
      </c>
      <c r="P257" s="670" t="s">
        <v>77</v>
      </c>
    </row>
    <row r="258" spans="1:16" x14ac:dyDescent="0.25">
      <c r="B258" s="24"/>
      <c r="C258" s="9">
        <f t="shared" ref="C258:C267" ca="1" si="158">C257</f>
        <v>1</v>
      </c>
      <c r="D258" s="51" t="s">
        <v>26</v>
      </c>
      <c r="E258" s="48"/>
      <c r="F258" s="674"/>
      <c r="G258" s="674"/>
      <c r="H258" s="674"/>
      <c r="I258" s="674"/>
      <c r="J258" s="674"/>
      <c r="K258" s="674"/>
      <c r="L258" s="675"/>
      <c r="M258" s="675"/>
      <c r="N258" s="676"/>
      <c r="O258" s="674"/>
      <c r="P258" s="677"/>
    </row>
    <row r="259" spans="1:16" x14ac:dyDescent="0.25">
      <c r="B259" s="24"/>
      <c r="C259" s="9">
        <f t="shared" ca="1" si="158"/>
        <v>1</v>
      </c>
      <c r="D259" s="267" t="s">
        <v>18</v>
      </c>
      <c r="E259" s="48" t="s">
        <v>57</v>
      </c>
      <c r="F259" s="678">
        <f ca="1">SUM(G259:I259)</f>
        <v>148985.78524084334</v>
      </c>
      <c r="G259" s="658">
        <f ca="1">+IFERROR(G$5*GETPIVOTDATA("Unique Billed Hours",'County allocation'!$A$3,"County",$D256,"HHA/CDPAP","CDPAP","Level of Service",$D259),0)</f>
        <v>5989.5492966989132</v>
      </c>
      <c r="H259" s="658">
        <f>+IFERROR(H$5*GETPIVOTDATA("Unique Billed Hours",'County allocation'!$A$3,"County",$D256,"HHA/CDPAP","CDPAP","Level of Service",$D259),0)</f>
        <v>5156.8913611871103</v>
      </c>
      <c r="I259" s="678">
        <f ca="1">SUM(J259:P259)</f>
        <v>137839.3445829573</v>
      </c>
      <c r="J259" s="658">
        <f ca="1">+IFERROR(J$5*GETPIVOTDATA("Unique Billed Hours",'County allocation'!$S$3,"County",$D256,"HHA/CDPAP","CDPAP","Level of Service",$D259),0)</f>
        <v>27271.129057326012</v>
      </c>
      <c r="K259" s="658">
        <f ca="1">+IFERROR(K$5*GETPIVOTDATA("Unique Billed Hours",'County allocation'!$X$3,"County",$D256,"HHA/CDPAP","CDPAP","Level of Service",$D259),0)</f>
        <v>110017.62155004822</v>
      </c>
      <c r="L259" s="658">
        <f>+IFERROR(L$5*GETPIVOTDATA("Unique Billed Hours",'County allocation'!$K$19,"County",$D256,"HHA/CDPAP","CDPAP","Level of Service",$D259),0)</f>
        <v>0</v>
      </c>
      <c r="M259" s="658">
        <f>+IFERROR(M$5*GETPIVOTDATA("Unique Billed Hours",'County allocation'!$S$3,"County",$D256,"HHA/CDPAP","CDPAP","Level of Service",$D259),0)</f>
        <v>508.04282237398337</v>
      </c>
      <c r="N259" s="658">
        <f>+IFERROR(N$5*GETPIVOTDATA("Unique Billed Hours",'County allocation'!$S$3,"County",$D256,"HHA/CDPAP","CDPAP","Level of Service",$D259),0)</f>
        <v>42.551153209100036</v>
      </c>
      <c r="O259" s="658">
        <f>+IFERROR(O$5*GETPIVOTDATA("Unique Billed Hours",'County allocation'!$S$3,"County",$D256,"HHA/CDPAP","CDPAP","Level of Service",$D259),0)</f>
        <v>0</v>
      </c>
      <c r="P259" s="658">
        <f>+IFERROR(P$5*GETPIVOTDATA("Unique Billed Hours",'County allocation'!$S$3,"County",$D256,"HHA/CDPAP","CDPAP","Level of Service",$D259),0)</f>
        <v>0</v>
      </c>
    </row>
    <row r="260" spans="1:16" x14ac:dyDescent="0.25">
      <c r="B260" s="24"/>
      <c r="C260" s="9">
        <f t="shared" ca="1" si="158"/>
        <v>1</v>
      </c>
      <c r="D260" s="267" t="s">
        <v>42</v>
      </c>
      <c r="E260" s="48" t="s">
        <v>56</v>
      </c>
      <c r="F260" s="678">
        <f t="shared" ref="F260:F264" ca="1" si="159">SUM(G260:I260)</f>
        <v>0</v>
      </c>
      <c r="G260" s="658">
        <f ca="1">+IFERROR(G$5*GETPIVOTDATA("Unique Billed Hours",'County allocation'!$A$3,"County",$D256,"HHA/CDPAP","CDPAP","Level of Service",$D260),0)</f>
        <v>0</v>
      </c>
      <c r="H260" s="658">
        <f>+IFERROR(H$5*GETPIVOTDATA("Unique Billed Hours",'County allocation'!$A$3,"County",$D256,"HHA/CDPAP","CDPAP","Level of Service",$D260),0)</f>
        <v>0</v>
      </c>
      <c r="I260" s="678">
        <f t="shared" ref="I260:I267" ca="1" si="160">SUM(J260:P260)</f>
        <v>0</v>
      </c>
      <c r="J260" s="658">
        <f ca="1">+IFERROR(J$5*GETPIVOTDATA("Unique Billed Hours",'County allocation'!$S$3,"County",$D256,"HHA/CDPAP","CDPAP","Level of Service",$D260),0)</f>
        <v>0</v>
      </c>
      <c r="K260" s="658">
        <f ca="1">+IFERROR(K$5*GETPIVOTDATA("Unique Billed Hours",'County allocation'!$X$3,"County",$D256,"HHA/CDPAP","CDPAP","Level of Service",$D260),0)</f>
        <v>0</v>
      </c>
      <c r="L260" s="658">
        <f>+IFERROR(L$5*GETPIVOTDATA("Unique Billed Hours",'County allocation'!$K$19,"County",$D256,"HHA/CDPAP","CDPAP","Level of Service",$D260),0)</f>
        <v>0</v>
      </c>
      <c r="M260" s="658">
        <f>+IFERROR(M$5*GETPIVOTDATA("Unique Billed Hours",'County allocation'!$S$3,"County",$D256,"HHA/CDPAP","CDPAP","Level of Service",$D260),0)</f>
        <v>0</v>
      </c>
      <c r="N260" s="658">
        <f>+IFERROR(N$5*GETPIVOTDATA("Unique Billed Hours",'County allocation'!$S$3,"County",$D256,"HHA/CDPAP","CDPAP","Level of Service",$D260),0)</f>
        <v>0</v>
      </c>
      <c r="O260" s="658">
        <f>+IFERROR(O$5*GETPIVOTDATA("Unique Billed Hours",'County allocation'!$S$3,"County",$D256,"HHA/CDPAP","CDPAP","Level of Service",$D260),0)</f>
        <v>0</v>
      </c>
      <c r="P260" s="658">
        <f>+IFERROR(P$5*GETPIVOTDATA("Unique Billed Hours",'County allocation'!$S$3,"County",$D256,"HHA/CDPAP","CDPAP","Level of Service",$D260),0)</f>
        <v>0</v>
      </c>
    </row>
    <row r="261" spans="1:16" x14ac:dyDescent="0.25">
      <c r="B261" s="24"/>
      <c r="C261" s="9">
        <f t="shared" ca="1" si="158"/>
        <v>1</v>
      </c>
      <c r="D261" s="267" t="s">
        <v>43</v>
      </c>
      <c r="E261" s="48" t="s">
        <v>55</v>
      </c>
      <c r="F261" s="678">
        <f t="shared" ca="1" si="159"/>
        <v>0</v>
      </c>
      <c r="G261" s="658">
        <f ca="1">+IFERROR(G$5*GETPIVOTDATA("Unique Billed Hours",'County allocation'!$A$3,"County",$D256,"HHA/CDPAP","CDPAP","Level of Service",$D261),0)</f>
        <v>0</v>
      </c>
      <c r="H261" s="658">
        <f>+IFERROR(H$5*GETPIVOTDATA("Unique Billed Hours",'County allocation'!$A$3,"County",$D256,"HHA/CDPAP","CDPAP","Level of Service",$D261),0)</f>
        <v>0</v>
      </c>
      <c r="I261" s="678">
        <f t="shared" ca="1" si="160"/>
        <v>0</v>
      </c>
      <c r="J261" s="658">
        <f ca="1">+IFERROR(J$5*GETPIVOTDATA("Unique Billed Hours",'County allocation'!$S$3,"County",$D256,"HHA/CDPAP","CDPAP","Level of Service",$D261),0)</f>
        <v>0</v>
      </c>
      <c r="K261" s="658">
        <f ca="1">+IFERROR(K$5*GETPIVOTDATA("Unique Billed Hours",'County allocation'!$X$3,"County",$D256,"HHA/CDPAP","CDPAP","Level of Service",$D261),0)</f>
        <v>0</v>
      </c>
      <c r="L261" s="658">
        <f>+IFERROR(L$5*GETPIVOTDATA("Unique Billed Hours",'County allocation'!$K$19,"County",$D256,"HHA/CDPAP","CDPAP","Level of Service",$D261),0)</f>
        <v>0</v>
      </c>
      <c r="M261" s="658">
        <f>+IFERROR(M$5*GETPIVOTDATA("Unique Billed Hours",'County allocation'!$S$3,"County",$D256,"HHA/CDPAP","CDPAP","Level of Service",$D261),0)</f>
        <v>0</v>
      </c>
      <c r="N261" s="658">
        <f>+IFERROR(N$5*GETPIVOTDATA("Unique Billed Hours",'County allocation'!$S$3,"County",$D256,"HHA/CDPAP","CDPAP","Level of Service",$D261),0)</f>
        <v>0</v>
      </c>
      <c r="O261" s="658">
        <f>+IFERROR(O$5*GETPIVOTDATA("Unique Billed Hours",'County allocation'!$S$3,"County",$D256,"HHA/CDPAP","CDPAP","Level of Service",$D261),0)</f>
        <v>0</v>
      </c>
      <c r="P261" s="658">
        <f>+IFERROR(P$5*GETPIVOTDATA("Unique Billed Hours",'County allocation'!$S$3,"County",$D256,"HHA/CDPAP","CDPAP","Level of Service",$D261),0)</f>
        <v>0</v>
      </c>
    </row>
    <row r="262" spans="1:16" x14ac:dyDescent="0.25">
      <c r="B262" s="24"/>
      <c r="C262" s="9">
        <f t="shared" ca="1" si="158"/>
        <v>1</v>
      </c>
      <c r="D262" s="267" t="s">
        <v>44</v>
      </c>
      <c r="E262" s="48" t="s">
        <v>54</v>
      </c>
      <c r="F262" s="678">
        <f t="shared" ca="1" si="159"/>
        <v>0</v>
      </c>
      <c r="G262" s="658">
        <f ca="1">+IFERROR(G$5*GETPIVOTDATA("Unique Billed Hours",'County allocation'!$A$3,"County",$D256,"HHA/CDPAP","CDPAP","Level of Service",$D262),0)</f>
        <v>0</v>
      </c>
      <c r="H262" s="658">
        <f>+IFERROR(H$5*GETPIVOTDATA("Unique Billed Hours",'County allocation'!$A$3,"County",$D256,"HHA/CDPAP","CDPAP","Level of Service",$D262),0)</f>
        <v>0</v>
      </c>
      <c r="I262" s="678">
        <f t="shared" ca="1" si="160"/>
        <v>0</v>
      </c>
      <c r="J262" s="658">
        <f ca="1">+IFERROR(J$5*GETPIVOTDATA("Unique Billed Hours",'County allocation'!$S$3,"County",$D256,"HHA/CDPAP","CDPAP","Level of Service",$D262),0)</f>
        <v>0</v>
      </c>
      <c r="K262" s="658">
        <f ca="1">+IFERROR(K$5*GETPIVOTDATA("Unique Billed Hours",'County allocation'!$X$3,"County",$D256,"HHA/CDPAP","CDPAP","Level of Service",$D262),0)</f>
        <v>0</v>
      </c>
      <c r="L262" s="658">
        <f>+IFERROR(L$5*GETPIVOTDATA("Unique Billed Hours",'County allocation'!$K$19,"County",$D256,"HHA/CDPAP","CDPAP","Level of Service",$D262),0)</f>
        <v>0</v>
      </c>
      <c r="M262" s="658">
        <f>+IFERROR(M$5*GETPIVOTDATA("Unique Billed Hours",'County allocation'!$S$3,"County",$D256,"HHA/CDPAP","CDPAP","Level of Service",$D262),0)</f>
        <v>0</v>
      </c>
      <c r="N262" s="658">
        <f>+IFERROR(N$5*GETPIVOTDATA("Unique Billed Hours",'County allocation'!$S$3,"County",$D256,"HHA/CDPAP","CDPAP","Level of Service",$D262),0)</f>
        <v>0</v>
      </c>
      <c r="O262" s="658">
        <f>+IFERROR(O$5*GETPIVOTDATA("Unique Billed Hours",'County allocation'!$S$3,"County",$D256,"HHA/CDPAP","CDPAP","Level of Service",$D262),0)</f>
        <v>0</v>
      </c>
      <c r="P262" s="658">
        <f>+IFERROR(P$5*GETPIVOTDATA("Unique Billed Hours",'County allocation'!$S$3,"County",$D256,"HHA/CDPAP","CDPAP","Level of Service",$D262),0)</f>
        <v>0</v>
      </c>
    </row>
    <row r="263" spans="1:16" x14ac:dyDescent="0.25">
      <c r="B263" s="24"/>
      <c r="C263" s="9">
        <f t="shared" ca="1" si="158"/>
        <v>1</v>
      </c>
      <c r="D263" s="267" t="s">
        <v>45</v>
      </c>
      <c r="E263" s="48" t="s">
        <v>53</v>
      </c>
      <c r="F263" s="678">
        <f t="shared" ca="1" si="159"/>
        <v>0</v>
      </c>
      <c r="G263" s="658">
        <f ca="1">+IFERROR(G$5*GETPIVOTDATA("Unique Billed Hours",'County allocation'!$A$3,"County",$D256,"HHA/CDPAP","CDPAP","Level of Service",$D263),0)</f>
        <v>0</v>
      </c>
      <c r="H263" s="658">
        <f>+IFERROR(H$5*GETPIVOTDATA("Unique Billed Hours",'County allocation'!$A$3,"County",$D256,"HHA/CDPAP","CDPAP","Level of Service",$D263),0)</f>
        <v>0</v>
      </c>
      <c r="I263" s="678">
        <f t="shared" ca="1" si="160"/>
        <v>0</v>
      </c>
      <c r="J263" s="658">
        <f ca="1">+IFERROR(J$5*GETPIVOTDATA("Unique Billed Hours",'County allocation'!$S$3,"County",$D256,"HHA/CDPAP","CDPAP","Level of Service",$D263),0)</f>
        <v>0</v>
      </c>
      <c r="K263" s="658">
        <f ca="1">+IFERROR(K$5*GETPIVOTDATA("Unique Billed Hours",'County allocation'!$X$3,"County",$D256,"HHA/CDPAP","CDPAP","Level of Service",$D263),0)</f>
        <v>0</v>
      </c>
      <c r="L263" s="658">
        <f>+IFERROR(L$5*GETPIVOTDATA("Unique Billed Hours",'County allocation'!$K$19,"County",$D256,"HHA/CDPAP","CDPAP","Level of Service",$D263),0)</f>
        <v>0</v>
      </c>
      <c r="M263" s="658">
        <f>+IFERROR(M$5*GETPIVOTDATA("Unique Billed Hours",'County allocation'!$S$3,"County",$D256,"HHA/CDPAP","CDPAP","Level of Service",$D263),0)</f>
        <v>0</v>
      </c>
      <c r="N263" s="658">
        <f>+IFERROR(N$5*GETPIVOTDATA("Unique Billed Hours",'County allocation'!$S$3,"County",$D256,"HHA/CDPAP","CDPAP","Level of Service",$D263),0)</f>
        <v>0</v>
      </c>
      <c r="O263" s="658">
        <f>+IFERROR(O$5*GETPIVOTDATA("Unique Billed Hours",'County allocation'!$S$3,"County",$D256,"HHA/CDPAP","CDPAP","Level of Service",$D263),0)</f>
        <v>0</v>
      </c>
      <c r="P263" s="658">
        <f>+IFERROR(P$5*GETPIVOTDATA("Unique Billed Hours",'County allocation'!$S$3,"County",$D256,"HHA/CDPAP","CDPAP","Level of Service",$D263),0)</f>
        <v>0</v>
      </c>
    </row>
    <row r="264" spans="1:16" x14ac:dyDescent="0.25">
      <c r="A264" s="302"/>
      <c r="B264" s="24"/>
      <c r="C264" s="9">
        <f t="shared" ca="1" si="158"/>
        <v>1</v>
      </c>
      <c r="D264" s="267" t="s">
        <v>46</v>
      </c>
      <c r="E264" s="48" t="s">
        <v>52</v>
      </c>
      <c r="F264" s="678">
        <f t="shared" ca="1" si="159"/>
        <v>0</v>
      </c>
      <c r="G264" s="658">
        <f ca="1">+IFERROR(G$5*GETPIVOTDATA("Unique Billed Hours",'County allocation'!$A$3,"County",$D256,"HHA/CDPAP","CDPAP","Level of Service",$D264),0)</f>
        <v>0</v>
      </c>
      <c r="H264" s="658">
        <f>+IFERROR(H$5*GETPIVOTDATA("Unique Billed Hours",'County allocation'!$A$3,"County",$D256,"HHA/CDPAP","CDPAP","Level of Service",$D264),0)</f>
        <v>0</v>
      </c>
      <c r="I264" s="678">
        <f t="shared" ca="1" si="160"/>
        <v>0</v>
      </c>
      <c r="J264" s="658">
        <f ca="1">+IFERROR(J$5*GETPIVOTDATA("Unique Billed Hours",'County allocation'!$S$3,"County",$D256,"HHA/CDPAP","CDPAP","Level of Service",$D264),0)</f>
        <v>0</v>
      </c>
      <c r="K264" s="658">
        <f ca="1">+IFERROR(K$5*GETPIVOTDATA("Unique Billed Hours",'County allocation'!$X$3,"County",$D256,"HHA/CDPAP","CDPAP","Level of Service",$D264),0)</f>
        <v>0</v>
      </c>
      <c r="L264" s="658">
        <f>+IFERROR(L$5*GETPIVOTDATA("Unique Billed Hours",'County allocation'!$K$19,"County",$D256,"HHA/CDPAP","CDPAP","Level of Service",$D264),0)</f>
        <v>0</v>
      </c>
      <c r="M264" s="658">
        <f>+IFERROR(M$5*GETPIVOTDATA("Unique Billed Hours",'County allocation'!$S$3,"County",$D256,"HHA/CDPAP","CDPAP","Level of Service",$D264),0)</f>
        <v>0</v>
      </c>
      <c r="N264" s="658">
        <f>+IFERROR(N$5*GETPIVOTDATA("Unique Billed Hours",'County allocation'!$S$3,"County",$D256,"HHA/CDPAP","CDPAP","Level of Service",$D264),0)</f>
        <v>0</v>
      </c>
      <c r="O264" s="658">
        <f>+IFERROR(O$5*GETPIVOTDATA("Unique Billed Hours",'County allocation'!$S$3,"County",$D256,"HHA/CDPAP","CDPAP","Level of Service",$D264),0)</f>
        <v>0</v>
      </c>
      <c r="P264" s="658">
        <f>+IFERROR(P$5*GETPIVOTDATA("Unique Billed Hours",'County allocation'!$S$3,"County",$D256,"HHA/CDPAP","CDPAP","Level of Service",$D264),0)</f>
        <v>0</v>
      </c>
    </row>
    <row r="265" spans="1:16" ht="15.75" thickBot="1" x14ac:dyDescent="0.3">
      <c r="A265" s="302"/>
      <c r="B265" s="24"/>
      <c r="C265" s="9">
        <f t="shared" ca="1" si="158"/>
        <v>1</v>
      </c>
      <c r="D265" s="52" t="s">
        <v>389</v>
      </c>
      <c r="E265" s="370" t="s">
        <v>51</v>
      </c>
      <c r="F265" s="679">
        <f ca="1">SUM(F259:F264)</f>
        <v>148985.78524084334</v>
      </c>
      <c r="G265" s="679">
        <f t="shared" ref="G265:H265" ca="1" si="161">SUM(G259:G264)</f>
        <v>5989.5492966989132</v>
      </c>
      <c r="H265" s="679">
        <f t="shared" si="161"/>
        <v>5156.8913611871103</v>
      </c>
      <c r="I265" s="678">
        <f t="shared" ca="1" si="160"/>
        <v>137839.3445829573</v>
      </c>
      <c r="J265" s="679">
        <f ca="1">SUM(J259:J264)</f>
        <v>27271.129057326012</v>
      </c>
      <c r="K265" s="679">
        <f t="shared" ref="K265:P265" ca="1" si="162">SUM(K259:K264)</f>
        <v>110017.62155004822</v>
      </c>
      <c r="L265" s="679">
        <f t="shared" si="162"/>
        <v>0</v>
      </c>
      <c r="M265" s="679">
        <f t="shared" si="162"/>
        <v>508.04282237398337</v>
      </c>
      <c r="N265" s="679">
        <f t="shared" si="162"/>
        <v>42.551153209100036</v>
      </c>
      <c r="O265" s="679">
        <f t="shared" si="162"/>
        <v>0</v>
      </c>
      <c r="P265" s="679">
        <f t="shared" si="162"/>
        <v>0</v>
      </c>
    </row>
    <row r="266" spans="1:16" x14ac:dyDescent="0.25">
      <c r="A266" s="302"/>
      <c r="B266" s="24"/>
      <c r="C266" s="9">
        <f t="shared" ca="1" si="158"/>
        <v>1</v>
      </c>
      <c r="D266" s="378" t="s">
        <v>390</v>
      </c>
      <c r="E266" s="370" t="s">
        <v>50</v>
      </c>
      <c r="F266" s="678">
        <f t="shared" ref="F266" ca="1" si="163">SUM(G266:I266)</f>
        <v>0</v>
      </c>
      <c r="G266" s="658">
        <f ca="1">+IFERROR(G$5*GETPIVOTDATA("Unique Billed Hours",'County allocation'!$A$3,"County",$D256,"HHA/CDPAP","CDPAP","Level of Service",$D266),0)</f>
        <v>0</v>
      </c>
      <c r="H266" s="659"/>
      <c r="I266" s="678">
        <f t="shared" si="160"/>
        <v>0</v>
      </c>
      <c r="J266" s="659"/>
      <c r="K266" s="659"/>
      <c r="L266" s="659"/>
      <c r="M266" s="659"/>
      <c r="N266" s="659"/>
      <c r="O266" s="659"/>
      <c r="P266" s="659"/>
    </row>
    <row r="267" spans="1:16" ht="15.75" thickBot="1" x14ac:dyDescent="0.3">
      <c r="B267" s="24"/>
      <c r="C267" s="9">
        <f t="shared" ca="1" si="158"/>
        <v>1</v>
      </c>
      <c r="D267" s="11" t="s">
        <v>48</v>
      </c>
      <c r="E267" s="53" t="s">
        <v>49</v>
      </c>
      <c r="F267" s="662">
        <f ca="1">SUBTOTAL(9,F259:F264)</f>
        <v>148985.78524084334</v>
      </c>
      <c r="G267" s="662">
        <f t="shared" ref="G267" ca="1" si="164">SUBTOTAL(9,G259:G264)</f>
        <v>5989.5492966989132</v>
      </c>
      <c r="H267" s="662">
        <f>SUBTOTAL(9,H259:H264)</f>
        <v>5156.8913611871103</v>
      </c>
      <c r="I267" s="678">
        <f t="shared" ca="1" si="160"/>
        <v>137839.3445829573</v>
      </c>
      <c r="J267" s="662">
        <f t="shared" ref="J267:P267" ca="1" si="165">SUBTOTAL(9,J259:J264)</f>
        <v>27271.129057326012</v>
      </c>
      <c r="K267" s="662">
        <f t="shared" ca="1" si="165"/>
        <v>110017.62155004822</v>
      </c>
      <c r="L267" s="662">
        <f t="shared" si="165"/>
        <v>0</v>
      </c>
      <c r="M267" s="662">
        <f t="shared" si="165"/>
        <v>508.04282237398337</v>
      </c>
      <c r="N267" s="662">
        <f t="shared" si="165"/>
        <v>42.551153209100036</v>
      </c>
      <c r="O267" s="662">
        <f t="shared" si="165"/>
        <v>0</v>
      </c>
      <c r="P267" s="662">
        <f t="shared" si="165"/>
        <v>0</v>
      </c>
    </row>
    <row r="268" spans="1:16" ht="15.75" hidden="1" thickBot="1" x14ac:dyDescent="0.3">
      <c r="B268" s="24"/>
      <c r="D268" s="380"/>
      <c r="E268" s="325"/>
      <c r="F268" s="691"/>
      <c r="G268" s="691"/>
      <c r="H268" s="691"/>
      <c r="I268" s="692"/>
      <c r="J268" s="691"/>
      <c r="K268" s="691"/>
      <c r="L268" s="693"/>
      <c r="M268" s="693"/>
      <c r="N268" s="693"/>
      <c r="O268" s="693"/>
      <c r="P268" s="693"/>
    </row>
    <row r="269" spans="1:16" ht="75" x14ac:dyDescent="0.25">
      <c r="A269" s="60"/>
      <c r="B269" s="24"/>
      <c r="C269" s="9">
        <f ca="1">IF(F280&gt;0,1,0)</f>
        <v>1</v>
      </c>
      <c r="D269" s="45" t="str">
        <f>A23</f>
        <v>Greene</v>
      </c>
      <c r="E269" s="28">
        <f>SUMIF(A:A,D269,B:B)</f>
        <v>1.8330419841601578E-3</v>
      </c>
      <c r="F269" s="652" t="s">
        <v>396</v>
      </c>
      <c r="G269" s="652" t="s">
        <v>387</v>
      </c>
      <c r="H269" s="652" t="s">
        <v>388</v>
      </c>
      <c r="I269" s="652" t="s">
        <v>392</v>
      </c>
      <c r="J269" s="652" t="s">
        <v>31</v>
      </c>
      <c r="K269" s="652" t="s">
        <v>32</v>
      </c>
      <c r="L269" s="653" t="s">
        <v>33</v>
      </c>
      <c r="M269" s="653" t="s">
        <v>60</v>
      </c>
      <c r="N269" s="653" t="s">
        <v>59</v>
      </c>
      <c r="O269" s="653" t="s">
        <v>58</v>
      </c>
      <c r="P269" s="653" t="s">
        <v>16</v>
      </c>
    </row>
    <row r="270" spans="1:16" x14ac:dyDescent="0.25">
      <c r="A270" s="60"/>
      <c r="B270" s="24"/>
      <c r="C270" s="9">
        <f ca="1">C269</f>
        <v>1</v>
      </c>
      <c r="D270" s="47"/>
      <c r="E270" s="48"/>
      <c r="F270" s="669" t="s">
        <v>57</v>
      </c>
      <c r="G270" s="669" t="s">
        <v>56</v>
      </c>
      <c r="H270" s="669" t="s">
        <v>55</v>
      </c>
      <c r="I270" s="669" t="s">
        <v>54</v>
      </c>
      <c r="J270" s="669" t="s">
        <v>53</v>
      </c>
      <c r="K270" s="669" t="s">
        <v>52</v>
      </c>
      <c r="L270" s="669" t="s">
        <v>51</v>
      </c>
      <c r="M270" s="669" t="s">
        <v>50</v>
      </c>
      <c r="N270" s="669" t="s">
        <v>49</v>
      </c>
      <c r="O270" s="669" t="s">
        <v>47</v>
      </c>
      <c r="P270" s="670" t="s">
        <v>77</v>
      </c>
    </row>
    <row r="271" spans="1:16" x14ac:dyDescent="0.25">
      <c r="B271" s="24"/>
      <c r="C271" s="9">
        <f t="shared" ref="C271:C280" ca="1" si="166">C270</f>
        <v>1</v>
      </c>
      <c r="D271" s="51" t="s">
        <v>26</v>
      </c>
      <c r="E271" s="48"/>
      <c r="F271" s="674"/>
      <c r="G271" s="674"/>
      <c r="H271" s="674"/>
      <c r="I271" s="674"/>
      <c r="J271" s="674"/>
      <c r="K271" s="674"/>
      <c r="L271" s="675"/>
      <c r="M271" s="675"/>
      <c r="N271" s="676"/>
      <c r="O271" s="674"/>
      <c r="P271" s="677"/>
    </row>
    <row r="272" spans="1:16" x14ac:dyDescent="0.25">
      <c r="B272" s="24"/>
      <c r="C272" s="9">
        <f t="shared" ca="1" si="166"/>
        <v>1</v>
      </c>
      <c r="D272" s="267" t="s">
        <v>18</v>
      </c>
      <c r="E272" s="48" t="s">
        <v>57</v>
      </c>
      <c r="F272" s="678">
        <f ca="1">SUM(G272:I272)</f>
        <v>158014.55536177038</v>
      </c>
      <c r="G272" s="658">
        <f ca="1">+IFERROR(G$5*GETPIVOTDATA("Unique Billed Hours",'County allocation'!$A$3,"County",$D269,"HHA/CDPAP","CDPAP","Level of Service",$D272),0)</f>
        <v>6352.5252922976497</v>
      </c>
      <c r="H272" s="658">
        <f>+IFERROR(H$5*GETPIVOTDATA("Unique Billed Hours",'County allocation'!$A$3,"County",$D269,"HHA/CDPAP","CDPAP","Level of Service",$D272),0)</f>
        <v>5469.4069918795667</v>
      </c>
      <c r="I272" s="678">
        <f ca="1">SUM(J272:P272)</f>
        <v>146192.62307759316</v>
      </c>
      <c r="J272" s="658">
        <f ca="1">+IFERROR(J$5*GETPIVOTDATA("Unique Billed Hours",'County allocation'!$S$3,"County",$D269,"HHA/CDPAP","CDPAP","Level of Service",$D272),0)</f>
        <v>28923.801859625204</v>
      </c>
      <c r="K272" s="658">
        <f ca="1">+IFERROR(K$5*GETPIVOTDATA("Unique Billed Hours",'County allocation'!$X$3,"County",$D269,"HHA/CDPAP","CDPAP","Level of Service",$D272),0)</f>
        <v>116684.86039179929</v>
      </c>
      <c r="L272" s="658">
        <f>+IFERROR(L$5*GETPIVOTDATA("Unique Billed Hours",'County allocation'!$K$19,"County",$D269,"HHA/CDPAP","CDPAP","Level of Service",$D272),0)</f>
        <v>0</v>
      </c>
      <c r="M272" s="658">
        <f>+IFERROR(M$5*GETPIVOTDATA("Unique Billed Hours",'County allocation'!$S$3,"County",$D269,"HHA/CDPAP","CDPAP","Level of Service",$D272),0)</f>
        <v>538.83100694734071</v>
      </c>
      <c r="N272" s="658">
        <f>+IFERROR(N$5*GETPIVOTDATA("Unique Billed Hours",'County allocation'!$S$3,"County",$D269,"HHA/CDPAP","CDPAP","Level of Service",$D272),0)</f>
        <v>45.129819221325675</v>
      </c>
      <c r="O272" s="658">
        <f>+IFERROR(O$5*GETPIVOTDATA("Unique Billed Hours",'County allocation'!$S$3,"County",$D269,"HHA/CDPAP","CDPAP","Level of Service",$D272),0)</f>
        <v>0</v>
      </c>
      <c r="P272" s="658">
        <f>+IFERROR(P$5*GETPIVOTDATA("Unique Billed Hours",'County allocation'!$S$3,"County",$D269,"HHA/CDPAP","CDPAP","Level of Service",$D272),0)</f>
        <v>0</v>
      </c>
    </row>
    <row r="273" spans="1:16" x14ac:dyDescent="0.25">
      <c r="B273" s="24"/>
      <c r="C273" s="9">
        <f t="shared" ca="1" si="166"/>
        <v>1</v>
      </c>
      <c r="D273" s="267" t="s">
        <v>42</v>
      </c>
      <c r="E273" s="48" t="s">
        <v>56</v>
      </c>
      <c r="F273" s="678">
        <f t="shared" ref="F273:F277" ca="1" si="167">SUM(G273:I273)</f>
        <v>0</v>
      </c>
      <c r="G273" s="658">
        <f ca="1">+IFERROR(G$5*GETPIVOTDATA("Unique Billed Hours",'County allocation'!$A$3,"County",$D269,"HHA/CDPAP","CDPAP","Level of Service",$D273),0)</f>
        <v>0</v>
      </c>
      <c r="H273" s="658">
        <f>+IFERROR(H$5*GETPIVOTDATA("Unique Billed Hours",'County allocation'!$A$3,"County",$D269,"HHA/CDPAP","CDPAP","Level of Service",$D273),0)</f>
        <v>0</v>
      </c>
      <c r="I273" s="678">
        <f t="shared" ref="I273:I280" ca="1" si="168">SUM(J273:P273)</f>
        <v>0</v>
      </c>
      <c r="J273" s="658">
        <f ca="1">+IFERROR(J$5*GETPIVOTDATA("Unique Billed Hours",'County allocation'!$S$3,"County",$D269,"HHA/CDPAP","CDPAP","Level of Service",$D273),0)</f>
        <v>0</v>
      </c>
      <c r="K273" s="658">
        <f ca="1">+IFERROR(K$5*GETPIVOTDATA("Unique Billed Hours",'County allocation'!$X$3,"County",$D269,"HHA/CDPAP","CDPAP","Level of Service",$D273),0)</f>
        <v>0</v>
      </c>
      <c r="L273" s="658">
        <f>+IFERROR(L$5*GETPIVOTDATA("Unique Billed Hours",'County allocation'!$K$19,"County",$D269,"HHA/CDPAP","CDPAP","Level of Service",$D273),0)</f>
        <v>0</v>
      </c>
      <c r="M273" s="658">
        <f>+IFERROR(M$5*GETPIVOTDATA("Unique Billed Hours",'County allocation'!$S$3,"County",$D269,"HHA/CDPAP","CDPAP","Level of Service",$D273),0)</f>
        <v>0</v>
      </c>
      <c r="N273" s="658">
        <f>+IFERROR(N$5*GETPIVOTDATA("Unique Billed Hours",'County allocation'!$S$3,"County",$D269,"HHA/CDPAP","CDPAP","Level of Service",$D273),0)</f>
        <v>0</v>
      </c>
      <c r="O273" s="658">
        <f>+IFERROR(O$5*GETPIVOTDATA("Unique Billed Hours",'County allocation'!$S$3,"County",$D269,"HHA/CDPAP","CDPAP","Level of Service",$D273),0)</f>
        <v>0</v>
      </c>
      <c r="P273" s="658">
        <f>+IFERROR(P$5*GETPIVOTDATA("Unique Billed Hours",'County allocation'!$S$3,"County",$D269,"HHA/CDPAP","CDPAP","Level of Service",$D273),0)</f>
        <v>0</v>
      </c>
    </row>
    <row r="274" spans="1:16" x14ac:dyDescent="0.25">
      <c r="B274" s="24"/>
      <c r="C274" s="9">
        <f t="shared" ca="1" si="166"/>
        <v>1</v>
      </c>
      <c r="D274" s="267" t="s">
        <v>43</v>
      </c>
      <c r="E274" s="48" t="s">
        <v>55</v>
      </c>
      <c r="F274" s="678">
        <f t="shared" ca="1" si="167"/>
        <v>0</v>
      </c>
      <c r="G274" s="658">
        <f ca="1">+IFERROR(G$5*GETPIVOTDATA("Unique Billed Hours",'County allocation'!$A$3,"County",$D269,"HHA/CDPAP","CDPAP","Level of Service",$D274),0)</f>
        <v>0</v>
      </c>
      <c r="H274" s="658">
        <f>+IFERROR(H$5*GETPIVOTDATA("Unique Billed Hours",'County allocation'!$A$3,"County",$D269,"HHA/CDPAP","CDPAP","Level of Service",$D274),0)</f>
        <v>0</v>
      </c>
      <c r="I274" s="678">
        <f t="shared" ca="1" si="168"/>
        <v>0</v>
      </c>
      <c r="J274" s="658">
        <f ca="1">+IFERROR(J$5*GETPIVOTDATA("Unique Billed Hours",'County allocation'!$S$3,"County",$D269,"HHA/CDPAP","CDPAP","Level of Service",$D274),0)</f>
        <v>0</v>
      </c>
      <c r="K274" s="658">
        <f ca="1">+IFERROR(K$5*GETPIVOTDATA("Unique Billed Hours",'County allocation'!$X$3,"County",$D269,"HHA/CDPAP","CDPAP","Level of Service",$D274),0)</f>
        <v>0</v>
      </c>
      <c r="L274" s="658">
        <f>+IFERROR(L$5*GETPIVOTDATA("Unique Billed Hours",'County allocation'!$K$19,"County",$D269,"HHA/CDPAP","CDPAP","Level of Service",$D274),0)</f>
        <v>0</v>
      </c>
      <c r="M274" s="658">
        <f>+IFERROR(M$5*GETPIVOTDATA("Unique Billed Hours",'County allocation'!$S$3,"County",$D269,"HHA/CDPAP","CDPAP","Level of Service",$D274),0)</f>
        <v>0</v>
      </c>
      <c r="N274" s="658">
        <f>+IFERROR(N$5*GETPIVOTDATA("Unique Billed Hours",'County allocation'!$S$3,"County",$D269,"HHA/CDPAP","CDPAP","Level of Service",$D274),0)</f>
        <v>0</v>
      </c>
      <c r="O274" s="658">
        <f>+IFERROR(O$5*GETPIVOTDATA("Unique Billed Hours",'County allocation'!$S$3,"County",$D269,"HHA/CDPAP","CDPAP","Level of Service",$D274),0)</f>
        <v>0</v>
      </c>
      <c r="P274" s="658">
        <f>+IFERROR(P$5*GETPIVOTDATA("Unique Billed Hours",'County allocation'!$S$3,"County",$D269,"HHA/CDPAP","CDPAP","Level of Service",$D274),0)</f>
        <v>0</v>
      </c>
    </row>
    <row r="275" spans="1:16" x14ac:dyDescent="0.25">
      <c r="B275" s="24"/>
      <c r="C275" s="9">
        <f t="shared" ca="1" si="166"/>
        <v>1</v>
      </c>
      <c r="D275" s="267" t="s">
        <v>44</v>
      </c>
      <c r="E275" s="48" t="s">
        <v>54</v>
      </c>
      <c r="F275" s="678">
        <f t="shared" ca="1" si="167"/>
        <v>0</v>
      </c>
      <c r="G275" s="658">
        <f ca="1">+IFERROR(G$5*GETPIVOTDATA("Unique Billed Hours",'County allocation'!$A$3,"County",$D269,"HHA/CDPAP","CDPAP","Level of Service",$D275),0)</f>
        <v>0</v>
      </c>
      <c r="H275" s="658">
        <f>+IFERROR(H$5*GETPIVOTDATA("Unique Billed Hours",'County allocation'!$A$3,"County",$D269,"HHA/CDPAP","CDPAP","Level of Service",$D275),0)</f>
        <v>0</v>
      </c>
      <c r="I275" s="678">
        <f t="shared" ca="1" si="168"/>
        <v>0</v>
      </c>
      <c r="J275" s="658">
        <f ca="1">+IFERROR(J$5*GETPIVOTDATA("Unique Billed Hours",'County allocation'!$S$3,"County",$D269,"HHA/CDPAP","CDPAP","Level of Service",$D275),0)</f>
        <v>0</v>
      </c>
      <c r="K275" s="658">
        <f ca="1">+IFERROR(K$5*GETPIVOTDATA("Unique Billed Hours",'County allocation'!$X$3,"County",$D269,"HHA/CDPAP","CDPAP","Level of Service",$D275),0)</f>
        <v>0</v>
      </c>
      <c r="L275" s="658">
        <f>+IFERROR(L$5*GETPIVOTDATA("Unique Billed Hours",'County allocation'!$K$19,"County",$D269,"HHA/CDPAP","CDPAP","Level of Service",$D275),0)</f>
        <v>0</v>
      </c>
      <c r="M275" s="658">
        <f>+IFERROR(M$5*GETPIVOTDATA("Unique Billed Hours",'County allocation'!$S$3,"County",$D269,"HHA/CDPAP","CDPAP","Level of Service",$D275),0)</f>
        <v>0</v>
      </c>
      <c r="N275" s="658">
        <f>+IFERROR(N$5*GETPIVOTDATA("Unique Billed Hours",'County allocation'!$S$3,"County",$D269,"HHA/CDPAP","CDPAP","Level of Service",$D275),0)</f>
        <v>0</v>
      </c>
      <c r="O275" s="658">
        <f>+IFERROR(O$5*GETPIVOTDATA("Unique Billed Hours",'County allocation'!$S$3,"County",$D269,"HHA/CDPAP","CDPAP","Level of Service",$D275),0)</f>
        <v>0</v>
      </c>
      <c r="P275" s="658">
        <f>+IFERROR(P$5*GETPIVOTDATA("Unique Billed Hours",'County allocation'!$S$3,"County",$D269,"HHA/CDPAP","CDPAP","Level of Service",$D275),0)</f>
        <v>0</v>
      </c>
    </row>
    <row r="276" spans="1:16" x14ac:dyDescent="0.25">
      <c r="B276" s="24"/>
      <c r="C276" s="9">
        <f t="shared" ca="1" si="166"/>
        <v>1</v>
      </c>
      <c r="D276" s="267" t="s">
        <v>45</v>
      </c>
      <c r="E276" s="48" t="s">
        <v>53</v>
      </c>
      <c r="F276" s="678">
        <f t="shared" ca="1" si="167"/>
        <v>0</v>
      </c>
      <c r="G276" s="658">
        <f ca="1">+IFERROR(G$5*GETPIVOTDATA("Unique Billed Hours",'County allocation'!$A$3,"County",$D269,"HHA/CDPAP","CDPAP","Level of Service",$D276),0)</f>
        <v>0</v>
      </c>
      <c r="H276" s="658">
        <f>+IFERROR(H$5*GETPIVOTDATA("Unique Billed Hours",'County allocation'!$A$3,"County",$D269,"HHA/CDPAP","CDPAP","Level of Service",$D276),0)</f>
        <v>0</v>
      </c>
      <c r="I276" s="678">
        <f t="shared" ca="1" si="168"/>
        <v>0</v>
      </c>
      <c r="J276" s="658">
        <f ca="1">+IFERROR(J$5*GETPIVOTDATA("Unique Billed Hours",'County allocation'!$S$3,"County",$D269,"HHA/CDPAP","CDPAP","Level of Service",$D276),0)</f>
        <v>0</v>
      </c>
      <c r="K276" s="658">
        <f ca="1">+IFERROR(K$5*GETPIVOTDATA("Unique Billed Hours",'County allocation'!$X$3,"County",$D269,"HHA/CDPAP","CDPAP","Level of Service",$D276),0)</f>
        <v>0</v>
      </c>
      <c r="L276" s="658">
        <f>+IFERROR(L$5*GETPIVOTDATA("Unique Billed Hours",'County allocation'!$K$19,"County",$D269,"HHA/CDPAP","CDPAP","Level of Service",$D276),0)</f>
        <v>0</v>
      </c>
      <c r="M276" s="658">
        <f>+IFERROR(M$5*GETPIVOTDATA("Unique Billed Hours",'County allocation'!$S$3,"County",$D269,"HHA/CDPAP","CDPAP","Level of Service",$D276),0)</f>
        <v>0</v>
      </c>
      <c r="N276" s="658">
        <f>+IFERROR(N$5*GETPIVOTDATA("Unique Billed Hours",'County allocation'!$S$3,"County",$D269,"HHA/CDPAP","CDPAP","Level of Service",$D276),0)</f>
        <v>0</v>
      </c>
      <c r="O276" s="658">
        <f>+IFERROR(O$5*GETPIVOTDATA("Unique Billed Hours",'County allocation'!$S$3,"County",$D269,"HHA/CDPAP","CDPAP","Level of Service",$D276),0)</f>
        <v>0</v>
      </c>
      <c r="P276" s="658">
        <f>+IFERROR(P$5*GETPIVOTDATA("Unique Billed Hours",'County allocation'!$S$3,"County",$D269,"HHA/CDPAP","CDPAP","Level of Service",$D276),0)</f>
        <v>0</v>
      </c>
    </row>
    <row r="277" spans="1:16" x14ac:dyDescent="0.25">
      <c r="A277" s="302"/>
      <c r="B277" s="24"/>
      <c r="C277" s="9">
        <f t="shared" ca="1" si="166"/>
        <v>1</v>
      </c>
      <c r="D277" s="267" t="s">
        <v>46</v>
      </c>
      <c r="E277" s="48" t="s">
        <v>52</v>
      </c>
      <c r="F277" s="678">
        <f t="shared" ca="1" si="167"/>
        <v>0</v>
      </c>
      <c r="G277" s="658">
        <f ca="1">+IFERROR(G$5*GETPIVOTDATA("Unique Billed Hours",'County allocation'!$A$3,"County",$D269,"HHA/CDPAP","CDPAP","Level of Service",$D277),0)</f>
        <v>0</v>
      </c>
      <c r="H277" s="658">
        <f>+IFERROR(H$5*GETPIVOTDATA("Unique Billed Hours",'County allocation'!$A$3,"County",$D269,"HHA/CDPAP","CDPAP","Level of Service",$D277),0)</f>
        <v>0</v>
      </c>
      <c r="I277" s="678">
        <f t="shared" ca="1" si="168"/>
        <v>0</v>
      </c>
      <c r="J277" s="658">
        <f ca="1">+IFERROR(J$5*GETPIVOTDATA("Unique Billed Hours",'County allocation'!$S$3,"County",$D269,"HHA/CDPAP","CDPAP","Level of Service",$D277),0)</f>
        <v>0</v>
      </c>
      <c r="K277" s="658">
        <f ca="1">+IFERROR(K$5*GETPIVOTDATA("Unique Billed Hours",'County allocation'!$X$3,"County",$D269,"HHA/CDPAP","CDPAP","Level of Service",$D277),0)</f>
        <v>0</v>
      </c>
      <c r="L277" s="658">
        <f>+IFERROR(L$5*GETPIVOTDATA("Unique Billed Hours",'County allocation'!$K$19,"County",$D269,"HHA/CDPAP","CDPAP","Level of Service",$D277),0)</f>
        <v>0</v>
      </c>
      <c r="M277" s="658">
        <f>+IFERROR(M$5*GETPIVOTDATA("Unique Billed Hours",'County allocation'!$S$3,"County",$D269,"HHA/CDPAP","CDPAP","Level of Service",$D277),0)</f>
        <v>0</v>
      </c>
      <c r="N277" s="658">
        <f>+IFERROR(N$5*GETPIVOTDATA("Unique Billed Hours",'County allocation'!$S$3,"County",$D269,"HHA/CDPAP","CDPAP","Level of Service",$D277),0)</f>
        <v>0</v>
      </c>
      <c r="O277" s="658">
        <f>+IFERROR(O$5*GETPIVOTDATA("Unique Billed Hours",'County allocation'!$S$3,"County",$D269,"HHA/CDPAP","CDPAP","Level of Service",$D277),0)</f>
        <v>0</v>
      </c>
      <c r="P277" s="658">
        <f>+IFERROR(P$5*GETPIVOTDATA("Unique Billed Hours",'County allocation'!$S$3,"County",$D269,"HHA/CDPAP","CDPAP","Level of Service",$D277),0)</f>
        <v>0</v>
      </c>
    </row>
    <row r="278" spans="1:16" ht="15.75" thickBot="1" x14ac:dyDescent="0.3">
      <c r="A278" s="302"/>
      <c r="B278" s="24"/>
      <c r="C278" s="9">
        <f t="shared" ca="1" si="166"/>
        <v>1</v>
      </c>
      <c r="D278" s="52" t="s">
        <v>389</v>
      </c>
      <c r="E278" s="370" t="s">
        <v>51</v>
      </c>
      <c r="F278" s="679">
        <f ca="1">SUM(F272:F277)</f>
        <v>158014.55536177038</v>
      </c>
      <c r="G278" s="679">
        <f t="shared" ref="G278:H278" ca="1" si="169">SUM(G272:G277)</f>
        <v>6352.5252922976497</v>
      </c>
      <c r="H278" s="679">
        <f t="shared" si="169"/>
        <v>5469.4069918795667</v>
      </c>
      <c r="I278" s="678">
        <f t="shared" ca="1" si="168"/>
        <v>146192.62307759316</v>
      </c>
      <c r="J278" s="679">
        <f ca="1">SUM(J272:J277)</f>
        <v>28923.801859625204</v>
      </c>
      <c r="K278" s="679">
        <f t="shared" ref="K278:P278" ca="1" si="170">SUM(K272:K277)</f>
        <v>116684.86039179929</v>
      </c>
      <c r="L278" s="679">
        <f t="shared" si="170"/>
        <v>0</v>
      </c>
      <c r="M278" s="679">
        <f t="shared" si="170"/>
        <v>538.83100694734071</v>
      </c>
      <c r="N278" s="679">
        <f t="shared" si="170"/>
        <v>45.129819221325675</v>
      </c>
      <c r="O278" s="679">
        <f t="shared" si="170"/>
        <v>0</v>
      </c>
      <c r="P278" s="679">
        <f t="shared" si="170"/>
        <v>0</v>
      </c>
    </row>
    <row r="279" spans="1:16" x14ac:dyDescent="0.25">
      <c r="A279" s="302"/>
      <c r="B279" s="24"/>
      <c r="C279" s="9">
        <f t="shared" ca="1" si="166"/>
        <v>1</v>
      </c>
      <c r="D279" s="378" t="s">
        <v>390</v>
      </c>
      <c r="E279" s="370" t="s">
        <v>50</v>
      </c>
      <c r="F279" s="678">
        <f t="shared" ref="F279" ca="1" si="171">SUM(G279:I279)</f>
        <v>0</v>
      </c>
      <c r="G279" s="658">
        <f ca="1">+IFERROR(G$5*GETPIVOTDATA("Unique Billed Hours",'County allocation'!$A$3,"County",$D269,"HHA/CDPAP","CDPAP","Level of Service",$D279),0)</f>
        <v>0</v>
      </c>
      <c r="H279" s="659"/>
      <c r="I279" s="678">
        <f t="shared" si="168"/>
        <v>0</v>
      </c>
      <c r="J279" s="659"/>
      <c r="K279" s="659"/>
      <c r="L279" s="659"/>
      <c r="M279" s="659"/>
      <c r="N279" s="659"/>
      <c r="O279" s="659"/>
      <c r="P279" s="659"/>
    </row>
    <row r="280" spans="1:16" ht="15.75" thickBot="1" x14ac:dyDescent="0.3">
      <c r="B280" s="24"/>
      <c r="C280" s="9">
        <f t="shared" ca="1" si="166"/>
        <v>1</v>
      </c>
      <c r="D280" s="11" t="s">
        <v>48</v>
      </c>
      <c r="E280" s="53" t="s">
        <v>49</v>
      </c>
      <c r="F280" s="662">
        <f ca="1">SUBTOTAL(9,F272:F277)</f>
        <v>158014.55536177038</v>
      </c>
      <c r="G280" s="662">
        <f t="shared" ref="G280:H280" ca="1" si="172">SUBTOTAL(9,G272:G277)</f>
        <v>6352.5252922976497</v>
      </c>
      <c r="H280" s="662">
        <f t="shared" si="172"/>
        <v>5469.4069918795667</v>
      </c>
      <c r="I280" s="678">
        <f t="shared" ca="1" si="168"/>
        <v>146192.62307759316</v>
      </c>
      <c r="J280" s="662">
        <f t="shared" ref="J280:P280" ca="1" si="173">SUBTOTAL(9,J272:J277)</f>
        <v>28923.801859625204</v>
      </c>
      <c r="K280" s="662">
        <f t="shared" ca="1" si="173"/>
        <v>116684.86039179929</v>
      </c>
      <c r="L280" s="662">
        <f t="shared" si="173"/>
        <v>0</v>
      </c>
      <c r="M280" s="662">
        <f t="shared" si="173"/>
        <v>538.83100694734071</v>
      </c>
      <c r="N280" s="662">
        <f t="shared" si="173"/>
        <v>45.129819221325675</v>
      </c>
      <c r="O280" s="662">
        <f t="shared" si="173"/>
        <v>0</v>
      </c>
      <c r="P280" s="662">
        <f t="shared" si="173"/>
        <v>0</v>
      </c>
    </row>
    <row r="281" spans="1:16" ht="15.75" hidden="1" thickBot="1" x14ac:dyDescent="0.3"/>
    <row r="282" spans="1:16" ht="75" x14ac:dyDescent="0.25">
      <c r="A282" s="60"/>
      <c r="B282" s="24"/>
      <c r="C282" s="9">
        <f ca="1">IF(F293&gt;0,1,0)</f>
        <v>1</v>
      </c>
      <c r="D282" s="45" t="str">
        <f>A24</f>
        <v>Hamilton</v>
      </c>
      <c r="E282" s="28">
        <f>SUMIF(A:A,D282,B:B)</f>
        <v>1.0782221928070756E-4</v>
      </c>
      <c r="F282" s="652" t="s">
        <v>396</v>
      </c>
      <c r="G282" s="652" t="s">
        <v>387</v>
      </c>
      <c r="H282" s="652" t="s">
        <v>388</v>
      </c>
      <c r="I282" s="652" t="s">
        <v>392</v>
      </c>
      <c r="J282" s="652" t="s">
        <v>31</v>
      </c>
      <c r="K282" s="652" t="s">
        <v>32</v>
      </c>
      <c r="L282" s="653" t="s">
        <v>33</v>
      </c>
      <c r="M282" s="653" t="s">
        <v>60</v>
      </c>
      <c r="N282" s="653" t="s">
        <v>59</v>
      </c>
      <c r="O282" s="653" t="s">
        <v>58</v>
      </c>
      <c r="P282" s="653" t="s">
        <v>16</v>
      </c>
    </row>
    <row r="283" spans="1:16" x14ac:dyDescent="0.25">
      <c r="A283" s="60"/>
      <c r="B283" s="24"/>
      <c r="C283" s="9">
        <f ca="1">C282</f>
        <v>1</v>
      </c>
      <c r="D283" s="47"/>
      <c r="E283" s="48"/>
      <c r="F283" s="669" t="s">
        <v>57</v>
      </c>
      <c r="G283" s="669" t="s">
        <v>56</v>
      </c>
      <c r="H283" s="669" t="s">
        <v>55</v>
      </c>
      <c r="I283" s="669" t="s">
        <v>54</v>
      </c>
      <c r="J283" s="669" t="s">
        <v>53</v>
      </c>
      <c r="K283" s="669" t="s">
        <v>52</v>
      </c>
      <c r="L283" s="669" t="s">
        <v>51</v>
      </c>
      <c r="M283" s="669" t="s">
        <v>50</v>
      </c>
      <c r="N283" s="669" t="s">
        <v>49</v>
      </c>
      <c r="O283" s="669" t="s">
        <v>47</v>
      </c>
      <c r="P283" s="670" t="s">
        <v>77</v>
      </c>
    </row>
    <row r="284" spans="1:16" x14ac:dyDescent="0.25">
      <c r="B284" s="24"/>
      <c r="C284" s="9">
        <f t="shared" ref="C284:C293" ca="1" si="174">C283</f>
        <v>1</v>
      </c>
      <c r="D284" s="51" t="s">
        <v>26</v>
      </c>
      <c r="E284" s="48"/>
      <c r="F284" s="674"/>
      <c r="G284" s="674"/>
      <c r="H284" s="674"/>
      <c r="I284" s="674"/>
      <c r="J284" s="674"/>
      <c r="K284" s="674"/>
      <c r="L284" s="675"/>
      <c r="M284" s="675"/>
      <c r="N284" s="676"/>
      <c r="O284" s="674"/>
      <c r="P284" s="677"/>
    </row>
    <row r="285" spans="1:16" x14ac:dyDescent="0.25">
      <c r="B285" s="24"/>
      <c r="C285" s="9">
        <f t="shared" ca="1" si="174"/>
        <v>1</v>
      </c>
      <c r="D285" s="267" t="s">
        <v>18</v>
      </c>
      <c r="E285" s="48" t="s">
        <v>57</v>
      </c>
      <c r="F285" s="678">
        <f ca="1">SUM(G285:I285)</f>
        <v>9294.6480140586355</v>
      </c>
      <c r="G285" s="658">
        <f ca="1">+IFERROR(G$5*GETPIVOTDATA("Unique Billed Hours",'County allocation'!$A$3,"County",$D282,"HHA/CDPAP","CDPAP","Level of Service",$D285),0)</f>
        <v>373.66485927281019</v>
      </c>
      <c r="H285" s="658">
        <f>+IFERROR(H$5*GETPIVOTDATA("Unique Billed Hours",'County allocation'!$A$3,"County",$D282,"HHA/CDPAP","CDPAP","Level of Service",$D285),0)</f>
        <v>321.71854497051606</v>
      </c>
      <c r="I285" s="678">
        <f ca="1">SUM(J285:P285)</f>
        <v>8599.2646098153091</v>
      </c>
      <c r="J285" s="658">
        <f ca="1">+IFERROR(J$5*GETPIVOTDATA("Unique Billed Hours",'County allocation'!$S$3,"County",$D282,"HHA/CDPAP","CDPAP","Level of Service",$D285),0)</f>
        <v>1701.340467642973</v>
      </c>
      <c r="K285" s="658">
        <f ca="1">+IFERROR(K$5*GETPIVOTDATA("Unique Billed Hours",'County allocation'!$X$3,"County",$D282,"HHA/CDPAP","CDPAP","Level of Service",$D285),0)</f>
        <v>6863.5747094836188</v>
      </c>
      <c r="L285" s="658">
        <f>+IFERROR(L$5*GETPIVOTDATA("Unique Billed Hours",'County allocation'!$K$19,"County",$D282,"HHA/CDPAP","CDPAP","Level of Service",$D285),0)</f>
        <v>0</v>
      </c>
      <c r="M285" s="658">
        <f>+IFERROR(M$5*GETPIVOTDATA("Unique Billed Hours",'County allocation'!$S$3,"County",$D282,"HHA/CDPAP","CDPAP","Level of Service",$D285),0)</f>
        <v>31.694830499443956</v>
      </c>
      <c r="N285" s="658">
        <f>+IFERROR(N$5*GETPIVOTDATA("Unique Billed Hours",'County allocation'!$S$3,"County",$D282,"HHA/CDPAP","CDPAP","Level of Service",$D285),0)</f>
        <v>2.6546021892727758</v>
      </c>
      <c r="O285" s="658">
        <f>+IFERROR(O$5*GETPIVOTDATA("Unique Billed Hours",'County allocation'!$S$3,"County",$D282,"HHA/CDPAP","CDPAP","Level of Service",$D285),0)</f>
        <v>0</v>
      </c>
      <c r="P285" s="658">
        <f>+IFERROR(P$5*GETPIVOTDATA("Unique Billed Hours",'County allocation'!$S$3,"County",$D282,"HHA/CDPAP","CDPAP","Level of Service",$D285),0)</f>
        <v>0</v>
      </c>
    </row>
    <row r="286" spans="1:16" x14ac:dyDescent="0.25">
      <c r="B286" s="24"/>
      <c r="C286" s="9">
        <f t="shared" ca="1" si="174"/>
        <v>1</v>
      </c>
      <c r="D286" s="267" t="s">
        <v>42</v>
      </c>
      <c r="E286" s="48" t="s">
        <v>56</v>
      </c>
      <c r="F286" s="678">
        <f t="shared" ref="F286:F290" ca="1" si="175">SUM(G286:I286)</f>
        <v>0</v>
      </c>
      <c r="G286" s="658">
        <f ca="1">+IFERROR(G$5*GETPIVOTDATA("Unique Billed Hours",'County allocation'!$A$3,"County",$D282,"HHA/CDPAP","CDPAP","Level of Service",$D286),0)</f>
        <v>0</v>
      </c>
      <c r="H286" s="658">
        <f>+IFERROR(H$5*GETPIVOTDATA("Unique Billed Hours",'County allocation'!$A$3,"County",$D282,"HHA/CDPAP","CDPAP","Level of Service",$D286),0)</f>
        <v>0</v>
      </c>
      <c r="I286" s="678">
        <f t="shared" ref="I286:I293" ca="1" si="176">SUM(J286:P286)</f>
        <v>0</v>
      </c>
      <c r="J286" s="658">
        <f ca="1">+IFERROR(J$5*GETPIVOTDATA("Unique Billed Hours",'County allocation'!$S$3,"County",$D282,"HHA/CDPAP","CDPAP","Level of Service",$D286),0)</f>
        <v>0</v>
      </c>
      <c r="K286" s="658">
        <f ca="1">+IFERROR(K$5*GETPIVOTDATA("Unique Billed Hours",'County allocation'!$X$3,"County",$D282,"HHA/CDPAP","CDPAP","Level of Service",$D286),0)</f>
        <v>0</v>
      </c>
      <c r="L286" s="658">
        <f>+IFERROR(L$5*GETPIVOTDATA("Unique Billed Hours",'County allocation'!$K$19,"County",$D282,"HHA/CDPAP","CDPAP","Level of Service",$D286),0)</f>
        <v>0</v>
      </c>
      <c r="M286" s="658">
        <f>+IFERROR(M$5*GETPIVOTDATA("Unique Billed Hours",'County allocation'!$S$3,"County",$D282,"HHA/CDPAP","CDPAP","Level of Service",$D286),0)</f>
        <v>0</v>
      </c>
      <c r="N286" s="658">
        <f>+IFERROR(N$5*GETPIVOTDATA("Unique Billed Hours",'County allocation'!$S$3,"County",$D282,"HHA/CDPAP","CDPAP","Level of Service",$D286),0)</f>
        <v>0</v>
      </c>
      <c r="O286" s="658">
        <f>+IFERROR(O$5*GETPIVOTDATA("Unique Billed Hours",'County allocation'!$S$3,"County",$D282,"HHA/CDPAP","CDPAP","Level of Service",$D286),0)</f>
        <v>0</v>
      </c>
      <c r="P286" s="658">
        <f>+IFERROR(P$5*GETPIVOTDATA("Unique Billed Hours",'County allocation'!$S$3,"County",$D282,"HHA/CDPAP","CDPAP","Level of Service",$D286),0)</f>
        <v>0</v>
      </c>
    </row>
    <row r="287" spans="1:16" x14ac:dyDescent="0.25">
      <c r="B287" s="24"/>
      <c r="C287" s="9">
        <f t="shared" ca="1" si="174"/>
        <v>1</v>
      </c>
      <c r="D287" s="267" t="s">
        <v>43</v>
      </c>
      <c r="E287" s="48" t="s">
        <v>55</v>
      </c>
      <c r="F287" s="678">
        <f t="shared" ca="1" si="175"/>
        <v>0</v>
      </c>
      <c r="G287" s="658">
        <f ca="1">+IFERROR(G$5*GETPIVOTDATA("Unique Billed Hours",'County allocation'!$A$3,"County",$D282,"HHA/CDPAP","CDPAP","Level of Service",$D287),0)</f>
        <v>0</v>
      </c>
      <c r="H287" s="658">
        <f>+IFERROR(H$5*GETPIVOTDATA("Unique Billed Hours",'County allocation'!$A$3,"County",$D282,"HHA/CDPAP","CDPAP","Level of Service",$D287),0)</f>
        <v>0</v>
      </c>
      <c r="I287" s="678">
        <f t="shared" ca="1" si="176"/>
        <v>0</v>
      </c>
      <c r="J287" s="658">
        <f ca="1">+IFERROR(J$5*GETPIVOTDATA("Unique Billed Hours",'County allocation'!$S$3,"County",$D282,"HHA/CDPAP","CDPAP","Level of Service",$D287),0)</f>
        <v>0</v>
      </c>
      <c r="K287" s="658">
        <f ca="1">+IFERROR(K$5*GETPIVOTDATA("Unique Billed Hours",'County allocation'!$X$3,"County",$D282,"HHA/CDPAP","CDPAP","Level of Service",$D287),0)</f>
        <v>0</v>
      </c>
      <c r="L287" s="658">
        <f>+IFERROR(L$5*GETPIVOTDATA("Unique Billed Hours",'County allocation'!$K$19,"County",$D282,"HHA/CDPAP","CDPAP","Level of Service",$D287),0)</f>
        <v>0</v>
      </c>
      <c r="M287" s="658">
        <f>+IFERROR(M$5*GETPIVOTDATA("Unique Billed Hours",'County allocation'!$S$3,"County",$D282,"HHA/CDPAP","CDPAP","Level of Service",$D287),0)</f>
        <v>0</v>
      </c>
      <c r="N287" s="658">
        <f>+IFERROR(N$5*GETPIVOTDATA("Unique Billed Hours",'County allocation'!$S$3,"County",$D282,"HHA/CDPAP","CDPAP","Level of Service",$D287),0)</f>
        <v>0</v>
      </c>
      <c r="O287" s="658">
        <f>+IFERROR(O$5*GETPIVOTDATA("Unique Billed Hours",'County allocation'!$S$3,"County",$D282,"HHA/CDPAP","CDPAP","Level of Service",$D287),0)</f>
        <v>0</v>
      </c>
      <c r="P287" s="658">
        <f>+IFERROR(P$5*GETPIVOTDATA("Unique Billed Hours",'County allocation'!$S$3,"County",$D282,"HHA/CDPAP","CDPAP","Level of Service",$D287),0)</f>
        <v>0</v>
      </c>
    </row>
    <row r="288" spans="1:16" x14ac:dyDescent="0.25">
      <c r="B288" s="24"/>
      <c r="C288" s="9">
        <f t="shared" ca="1" si="174"/>
        <v>1</v>
      </c>
      <c r="D288" s="267" t="s">
        <v>44</v>
      </c>
      <c r="E288" s="48" t="s">
        <v>54</v>
      </c>
      <c r="F288" s="678">
        <f t="shared" ca="1" si="175"/>
        <v>0</v>
      </c>
      <c r="G288" s="658">
        <f ca="1">+IFERROR(G$5*GETPIVOTDATA("Unique Billed Hours",'County allocation'!$A$3,"County",$D282,"HHA/CDPAP","CDPAP","Level of Service",$D288),0)</f>
        <v>0</v>
      </c>
      <c r="H288" s="658">
        <f>+IFERROR(H$5*GETPIVOTDATA("Unique Billed Hours",'County allocation'!$A$3,"County",$D282,"HHA/CDPAP","CDPAP","Level of Service",$D288),0)</f>
        <v>0</v>
      </c>
      <c r="I288" s="678">
        <f t="shared" ca="1" si="176"/>
        <v>0</v>
      </c>
      <c r="J288" s="658">
        <f ca="1">+IFERROR(J$5*GETPIVOTDATA("Unique Billed Hours",'County allocation'!$S$3,"County",$D282,"HHA/CDPAP","CDPAP","Level of Service",$D288),0)</f>
        <v>0</v>
      </c>
      <c r="K288" s="658">
        <f ca="1">+IFERROR(K$5*GETPIVOTDATA("Unique Billed Hours",'County allocation'!$X$3,"County",$D282,"HHA/CDPAP","CDPAP","Level of Service",$D288),0)</f>
        <v>0</v>
      </c>
      <c r="L288" s="658">
        <f>+IFERROR(L$5*GETPIVOTDATA("Unique Billed Hours",'County allocation'!$K$19,"County",$D282,"HHA/CDPAP","CDPAP","Level of Service",$D288),0)</f>
        <v>0</v>
      </c>
      <c r="M288" s="658">
        <f>+IFERROR(M$5*GETPIVOTDATA("Unique Billed Hours",'County allocation'!$S$3,"County",$D282,"HHA/CDPAP","CDPAP","Level of Service",$D288),0)</f>
        <v>0</v>
      </c>
      <c r="N288" s="658">
        <f>+IFERROR(N$5*GETPIVOTDATA("Unique Billed Hours",'County allocation'!$S$3,"County",$D282,"HHA/CDPAP","CDPAP","Level of Service",$D288),0)</f>
        <v>0</v>
      </c>
      <c r="O288" s="658">
        <f>+IFERROR(O$5*GETPIVOTDATA("Unique Billed Hours",'County allocation'!$S$3,"County",$D282,"HHA/CDPAP","CDPAP","Level of Service",$D288),0)</f>
        <v>0</v>
      </c>
      <c r="P288" s="658">
        <f>+IFERROR(P$5*GETPIVOTDATA("Unique Billed Hours",'County allocation'!$S$3,"County",$D282,"HHA/CDPAP","CDPAP","Level of Service",$D288),0)</f>
        <v>0</v>
      </c>
    </row>
    <row r="289" spans="1:16" x14ac:dyDescent="0.25">
      <c r="B289" s="24"/>
      <c r="C289" s="9">
        <f t="shared" ca="1" si="174"/>
        <v>1</v>
      </c>
      <c r="D289" s="267" t="s">
        <v>45</v>
      </c>
      <c r="E289" s="48" t="s">
        <v>53</v>
      </c>
      <c r="F289" s="678">
        <f t="shared" ca="1" si="175"/>
        <v>0</v>
      </c>
      <c r="G289" s="658">
        <f ca="1">+IFERROR(G$5*GETPIVOTDATA("Unique Billed Hours",'County allocation'!$A$3,"County",$D282,"HHA/CDPAP","CDPAP","Level of Service",$D289),0)</f>
        <v>0</v>
      </c>
      <c r="H289" s="658">
        <f>+IFERROR(H$5*GETPIVOTDATA("Unique Billed Hours",'County allocation'!$A$3,"County",$D282,"HHA/CDPAP","CDPAP","Level of Service",$D289),0)</f>
        <v>0</v>
      </c>
      <c r="I289" s="678">
        <f t="shared" ca="1" si="176"/>
        <v>0</v>
      </c>
      <c r="J289" s="658">
        <f ca="1">+IFERROR(J$5*GETPIVOTDATA("Unique Billed Hours",'County allocation'!$S$3,"County",$D282,"HHA/CDPAP","CDPAP","Level of Service",$D289),0)</f>
        <v>0</v>
      </c>
      <c r="K289" s="658">
        <f ca="1">+IFERROR(K$5*GETPIVOTDATA("Unique Billed Hours",'County allocation'!$X$3,"County",$D282,"HHA/CDPAP","CDPAP","Level of Service",$D289),0)</f>
        <v>0</v>
      </c>
      <c r="L289" s="658">
        <f>+IFERROR(L$5*GETPIVOTDATA("Unique Billed Hours",'County allocation'!$K$19,"County",$D282,"HHA/CDPAP","CDPAP","Level of Service",$D289),0)</f>
        <v>0</v>
      </c>
      <c r="M289" s="658">
        <f>+IFERROR(M$5*GETPIVOTDATA("Unique Billed Hours",'County allocation'!$S$3,"County",$D282,"HHA/CDPAP","CDPAP","Level of Service",$D289),0)</f>
        <v>0</v>
      </c>
      <c r="N289" s="658">
        <f>+IFERROR(N$5*GETPIVOTDATA("Unique Billed Hours",'County allocation'!$S$3,"County",$D282,"HHA/CDPAP","CDPAP","Level of Service",$D289),0)</f>
        <v>0</v>
      </c>
      <c r="O289" s="658">
        <f>+IFERROR(O$5*GETPIVOTDATA("Unique Billed Hours",'County allocation'!$S$3,"County",$D282,"HHA/CDPAP","CDPAP","Level of Service",$D289),0)</f>
        <v>0</v>
      </c>
      <c r="P289" s="658">
        <f>+IFERROR(P$5*GETPIVOTDATA("Unique Billed Hours",'County allocation'!$S$3,"County",$D282,"HHA/CDPAP","CDPAP","Level of Service",$D289),0)</f>
        <v>0</v>
      </c>
    </row>
    <row r="290" spans="1:16" x14ac:dyDescent="0.25">
      <c r="A290" s="302"/>
      <c r="B290" s="24"/>
      <c r="C290" s="9">
        <f t="shared" ca="1" si="174"/>
        <v>1</v>
      </c>
      <c r="D290" s="267" t="s">
        <v>46</v>
      </c>
      <c r="E290" s="48" t="s">
        <v>52</v>
      </c>
      <c r="F290" s="678">
        <f t="shared" ca="1" si="175"/>
        <v>0</v>
      </c>
      <c r="G290" s="658">
        <f ca="1">+IFERROR(G$5*GETPIVOTDATA("Unique Billed Hours",'County allocation'!$A$3,"County",$D282,"HHA/CDPAP","CDPAP","Level of Service",$D290),0)</f>
        <v>0</v>
      </c>
      <c r="H290" s="658">
        <f>+IFERROR(H$5*GETPIVOTDATA("Unique Billed Hours",'County allocation'!$A$3,"County",$D282,"HHA/CDPAP","CDPAP","Level of Service",$D290),0)</f>
        <v>0</v>
      </c>
      <c r="I290" s="678">
        <f t="shared" ca="1" si="176"/>
        <v>0</v>
      </c>
      <c r="J290" s="658">
        <f ca="1">+IFERROR(J$5*GETPIVOTDATA("Unique Billed Hours",'County allocation'!$S$3,"County",$D282,"HHA/CDPAP","CDPAP","Level of Service",$D290),0)</f>
        <v>0</v>
      </c>
      <c r="K290" s="658">
        <f ca="1">+IFERROR(K$5*GETPIVOTDATA("Unique Billed Hours",'County allocation'!$X$3,"County",$D282,"HHA/CDPAP","CDPAP","Level of Service",$D290),0)</f>
        <v>0</v>
      </c>
      <c r="L290" s="658">
        <f>+IFERROR(L$5*GETPIVOTDATA("Unique Billed Hours",'County allocation'!$K$19,"County",$D282,"HHA/CDPAP","CDPAP","Level of Service",$D290),0)</f>
        <v>0</v>
      </c>
      <c r="M290" s="658">
        <f>+IFERROR(M$5*GETPIVOTDATA("Unique Billed Hours",'County allocation'!$S$3,"County",$D282,"HHA/CDPAP","CDPAP","Level of Service",$D290),0)</f>
        <v>0</v>
      </c>
      <c r="N290" s="658">
        <f>+IFERROR(N$5*GETPIVOTDATA("Unique Billed Hours",'County allocation'!$S$3,"County",$D282,"HHA/CDPAP","CDPAP","Level of Service",$D290),0)</f>
        <v>0</v>
      </c>
      <c r="O290" s="658">
        <f>+IFERROR(O$5*GETPIVOTDATA("Unique Billed Hours",'County allocation'!$S$3,"County",$D282,"HHA/CDPAP","CDPAP","Level of Service",$D290),0)</f>
        <v>0</v>
      </c>
      <c r="P290" s="658">
        <f>+IFERROR(P$5*GETPIVOTDATA("Unique Billed Hours",'County allocation'!$S$3,"County",$D282,"HHA/CDPAP","CDPAP","Level of Service",$D290),0)</f>
        <v>0</v>
      </c>
    </row>
    <row r="291" spans="1:16" ht="15.75" thickBot="1" x14ac:dyDescent="0.3">
      <c r="A291" s="302"/>
      <c r="B291" s="24"/>
      <c r="C291" s="9">
        <f t="shared" ca="1" si="174"/>
        <v>1</v>
      </c>
      <c r="D291" s="52" t="s">
        <v>389</v>
      </c>
      <c r="E291" s="370" t="s">
        <v>51</v>
      </c>
      <c r="F291" s="679">
        <f ca="1">SUM(F285:F290)</f>
        <v>9294.6480140586355</v>
      </c>
      <c r="G291" s="679">
        <f t="shared" ref="G291:H291" ca="1" si="177">SUM(G285:G290)</f>
        <v>373.66485927281019</v>
      </c>
      <c r="H291" s="679">
        <f t="shared" si="177"/>
        <v>321.71854497051606</v>
      </c>
      <c r="I291" s="678">
        <f t="shared" ca="1" si="176"/>
        <v>8599.2646098153091</v>
      </c>
      <c r="J291" s="679">
        <f ca="1">SUM(J285:J290)</f>
        <v>1701.340467642973</v>
      </c>
      <c r="K291" s="679">
        <f t="shared" ref="K291:P291" ca="1" si="178">SUM(K285:K290)</f>
        <v>6863.5747094836188</v>
      </c>
      <c r="L291" s="679">
        <f t="shared" si="178"/>
        <v>0</v>
      </c>
      <c r="M291" s="679">
        <f t="shared" si="178"/>
        <v>31.694830499443956</v>
      </c>
      <c r="N291" s="679">
        <f t="shared" si="178"/>
        <v>2.6546021892727758</v>
      </c>
      <c r="O291" s="679">
        <f t="shared" si="178"/>
        <v>0</v>
      </c>
      <c r="P291" s="679">
        <f t="shared" si="178"/>
        <v>0</v>
      </c>
    </row>
    <row r="292" spans="1:16" x14ac:dyDescent="0.25">
      <c r="A292" s="302"/>
      <c r="B292" s="24"/>
      <c r="C292" s="9">
        <f t="shared" ca="1" si="174"/>
        <v>1</v>
      </c>
      <c r="D292" s="378" t="s">
        <v>390</v>
      </c>
      <c r="E292" s="370" t="s">
        <v>50</v>
      </c>
      <c r="F292" s="678">
        <f t="shared" ref="F292" ca="1" si="179">SUM(G292:I292)</f>
        <v>0</v>
      </c>
      <c r="G292" s="658">
        <f ca="1">+IFERROR(G$5*GETPIVOTDATA("Unique Billed Hours",'County allocation'!$A$3,"County",$D282,"HHA/CDPAP","CDPAP","Level of Service",$D292),0)</f>
        <v>0</v>
      </c>
      <c r="H292" s="659"/>
      <c r="I292" s="678">
        <f t="shared" si="176"/>
        <v>0</v>
      </c>
      <c r="J292" s="659"/>
      <c r="K292" s="659"/>
      <c r="L292" s="659"/>
      <c r="M292" s="659"/>
      <c r="N292" s="659"/>
      <c r="O292" s="659"/>
      <c r="P292" s="659"/>
    </row>
    <row r="293" spans="1:16" ht="15.75" thickBot="1" x14ac:dyDescent="0.3">
      <c r="B293" s="24"/>
      <c r="C293" s="9">
        <f t="shared" ca="1" si="174"/>
        <v>1</v>
      </c>
      <c r="D293" s="11" t="s">
        <v>48</v>
      </c>
      <c r="E293" s="53" t="s">
        <v>49</v>
      </c>
      <c r="F293" s="662">
        <f ca="1">SUBTOTAL(9,F285:F290)</f>
        <v>9294.6480140586355</v>
      </c>
      <c r="G293" s="662">
        <f t="shared" ref="G293:H293" ca="1" si="180">SUBTOTAL(9,G285:G290)</f>
        <v>373.66485927281019</v>
      </c>
      <c r="H293" s="662">
        <f t="shared" si="180"/>
        <v>321.71854497051606</v>
      </c>
      <c r="I293" s="678">
        <f t="shared" ca="1" si="176"/>
        <v>8599.2646098153091</v>
      </c>
      <c r="J293" s="662">
        <f t="shared" ref="J293:P293" ca="1" si="181">SUBTOTAL(9,J285:J290)</f>
        <v>1701.340467642973</v>
      </c>
      <c r="K293" s="662">
        <f t="shared" ca="1" si="181"/>
        <v>6863.5747094836188</v>
      </c>
      <c r="L293" s="662">
        <f t="shared" si="181"/>
        <v>0</v>
      </c>
      <c r="M293" s="662">
        <f t="shared" si="181"/>
        <v>31.694830499443956</v>
      </c>
      <c r="N293" s="662">
        <f t="shared" si="181"/>
        <v>2.6546021892727758</v>
      </c>
      <c r="O293" s="662">
        <f t="shared" si="181"/>
        <v>0</v>
      </c>
      <c r="P293" s="662">
        <f t="shared" si="181"/>
        <v>0</v>
      </c>
    </row>
    <row r="294" spans="1:16" ht="15.75" hidden="1" thickBot="1" x14ac:dyDescent="0.3"/>
    <row r="295" spans="1:16" ht="75" x14ac:dyDescent="0.25">
      <c r="A295" s="60"/>
      <c r="B295" s="24"/>
      <c r="C295" s="9">
        <f ca="1">IF(F306&gt;0,1,0)</f>
        <v>1</v>
      </c>
      <c r="D295" s="45" t="str">
        <f>A25</f>
        <v>Herkimer</v>
      </c>
      <c r="E295" s="28">
        <f>SUMIF(A:A,D295,B:B)</f>
        <v>1.6613489150790787E-3</v>
      </c>
      <c r="F295" s="652" t="s">
        <v>396</v>
      </c>
      <c r="G295" s="652" t="s">
        <v>387</v>
      </c>
      <c r="H295" s="652" t="s">
        <v>388</v>
      </c>
      <c r="I295" s="652" t="s">
        <v>392</v>
      </c>
      <c r="J295" s="652" t="s">
        <v>31</v>
      </c>
      <c r="K295" s="652" t="s">
        <v>32</v>
      </c>
      <c r="L295" s="653" t="s">
        <v>33</v>
      </c>
      <c r="M295" s="653" t="s">
        <v>60</v>
      </c>
      <c r="N295" s="653" t="s">
        <v>59</v>
      </c>
      <c r="O295" s="653" t="s">
        <v>58</v>
      </c>
      <c r="P295" s="653" t="s">
        <v>16</v>
      </c>
    </row>
    <row r="296" spans="1:16" x14ac:dyDescent="0.25">
      <c r="A296" s="60"/>
      <c r="B296" s="24"/>
      <c r="C296" s="9">
        <f ca="1">C295</f>
        <v>1</v>
      </c>
      <c r="D296" s="47"/>
      <c r="E296" s="48"/>
      <c r="F296" s="669" t="s">
        <v>57</v>
      </c>
      <c r="G296" s="669" t="s">
        <v>56</v>
      </c>
      <c r="H296" s="669" t="s">
        <v>55</v>
      </c>
      <c r="I296" s="669" t="s">
        <v>54</v>
      </c>
      <c r="J296" s="669" t="s">
        <v>53</v>
      </c>
      <c r="K296" s="669" t="s">
        <v>52</v>
      </c>
      <c r="L296" s="669" t="s">
        <v>51</v>
      </c>
      <c r="M296" s="669" t="s">
        <v>50</v>
      </c>
      <c r="N296" s="669" t="s">
        <v>49</v>
      </c>
      <c r="O296" s="669" t="s">
        <v>47</v>
      </c>
      <c r="P296" s="670" t="s">
        <v>77</v>
      </c>
    </row>
    <row r="297" spans="1:16" x14ac:dyDescent="0.25">
      <c r="B297" s="24"/>
      <c r="C297" s="9">
        <f t="shared" ref="C297:C306" ca="1" si="182">C296</f>
        <v>1</v>
      </c>
      <c r="D297" s="51" t="s">
        <v>26</v>
      </c>
      <c r="E297" s="48"/>
      <c r="F297" s="674"/>
      <c r="G297" s="674"/>
      <c r="H297" s="674"/>
      <c r="I297" s="674"/>
      <c r="J297" s="674"/>
      <c r="K297" s="674"/>
      <c r="L297" s="675"/>
      <c r="M297" s="675"/>
      <c r="N297" s="676"/>
      <c r="O297" s="674"/>
      <c r="P297" s="677"/>
    </row>
    <row r="298" spans="1:16" x14ac:dyDescent="0.25">
      <c r="B298" s="24"/>
      <c r="C298" s="9">
        <f t="shared" ca="1" si="182"/>
        <v>1</v>
      </c>
      <c r="D298" s="267" t="s">
        <v>18</v>
      </c>
      <c r="E298" s="48" t="s">
        <v>57</v>
      </c>
      <c r="F298" s="678">
        <f ca="1">SUM(G298:I298)</f>
        <v>143214.0193107783</v>
      </c>
      <c r="G298" s="658">
        <f ca="1">+IFERROR(G$5*GETPIVOTDATA("Unique Billed Hours",'County allocation'!$A$3,"County",$D295,"HHA/CDPAP","CDPAP","Level of Service",$D298),0)</f>
        <v>5757.5118811075727</v>
      </c>
      <c r="H298" s="658">
        <f>+IFERROR(H$5*GETPIVOTDATA("Unique Billed Hours",'County allocation'!$A$3,"County",$D295,"HHA/CDPAP","CDPAP","Level of Service",$D298),0)</f>
        <v>4957.1114304008897</v>
      </c>
      <c r="I298" s="678">
        <f ca="1">SUM(J298:P298)</f>
        <v>132499.39599926985</v>
      </c>
      <c r="J298" s="658">
        <f ca="1">+IFERROR(J$5*GETPIVOTDATA("Unique Billed Hours",'County allocation'!$S$3,"County",$D295,"HHA/CDPAP","CDPAP","Level of Service",$D298),0)</f>
        <v>26214.635155488122</v>
      </c>
      <c r="K298" s="658">
        <f ca="1">+IFERROR(K$5*GETPIVOTDATA("Unique Billed Hours",'County allocation'!$X$3,"County",$D295,"HHA/CDPAP","CDPAP","Level of Service",$D298),0)</f>
        <v>105755.49708802084</v>
      </c>
      <c r="L298" s="658">
        <f>+IFERROR(L$5*GETPIVOTDATA("Unique Billed Hours",'County allocation'!$K$19,"County",$D295,"HHA/CDPAP","CDPAP","Level of Service",$D298),0)</f>
        <v>0</v>
      </c>
      <c r="M298" s="658">
        <f>+IFERROR(M$5*GETPIVOTDATA("Unique Billed Hours",'County allocation'!$S$3,"County",$D295,"HHA/CDPAP","CDPAP","Level of Service",$D298),0)</f>
        <v>488.36105039518679</v>
      </c>
      <c r="N298" s="658">
        <f>+IFERROR(N$5*GETPIVOTDATA("Unique Billed Hours",'County allocation'!$S$3,"County",$D295,"HHA/CDPAP","CDPAP","Level of Service",$D298),0)</f>
        <v>40.902705365701799</v>
      </c>
      <c r="O298" s="658">
        <f>+IFERROR(O$5*GETPIVOTDATA("Unique Billed Hours",'County allocation'!$S$3,"County",$D295,"HHA/CDPAP","CDPAP","Level of Service",$D298),0)</f>
        <v>0</v>
      </c>
      <c r="P298" s="658">
        <f>+IFERROR(P$5*GETPIVOTDATA("Unique Billed Hours",'County allocation'!$S$3,"County",$D295,"HHA/CDPAP","CDPAP","Level of Service",$D298),0)</f>
        <v>0</v>
      </c>
    </row>
    <row r="299" spans="1:16" x14ac:dyDescent="0.25">
      <c r="B299" s="24"/>
      <c r="C299" s="9">
        <f t="shared" ca="1" si="182"/>
        <v>1</v>
      </c>
      <c r="D299" s="267" t="s">
        <v>42</v>
      </c>
      <c r="E299" s="48" t="s">
        <v>56</v>
      </c>
      <c r="F299" s="678">
        <f t="shared" ref="F299:F303" ca="1" si="183">SUM(G299:I299)</f>
        <v>0</v>
      </c>
      <c r="G299" s="658">
        <f ca="1">+IFERROR(G$5*GETPIVOTDATA("Unique Billed Hours",'County allocation'!$A$3,"County",$D295,"HHA/CDPAP","CDPAP","Level of Service",$D299),0)</f>
        <v>0</v>
      </c>
      <c r="H299" s="658">
        <f>+IFERROR(H$5*GETPIVOTDATA("Unique Billed Hours",'County allocation'!$A$3,"County",$D295,"HHA/CDPAP","CDPAP","Level of Service",$D299),0)</f>
        <v>0</v>
      </c>
      <c r="I299" s="678">
        <f t="shared" ref="I299:I306" ca="1" si="184">SUM(J299:P299)</f>
        <v>0</v>
      </c>
      <c r="J299" s="658">
        <f ca="1">+IFERROR(J$5*GETPIVOTDATA("Unique Billed Hours",'County allocation'!$S$3,"County",$D295,"HHA/CDPAP","CDPAP","Level of Service",$D299),0)</f>
        <v>0</v>
      </c>
      <c r="K299" s="658">
        <f ca="1">+IFERROR(K$5*GETPIVOTDATA("Unique Billed Hours",'County allocation'!$X$3,"County",$D295,"HHA/CDPAP","CDPAP","Level of Service",$D299),0)</f>
        <v>0</v>
      </c>
      <c r="L299" s="658">
        <f>+IFERROR(L$5*GETPIVOTDATA("Unique Billed Hours",'County allocation'!$K$19,"County",$D295,"HHA/CDPAP","CDPAP","Level of Service",$D299),0)</f>
        <v>0</v>
      </c>
      <c r="M299" s="658">
        <f>+IFERROR(M$5*GETPIVOTDATA("Unique Billed Hours",'County allocation'!$S$3,"County",$D295,"HHA/CDPAP","CDPAP","Level of Service",$D299),0)</f>
        <v>0</v>
      </c>
      <c r="N299" s="658">
        <f>+IFERROR(N$5*GETPIVOTDATA("Unique Billed Hours",'County allocation'!$S$3,"County",$D295,"HHA/CDPAP","CDPAP","Level of Service",$D299),0)</f>
        <v>0</v>
      </c>
      <c r="O299" s="658">
        <f>+IFERROR(O$5*GETPIVOTDATA("Unique Billed Hours",'County allocation'!$S$3,"County",$D295,"HHA/CDPAP","CDPAP","Level of Service",$D299),0)</f>
        <v>0</v>
      </c>
      <c r="P299" s="658">
        <f>+IFERROR(P$5*GETPIVOTDATA("Unique Billed Hours",'County allocation'!$S$3,"County",$D295,"HHA/CDPAP","CDPAP","Level of Service",$D299),0)</f>
        <v>0</v>
      </c>
    </row>
    <row r="300" spans="1:16" x14ac:dyDescent="0.25">
      <c r="B300" s="24"/>
      <c r="C300" s="9">
        <f t="shared" ca="1" si="182"/>
        <v>1</v>
      </c>
      <c r="D300" s="267" t="s">
        <v>43</v>
      </c>
      <c r="E300" s="48" t="s">
        <v>55</v>
      </c>
      <c r="F300" s="678">
        <f t="shared" ca="1" si="183"/>
        <v>0</v>
      </c>
      <c r="G300" s="658">
        <f ca="1">+IFERROR(G$5*GETPIVOTDATA("Unique Billed Hours",'County allocation'!$A$3,"County",$D295,"HHA/CDPAP","CDPAP","Level of Service",$D300),0)</f>
        <v>0</v>
      </c>
      <c r="H300" s="658">
        <f>+IFERROR(H$5*GETPIVOTDATA("Unique Billed Hours",'County allocation'!$A$3,"County",$D295,"HHA/CDPAP","CDPAP","Level of Service",$D300),0)</f>
        <v>0</v>
      </c>
      <c r="I300" s="678">
        <f t="shared" ca="1" si="184"/>
        <v>0</v>
      </c>
      <c r="J300" s="658">
        <f ca="1">+IFERROR(J$5*GETPIVOTDATA("Unique Billed Hours",'County allocation'!$S$3,"County",$D295,"HHA/CDPAP","CDPAP","Level of Service",$D300),0)</f>
        <v>0</v>
      </c>
      <c r="K300" s="658">
        <f ca="1">+IFERROR(K$5*GETPIVOTDATA("Unique Billed Hours",'County allocation'!$X$3,"County",$D295,"HHA/CDPAP","CDPAP","Level of Service",$D300),0)</f>
        <v>0</v>
      </c>
      <c r="L300" s="658">
        <f>+IFERROR(L$5*GETPIVOTDATA("Unique Billed Hours",'County allocation'!$K$19,"County",$D295,"HHA/CDPAP","CDPAP","Level of Service",$D300),0)</f>
        <v>0</v>
      </c>
      <c r="M300" s="658">
        <f>+IFERROR(M$5*GETPIVOTDATA("Unique Billed Hours",'County allocation'!$S$3,"County",$D295,"HHA/CDPAP","CDPAP","Level of Service",$D300),0)</f>
        <v>0</v>
      </c>
      <c r="N300" s="658">
        <f>+IFERROR(N$5*GETPIVOTDATA("Unique Billed Hours",'County allocation'!$S$3,"County",$D295,"HHA/CDPAP","CDPAP","Level of Service",$D300),0)</f>
        <v>0</v>
      </c>
      <c r="O300" s="658">
        <f>+IFERROR(O$5*GETPIVOTDATA("Unique Billed Hours",'County allocation'!$S$3,"County",$D295,"HHA/CDPAP","CDPAP","Level of Service",$D300),0)</f>
        <v>0</v>
      </c>
      <c r="P300" s="658">
        <f>+IFERROR(P$5*GETPIVOTDATA("Unique Billed Hours",'County allocation'!$S$3,"County",$D295,"HHA/CDPAP","CDPAP","Level of Service",$D300),0)</f>
        <v>0</v>
      </c>
    </row>
    <row r="301" spans="1:16" x14ac:dyDescent="0.25">
      <c r="B301" s="24"/>
      <c r="C301" s="9">
        <f t="shared" ca="1" si="182"/>
        <v>1</v>
      </c>
      <c r="D301" s="267" t="s">
        <v>44</v>
      </c>
      <c r="E301" s="48" t="s">
        <v>54</v>
      </c>
      <c r="F301" s="678">
        <f t="shared" ca="1" si="183"/>
        <v>0</v>
      </c>
      <c r="G301" s="658">
        <f ca="1">+IFERROR(G$5*GETPIVOTDATA("Unique Billed Hours",'County allocation'!$A$3,"County",$D295,"HHA/CDPAP","CDPAP","Level of Service",$D301),0)</f>
        <v>0</v>
      </c>
      <c r="H301" s="658">
        <f>+IFERROR(H$5*GETPIVOTDATA("Unique Billed Hours",'County allocation'!$A$3,"County",$D295,"HHA/CDPAP","CDPAP","Level of Service",$D301),0)</f>
        <v>0</v>
      </c>
      <c r="I301" s="678">
        <f t="shared" ca="1" si="184"/>
        <v>0</v>
      </c>
      <c r="J301" s="658">
        <f ca="1">+IFERROR(J$5*GETPIVOTDATA("Unique Billed Hours",'County allocation'!$S$3,"County",$D295,"HHA/CDPAP","CDPAP","Level of Service",$D301),0)</f>
        <v>0</v>
      </c>
      <c r="K301" s="658">
        <f ca="1">+IFERROR(K$5*GETPIVOTDATA("Unique Billed Hours",'County allocation'!$X$3,"County",$D295,"HHA/CDPAP","CDPAP","Level of Service",$D301),0)</f>
        <v>0</v>
      </c>
      <c r="L301" s="658">
        <f>+IFERROR(L$5*GETPIVOTDATA("Unique Billed Hours",'County allocation'!$K$19,"County",$D295,"HHA/CDPAP","CDPAP","Level of Service",$D301),0)</f>
        <v>0</v>
      </c>
      <c r="M301" s="658">
        <f>+IFERROR(M$5*GETPIVOTDATA("Unique Billed Hours",'County allocation'!$S$3,"County",$D295,"HHA/CDPAP","CDPAP","Level of Service",$D301),0)</f>
        <v>0</v>
      </c>
      <c r="N301" s="658">
        <f>+IFERROR(N$5*GETPIVOTDATA("Unique Billed Hours",'County allocation'!$S$3,"County",$D295,"HHA/CDPAP","CDPAP","Level of Service",$D301),0)</f>
        <v>0</v>
      </c>
      <c r="O301" s="658">
        <f>+IFERROR(O$5*GETPIVOTDATA("Unique Billed Hours",'County allocation'!$S$3,"County",$D295,"HHA/CDPAP","CDPAP","Level of Service",$D301),0)</f>
        <v>0</v>
      </c>
      <c r="P301" s="658">
        <f>+IFERROR(P$5*GETPIVOTDATA("Unique Billed Hours",'County allocation'!$S$3,"County",$D295,"HHA/CDPAP","CDPAP","Level of Service",$D301),0)</f>
        <v>0</v>
      </c>
    </row>
    <row r="302" spans="1:16" x14ac:dyDescent="0.25">
      <c r="B302" s="24"/>
      <c r="C302" s="9">
        <f t="shared" ca="1" si="182"/>
        <v>1</v>
      </c>
      <c r="D302" s="267" t="s">
        <v>45</v>
      </c>
      <c r="E302" s="48" t="s">
        <v>53</v>
      </c>
      <c r="F302" s="678">
        <f t="shared" ca="1" si="183"/>
        <v>0</v>
      </c>
      <c r="G302" s="658">
        <f ca="1">+IFERROR(G$5*GETPIVOTDATA("Unique Billed Hours",'County allocation'!$A$3,"County",$D295,"HHA/CDPAP","CDPAP","Level of Service",$D302),0)</f>
        <v>0</v>
      </c>
      <c r="H302" s="658">
        <f>+IFERROR(H$5*GETPIVOTDATA("Unique Billed Hours",'County allocation'!$A$3,"County",$D295,"HHA/CDPAP","CDPAP","Level of Service",$D302),0)</f>
        <v>0</v>
      </c>
      <c r="I302" s="678">
        <f t="shared" ca="1" si="184"/>
        <v>0</v>
      </c>
      <c r="J302" s="658">
        <f ca="1">+IFERROR(J$5*GETPIVOTDATA("Unique Billed Hours",'County allocation'!$S$3,"County",$D295,"HHA/CDPAP","CDPAP","Level of Service",$D302),0)</f>
        <v>0</v>
      </c>
      <c r="K302" s="658">
        <f ca="1">+IFERROR(K$5*GETPIVOTDATA("Unique Billed Hours",'County allocation'!$X$3,"County",$D295,"HHA/CDPAP","CDPAP","Level of Service",$D302),0)</f>
        <v>0</v>
      </c>
      <c r="L302" s="658">
        <f>+IFERROR(L$5*GETPIVOTDATA("Unique Billed Hours",'County allocation'!$K$19,"County",$D295,"HHA/CDPAP","CDPAP","Level of Service",$D302),0)</f>
        <v>0</v>
      </c>
      <c r="M302" s="658">
        <f>+IFERROR(M$5*GETPIVOTDATA("Unique Billed Hours",'County allocation'!$S$3,"County",$D295,"HHA/CDPAP","CDPAP","Level of Service",$D302),0)</f>
        <v>0</v>
      </c>
      <c r="N302" s="658">
        <f>+IFERROR(N$5*GETPIVOTDATA("Unique Billed Hours",'County allocation'!$S$3,"County",$D295,"HHA/CDPAP","CDPAP","Level of Service",$D302),0)</f>
        <v>0</v>
      </c>
      <c r="O302" s="658">
        <f>+IFERROR(O$5*GETPIVOTDATA("Unique Billed Hours",'County allocation'!$S$3,"County",$D295,"HHA/CDPAP","CDPAP","Level of Service",$D302),0)</f>
        <v>0</v>
      </c>
      <c r="P302" s="658">
        <f>+IFERROR(P$5*GETPIVOTDATA("Unique Billed Hours",'County allocation'!$S$3,"County",$D295,"HHA/CDPAP","CDPAP","Level of Service",$D302),0)</f>
        <v>0</v>
      </c>
    </row>
    <row r="303" spans="1:16" x14ac:dyDescent="0.25">
      <c r="A303" s="302"/>
      <c r="B303" s="24"/>
      <c r="C303" s="9">
        <f t="shared" ca="1" si="182"/>
        <v>1</v>
      </c>
      <c r="D303" s="267" t="s">
        <v>46</v>
      </c>
      <c r="E303" s="48" t="s">
        <v>52</v>
      </c>
      <c r="F303" s="678">
        <f t="shared" ca="1" si="183"/>
        <v>0</v>
      </c>
      <c r="G303" s="658">
        <f ca="1">+IFERROR(G$5*GETPIVOTDATA("Unique Billed Hours",'County allocation'!$A$3,"County",$D295,"HHA/CDPAP","CDPAP","Level of Service",$D303),0)</f>
        <v>0</v>
      </c>
      <c r="H303" s="658">
        <f>+IFERROR(H$5*GETPIVOTDATA("Unique Billed Hours",'County allocation'!$A$3,"County",$D295,"HHA/CDPAP","CDPAP","Level of Service",$D303),0)</f>
        <v>0</v>
      </c>
      <c r="I303" s="678">
        <f t="shared" ca="1" si="184"/>
        <v>0</v>
      </c>
      <c r="J303" s="658">
        <f ca="1">+IFERROR(J$5*GETPIVOTDATA("Unique Billed Hours",'County allocation'!$S$3,"County",$D295,"HHA/CDPAP","CDPAP","Level of Service",$D303),0)</f>
        <v>0</v>
      </c>
      <c r="K303" s="658">
        <f ca="1">+IFERROR(K$5*GETPIVOTDATA("Unique Billed Hours",'County allocation'!$X$3,"County",$D295,"HHA/CDPAP","CDPAP","Level of Service",$D303),0)</f>
        <v>0</v>
      </c>
      <c r="L303" s="658">
        <f>+IFERROR(L$5*GETPIVOTDATA("Unique Billed Hours",'County allocation'!$K$19,"County",$D295,"HHA/CDPAP","CDPAP","Level of Service",$D303),0)</f>
        <v>0</v>
      </c>
      <c r="M303" s="658">
        <f>+IFERROR(M$5*GETPIVOTDATA("Unique Billed Hours",'County allocation'!$S$3,"County",$D295,"HHA/CDPAP","CDPAP","Level of Service",$D303),0)</f>
        <v>0</v>
      </c>
      <c r="N303" s="658">
        <f>+IFERROR(N$5*GETPIVOTDATA("Unique Billed Hours",'County allocation'!$S$3,"County",$D295,"HHA/CDPAP","CDPAP","Level of Service",$D303),0)</f>
        <v>0</v>
      </c>
      <c r="O303" s="658">
        <f>+IFERROR(O$5*GETPIVOTDATA("Unique Billed Hours",'County allocation'!$S$3,"County",$D295,"HHA/CDPAP","CDPAP","Level of Service",$D303),0)</f>
        <v>0</v>
      </c>
      <c r="P303" s="658">
        <f>+IFERROR(P$5*GETPIVOTDATA("Unique Billed Hours",'County allocation'!$S$3,"County",$D295,"HHA/CDPAP","CDPAP","Level of Service",$D303),0)</f>
        <v>0</v>
      </c>
    </row>
    <row r="304" spans="1:16" ht="15.75" thickBot="1" x14ac:dyDescent="0.3">
      <c r="A304" s="302"/>
      <c r="B304" s="24"/>
      <c r="C304" s="9">
        <f t="shared" ca="1" si="182"/>
        <v>1</v>
      </c>
      <c r="D304" s="52" t="s">
        <v>389</v>
      </c>
      <c r="E304" s="370" t="s">
        <v>51</v>
      </c>
      <c r="F304" s="679">
        <f ca="1">SUM(F298:F303)</f>
        <v>143214.0193107783</v>
      </c>
      <c r="G304" s="679">
        <f t="shared" ref="G304:H304" ca="1" si="185">SUM(G298:G303)</f>
        <v>5757.5118811075727</v>
      </c>
      <c r="H304" s="679">
        <f t="shared" si="185"/>
        <v>4957.1114304008897</v>
      </c>
      <c r="I304" s="678">
        <f t="shared" ca="1" si="184"/>
        <v>132499.39599926985</v>
      </c>
      <c r="J304" s="679">
        <f ca="1">SUM(J298:J303)</f>
        <v>26214.635155488122</v>
      </c>
      <c r="K304" s="679">
        <f t="shared" ref="K304:P304" ca="1" si="186">SUM(K298:K303)</f>
        <v>105755.49708802084</v>
      </c>
      <c r="L304" s="679">
        <f t="shared" si="186"/>
        <v>0</v>
      </c>
      <c r="M304" s="679">
        <f t="shared" si="186"/>
        <v>488.36105039518679</v>
      </c>
      <c r="N304" s="679">
        <f t="shared" si="186"/>
        <v>40.902705365701799</v>
      </c>
      <c r="O304" s="679">
        <f t="shared" si="186"/>
        <v>0</v>
      </c>
      <c r="P304" s="679">
        <f t="shared" si="186"/>
        <v>0</v>
      </c>
    </row>
    <row r="305" spans="1:16" x14ac:dyDescent="0.25">
      <c r="A305" s="302"/>
      <c r="B305" s="24"/>
      <c r="C305" s="9">
        <f t="shared" ca="1" si="182"/>
        <v>1</v>
      </c>
      <c r="D305" s="378" t="s">
        <v>390</v>
      </c>
      <c r="E305" s="370" t="s">
        <v>50</v>
      </c>
      <c r="F305" s="678">
        <f t="shared" ref="F305" ca="1" si="187">SUM(G305:I305)</f>
        <v>0</v>
      </c>
      <c r="G305" s="658">
        <f ca="1">+IFERROR(G$5*GETPIVOTDATA("Unique Billed Hours",'County allocation'!$A$3,"County",$D295,"HHA/CDPAP","CDPAP","Level of Service",$D305),0)</f>
        <v>0</v>
      </c>
      <c r="H305" s="659"/>
      <c r="I305" s="678">
        <f t="shared" si="184"/>
        <v>0</v>
      </c>
      <c r="J305" s="659"/>
      <c r="K305" s="659"/>
      <c r="L305" s="659"/>
      <c r="M305" s="659"/>
      <c r="N305" s="659"/>
      <c r="O305" s="659"/>
      <c r="P305" s="659"/>
    </row>
    <row r="306" spans="1:16" ht="15.75" thickBot="1" x14ac:dyDescent="0.3">
      <c r="B306" s="24"/>
      <c r="C306" s="9">
        <f t="shared" ca="1" si="182"/>
        <v>1</v>
      </c>
      <c r="D306" s="11" t="s">
        <v>48</v>
      </c>
      <c r="E306" s="53" t="s">
        <v>49</v>
      </c>
      <c r="F306" s="662">
        <f ca="1">SUBTOTAL(9,F298:F303)</f>
        <v>143214.0193107783</v>
      </c>
      <c r="G306" s="662">
        <f t="shared" ref="G306:H306" ca="1" si="188">SUBTOTAL(9,G298:G303)</f>
        <v>5757.5118811075727</v>
      </c>
      <c r="H306" s="662">
        <f t="shared" si="188"/>
        <v>4957.1114304008897</v>
      </c>
      <c r="I306" s="678">
        <f t="shared" ca="1" si="184"/>
        <v>132499.39599926985</v>
      </c>
      <c r="J306" s="662">
        <f t="shared" ref="J306:P306" ca="1" si="189">SUBTOTAL(9,J298:J303)</f>
        <v>26214.635155488122</v>
      </c>
      <c r="K306" s="662">
        <f t="shared" ca="1" si="189"/>
        <v>105755.49708802084</v>
      </c>
      <c r="L306" s="662">
        <f t="shared" si="189"/>
        <v>0</v>
      </c>
      <c r="M306" s="662">
        <f t="shared" si="189"/>
        <v>488.36105039518679</v>
      </c>
      <c r="N306" s="662">
        <f t="shared" si="189"/>
        <v>40.902705365701799</v>
      </c>
      <c r="O306" s="662">
        <f t="shared" si="189"/>
        <v>0</v>
      </c>
      <c r="P306" s="662">
        <f t="shared" si="189"/>
        <v>0</v>
      </c>
    </row>
    <row r="307" spans="1:16" ht="15.75" hidden="1" thickBot="1" x14ac:dyDescent="0.3"/>
    <row r="308" spans="1:16" ht="75" x14ac:dyDescent="0.25">
      <c r="A308" s="60"/>
      <c r="B308" s="24"/>
      <c r="C308" s="9">
        <f ca="1">IF(F319&gt;0,1,0)</f>
        <v>1</v>
      </c>
      <c r="D308" s="45" t="str">
        <f>A26</f>
        <v>Jefferson</v>
      </c>
      <c r="E308" s="28">
        <f>SUMIF(A:A,D308,B:B)</f>
        <v>6.5581997416250632E-3</v>
      </c>
      <c r="F308" s="652" t="s">
        <v>396</v>
      </c>
      <c r="G308" s="652" t="s">
        <v>387</v>
      </c>
      <c r="H308" s="652" t="s">
        <v>388</v>
      </c>
      <c r="I308" s="652" t="s">
        <v>392</v>
      </c>
      <c r="J308" s="652" t="s">
        <v>31</v>
      </c>
      <c r="K308" s="652" t="s">
        <v>32</v>
      </c>
      <c r="L308" s="653" t="s">
        <v>33</v>
      </c>
      <c r="M308" s="653" t="s">
        <v>60</v>
      </c>
      <c r="N308" s="653" t="s">
        <v>59</v>
      </c>
      <c r="O308" s="653" t="s">
        <v>58</v>
      </c>
      <c r="P308" s="653" t="s">
        <v>16</v>
      </c>
    </row>
    <row r="309" spans="1:16" x14ac:dyDescent="0.25">
      <c r="A309" s="60"/>
      <c r="B309" s="24"/>
      <c r="C309" s="9">
        <f ca="1">C308</f>
        <v>1</v>
      </c>
      <c r="D309" s="47"/>
      <c r="E309" s="48"/>
      <c r="F309" s="669" t="s">
        <v>57</v>
      </c>
      <c r="G309" s="669" t="s">
        <v>56</v>
      </c>
      <c r="H309" s="669" t="s">
        <v>55</v>
      </c>
      <c r="I309" s="669" t="s">
        <v>54</v>
      </c>
      <c r="J309" s="669" t="s">
        <v>53</v>
      </c>
      <c r="K309" s="669" t="s">
        <v>52</v>
      </c>
      <c r="L309" s="669" t="s">
        <v>51</v>
      </c>
      <c r="M309" s="669" t="s">
        <v>50</v>
      </c>
      <c r="N309" s="669" t="s">
        <v>49</v>
      </c>
      <c r="O309" s="669" t="s">
        <v>47</v>
      </c>
      <c r="P309" s="670" t="s">
        <v>77</v>
      </c>
    </row>
    <row r="310" spans="1:16" x14ac:dyDescent="0.25">
      <c r="B310" s="24"/>
      <c r="C310" s="9">
        <f t="shared" ref="C310:C319" ca="1" si="190">C309</f>
        <v>1</v>
      </c>
      <c r="D310" s="51" t="s">
        <v>26</v>
      </c>
      <c r="E310" s="48"/>
      <c r="F310" s="674"/>
      <c r="G310" s="674"/>
      <c r="H310" s="674"/>
      <c r="I310" s="674"/>
      <c r="J310" s="674"/>
      <c r="K310" s="674"/>
      <c r="L310" s="675"/>
      <c r="M310" s="675"/>
      <c r="N310" s="676"/>
      <c r="O310" s="674"/>
      <c r="P310" s="677"/>
    </row>
    <row r="311" spans="1:16" x14ac:dyDescent="0.25">
      <c r="B311" s="24"/>
      <c r="C311" s="9">
        <f t="shared" ca="1" si="190"/>
        <v>1</v>
      </c>
      <c r="D311" s="267" t="s">
        <v>18</v>
      </c>
      <c r="E311" s="48" t="s">
        <v>57</v>
      </c>
      <c r="F311" s="678">
        <f ca="1">SUM(G311:I311)</f>
        <v>551513.83719652926</v>
      </c>
      <c r="G311" s="658">
        <f ca="1">+IFERROR(G$5*GETPIVOTDATA("Unique Billed Hours",'County allocation'!$A$3,"County",$D308,"HHA/CDPAP","CDPAP","Level of Service",$D311),0)</f>
        <v>22172.043529926039</v>
      </c>
      <c r="H311" s="658">
        <f>+IFERROR(H$5*GETPIVOTDATA("Unique Billed Hours",'County allocation'!$A$3,"County",$D308,"HHA/CDPAP","CDPAP","Level of Service",$D311),0)</f>
        <v>19089.72012340845</v>
      </c>
      <c r="I311" s="678">
        <f ca="1">SUM(J311:P311)</f>
        <v>510252.0735431948</v>
      </c>
      <c r="J311" s="658">
        <f ca="1">+IFERROR(J$5*GETPIVOTDATA("Unique Billed Hours",'County allocation'!$S$3,"County",$D308,"HHA/CDPAP","CDPAP","Level of Service",$D311),0)</f>
        <v>100951.94656841949</v>
      </c>
      <c r="K311" s="658">
        <f ca="1">+IFERROR(K$5*GETPIVOTDATA("Unique Billed Hours",'County allocation'!$X$3,"County",$D308,"HHA/CDPAP","CDPAP","Level of Service",$D311),0)</f>
        <v>407261.94463596871</v>
      </c>
      <c r="L311" s="658">
        <f>+IFERROR(L$5*GETPIVOTDATA("Unique Billed Hours",'County allocation'!$K$19,"County",$D308,"HHA/CDPAP","CDPAP","Level of Service",$D311),0)</f>
        <v>0</v>
      </c>
      <c r="M311" s="658">
        <f>+IFERROR(M$5*GETPIVOTDATA("Unique Billed Hours",'County allocation'!$S$3,"County",$D308,"HHA/CDPAP","CDPAP","Level of Service",$D311),0)</f>
        <v>1880.6669775555044</v>
      </c>
      <c r="N311" s="658">
        <f>+IFERROR(N$5*GETPIVOTDATA("Unique Billed Hours",'County allocation'!$S$3,"County",$D308,"HHA/CDPAP","CDPAP","Level of Service",$D311),0)</f>
        <v>157.51536125108612</v>
      </c>
      <c r="O311" s="658">
        <f>+IFERROR(O$5*GETPIVOTDATA("Unique Billed Hours",'County allocation'!$S$3,"County",$D308,"HHA/CDPAP","CDPAP","Level of Service",$D311),0)</f>
        <v>0</v>
      </c>
      <c r="P311" s="658">
        <f>+IFERROR(P$5*GETPIVOTDATA("Unique Billed Hours",'County allocation'!$S$3,"County",$D308,"HHA/CDPAP","CDPAP","Level of Service",$D311),0)</f>
        <v>0</v>
      </c>
    </row>
    <row r="312" spans="1:16" x14ac:dyDescent="0.25">
      <c r="B312" s="24"/>
      <c r="C312" s="9">
        <f t="shared" ca="1" si="190"/>
        <v>1</v>
      </c>
      <c r="D312" s="267" t="s">
        <v>42</v>
      </c>
      <c r="E312" s="48" t="s">
        <v>56</v>
      </c>
      <c r="F312" s="678">
        <f t="shared" ref="F312:F316" ca="1" si="191">SUM(G312:I312)</f>
        <v>0</v>
      </c>
      <c r="G312" s="658">
        <f ca="1">+IFERROR(G$5*GETPIVOTDATA("Unique Billed Hours",'County allocation'!$A$3,"County",$D308,"HHA/CDPAP","CDPAP","Level of Service",$D312),0)</f>
        <v>0</v>
      </c>
      <c r="H312" s="658">
        <f>+IFERROR(H$5*GETPIVOTDATA("Unique Billed Hours",'County allocation'!$A$3,"County",$D308,"HHA/CDPAP","CDPAP","Level of Service",$D312),0)</f>
        <v>0</v>
      </c>
      <c r="I312" s="678">
        <f t="shared" ref="I312:I319" ca="1" si="192">SUM(J312:P312)</f>
        <v>0</v>
      </c>
      <c r="J312" s="658">
        <f ca="1">+IFERROR(J$5*GETPIVOTDATA("Unique Billed Hours",'County allocation'!$S$3,"County",$D308,"HHA/CDPAP","CDPAP","Level of Service",$D312),0)</f>
        <v>0</v>
      </c>
      <c r="K312" s="658">
        <f ca="1">+IFERROR(K$5*GETPIVOTDATA("Unique Billed Hours",'County allocation'!$X$3,"County",$D308,"HHA/CDPAP","CDPAP","Level of Service",$D312),0)</f>
        <v>0</v>
      </c>
      <c r="L312" s="658">
        <f>+IFERROR(L$5*GETPIVOTDATA("Unique Billed Hours",'County allocation'!$K$19,"County",$D308,"HHA/CDPAP","CDPAP","Level of Service",$D312),0)</f>
        <v>0</v>
      </c>
      <c r="M312" s="658">
        <f>+IFERROR(M$5*GETPIVOTDATA("Unique Billed Hours",'County allocation'!$S$3,"County",$D308,"HHA/CDPAP","CDPAP","Level of Service",$D312),0)</f>
        <v>0</v>
      </c>
      <c r="N312" s="658">
        <f>+IFERROR(N$5*GETPIVOTDATA("Unique Billed Hours",'County allocation'!$S$3,"County",$D308,"HHA/CDPAP","CDPAP","Level of Service",$D312),0)</f>
        <v>0</v>
      </c>
      <c r="O312" s="658">
        <f>+IFERROR(O$5*GETPIVOTDATA("Unique Billed Hours",'County allocation'!$S$3,"County",$D308,"HHA/CDPAP","CDPAP","Level of Service",$D312),0)</f>
        <v>0</v>
      </c>
      <c r="P312" s="658">
        <f>+IFERROR(P$5*GETPIVOTDATA("Unique Billed Hours",'County allocation'!$S$3,"County",$D308,"HHA/CDPAP","CDPAP","Level of Service",$D312),0)</f>
        <v>0</v>
      </c>
    </row>
    <row r="313" spans="1:16" x14ac:dyDescent="0.25">
      <c r="B313" s="24"/>
      <c r="C313" s="9">
        <f t="shared" ca="1" si="190"/>
        <v>1</v>
      </c>
      <c r="D313" s="267" t="s">
        <v>43</v>
      </c>
      <c r="E313" s="48" t="s">
        <v>55</v>
      </c>
      <c r="F313" s="678">
        <f t="shared" ca="1" si="191"/>
        <v>13825.65044284288</v>
      </c>
      <c r="G313" s="658">
        <f ca="1">+IFERROR(G$5*GETPIVOTDATA("Unique Billed Hours",'County allocation'!$A$3,"County",$D308,"HHA/CDPAP","CDPAP","Level of Service",$D313),0)</f>
        <v>555.82091105180825</v>
      </c>
      <c r="H313" s="658">
        <f>+IFERROR(H$5*GETPIVOTDATA("Unique Billed Hours",'County allocation'!$A$3,"County",$D308,"HHA/CDPAP","CDPAP","Level of Service",$D313),0)</f>
        <v>478.55154245912286</v>
      </c>
      <c r="I313" s="678">
        <f t="shared" ca="1" si="192"/>
        <v>12791.277989331949</v>
      </c>
      <c r="J313" s="658">
        <f ca="1">+IFERROR(J$5*GETPIVOTDATA("Unique Billed Hours",'County allocation'!$S$3,"County",$D308,"HHA/CDPAP","CDPAP","Level of Service",$D313),0)</f>
        <v>2530.7185978765556</v>
      </c>
      <c r="K313" s="658">
        <f ca="1">+IFERROR(K$5*GETPIVOTDATA("Unique Billed Hours",'County allocation'!$X$3,"County",$D308,"HHA/CDPAP","CDPAP","Level of Service",$D313),0)</f>
        <v>10209.465122092439</v>
      </c>
      <c r="L313" s="658">
        <f>+IFERROR(L$5*GETPIVOTDATA("Unique Billed Hours",'County allocation'!$K$19,"County",$D308,"HHA/CDPAP","CDPAP","Level of Service",$D313),0)</f>
        <v>0</v>
      </c>
      <c r="M313" s="658">
        <f>+IFERROR(M$5*GETPIVOTDATA("Unique Billed Hours",'County allocation'!$S$3,"County",$D308,"HHA/CDPAP","CDPAP","Level of Service",$D313),0)</f>
        <v>47.145588156503045</v>
      </c>
      <c r="N313" s="658">
        <f>+IFERROR(N$5*GETPIVOTDATA("Unique Billed Hours",'County allocation'!$S$3,"County",$D308,"HHA/CDPAP","CDPAP","Level of Service",$D313),0)</f>
        <v>3.9486812064510421</v>
      </c>
      <c r="O313" s="658">
        <f>+IFERROR(O$5*GETPIVOTDATA("Unique Billed Hours",'County allocation'!$S$3,"County",$D308,"HHA/CDPAP","CDPAP","Level of Service",$D313),0)</f>
        <v>0</v>
      </c>
      <c r="P313" s="658">
        <f>+IFERROR(P$5*GETPIVOTDATA("Unique Billed Hours",'County allocation'!$S$3,"County",$D308,"HHA/CDPAP","CDPAP","Level of Service",$D313),0)</f>
        <v>0</v>
      </c>
    </row>
    <row r="314" spans="1:16" x14ac:dyDescent="0.25">
      <c r="B314" s="24"/>
      <c r="C314" s="9">
        <f t="shared" ca="1" si="190"/>
        <v>1</v>
      </c>
      <c r="D314" s="267" t="s">
        <v>44</v>
      </c>
      <c r="E314" s="48" t="s">
        <v>54</v>
      </c>
      <c r="F314" s="678">
        <f t="shared" ca="1" si="191"/>
        <v>0</v>
      </c>
      <c r="G314" s="658">
        <f ca="1">+IFERROR(G$5*GETPIVOTDATA("Unique Billed Hours",'County allocation'!$A$3,"County",$D308,"HHA/CDPAP","CDPAP","Level of Service",$D314),0)</f>
        <v>0</v>
      </c>
      <c r="H314" s="658">
        <f>+IFERROR(H$5*GETPIVOTDATA("Unique Billed Hours",'County allocation'!$A$3,"County",$D308,"HHA/CDPAP","CDPAP","Level of Service",$D314),0)</f>
        <v>0</v>
      </c>
      <c r="I314" s="678">
        <f t="shared" ca="1" si="192"/>
        <v>0</v>
      </c>
      <c r="J314" s="658">
        <f ca="1">+IFERROR(J$5*GETPIVOTDATA("Unique Billed Hours",'County allocation'!$S$3,"County",$D308,"HHA/CDPAP","CDPAP","Level of Service",$D314),0)</f>
        <v>0</v>
      </c>
      <c r="K314" s="658">
        <f ca="1">+IFERROR(K$5*GETPIVOTDATA("Unique Billed Hours",'County allocation'!$X$3,"County",$D308,"HHA/CDPAP","CDPAP","Level of Service",$D314),0)</f>
        <v>0</v>
      </c>
      <c r="L314" s="658">
        <f>+IFERROR(L$5*GETPIVOTDATA("Unique Billed Hours",'County allocation'!$K$19,"County",$D308,"HHA/CDPAP","CDPAP","Level of Service",$D314),0)</f>
        <v>0</v>
      </c>
      <c r="M314" s="658">
        <f>+IFERROR(M$5*GETPIVOTDATA("Unique Billed Hours",'County allocation'!$S$3,"County",$D308,"HHA/CDPAP","CDPAP","Level of Service",$D314),0)</f>
        <v>0</v>
      </c>
      <c r="N314" s="658">
        <f>+IFERROR(N$5*GETPIVOTDATA("Unique Billed Hours",'County allocation'!$S$3,"County",$D308,"HHA/CDPAP","CDPAP","Level of Service",$D314),0)</f>
        <v>0</v>
      </c>
      <c r="O314" s="658">
        <f>+IFERROR(O$5*GETPIVOTDATA("Unique Billed Hours",'County allocation'!$S$3,"County",$D308,"HHA/CDPAP","CDPAP","Level of Service",$D314),0)</f>
        <v>0</v>
      </c>
      <c r="P314" s="658">
        <f>+IFERROR(P$5*GETPIVOTDATA("Unique Billed Hours",'County allocation'!$S$3,"County",$D308,"HHA/CDPAP","CDPAP","Level of Service",$D314),0)</f>
        <v>0</v>
      </c>
    </row>
    <row r="315" spans="1:16" x14ac:dyDescent="0.25">
      <c r="B315" s="24"/>
      <c r="C315" s="9">
        <f t="shared" ca="1" si="190"/>
        <v>1</v>
      </c>
      <c r="D315" s="267" t="s">
        <v>45</v>
      </c>
      <c r="E315" s="48" t="s">
        <v>53</v>
      </c>
      <c r="F315" s="678">
        <f t="shared" ca="1" si="191"/>
        <v>0</v>
      </c>
      <c r="G315" s="658">
        <f ca="1">+IFERROR(G$5*GETPIVOTDATA("Unique Billed Hours",'County allocation'!$A$3,"County",$D308,"HHA/CDPAP","CDPAP","Level of Service",$D315),0)</f>
        <v>0</v>
      </c>
      <c r="H315" s="658">
        <f>+IFERROR(H$5*GETPIVOTDATA("Unique Billed Hours",'County allocation'!$A$3,"County",$D308,"HHA/CDPAP","CDPAP","Level of Service",$D315),0)</f>
        <v>0</v>
      </c>
      <c r="I315" s="678">
        <f t="shared" ca="1" si="192"/>
        <v>0</v>
      </c>
      <c r="J315" s="658">
        <f ca="1">+IFERROR(J$5*GETPIVOTDATA("Unique Billed Hours",'County allocation'!$S$3,"County",$D308,"HHA/CDPAP","CDPAP","Level of Service",$D315),0)</f>
        <v>0</v>
      </c>
      <c r="K315" s="658">
        <f ca="1">+IFERROR(K$5*GETPIVOTDATA("Unique Billed Hours",'County allocation'!$X$3,"County",$D308,"HHA/CDPAP","CDPAP","Level of Service",$D315),0)</f>
        <v>0</v>
      </c>
      <c r="L315" s="658">
        <f>+IFERROR(L$5*GETPIVOTDATA("Unique Billed Hours",'County allocation'!$K$19,"County",$D308,"HHA/CDPAP","CDPAP","Level of Service",$D315),0)</f>
        <v>0</v>
      </c>
      <c r="M315" s="658">
        <f>+IFERROR(M$5*GETPIVOTDATA("Unique Billed Hours",'County allocation'!$S$3,"County",$D308,"HHA/CDPAP","CDPAP","Level of Service",$D315),0)</f>
        <v>0</v>
      </c>
      <c r="N315" s="658">
        <f>+IFERROR(N$5*GETPIVOTDATA("Unique Billed Hours",'County allocation'!$S$3,"County",$D308,"HHA/CDPAP","CDPAP","Level of Service",$D315),0)</f>
        <v>0</v>
      </c>
      <c r="O315" s="658">
        <f>+IFERROR(O$5*GETPIVOTDATA("Unique Billed Hours",'County allocation'!$S$3,"County",$D308,"HHA/CDPAP","CDPAP","Level of Service",$D315),0)</f>
        <v>0</v>
      </c>
      <c r="P315" s="658">
        <f>+IFERROR(P$5*GETPIVOTDATA("Unique Billed Hours",'County allocation'!$S$3,"County",$D308,"HHA/CDPAP","CDPAP","Level of Service",$D315),0)</f>
        <v>0</v>
      </c>
    </row>
    <row r="316" spans="1:16" x14ac:dyDescent="0.25">
      <c r="A316" s="302"/>
      <c r="B316" s="24"/>
      <c r="C316" s="9">
        <f t="shared" ca="1" si="190"/>
        <v>1</v>
      </c>
      <c r="D316" s="267" t="s">
        <v>46</v>
      </c>
      <c r="E316" s="48" t="s">
        <v>52</v>
      </c>
      <c r="F316" s="678">
        <f t="shared" ca="1" si="191"/>
        <v>0</v>
      </c>
      <c r="G316" s="658">
        <f ca="1">+IFERROR(G$5*GETPIVOTDATA("Unique Billed Hours",'County allocation'!$A$3,"County",$D308,"HHA/CDPAP","CDPAP","Level of Service",$D316),0)</f>
        <v>0</v>
      </c>
      <c r="H316" s="658">
        <f>+IFERROR(H$5*GETPIVOTDATA("Unique Billed Hours",'County allocation'!$A$3,"County",$D308,"HHA/CDPAP","CDPAP","Level of Service",$D316),0)</f>
        <v>0</v>
      </c>
      <c r="I316" s="678">
        <f t="shared" ca="1" si="192"/>
        <v>0</v>
      </c>
      <c r="J316" s="658">
        <f ca="1">+IFERROR(J$5*GETPIVOTDATA("Unique Billed Hours",'County allocation'!$S$3,"County",$D308,"HHA/CDPAP","CDPAP","Level of Service",$D316),0)</f>
        <v>0</v>
      </c>
      <c r="K316" s="658">
        <f ca="1">+IFERROR(K$5*GETPIVOTDATA("Unique Billed Hours",'County allocation'!$X$3,"County",$D308,"HHA/CDPAP","CDPAP","Level of Service",$D316),0)</f>
        <v>0</v>
      </c>
      <c r="L316" s="658">
        <f>+IFERROR(L$5*GETPIVOTDATA("Unique Billed Hours",'County allocation'!$K$19,"County",$D308,"HHA/CDPAP","CDPAP","Level of Service",$D316),0)</f>
        <v>0</v>
      </c>
      <c r="M316" s="658">
        <f>+IFERROR(M$5*GETPIVOTDATA("Unique Billed Hours",'County allocation'!$S$3,"County",$D308,"HHA/CDPAP","CDPAP","Level of Service",$D316),0)</f>
        <v>0</v>
      </c>
      <c r="N316" s="658">
        <f>+IFERROR(N$5*GETPIVOTDATA("Unique Billed Hours",'County allocation'!$S$3,"County",$D308,"HHA/CDPAP","CDPAP","Level of Service",$D316),0)</f>
        <v>0</v>
      </c>
      <c r="O316" s="658">
        <f>+IFERROR(O$5*GETPIVOTDATA("Unique Billed Hours",'County allocation'!$S$3,"County",$D308,"HHA/CDPAP","CDPAP","Level of Service",$D316),0)</f>
        <v>0</v>
      </c>
      <c r="P316" s="658">
        <f>+IFERROR(P$5*GETPIVOTDATA("Unique Billed Hours",'County allocation'!$S$3,"County",$D308,"HHA/CDPAP","CDPAP","Level of Service",$D316),0)</f>
        <v>0</v>
      </c>
    </row>
    <row r="317" spans="1:16" ht="15.75" thickBot="1" x14ac:dyDescent="0.3">
      <c r="A317" s="302"/>
      <c r="B317" s="24"/>
      <c r="C317" s="9">
        <f t="shared" ca="1" si="190"/>
        <v>1</v>
      </c>
      <c r="D317" s="52" t="s">
        <v>389</v>
      </c>
      <c r="E317" s="370" t="s">
        <v>51</v>
      </c>
      <c r="F317" s="679">
        <f ca="1">SUM(F311:F316)</f>
        <v>565339.48763937212</v>
      </c>
      <c r="G317" s="679">
        <f t="shared" ref="G317:H317" ca="1" si="193">SUM(G311:G316)</f>
        <v>22727.864440977846</v>
      </c>
      <c r="H317" s="679">
        <f t="shared" si="193"/>
        <v>19568.271665867571</v>
      </c>
      <c r="I317" s="678">
        <f t="shared" ca="1" si="192"/>
        <v>523043.35153252678</v>
      </c>
      <c r="J317" s="679">
        <f ca="1">SUM(J311:J316)</f>
        <v>103482.66516629604</v>
      </c>
      <c r="K317" s="679">
        <f t="shared" ref="K317:P317" ca="1" si="194">SUM(K311:K316)</f>
        <v>417471.40975806117</v>
      </c>
      <c r="L317" s="679">
        <f t="shared" si="194"/>
        <v>0</v>
      </c>
      <c r="M317" s="679">
        <f t="shared" si="194"/>
        <v>1927.8125657120074</v>
      </c>
      <c r="N317" s="679">
        <f t="shared" si="194"/>
        <v>161.46404245753718</v>
      </c>
      <c r="O317" s="679">
        <f t="shared" si="194"/>
        <v>0</v>
      </c>
      <c r="P317" s="679">
        <f t="shared" si="194"/>
        <v>0</v>
      </c>
    </row>
    <row r="318" spans="1:16" x14ac:dyDescent="0.25">
      <c r="A318" s="302"/>
      <c r="B318" s="24"/>
      <c r="C318" s="9">
        <f t="shared" ca="1" si="190"/>
        <v>1</v>
      </c>
      <c r="D318" s="378" t="s">
        <v>390</v>
      </c>
      <c r="E318" s="370" t="s">
        <v>50</v>
      </c>
      <c r="F318" s="678">
        <f t="shared" ref="F318" ca="1" si="195">SUM(G318:I318)</f>
        <v>0</v>
      </c>
      <c r="G318" s="658">
        <f ca="1">+IFERROR(G$5*GETPIVOTDATA("Unique Billed Hours",'County allocation'!$A$3,"County",$D308,"HHA/CDPAP","CDPAP","Level of Service",$D318),0)</f>
        <v>0</v>
      </c>
      <c r="H318" s="659"/>
      <c r="I318" s="678">
        <f t="shared" si="192"/>
        <v>0</v>
      </c>
      <c r="J318" s="659"/>
      <c r="K318" s="659"/>
      <c r="L318" s="659"/>
      <c r="M318" s="659"/>
      <c r="N318" s="659"/>
      <c r="O318" s="659"/>
      <c r="P318" s="659"/>
    </row>
    <row r="319" spans="1:16" ht="15.75" thickBot="1" x14ac:dyDescent="0.3">
      <c r="B319" s="24"/>
      <c r="C319" s="9">
        <f t="shared" ca="1" si="190"/>
        <v>1</v>
      </c>
      <c r="D319" s="11" t="s">
        <v>48</v>
      </c>
      <c r="E319" s="53" t="s">
        <v>49</v>
      </c>
      <c r="F319" s="662">
        <f ca="1">SUBTOTAL(9,F311:F316)</f>
        <v>565339.48763937212</v>
      </c>
      <c r="G319" s="662">
        <f t="shared" ref="G319:H319" ca="1" si="196">SUBTOTAL(9,G311:G316)</f>
        <v>22727.864440977846</v>
      </c>
      <c r="H319" s="662">
        <f t="shared" si="196"/>
        <v>19568.271665867571</v>
      </c>
      <c r="I319" s="678">
        <f t="shared" ca="1" si="192"/>
        <v>523043.35153252678</v>
      </c>
      <c r="J319" s="662">
        <f t="shared" ref="J319:P319" ca="1" si="197">SUBTOTAL(9,J311:J316)</f>
        <v>103482.66516629604</v>
      </c>
      <c r="K319" s="662">
        <f t="shared" ca="1" si="197"/>
        <v>417471.40975806117</v>
      </c>
      <c r="L319" s="662">
        <f t="shared" si="197"/>
        <v>0</v>
      </c>
      <c r="M319" s="662">
        <f t="shared" si="197"/>
        <v>1927.8125657120074</v>
      </c>
      <c r="N319" s="662">
        <f t="shared" si="197"/>
        <v>161.46404245753718</v>
      </c>
      <c r="O319" s="662">
        <f t="shared" si="197"/>
        <v>0</v>
      </c>
      <c r="P319" s="662">
        <f t="shared" si="197"/>
        <v>0</v>
      </c>
    </row>
    <row r="320" spans="1:16" ht="15.75" hidden="1" thickBot="1" x14ac:dyDescent="0.3"/>
    <row r="321" spans="1:16" ht="75" x14ac:dyDescent="0.25">
      <c r="A321" s="60"/>
      <c r="B321" s="24"/>
      <c r="C321" s="9">
        <f ca="1">IF(F332&gt;0,1,0)</f>
        <v>1</v>
      </c>
      <c r="D321" s="45" t="str">
        <f>A27</f>
        <v>Kings</v>
      </c>
      <c r="E321" s="28">
        <f>SUMIF(A:A,D321,B:B)</f>
        <v>0.19849003913535318</v>
      </c>
      <c r="F321" s="652" t="s">
        <v>396</v>
      </c>
      <c r="G321" s="652" t="s">
        <v>387</v>
      </c>
      <c r="H321" s="652" t="s">
        <v>388</v>
      </c>
      <c r="I321" s="652" t="s">
        <v>392</v>
      </c>
      <c r="J321" s="652" t="s">
        <v>31</v>
      </c>
      <c r="K321" s="652" t="s">
        <v>32</v>
      </c>
      <c r="L321" s="653" t="s">
        <v>33</v>
      </c>
      <c r="M321" s="653" t="s">
        <v>60</v>
      </c>
      <c r="N321" s="653" t="s">
        <v>59</v>
      </c>
      <c r="O321" s="653" t="s">
        <v>58</v>
      </c>
      <c r="P321" s="653" t="s">
        <v>16</v>
      </c>
    </row>
    <row r="322" spans="1:16" x14ac:dyDescent="0.25">
      <c r="A322" s="60"/>
      <c r="B322" s="24"/>
      <c r="C322" s="9">
        <f ca="1">C321</f>
        <v>1</v>
      </c>
      <c r="D322" s="47"/>
      <c r="E322" s="48"/>
      <c r="F322" s="669" t="s">
        <v>57</v>
      </c>
      <c r="G322" s="669" t="s">
        <v>56</v>
      </c>
      <c r="H322" s="669" t="s">
        <v>55</v>
      </c>
      <c r="I322" s="669" t="s">
        <v>54</v>
      </c>
      <c r="J322" s="669" t="s">
        <v>53</v>
      </c>
      <c r="K322" s="669" t="s">
        <v>52</v>
      </c>
      <c r="L322" s="669" t="s">
        <v>51</v>
      </c>
      <c r="M322" s="669" t="s">
        <v>50</v>
      </c>
      <c r="N322" s="669" t="s">
        <v>49</v>
      </c>
      <c r="O322" s="669" t="s">
        <v>47</v>
      </c>
      <c r="P322" s="670" t="s">
        <v>77</v>
      </c>
    </row>
    <row r="323" spans="1:16" x14ac:dyDescent="0.25">
      <c r="B323" s="24"/>
      <c r="C323" s="9">
        <f t="shared" ref="C323:C332" ca="1" si="198">C322</f>
        <v>1</v>
      </c>
      <c r="D323" s="51" t="s">
        <v>26</v>
      </c>
      <c r="E323" s="48"/>
      <c r="F323" s="674"/>
      <c r="G323" s="674"/>
      <c r="H323" s="674"/>
      <c r="I323" s="674"/>
      <c r="J323" s="674"/>
      <c r="K323" s="674"/>
      <c r="L323" s="675"/>
      <c r="M323" s="675"/>
      <c r="N323" s="676"/>
      <c r="O323" s="674"/>
      <c r="P323" s="677"/>
    </row>
    <row r="324" spans="1:16" x14ac:dyDescent="0.25">
      <c r="B324" s="24"/>
      <c r="C324" s="9">
        <f t="shared" ca="1" si="198"/>
        <v>1</v>
      </c>
      <c r="D324" s="267" t="s">
        <v>18</v>
      </c>
      <c r="E324" s="48" t="s">
        <v>57</v>
      </c>
      <c r="F324" s="678">
        <f ca="1">SUM(G324:I324)</f>
        <v>16483947.470477518</v>
      </c>
      <c r="G324" s="658">
        <f ca="1">+IFERROR(G$5*GETPIVOTDATA("Unique Billed Hours",'County allocation'!$A$3,"County",$D321,"HHA/CDPAP","CDPAP","Level of Service",$D324),0)</f>
        <v>662690.1742271313</v>
      </c>
      <c r="H324" s="658">
        <f>+IFERROR(H$5*GETPIVOTDATA("Unique Billed Hours",'County allocation'!$A$3,"County",$D321,"HHA/CDPAP","CDPAP","Level of Service",$D324),0)</f>
        <v>570564.00495759444</v>
      </c>
      <c r="I324" s="678">
        <f ca="1">SUM(J324:P324)</f>
        <v>15250693.291292792</v>
      </c>
      <c r="J324" s="658">
        <f ca="1">+IFERROR(J$5*GETPIVOTDATA("Unique Billed Hours",'County allocation'!$S$3,"County",$D321,"HHA/CDPAP","CDPAP","Level of Service",$D324),0)</f>
        <v>3017307.0411709193</v>
      </c>
      <c r="K324" s="658">
        <f ca="1">+IFERROR(K$5*GETPIVOTDATA("Unique Billed Hours",'County allocation'!$X$3,"County",$D321,"HHA/CDPAP","CDPAP","Level of Service",$D324),0)</f>
        <v>12172467.940657644</v>
      </c>
      <c r="L324" s="658">
        <f>+IFERROR(L$5*GETPIVOTDATA("Unique Billed Hours",'County allocation'!$K$19,"County",$D321,"HHA/CDPAP","CDPAP","Level of Service",$D324),0)</f>
        <v>0</v>
      </c>
      <c r="M324" s="658">
        <f>+IFERROR(M$5*GETPIVOTDATA("Unique Billed Hours",'County allocation'!$S$3,"County",$D321,"HHA/CDPAP","CDPAP","Level of Service",$D324),0)</f>
        <v>56210.404121627987</v>
      </c>
      <c r="N324" s="658">
        <f>+IFERROR(N$5*GETPIVOTDATA("Unique Billed Hours",'County allocation'!$S$3,"County",$D321,"HHA/CDPAP","CDPAP","Level of Service",$D324),0)</f>
        <v>4707.905342601498</v>
      </c>
      <c r="O324" s="658">
        <f>+IFERROR(O$5*GETPIVOTDATA("Unique Billed Hours",'County allocation'!$S$3,"County",$D321,"HHA/CDPAP","CDPAP","Level of Service",$D324),0)</f>
        <v>0</v>
      </c>
      <c r="P324" s="658">
        <f>+IFERROR(P$5*GETPIVOTDATA("Unique Billed Hours",'County allocation'!$S$3,"County",$D321,"HHA/CDPAP","CDPAP","Level of Service",$D324),0)</f>
        <v>0</v>
      </c>
    </row>
    <row r="325" spans="1:16" x14ac:dyDescent="0.25">
      <c r="B325" s="24"/>
      <c r="C325" s="9">
        <f t="shared" ca="1" si="198"/>
        <v>1</v>
      </c>
      <c r="D325" s="267" t="s">
        <v>42</v>
      </c>
      <c r="E325" s="48" t="s">
        <v>56</v>
      </c>
      <c r="F325" s="678">
        <f t="shared" ref="F325:F329" ca="1" si="199">SUM(G325:I325)</f>
        <v>0</v>
      </c>
      <c r="G325" s="658">
        <f ca="1">+IFERROR(G$5*GETPIVOTDATA("Unique Billed Hours",'County allocation'!$A$3,"County",$D321,"HHA/CDPAP","CDPAP","Level of Service",$D325),0)</f>
        <v>0</v>
      </c>
      <c r="H325" s="658">
        <f>+IFERROR(H$5*GETPIVOTDATA("Unique Billed Hours",'County allocation'!$A$3,"County",$D321,"HHA/CDPAP","CDPAP","Level of Service",$D325),0)</f>
        <v>0</v>
      </c>
      <c r="I325" s="678">
        <f t="shared" ref="I325:I332" ca="1" si="200">SUM(J325:P325)</f>
        <v>0</v>
      </c>
      <c r="J325" s="658">
        <f ca="1">+IFERROR(J$5*GETPIVOTDATA("Unique Billed Hours",'County allocation'!$S$3,"County",$D321,"HHA/CDPAP","CDPAP","Level of Service",$D325),0)</f>
        <v>0</v>
      </c>
      <c r="K325" s="658">
        <f ca="1">+IFERROR(K$5*GETPIVOTDATA("Unique Billed Hours",'County allocation'!$X$3,"County",$D321,"HHA/CDPAP","CDPAP","Level of Service",$D325),0)</f>
        <v>0</v>
      </c>
      <c r="L325" s="658">
        <f>+IFERROR(L$5*GETPIVOTDATA("Unique Billed Hours",'County allocation'!$K$19,"County",$D321,"HHA/CDPAP","CDPAP","Level of Service",$D325),0)</f>
        <v>0</v>
      </c>
      <c r="M325" s="658">
        <f>+IFERROR(M$5*GETPIVOTDATA("Unique Billed Hours",'County allocation'!$S$3,"County",$D321,"HHA/CDPAP","CDPAP","Level of Service",$D325),0)</f>
        <v>0</v>
      </c>
      <c r="N325" s="658">
        <f>+IFERROR(N$5*GETPIVOTDATA("Unique Billed Hours",'County allocation'!$S$3,"County",$D321,"HHA/CDPAP","CDPAP","Level of Service",$D325),0)</f>
        <v>0</v>
      </c>
      <c r="O325" s="658">
        <f>+IFERROR(O$5*GETPIVOTDATA("Unique Billed Hours",'County allocation'!$S$3,"County",$D321,"HHA/CDPAP","CDPAP","Level of Service",$D325),0)</f>
        <v>0</v>
      </c>
      <c r="P325" s="658">
        <f>+IFERROR(P$5*GETPIVOTDATA("Unique Billed Hours",'County allocation'!$S$3,"County",$D321,"HHA/CDPAP","CDPAP","Level of Service",$D325),0)</f>
        <v>0</v>
      </c>
    </row>
    <row r="326" spans="1:16" x14ac:dyDescent="0.25">
      <c r="B326" s="24"/>
      <c r="C326" s="9">
        <f t="shared" ca="1" si="198"/>
        <v>1</v>
      </c>
      <c r="D326" s="267" t="s">
        <v>43</v>
      </c>
      <c r="E326" s="48" t="s">
        <v>55</v>
      </c>
      <c r="F326" s="678">
        <f t="shared" ca="1" si="199"/>
        <v>349385.70806600852</v>
      </c>
      <c r="G326" s="658">
        <f ca="1">+IFERROR(G$5*GETPIVOTDATA("Unique Billed Hours",'County allocation'!$A$3,"County",$D321,"HHA/CDPAP","CDPAP","Level of Service",$D326),0)</f>
        <v>14046.057606371738</v>
      </c>
      <c r="H326" s="658">
        <f>+IFERROR(H$5*GETPIVOTDATA("Unique Billed Hours",'County allocation'!$A$3,"County",$D321,"HHA/CDPAP","CDPAP","Level of Service",$D326),0)</f>
        <v>12093.396270894084</v>
      </c>
      <c r="I326" s="678">
        <f t="shared" ca="1" si="200"/>
        <v>323246.25418874272</v>
      </c>
      <c r="J326" s="658">
        <f ca="1">+IFERROR(J$5*GETPIVOTDATA("Unique Billed Hours",'County allocation'!$S$3,"County",$D321,"HHA/CDPAP","CDPAP","Level of Service",$D326),0)</f>
        <v>63953.367900505458</v>
      </c>
      <c r="K326" s="658">
        <f ca="1">+IFERROR(K$5*GETPIVOTDATA("Unique Billed Hours",'County allocation'!$X$3,"County",$D321,"HHA/CDPAP","CDPAP","Level of Service",$D326),0)</f>
        <v>258001.69152287766</v>
      </c>
      <c r="L326" s="658">
        <f>+IFERROR(L$5*GETPIVOTDATA("Unique Billed Hours",'County allocation'!$K$19,"County",$D321,"HHA/CDPAP","CDPAP","Level of Service",$D326),0)</f>
        <v>0</v>
      </c>
      <c r="M326" s="658">
        <f>+IFERROR(M$5*GETPIVOTDATA("Unique Billed Hours",'County allocation'!$S$3,"County",$D321,"HHA/CDPAP","CDPAP","Level of Service",$D326),0)</f>
        <v>1191.4083007049624</v>
      </c>
      <c r="N326" s="658">
        <f>+IFERROR(N$5*GETPIVOTDATA("Unique Billed Hours",'County allocation'!$S$3,"County",$D321,"HHA/CDPAP","CDPAP","Level of Service",$D326),0)</f>
        <v>99.78646465468988</v>
      </c>
      <c r="O326" s="658">
        <f>+IFERROR(O$5*GETPIVOTDATA("Unique Billed Hours",'County allocation'!$S$3,"County",$D321,"HHA/CDPAP","CDPAP","Level of Service",$D326),0)</f>
        <v>0</v>
      </c>
      <c r="P326" s="658">
        <f>+IFERROR(P$5*GETPIVOTDATA("Unique Billed Hours",'County allocation'!$S$3,"County",$D321,"HHA/CDPAP","CDPAP","Level of Service",$D326),0)</f>
        <v>0</v>
      </c>
    </row>
    <row r="327" spans="1:16" x14ac:dyDescent="0.25">
      <c r="B327" s="24"/>
      <c r="C327" s="9">
        <f t="shared" ca="1" si="198"/>
        <v>1</v>
      </c>
      <c r="D327" s="267" t="s">
        <v>44</v>
      </c>
      <c r="E327" s="48" t="s">
        <v>54</v>
      </c>
      <c r="F327" s="678">
        <f t="shared" ca="1" si="199"/>
        <v>277194.3209580073</v>
      </c>
      <c r="G327" s="658">
        <f ca="1">+IFERROR(G$5*GETPIVOTDATA("Unique Billed Hours",'County allocation'!$A$3,"County",$D321,"HHA/CDPAP","CDPAP","Level of Service",$D327),0)</f>
        <v>11143.808434200979</v>
      </c>
      <c r="H327" s="658">
        <f>+IFERROR(H$5*GETPIVOTDATA("Unique Billed Hours",'County allocation'!$A$3,"County",$D321,"HHA/CDPAP","CDPAP","Level of Service",$D327),0)</f>
        <v>9594.6133170199864</v>
      </c>
      <c r="I327" s="678">
        <f t="shared" ca="1" si="200"/>
        <v>256455.89920678633</v>
      </c>
      <c r="J327" s="658">
        <f ca="1">+IFERROR(J$5*GETPIVOTDATA("Unique Billed Hours",'County allocation'!$S$3,"County",$D321,"HHA/CDPAP","CDPAP","Level of Service",$D327),0)</f>
        <v>50739.082849974555</v>
      </c>
      <c r="K327" s="658">
        <f ca="1">+IFERROR(K$5*GETPIVOTDATA("Unique Billed Hours",'County allocation'!$X$3,"County",$D321,"HHA/CDPAP","CDPAP","Level of Service",$D327),0)</f>
        <v>204692.41310291344</v>
      </c>
      <c r="L327" s="658">
        <f>+IFERROR(L$5*GETPIVOTDATA("Unique Billed Hours",'County allocation'!$K$19,"County",$D321,"HHA/CDPAP","CDPAP","Level of Service",$D327),0)</f>
        <v>0</v>
      </c>
      <c r="M327" s="658">
        <f>+IFERROR(M$5*GETPIVOTDATA("Unique Billed Hours",'County allocation'!$S$3,"County",$D321,"HHA/CDPAP","CDPAP","Level of Service",$D327),0)</f>
        <v>945.23504331565789</v>
      </c>
      <c r="N327" s="658">
        <f>+IFERROR(N$5*GETPIVOTDATA("Unique Billed Hours",'County allocation'!$S$3,"County",$D321,"HHA/CDPAP","CDPAP","Level of Service",$D327),0)</f>
        <v>79.168210582704134</v>
      </c>
      <c r="O327" s="658">
        <f>+IFERROR(O$5*GETPIVOTDATA("Unique Billed Hours",'County allocation'!$S$3,"County",$D321,"HHA/CDPAP","CDPAP","Level of Service",$D327),0)</f>
        <v>0</v>
      </c>
      <c r="P327" s="658">
        <f>+IFERROR(P$5*GETPIVOTDATA("Unique Billed Hours",'County allocation'!$S$3,"County",$D321,"HHA/CDPAP","CDPAP","Level of Service",$D327),0)</f>
        <v>0</v>
      </c>
    </row>
    <row r="328" spans="1:16" x14ac:dyDescent="0.25">
      <c r="B328" s="24"/>
      <c r="C328" s="9">
        <f t="shared" ca="1" si="198"/>
        <v>1</v>
      </c>
      <c r="D328" s="267" t="s">
        <v>45</v>
      </c>
      <c r="E328" s="48" t="s">
        <v>53</v>
      </c>
      <c r="F328" s="678">
        <f t="shared" ca="1" si="199"/>
        <v>0</v>
      </c>
      <c r="G328" s="658">
        <f ca="1">+IFERROR(G$5*GETPIVOTDATA("Unique Billed Hours",'County allocation'!$A$3,"County",$D321,"HHA/CDPAP","CDPAP","Level of Service",$D328),0)</f>
        <v>0</v>
      </c>
      <c r="H328" s="658">
        <f>+IFERROR(H$5*GETPIVOTDATA("Unique Billed Hours",'County allocation'!$A$3,"County",$D321,"HHA/CDPAP","CDPAP","Level of Service",$D328),0)</f>
        <v>0</v>
      </c>
      <c r="I328" s="678">
        <f t="shared" ca="1" si="200"/>
        <v>0</v>
      </c>
      <c r="J328" s="658">
        <f ca="1">+IFERROR(J$5*GETPIVOTDATA("Unique Billed Hours",'County allocation'!$S$3,"County",$D321,"HHA/CDPAP","CDPAP","Level of Service",$D328),0)</f>
        <v>0</v>
      </c>
      <c r="K328" s="658">
        <f ca="1">+IFERROR(K$5*GETPIVOTDATA("Unique Billed Hours",'County allocation'!$X$3,"County",$D321,"HHA/CDPAP","CDPAP","Level of Service",$D328),0)</f>
        <v>0</v>
      </c>
      <c r="L328" s="658">
        <f>+IFERROR(L$5*GETPIVOTDATA("Unique Billed Hours",'County allocation'!$K$19,"County",$D321,"HHA/CDPAP","CDPAP","Level of Service",$D328),0)</f>
        <v>0</v>
      </c>
      <c r="M328" s="658">
        <f>+IFERROR(M$5*GETPIVOTDATA("Unique Billed Hours",'County allocation'!$S$3,"County",$D321,"HHA/CDPAP","CDPAP","Level of Service",$D328),0)</f>
        <v>0</v>
      </c>
      <c r="N328" s="658">
        <f>+IFERROR(N$5*GETPIVOTDATA("Unique Billed Hours",'County allocation'!$S$3,"County",$D321,"HHA/CDPAP","CDPAP","Level of Service",$D328),0)</f>
        <v>0</v>
      </c>
      <c r="O328" s="658">
        <f>+IFERROR(O$5*GETPIVOTDATA("Unique Billed Hours",'County allocation'!$S$3,"County",$D321,"HHA/CDPAP","CDPAP","Level of Service",$D328),0)</f>
        <v>0</v>
      </c>
      <c r="P328" s="658">
        <f>+IFERROR(P$5*GETPIVOTDATA("Unique Billed Hours",'County allocation'!$S$3,"County",$D321,"HHA/CDPAP","CDPAP","Level of Service",$D328),0)</f>
        <v>0</v>
      </c>
    </row>
    <row r="329" spans="1:16" x14ac:dyDescent="0.25">
      <c r="A329" s="302"/>
      <c r="B329" s="24"/>
      <c r="C329" s="9">
        <f t="shared" ca="1" si="198"/>
        <v>1</v>
      </c>
      <c r="D329" s="267" t="s">
        <v>46</v>
      </c>
      <c r="E329" s="48" t="s">
        <v>52</v>
      </c>
      <c r="F329" s="678">
        <f t="shared" ca="1" si="199"/>
        <v>0</v>
      </c>
      <c r="G329" s="658">
        <f ca="1">+IFERROR(G$5*GETPIVOTDATA("Unique Billed Hours",'County allocation'!$A$3,"County",$D321,"HHA/CDPAP","CDPAP","Level of Service",$D329),0)</f>
        <v>0</v>
      </c>
      <c r="H329" s="658">
        <f>+IFERROR(H$5*GETPIVOTDATA("Unique Billed Hours",'County allocation'!$A$3,"County",$D321,"HHA/CDPAP","CDPAP","Level of Service",$D329),0)</f>
        <v>0</v>
      </c>
      <c r="I329" s="678">
        <f t="shared" ca="1" si="200"/>
        <v>0</v>
      </c>
      <c r="J329" s="658">
        <f ca="1">+IFERROR(J$5*GETPIVOTDATA("Unique Billed Hours",'County allocation'!$S$3,"County",$D321,"HHA/CDPAP","CDPAP","Level of Service",$D329),0)</f>
        <v>0</v>
      </c>
      <c r="K329" s="658">
        <f ca="1">+IFERROR(K$5*GETPIVOTDATA("Unique Billed Hours",'County allocation'!$X$3,"County",$D321,"HHA/CDPAP","CDPAP","Level of Service",$D329),0)</f>
        <v>0</v>
      </c>
      <c r="L329" s="658">
        <f>+IFERROR(L$5*GETPIVOTDATA("Unique Billed Hours",'County allocation'!$K$19,"County",$D321,"HHA/CDPAP","CDPAP","Level of Service",$D329),0)</f>
        <v>0</v>
      </c>
      <c r="M329" s="658">
        <f>+IFERROR(M$5*GETPIVOTDATA("Unique Billed Hours",'County allocation'!$S$3,"County",$D321,"HHA/CDPAP","CDPAP","Level of Service",$D329),0)</f>
        <v>0</v>
      </c>
      <c r="N329" s="658">
        <f>+IFERROR(N$5*GETPIVOTDATA("Unique Billed Hours",'County allocation'!$S$3,"County",$D321,"HHA/CDPAP","CDPAP","Level of Service",$D329),0)</f>
        <v>0</v>
      </c>
      <c r="O329" s="658">
        <f>+IFERROR(O$5*GETPIVOTDATA("Unique Billed Hours",'County allocation'!$S$3,"County",$D321,"HHA/CDPAP","CDPAP","Level of Service",$D329),0)</f>
        <v>0</v>
      </c>
      <c r="P329" s="658">
        <f>+IFERROR(P$5*GETPIVOTDATA("Unique Billed Hours",'County allocation'!$S$3,"County",$D321,"HHA/CDPAP","CDPAP","Level of Service",$D329),0)</f>
        <v>0</v>
      </c>
    </row>
    <row r="330" spans="1:16" ht="15.75" thickBot="1" x14ac:dyDescent="0.3">
      <c r="A330" s="302"/>
      <c r="B330" s="24"/>
      <c r="C330" s="9">
        <f t="shared" ca="1" si="198"/>
        <v>1</v>
      </c>
      <c r="D330" s="52" t="s">
        <v>389</v>
      </c>
      <c r="E330" s="370" t="s">
        <v>51</v>
      </c>
      <c r="F330" s="679">
        <f ca="1">SUM(F324:F329)</f>
        <v>17110527.499501534</v>
      </c>
      <c r="G330" s="679">
        <f t="shared" ref="G330:H330" ca="1" si="201">SUM(G324:G329)</f>
        <v>687880.04026770394</v>
      </c>
      <c r="H330" s="679">
        <f t="shared" si="201"/>
        <v>592252.01454550854</v>
      </c>
      <c r="I330" s="678">
        <f t="shared" ca="1" si="200"/>
        <v>15830395.444688324</v>
      </c>
      <c r="J330" s="679">
        <f ca="1">SUM(J324:J329)</f>
        <v>3131999.4919213997</v>
      </c>
      <c r="K330" s="679">
        <f t="shared" ref="K330:P330" ca="1" si="202">SUM(K324:K329)</f>
        <v>12635162.045283435</v>
      </c>
      <c r="L330" s="679">
        <f t="shared" si="202"/>
        <v>0</v>
      </c>
      <c r="M330" s="679">
        <f t="shared" si="202"/>
        <v>58347.047465648611</v>
      </c>
      <c r="N330" s="679">
        <f t="shared" si="202"/>
        <v>4886.8600178388915</v>
      </c>
      <c r="O330" s="679">
        <f t="shared" si="202"/>
        <v>0</v>
      </c>
      <c r="P330" s="679">
        <f t="shared" si="202"/>
        <v>0</v>
      </c>
    </row>
    <row r="331" spans="1:16" x14ac:dyDescent="0.25">
      <c r="A331" s="302"/>
      <c r="B331" s="24"/>
      <c r="C331" s="9">
        <f t="shared" ca="1" si="198"/>
        <v>1</v>
      </c>
      <c r="D331" s="378" t="s">
        <v>390</v>
      </c>
      <c r="E331" s="370" t="s">
        <v>50</v>
      </c>
      <c r="F331" s="678">
        <f t="shared" ref="F331" ca="1" si="203">SUM(G331:I331)</f>
        <v>0</v>
      </c>
      <c r="G331" s="658">
        <f ca="1">+IFERROR(G$5*GETPIVOTDATA("Unique Billed Hours",'County allocation'!$A$3,"County",$D321,"HHA/CDPAP","CDPAP","Level of Service",$D331),0)</f>
        <v>0</v>
      </c>
      <c r="H331" s="659"/>
      <c r="I331" s="678">
        <f t="shared" si="200"/>
        <v>0</v>
      </c>
      <c r="J331" s="659"/>
      <c r="K331" s="659"/>
      <c r="L331" s="659"/>
      <c r="M331" s="659"/>
      <c r="N331" s="659"/>
      <c r="O331" s="659"/>
      <c r="P331" s="659"/>
    </row>
    <row r="332" spans="1:16" ht="15.75" thickBot="1" x14ac:dyDescent="0.3">
      <c r="B332" s="24"/>
      <c r="C332" s="9">
        <f t="shared" ca="1" si="198"/>
        <v>1</v>
      </c>
      <c r="D332" s="11" t="s">
        <v>48</v>
      </c>
      <c r="E332" s="53" t="s">
        <v>49</v>
      </c>
      <c r="F332" s="662">
        <f ca="1">SUBTOTAL(9,F324:F329)</f>
        <v>17110527.499501534</v>
      </c>
      <c r="G332" s="662">
        <f t="shared" ref="G332:H332" ca="1" si="204">SUBTOTAL(9,G324:G329)</f>
        <v>687880.04026770394</v>
      </c>
      <c r="H332" s="662">
        <f t="shared" si="204"/>
        <v>592252.01454550854</v>
      </c>
      <c r="I332" s="678">
        <f t="shared" ca="1" si="200"/>
        <v>15830395.444688324</v>
      </c>
      <c r="J332" s="662">
        <f t="shared" ref="J332:P332" ca="1" si="205">SUBTOTAL(9,J324:J329)</f>
        <v>3131999.4919213997</v>
      </c>
      <c r="K332" s="662">
        <f t="shared" ca="1" si="205"/>
        <v>12635162.045283435</v>
      </c>
      <c r="L332" s="662">
        <f t="shared" si="205"/>
        <v>0</v>
      </c>
      <c r="M332" s="662">
        <f t="shared" si="205"/>
        <v>58347.047465648611</v>
      </c>
      <c r="N332" s="662">
        <f t="shared" si="205"/>
        <v>4886.8600178388915</v>
      </c>
      <c r="O332" s="662">
        <f t="shared" si="205"/>
        <v>0</v>
      </c>
      <c r="P332" s="662">
        <f t="shared" si="205"/>
        <v>0</v>
      </c>
    </row>
    <row r="333" spans="1:16" ht="15.75" hidden="1" thickBot="1" x14ac:dyDescent="0.3"/>
    <row r="334" spans="1:16" ht="75" x14ac:dyDescent="0.25">
      <c r="A334" s="60"/>
      <c r="B334" s="24"/>
      <c r="C334" s="9">
        <f ca="1">IF(F345&gt;0,1,0)</f>
        <v>1</v>
      </c>
      <c r="D334" s="45" t="str">
        <f>A28</f>
        <v>Lewis</v>
      </c>
      <c r="E334" s="28">
        <f>SUMIF(A:A,D334,B:B)</f>
        <v>1.5695907928306577E-3</v>
      </c>
      <c r="F334" s="652" t="s">
        <v>396</v>
      </c>
      <c r="G334" s="652" t="s">
        <v>387</v>
      </c>
      <c r="H334" s="652" t="s">
        <v>388</v>
      </c>
      <c r="I334" s="652" t="s">
        <v>392</v>
      </c>
      <c r="J334" s="652" t="s">
        <v>31</v>
      </c>
      <c r="K334" s="652" t="s">
        <v>32</v>
      </c>
      <c r="L334" s="653" t="s">
        <v>33</v>
      </c>
      <c r="M334" s="653" t="s">
        <v>60</v>
      </c>
      <c r="N334" s="653" t="s">
        <v>59</v>
      </c>
      <c r="O334" s="653" t="s">
        <v>58</v>
      </c>
      <c r="P334" s="653" t="s">
        <v>16</v>
      </c>
    </row>
    <row r="335" spans="1:16" x14ac:dyDescent="0.25">
      <c r="A335" s="60"/>
      <c r="B335" s="24"/>
      <c r="C335" s="9">
        <f ca="1">C334</f>
        <v>1</v>
      </c>
      <c r="D335" s="47"/>
      <c r="E335" s="48"/>
      <c r="F335" s="669" t="s">
        <v>57</v>
      </c>
      <c r="G335" s="669" t="s">
        <v>56</v>
      </c>
      <c r="H335" s="669" t="s">
        <v>55</v>
      </c>
      <c r="I335" s="669" t="s">
        <v>54</v>
      </c>
      <c r="J335" s="669" t="s">
        <v>53</v>
      </c>
      <c r="K335" s="669" t="s">
        <v>52</v>
      </c>
      <c r="L335" s="669" t="s">
        <v>51</v>
      </c>
      <c r="M335" s="669" t="s">
        <v>50</v>
      </c>
      <c r="N335" s="669" t="s">
        <v>49</v>
      </c>
      <c r="O335" s="669" t="s">
        <v>47</v>
      </c>
      <c r="P335" s="670" t="s">
        <v>77</v>
      </c>
    </row>
    <row r="336" spans="1:16" x14ac:dyDescent="0.25">
      <c r="B336" s="24"/>
      <c r="C336" s="9">
        <f t="shared" ref="C336:C345" ca="1" si="206">C335</f>
        <v>1</v>
      </c>
      <c r="D336" s="51" t="s">
        <v>26</v>
      </c>
      <c r="E336" s="48"/>
      <c r="F336" s="674"/>
      <c r="G336" s="674"/>
      <c r="H336" s="674"/>
      <c r="I336" s="674"/>
      <c r="J336" s="674"/>
      <c r="K336" s="674"/>
      <c r="L336" s="675"/>
      <c r="M336" s="675"/>
      <c r="N336" s="676"/>
      <c r="O336" s="674"/>
      <c r="P336" s="677"/>
    </row>
    <row r="337" spans="1:16" x14ac:dyDescent="0.25">
      <c r="B337" s="24"/>
      <c r="C337" s="9">
        <f t="shared" ca="1" si="206"/>
        <v>1</v>
      </c>
      <c r="D337" s="267" t="s">
        <v>18</v>
      </c>
      <c r="E337" s="48" t="s">
        <v>57</v>
      </c>
      <c r="F337" s="678">
        <f ca="1">SUM(G337:I337)</f>
        <v>135304.15199011337</v>
      </c>
      <c r="G337" s="658">
        <f ca="1">+IFERROR(G$5*GETPIVOTDATA("Unique Billed Hours",'County allocation'!$A$3,"County",$D334,"HHA/CDPAP","CDPAP","Level of Service",$D337),0)</f>
        <v>5439.5181868038944</v>
      </c>
      <c r="H337" s="658">
        <f>+IFERROR(H$5*GETPIVOTDATA("Unique Billed Hours",'County allocation'!$A$3,"County",$D334,"HHA/CDPAP","CDPAP","Level of Service",$D337),0)</f>
        <v>4683.324730628603</v>
      </c>
      <c r="I337" s="678">
        <f ca="1">SUM(J337:P337)</f>
        <v>125181.30907268089</v>
      </c>
      <c r="J337" s="658">
        <f ca="1">+IFERROR(J$5*GETPIVOTDATA("Unique Billed Hours",'County allocation'!$S$3,"County",$D334,"HHA/CDPAP","CDPAP","Level of Service",$D337),0)</f>
        <v>24766.772111510669</v>
      </c>
      <c r="K337" s="658">
        <f ca="1">+IFERROR(K$5*GETPIVOTDATA("Unique Billed Hours",'County allocation'!$X$3,"County",$D334,"HHA/CDPAP","CDPAP","Level of Service",$D337),0)</f>
        <v>99914.505022977566</v>
      </c>
      <c r="L337" s="658">
        <f>+IFERROR(L$5*GETPIVOTDATA("Unique Billed Hours",'County allocation'!$K$19,"County",$D334,"HHA/CDPAP","CDPAP","Level of Service",$D337),0)</f>
        <v>0</v>
      </c>
      <c r="M337" s="658">
        <f>+IFERROR(M$5*GETPIVOTDATA("Unique Billed Hours",'County allocation'!$S$3,"County",$D334,"HHA/CDPAP","CDPAP","Level of Service",$D337),0)</f>
        <v>461.38833409411058</v>
      </c>
      <c r="N337" s="658">
        <f>+IFERROR(N$5*GETPIVOTDATA("Unique Billed Hours",'County allocation'!$S$3,"County",$D334,"HHA/CDPAP","CDPAP","Level of Service",$D337),0)</f>
        <v>38.643604098549524</v>
      </c>
      <c r="O337" s="658">
        <f>+IFERROR(O$5*GETPIVOTDATA("Unique Billed Hours",'County allocation'!$S$3,"County",$D334,"HHA/CDPAP","CDPAP","Level of Service",$D337),0)</f>
        <v>0</v>
      </c>
      <c r="P337" s="658">
        <f>+IFERROR(P$5*GETPIVOTDATA("Unique Billed Hours",'County allocation'!$S$3,"County",$D334,"HHA/CDPAP","CDPAP","Level of Service",$D337),0)</f>
        <v>0</v>
      </c>
    </row>
    <row r="338" spans="1:16" x14ac:dyDescent="0.25">
      <c r="B338" s="24"/>
      <c r="C338" s="9">
        <f t="shared" ca="1" si="206"/>
        <v>1</v>
      </c>
      <c r="D338" s="267" t="s">
        <v>42</v>
      </c>
      <c r="E338" s="48" t="s">
        <v>56</v>
      </c>
      <c r="F338" s="678">
        <f t="shared" ref="F338:F342" ca="1" si="207">SUM(G338:I338)</f>
        <v>0</v>
      </c>
      <c r="G338" s="658">
        <f ca="1">+IFERROR(G$5*GETPIVOTDATA("Unique Billed Hours",'County allocation'!$A$3,"County",$D334,"HHA/CDPAP","CDPAP","Level of Service",$D338),0)</f>
        <v>0</v>
      </c>
      <c r="H338" s="658">
        <f>+IFERROR(H$5*GETPIVOTDATA("Unique Billed Hours",'County allocation'!$A$3,"County",$D334,"HHA/CDPAP","CDPAP","Level of Service",$D338),0)</f>
        <v>0</v>
      </c>
      <c r="I338" s="678">
        <f t="shared" ref="I338:I345" ca="1" si="208">SUM(J338:P338)</f>
        <v>0</v>
      </c>
      <c r="J338" s="658">
        <f ca="1">+IFERROR(J$5*GETPIVOTDATA("Unique Billed Hours",'County allocation'!$S$3,"County",$D334,"HHA/CDPAP","CDPAP","Level of Service",$D338),0)</f>
        <v>0</v>
      </c>
      <c r="K338" s="658">
        <f ca="1">+IFERROR(K$5*GETPIVOTDATA("Unique Billed Hours",'County allocation'!$X$3,"County",$D334,"HHA/CDPAP","CDPAP","Level of Service",$D338),0)</f>
        <v>0</v>
      </c>
      <c r="L338" s="658">
        <f>+IFERROR(L$5*GETPIVOTDATA("Unique Billed Hours",'County allocation'!$K$19,"County",$D334,"HHA/CDPAP","CDPAP","Level of Service",$D338),0)</f>
        <v>0</v>
      </c>
      <c r="M338" s="658">
        <f>+IFERROR(M$5*GETPIVOTDATA("Unique Billed Hours",'County allocation'!$S$3,"County",$D334,"HHA/CDPAP","CDPAP","Level of Service",$D338),0)</f>
        <v>0</v>
      </c>
      <c r="N338" s="658">
        <f>+IFERROR(N$5*GETPIVOTDATA("Unique Billed Hours",'County allocation'!$S$3,"County",$D334,"HHA/CDPAP","CDPAP","Level of Service",$D338),0)</f>
        <v>0</v>
      </c>
      <c r="O338" s="658">
        <f>+IFERROR(O$5*GETPIVOTDATA("Unique Billed Hours",'County allocation'!$S$3,"County",$D334,"HHA/CDPAP","CDPAP","Level of Service",$D338),0)</f>
        <v>0</v>
      </c>
      <c r="P338" s="658">
        <f>+IFERROR(P$5*GETPIVOTDATA("Unique Billed Hours",'County allocation'!$S$3,"County",$D334,"HHA/CDPAP","CDPAP","Level of Service",$D338),0)</f>
        <v>0</v>
      </c>
    </row>
    <row r="339" spans="1:16" x14ac:dyDescent="0.25">
      <c r="B339" s="24"/>
      <c r="C339" s="9">
        <f t="shared" ca="1" si="206"/>
        <v>1</v>
      </c>
      <c r="D339" s="267" t="s">
        <v>43</v>
      </c>
      <c r="E339" s="48" t="s">
        <v>55</v>
      </c>
      <c r="F339" s="678">
        <f t="shared" ca="1" si="207"/>
        <v>0</v>
      </c>
      <c r="G339" s="658">
        <f ca="1">+IFERROR(G$5*GETPIVOTDATA("Unique Billed Hours",'County allocation'!$A$3,"County",$D334,"HHA/CDPAP","CDPAP","Level of Service",$D339),0)</f>
        <v>0</v>
      </c>
      <c r="H339" s="658">
        <f>+IFERROR(H$5*GETPIVOTDATA("Unique Billed Hours",'County allocation'!$A$3,"County",$D334,"HHA/CDPAP","CDPAP","Level of Service",$D339),0)</f>
        <v>0</v>
      </c>
      <c r="I339" s="678">
        <f t="shared" ca="1" si="208"/>
        <v>0</v>
      </c>
      <c r="J339" s="658">
        <f ca="1">+IFERROR(J$5*GETPIVOTDATA("Unique Billed Hours",'County allocation'!$S$3,"County",$D334,"HHA/CDPAP","CDPAP","Level of Service",$D339),0)</f>
        <v>0</v>
      </c>
      <c r="K339" s="658">
        <f ca="1">+IFERROR(K$5*GETPIVOTDATA("Unique Billed Hours",'County allocation'!$X$3,"County",$D334,"HHA/CDPAP","CDPAP","Level of Service",$D339),0)</f>
        <v>0</v>
      </c>
      <c r="L339" s="658">
        <f>+IFERROR(L$5*GETPIVOTDATA("Unique Billed Hours",'County allocation'!$K$19,"County",$D334,"HHA/CDPAP","CDPAP","Level of Service",$D339),0)</f>
        <v>0</v>
      </c>
      <c r="M339" s="658">
        <f>+IFERROR(M$5*GETPIVOTDATA("Unique Billed Hours",'County allocation'!$S$3,"County",$D334,"HHA/CDPAP","CDPAP","Level of Service",$D339),0)</f>
        <v>0</v>
      </c>
      <c r="N339" s="658">
        <f>+IFERROR(N$5*GETPIVOTDATA("Unique Billed Hours",'County allocation'!$S$3,"County",$D334,"HHA/CDPAP","CDPAP","Level of Service",$D339),0)</f>
        <v>0</v>
      </c>
      <c r="O339" s="658">
        <f>+IFERROR(O$5*GETPIVOTDATA("Unique Billed Hours",'County allocation'!$S$3,"County",$D334,"HHA/CDPAP","CDPAP","Level of Service",$D339),0)</f>
        <v>0</v>
      </c>
      <c r="P339" s="658">
        <f>+IFERROR(P$5*GETPIVOTDATA("Unique Billed Hours",'County allocation'!$S$3,"County",$D334,"HHA/CDPAP","CDPAP","Level of Service",$D339),0)</f>
        <v>0</v>
      </c>
    </row>
    <row r="340" spans="1:16" x14ac:dyDescent="0.25">
      <c r="B340" s="24"/>
      <c r="C340" s="9">
        <f t="shared" ca="1" si="206"/>
        <v>1</v>
      </c>
      <c r="D340" s="267" t="s">
        <v>44</v>
      </c>
      <c r="E340" s="48" t="s">
        <v>54</v>
      </c>
      <c r="F340" s="678">
        <f t="shared" ca="1" si="207"/>
        <v>0</v>
      </c>
      <c r="G340" s="658">
        <f ca="1">+IFERROR(G$5*GETPIVOTDATA("Unique Billed Hours",'County allocation'!$A$3,"County",$D334,"HHA/CDPAP","CDPAP","Level of Service",$D340),0)</f>
        <v>0</v>
      </c>
      <c r="H340" s="658">
        <f>+IFERROR(H$5*GETPIVOTDATA("Unique Billed Hours",'County allocation'!$A$3,"County",$D334,"HHA/CDPAP","CDPAP","Level of Service",$D340),0)</f>
        <v>0</v>
      </c>
      <c r="I340" s="678">
        <f t="shared" ca="1" si="208"/>
        <v>0</v>
      </c>
      <c r="J340" s="658">
        <f ca="1">+IFERROR(J$5*GETPIVOTDATA("Unique Billed Hours",'County allocation'!$S$3,"County",$D334,"HHA/CDPAP","CDPAP","Level of Service",$D340),0)</f>
        <v>0</v>
      </c>
      <c r="K340" s="658">
        <f ca="1">+IFERROR(K$5*GETPIVOTDATA("Unique Billed Hours",'County allocation'!$X$3,"County",$D334,"HHA/CDPAP","CDPAP","Level of Service",$D340),0)</f>
        <v>0</v>
      </c>
      <c r="L340" s="658">
        <f>+IFERROR(L$5*GETPIVOTDATA("Unique Billed Hours",'County allocation'!$K$19,"County",$D334,"HHA/CDPAP","CDPAP","Level of Service",$D340),0)</f>
        <v>0</v>
      </c>
      <c r="M340" s="658">
        <f>+IFERROR(M$5*GETPIVOTDATA("Unique Billed Hours",'County allocation'!$S$3,"County",$D334,"HHA/CDPAP","CDPAP","Level of Service",$D340),0)</f>
        <v>0</v>
      </c>
      <c r="N340" s="658">
        <f>+IFERROR(N$5*GETPIVOTDATA("Unique Billed Hours",'County allocation'!$S$3,"County",$D334,"HHA/CDPAP","CDPAP","Level of Service",$D340),0)</f>
        <v>0</v>
      </c>
      <c r="O340" s="658">
        <f>+IFERROR(O$5*GETPIVOTDATA("Unique Billed Hours",'County allocation'!$S$3,"County",$D334,"HHA/CDPAP","CDPAP","Level of Service",$D340),0)</f>
        <v>0</v>
      </c>
      <c r="P340" s="658">
        <f>+IFERROR(P$5*GETPIVOTDATA("Unique Billed Hours",'County allocation'!$S$3,"County",$D334,"HHA/CDPAP","CDPAP","Level of Service",$D340),0)</f>
        <v>0</v>
      </c>
    </row>
    <row r="341" spans="1:16" x14ac:dyDescent="0.25">
      <c r="B341" s="24"/>
      <c r="C341" s="9">
        <f t="shared" ca="1" si="206"/>
        <v>1</v>
      </c>
      <c r="D341" s="267" t="s">
        <v>45</v>
      </c>
      <c r="E341" s="48" t="s">
        <v>53</v>
      </c>
      <c r="F341" s="678">
        <f t="shared" ca="1" si="207"/>
        <v>0</v>
      </c>
      <c r="G341" s="658">
        <f ca="1">+IFERROR(G$5*GETPIVOTDATA("Unique Billed Hours",'County allocation'!$A$3,"County",$D334,"HHA/CDPAP","CDPAP","Level of Service",$D341),0)</f>
        <v>0</v>
      </c>
      <c r="H341" s="658">
        <f>+IFERROR(H$5*GETPIVOTDATA("Unique Billed Hours",'County allocation'!$A$3,"County",$D334,"HHA/CDPAP","CDPAP","Level of Service",$D341),0)</f>
        <v>0</v>
      </c>
      <c r="I341" s="678">
        <f t="shared" ca="1" si="208"/>
        <v>0</v>
      </c>
      <c r="J341" s="658">
        <f ca="1">+IFERROR(J$5*GETPIVOTDATA("Unique Billed Hours",'County allocation'!$S$3,"County",$D334,"HHA/CDPAP","CDPAP","Level of Service",$D341),0)</f>
        <v>0</v>
      </c>
      <c r="K341" s="658">
        <f ca="1">+IFERROR(K$5*GETPIVOTDATA("Unique Billed Hours",'County allocation'!$X$3,"County",$D334,"HHA/CDPAP","CDPAP","Level of Service",$D341),0)</f>
        <v>0</v>
      </c>
      <c r="L341" s="658">
        <f>+IFERROR(L$5*GETPIVOTDATA("Unique Billed Hours",'County allocation'!$K$19,"County",$D334,"HHA/CDPAP","CDPAP","Level of Service",$D341),0)</f>
        <v>0</v>
      </c>
      <c r="M341" s="658">
        <f>+IFERROR(M$5*GETPIVOTDATA("Unique Billed Hours",'County allocation'!$S$3,"County",$D334,"HHA/CDPAP","CDPAP","Level of Service",$D341),0)</f>
        <v>0</v>
      </c>
      <c r="N341" s="658">
        <f>+IFERROR(N$5*GETPIVOTDATA("Unique Billed Hours",'County allocation'!$S$3,"County",$D334,"HHA/CDPAP","CDPAP","Level of Service",$D341),0)</f>
        <v>0</v>
      </c>
      <c r="O341" s="658">
        <f>+IFERROR(O$5*GETPIVOTDATA("Unique Billed Hours",'County allocation'!$S$3,"County",$D334,"HHA/CDPAP","CDPAP","Level of Service",$D341),0)</f>
        <v>0</v>
      </c>
      <c r="P341" s="658">
        <f>+IFERROR(P$5*GETPIVOTDATA("Unique Billed Hours",'County allocation'!$S$3,"County",$D334,"HHA/CDPAP","CDPAP","Level of Service",$D341),0)</f>
        <v>0</v>
      </c>
    </row>
    <row r="342" spans="1:16" x14ac:dyDescent="0.25">
      <c r="A342" s="302"/>
      <c r="B342" s="24"/>
      <c r="C342" s="9">
        <f t="shared" ca="1" si="206"/>
        <v>1</v>
      </c>
      <c r="D342" s="267" t="s">
        <v>46</v>
      </c>
      <c r="E342" s="48" t="s">
        <v>52</v>
      </c>
      <c r="F342" s="678">
        <f t="shared" ca="1" si="207"/>
        <v>0</v>
      </c>
      <c r="G342" s="658">
        <f ca="1">+IFERROR(G$5*GETPIVOTDATA("Unique Billed Hours",'County allocation'!$A$3,"County",$D334,"HHA/CDPAP","CDPAP","Level of Service",$D342),0)</f>
        <v>0</v>
      </c>
      <c r="H342" s="658">
        <f>+IFERROR(H$5*GETPIVOTDATA("Unique Billed Hours",'County allocation'!$A$3,"County",$D334,"HHA/CDPAP","CDPAP","Level of Service",$D342),0)</f>
        <v>0</v>
      </c>
      <c r="I342" s="678">
        <f t="shared" ca="1" si="208"/>
        <v>0</v>
      </c>
      <c r="J342" s="658">
        <f ca="1">+IFERROR(J$5*GETPIVOTDATA("Unique Billed Hours",'County allocation'!$S$3,"County",$D334,"HHA/CDPAP","CDPAP","Level of Service",$D342),0)</f>
        <v>0</v>
      </c>
      <c r="K342" s="658">
        <f ca="1">+IFERROR(K$5*GETPIVOTDATA("Unique Billed Hours",'County allocation'!$X$3,"County",$D334,"HHA/CDPAP","CDPAP","Level of Service",$D342),0)</f>
        <v>0</v>
      </c>
      <c r="L342" s="658">
        <f>+IFERROR(L$5*GETPIVOTDATA("Unique Billed Hours",'County allocation'!$K$19,"County",$D334,"HHA/CDPAP","CDPAP","Level of Service",$D342),0)</f>
        <v>0</v>
      </c>
      <c r="M342" s="658">
        <f>+IFERROR(M$5*GETPIVOTDATA("Unique Billed Hours",'County allocation'!$S$3,"County",$D334,"HHA/CDPAP","CDPAP","Level of Service",$D342),0)</f>
        <v>0</v>
      </c>
      <c r="N342" s="658">
        <f>+IFERROR(N$5*GETPIVOTDATA("Unique Billed Hours",'County allocation'!$S$3,"County",$D334,"HHA/CDPAP","CDPAP","Level of Service",$D342),0)</f>
        <v>0</v>
      </c>
      <c r="O342" s="658">
        <f>+IFERROR(O$5*GETPIVOTDATA("Unique Billed Hours",'County allocation'!$S$3,"County",$D334,"HHA/CDPAP","CDPAP","Level of Service",$D342),0)</f>
        <v>0</v>
      </c>
      <c r="P342" s="658">
        <f>+IFERROR(P$5*GETPIVOTDATA("Unique Billed Hours",'County allocation'!$S$3,"County",$D334,"HHA/CDPAP","CDPAP","Level of Service",$D342),0)</f>
        <v>0</v>
      </c>
    </row>
    <row r="343" spans="1:16" ht="15.75" thickBot="1" x14ac:dyDescent="0.3">
      <c r="A343" s="302"/>
      <c r="B343" s="24"/>
      <c r="C343" s="9">
        <f t="shared" ca="1" si="206"/>
        <v>1</v>
      </c>
      <c r="D343" s="52" t="s">
        <v>389</v>
      </c>
      <c r="E343" s="370" t="s">
        <v>51</v>
      </c>
      <c r="F343" s="679">
        <f ca="1">SUM(F337:F342)</f>
        <v>135304.15199011337</v>
      </c>
      <c r="G343" s="679">
        <f t="shared" ref="G343" ca="1" si="209">SUM(G337:G342)</f>
        <v>5439.5181868038944</v>
      </c>
      <c r="H343" s="679"/>
      <c r="I343" s="678">
        <f t="shared" ca="1" si="208"/>
        <v>125181.30907268089</v>
      </c>
      <c r="J343" s="679">
        <f ca="1">SUM(J337:J342)</f>
        <v>24766.772111510669</v>
      </c>
      <c r="K343" s="679">
        <f t="shared" ref="K343:P343" ca="1" si="210">SUM(K337:K342)</f>
        <v>99914.505022977566</v>
      </c>
      <c r="L343" s="679">
        <f t="shared" si="210"/>
        <v>0</v>
      </c>
      <c r="M343" s="679">
        <f t="shared" si="210"/>
        <v>461.38833409411058</v>
      </c>
      <c r="N343" s="679">
        <f t="shared" si="210"/>
        <v>38.643604098549524</v>
      </c>
      <c r="O343" s="679">
        <f t="shared" si="210"/>
        <v>0</v>
      </c>
      <c r="P343" s="679">
        <f t="shared" si="210"/>
        <v>0</v>
      </c>
    </row>
    <row r="344" spans="1:16" x14ac:dyDescent="0.25">
      <c r="A344" s="302"/>
      <c r="B344" s="24"/>
      <c r="C344" s="9">
        <f t="shared" ca="1" si="206"/>
        <v>1</v>
      </c>
      <c r="D344" s="378" t="s">
        <v>390</v>
      </c>
      <c r="E344" s="370" t="s">
        <v>50</v>
      </c>
      <c r="F344" s="678">
        <f t="shared" ref="F344" ca="1" si="211">SUM(G344:I344)</f>
        <v>0</v>
      </c>
      <c r="G344" s="658">
        <f ca="1">+IFERROR(G$5*GETPIVOTDATA("Unique Billed Hours",'County allocation'!$A$3,"County",$D334,"HHA/CDPAP","CDPAP","Level of Service",$D344),0)</f>
        <v>0</v>
      </c>
      <c r="H344" s="659"/>
      <c r="I344" s="678">
        <f t="shared" si="208"/>
        <v>0</v>
      </c>
      <c r="J344" s="659"/>
      <c r="K344" s="659"/>
      <c r="L344" s="659"/>
      <c r="M344" s="659"/>
      <c r="N344" s="659"/>
      <c r="O344" s="659"/>
      <c r="P344" s="659"/>
    </row>
    <row r="345" spans="1:16" ht="15.75" thickBot="1" x14ac:dyDescent="0.3">
      <c r="B345" s="24"/>
      <c r="C345" s="9">
        <f t="shared" ca="1" si="206"/>
        <v>1</v>
      </c>
      <c r="D345" s="11" t="s">
        <v>48</v>
      </c>
      <c r="E345" s="53" t="s">
        <v>49</v>
      </c>
      <c r="F345" s="662">
        <f ca="1">SUBTOTAL(9,F337:F342)</f>
        <v>135304.15199011337</v>
      </c>
      <c r="G345" s="662">
        <f t="shared" ref="G345:H345" ca="1" si="212">SUBTOTAL(9,G337:G342)</f>
        <v>5439.5181868038944</v>
      </c>
      <c r="H345" s="662">
        <f t="shared" si="212"/>
        <v>4683.324730628603</v>
      </c>
      <c r="I345" s="678">
        <f t="shared" ca="1" si="208"/>
        <v>125181.30907268089</v>
      </c>
      <c r="J345" s="662">
        <f t="shared" ref="J345:P345" ca="1" si="213">SUBTOTAL(9,J337:J342)</f>
        <v>24766.772111510669</v>
      </c>
      <c r="K345" s="662">
        <f t="shared" ca="1" si="213"/>
        <v>99914.505022977566</v>
      </c>
      <c r="L345" s="662">
        <f t="shared" si="213"/>
        <v>0</v>
      </c>
      <c r="M345" s="662">
        <f t="shared" si="213"/>
        <v>461.38833409411058</v>
      </c>
      <c r="N345" s="662">
        <f t="shared" si="213"/>
        <v>38.643604098549524</v>
      </c>
      <c r="O345" s="662">
        <f t="shared" si="213"/>
        <v>0</v>
      </c>
      <c r="P345" s="662">
        <f t="shared" si="213"/>
        <v>0</v>
      </c>
    </row>
    <row r="346" spans="1:16" ht="15.75" hidden="1" thickBot="1" x14ac:dyDescent="0.3"/>
    <row r="347" spans="1:16" ht="75" x14ac:dyDescent="0.25">
      <c r="A347" s="60"/>
      <c r="B347" s="24"/>
      <c r="C347" s="9">
        <f ca="1">IF(F358&gt;0,1,0)</f>
        <v>1</v>
      </c>
      <c r="D347" s="45" t="str">
        <f>A29</f>
        <v>Livingston</v>
      </c>
      <c r="E347" s="28">
        <f>SUMIF(A:A,D347,B:B)</f>
        <v>1.1180611534471463E-3</v>
      </c>
      <c r="F347" s="652" t="s">
        <v>396</v>
      </c>
      <c r="G347" s="652" t="s">
        <v>387</v>
      </c>
      <c r="H347" s="652" t="s">
        <v>388</v>
      </c>
      <c r="I347" s="652" t="s">
        <v>392</v>
      </c>
      <c r="J347" s="652" t="s">
        <v>31</v>
      </c>
      <c r="K347" s="652" t="s">
        <v>32</v>
      </c>
      <c r="L347" s="653" t="s">
        <v>33</v>
      </c>
      <c r="M347" s="653" t="s">
        <v>60</v>
      </c>
      <c r="N347" s="653" t="s">
        <v>59</v>
      </c>
      <c r="O347" s="653" t="s">
        <v>58</v>
      </c>
      <c r="P347" s="653" t="s">
        <v>16</v>
      </c>
    </row>
    <row r="348" spans="1:16" x14ac:dyDescent="0.25">
      <c r="A348" s="60"/>
      <c r="B348" s="24"/>
      <c r="C348" s="9">
        <f ca="1">C347</f>
        <v>1</v>
      </c>
      <c r="D348" s="47"/>
      <c r="E348" s="48"/>
      <c r="F348" s="669" t="s">
        <v>57</v>
      </c>
      <c r="G348" s="669" t="s">
        <v>56</v>
      </c>
      <c r="H348" s="669" t="s">
        <v>55</v>
      </c>
      <c r="I348" s="669" t="s">
        <v>54</v>
      </c>
      <c r="J348" s="669" t="s">
        <v>53</v>
      </c>
      <c r="K348" s="669" t="s">
        <v>52</v>
      </c>
      <c r="L348" s="669" t="s">
        <v>51</v>
      </c>
      <c r="M348" s="669" t="s">
        <v>50</v>
      </c>
      <c r="N348" s="669" t="s">
        <v>49</v>
      </c>
      <c r="O348" s="669" t="s">
        <v>47</v>
      </c>
      <c r="P348" s="670" t="s">
        <v>77</v>
      </c>
    </row>
    <row r="349" spans="1:16" x14ac:dyDescent="0.25">
      <c r="B349" s="24"/>
      <c r="C349" s="9">
        <f t="shared" ref="C349:C358" ca="1" si="214">C348</f>
        <v>1</v>
      </c>
      <c r="D349" s="51" t="s">
        <v>26</v>
      </c>
      <c r="E349" s="48"/>
      <c r="F349" s="674"/>
      <c r="G349" s="674"/>
      <c r="H349" s="674"/>
      <c r="I349" s="674"/>
      <c r="J349" s="674"/>
      <c r="K349" s="674"/>
      <c r="L349" s="675"/>
      <c r="M349" s="675"/>
      <c r="N349" s="676"/>
      <c r="O349" s="674"/>
      <c r="P349" s="677"/>
    </row>
    <row r="350" spans="1:16" x14ac:dyDescent="0.25">
      <c r="B350" s="24"/>
      <c r="C350" s="9">
        <f t="shared" ca="1" si="214"/>
        <v>1</v>
      </c>
      <c r="D350" s="267" t="s">
        <v>18</v>
      </c>
      <c r="E350" s="48" t="s">
        <v>57</v>
      </c>
      <c r="F350" s="678">
        <f ca="1">SUM(G350:I350)</f>
        <v>96380.736260202772</v>
      </c>
      <c r="G350" s="658">
        <f ca="1">+IFERROR(G$5*GETPIVOTDATA("Unique Billed Hours",'County allocation'!$A$3,"County",$D347,"HHA/CDPAP","CDPAP","Level of Service",$D350),0)</f>
        <v>3874.7130818515479</v>
      </c>
      <c r="H350" s="658">
        <f>+IFERROR(H$5*GETPIVOTDATA("Unique Billed Hours",'County allocation'!$A$3,"County",$D347,"HHA/CDPAP","CDPAP","Level of Service",$D350),0)</f>
        <v>3336.0564257967694</v>
      </c>
      <c r="I350" s="678">
        <f ca="1">SUM(J350:P350)</f>
        <v>89169.96675255445</v>
      </c>
      <c r="J350" s="658">
        <f ca="1">+IFERROR(J$5*GETPIVOTDATA("Unique Billed Hours",'County allocation'!$S$3,"County",$D347,"HHA/CDPAP","CDPAP","Level of Service",$D350),0)</f>
        <v>17642.028687120219</v>
      </c>
      <c r="K350" s="658">
        <f ca="1">+IFERROR(K$5*GETPIVOTDATA("Unique Billed Hours",'County allocation'!$X$3,"County",$D347,"HHA/CDPAP","CDPAP","Level of Service",$D350),0)</f>
        <v>71171.752053048243</v>
      </c>
      <c r="L350" s="658">
        <f>+IFERROR(L$5*GETPIVOTDATA("Unique Billed Hours",'County allocation'!$K$19,"County",$D347,"HHA/CDPAP","CDPAP","Level of Service",$D350),0)</f>
        <v>0</v>
      </c>
      <c r="M350" s="658">
        <f>+IFERROR(M$5*GETPIVOTDATA("Unique Billed Hours",'County allocation'!$S$3,"County",$D347,"HHA/CDPAP","CDPAP","Level of Service",$D350),0)</f>
        <v>328.65914820639142</v>
      </c>
      <c r="N350" s="658">
        <f>+IFERROR(N$5*GETPIVOTDATA("Unique Billed Hours",'County allocation'!$S$3,"County",$D347,"HHA/CDPAP","CDPAP","Level of Service",$D350),0)</f>
        <v>27.526864179586589</v>
      </c>
      <c r="O350" s="658">
        <f>+IFERROR(O$5*GETPIVOTDATA("Unique Billed Hours",'County allocation'!$S$3,"County",$D347,"HHA/CDPAP","CDPAP","Level of Service",$D350),0)</f>
        <v>0</v>
      </c>
      <c r="P350" s="658">
        <f>+IFERROR(P$5*GETPIVOTDATA("Unique Billed Hours",'County allocation'!$S$3,"County",$D347,"HHA/CDPAP","CDPAP","Level of Service",$D350),0)</f>
        <v>0</v>
      </c>
    </row>
    <row r="351" spans="1:16" x14ac:dyDescent="0.25">
      <c r="B351" s="24"/>
      <c r="C351" s="9">
        <f t="shared" ca="1" si="214"/>
        <v>1</v>
      </c>
      <c r="D351" s="267" t="s">
        <v>42</v>
      </c>
      <c r="E351" s="48" t="s">
        <v>56</v>
      </c>
      <c r="F351" s="678">
        <f t="shared" ref="F351:F355" ca="1" si="215">SUM(G351:I351)</f>
        <v>0</v>
      </c>
      <c r="G351" s="658">
        <f ca="1">+IFERROR(G$5*GETPIVOTDATA("Unique Billed Hours",'County allocation'!$A$3,"County",$D347,"HHA/CDPAP","CDPAP","Level of Service",$D351),0)</f>
        <v>0</v>
      </c>
      <c r="H351" s="658">
        <f>+IFERROR(H$5*GETPIVOTDATA("Unique Billed Hours",'County allocation'!$A$3,"County",$D347,"HHA/CDPAP","CDPAP","Level of Service",$D351),0)</f>
        <v>0</v>
      </c>
      <c r="I351" s="678">
        <f t="shared" ref="I351:I358" ca="1" si="216">SUM(J351:P351)</f>
        <v>0</v>
      </c>
      <c r="J351" s="658">
        <f ca="1">+IFERROR(J$5*GETPIVOTDATA("Unique Billed Hours",'County allocation'!$S$3,"County",$D347,"HHA/CDPAP","CDPAP","Level of Service",$D351),0)</f>
        <v>0</v>
      </c>
      <c r="K351" s="658">
        <f ca="1">+IFERROR(K$5*GETPIVOTDATA("Unique Billed Hours",'County allocation'!$X$3,"County",$D347,"HHA/CDPAP","CDPAP","Level of Service",$D351),0)</f>
        <v>0</v>
      </c>
      <c r="L351" s="658">
        <f>+IFERROR(L$5*GETPIVOTDATA("Unique Billed Hours",'County allocation'!$K$19,"County",$D347,"HHA/CDPAP","CDPAP","Level of Service",$D351),0)</f>
        <v>0</v>
      </c>
      <c r="M351" s="658">
        <f>+IFERROR(M$5*GETPIVOTDATA("Unique Billed Hours",'County allocation'!$S$3,"County",$D347,"HHA/CDPAP","CDPAP","Level of Service",$D351),0)</f>
        <v>0</v>
      </c>
      <c r="N351" s="658">
        <f>+IFERROR(N$5*GETPIVOTDATA("Unique Billed Hours",'County allocation'!$S$3,"County",$D347,"HHA/CDPAP","CDPAP","Level of Service",$D351),0)</f>
        <v>0</v>
      </c>
      <c r="O351" s="658">
        <f>+IFERROR(O$5*GETPIVOTDATA("Unique Billed Hours",'County allocation'!$S$3,"County",$D347,"HHA/CDPAP","CDPAP","Level of Service",$D351),0)</f>
        <v>0</v>
      </c>
      <c r="P351" s="658">
        <f>+IFERROR(P$5*GETPIVOTDATA("Unique Billed Hours",'County allocation'!$S$3,"County",$D347,"HHA/CDPAP","CDPAP","Level of Service",$D351),0)</f>
        <v>0</v>
      </c>
    </row>
    <row r="352" spans="1:16" x14ac:dyDescent="0.25">
      <c r="B352" s="24"/>
      <c r="C352" s="9">
        <f t="shared" ca="1" si="214"/>
        <v>1</v>
      </c>
      <c r="D352" s="267" t="s">
        <v>43</v>
      </c>
      <c r="E352" s="48" t="s">
        <v>55</v>
      </c>
      <c r="F352" s="678">
        <f t="shared" ca="1" si="215"/>
        <v>0</v>
      </c>
      <c r="G352" s="658">
        <f ca="1">+IFERROR(G$5*GETPIVOTDATA("Unique Billed Hours",'County allocation'!$A$3,"County",$D347,"HHA/CDPAP","CDPAP","Level of Service",$D352),0)</f>
        <v>0</v>
      </c>
      <c r="H352" s="658">
        <f>+IFERROR(H$5*GETPIVOTDATA("Unique Billed Hours",'County allocation'!$A$3,"County",$D347,"HHA/CDPAP","CDPAP","Level of Service",$D352),0)</f>
        <v>0</v>
      </c>
      <c r="I352" s="678">
        <f t="shared" ca="1" si="216"/>
        <v>0</v>
      </c>
      <c r="J352" s="658">
        <f ca="1">+IFERROR(J$5*GETPIVOTDATA("Unique Billed Hours",'County allocation'!$S$3,"County",$D347,"HHA/CDPAP","CDPAP","Level of Service",$D352),0)</f>
        <v>0</v>
      </c>
      <c r="K352" s="658">
        <f ca="1">+IFERROR(K$5*GETPIVOTDATA("Unique Billed Hours",'County allocation'!$X$3,"County",$D347,"HHA/CDPAP","CDPAP","Level of Service",$D352),0)</f>
        <v>0</v>
      </c>
      <c r="L352" s="658">
        <f>+IFERROR(L$5*GETPIVOTDATA("Unique Billed Hours",'County allocation'!$K$19,"County",$D347,"HHA/CDPAP","CDPAP","Level of Service",$D352),0)</f>
        <v>0</v>
      </c>
      <c r="M352" s="658">
        <f>+IFERROR(M$5*GETPIVOTDATA("Unique Billed Hours",'County allocation'!$S$3,"County",$D347,"HHA/CDPAP","CDPAP","Level of Service",$D352),0)</f>
        <v>0</v>
      </c>
      <c r="N352" s="658">
        <f>+IFERROR(N$5*GETPIVOTDATA("Unique Billed Hours",'County allocation'!$S$3,"County",$D347,"HHA/CDPAP","CDPAP","Level of Service",$D352),0)</f>
        <v>0</v>
      </c>
      <c r="O352" s="658">
        <f>+IFERROR(O$5*GETPIVOTDATA("Unique Billed Hours",'County allocation'!$S$3,"County",$D347,"HHA/CDPAP","CDPAP","Level of Service",$D352),0)</f>
        <v>0</v>
      </c>
      <c r="P352" s="658">
        <f>+IFERROR(P$5*GETPIVOTDATA("Unique Billed Hours",'County allocation'!$S$3,"County",$D347,"HHA/CDPAP","CDPAP","Level of Service",$D352),0)</f>
        <v>0</v>
      </c>
    </row>
    <row r="353" spans="1:16" x14ac:dyDescent="0.25">
      <c r="B353" s="24"/>
      <c r="C353" s="9">
        <f t="shared" ca="1" si="214"/>
        <v>1</v>
      </c>
      <c r="D353" s="267" t="s">
        <v>44</v>
      </c>
      <c r="E353" s="48" t="s">
        <v>54</v>
      </c>
      <c r="F353" s="678">
        <f t="shared" ca="1" si="215"/>
        <v>0</v>
      </c>
      <c r="G353" s="658">
        <f ca="1">+IFERROR(G$5*GETPIVOTDATA("Unique Billed Hours",'County allocation'!$A$3,"County",$D347,"HHA/CDPAP","CDPAP","Level of Service",$D353),0)</f>
        <v>0</v>
      </c>
      <c r="H353" s="658">
        <f>+IFERROR(H$5*GETPIVOTDATA("Unique Billed Hours",'County allocation'!$A$3,"County",$D347,"HHA/CDPAP","CDPAP","Level of Service",$D353),0)</f>
        <v>0</v>
      </c>
      <c r="I353" s="678">
        <f t="shared" ca="1" si="216"/>
        <v>0</v>
      </c>
      <c r="J353" s="658">
        <f ca="1">+IFERROR(J$5*GETPIVOTDATA("Unique Billed Hours",'County allocation'!$S$3,"County",$D347,"HHA/CDPAP","CDPAP","Level of Service",$D353),0)</f>
        <v>0</v>
      </c>
      <c r="K353" s="658">
        <f ca="1">+IFERROR(K$5*GETPIVOTDATA("Unique Billed Hours",'County allocation'!$X$3,"County",$D347,"HHA/CDPAP","CDPAP","Level of Service",$D353),0)</f>
        <v>0</v>
      </c>
      <c r="L353" s="658">
        <f>+IFERROR(L$5*GETPIVOTDATA("Unique Billed Hours",'County allocation'!$K$19,"County",$D347,"HHA/CDPAP","CDPAP","Level of Service",$D353),0)</f>
        <v>0</v>
      </c>
      <c r="M353" s="658">
        <f>+IFERROR(M$5*GETPIVOTDATA("Unique Billed Hours",'County allocation'!$S$3,"County",$D347,"HHA/CDPAP","CDPAP","Level of Service",$D353),0)</f>
        <v>0</v>
      </c>
      <c r="N353" s="658">
        <f>+IFERROR(N$5*GETPIVOTDATA("Unique Billed Hours",'County allocation'!$S$3,"County",$D347,"HHA/CDPAP","CDPAP","Level of Service",$D353),0)</f>
        <v>0</v>
      </c>
      <c r="O353" s="658">
        <f>+IFERROR(O$5*GETPIVOTDATA("Unique Billed Hours",'County allocation'!$S$3,"County",$D347,"HHA/CDPAP","CDPAP","Level of Service",$D353),0)</f>
        <v>0</v>
      </c>
      <c r="P353" s="658">
        <f>+IFERROR(P$5*GETPIVOTDATA("Unique Billed Hours",'County allocation'!$S$3,"County",$D347,"HHA/CDPAP","CDPAP","Level of Service",$D353),0)</f>
        <v>0</v>
      </c>
    </row>
    <row r="354" spans="1:16" x14ac:dyDescent="0.25">
      <c r="B354" s="24"/>
      <c r="C354" s="9">
        <f t="shared" ca="1" si="214"/>
        <v>1</v>
      </c>
      <c r="D354" s="267" t="s">
        <v>45</v>
      </c>
      <c r="E354" s="48" t="s">
        <v>53</v>
      </c>
      <c r="F354" s="678">
        <f t="shared" ca="1" si="215"/>
        <v>0</v>
      </c>
      <c r="G354" s="658">
        <f ca="1">+IFERROR(G$5*GETPIVOTDATA("Unique Billed Hours",'County allocation'!$A$3,"County",$D347,"HHA/CDPAP","CDPAP","Level of Service",$D354),0)</f>
        <v>0</v>
      </c>
      <c r="H354" s="658">
        <f>+IFERROR(H$5*GETPIVOTDATA("Unique Billed Hours",'County allocation'!$A$3,"County",$D347,"HHA/CDPAP","CDPAP","Level of Service",$D354),0)</f>
        <v>0</v>
      </c>
      <c r="I354" s="678">
        <f t="shared" ca="1" si="216"/>
        <v>0</v>
      </c>
      <c r="J354" s="658">
        <f ca="1">+IFERROR(J$5*GETPIVOTDATA("Unique Billed Hours",'County allocation'!$S$3,"County",$D347,"HHA/CDPAP","CDPAP","Level of Service",$D354),0)</f>
        <v>0</v>
      </c>
      <c r="K354" s="658">
        <f ca="1">+IFERROR(K$5*GETPIVOTDATA("Unique Billed Hours",'County allocation'!$X$3,"County",$D347,"HHA/CDPAP","CDPAP","Level of Service",$D354),0)</f>
        <v>0</v>
      </c>
      <c r="L354" s="658">
        <f>+IFERROR(L$5*GETPIVOTDATA("Unique Billed Hours",'County allocation'!$K$19,"County",$D347,"HHA/CDPAP","CDPAP","Level of Service",$D354),0)</f>
        <v>0</v>
      </c>
      <c r="M354" s="658">
        <f>+IFERROR(M$5*GETPIVOTDATA("Unique Billed Hours",'County allocation'!$S$3,"County",$D347,"HHA/CDPAP","CDPAP","Level of Service",$D354),0)</f>
        <v>0</v>
      </c>
      <c r="N354" s="658">
        <f>+IFERROR(N$5*GETPIVOTDATA("Unique Billed Hours",'County allocation'!$S$3,"County",$D347,"HHA/CDPAP","CDPAP","Level of Service",$D354),0)</f>
        <v>0</v>
      </c>
      <c r="O354" s="658">
        <f>+IFERROR(O$5*GETPIVOTDATA("Unique Billed Hours",'County allocation'!$S$3,"County",$D347,"HHA/CDPAP","CDPAP","Level of Service",$D354),0)</f>
        <v>0</v>
      </c>
      <c r="P354" s="658">
        <f>+IFERROR(P$5*GETPIVOTDATA("Unique Billed Hours",'County allocation'!$S$3,"County",$D347,"HHA/CDPAP","CDPAP","Level of Service",$D354),0)</f>
        <v>0</v>
      </c>
    </row>
    <row r="355" spans="1:16" x14ac:dyDescent="0.25">
      <c r="A355" s="302"/>
      <c r="B355" s="24"/>
      <c r="C355" s="9">
        <f t="shared" ca="1" si="214"/>
        <v>1</v>
      </c>
      <c r="D355" s="267" t="s">
        <v>46</v>
      </c>
      <c r="E355" s="48" t="s">
        <v>52</v>
      </c>
      <c r="F355" s="678">
        <f t="shared" ca="1" si="215"/>
        <v>0</v>
      </c>
      <c r="G355" s="658">
        <f ca="1">+IFERROR(G$5*GETPIVOTDATA("Unique Billed Hours",'County allocation'!$A$3,"County",$D347,"HHA/CDPAP","CDPAP","Level of Service",$D355),0)</f>
        <v>0</v>
      </c>
      <c r="H355" s="658">
        <f>+IFERROR(H$5*GETPIVOTDATA("Unique Billed Hours",'County allocation'!$A$3,"County",$D347,"HHA/CDPAP","CDPAP","Level of Service",$D355),0)</f>
        <v>0</v>
      </c>
      <c r="I355" s="678">
        <f t="shared" ca="1" si="216"/>
        <v>0</v>
      </c>
      <c r="J355" s="658">
        <f ca="1">+IFERROR(J$5*GETPIVOTDATA("Unique Billed Hours",'County allocation'!$S$3,"County",$D347,"HHA/CDPAP","CDPAP","Level of Service",$D355),0)</f>
        <v>0</v>
      </c>
      <c r="K355" s="658">
        <f ca="1">+IFERROR(K$5*GETPIVOTDATA("Unique Billed Hours",'County allocation'!$X$3,"County",$D347,"HHA/CDPAP","CDPAP","Level of Service",$D355),0)</f>
        <v>0</v>
      </c>
      <c r="L355" s="658">
        <f>+IFERROR(L$5*GETPIVOTDATA("Unique Billed Hours",'County allocation'!$K$19,"County",$D347,"HHA/CDPAP","CDPAP","Level of Service",$D355),0)</f>
        <v>0</v>
      </c>
      <c r="M355" s="658">
        <f>+IFERROR(M$5*GETPIVOTDATA("Unique Billed Hours",'County allocation'!$S$3,"County",$D347,"HHA/CDPAP","CDPAP","Level of Service",$D355),0)</f>
        <v>0</v>
      </c>
      <c r="N355" s="658">
        <f>+IFERROR(N$5*GETPIVOTDATA("Unique Billed Hours",'County allocation'!$S$3,"County",$D347,"HHA/CDPAP","CDPAP","Level of Service",$D355),0)</f>
        <v>0</v>
      </c>
      <c r="O355" s="658">
        <f>+IFERROR(O$5*GETPIVOTDATA("Unique Billed Hours",'County allocation'!$S$3,"County",$D347,"HHA/CDPAP","CDPAP","Level of Service",$D355),0)</f>
        <v>0</v>
      </c>
      <c r="P355" s="658">
        <f>+IFERROR(P$5*GETPIVOTDATA("Unique Billed Hours",'County allocation'!$S$3,"County",$D347,"HHA/CDPAP","CDPAP","Level of Service",$D355),0)</f>
        <v>0</v>
      </c>
    </row>
    <row r="356" spans="1:16" ht="15.75" thickBot="1" x14ac:dyDescent="0.3">
      <c r="A356" s="302"/>
      <c r="B356" s="24"/>
      <c r="C356" s="9">
        <f t="shared" ca="1" si="214"/>
        <v>1</v>
      </c>
      <c r="D356" s="52" t="s">
        <v>389</v>
      </c>
      <c r="E356" s="370" t="s">
        <v>51</v>
      </c>
      <c r="F356" s="679">
        <f ca="1">SUM(F350:F355)</f>
        <v>96380.736260202772</v>
      </c>
      <c r="G356" s="679">
        <f t="shared" ref="G356:H356" ca="1" si="217">SUM(G350:G355)</f>
        <v>3874.7130818515479</v>
      </c>
      <c r="H356" s="679">
        <f t="shared" si="217"/>
        <v>3336.0564257967694</v>
      </c>
      <c r="I356" s="678">
        <f t="shared" ca="1" si="216"/>
        <v>89169.96675255445</v>
      </c>
      <c r="J356" s="679">
        <f ca="1">SUM(J350:J355)</f>
        <v>17642.028687120219</v>
      </c>
      <c r="K356" s="679">
        <f t="shared" ref="K356:P356" ca="1" si="218">SUM(K350:K355)</f>
        <v>71171.752053048243</v>
      </c>
      <c r="L356" s="679">
        <f t="shared" si="218"/>
        <v>0</v>
      </c>
      <c r="M356" s="679">
        <f t="shared" si="218"/>
        <v>328.65914820639142</v>
      </c>
      <c r="N356" s="679">
        <f t="shared" si="218"/>
        <v>27.526864179586589</v>
      </c>
      <c r="O356" s="679">
        <f t="shared" si="218"/>
        <v>0</v>
      </c>
      <c r="P356" s="679">
        <f t="shared" si="218"/>
        <v>0</v>
      </c>
    </row>
    <row r="357" spans="1:16" x14ac:dyDescent="0.25">
      <c r="A357" s="302"/>
      <c r="B357" s="24"/>
      <c r="C357" s="9">
        <f t="shared" ca="1" si="214"/>
        <v>1</v>
      </c>
      <c r="D357" s="378" t="s">
        <v>390</v>
      </c>
      <c r="E357" s="370" t="s">
        <v>50</v>
      </c>
      <c r="F357" s="678">
        <f t="shared" ref="F357" ca="1" si="219">SUM(G357:I357)</f>
        <v>0</v>
      </c>
      <c r="G357" s="658">
        <f ca="1">+IFERROR(G$5*GETPIVOTDATA("Unique Billed Hours",'County allocation'!$A$3,"County",$D347,"HHA/CDPAP","CDPAP","Level of Service",$D357),0)</f>
        <v>0</v>
      </c>
      <c r="H357" s="659"/>
      <c r="I357" s="678">
        <f t="shared" si="216"/>
        <v>0</v>
      </c>
      <c r="J357" s="659"/>
      <c r="K357" s="659"/>
      <c r="L357" s="659"/>
      <c r="M357" s="659"/>
      <c r="N357" s="659"/>
      <c r="O357" s="659"/>
      <c r="P357" s="659"/>
    </row>
    <row r="358" spans="1:16" ht="15.75" thickBot="1" x14ac:dyDescent="0.3">
      <c r="B358" s="24"/>
      <c r="C358" s="9">
        <f t="shared" ca="1" si="214"/>
        <v>1</v>
      </c>
      <c r="D358" s="11" t="s">
        <v>48</v>
      </c>
      <c r="E358" s="53" t="s">
        <v>49</v>
      </c>
      <c r="F358" s="662">
        <f ca="1">SUBTOTAL(9,F350:F355)</f>
        <v>96380.736260202772</v>
      </c>
      <c r="G358" s="662">
        <f t="shared" ref="G358:H358" ca="1" si="220">SUBTOTAL(9,G350:G355)</f>
        <v>3874.7130818515479</v>
      </c>
      <c r="H358" s="662">
        <f t="shared" si="220"/>
        <v>3336.0564257967694</v>
      </c>
      <c r="I358" s="678">
        <f t="shared" ca="1" si="216"/>
        <v>89169.96675255445</v>
      </c>
      <c r="J358" s="662">
        <f t="shared" ref="J358:P358" ca="1" si="221">SUBTOTAL(9,J350:J355)</f>
        <v>17642.028687120219</v>
      </c>
      <c r="K358" s="662">
        <f t="shared" ca="1" si="221"/>
        <v>71171.752053048243</v>
      </c>
      <c r="L358" s="662">
        <f t="shared" si="221"/>
        <v>0</v>
      </c>
      <c r="M358" s="662">
        <f t="shared" si="221"/>
        <v>328.65914820639142</v>
      </c>
      <c r="N358" s="662">
        <f t="shared" si="221"/>
        <v>27.526864179586589</v>
      </c>
      <c r="O358" s="662">
        <f t="shared" si="221"/>
        <v>0</v>
      </c>
      <c r="P358" s="662">
        <f t="shared" si="221"/>
        <v>0</v>
      </c>
    </row>
    <row r="359" spans="1:16" ht="15.75" hidden="1" thickBot="1" x14ac:dyDescent="0.3"/>
    <row r="360" spans="1:16" ht="75" x14ac:dyDescent="0.25">
      <c r="A360" s="60"/>
      <c r="B360" s="24"/>
      <c r="C360" s="9">
        <f ca="1">IF(F371&gt;0,1,0)</f>
        <v>1</v>
      </c>
      <c r="D360" s="45" t="str">
        <f>A30</f>
        <v>Madison</v>
      </c>
      <c r="E360" s="28">
        <f>SUMIF(A:A,D360,B:B)</f>
        <v>1.9127199054402991E-3</v>
      </c>
      <c r="F360" s="652" t="s">
        <v>396</v>
      </c>
      <c r="G360" s="652" t="s">
        <v>387</v>
      </c>
      <c r="H360" s="652" t="s">
        <v>388</v>
      </c>
      <c r="I360" s="652" t="s">
        <v>392</v>
      </c>
      <c r="J360" s="652" t="s">
        <v>31</v>
      </c>
      <c r="K360" s="652" t="s">
        <v>32</v>
      </c>
      <c r="L360" s="653" t="s">
        <v>33</v>
      </c>
      <c r="M360" s="653" t="s">
        <v>60</v>
      </c>
      <c r="N360" s="653" t="s">
        <v>59</v>
      </c>
      <c r="O360" s="653" t="s">
        <v>58</v>
      </c>
      <c r="P360" s="653" t="s">
        <v>16</v>
      </c>
    </row>
    <row r="361" spans="1:16" x14ac:dyDescent="0.25">
      <c r="A361" s="60"/>
      <c r="B361" s="24"/>
      <c r="C361" s="9">
        <f ca="1">C360</f>
        <v>1</v>
      </c>
      <c r="D361" s="47"/>
      <c r="E361" s="48"/>
      <c r="F361" s="669" t="s">
        <v>57</v>
      </c>
      <c r="G361" s="669" t="s">
        <v>56</v>
      </c>
      <c r="H361" s="669" t="s">
        <v>55</v>
      </c>
      <c r="I361" s="669" t="s">
        <v>54</v>
      </c>
      <c r="J361" s="669" t="s">
        <v>53</v>
      </c>
      <c r="K361" s="669" t="s">
        <v>52</v>
      </c>
      <c r="L361" s="669" t="s">
        <v>51</v>
      </c>
      <c r="M361" s="669" t="s">
        <v>50</v>
      </c>
      <c r="N361" s="669" t="s">
        <v>49</v>
      </c>
      <c r="O361" s="669" t="s">
        <v>47</v>
      </c>
      <c r="P361" s="670" t="s">
        <v>77</v>
      </c>
    </row>
    <row r="362" spans="1:16" x14ac:dyDescent="0.25">
      <c r="B362" s="24"/>
      <c r="C362" s="9">
        <f t="shared" ref="C362:C371" ca="1" si="222">C361</f>
        <v>1</v>
      </c>
      <c r="D362" s="51" t="s">
        <v>26</v>
      </c>
      <c r="E362" s="48"/>
      <c r="F362" s="674"/>
      <c r="G362" s="674"/>
      <c r="H362" s="674"/>
      <c r="I362" s="674"/>
      <c r="J362" s="674"/>
      <c r="K362" s="674"/>
      <c r="L362" s="675"/>
      <c r="M362" s="675"/>
      <c r="N362" s="676"/>
      <c r="O362" s="674"/>
      <c r="P362" s="677"/>
    </row>
    <row r="363" spans="1:16" x14ac:dyDescent="0.25">
      <c r="B363" s="24"/>
      <c r="C363" s="9">
        <f t="shared" ca="1" si="222"/>
        <v>1</v>
      </c>
      <c r="D363" s="267" t="s">
        <v>18</v>
      </c>
      <c r="E363" s="48" t="s">
        <v>57</v>
      </c>
      <c r="F363" s="678">
        <f ca="1">SUM(G363:I363)</f>
        <v>164883.06760100319</v>
      </c>
      <c r="G363" s="658">
        <f ca="1">+IFERROR(G$5*GETPIVOTDATA("Unique Billed Hours",'County allocation'!$A$3,"County",$D360,"HHA/CDPAP","CDPAP","Level of Service",$D363),0)</f>
        <v>6628.6542705445418</v>
      </c>
      <c r="H363" s="658">
        <f>+IFERROR(H$5*GETPIVOTDATA("Unique Billed Hours",'County allocation'!$A$3,"County",$D360,"HHA/CDPAP","CDPAP","Level of Service",$D363),0)</f>
        <v>5707.1489440627838</v>
      </c>
      <c r="I363" s="678">
        <f ca="1">SUM(J363:P363)</f>
        <v>152547.26438639587</v>
      </c>
      <c r="J363" s="658">
        <f ca="1">+IFERROR(J$5*GETPIVOTDATA("Unique Billed Hours",'County allocation'!$S$3,"County",$D360,"HHA/CDPAP","CDPAP","Level of Service",$D363),0)</f>
        <v>30181.049881006184</v>
      </c>
      <c r="K363" s="658">
        <f ca="1">+IFERROR(K$5*GETPIVOTDATA("Unique Billed Hours",'County allocation'!$X$3,"County",$D360,"HHA/CDPAP","CDPAP","Level of Service",$D363),0)</f>
        <v>121756.87030822341</v>
      </c>
      <c r="L363" s="658">
        <f>+IFERROR(L$5*GETPIVOTDATA("Unique Billed Hours",'County allocation'!$K$19,"County",$D360,"HHA/CDPAP","CDPAP","Level of Service",$D363),0)</f>
        <v>0</v>
      </c>
      <c r="M363" s="658">
        <f>+IFERROR(M$5*GETPIVOTDATA("Unique Billed Hours",'County allocation'!$S$3,"County",$D360,"HHA/CDPAP","CDPAP","Level of Service",$D363),0)</f>
        <v>562.2526933712445</v>
      </c>
      <c r="N363" s="658">
        <f>+IFERROR(N$5*GETPIVOTDATA("Unique Billed Hours",'County allocation'!$S$3,"County",$D360,"HHA/CDPAP","CDPAP","Level of Service",$D363),0)</f>
        <v>47.091503795043337</v>
      </c>
      <c r="O363" s="658">
        <f>+IFERROR(O$5*GETPIVOTDATA("Unique Billed Hours",'County allocation'!$S$3,"County",$D360,"HHA/CDPAP","CDPAP","Level of Service",$D363),0)</f>
        <v>0</v>
      </c>
      <c r="P363" s="658">
        <f>+IFERROR(P$5*GETPIVOTDATA("Unique Billed Hours",'County allocation'!$S$3,"County",$D360,"HHA/CDPAP","CDPAP","Level of Service",$D363),0)</f>
        <v>0</v>
      </c>
    </row>
    <row r="364" spans="1:16" x14ac:dyDescent="0.25">
      <c r="B364" s="24"/>
      <c r="C364" s="9">
        <f t="shared" ca="1" si="222"/>
        <v>1</v>
      </c>
      <c r="D364" s="267" t="s">
        <v>42</v>
      </c>
      <c r="E364" s="48" t="s">
        <v>56</v>
      </c>
      <c r="F364" s="678">
        <f t="shared" ref="F364:F368" ca="1" si="223">SUM(G364:I364)</f>
        <v>0</v>
      </c>
      <c r="G364" s="658">
        <f ca="1">+IFERROR(G$5*GETPIVOTDATA("Unique Billed Hours",'County allocation'!$A$3,"County",$D360,"HHA/CDPAP","CDPAP","Level of Service",$D364),0)</f>
        <v>0</v>
      </c>
      <c r="H364" s="658">
        <f>+IFERROR(H$5*GETPIVOTDATA("Unique Billed Hours",'County allocation'!$A$3,"County",$D360,"HHA/CDPAP","CDPAP","Level of Service",$D364),0)</f>
        <v>0</v>
      </c>
      <c r="I364" s="678">
        <f t="shared" ref="I364:I371" ca="1" si="224">SUM(J364:P364)</f>
        <v>0</v>
      </c>
      <c r="J364" s="658">
        <f ca="1">+IFERROR(J$5*GETPIVOTDATA("Unique Billed Hours",'County allocation'!$S$3,"County",$D360,"HHA/CDPAP","CDPAP","Level of Service",$D364),0)</f>
        <v>0</v>
      </c>
      <c r="K364" s="658">
        <f ca="1">+IFERROR(K$5*GETPIVOTDATA("Unique Billed Hours",'County allocation'!$X$3,"County",$D360,"HHA/CDPAP","CDPAP","Level of Service",$D364),0)</f>
        <v>0</v>
      </c>
      <c r="L364" s="658">
        <f>+IFERROR(L$5*GETPIVOTDATA("Unique Billed Hours",'County allocation'!$K$19,"County",$D360,"HHA/CDPAP","CDPAP","Level of Service",$D364),0)</f>
        <v>0</v>
      </c>
      <c r="M364" s="658">
        <f>+IFERROR(M$5*GETPIVOTDATA("Unique Billed Hours",'County allocation'!$S$3,"County",$D360,"HHA/CDPAP","CDPAP","Level of Service",$D364),0)</f>
        <v>0</v>
      </c>
      <c r="N364" s="658">
        <f>+IFERROR(N$5*GETPIVOTDATA("Unique Billed Hours",'County allocation'!$S$3,"County",$D360,"HHA/CDPAP","CDPAP","Level of Service",$D364),0)</f>
        <v>0</v>
      </c>
      <c r="O364" s="658">
        <f>+IFERROR(O$5*GETPIVOTDATA("Unique Billed Hours",'County allocation'!$S$3,"County",$D360,"HHA/CDPAP","CDPAP","Level of Service",$D364),0)</f>
        <v>0</v>
      </c>
      <c r="P364" s="658">
        <f>+IFERROR(P$5*GETPIVOTDATA("Unique Billed Hours",'County allocation'!$S$3,"County",$D360,"HHA/CDPAP","CDPAP","Level of Service",$D364),0)</f>
        <v>0</v>
      </c>
    </row>
    <row r="365" spans="1:16" x14ac:dyDescent="0.25">
      <c r="B365" s="24"/>
      <c r="C365" s="9">
        <f t="shared" ca="1" si="222"/>
        <v>1</v>
      </c>
      <c r="D365" s="267" t="s">
        <v>43</v>
      </c>
      <c r="E365" s="48" t="s">
        <v>55</v>
      </c>
      <c r="F365" s="678">
        <f t="shared" ca="1" si="223"/>
        <v>0</v>
      </c>
      <c r="G365" s="658">
        <f ca="1">+IFERROR(G$5*GETPIVOTDATA("Unique Billed Hours",'County allocation'!$A$3,"County",$D360,"HHA/CDPAP","CDPAP","Level of Service",$D365),0)</f>
        <v>0</v>
      </c>
      <c r="H365" s="658">
        <f>+IFERROR(H$5*GETPIVOTDATA("Unique Billed Hours",'County allocation'!$A$3,"County",$D360,"HHA/CDPAP","CDPAP","Level of Service",$D365),0)</f>
        <v>0</v>
      </c>
      <c r="I365" s="678">
        <f t="shared" ca="1" si="224"/>
        <v>0</v>
      </c>
      <c r="J365" s="658">
        <f ca="1">+IFERROR(J$5*GETPIVOTDATA("Unique Billed Hours",'County allocation'!$S$3,"County",$D360,"HHA/CDPAP","CDPAP","Level of Service",$D365),0)</f>
        <v>0</v>
      </c>
      <c r="K365" s="658">
        <f ca="1">+IFERROR(K$5*GETPIVOTDATA("Unique Billed Hours",'County allocation'!$X$3,"County",$D360,"HHA/CDPAP","CDPAP","Level of Service",$D365),0)</f>
        <v>0</v>
      </c>
      <c r="L365" s="658">
        <f>+IFERROR(L$5*GETPIVOTDATA("Unique Billed Hours",'County allocation'!$K$19,"County",$D360,"HHA/CDPAP","CDPAP","Level of Service",$D365),0)</f>
        <v>0</v>
      </c>
      <c r="M365" s="658">
        <f>+IFERROR(M$5*GETPIVOTDATA("Unique Billed Hours",'County allocation'!$S$3,"County",$D360,"HHA/CDPAP","CDPAP","Level of Service",$D365),0)</f>
        <v>0</v>
      </c>
      <c r="N365" s="658">
        <f>+IFERROR(N$5*GETPIVOTDATA("Unique Billed Hours",'County allocation'!$S$3,"County",$D360,"HHA/CDPAP","CDPAP","Level of Service",$D365),0)</f>
        <v>0</v>
      </c>
      <c r="O365" s="658">
        <f>+IFERROR(O$5*GETPIVOTDATA("Unique Billed Hours",'County allocation'!$S$3,"County",$D360,"HHA/CDPAP","CDPAP","Level of Service",$D365),0)</f>
        <v>0</v>
      </c>
      <c r="P365" s="658">
        <f>+IFERROR(P$5*GETPIVOTDATA("Unique Billed Hours",'County allocation'!$S$3,"County",$D360,"HHA/CDPAP","CDPAP","Level of Service",$D365),0)</f>
        <v>0</v>
      </c>
    </row>
    <row r="366" spans="1:16" x14ac:dyDescent="0.25">
      <c r="B366" s="24"/>
      <c r="C366" s="9">
        <f t="shared" ca="1" si="222"/>
        <v>1</v>
      </c>
      <c r="D366" s="267" t="s">
        <v>44</v>
      </c>
      <c r="E366" s="48" t="s">
        <v>54</v>
      </c>
      <c r="F366" s="678">
        <f t="shared" ca="1" si="223"/>
        <v>0</v>
      </c>
      <c r="G366" s="658">
        <f ca="1">+IFERROR(G$5*GETPIVOTDATA("Unique Billed Hours",'County allocation'!$A$3,"County",$D360,"HHA/CDPAP","CDPAP","Level of Service",$D366),0)</f>
        <v>0</v>
      </c>
      <c r="H366" s="658">
        <f>+IFERROR(H$5*GETPIVOTDATA("Unique Billed Hours",'County allocation'!$A$3,"County",$D360,"HHA/CDPAP","CDPAP","Level of Service",$D366),0)</f>
        <v>0</v>
      </c>
      <c r="I366" s="678">
        <f t="shared" ca="1" si="224"/>
        <v>0</v>
      </c>
      <c r="J366" s="658">
        <f ca="1">+IFERROR(J$5*GETPIVOTDATA("Unique Billed Hours",'County allocation'!$S$3,"County",$D360,"HHA/CDPAP","CDPAP","Level of Service",$D366),0)</f>
        <v>0</v>
      </c>
      <c r="K366" s="658">
        <f ca="1">+IFERROR(K$5*GETPIVOTDATA("Unique Billed Hours",'County allocation'!$X$3,"County",$D360,"HHA/CDPAP","CDPAP","Level of Service",$D366),0)</f>
        <v>0</v>
      </c>
      <c r="L366" s="658">
        <f>+IFERROR(L$5*GETPIVOTDATA("Unique Billed Hours",'County allocation'!$K$19,"County",$D360,"HHA/CDPAP","CDPAP","Level of Service",$D366),0)</f>
        <v>0</v>
      </c>
      <c r="M366" s="658">
        <f>+IFERROR(M$5*GETPIVOTDATA("Unique Billed Hours",'County allocation'!$S$3,"County",$D360,"HHA/CDPAP","CDPAP","Level of Service",$D366),0)</f>
        <v>0</v>
      </c>
      <c r="N366" s="658">
        <f>+IFERROR(N$5*GETPIVOTDATA("Unique Billed Hours",'County allocation'!$S$3,"County",$D360,"HHA/CDPAP","CDPAP","Level of Service",$D366),0)</f>
        <v>0</v>
      </c>
      <c r="O366" s="658">
        <f>+IFERROR(O$5*GETPIVOTDATA("Unique Billed Hours",'County allocation'!$S$3,"County",$D360,"HHA/CDPAP","CDPAP","Level of Service",$D366),0)</f>
        <v>0</v>
      </c>
      <c r="P366" s="658">
        <f>+IFERROR(P$5*GETPIVOTDATA("Unique Billed Hours",'County allocation'!$S$3,"County",$D360,"HHA/CDPAP","CDPAP","Level of Service",$D366),0)</f>
        <v>0</v>
      </c>
    </row>
    <row r="367" spans="1:16" x14ac:dyDescent="0.25">
      <c r="B367" s="24"/>
      <c r="C367" s="9">
        <f t="shared" ca="1" si="222"/>
        <v>1</v>
      </c>
      <c r="D367" s="267" t="s">
        <v>45</v>
      </c>
      <c r="E367" s="48" t="s">
        <v>53</v>
      </c>
      <c r="F367" s="678">
        <f t="shared" ca="1" si="223"/>
        <v>0</v>
      </c>
      <c r="G367" s="658">
        <f ca="1">+IFERROR(G$5*GETPIVOTDATA("Unique Billed Hours",'County allocation'!$A$3,"County",$D360,"HHA/CDPAP","CDPAP","Level of Service",$D367),0)</f>
        <v>0</v>
      </c>
      <c r="H367" s="658">
        <f>+IFERROR(H$5*GETPIVOTDATA("Unique Billed Hours",'County allocation'!$A$3,"County",$D360,"HHA/CDPAP","CDPAP","Level of Service",$D367),0)</f>
        <v>0</v>
      </c>
      <c r="I367" s="678">
        <f t="shared" ca="1" si="224"/>
        <v>0</v>
      </c>
      <c r="J367" s="658">
        <f ca="1">+IFERROR(J$5*GETPIVOTDATA("Unique Billed Hours",'County allocation'!$S$3,"County",$D360,"HHA/CDPAP","CDPAP","Level of Service",$D367),0)</f>
        <v>0</v>
      </c>
      <c r="K367" s="658">
        <f ca="1">+IFERROR(K$5*GETPIVOTDATA("Unique Billed Hours",'County allocation'!$X$3,"County",$D360,"HHA/CDPAP","CDPAP","Level of Service",$D367),0)</f>
        <v>0</v>
      </c>
      <c r="L367" s="658">
        <f>+IFERROR(L$5*GETPIVOTDATA("Unique Billed Hours",'County allocation'!$K$19,"County",$D360,"HHA/CDPAP","CDPAP","Level of Service",$D367),0)</f>
        <v>0</v>
      </c>
      <c r="M367" s="658">
        <f>+IFERROR(M$5*GETPIVOTDATA("Unique Billed Hours",'County allocation'!$S$3,"County",$D360,"HHA/CDPAP","CDPAP","Level of Service",$D367),0)</f>
        <v>0</v>
      </c>
      <c r="N367" s="658">
        <f>+IFERROR(N$5*GETPIVOTDATA("Unique Billed Hours",'County allocation'!$S$3,"County",$D360,"HHA/CDPAP","CDPAP","Level of Service",$D367),0)</f>
        <v>0</v>
      </c>
      <c r="O367" s="658">
        <f>+IFERROR(O$5*GETPIVOTDATA("Unique Billed Hours",'County allocation'!$S$3,"County",$D360,"HHA/CDPAP","CDPAP","Level of Service",$D367),0)</f>
        <v>0</v>
      </c>
      <c r="P367" s="658">
        <f>+IFERROR(P$5*GETPIVOTDATA("Unique Billed Hours",'County allocation'!$S$3,"County",$D360,"HHA/CDPAP","CDPAP","Level of Service",$D367),0)</f>
        <v>0</v>
      </c>
    </row>
    <row r="368" spans="1:16" x14ac:dyDescent="0.25">
      <c r="A368" s="302"/>
      <c r="B368" s="24"/>
      <c r="C368" s="9">
        <f t="shared" ca="1" si="222"/>
        <v>1</v>
      </c>
      <c r="D368" s="267" t="s">
        <v>46</v>
      </c>
      <c r="E368" s="48" t="s">
        <v>52</v>
      </c>
      <c r="F368" s="678">
        <f t="shared" ca="1" si="223"/>
        <v>0</v>
      </c>
      <c r="G368" s="658">
        <f ca="1">+IFERROR(G$5*GETPIVOTDATA("Unique Billed Hours",'County allocation'!$A$3,"County",$D360,"HHA/CDPAP","CDPAP","Level of Service",$D368),0)</f>
        <v>0</v>
      </c>
      <c r="H368" s="658">
        <f>+IFERROR(H$5*GETPIVOTDATA("Unique Billed Hours",'County allocation'!$A$3,"County",$D360,"HHA/CDPAP","CDPAP","Level of Service",$D368),0)</f>
        <v>0</v>
      </c>
      <c r="I368" s="678">
        <f t="shared" ca="1" si="224"/>
        <v>0</v>
      </c>
      <c r="J368" s="658">
        <f ca="1">+IFERROR(J$5*GETPIVOTDATA("Unique Billed Hours",'County allocation'!$S$3,"County",$D360,"HHA/CDPAP","CDPAP","Level of Service",$D368),0)</f>
        <v>0</v>
      </c>
      <c r="K368" s="658">
        <f ca="1">+IFERROR(K$5*GETPIVOTDATA("Unique Billed Hours",'County allocation'!$X$3,"County",$D360,"HHA/CDPAP","CDPAP","Level of Service",$D368),0)</f>
        <v>0</v>
      </c>
      <c r="L368" s="658">
        <f>+IFERROR(L$5*GETPIVOTDATA("Unique Billed Hours",'County allocation'!$K$19,"County",$D360,"HHA/CDPAP","CDPAP","Level of Service",$D368),0)</f>
        <v>0</v>
      </c>
      <c r="M368" s="658">
        <f>+IFERROR(M$5*GETPIVOTDATA("Unique Billed Hours",'County allocation'!$S$3,"County",$D360,"HHA/CDPAP","CDPAP","Level of Service",$D368),0)</f>
        <v>0</v>
      </c>
      <c r="N368" s="658">
        <f>+IFERROR(N$5*GETPIVOTDATA("Unique Billed Hours",'County allocation'!$S$3,"County",$D360,"HHA/CDPAP","CDPAP","Level of Service",$D368),0)</f>
        <v>0</v>
      </c>
      <c r="O368" s="658">
        <f>+IFERROR(O$5*GETPIVOTDATA("Unique Billed Hours",'County allocation'!$S$3,"County",$D360,"HHA/CDPAP","CDPAP","Level of Service",$D368),0)</f>
        <v>0</v>
      </c>
      <c r="P368" s="658">
        <f>+IFERROR(P$5*GETPIVOTDATA("Unique Billed Hours",'County allocation'!$S$3,"County",$D360,"HHA/CDPAP","CDPAP","Level of Service",$D368),0)</f>
        <v>0</v>
      </c>
    </row>
    <row r="369" spans="1:16" ht="15.75" thickBot="1" x14ac:dyDescent="0.3">
      <c r="A369" s="302"/>
      <c r="B369" s="24"/>
      <c r="C369" s="9">
        <f t="shared" ca="1" si="222"/>
        <v>1</v>
      </c>
      <c r="D369" s="52" t="s">
        <v>389</v>
      </c>
      <c r="E369" s="370" t="s">
        <v>51</v>
      </c>
      <c r="F369" s="679">
        <f ca="1">SUM(F363:F368)</f>
        <v>164883.06760100319</v>
      </c>
      <c r="G369" s="679">
        <f t="shared" ref="G369:H369" ca="1" si="225">SUM(G363:G368)</f>
        <v>6628.6542705445418</v>
      </c>
      <c r="H369" s="679">
        <f t="shared" si="225"/>
        <v>5707.1489440627838</v>
      </c>
      <c r="I369" s="678">
        <f t="shared" ca="1" si="224"/>
        <v>152547.26438639587</v>
      </c>
      <c r="J369" s="679">
        <f ca="1">SUM(J363:J368)</f>
        <v>30181.049881006184</v>
      </c>
      <c r="K369" s="679">
        <f t="shared" ref="K369:P369" ca="1" si="226">SUM(K363:K368)</f>
        <v>121756.87030822341</v>
      </c>
      <c r="L369" s="679">
        <f t="shared" si="226"/>
        <v>0</v>
      </c>
      <c r="M369" s="679">
        <f t="shared" si="226"/>
        <v>562.2526933712445</v>
      </c>
      <c r="N369" s="679">
        <f t="shared" si="226"/>
        <v>47.091503795043337</v>
      </c>
      <c r="O369" s="679">
        <f t="shared" si="226"/>
        <v>0</v>
      </c>
      <c r="P369" s="679">
        <f t="shared" si="226"/>
        <v>0</v>
      </c>
    </row>
    <row r="370" spans="1:16" x14ac:dyDescent="0.25">
      <c r="A370" s="302"/>
      <c r="B370" s="24"/>
      <c r="C370" s="9">
        <f t="shared" ca="1" si="222"/>
        <v>1</v>
      </c>
      <c r="D370" s="378" t="s">
        <v>390</v>
      </c>
      <c r="E370" s="370" t="s">
        <v>50</v>
      </c>
      <c r="F370" s="678">
        <f t="shared" ref="F370" ca="1" si="227">SUM(G370:I370)</f>
        <v>0</v>
      </c>
      <c r="G370" s="658">
        <f ca="1">+IFERROR(G$5*GETPIVOTDATA("Unique Billed Hours",'County allocation'!$A$3,"County",$D360,"HHA/CDPAP","CDPAP","Level of Service",$D370),0)</f>
        <v>0</v>
      </c>
      <c r="H370" s="659"/>
      <c r="I370" s="678">
        <f t="shared" si="224"/>
        <v>0</v>
      </c>
      <c r="J370" s="659"/>
      <c r="K370" s="659"/>
      <c r="L370" s="659"/>
      <c r="M370" s="659"/>
      <c r="N370" s="659"/>
      <c r="O370" s="659"/>
      <c r="P370" s="659"/>
    </row>
    <row r="371" spans="1:16" ht="15.75" thickBot="1" x14ac:dyDescent="0.3">
      <c r="B371" s="24"/>
      <c r="C371" s="9">
        <f t="shared" ca="1" si="222"/>
        <v>1</v>
      </c>
      <c r="D371" s="11" t="s">
        <v>48</v>
      </c>
      <c r="E371" s="53" t="s">
        <v>49</v>
      </c>
      <c r="F371" s="662">
        <f ca="1">SUBTOTAL(9,F363:F368)</f>
        <v>164883.06760100319</v>
      </c>
      <c r="G371" s="662">
        <f t="shared" ref="G371:H371" ca="1" si="228">SUBTOTAL(9,G363:G368)</f>
        <v>6628.6542705445418</v>
      </c>
      <c r="H371" s="662">
        <f t="shared" si="228"/>
        <v>5707.1489440627838</v>
      </c>
      <c r="I371" s="678">
        <f t="shared" ca="1" si="224"/>
        <v>152547.26438639587</v>
      </c>
      <c r="J371" s="662">
        <f t="shared" ref="J371:P371" ca="1" si="229">SUBTOTAL(9,J363:J368)</f>
        <v>30181.049881006184</v>
      </c>
      <c r="K371" s="662">
        <f t="shared" ca="1" si="229"/>
        <v>121756.87030822341</v>
      </c>
      <c r="L371" s="662">
        <f t="shared" si="229"/>
        <v>0</v>
      </c>
      <c r="M371" s="662">
        <f t="shared" si="229"/>
        <v>562.2526933712445</v>
      </c>
      <c r="N371" s="662">
        <f t="shared" si="229"/>
        <v>47.091503795043337</v>
      </c>
      <c r="O371" s="662">
        <f t="shared" si="229"/>
        <v>0</v>
      </c>
      <c r="P371" s="662">
        <f t="shared" si="229"/>
        <v>0</v>
      </c>
    </row>
    <row r="372" spans="1:16" ht="15.75" hidden="1" thickBot="1" x14ac:dyDescent="0.3"/>
    <row r="373" spans="1:16" ht="75" x14ac:dyDescent="0.25">
      <c r="A373" s="60"/>
      <c r="B373" s="24"/>
      <c r="C373" s="9">
        <f ca="1">IF(F384&gt;0,1,0)</f>
        <v>1</v>
      </c>
      <c r="D373" s="45" t="str">
        <f>A31</f>
        <v>Monroe</v>
      </c>
      <c r="E373" s="28">
        <f>SUMIF(A:A,D373,B:B)</f>
        <v>3.1956436739103963E-2</v>
      </c>
      <c r="F373" s="652" t="s">
        <v>396</v>
      </c>
      <c r="G373" s="652" t="s">
        <v>387</v>
      </c>
      <c r="H373" s="652" t="s">
        <v>388</v>
      </c>
      <c r="I373" s="652" t="s">
        <v>392</v>
      </c>
      <c r="J373" s="652" t="s">
        <v>31</v>
      </c>
      <c r="K373" s="652" t="s">
        <v>32</v>
      </c>
      <c r="L373" s="653" t="s">
        <v>33</v>
      </c>
      <c r="M373" s="653" t="s">
        <v>60</v>
      </c>
      <c r="N373" s="653" t="s">
        <v>59</v>
      </c>
      <c r="O373" s="653" t="s">
        <v>58</v>
      </c>
      <c r="P373" s="653" t="s">
        <v>16</v>
      </c>
    </row>
    <row r="374" spans="1:16" x14ac:dyDescent="0.25">
      <c r="A374" s="60"/>
      <c r="B374" s="24"/>
      <c r="C374" s="9">
        <f ca="1">C373</f>
        <v>1</v>
      </c>
      <c r="D374" s="47"/>
      <c r="E374" s="48"/>
      <c r="F374" s="669" t="s">
        <v>57</v>
      </c>
      <c r="G374" s="669" t="s">
        <v>56</v>
      </c>
      <c r="H374" s="669" t="s">
        <v>55</v>
      </c>
      <c r="I374" s="669" t="s">
        <v>54</v>
      </c>
      <c r="J374" s="669" t="s">
        <v>53</v>
      </c>
      <c r="K374" s="669" t="s">
        <v>52</v>
      </c>
      <c r="L374" s="669" t="s">
        <v>51</v>
      </c>
      <c r="M374" s="669" t="s">
        <v>50</v>
      </c>
      <c r="N374" s="669" t="s">
        <v>49</v>
      </c>
      <c r="O374" s="669" t="s">
        <v>47</v>
      </c>
      <c r="P374" s="670" t="s">
        <v>77</v>
      </c>
    </row>
    <row r="375" spans="1:16" x14ac:dyDescent="0.25">
      <c r="B375" s="24"/>
      <c r="C375" s="9">
        <f t="shared" ref="C375:C384" ca="1" si="230">C374</f>
        <v>1</v>
      </c>
      <c r="D375" s="51" t="s">
        <v>26</v>
      </c>
      <c r="E375" s="48"/>
      <c r="F375" s="674"/>
      <c r="G375" s="674"/>
      <c r="H375" s="674"/>
      <c r="I375" s="674"/>
      <c r="J375" s="674"/>
      <c r="K375" s="674"/>
      <c r="L375" s="675"/>
      <c r="M375" s="675"/>
      <c r="N375" s="676"/>
      <c r="O375" s="674"/>
      <c r="P375" s="677"/>
    </row>
    <row r="376" spans="1:16" x14ac:dyDescent="0.25">
      <c r="B376" s="24"/>
      <c r="C376" s="9">
        <f t="shared" ca="1" si="230"/>
        <v>1</v>
      </c>
      <c r="D376" s="267" t="s">
        <v>18</v>
      </c>
      <c r="E376" s="48" t="s">
        <v>57</v>
      </c>
      <c r="F376" s="678">
        <f ca="1">SUM(G376:I376)</f>
        <v>2754755.3116136701</v>
      </c>
      <c r="G376" s="658">
        <f ca="1">+IFERROR(G$5*GETPIVOTDATA("Unique Billed Hours",'County allocation'!$A$3,"County",$D373,"HHA/CDPAP","CDPAP","Level of Service",$D376),0)</f>
        <v>110747.09384241291</v>
      </c>
      <c r="H376" s="658">
        <f>+IFERROR(H$5*GETPIVOTDATA("Unique Billed Hours",'County allocation'!$A$3,"County",$D373,"HHA/CDPAP","CDPAP","Level of Service",$D376),0)</f>
        <v>95351.203107599431</v>
      </c>
      <c r="I376" s="678">
        <f ca="1">SUM(J376:P376)</f>
        <v>2548657.0146636576</v>
      </c>
      <c r="J376" s="658">
        <f ca="1">+IFERROR(J$5*GETPIVOTDATA("Unique Billed Hours",'County allocation'!$S$3,"County",$D373,"HHA/CDPAP","CDPAP","Level of Service",$D376),0)</f>
        <v>504244.6667172091</v>
      </c>
      <c r="K376" s="658">
        <f ca="1">+IFERROR(K$5*GETPIVOTDATA("Unique Billed Hours",'County allocation'!$X$3,"County",$D373,"HHA/CDPAP","CDPAP","Level of Service",$D376),0)</f>
        <v>2034231.8352463408</v>
      </c>
      <c r="L376" s="658">
        <f>+IFERROR(L$5*GETPIVOTDATA("Unique Billed Hours",'County allocation'!$K$19,"County",$D373,"HHA/CDPAP","CDPAP","Level of Service",$D376),0)</f>
        <v>0</v>
      </c>
      <c r="M376" s="658">
        <f>+IFERROR(M$5*GETPIVOTDATA("Unique Billed Hours",'County allocation'!$S$3,"County",$D373,"HHA/CDPAP","CDPAP","Level of Service",$D376),0)</f>
        <v>9393.7395517264395</v>
      </c>
      <c r="N376" s="658">
        <f>+IFERROR(N$5*GETPIVOTDATA("Unique Billed Hours",'County allocation'!$S$3,"County",$D373,"HHA/CDPAP","CDPAP","Level of Service",$D376),0)</f>
        <v>786.77314838168161</v>
      </c>
      <c r="O376" s="658">
        <f>+IFERROR(O$5*GETPIVOTDATA("Unique Billed Hours",'County allocation'!$S$3,"County",$D373,"HHA/CDPAP","CDPAP","Level of Service",$D376),0)</f>
        <v>0</v>
      </c>
      <c r="P376" s="658">
        <f>+IFERROR(P$5*GETPIVOTDATA("Unique Billed Hours",'County allocation'!$S$3,"County",$D373,"HHA/CDPAP","CDPAP","Level of Service",$D376),0)</f>
        <v>0</v>
      </c>
    </row>
    <row r="377" spans="1:16" x14ac:dyDescent="0.25">
      <c r="B377" s="24"/>
      <c r="C377" s="9">
        <f t="shared" ca="1" si="230"/>
        <v>1</v>
      </c>
      <c r="D377" s="267" t="s">
        <v>42</v>
      </c>
      <c r="E377" s="48" t="s">
        <v>56</v>
      </c>
      <c r="F377" s="678">
        <f t="shared" ref="F377:F381" ca="1" si="231">SUM(G377:I377)</f>
        <v>0</v>
      </c>
      <c r="G377" s="658">
        <f ca="1">+IFERROR(G$5*GETPIVOTDATA("Unique Billed Hours",'County allocation'!$A$3,"County",$D373,"HHA/CDPAP","CDPAP","Level of Service",$D377),0)</f>
        <v>0</v>
      </c>
      <c r="H377" s="658">
        <f>+IFERROR(H$5*GETPIVOTDATA("Unique Billed Hours",'County allocation'!$A$3,"County",$D373,"HHA/CDPAP","CDPAP","Level of Service",$D377),0)</f>
        <v>0</v>
      </c>
      <c r="I377" s="678">
        <f t="shared" ref="I377:I384" ca="1" si="232">SUM(J377:P377)</f>
        <v>0</v>
      </c>
      <c r="J377" s="658">
        <f ca="1">+IFERROR(J$5*GETPIVOTDATA("Unique Billed Hours",'County allocation'!$S$3,"County",$D373,"HHA/CDPAP","CDPAP","Level of Service",$D377),0)</f>
        <v>0</v>
      </c>
      <c r="K377" s="658">
        <f ca="1">+IFERROR(K$5*GETPIVOTDATA("Unique Billed Hours",'County allocation'!$X$3,"County",$D373,"HHA/CDPAP","CDPAP","Level of Service",$D377),0)</f>
        <v>0</v>
      </c>
      <c r="L377" s="658">
        <f>+IFERROR(L$5*GETPIVOTDATA("Unique Billed Hours",'County allocation'!$K$19,"County",$D373,"HHA/CDPAP","CDPAP","Level of Service",$D377),0)</f>
        <v>0</v>
      </c>
      <c r="M377" s="658">
        <f>+IFERROR(M$5*GETPIVOTDATA("Unique Billed Hours",'County allocation'!$S$3,"County",$D373,"HHA/CDPAP","CDPAP","Level of Service",$D377),0)</f>
        <v>0</v>
      </c>
      <c r="N377" s="658">
        <f>+IFERROR(N$5*GETPIVOTDATA("Unique Billed Hours",'County allocation'!$S$3,"County",$D373,"HHA/CDPAP","CDPAP","Level of Service",$D377),0)</f>
        <v>0</v>
      </c>
      <c r="O377" s="658">
        <f>+IFERROR(O$5*GETPIVOTDATA("Unique Billed Hours",'County allocation'!$S$3,"County",$D373,"HHA/CDPAP","CDPAP","Level of Service",$D377),0)</f>
        <v>0</v>
      </c>
      <c r="P377" s="658">
        <f>+IFERROR(P$5*GETPIVOTDATA("Unique Billed Hours",'County allocation'!$S$3,"County",$D373,"HHA/CDPAP","CDPAP","Level of Service",$D377),0)</f>
        <v>0</v>
      </c>
    </row>
    <row r="378" spans="1:16" x14ac:dyDescent="0.25">
      <c r="B378" s="24"/>
      <c r="C378" s="9">
        <f t="shared" ca="1" si="230"/>
        <v>1</v>
      </c>
      <c r="D378" s="267" t="s">
        <v>43</v>
      </c>
      <c r="E378" s="48" t="s">
        <v>55</v>
      </c>
      <c r="F378" s="678">
        <f t="shared" ca="1" si="231"/>
        <v>0</v>
      </c>
      <c r="G378" s="658">
        <f ca="1">+IFERROR(G$5*GETPIVOTDATA("Unique Billed Hours",'County allocation'!$A$3,"County",$D373,"HHA/CDPAP","CDPAP","Level of Service",$D378),0)</f>
        <v>0</v>
      </c>
      <c r="H378" s="658">
        <f>+IFERROR(H$5*GETPIVOTDATA("Unique Billed Hours",'County allocation'!$A$3,"County",$D373,"HHA/CDPAP","CDPAP","Level of Service",$D378),0)</f>
        <v>0</v>
      </c>
      <c r="I378" s="678">
        <f t="shared" ca="1" si="232"/>
        <v>0</v>
      </c>
      <c r="J378" s="658">
        <f ca="1">+IFERROR(J$5*GETPIVOTDATA("Unique Billed Hours",'County allocation'!$S$3,"County",$D373,"HHA/CDPAP","CDPAP","Level of Service",$D378),0)</f>
        <v>0</v>
      </c>
      <c r="K378" s="658">
        <f ca="1">+IFERROR(K$5*GETPIVOTDATA("Unique Billed Hours",'County allocation'!$X$3,"County",$D373,"HHA/CDPAP","CDPAP","Level of Service",$D378),0)</f>
        <v>0</v>
      </c>
      <c r="L378" s="658">
        <f>+IFERROR(L$5*GETPIVOTDATA("Unique Billed Hours",'County allocation'!$K$19,"County",$D373,"HHA/CDPAP","CDPAP","Level of Service",$D378),0)</f>
        <v>0</v>
      </c>
      <c r="M378" s="658">
        <f>+IFERROR(M$5*GETPIVOTDATA("Unique Billed Hours",'County allocation'!$S$3,"County",$D373,"HHA/CDPAP","CDPAP","Level of Service",$D378),0)</f>
        <v>0</v>
      </c>
      <c r="N378" s="658">
        <f>+IFERROR(N$5*GETPIVOTDATA("Unique Billed Hours",'County allocation'!$S$3,"County",$D373,"HHA/CDPAP","CDPAP","Level of Service",$D378),0)</f>
        <v>0</v>
      </c>
      <c r="O378" s="658">
        <f>+IFERROR(O$5*GETPIVOTDATA("Unique Billed Hours",'County allocation'!$S$3,"County",$D373,"HHA/CDPAP","CDPAP","Level of Service",$D378),0)</f>
        <v>0</v>
      </c>
      <c r="P378" s="658">
        <f>+IFERROR(P$5*GETPIVOTDATA("Unique Billed Hours",'County allocation'!$S$3,"County",$D373,"HHA/CDPAP","CDPAP","Level of Service",$D378),0)</f>
        <v>0</v>
      </c>
    </row>
    <row r="379" spans="1:16" x14ac:dyDescent="0.25">
      <c r="B379" s="24"/>
      <c r="C379" s="9">
        <f t="shared" ca="1" si="230"/>
        <v>1</v>
      </c>
      <c r="D379" s="267" t="s">
        <v>44</v>
      </c>
      <c r="E379" s="48" t="s">
        <v>54</v>
      </c>
      <c r="F379" s="678">
        <f t="shared" ca="1" si="231"/>
        <v>0</v>
      </c>
      <c r="G379" s="658">
        <f ca="1">+IFERROR(G$5*GETPIVOTDATA("Unique Billed Hours",'County allocation'!$A$3,"County",$D373,"HHA/CDPAP","CDPAP","Level of Service",$D379),0)</f>
        <v>0</v>
      </c>
      <c r="H379" s="658">
        <f>+IFERROR(H$5*GETPIVOTDATA("Unique Billed Hours",'County allocation'!$A$3,"County",$D373,"HHA/CDPAP","CDPAP","Level of Service",$D379),0)</f>
        <v>0</v>
      </c>
      <c r="I379" s="678">
        <f t="shared" ca="1" si="232"/>
        <v>0</v>
      </c>
      <c r="J379" s="658">
        <f ca="1">+IFERROR(J$5*GETPIVOTDATA("Unique Billed Hours",'County allocation'!$S$3,"County",$D373,"HHA/CDPAP","CDPAP","Level of Service",$D379),0)</f>
        <v>0</v>
      </c>
      <c r="K379" s="658">
        <f ca="1">+IFERROR(K$5*GETPIVOTDATA("Unique Billed Hours",'County allocation'!$X$3,"County",$D373,"HHA/CDPAP","CDPAP","Level of Service",$D379),0)</f>
        <v>0</v>
      </c>
      <c r="L379" s="658">
        <f>+IFERROR(L$5*GETPIVOTDATA("Unique Billed Hours",'County allocation'!$K$19,"County",$D373,"HHA/CDPAP","CDPAP","Level of Service",$D379),0)</f>
        <v>0</v>
      </c>
      <c r="M379" s="658">
        <f>+IFERROR(M$5*GETPIVOTDATA("Unique Billed Hours",'County allocation'!$S$3,"County",$D373,"HHA/CDPAP","CDPAP","Level of Service",$D379),0)</f>
        <v>0</v>
      </c>
      <c r="N379" s="658">
        <f>+IFERROR(N$5*GETPIVOTDATA("Unique Billed Hours",'County allocation'!$S$3,"County",$D373,"HHA/CDPAP","CDPAP","Level of Service",$D379),0)</f>
        <v>0</v>
      </c>
      <c r="O379" s="658">
        <f>+IFERROR(O$5*GETPIVOTDATA("Unique Billed Hours",'County allocation'!$S$3,"County",$D373,"HHA/CDPAP","CDPAP","Level of Service",$D379),0)</f>
        <v>0</v>
      </c>
      <c r="P379" s="658">
        <f>+IFERROR(P$5*GETPIVOTDATA("Unique Billed Hours",'County allocation'!$S$3,"County",$D373,"HHA/CDPAP","CDPAP","Level of Service",$D379),0)</f>
        <v>0</v>
      </c>
    </row>
    <row r="380" spans="1:16" x14ac:dyDescent="0.25">
      <c r="B380" s="24"/>
      <c r="C380" s="9">
        <f t="shared" ca="1" si="230"/>
        <v>1</v>
      </c>
      <c r="D380" s="267" t="s">
        <v>45</v>
      </c>
      <c r="E380" s="48" t="s">
        <v>53</v>
      </c>
      <c r="F380" s="678">
        <f t="shared" ca="1" si="231"/>
        <v>0</v>
      </c>
      <c r="G380" s="658">
        <f ca="1">+IFERROR(G$5*GETPIVOTDATA("Unique Billed Hours",'County allocation'!$A$3,"County",$D373,"HHA/CDPAP","CDPAP","Level of Service",$D380),0)</f>
        <v>0</v>
      </c>
      <c r="H380" s="658">
        <f>+IFERROR(H$5*GETPIVOTDATA("Unique Billed Hours",'County allocation'!$A$3,"County",$D373,"HHA/CDPAP","CDPAP","Level of Service",$D380),0)</f>
        <v>0</v>
      </c>
      <c r="I380" s="678">
        <f t="shared" ca="1" si="232"/>
        <v>0</v>
      </c>
      <c r="J380" s="658">
        <f ca="1">+IFERROR(J$5*GETPIVOTDATA("Unique Billed Hours",'County allocation'!$S$3,"County",$D373,"HHA/CDPAP","CDPAP","Level of Service",$D380),0)</f>
        <v>0</v>
      </c>
      <c r="K380" s="658">
        <f ca="1">+IFERROR(K$5*GETPIVOTDATA("Unique Billed Hours",'County allocation'!$X$3,"County",$D373,"HHA/CDPAP","CDPAP","Level of Service",$D380),0)</f>
        <v>0</v>
      </c>
      <c r="L380" s="658">
        <f>+IFERROR(L$5*GETPIVOTDATA("Unique Billed Hours",'County allocation'!$K$19,"County",$D373,"HHA/CDPAP","CDPAP","Level of Service",$D380),0)</f>
        <v>0</v>
      </c>
      <c r="M380" s="658">
        <f>+IFERROR(M$5*GETPIVOTDATA("Unique Billed Hours",'County allocation'!$S$3,"County",$D373,"HHA/CDPAP","CDPAP","Level of Service",$D380),0)</f>
        <v>0</v>
      </c>
      <c r="N380" s="658">
        <f>+IFERROR(N$5*GETPIVOTDATA("Unique Billed Hours",'County allocation'!$S$3,"County",$D373,"HHA/CDPAP","CDPAP","Level of Service",$D380),0)</f>
        <v>0</v>
      </c>
      <c r="O380" s="658">
        <f>+IFERROR(O$5*GETPIVOTDATA("Unique Billed Hours",'County allocation'!$S$3,"County",$D373,"HHA/CDPAP","CDPAP","Level of Service",$D380),0)</f>
        <v>0</v>
      </c>
      <c r="P380" s="658">
        <f>+IFERROR(P$5*GETPIVOTDATA("Unique Billed Hours",'County allocation'!$S$3,"County",$D373,"HHA/CDPAP","CDPAP","Level of Service",$D380),0)</f>
        <v>0</v>
      </c>
    </row>
    <row r="381" spans="1:16" x14ac:dyDescent="0.25">
      <c r="A381" s="302"/>
      <c r="B381" s="24"/>
      <c r="C381" s="9">
        <f t="shared" ca="1" si="230"/>
        <v>1</v>
      </c>
      <c r="D381" s="267" t="s">
        <v>46</v>
      </c>
      <c r="E381" s="48" t="s">
        <v>52</v>
      </c>
      <c r="F381" s="678">
        <f t="shared" ca="1" si="231"/>
        <v>0</v>
      </c>
      <c r="G381" s="658">
        <f ca="1">+IFERROR(G$5*GETPIVOTDATA("Unique Billed Hours",'County allocation'!$A$3,"County",$D373,"HHA/CDPAP","CDPAP","Level of Service",$D381),0)</f>
        <v>0</v>
      </c>
      <c r="H381" s="658">
        <f>+IFERROR(H$5*GETPIVOTDATA("Unique Billed Hours",'County allocation'!$A$3,"County",$D373,"HHA/CDPAP","CDPAP","Level of Service",$D381),0)</f>
        <v>0</v>
      </c>
      <c r="I381" s="678">
        <f t="shared" ca="1" si="232"/>
        <v>0</v>
      </c>
      <c r="J381" s="658">
        <f ca="1">+IFERROR(J$5*GETPIVOTDATA("Unique Billed Hours",'County allocation'!$S$3,"County",$D373,"HHA/CDPAP","CDPAP","Level of Service",$D381),0)</f>
        <v>0</v>
      </c>
      <c r="K381" s="658">
        <f ca="1">+IFERROR(K$5*GETPIVOTDATA("Unique Billed Hours",'County allocation'!$X$3,"County",$D373,"HHA/CDPAP","CDPAP","Level of Service",$D381),0)</f>
        <v>0</v>
      </c>
      <c r="L381" s="658">
        <f>+IFERROR(L$5*GETPIVOTDATA("Unique Billed Hours",'County allocation'!$K$19,"County",$D373,"HHA/CDPAP","CDPAP","Level of Service",$D381),0)</f>
        <v>0</v>
      </c>
      <c r="M381" s="658">
        <f>+IFERROR(M$5*GETPIVOTDATA("Unique Billed Hours",'County allocation'!$S$3,"County",$D373,"HHA/CDPAP","CDPAP","Level of Service",$D381),0)</f>
        <v>0</v>
      </c>
      <c r="N381" s="658">
        <f>+IFERROR(N$5*GETPIVOTDATA("Unique Billed Hours",'County allocation'!$S$3,"County",$D373,"HHA/CDPAP","CDPAP","Level of Service",$D381),0)</f>
        <v>0</v>
      </c>
      <c r="O381" s="658">
        <f>+IFERROR(O$5*GETPIVOTDATA("Unique Billed Hours",'County allocation'!$S$3,"County",$D373,"HHA/CDPAP","CDPAP","Level of Service",$D381),0)</f>
        <v>0</v>
      </c>
      <c r="P381" s="658">
        <f>+IFERROR(P$5*GETPIVOTDATA("Unique Billed Hours",'County allocation'!$S$3,"County",$D373,"HHA/CDPAP","CDPAP","Level of Service",$D381),0)</f>
        <v>0</v>
      </c>
    </row>
    <row r="382" spans="1:16" ht="15.75" thickBot="1" x14ac:dyDescent="0.3">
      <c r="A382" s="302"/>
      <c r="B382" s="24"/>
      <c r="C382" s="9">
        <f t="shared" ca="1" si="230"/>
        <v>1</v>
      </c>
      <c r="D382" s="52" t="s">
        <v>389</v>
      </c>
      <c r="E382" s="370" t="s">
        <v>51</v>
      </c>
      <c r="F382" s="679">
        <f ca="1">SUM(F376:F381)</f>
        <v>2754755.3116136701</v>
      </c>
      <c r="G382" s="679">
        <f t="shared" ref="G382:H382" ca="1" si="233">SUM(G376:G381)</f>
        <v>110747.09384241291</v>
      </c>
      <c r="H382" s="679">
        <f t="shared" si="233"/>
        <v>95351.203107599431</v>
      </c>
      <c r="I382" s="678">
        <f t="shared" ca="1" si="232"/>
        <v>2548657.0146636576</v>
      </c>
      <c r="J382" s="679">
        <f ca="1">SUM(J376:J381)</f>
        <v>504244.6667172091</v>
      </c>
      <c r="K382" s="679">
        <f t="shared" ref="K382:P382" ca="1" si="234">SUM(K376:K381)</f>
        <v>2034231.8352463408</v>
      </c>
      <c r="L382" s="679">
        <f t="shared" si="234"/>
        <v>0</v>
      </c>
      <c r="M382" s="679">
        <f t="shared" si="234"/>
        <v>9393.7395517264395</v>
      </c>
      <c r="N382" s="679">
        <f t="shared" si="234"/>
        <v>786.77314838168161</v>
      </c>
      <c r="O382" s="679">
        <f t="shared" si="234"/>
        <v>0</v>
      </c>
      <c r="P382" s="679">
        <f t="shared" si="234"/>
        <v>0</v>
      </c>
    </row>
    <row r="383" spans="1:16" x14ac:dyDescent="0.25">
      <c r="A383" s="302"/>
      <c r="B383" s="24"/>
      <c r="C383" s="9">
        <f t="shared" ca="1" si="230"/>
        <v>1</v>
      </c>
      <c r="D383" s="378" t="s">
        <v>390</v>
      </c>
      <c r="E383" s="370" t="s">
        <v>50</v>
      </c>
      <c r="F383" s="678">
        <f t="shared" ref="F383" ca="1" si="235">SUM(G383:I383)</f>
        <v>0</v>
      </c>
      <c r="G383" s="658">
        <f ca="1">+IFERROR(G$5*GETPIVOTDATA("Unique Billed Hours",'County allocation'!$A$3,"County",$D373,"HHA/CDPAP","CDPAP","Level of Service",$D383),0)</f>
        <v>0</v>
      </c>
      <c r="H383" s="659"/>
      <c r="I383" s="678">
        <f t="shared" si="232"/>
        <v>0</v>
      </c>
      <c r="J383" s="659"/>
      <c r="K383" s="659"/>
      <c r="L383" s="659"/>
      <c r="M383" s="659"/>
      <c r="N383" s="659"/>
      <c r="O383" s="659"/>
      <c r="P383" s="659"/>
    </row>
    <row r="384" spans="1:16" ht="15.75" thickBot="1" x14ac:dyDescent="0.3">
      <c r="B384" s="24"/>
      <c r="C384" s="9">
        <f t="shared" ca="1" si="230"/>
        <v>1</v>
      </c>
      <c r="D384" s="11" t="s">
        <v>48</v>
      </c>
      <c r="E384" s="53" t="s">
        <v>49</v>
      </c>
      <c r="F384" s="662">
        <f ca="1">SUBTOTAL(9,F376:F381)</f>
        <v>2754755.3116136701</v>
      </c>
      <c r="G384" s="662">
        <f t="shared" ref="G384:H384" ca="1" si="236">SUBTOTAL(9,G376:G381)</f>
        <v>110747.09384241291</v>
      </c>
      <c r="H384" s="662">
        <f t="shared" si="236"/>
        <v>95351.203107599431</v>
      </c>
      <c r="I384" s="678">
        <f t="shared" ca="1" si="232"/>
        <v>2548657.0146636576</v>
      </c>
      <c r="J384" s="662">
        <f t="shared" ref="J384:P384" ca="1" si="237">SUBTOTAL(9,J376:J381)</f>
        <v>504244.6667172091</v>
      </c>
      <c r="K384" s="662">
        <f t="shared" ca="1" si="237"/>
        <v>2034231.8352463408</v>
      </c>
      <c r="L384" s="662">
        <f t="shared" si="237"/>
        <v>0</v>
      </c>
      <c r="M384" s="662">
        <f t="shared" si="237"/>
        <v>9393.7395517264395</v>
      </c>
      <c r="N384" s="662">
        <f t="shared" si="237"/>
        <v>786.77314838168161</v>
      </c>
      <c r="O384" s="662">
        <f t="shared" si="237"/>
        <v>0</v>
      </c>
      <c r="P384" s="662">
        <f t="shared" si="237"/>
        <v>0</v>
      </c>
    </row>
    <row r="385" spans="1:16" ht="15.75" hidden="1" thickBot="1" x14ac:dyDescent="0.3"/>
    <row r="386" spans="1:16" ht="75" x14ac:dyDescent="0.25">
      <c r="A386" s="60"/>
      <c r="B386" s="24"/>
      <c r="C386" s="9">
        <f ca="1">IF(F397&gt;0,1,0)</f>
        <v>1</v>
      </c>
      <c r="D386" s="45" t="str">
        <f>A32</f>
        <v>Montgomery</v>
      </c>
      <c r="E386" s="28">
        <f>SUMIF(A:A,D386,B:B)</f>
        <v>5.4683471425666123E-3</v>
      </c>
      <c r="F386" s="652" t="s">
        <v>396</v>
      </c>
      <c r="G386" s="652" t="s">
        <v>387</v>
      </c>
      <c r="H386" s="652" t="s">
        <v>388</v>
      </c>
      <c r="I386" s="652" t="s">
        <v>392</v>
      </c>
      <c r="J386" s="652" t="s">
        <v>31</v>
      </c>
      <c r="K386" s="652" t="s">
        <v>32</v>
      </c>
      <c r="L386" s="653" t="s">
        <v>33</v>
      </c>
      <c r="M386" s="653" t="s">
        <v>60</v>
      </c>
      <c r="N386" s="653" t="s">
        <v>59</v>
      </c>
      <c r="O386" s="653" t="s">
        <v>58</v>
      </c>
      <c r="P386" s="653" t="s">
        <v>16</v>
      </c>
    </row>
    <row r="387" spans="1:16" x14ac:dyDescent="0.25">
      <c r="A387" s="60"/>
      <c r="B387" s="24"/>
      <c r="C387" s="9">
        <f ca="1">C386</f>
        <v>1</v>
      </c>
      <c r="D387" s="47"/>
      <c r="E387" s="48"/>
      <c r="F387" s="669" t="s">
        <v>57</v>
      </c>
      <c r="G387" s="669" t="s">
        <v>56</v>
      </c>
      <c r="H387" s="669" t="s">
        <v>55</v>
      </c>
      <c r="I387" s="669" t="s">
        <v>54</v>
      </c>
      <c r="J387" s="669" t="s">
        <v>53</v>
      </c>
      <c r="K387" s="669" t="s">
        <v>52</v>
      </c>
      <c r="L387" s="669" t="s">
        <v>51</v>
      </c>
      <c r="M387" s="669" t="s">
        <v>50</v>
      </c>
      <c r="N387" s="669" t="s">
        <v>49</v>
      </c>
      <c r="O387" s="669" t="s">
        <v>47</v>
      </c>
      <c r="P387" s="670" t="s">
        <v>77</v>
      </c>
    </row>
    <row r="388" spans="1:16" x14ac:dyDescent="0.25">
      <c r="B388" s="24"/>
      <c r="C388" s="9">
        <f t="shared" ref="C388:C397" ca="1" si="238">C387</f>
        <v>1</v>
      </c>
      <c r="D388" s="51" t="s">
        <v>26</v>
      </c>
      <c r="E388" s="48"/>
      <c r="F388" s="674"/>
      <c r="G388" s="674"/>
      <c r="H388" s="674"/>
      <c r="I388" s="674"/>
      <c r="J388" s="674"/>
      <c r="K388" s="674"/>
      <c r="L388" s="675"/>
      <c r="M388" s="675"/>
      <c r="N388" s="676"/>
      <c r="O388" s="674"/>
      <c r="P388" s="677"/>
    </row>
    <row r="389" spans="1:16" x14ac:dyDescent="0.25">
      <c r="B389" s="24"/>
      <c r="C389" s="9">
        <f t="shared" ca="1" si="238"/>
        <v>1</v>
      </c>
      <c r="D389" s="267" t="s">
        <v>18</v>
      </c>
      <c r="E389" s="48" t="s">
        <v>57</v>
      </c>
      <c r="F389" s="678">
        <f ca="1">SUM(G389:I389)</f>
        <v>471390.42627676873</v>
      </c>
      <c r="G389" s="658">
        <f ca="1">+IFERROR(G$5*GETPIVOTDATA("Unique Billed Hours",'County allocation'!$A$3,"County",$D386,"HHA/CDPAP","CDPAP","Level of Service",$D389),0)</f>
        <v>18950.909924812095</v>
      </c>
      <c r="H389" s="658">
        <f>+IFERROR(H$5*GETPIVOTDATA("Unique Billed Hours",'County allocation'!$A$3,"County",$D386,"HHA/CDPAP","CDPAP","Level of Service",$D389),0)</f>
        <v>16316.383560238892</v>
      </c>
      <c r="I389" s="678">
        <f ca="1">SUM(J389:P389)</f>
        <v>436123.13279171777</v>
      </c>
      <c r="J389" s="658">
        <f ca="1">+IFERROR(J$5*GETPIVOTDATA("Unique Billed Hours",'County allocation'!$S$3,"County",$D386,"HHA/CDPAP","CDPAP","Level of Service",$D389),0)</f>
        <v>86285.742835132478</v>
      </c>
      <c r="K389" s="658">
        <f ca="1">+IFERROR(K$5*GETPIVOTDATA("Unique Billed Hours",'County allocation'!$X$3,"County",$D386,"HHA/CDPAP","CDPAP","Level of Service",$D389),0)</f>
        <v>348095.31282865017</v>
      </c>
      <c r="L389" s="658">
        <f>+IFERROR(L$5*GETPIVOTDATA("Unique Billed Hours",'County allocation'!$K$19,"County",$D386,"HHA/CDPAP","CDPAP","Level of Service",$D389),0)</f>
        <v>0</v>
      </c>
      <c r="M389" s="658">
        <f>+IFERROR(M$5*GETPIVOTDATA("Unique Billed Hours",'County allocation'!$S$3,"County",$D386,"HHA/CDPAP","CDPAP","Level of Service",$D389),0)</f>
        <v>1607.4454500379497</v>
      </c>
      <c r="N389" s="658">
        <f>+IFERROR(N$5*GETPIVOTDATA("Unique Billed Hours",'County allocation'!$S$3,"County",$D386,"HHA/CDPAP","CDPAP","Level of Service",$D389),0)</f>
        <v>134.63167789719415</v>
      </c>
      <c r="O389" s="658">
        <f>+IFERROR(O$5*GETPIVOTDATA("Unique Billed Hours",'County allocation'!$S$3,"County",$D386,"HHA/CDPAP","CDPAP","Level of Service",$D389),0)</f>
        <v>0</v>
      </c>
      <c r="P389" s="658">
        <f>+IFERROR(P$5*GETPIVOTDATA("Unique Billed Hours",'County allocation'!$S$3,"County",$D386,"HHA/CDPAP","CDPAP","Level of Service",$D389),0)</f>
        <v>0</v>
      </c>
    </row>
    <row r="390" spans="1:16" x14ac:dyDescent="0.25">
      <c r="B390" s="24"/>
      <c r="C390" s="9">
        <f t="shared" ca="1" si="238"/>
        <v>1</v>
      </c>
      <c r="D390" s="267" t="s">
        <v>42</v>
      </c>
      <c r="E390" s="48" t="s">
        <v>56</v>
      </c>
      <c r="F390" s="678">
        <f t="shared" ref="F390:F394" ca="1" si="239">SUM(G390:I390)</f>
        <v>0</v>
      </c>
      <c r="G390" s="658">
        <f ca="1">+IFERROR(G$5*GETPIVOTDATA("Unique Billed Hours",'County allocation'!$A$3,"County",$D386,"HHA/CDPAP","CDPAP","Level of Service",$D390),0)</f>
        <v>0</v>
      </c>
      <c r="H390" s="658">
        <f>+IFERROR(H$5*GETPIVOTDATA("Unique Billed Hours",'County allocation'!$A$3,"County",$D386,"HHA/CDPAP","CDPAP","Level of Service",$D390),0)</f>
        <v>0</v>
      </c>
      <c r="I390" s="678">
        <f t="shared" ref="I390:I397" ca="1" si="240">SUM(J390:P390)</f>
        <v>0</v>
      </c>
      <c r="J390" s="658">
        <f ca="1">+IFERROR(J$5*GETPIVOTDATA("Unique Billed Hours",'County allocation'!$S$3,"County",$D386,"HHA/CDPAP","CDPAP","Level of Service",$D390),0)</f>
        <v>0</v>
      </c>
      <c r="K390" s="658">
        <f ca="1">+IFERROR(K$5*GETPIVOTDATA("Unique Billed Hours",'County allocation'!$X$3,"County",$D386,"HHA/CDPAP","CDPAP","Level of Service",$D390),0)</f>
        <v>0</v>
      </c>
      <c r="L390" s="658">
        <f>+IFERROR(L$5*GETPIVOTDATA("Unique Billed Hours",'County allocation'!$K$19,"County",$D386,"HHA/CDPAP","CDPAP","Level of Service",$D390),0)</f>
        <v>0</v>
      </c>
      <c r="M390" s="658">
        <f>+IFERROR(M$5*GETPIVOTDATA("Unique Billed Hours",'County allocation'!$S$3,"County",$D386,"HHA/CDPAP","CDPAP","Level of Service",$D390),0)</f>
        <v>0</v>
      </c>
      <c r="N390" s="658">
        <f>+IFERROR(N$5*GETPIVOTDATA("Unique Billed Hours",'County allocation'!$S$3,"County",$D386,"HHA/CDPAP","CDPAP","Level of Service",$D390),0)</f>
        <v>0</v>
      </c>
      <c r="O390" s="658">
        <f>+IFERROR(O$5*GETPIVOTDATA("Unique Billed Hours",'County allocation'!$S$3,"County",$D386,"HHA/CDPAP","CDPAP","Level of Service",$D390),0)</f>
        <v>0</v>
      </c>
      <c r="P390" s="658">
        <f>+IFERROR(P$5*GETPIVOTDATA("Unique Billed Hours",'County allocation'!$S$3,"County",$D386,"HHA/CDPAP","CDPAP","Level of Service",$D390),0)</f>
        <v>0</v>
      </c>
    </row>
    <row r="391" spans="1:16" x14ac:dyDescent="0.25">
      <c r="B391" s="24"/>
      <c r="C391" s="9">
        <f t="shared" ca="1" si="238"/>
        <v>1</v>
      </c>
      <c r="D391" s="267" t="s">
        <v>43</v>
      </c>
      <c r="E391" s="48" t="s">
        <v>55</v>
      </c>
      <c r="F391" s="678">
        <f t="shared" ca="1" si="239"/>
        <v>0</v>
      </c>
      <c r="G391" s="658">
        <f ca="1">+IFERROR(G$5*GETPIVOTDATA("Unique Billed Hours",'County allocation'!$A$3,"County",$D386,"HHA/CDPAP","CDPAP","Level of Service",$D391),0)</f>
        <v>0</v>
      </c>
      <c r="H391" s="658">
        <f>+IFERROR(H$5*GETPIVOTDATA("Unique Billed Hours",'County allocation'!$A$3,"County",$D386,"HHA/CDPAP","CDPAP","Level of Service",$D391),0)</f>
        <v>0</v>
      </c>
      <c r="I391" s="678">
        <f t="shared" ca="1" si="240"/>
        <v>0</v>
      </c>
      <c r="J391" s="658">
        <f ca="1">+IFERROR(J$5*GETPIVOTDATA("Unique Billed Hours",'County allocation'!$S$3,"County",$D386,"HHA/CDPAP","CDPAP","Level of Service",$D391),0)</f>
        <v>0</v>
      </c>
      <c r="K391" s="658">
        <f ca="1">+IFERROR(K$5*GETPIVOTDATA("Unique Billed Hours",'County allocation'!$X$3,"County",$D386,"HHA/CDPAP","CDPAP","Level of Service",$D391),0)</f>
        <v>0</v>
      </c>
      <c r="L391" s="658">
        <f>+IFERROR(L$5*GETPIVOTDATA("Unique Billed Hours",'County allocation'!$K$19,"County",$D386,"HHA/CDPAP","CDPAP","Level of Service",$D391),0)</f>
        <v>0</v>
      </c>
      <c r="M391" s="658">
        <f>+IFERROR(M$5*GETPIVOTDATA("Unique Billed Hours",'County allocation'!$S$3,"County",$D386,"HHA/CDPAP","CDPAP","Level of Service",$D391),0)</f>
        <v>0</v>
      </c>
      <c r="N391" s="658">
        <f>+IFERROR(N$5*GETPIVOTDATA("Unique Billed Hours",'County allocation'!$S$3,"County",$D386,"HHA/CDPAP","CDPAP","Level of Service",$D391),0)</f>
        <v>0</v>
      </c>
      <c r="O391" s="658">
        <f>+IFERROR(O$5*GETPIVOTDATA("Unique Billed Hours",'County allocation'!$S$3,"County",$D386,"HHA/CDPAP","CDPAP","Level of Service",$D391),0)</f>
        <v>0</v>
      </c>
      <c r="P391" s="658">
        <f>+IFERROR(P$5*GETPIVOTDATA("Unique Billed Hours",'County allocation'!$S$3,"County",$D386,"HHA/CDPAP","CDPAP","Level of Service",$D391),0)</f>
        <v>0</v>
      </c>
    </row>
    <row r="392" spans="1:16" x14ac:dyDescent="0.25">
      <c r="B392" s="24"/>
      <c r="C392" s="9">
        <f t="shared" ca="1" si="238"/>
        <v>1</v>
      </c>
      <c r="D392" s="267" t="s">
        <v>44</v>
      </c>
      <c r="E392" s="48" t="s">
        <v>54</v>
      </c>
      <c r="F392" s="678">
        <f t="shared" ca="1" si="239"/>
        <v>0</v>
      </c>
      <c r="G392" s="658">
        <f ca="1">+IFERROR(G$5*GETPIVOTDATA("Unique Billed Hours",'County allocation'!$A$3,"County",$D386,"HHA/CDPAP","CDPAP","Level of Service",$D392),0)</f>
        <v>0</v>
      </c>
      <c r="H392" s="658">
        <f>+IFERROR(H$5*GETPIVOTDATA("Unique Billed Hours",'County allocation'!$A$3,"County",$D386,"HHA/CDPAP","CDPAP","Level of Service",$D392),0)</f>
        <v>0</v>
      </c>
      <c r="I392" s="678">
        <f t="shared" ca="1" si="240"/>
        <v>0</v>
      </c>
      <c r="J392" s="658">
        <f ca="1">+IFERROR(J$5*GETPIVOTDATA("Unique Billed Hours",'County allocation'!$S$3,"County",$D386,"HHA/CDPAP","CDPAP","Level of Service",$D392),0)</f>
        <v>0</v>
      </c>
      <c r="K392" s="658">
        <f ca="1">+IFERROR(K$5*GETPIVOTDATA("Unique Billed Hours",'County allocation'!$X$3,"County",$D386,"HHA/CDPAP","CDPAP","Level of Service",$D392),0)</f>
        <v>0</v>
      </c>
      <c r="L392" s="658">
        <f>+IFERROR(L$5*GETPIVOTDATA("Unique Billed Hours",'County allocation'!$K$19,"County",$D386,"HHA/CDPAP","CDPAP","Level of Service",$D392),0)</f>
        <v>0</v>
      </c>
      <c r="M392" s="658">
        <f>+IFERROR(M$5*GETPIVOTDATA("Unique Billed Hours",'County allocation'!$S$3,"County",$D386,"HHA/CDPAP","CDPAP","Level of Service",$D392),0)</f>
        <v>0</v>
      </c>
      <c r="N392" s="658">
        <f>+IFERROR(N$5*GETPIVOTDATA("Unique Billed Hours",'County allocation'!$S$3,"County",$D386,"HHA/CDPAP","CDPAP","Level of Service",$D392),0)</f>
        <v>0</v>
      </c>
      <c r="O392" s="658">
        <f>+IFERROR(O$5*GETPIVOTDATA("Unique Billed Hours",'County allocation'!$S$3,"County",$D386,"HHA/CDPAP","CDPAP","Level of Service",$D392),0)</f>
        <v>0</v>
      </c>
      <c r="P392" s="658">
        <f>+IFERROR(P$5*GETPIVOTDATA("Unique Billed Hours",'County allocation'!$S$3,"County",$D386,"HHA/CDPAP","CDPAP","Level of Service",$D392),0)</f>
        <v>0</v>
      </c>
    </row>
    <row r="393" spans="1:16" x14ac:dyDescent="0.25">
      <c r="B393" s="24"/>
      <c r="C393" s="9">
        <f t="shared" ca="1" si="238"/>
        <v>1</v>
      </c>
      <c r="D393" s="267" t="s">
        <v>45</v>
      </c>
      <c r="E393" s="48" t="s">
        <v>53</v>
      </c>
      <c r="F393" s="678">
        <f t="shared" ca="1" si="239"/>
        <v>0</v>
      </c>
      <c r="G393" s="658">
        <f ca="1">+IFERROR(G$5*GETPIVOTDATA("Unique Billed Hours",'County allocation'!$A$3,"County",$D386,"HHA/CDPAP","CDPAP","Level of Service",$D393),0)</f>
        <v>0</v>
      </c>
      <c r="H393" s="658">
        <f>+IFERROR(H$5*GETPIVOTDATA("Unique Billed Hours",'County allocation'!$A$3,"County",$D386,"HHA/CDPAP","CDPAP","Level of Service",$D393),0)</f>
        <v>0</v>
      </c>
      <c r="I393" s="678">
        <f t="shared" ca="1" si="240"/>
        <v>0</v>
      </c>
      <c r="J393" s="658">
        <f ca="1">+IFERROR(J$5*GETPIVOTDATA("Unique Billed Hours",'County allocation'!$S$3,"County",$D386,"HHA/CDPAP","CDPAP","Level of Service",$D393),0)</f>
        <v>0</v>
      </c>
      <c r="K393" s="658">
        <f ca="1">+IFERROR(K$5*GETPIVOTDATA("Unique Billed Hours",'County allocation'!$X$3,"County",$D386,"HHA/CDPAP","CDPAP","Level of Service",$D393),0)</f>
        <v>0</v>
      </c>
      <c r="L393" s="658">
        <f>+IFERROR(L$5*GETPIVOTDATA("Unique Billed Hours",'County allocation'!$K$19,"County",$D386,"HHA/CDPAP","CDPAP","Level of Service",$D393),0)</f>
        <v>0</v>
      </c>
      <c r="M393" s="658">
        <f>+IFERROR(M$5*GETPIVOTDATA("Unique Billed Hours",'County allocation'!$S$3,"County",$D386,"HHA/CDPAP","CDPAP","Level of Service",$D393),0)</f>
        <v>0</v>
      </c>
      <c r="N393" s="658">
        <f>+IFERROR(N$5*GETPIVOTDATA("Unique Billed Hours",'County allocation'!$S$3,"County",$D386,"HHA/CDPAP","CDPAP","Level of Service",$D393),0)</f>
        <v>0</v>
      </c>
      <c r="O393" s="658">
        <f>+IFERROR(O$5*GETPIVOTDATA("Unique Billed Hours",'County allocation'!$S$3,"County",$D386,"HHA/CDPAP","CDPAP","Level of Service",$D393),0)</f>
        <v>0</v>
      </c>
      <c r="P393" s="658">
        <f>+IFERROR(P$5*GETPIVOTDATA("Unique Billed Hours",'County allocation'!$S$3,"County",$D386,"HHA/CDPAP","CDPAP","Level of Service",$D393),0)</f>
        <v>0</v>
      </c>
    </row>
    <row r="394" spans="1:16" x14ac:dyDescent="0.25">
      <c r="A394" s="302"/>
      <c r="B394" s="24"/>
      <c r="C394" s="9">
        <f t="shared" ca="1" si="238"/>
        <v>1</v>
      </c>
      <c r="D394" s="267" t="s">
        <v>46</v>
      </c>
      <c r="E394" s="48" t="s">
        <v>52</v>
      </c>
      <c r="F394" s="678">
        <f t="shared" ca="1" si="239"/>
        <v>0</v>
      </c>
      <c r="G394" s="658">
        <f ca="1">+IFERROR(G$5*GETPIVOTDATA("Unique Billed Hours",'County allocation'!$A$3,"County",$D386,"HHA/CDPAP","CDPAP","Level of Service",$D394),0)</f>
        <v>0</v>
      </c>
      <c r="H394" s="658">
        <f>+IFERROR(H$5*GETPIVOTDATA("Unique Billed Hours",'County allocation'!$A$3,"County",$D386,"HHA/CDPAP","CDPAP","Level of Service",$D394),0)</f>
        <v>0</v>
      </c>
      <c r="I394" s="678">
        <f t="shared" ca="1" si="240"/>
        <v>0</v>
      </c>
      <c r="J394" s="658">
        <f ca="1">+IFERROR(J$5*GETPIVOTDATA("Unique Billed Hours",'County allocation'!$S$3,"County",$D386,"HHA/CDPAP","CDPAP","Level of Service",$D394),0)</f>
        <v>0</v>
      </c>
      <c r="K394" s="658">
        <f ca="1">+IFERROR(K$5*GETPIVOTDATA("Unique Billed Hours",'County allocation'!$X$3,"County",$D386,"HHA/CDPAP","CDPAP","Level of Service",$D394),0)</f>
        <v>0</v>
      </c>
      <c r="L394" s="658">
        <f>+IFERROR(L$5*GETPIVOTDATA("Unique Billed Hours",'County allocation'!$K$19,"County",$D386,"HHA/CDPAP","CDPAP","Level of Service",$D394),0)</f>
        <v>0</v>
      </c>
      <c r="M394" s="658">
        <f>+IFERROR(M$5*GETPIVOTDATA("Unique Billed Hours",'County allocation'!$S$3,"County",$D386,"HHA/CDPAP","CDPAP","Level of Service",$D394),0)</f>
        <v>0</v>
      </c>
      <c r="N394" s="658">
        <f>+IFERROR(N$5*GETPIVOTDATA("Unique Billed Hours",'County allocation'!$S$3,"County",$D386,"HHA/CDPAP","CDPAP","Level of Service",$D394),0)</f>
        <v>0</v>
      </c>
      <c r="O394" s="658">
        <f>+IFERROR(O$5*GETPIVOTDATA("Unique Billed Hours",'County allocation'!$S$3,"County",$D386,"HHA/CDPAP","CDPAP","Level of Service",$D394),0)</f>
        <v>0</v>
      </c>
      <c r="P394" s="658">
        <f>+IFERROR(P$5*GETPIVOTDATA("Unique Billed Hours",'County allocation'!$S$3,"County",$D386,"HHA/CDPAP","CDPAP","Level of Service",$D394),0)</f>
        <v>0</v>
      </c>
    </row>
    <row r="395" spans="1:16" ht="15.75" thickBot="1" x14ac:dyDescent="0.3">
      <c r="A395" s="302"/>
      <c r="B395" s="24"/>
      <c r="C395" s="9">
        <f t="shared" ca="1" si="238"/>
        <v>1</v>
      </c>
      <c r="D395" s="52" t="s">
        <v>389</v>
      </c>
      <c r="E395" s="370" t="s">
        <v>51</v>
      </c>
      <c r="F395" s="679">
        <f ca="1">SUM(F389:F394)</f>
        <v>471390.42627676873</v>
      </c>
      <c r="G395" s="679">
        <f t="shared" ref="G395:H395" ca="1" si="241">SUM(G389:G394)</f>
        <v>18950.909924812095</v>
      </c>
      <c r="H395" s="679">
        <f t="shared" si="241"/>
        <v>16316.383560238892</v>
      </c>
      <c r="I395" s="678">
        <f t="shared" ca="1" si="240"/>
        <v>436123.13279171777</v>
      </c>
      <c r="J395" s="679">
        <f ca="1">SUM(J389:J394)</f>
        <v>86285.742835132478</v>
      </c>
      <c r="K395" s="679">
        <f t="shared" ref="K395:P395" ca="1" si="242">SUM(K389:K394)</f>
        <v>348095.31282865017</v>
      </c>
      <c r="L395" s="679">
        <f t="shared" si="242"/>
        <v>0</v>
      </c>
      <c r="M395" s="679">
        <f t="shared" si="242"/>
        <v>1607.4454500379497</v>
      </c>
      <c r="N395" s="679">
        <f t="shared" si="242"/>
        <v>134.63167789719415</v>
      </c>
      <c r="O395" s="679">
        <f t="shared" si="242"/>
        <v>0</v>
      </c>
      <c r="P395" s="679">
        <f t="shared" si="242"/>
        <v>0</v>
      </c>
    </row>
    <row r="396" spans="1:16" x14ac:dyDescent="0.25">
      <c r="A396" s="302"/>
      <c r="B396" s="24"/>
      <c r="C396" s="9">
        <f t="shared" ca="1" si="238"/>
        <v>1</v>
      </c>
      <c r="D396" s="378" t="s">
        <v>390</v>
      </c>
      <c r="E396" s="370" t="s">
        <v>50</v>
      </c>
      <c r="F396" s="678">
        <f t="shared" ref="F396" ca="1" si="243">SUM(G396:I396)</f>
        <v>0</v>
      </c>
      <c r="G396" s="658">
        <f ca="1">+IFERROR(G$5*GETPIVOTDATA("Unique Billed Hours",'County allocation'!$A$3,"County",$D386,"HHA/CDPAP","CDPAP","Level of Service",$D396),0)</f>
        <v>0</v>
      </c>
      <c r="H396" s="659"/>
      <c r="I396" s="678">
        <f t="shared" si="240"/>
        <v>0</v>
      </c>
      <c r="J396" s="659"/>
      <c r="K396" s="659"/>
      <c r="L396" s="659"/>
      <c r="M396" s="659"/>
      <c r="N396" s="659"/>
      <c r="O396" s="659"/>
      <c r="P396" s="659"/>
    </row>
    <row r="397" spans="1:16" ht="15.75" thickBot="1" x14ac:dyDescent="0.3">
      <c r="B397" s="24"/>
      <c r="C397" s="9">
        <f t="shared" ca="1" si="238"/>
        <v>1</v>
      </c>
      <c r="D397" s="11" t="s">
        <v>48</v>
      </c>
      <c r="E397" s="53" t="s">
        <v>49</v>
      </c>
      <c r="F397" s="662">
        <f ca="1">SUBTOTAL(9,F389:F394)</f>
        <v>471390.42627676873</v>
      </c>
      <c r="G397" s="662">
        <f t="shared" ref="G397:H397" ca="1" si="244">SUBTOTAL(9,G389:G394)</f>
        <v>18950.909924812095</v>
      </c>
      <c r="H397" s="662">
        <f t="shared" si="244"/>
        <v>16316.383560238892</v>
      </c>
      <c r="I397" s="678">
        <f t="shared" ca="1" si="240"/>
        <v>436123.13279171777</v>
      </c>
      <c r="J397" s="662">
        <f t="shared" ref="J397:P397" ca="1" si="245">SUBTOTAL(9,J389:J394)</f>
        <v>86285.742835132478</v>
      </c>
      <c r="K397" s="662">
        <f t="shared" ca="1" si="245"/>
        <v>348095.31282865017</v>
      </c>
      <c r="L397" s="662">
        <f t="shared" si="245"/>
        <v>0</v>
      </c>
      <c r="M397" s="662">
        <f t="shared" si="245"/>
        <v>1607.4454500379497</v>
      </c>
      <c r="N397" s="662">
        <f t="shared" si="245"/>
        <v>134.63167789719415</v>
      </c>
      <c r="O397" s="662">
        <f t="shared" si="245"/>
        <v>0</v>
      </c>
      <c r="P397" s="662">
        <f t="shared" si="245"/>
        <v>0</v>
      </c>
    </row>
    <row r="398" spans="1:16" ht="15.75" hidden="1" thickBot="1" x14ac:dyDescent="0.3"/>
    <row r="399" spans="1:16" ht="75" x14ac:dyDescent="0.25">
      <c r="A399" s="60"/>
      <c r="B399" s="24"/>
      <c r="C399" s="9">
        <f ca="1">IF(F410&gt;0,1,0)</f>
        <v>1</v>
      </c>
      <c r="D399" s="45" t="str">
        <f>A33</f>
        <v>Nassau</v>
      </c>
      <c r="E399" s="28">
        <f>SUMIF(A:A,D399,B:B)</f>
        <v>5.1693236147688171E-2</v>
      </c>
      <c r="F399" s="652" t="s">
        <v>396</v>
      </c>
      <c r="G399" s="652" t="s">
        <v>387</v>
      </c>
      <c r="H399" s="652" t="s">
        <v>388</v>
      </c>
      <c r="I399" s="652" t="s">
        <v>392</v>
      </c>
      <c r="J399" s="652" t="s">
        <v>31</v>
      </c>
      <c r="K399" s="652" t="s">
        <v>32</v>
      </c>
      <c r="L399" s="653" t="s">
        <v>33</v>
      </c>
      <c r="M399" s="653" t="s">
        <v>60</v>
      </c>
      <c r="N399" s="653" t="s">
        <v>59</v>
      </c>
      <c r="O399" s="653" t="s">
        <v>58</v>
      </c>
      <c r="P399" s="653" t="s">
        <v>16</v>
      </c>
    </row>
    <row r="400" spans="1:16" x14ac:dyDescent="0.25">
      <c r="A400" s="60"/>
      <c r="B400" s="24"/>
      <c r="C400" s="9">
        <f ca="1">C399</f>
        <v>1</v>
      </c>
      <c r="D400" s="47"/>
      <c r="E400" s="48"/>
      <c r="F400" s="669" t="s">
        <v>57</v>
      </c>
      <c r="G400" s="669" t="s">
        <v>56</v>
      </c>
      <c r="H400" s="669" t="s">
        <v>55</v>
      </c>
      <c r="I400" s="669" t="s">
        <v>54</v>
      </c>
      <c r="J400" s="669" t="s">
        <v>53</v>
      </c>
      <c r="K400" s="669" t="s">
        <v>52</v>
      </c>
      <c r="L400" s="669" t="s">
        <v>51</v>
      </c>
      <c r="M400" s="669" t="s">
        <v>50</v>
      </c>
      <c r="N400" s="669" t="s">
        <v>49</v>
      </c>
      <c r="O400" s="669" t="s">
        <v>47</v>
      </c>
      <c r="P400" s="670" t="s">
        <v>77</v>
      </c>
    </row>
    <row r="401" spans="1:16" x14ac:dyDescent="0.25">
      <c r="B401" s="24"/>
      <c r="C401" s="9">
        <f t="shared" ref="C401:C410" ca="1" si="246">C400</f>
        <v>1</v>
      </c>
      <c r="D401" s="51" t="s">
        <v>26</v>
      </c>
      <c r="E401" s="48"/>
      <c r="F401" s="674"/>
      <c r="G401" s="674"/>
      <c r="H401" s="674"/>
      <c r="I401" s="674"/>
      <c r="J401" s="674"/>
      <c r="K401" s="674"/>
      <c r="L401" s="675"/>
      <c r="M401" s="675"/>
      <c r="N401" s="676"/>
      <c r="O401" s="674"/>
      <c r="P401" s="677"/>
    </row>
    <row r="402" spans="1:16" x14ac:dyDescent="0.25">
      <c r="B402" s="24"/>
      <c r="C402" s="9">
        <f t="shared" ca="1" si="246"/>
        <v>1</v>
      </c>
      <c r="D402" s="267" t="s">
        <v>18</v>
      </c>
      <c r="E402" s="48" t="s">
        <v>57</v>
      </c>
      <c r="F402" s="678">
        <f ca="1">SUM(G402:I402)</f>
        <v>4256965.407807176</v>
      </c>
      <c r="G402" s="658">
        <f ca="1">+IFERROR(G$5*GETPIVOTDATA("Unique Billed Hours",'County allocation'!$A$3,"County",$D399,"HHA/CDPAP","CDPAP","Level of Service",$D402),0)</f>
        <v>171139.1736009267</v>
      </c>
      <c r="H402" s="658">
        <f>+IFERROR(H$5*GETPIVOTDATA("Unique Billed Hours",'County allocation'!$A$3,"County",$D399,"HHA/CDPAP","CDPAP","Level of Service",$D402),0)</f>
        <v>147347.66877863876</v>
      </c>
      <c r="I402" s="678">
        <f ca="1">SUM(J402:P402)</f>
        <v>3938478.5654276102</v>
      </c>
      <c r="J402" s="658">
        <f ca="1">+IFERROR(J$5*GETPIVOTDATA("Unique Billed Hours",'County allocation'!$S$3,"County",$D399,"HHA/CDPAP","CDPAP","Level of Service",$D402),0)</f>
        <v>779216.97590956569</v>
      </c>
      <c r="K402" s="658">
        <f ca="1">+IFERROR(K$5*GETPIVOTDATA("Unique Billed Hours",'County allocation'!$X$3,"County",$D399,"HHA/CDPAP","CDPAP","Level of Service",$D402),0)</f>
        <v>3143529.4879352311</v>
      </c>
      <c r="L402" s="658">
        <f>+IFERROR(L$5*GETPIVOTDATA("Unique Billed Hours",'County allocation'!$K$19,"County",$D399,"HHA/CDPAP","CDPAP","Level of Service",$D402),0)</f>
        <v>0</v>
      </c>
      <c r="M402" s="658">
        <f>+IFERROR(M$5*GETPIVOTDATA("Unique Billed Hours",'County allocation'!$S$3,"County",$D399,"HHA/CDPAP","CDPAP","Level of Service",$D402),0)</f>
        <v>14516.289034115713</v>
      </c>
      <c r="N402" s="658">
        <f>+IFERROR(N$5*GETPIVOTDATA("Unique Billed Hours",'County allocation'!$S$3,"County",$D399,"HHA/CDPAP","CDPAP","Level of Service",$D402),0)</f>
        <v>1215.8125486979968</v>
      </c>
      <c r="O402" s="658">
        <f>+IFERROR(O$5*GETPIVOTDATA("Unique Billed Hours",'County allocation'!$S$3,"County",$D399,"HHA/CDPAP","CDPAP","Level of Service",$D402),0)</f>
        <v>0</v>
      </c>
      <c r="P402" s="658">
        <f>+IFERROR(P$5*GETPIVOTDATA("Unique Billed Hours",'County allocation'!$S$3,"County",$D399,"HHA/CDPAP","CDPAP","Level of Service",$D402),0)</f>
        <v>0</v>
      </c>
    </row>
    <row r="403" spans="1:16" x14ac:dyDescent="0.25">
      <c r="B403" s="24"/>
      <c r="C403" s="9">
        <f t="shared" ca="1" si="246"/>
        <v>1</v>
      </c>
      <c r="D403" s="267" t="s">
        <v>42</v>
      </c>
      <c r="E403" s="48" t="s">
        <v>56</v>
      </c>
      <c r="F403" s="678">
        <f t="shared" ref="F403:F407" ca="1" si="247">SUM(G403:I403)</f>
        <v>9261.4132774171885</v>
      </c>
      <c r="G403" s="658">
        <f ca="1">+IFERROR(G$5*GETPIVOTDATA("Unique Billed Hours",'County allocation'!$A$3,"County",$D399,"HHA/CDPAP","CDPAP","Level of Service",$D403),0)</f>
        <v>372.32875131355104</v>
      </c>
      <c r="H403" s="658">
        <f>+IFERROR(H$5*GETPIVOTDATA("Unique Billed Hours",'County allocation'!$A$3,"County",$D399,"HHA/CDPAP","CDPAP","Level of Service",$D403),0)</f>
        <v>320.56818068575859</v>
      </c>
      <c r="I403" s="678">
        <f t="shared" ref="I403:I410" ca="1" si="248">SUM(J403:P403)</f>
        <v>8568.5163454178783</v>
      </c>
      <c r="J403" s="658">
        <f ca="1">+IFERROR(J$5*GETPIVOTDATA("Unique Billed Hours",'County allocation'!$S$3,"County",$D399,"HHA/CDPAP","CDPAP","Level of Service",$D403),0)</f>
        <v>1695.2570094750006</v>
      </c>
      <c r="K403" s="658">
        <f ca="1">+IFERROR(K$5*GETPIVOTDATA("Unique Billed Hours",'County allocation'!$X$3,"County",$D399,"HHA/CDPAP","CDPAP","Level of Service",$D403),0)</f>
        <v>6839.0327260170507</v>
      </c>
      <c r="L403" s="658">
        <f>+IFERROR(L$5*GETPIVOTDATA("Unique Billed Hours",'County allocation'!$K$19,"County",$D399,"HHA/CDPAP","CDPAP","Level of Service",$D403),0)</f>
        <v>0</v>
      </c>
      <c r="M403" s="658">
        <f>+IFERROR(M$5*GETPIVOTDATA("Unique Billed Hours",'County allocation'!$S$3,"County",$D399,"HHA/CDPAP","CDPAP","Level of Service",$D403),0)</f>
        <v>31.581499758683133</v>
      </c>
      <c r="N403" s="658">
        <f>+IFERROR(N$5*GETPIVOTDATA("Unique Billed Hours",'County allocation'!$S$3,"County",$D399,"HHA/CDPAP","CDPAP","Level of Service",$D403),0)</f>
        <v>2.6451101671418842</v>
      </c>
      <c r="O403" s="658">
        <f>+IFERROR(O$5*GETPIVOTDATA("Unique Billed Hours",'County allocation'!$S$3,"County",$D399,"HHA/CDPAP","CDPAP","Level of Service",$D403),0)</f>
        <v>0</v>
      </c>
      <c r="P403" s="658">
        <f>+IFERROR(P$5*GETPIVOTDATA("Unique Billed Hours",'County allocation'!$S$3,"County",$D399,"HHA/CDPAP","CDPAP","Level of Service",$D403),0)</f>
        <v>0</v>
      </c>
    </row>
    <row r="404" spans="1:16" x14ac:dyDescent="0.25">
      <c r="B404" s="24"/>
      <c r="C404" s="9">
        <f t="shared" ca="1" si="246"/>
        <v>1</v>
      </c>
      <c r="D404" s="267" t="s">
        <v>43</v>
      </c>
      <c r="E404" s="48" t="s">
        <v>55</v>
      </c>
      <c r="F404" s="678">
        <f t="shared" ca="1" si="247"/>
        <v>102828.27516864392</v>
      </c>
      <c r="G404" s="658">
        <f ca="1">+IFERROR(G$5*GETPIVOTDATA("Unique Billed Hours",'County allocation'!$A$3,"County",$D399,"HHA/CDPAP","CDPAP","Level of Service",$D404),0)</f>
        <v>4133.9180259478244</v>
      </c>
      <c r="H404" s="658">
        <f>+IFERROR(H$5*GETPIVOTDATA("Unique Billed Hours",'County allocation'!$A$3,"County",$D399,"HHA/CDPAP","CDPAP","Level of Service",$D404),0)</f>
        <v>3559.2270970397262</v>
      </c>
      <c r="I404" s="678">
        <f t="shared" ca="1" si="248"/>
        <v>95135.130045656362</v>
      </c>
      <c r="J404" s="658">
        <f ca="1">+IFERROR(J$5*GETPIVOTDATA("Unique Billed Hours",'County allocation'!$S$3,"County",$D399,"HHA/CDPAP","CDPAP","Level of Service",$D404),0)</f>
        <v>18822.219571706883</v>
      </c>
      <c r="K404" s="658">
        <f ca="1">+IFERROR(K$5*GETPIVOTDATA("Unique Billed Hours",'County allocation'!$X$3,"County",$D399,"HHA/CDPAP","CDPAP","Level of Service",$D404),0)</f>
        <v>75932.896845562514</v>
      </c>
      <c r="L404" s="658">
        <f>+IFERROR(L$5*GETPIVOTDATA("Unique Billed Hours",'County allocation'!$K$19,"County",$D399,"HHA/CDPAP","CDPAP","Level of Service",$D404),0)</f>
        <v>0</v>
      </c>
      <c r="M404" s="658">
        <f>+IFERROR(M$5*GETPIVOTDATA("Unique Billed Hours",'County allocation'!$S$3,"County",$D399,"HHA/CDPAP","CDPAP","Level of Service",$D404),0)</f>
        <v>350.64531191399141</v>
      </c>
      <c r="N404" s="658">
        <f>+IFERROR(N$5*GETPIVOTDATA("Unique Billed Hours",'County allocation'!$S$3,"County",$D399,"HHA/CDPAP","CDPAP","Level of Service",$D404),0)</f>
        <v>29.368316472979625</v>
      </c>
      <c r="O404" s="658">
        <f>+IFERROR(O$5*GETPIVOTDATA("Unique Billed Hours",'County allocation'!$S$3,"County",$D399,"HHA/CDPAP","CDPAP","Level of Service",$D404),0)</f>
        <v>0</v>
      </c>
      <c r="P404" s="658">
        <f>+IFERROR(P$5*GETPIVOTDATA("Unique Billed Hours",'County allocation'!$S$3,"County",$D399,"HHA/CDPAP","CDPAP","Level of Service",$D404),0)</f>
        <v>0</v>
      </c>
    </row>
    <row r="405" spans="1:16" x14ac:dyDescent="0.25">
      <c r="B405" s="24"/>
      <c r="C405" s="9">
        <f t="shared" ca="1" si="246"/>
        <v>1</v>
      </c>
      <c r="D405" s="267" t="s">
        <v>44</v>
      </c>
      <c r="E405" s="48" t="s">
        <v>54</v>
      </c>
      <c r="F405" s="678">
        <f t="shared" ca="1" si="247"/>
        <v>17691.958138798142</v>
      </c>
      <c r="G405" s="658">
        <f ca="1">+IFERROR(G$5*GETPIVOTDATA("Unique Billed Hours",'County allocation'!$A$3,"County",$D399,"HHA/CDPAP","CDPAP","Level of Service",$D405),0)</f>
        <v>711.25480364562316</v>
      </c>
      <c r="H405" s="658">
        <f>+IFERROR(H$5*GETPIVOTDATA("Unique Billed Hours",'County allocation'!$A$3,"County",$D399,"HHA/CDPAP","CDPAP","Level of Service",$D405),0)</f>
        <v>612.37725425257941</v>
      </c>
      <c r="I405" s="678">
        <f t="shared" ca="1" si="248"/>
        <v>16368.326080899938</v>
      </c>
      <c r="J405" s="658">
        <f ca="1">+IFERROR(J$5*GETPIVOTDATA("Unique Billed Hours",'County allocation'!$S$3,"County",$D399,"HHA/CDPAP","CDPAP","Level of Service",$D405),0)</f>
        <v>3238.4275647506888</v>
      </c>
      <c r="K405" s="658">
        <f ca="1">+IFERROR(K$5*GETPIVOTDATA("Unique Billed Hours",'County allocation'!$X$3,"County",$D399,"HHA/CDPAP","CDPAP","Level of Service",$D405),0)</f>
        <v>13064.515865369891</v>
      </c>
      <c r="L405" s="658">
        <f>+IFERROR(L$5*GETPIVOTDATA("Unique Billed Hours",'County allocation'!$K$19,"County",$D399,"HHA/CDPAP","CDPAP","Level of Service",$D405),0)</f>
        <v>0</v>
      </c>
      <c r="M405" s="658">
        <f>+IFERROR(M$5*GETPIVOTDATA("Unique Billed Hours",'County allocation'!$S$3,"County",$D399,"HHA/CDPAP","CDPAP","Level of Service",$D405),0)</f>
        <v>60.329730998345646</v>
      </c>
      <c r="N405" s="658">
        <f>+IFERROR(N$5*GETPIVOTDATA("Unique Billed Hours",'County allocation'!$S$3,"County",$D399,"HHA/CDPAP","CDPAP","Level of Service",$D405),0)</f>
        <v>5.0529197810114699</v>
      </c>
      <c r="O405" s="658">
        <f>+IFERROR(O$5*GETPIVOTDATA("Unique Billed Hours",'County allocation'!$S$3,"County",$D399,"HHA/CDPAP","CDPAP","Level of Service",$D405),0)</f>
        <v>0</v>
      </c>
      <c r="P405" s="658">
        <f>+IFERROR(P$5*GETPIVOTDATA("Unique Billed Hours",'County allocation'!$S$3,"County",$D399,"HHA/CDPAP","CDPAP","Level of Service",$D405),0)</f>
        <v>0</v>
      </c>
    </row>
    <row r="406" spans="1:16" x14ac:dyDescent="0.25">
      <c r="B406" s="24"/>
      <c r="C406" s="9">
        <f t="shared" ca="1" si="246"/>
        <v>1</v>
      </c>
      <c r="D406" s="267" t="s">
        <v>45</v>
      </c>
      <c r="E406" s="48" t="s">
        <v>53</v>
      </c>
      <c r="F406" s="678">
        <f t="shared" ca="1" si="247"/>
        <v>69388.590984572424</v>
      </c>
      <c r="G406" s="658">
        <f ca="1">+IFERROR(G$5*GETPIVOTDATA("Unique Billed Hours",'County allocation'!$A$3,"County",$D399,"HHA/CDPAP","CDPAP","Level of Service",$D406),0)</f>
        <v>2789.570734273238</v>
      </c>
      <c r="H406" s="658">
        <f>+IFERROR(H$5*GETPIVOTDATA("Unique Billed Hours",'County allocation'!$A$3,"County",$D399,"HHA/CDPAP","CDPAP","Level of Service",$D406),0)</f>
        <v>2401.7688991928812</v>
      </c>
      <c r="I406" s="678">
        <f t="shared" ca="1" si="248"/>
        <v>64197.251351106301</v>
      </c>
      <c r="J406" s="658">
        <f ca="1">+IFERROR(J$5*GETPIVOTDATA("Unique Billed Hours",'County allocation'!$S$3,"County",$D399,"HHA/CDPAP","CDPAP","Level of Service",$D406),0)</f>
        <v>12701.246745031896</v>
      </c>
      <c r="K406" s="658">
        <f ca="1">+IFERROR(K$5*GETPIVOTDATA("Unique Billed Hours",'County allocation'!$X$3,"County",$D399,"HHA/CDPAP","CDPAP","Level of Service",$D406),0)</f>
        <v>51239.571147616982</v>
      </c>
      <c r="L406" s="658">
        <f>+IFERROR(L$5*GETPIVOTDATA("Unique Billed Hours",'County allocation'!$K$19,"County",$D399,"HHA/CDPAP","CDPAP","Level of Service",$D406),0)</f>
        <v>0</v>
      </c>
      <c r="M406" s="658">
        <f>+IFERROR(M$5*GETPIVOTDATA("Unique Billed Hours",'County allocation'!$S$3,"County",$D399,"HHA/CDPAP","CDPAP","Level of Service",$D406),0)</f>
        <v>236.61569825180837</v>
      </c>
      <c r="N406" s="658">
        <f>+IFERROR(N$5*GETPIVOTDATA("Unique Billed Hours",'County allocation'!$S$3,"County",$D399,"HHA/CDPAP","CDPAP","Level of Service",$D406),0)</f>
        <v>19.817760205613865</v>
      </c>
      <c r="O406" s="658">
        <f>+IFERROR(O$5*GETPIVOTDATA("Unique Billed Hours",'County allocation'!$S$3,"County",$D399,"HHA/CDPAP","CDPAP","Level of Service",$D406),0)</f>
        <v>0</v>
      </c>
      <c r="P406" s="658">
        <f>+IFERROR(P$5*GETPIVOTDATA("Unique Billed Hours",'County allocation'!$S$3,"County",$D399,"HHA/CDPAP","CDPAP","Level of Service",$D406),0)</f>
        <v>0</v>
      </c>
    </row>
    <row r="407" spans="1:16" x14ac:dyDescent="0.25">
      <c r="A407" s="302"/>
      <c r="B407" s="24"/>
      <c r="C407" s="9">
        <f t="shared" ca="1" si="246"/>
        <v>1</v>
      </c>
      <c r="D407" s="267" t="s">
        <v>46</v>
      </c>
      <c r="E407" s="48" t="s">
        <v>52</v>
      </c>
      <c r="F407" s="678">
        <f t="shared" ca="1" si="247"/>
        <v>0</v>
      </c>
      <c r="G407" s="658">
        <f ca="1">+IFERROR(G$5*GETPIVOTDATA("Unique Billed Hours",'County allocation'!$A$3,"County",$D399,"HHA/CDPAP","CDPAP","Level of Service",$D407),0)</f>
        <v>0</v>
      </c>
      <c r="H407" s="658">
        <f>+IFERROR(H$5*GETPIVOTDATA("Unique Billed Hours",'County allocation'!$A$3,"County",$D399,"HHA/CDPAP","CDPAP","Level of Service",$D407),0)</f>
        <v>0</v>
      </c>
      <c r="I407" s="678">
        <f t="shared" ca="1" si="248"/>
        <v>0</v>
      </c>
      <c r="J407" s="658">
        <f ca="1">+IFERROR(J$5*GETPIVOTDATA("Unique Billed Hours",'County allocation'!$S$3,"County",$D399,"HHA/CDPAP","CDPAP","Level of Service",$D407),0)</f>
        <v>0</v>
      </c>
      <c r="K407" s="658">
        <f ca="1">+IFERROR(K$5*GETPIVOTDATA("Unique Billed Hours",'County allocation'!$X$3,"County",$D399,"HHA/CDPAP","CDPAP","Level of Service",$D407),0)</f>
        <v>0</v>
      </c>
      <c r="L407" s="658">
        <f>+IFERROR(L$5*GETPIVOTDATA("Unique Billed Hours",'County allocation'!$K$19,"County",$D399,"HHA/CDPAP","CDPAP","Level of Service",$D407),0)</f>
        <v>0</v>
      </c>
      <c r="M407" s="658">
        <f>+IFERROR(M$5*GETPIVOTDATA("Unique Billed Hours",'County allocation'!$S$3,"County",$D399,"HHA/CDPAP","CDPAP","Level of Service",$D407),0)</f>
        <v>0</v>
      </c>
      <c r="N407" s="658">
        <f>+IFERROR(N$5*GETPIVOTDATA("Unique Billed Hours",'County allocation'!$S$3,"County",$D399,"HHA/CDPAP","CDPAP","Level of Service",$D407),0)</f>
        <v>0</v>
      </c>
      <c r="O407" s="658">
        <f>+IFERROR(O$5*GETPIVOTDATA("Unique Billed Hours",'County allocation'!$S$3,"County",$D399,"HHA/CDPAP","CDPAP","Level of Service",$D407),0)</f>
        <v>0</v>
      </c>
      <c r="P407" s="658">
        <f>+IFERROR(P$5*GETPIVOTDATA("Unique Billed Hours",'County allocation'!$S$3,"County",$D399,"HHA/CDPAP","CDPAP","Level of Service",$D407),0)</f>
        <v>0</v>
      </c>
    </row>
    <row r="408" spans="1:16" ht="15.75" thickBot="1" x14ac:dyDescent="0.3">
      <c r="A408" s="302"/>
      <c r="B408" s="24"/>
      <c r="C408" s="9">
        <f t="shared" ca="1" si="246"/>
        <v>1</v>
      </c>
      <c r="D408" s="52" t="s">
        <v>389</v>
      </c>
      <c r="E408" s="370" t="s">
        <v>51</v>
      </c>
      <c r="F408" s="679">
        <f ca="1">SUM(F402:F407)</f>
        <v>4456135.6453766087</v>
      </c>
      <c r="G408" s="679">
        <f t="shared" ref="G408:H408" ca="1" si="249">SUM(G402:G407)</f>
        <v>179146.24591610694</v>
      </c>
      <c r="H408" s="679">
        <f t="shared" si="249"/>
        <v>154241.6102098097</v>
      </c>
      <c r="I408" s="678">
        <f t="shared" ca="1" si="248"/>
        <v>4122747.7892506905</v>
      </c>
      <c r="J408" s="679">
        <f ca="1">SUM(J402:J407)</f>
        <v>815674.12680053012</v>
      </c>
      <c r="K408" s="679">
        <f t="shared" ref="K408:P408" ca="1" si="250">SUM(K402:K407)</f>
        <v>3290605.5045197969</v>
      </c>
      <c r="L408" s="679">
        <f t="shared" si="250"/>
        <v>0</v>
      </c>
      <c r="M408" s="679">
        <f t="shared" si="250"/>
        <v>15195.461275038542</v>
      </c>
      <c r="N408" s="679">
        <f t="shared" si="250"/>
        <v>1272.6966553247437</v>
      </c>
      <c r="O408" s="679">
        <f t="shared" si="250"/>
        <v>0</v>
      </c>
      <c r="P408" s="679">
        <f t="shared" si="250"/>
        <v>0</v>
      </c>
    </row>
    <row r="409" spans="1:16" x14ac:dyDescent="0.25">
      <c r="A409" s="302"/>
      <c r="B409" s="24"/>
      <c r="C409" s="9">
        <f t="shared" ca="1" si="246"/>
        <v>1</v>
      </c>
      <c r="D409" s="378" t="s">
        <v>390</v>
      </c>
      <c r="E409" s="370" t="s">
        <v>50</v>
      </c>
      <c r="F409" s="678">
        <f t="shared" ref="F409" ca="1" si="251">SUM(G409:I409)</f>
        <v>0</v>
      </c>
      <c r="G409" s="658">
        <f ca="1">+IFERROR(G$5*GETPIVOTDATA("Unique Billed Hours",'County allocation'!$A$3,"County",$D399,"HHA/CDPAP","CDPAP","Level of Service",$D409),0)</f>
        <v>0</v>
      </c>
      <c r="H409" s="659"/>
      <c r="I409" s="678">
        <f t="shared" si="248"/>
        <v>0</v>
      </c>
      <c r="J409" s="659"/>
      <c r="K409" s="659"/>
      <c r="L409" s="659"/>
      <c r="M409" s="659"/>
      <c r="N409" s="659"/>
      <c r="O409" s="659"/>
      <c r="P409" s="659"/>
    </row>
    <row r="410" spans="1:16" ht="15.75" thickBot="1" x14ac:dyDescent="0.3">
      <c r="B410" s="24"/>
      <c r="C410" s="9">
        <f t="shared" ca="1" si="246"/>
        <v>1</v>
      </c>
      <c r="D410" s="11" t="s">
        <v>48</v>
      </c>
      <c r="E410" s="53" t="s">
        <v>49</v>
      </c>
      <c r="F410" s="662">
        <f ca="1">SUBTOTAL(9,F402:F407)</f>
        <v>4456135.6453766087</v>
      </c>
      <c r="G410" s="662">
        <f t="shared" ref="G410:H410" ca="1" si="252">SUBTOTAL(9,G402:G407)</f>
        <v>179146.24591610694</v>
      </c>
      <c r="H410" s="662">
        <f t="shared" si="252"/>
        <v>154241.6102098097</v>
      </c>
      <c r="I410" s="678">
        <f t="shared" ca="1" si="248"/>
        <v>4122747.7892506905</v>
      </c>
      <c r="J410" s="662">
        <f t="shared" ref="J410:P410" ca="1" si="253">SUBTOTAL(9,J402:J407)</f>
        <v>815674.12680053012</v>
      </c>
      <c r="K410" s="662">
        <f t="shared" ca="1" si="253"/>
        <v>3290605.5045197969</v>
      </c>
      <c r="L410" s="662">
        <f t="shared" si="253"/>
        <v>0</v>
      </c>
      <c r="M410" s="662">
        <f t="shared" si="253"/>
        <v>15195.461275038542</v>
      </c>
      <c r="N410" s="662">
        <f t="shared" si="253"/>
        <v>1272.6966553247437</v>
      </c>
      <c r="O410" s="662">
        <f t="shared" si="253"/>
        <v>0</v>
      </c>
      <c r="P410" s="662">
        <f t="shared" si="253"/>
        <v>0</v>
      </c>
    </row>
    <row r="411" spans="1:16" ht="15.75" hidden="1" thickBot="1" x14ac:dyDescent="0.3"/>
    <row r="412" spans="1:16" ht="75" x14ac:dyDescent="0.25">
      <c r="A412" s="60"/>
      <c r="B412" s="24"/>
      <c r="C412" s="9">
        <f ca="1">IF(F423&gt;0,1,0)</f>
        <v>1</v>
      </c>
      <c r="D412" s="45" t="str">
        <f>A34</f>
        <v>New York</v>
      </c>
      <c r="E412" s="28">
        <f>SUMIF(A:A,D412,B:B)</f>
        <v>6.8695669215824678E-2</v>
      </c>
      <c r="F412" s="652" t="s">
        <v>396</v>
      </c>
      <c r="G412" s="652" t="s">
        <v>387</v>
      </c>
      <c r="H412" s="652" t="s">
        <v>388</v>
      </c>
      <c r="I412" s="652" t="s">
        <v>392</v>
      </c>
      <c r="J412" s="652" t="s">
        <v>31</v>
      </c>
      <c r="K412" s="652" t="s">
        <v>32</v>
      </c>
      <c r="L412" s="653" t="s">
        <v>33</v>
      </c>
      <c r="M412" s="653" t="s">
        <v>60</v>
      </c>
      <c r="N412" s="653" t="s">
        <v>59</v>
      </c>
      <c r="O412" s="653" t="s">
        <v>58</v>
      </c>
      <c r="P412" s="653" t="s">
        <v>16</v>
      </c>
    </row>
    <row r="413" spans="1:16" x14ac:dyDescent="0.25">
      <c r="A413" s="60"/>
      <c r="B413" s="24"/>
      <c r="C413" s="9">
        <f ca="1">C412</f>
        <v>1</v>
      </c>
      <c r="D413" s="47"/>
      <c r="E413" s="48"/>
      <c r="F413" s="669" t="s">
        <v>57</v>
      </c>
      <c r="G413" s="669" t="s">
        <v>56</v>
      </c>
      <c r="H413" s="669" t="s">
        <v>55</v>
      </c>
      <c r="I413" s="669" t="s">
        <v>54</v>
      </c>
      <c r="J413" s="669" t="s">
        <v>53</v>
      </c>
      <c r="K413" s="669" t="s">
        <v>52</v>
      </c>
      <c r="L413" s="669" t="s">
        <v>51</v>
      </c>
      <c r="M413" s="669" t="s">
        <v>50</v>
      </c>
      <c r="N413" s="669" t="s">
        <v>49</v>
      </c>
      <c r="O413" s="669" t="s">
        <v>47</v>
      </c>
      <c r="P413" s="670" t="s">
        <v>77</v>
      </c>
    </row>
    <row r="414" spans="1:16" x14ac:dyDescent="0.25">
      <c r="B414" s="24"/>
      <c r="C414" s="9">
        <f t="shared" ref="C414:C423" ca="1" si="254">C413</f>
        <v>1</v>
      </c>
      <c r="D414" s="51" t="s">
        <v>26</v>
      </c>
      <c r="E414" s="48"/>
      <c r="F414" s="674"/>
      <c r="G414" s="674"/>
      <c r="H414" s="674"/>
      <c r="I414" s="674"/>
      <c r="J414" s="674"/>
      <c r="K414" s="674"/>
      <c r="L414" s="675"/>
      <c r="M414" s="675"/>
      <c r="N414" s="676"/>
      <c r="O414" s="674"/>
      <c r="P414" s="677"/>
    </row>
    <row r="415" spans="1:16" x14ac:dyDescent="0.25">
      <c r="B415" s="24"/>
      <c r="C415" s="9">
        <f t="shared" ca="1" si="254"/>
        <v>1</v>
      </c>
      <c r="D415" s="267" t="s">
        <v>18</v>
      </c>
      <c r="E415" s="48" t="s">
        <v>57</v>
      </c>
      <c r="F415" s="678">
        <f ca="1">SUM(G415:I415)</f>
        <v>5804319.3546053153</v>
      </c>
      <c r="G415" s="658">
        <f ca="1">+IFERROR(G$5*GETPIVOTDATA("Unique Billed Hours",'County allocation'!$A$3,"County",$D412,"HHA/CDPAP","CDPAP","Level of Service",$D415),0)</f>
        <v>233346.13333743418</v>
      </c>
      <c r="H415" s="658">
        <f>+IFERROR(H$5*GETPIVOTDATA("Unique Billed Hours",'County allocation'!$A$3,"County",$D412,"HHA/CDPAP","CDPAP","Level of Service",$D415),0)</f>
        <v>200906.71260314033</v>
      </c>
      <c r="I415" s="678">
        <f ca="1">SUM(J415:P415)</f>
        <v>5370066.5086647412</v>
      </c>
      <c r="J415" s="658">
        <f ca="1">+IFERROR(J$5*GETPIVOTDATA("Unique Billed Hours",'County allocation'!$S$3,"County",$D412,"HHA/CDPAP","CDPAP","Level of Service",$D415),0)</f>
        <v>1062452.6491134181</v>
      </c>
      <c r="K415" s="658">
        <f ca="1">+IFERROR(K$5*GETPIVOTDATA("Unique Billed Hours",'County allocation'!$X$3,"County",$D412,"HHA/CDPAP","CDPAP","Level of Service",$D415),0)</f>
        <v>4286163.334832876</v>
      </c>
      <c r="L415" s="658">
        <f>+IFERROR(L$5*GETPIVOTDATA("Unique Billed Hours",'County allocation'!$K$19,"County",$D412,"HHA/CDPAP","CDPAP","Level of Service",$D415),0)</f>
        <v>0</v>
      </c>
      <c r="M415" s="658">
        <f>+IFERROR(M$5*GETPIVOTDATA("Unique Billed Hours",'County allocation'!$S$3,"County",$D412,"HHA/CDPAP","CDPAP","Level of Service",$D415),0)</f>
        <v>19792.779439371774</v>
      </c>
      <c r="N415" s="658">
        <f>+IFERROR(N$5*GETPIVOTDATA("Unique Billed Hours",'County allocation'!$S$3,"County",$D412,"HHA/CDPAP","CDPAP","Level of Service",$D415),0)</f>
        <v>1657.7452790754403</v>
      </c>
      <c r="O415" s="658">
        <f>+IFERROR(O$5*GETPIVOTDATA("Unique Billed Hours",'County allocation'!$S$3,"County",$D412,"HHA/CDPAP","CDPAP","Level of Service",$D415),0)</f>
        <v>0</v>
      </c>
      <c r="P415" s="658">
        <f>+IFERROR(P$5*GETPIVOTDATA("Unique Billed Hours",'County allocation'!$S$3,"County",$D412,"HHA/CDPAP","CDPAP","Level of Service",$D415),0)</f>
        <v>0</v>
      </c>
    </row>
    <row r="416" spans="1:16" x14ac:dyDescent="0.25">
      <c r="B416" s="24"/>
      <c r="C416" s="9">
        <f t="shared" ca="1" si="254"/>
        <v>1</v>
      </c>
      <c r="D416" s="267" t="s">
        <v>42</v>
      </c>
      <c r="E416" s="48" t="s">
        <v>56</v>
      </c>
      <c r="F416" s="678">
        <f t="shared" ref="F416:F420" ca="1" si="255">SUM(G416:I416)</f>
        <v>0</v>
      </c>
      <c r="G416" s="658">
        <f ca="1">+IFERROR(G$5*GETPIVOTDATA("Unique Billed Hours",'County allocation'!$A$3,"County",$D412,"HHA/CDPAP","CDPAP","Level of Service",$D416),0)</f>
        <v>0</v>
      </c>
      <c r="H416" s="658">
        <f>+IFERROR(H$5*GETPIVOTDATA("Unique Billed Hours",'County allocation'!$A$3,"County",$D412,"HHA/CDPAP","CDPAP","Level of Service",$D416),0)</f>
        <v>0</v>
      </c>
      <c r="I416" s="678">
        <f t="shared" ref="I416:I423" ca="1" si="256">SUM(J416:P416)</f>
        <v>0</v>
      </c>
      <c r="J416" s="658">
        <f ca="1">+IFERROR(J$5*GETPIVOTDATA("Unique Billed Hours",'County allocation'!$S$3,"County",$D412,"HHA/CDPAP","CDPAP","Level of Service",$D416),0)</f>
        <v>0</v>
      </c>
      <c r="K416" s="658">
        <f ca="1">+IFERROR(K$5*GETPIVOTDATA("Unique Billed Hours",'County allocation'!$X$3,"County",$D412,"HHA/CDPAP","CDPAP","Level of Service",$D416),0)</f>
        <v>0</v>
      </c>
      <c r="L416" s="658">
        <f>+IFERROR(L$5*GETPIVOTDATA("Unique Billed Hours",'County allocation'!$K$19,"County",$D412,"HHA/CDPAP","CDPAP","Level of Service",$D416),0)</f>
        <v>0</v>
      </c>
      <c r="M416" s="658">
        <f>+IFERROR(M$5*GETPIVOTDATA("Unique Billed Hours",'County allocation'!$S$3,"County",$D412,"HHA/CDPAP","CDPAP","Level of Service",$D416),0)</f>
        <v>0</v>
      </c>
      <c r="N416" s="658">
        <f>+IFERROR(N$5*GETPIVOTDATA("Unique Billed Hours",'County allocation'!$S$3,"County",$D412,"HHA/CDPAP","CDPAP","Level of Service",$D416),0)</f>
        <v>0</v>
      </c>
      <c r="O416" s="658">
        <f>+IFERROR(O$5*GETPIVOTDATA("Unique Billed Hours",'County allocation'!$S$3,"County",$D412,"HHA/CDPAP","CDPAP","Level of Service",$D416),0)</f>
        <v>0</v>
      </c>
      <c r="P416" s="658">
        <f>+IFERROR(P$5*GETPIVOTDATA("Unique Billed Hours",'County allocation'!$S$3,"County",$D412,"HHA/CDPAP","CDPAP","Level of Service",$D416),0)</f>
        <v>0</v>
      </c>
    </row>
    <row r="417" spans="1:16" x14ac:dyDescent="0.25">
      <c r="B417" s="24"/>
      <c r="C417" s="9">
        <f t="shared" ca="1" si="254"/>
        <v>1</v>
      </c>
      <c r="D417" s="267" t="s">
        <v>43</v>
      </c>
      <c r="E417" s="48" t="s">
        <v>55</v>
      </c>
      <c r="F417" s="678">
        <f t="shared" ca="1" si="255"/>
        <v>56742.773692500981</v>
      </c>
      <c r="G417" s="658">
        <f ca="1">+IFERROR(G$5*GETPIVOTDATA("Unique Billed Hours",'County allocation'!$A$3,"County",$D412,"HHA/CDPAP","CDPAP","Level of Service",$D417),0)</f>
        <v>2281.1816557751295</v>
      </c>
      <c r="H417" s="658">
        <f>+IFERROR(H$5*GETPIVOTDATA("Unique Billed Hours",'County allocation'!$A$3,"County",$D412,"HHA/CDPAP","CDPAP","Level of Service",$D417),0)</f>
        <v>1964.0552888426498</v>
      </c>
      <c r="I417" s="678">
        <f t="shared" ca="1" si="256"/>
        <v>52497.536747883205</v>
      </c>
      <c r="J417" s="658">
        <f ca="1">+IFERROR(J$5*GETPIVOTDATA("Unique Billed Hours",'County allocation'!$S$3,"County",$D412,"HHA/CDPAP","CDPAP","Level of Service",$D417),0)</f>
        <v>10386.490912118363</v>
      </c>
      <c r="K417" s="658">
        <f ca="1">+IFERROR(K$5*GETPIVOTDATA("Unique Billed Hours",'County allocation'!$X$3,"County",$D412,"HHA/CDPAP","CDPAP","Level of Service",$D417),0)</f>
        <v>41901.346438587716</v>
      </c>
      <c r="L417" s="658">
        <f>+IFERROR(L$5*GETPIVOTDATA("Unique Billed Hours",'County allocation'!$K$19,"County",$D412,"HHA/CDPAP","CDPAP","Level of Service",$D417),0)</f>
        <v>0</v>
      </c>
      <c r="M417" s="658">
        <f>+IFERROR(M$5*GETPIVOTDATA("Unique Billed Hours",'County allocation'!$S$3,"County",$D412,"HHA/CDPAP","CDPAP","Level of Service",$D417),0)</f>
        <v>193.49335139231457</v>
      </c>
      <c r="N417" s="658">
        <f>+IFERROR(N$5*GETPIVOTDATA("Unique Billed Hours",'County allocation'!$S$3,"County",$D412,"HHA/CDPAP","CDPAP","Level of Service",$D417),0)</f>
        <v>16.206045784809483</v>
      </c>
      <c r="O417" s="658">
        <f>+IFERROR(O$5*GETPIVOTDATA("Unique Billed Hours",'County allocation'!$S$3,"County",$D412,"HHA/CDPAP","CDPAP","Level of Service",$D417),0)</f>
        <v>0</v>
      </c>
      <c r="P417" s="658">
        <f>+IFERROR(P$5*GETPIVOTDATA("Unique Billed Hours",'County allocation'!$S$3,"County",$D412,"HHA/CDPAP","CDPAP","Level of Service",$D417),0)</f>
        <v>0</v>
      </c>
    </row>
    <row r="418" spans="1:16" x14ac:dyDescent="0.25">
      <c r="B418" s="24"/>
      <c r="C418" s="9">
        <f t="shared" ca="1" si="254"/>
        <v>1</v>
      </c>
      <c r="D418" s="267" t="s">
        <v>44</v>
      </c>
      <c r="E418" s="48" t="s">
        <v>54</v>
      </c>
      <c r="F418" s="678">
        <f t="shared" ca="1" si="255"/>
        <v>60742.020335022047</v>
      </c>
      <c r="G418" s="658">
        <f ca="1">+IFERROR(G$5*GETPIVOTDATA("Unique Billed Hours",'County allocation'!$A$3,"County",$D412,"HHA/CDPAP","CDPAP","Level of Service",$D418),0)</f>
        <v>2441.9599802059815</v>
      </c>
      <c r="H418" s="658">
        <f>+IFERROR(H$5*GETPIVOTDATA("Unique Billed Hours",'County allocation'!$A$3,"County",$D412,"HHA/CDPAP","CDPAP","Level of Service",$D418),0)</f>
        <v>2102.4824577751369</v>
      </c>
      <c r="I418" s="678">
        <f t="shared" ca="1" si="256"/>
        <v>56197.57789704093</v>
      </c>
      <c r="J418" s="658">
        <f ca="1">+IFERROR(J$5*GETPIVOTDATA("Unique Billed Hours",'County allocation'!$S$3,"County",$D412,"HHA/CDPAP","CDPAP","Level of Service",$D418),0)</f>
        <v>11118.533711664388</v>
      </c>
      <c r="K418" s="658">
        <f ca="1">+IFERROR(K$5*GETPIVOTDATA("Unique Billed Hours",'County allocation'!$X$3,"County",$D412,"HHA/CDPAP","CDPAP","Level of Service",$D418),0)</f>
        <v>44854.56511573145</v>
      </c>
      <c r="L418" s="658">
        <f>+IFERROR(L$5*GETPIVOTDATA("Unique Billed Hours",'County allocation'!$K$19,"County",$D412,"HHA/CDPAP","CDPAP","Level of Service",$D418),0)</f>
        <v>0</v>
      </c>
      <c r="M418" s="658">
        <f>+IFERROR(M$5*GETPIVOTDATA("Unique Billed Hours",'County allocation'!$S$3,"County",$D412,"HHA/CDPAP","CDPAP","Level of Service",$D418),0)</f>
        <v>207.13081719720049</v>
      </c>
      <c r="N418" s="658">
        <f>+IFERROR(N$5*GETPIVOTDATA("Unique Billed Hours",'County allocation'!$S$3,"County",$D412,"HHA/CDPAP","CDPAP","Level of Service",$D418),0)</f>
        <v>17.348252447893483</v>
      </c>
      <c r="O418" s="658">
        <f>+IFERROR(O$5*GETPIVOTDATA("Unique Billed Hours",'County allocation'!$S$3,"County",$D412,"HHA/CDPAP","CDPAP","Level of Service",$D418),0)</f>
        <v>0</v>
      </c>
      <c r="P418" s="658">
        <f>+IFERROR(P$5*GETPIVOTDATA("Unique Billed Hours",'County allocation'!$S$3,"County",$D412,"HHA/CDPAP","CDPAP","Level of Service",$D418),0)</f>
        <v>0</v>
      </c>
    </row>
    <row r="419" spans="1:16" x14ac:dyDescent="0.25">
      <c r="B419" s="24"/>
      <c r="C419" s="9">
        <f t="shared" ca="1" si="254"/>
        <v>1</v>
      </c>
      <c r="D419" s="267" t="s">
        <v>45</v>
      </c>
      <c r="E419" s="48" t="s">
        <v>53</v>
      </c>
      <c r="F419" s="678">
        <f t="shared" ca="1" si="255"/>
        <v>0</v>
      </c>
      <c r="G419" s="658">
        <f ca="1">+IFERROR(G$5*GETPIVOTDATA("Unique Billed Hours",'County allocation'!$A$3,"County",$D412,"HHA/CDPAP","CDPAP","Level of Service",$D419),0)</f>
        <v>0</v>
      </c>
      <c r="H419" s="658">
        <f>+IFERROR(H$5*GETPIVOTDATA("Unique Billed Hours",'County allocation'!$A$3,"County",$D412,"HHA/CDPAP","CDPAP","Level of Service",$D419),0)</f>
        <v>0</v>
      </c>
      <c r="I419" s="678">
        <f t="shared" ca="1" si="256"/>
        <v>0</v>
      </c>
      <c r="J419" s="658">
        <f ca="1">+IFERROR(J$5*GETPIVOTDATA("Unique Billed Hours",'County allocation'!$S$3,"County",$D412,"HHA/CDPAP","CDPAP","Level of Service",$D419),0)</f>
        <v>0</v>
      </c>
      <c r="K419" s="658">
        <f ca="1">+IFERROR(K$5*GETPIVOTDATA("Unique Billed Hours",'County allocation'!$X$3,"County",$D412,"HHA/CDPAP","CDPAP","Level of Service",$D419),0)</f>
        <v>0</v>
      </c>
      <c r="L419" s="658">
        <f>+IFERROR(L$5*GETPIVOTDATA("Unique Billed Hours",'County allocation'!$K$19,"County",$D412,"HHA/CDPAP","CDPAP","Level of Service",$D419),0)</f>
        <v>0</v>
      </c>
      <c r="M419" s="658">
        <f>+IFERROR(M$5*GETPIVOTDATA("Unique Billed Hours",'County allocation'!$S$3,"County",$D412,"HHA/CDPAP","CDPAP","Level of Service",$D419),0)</f>
        <v>0</v>
      </c>
      <c r="N419" s="658">
        <f>+IFERROR(N$5*GETPIVOTDATA("Unique Billed Hours",'County allocation'!$S$3,"County",$D412,"HHA/CDPAP","CDPAP","Level of Service",$D419),0)</f>
        <v>0</v>
      </c>
      <c r="O419" s="658">
        <f>+IFERROR(O$5*GETPIVOTDATA("Unique Billed Hours",'County allocation'!$S$3,"County",$D412,"HHA/CDPAP","CDPAP","Level of Service",$D419),0)</f>
        <v>0</v>
      </c>
      <c r="P419" s="658">
        <f>+IFERROR(P$5*GETPIVOTDATA("Unique Billed Hours",'County allocation'!$S$3,"County",$D412,"HHA/CDPAP","CDPAP","Level of Service",$D419),0)</f>
        <v>0</v>
      </c>
    </row>
    <row r="420" spans="1:16" x14ac:dyDescent="0.25">
      <c r="A420" s="302"/>
      <c r="B420" s="24"/>
      <c r="C420" s="9">
        <f t="shared" ca="1" si="254"/>
        <v>1</v>
      </c>
      <c r="D420" s="267" t="s">
        <v>46</v>
      </c>
      <c r="E420" s="48" t="s">
        <v>52</v>
      </c>
      <c r="F420" s="678">
        <f t="shared" ca="1" si="255"/>
        <v>0</v>
      </c>
      <c r="G420" s="658">
        <f ca="1">+IFERROR(G$5*GETPIVOTDATA("Unique Billed Hours",'County allocation'!$A$3,"County",$D412,"HHA/CDPAP","CDPAP","Level of Service",$D420),0)</f>
        <v>0</v>
      </c>
      <c r="H420" s="658">
        <f>+IFERROR(H$5*GETPIVOTDATA("Unique Billed Hours",'County allocation'!$A$3,"County",$D412,"HHA/CDPAP","CDPAP","Level of Service",$D420),0)</f>
        <v>0</v>
      </c>
      <c r="I420" s="678">
        <f t="shared" ca="1" si="256"/>
        <v>0</v>
      </c>
      <c r="J420" s="658">
        <f ca="1">+IFERROR(J$5*GETPIVOTDATA("Unique Billed Hours",'County allocation'!$S$3,"County",$D412,"HHA/CDPAP","CDPAP","Level of Service",$D420),0)</f>
        <v>0</v>
      </c>
      <c r="K420" s="658">
        <f ca="1">+IFERROR(K$5*GETPIVOTDATA("Unique Billed Hours",'County allocation'!$X$3,"County",$D412,"HHA/CDPAP","CDPAP","Level of Service",$D420),0)</f>
        <v>0</v>
      </c>
      <c r="L420" s="658">
        <f>+IFERROR(L$5*GETPIVOTDATA("Unique Billed Hours",'County allocation'!$K$19,"County",$D412,"HHA/CDPAP","CDPAP","Level of Service",$D420),0)</f>
        <v>0</v>
      </c>
      <c r="M420" s="658">
        <f>+IFERROR(M$5*GETPIVOTDATA("Unique Billed Hours",'County allocation'!$S$3,"County",$D412,"HHA/CDPAP","CDPAP","Level of Service",$D420),0)</f>
        <v>0</v>
      </c>
      <c r="N420" s="658">
        <f>+IFERROR(N$5*GETPIVOTDATA("Unique Billed Hours",'County allocation'!$S$3,"County",$D412,"HHA/CDPAP","CDPAP","Level of Service",$D420),0)</f>
        <v>0</v>
      </c>
      <c r="O420" s="658">
        <f>+IFERROR(O$5*GETPIVOTDATA("Unique Billed Hours",'County allocation'!$S$3,"County",$D412,"HHA/CDPAP","CDPAP","Level of Service",$D420),0)</f>
        <v>0</v>
      </c>
      <c r="P420" s="658">
        <f>+IFERROR(P$5*GETPIVOTDATA("Unique Billed Hours",'County allocation'!$S$3,"County",$D412,"HHA/CDPAP","CDPAP","Level of Service",$D420),0)</f>
        <v>0</v>
      </c>
    </row>
    <row r="421" spans="1:16" ht="15.75" thickBot="1" x14ac:dyDescent="0.3">
      <c r="A421" s="302"/>
      <c r="B421" s="24"/>
      <c r="C421" s="9">
        <f t="shared" ca="1" si="254"/>
        <v>1</v>
      </c>
      <c r="D421" s="52" t="s">
        <v>389</v>
      </c>
      <c r="E421" s="370" t="s">
        <v>51</v>
      </c>
      <c r="F421" s="679">
        <f ca="1">SUM(F415:F420)</f>
        <v>5921804.1486328384</v>
      </c>
      <c r="G421" s="679">
        <f t="shared" ref="G421:H421" ca="1" si="257">SUM(G415:G420)</f>
        <v>238069.27497341527</v>
      </c>
      <c r="H421" s="679">
        <f t="shared" si="257"/>
        <v>204973.25034975811</v>
      </c>
      <c r="I421" s="678">
        <f t="shared" ca="1" si="256"/>
        <v>5478761.6233096654</v>
      </c>
      <c r="J421" s="679">
        <f ca="1">SUM(J415:J420)</f>
        <v>1083957.6737372009</v>
      </c>
      <c r="K421" s="679">
        <f t="shared" ref="K421:P421" ca="1" si="258">SUM(K415:K420)</f>
        <v>4372919.2463871948</v>
      </c>
      <c r="L421" s="679">
        <f t="shared" si="258"/>
        <v>0</v>
      </c>
      <c r="M421" s="679">
        <f t="shared" si="258"/>
        <v>20193.403607961289</v>
      </c>
      <c r="N421" s="679">
        <f t="shared" si="258"/>
        <v>1691.2995773081432</v>
      </c>
      <c r="O421" s="679">
        <f t="shared" si="258"/>
        <v>0</v>
      </c>
      <c r="P421" s="679">
        <f t="shared" si="258"/>
        <v>0</v>
      </c>
    </row>
    <row r="422" spans="1:16" x14ac:dyDescent="0.25">
      <c r="A422" s="302"/>
      <c r="B422" s="24"/>
      <c r="C422" s="9">
        <f t="shared" ca="1" si="254"/>
        <v>1</v>
      </c>
      <c r="D422" s="378" t="s">
        <v>390</v>
      </c>
      <c r="E422" s="370" t="s">
        <v>50</v>
      </c>
      <c r="F422" s="678">
        <f t="shared" ref="F422" ca="1" si="259">SUM(G422:I422)</f>
        <v>0</v>
      </c>
      <c r="G422" s="658">
        <f ca="1">+IFERROR(G$5*GETPIVOTDATA("Unique Billed Hours",'County allocation'!$A$3,"County",$D412,"HHA/CDPAP","CDPAP","Level of Service",$D422),0)</f>
        <v>0</v>
      </c>
      <c r="H422" s="659"/>
      <c r="I422" s="678">
        <f t="shared" si="256"/>
        <v>0</v>
      </c>
      <c r="J422" s="659"/>
      <c r="K422" s="659"/>
      <c r="L422" s="659"/>
      <c r="M422" s="659"/>
      <c r="N422" s="659"/>
      <c r="O422" s="659"/>
      <c r="P422" s="659"/>
    </row>
    <row r="423" spans="1:16" ht="15.75" thickBot="1" x14ac:dyDescent="0.3">
      <c r="B423" s="24"/>
      <c r="C423" s="9">
        <f t="shared" ca="1" si="254"/>
        <v>1</v>
      </c>
      <c r="D423" s="11" t="s">
        <v>48</v>
      </c>
      <c r="E423" s="53" t="s">
        <v>49</v>
      </c>
      <c r="F423" s="662">
        <f ca="1">SUBTOTAL(9,F415:F420)</f>
        <v>5921804.1486328384</v>
      </c>
      <c r="G423" s="662">
        <f t="shared" ref="G423:H423" ca="1" si="260">SUBTOTAL(9,G415:G420)</f>
        <v>238069.27497341527</v>
      </c>
      <c r="H423" s="662">
        <f t="shared" si="260"/>
        <v>204973.25034975811</v>
      </c>
      <c r="I423" s="678">
        <f t="shared" ca="1" si="256"/>
        <v>5478761.6233096654</v>
      </c>
      <c r="J423" s="662">
        <f t="shared" ref="J423:P423" ca="1" si="261">SUBTOTAL(9,J415:J420)</f>
        <v>1083957.6737372009</v>
      </c>
      <c r="K423" s="662">
        <f t="shared" ca="1" si="261"/>
        <v>4372919.2463871948</v>
      </c>
      <c r="L423" s="662">
        <f t="shared" si="261"/>
        <v>0</v>
      </c>
      <c r="M423" s="662">
        <f t="shared" si="261"/>
        <v>20193.403607961289</v>
      </c>
      <c r="N423" s="662">
        <f t="shared" si="261"/>
        <v>1691.2995773081432</v>
      </c>
      <c r="O423" s="662">
        <f t="shared" si="261"/>
        <v>0</v>
      </c>
      <c r="P423" s="662">
        <f t="shared" si="261"/>
        <v>0</v>
      </c>
    </row>
    <row r="424" spans="1:16" ht="15.75" hidden="1" thickBot="1" x14ac:dyDescent="0.3">
      <c r="B424" s="24"/>
      <c r="D424" s="380"/>
      <c r="E424" s="325"/>
      <c r="F424" s="691"/>
      <c r="G424" s="691"/>
      <c r="H424" s="691"/>
      <c r="I424" s="692"/>
      <c r="J424" s="691"/>
      <c r="K424" s="691"/>
      <c r="L424" s="693"/>
      <c r="M424" s="693"/>
      <c r="N424" s="693"/>
      <c r="O424" s="693"/>
      <c r="P424" s="693"/>
    </row>
    <row r="425" spans="1:16" ht="75" x14ac:dyDescent="0.25">
      <c r="A425" s="60"/>
      <c r="B425" s="24"/>
      <c r="C425" s="9">
        <f ca="1">IF(F436&gt;0,1,0)</f>
        <v>1</v>
      </c>
      <c r="D425" s="45" t="str">
        <f>A35</f>
        <v>Niagara</v>
      </c>
      <c r="E425" s="28">
        <f>SUMIF(A:A,D425,B:B)</f>
        <v>5.8328093760351305E-3</v>
      </c>
      <c r="F425" s="652" t="s">
        <v>396</v>
      </c>
      <c r="G425" s="652" t="s">
        <v>387</v>
      </c>
      <c r="H425" s="652" t="s">
        <v>388</v>
      </c>
      <c r="I425" s="652" t="s">
        <v>392</v>
      </c>
      <c r="J425" s="652" t="s">
        <v>31</v>
      </c>
      <c r="K425" s="652" t="s">
        <v>32</v>
      </c>
      <c r="L425" s="653" t="s">
        <v>33</v>
      </c>
      <c r="M425" s="653" t="s">
        <v>60</v>
      </c>
      <c r="N425" s="653" t="s">
        <v>59</v>
      </c>
      <c r="O425" s="653" t="s">
        <v>58</v>
      </c>
      <c r="P425" s="653" t="s">
        <v>16</v>
      </c>
    </row>
    <row r="426" spans="1:16" x14ac:dyDescent="0.25">
      <c r="A426" s="60"/>
      <c r="B426" s="24"/>
      <c r="C426" s="9">
        <f ca="1">C425</f>
        <v>1</v>
      </c>
      <c r="D426" s="47"/>
      <c r="E426" s="48"/>
      <c r="F426" s="669" t="s">
        <v>57</v>
      </c>
      <c r="G426" s="669" t="s">
        <v>56</v>
      </c>
      <c r="H426" s="669" t="s">
        <v>55</v>
      </c>
      <c r="I426" s="669" t="s">
        <v>54</v>
      </c>
      <c r="J426" s="669" t="s">
        <v>53</v>
      </c>
      <c r="K426" s="669" t="s">
        <v>52</v>
      </c>
      <c r="L426" s="669" t="s">
        <v>51</v>
      </c>
      <c r="M426" s="669" t="s">
        <v>50</v>
      </c>
      <c r="N426" s="669" t="s">
        <v>49</v>
      </c>
      <c r="O426" s="669" t="s">
        <v>47</v>
      </c>
      <c r="P426" s="670" t="s">
        <v>77</v>
      </c>
    </row>
    <row r="427" spans="1:16" x14ac:dyDescent="0.25">
      <c r="B427" s="24"/>
      <c r="C427" s="9">
        <f t="shared" ref="C427:C436" ca="1" si="262">C426</f>
        <v>1</v>
      </c>
      <c r="D427" s="51" t="s">
        <v>26</v>
      </c>
      <c r="E427" s="48"/>
      <c r="F427" s="674"/>
      <c r="G427" s="674"/>
      <c r="H427" s="674"/>
      <c r="I427" s="674"/>
      <c r="J427" s="674"/>
      <c r="K427" s="674"/>
      <c r="L427" s="675"/>
      <c r="M427" s="675"/>
      <c r="N427" s="676"/>
      <c r="O427" s="674"/>
      <c r="P427" s="677"/>
    </row>
    <row r="428" spans="1:16" x14ac:dyDescent="0.25">
      <c r="B428" s="24"/>
      <c r="C428" s="9">
        <f t="shared" ca="1" si="262"/>
        <v>1</v>
      </c>
      <c r="D428" s="267" t="s">
        <v>18</v>
      </c>
      <c r="E428" s="48" t="s">
        <v>57</v>
      </c>
      <c r="F428" s="678">
        <f ca="1">SUM(G428:I428)</f>
        <v>502808.33064848545</v>
      </c>
      <c r="G428" s="658">
        <f ca="1">+IFERROR(G$5*GETPIVOTDATA("Unique Billed Hours",'County allocation'!$A$3,"County",$D425,"HHA/CDPAP","CDPAP","Level of Service",$D428),0)</f>
        <v>20213.97731563175</v>
      </c>
      <c r="H428" s="658">
        <f>+IFERROR(H$5*GETPIVOTDATA("Unique Billed Hours",'County allocation'!$A$3,"County",$D425,"HHA/CDPAP","CDPAP","Level of Service",$D428),0)</f>
        <v>17403.861264096322</v>
      </c>
      <c r="I428" s="678">
        <f ca="1">SUM(J428:P428)</f>
        <v>465190.49206875736</v>
      </c>
      <c r="J428" s="658">
        <f ca="1">+IFERROR(J$5*GETPIVOTDATA("Unique Billed Hours",'County allocation'!$S$3,"County",$D425,"HHA/CDPAP","CDPAP","Level of Service",$D428),0)</f>
        <v>92036.6386232558</v>
      </c>
      <c r="K428" s="658">
        <f ca="1">+IFERROR(K$5*GETPIVOTDATA("Unique Billed Hours",'County allocation'!$X$3,"County",$D425,"HHA/CDPAP","CDPAP","Level of Service",$D428),0)</f>
        <v>371295.66786571278</v>
      </c>
      <c r="L428" s="658">
        <f>+IFERROR(L$5*GETPIVOTDATA("Unique Billed Hours",'County allocation'!$K$19,"County",$D425,"HHA/CDPAP","CDPAP","Level of Service",$D428),0)</f>
        <v>0</v>
      </c>
      <c r="M428" s="658">
        <f>+IFERROR(M$5*GETPIVOTDATA("Unique Billed Hours",'County allocation'!$S$3,"County",$D425,"HHA/CDPAP","CDPAP","Level of Service",$D428),0)</f>
        <v>1714.5807769705159</v>
      </c>
      <c r="N428" s="658">
        <f>+IFERROR(N$5*GETPIVOTDATA("Unique Billed Hours",'County allocation'!$S$3,"County",$D425,"HHA/CDPAP","CDPAP","Level of Service",$D428),0)</f>
        <v>143.60480281826398</v>
      </c>
      <c r="O428" s="658">
        <f>+IFERROR(O$5*GETPIVOTDATA("Unique Billed Hours",'County allocation'!$S$3,"County",$D425,"HHA/CDPAP","CDPAP","Level of Service",$D428),0)</f>
        <v>0</v>
      </c>
      <c r="P428" s="658">
        <f>+IFERROR(P$5*GETPIVOTDATA("Unique Billed Hours",'County allocation'!$S$3,"County",$D425,"HHA/CDPAP","CDPAP","Level of Service",$D428),0)</f>
        <v>0</v>
      </c>
    </row>
    <row r="429" spans="1:16" x14ac:dyDescent="0.25">
      <c r="B429" s="24"/>
      <c r="C429" s="9">
        <f t="shared" ca="1" si="262"/>
        <v>1</v>
      </c>
      <c r="D429" s="267" t="s">
        <v>42</v>
      </c>
      <c r="E429" s="48" t="s">
        <v>56</v>
      </c>
      <c r="F429" s="678">
        <f t="shared" ref="F429:F433" ca="1" si="263">SUM(G429:I429)</f>
        <v>0</v>
      </c>
      <c r="G429" s="658">
        <f ca="1">+IFERROR(G$5*GETPIVOTDATA("Unique Billed Hours",'County allocation'!$A$3,"County",$D425,"HHA/CDPAP","CDPAP","Level of Service",$D429),0)</f>
        <v>0</v>
      </c>
      <c r="H429" s="658">
        <f>+IFERROR(H$5*GETPIVOTDATA("Unique Billed Hours",'County allocation'!$A$3,"County",$D425,"HHA/CDPAP","CDPAP","Level of Service",$D429),0)</f>
        <v>0</v>
      </c>
      <c r="I429" s="678">
        <f t="shared" ref="I429:I436" ca="1" si="264">SUM(J429:P429)</f>
        <v>0</v>
      </c>
      <c r="J429" s="658">
        <f ca="1">+IFERROR(J$5*GETPIVOTDATA("Unique Billed Hours",'County allocation'!$S$3,"County",$D425,"HHA/CDPAP","CDPAP","Level of Service",$D429),0)</f>
        <v>0</v>
      </c>
      <c r="K429" s="658">
        <f ca="1">+IFERROR(K$5*GETPIVOTDATA("Unique Billed Hours",'County allocation'!$X$3,"County",$D425,"HHA/CDPAP","CDPAP","Level of Service",$D429),0)</f>
        <v>0</v>
      </c>
      <c r="L429" s="658">
        <f>+IFERROR(L$5*GETPIVOTDATA("Unique Billed Hours",'County allocation'!$K$19,"County",$D425,"HHA/CDPAP","CDPAP","Level of Service",$D429),0)</f>
        <v>0</v>
      </c>
      <c r="M429" s="658">
        <f>+IFERROR(M$5*GETPIVOTDATA("Unique Billed Hours",'County allocation'!$S$3,"County",$D425,"HHA/CDPAP","CDPAP","Level of Service",$D429),0)</f>
        <v>0</v>
      </c>
      <c r="N429" s="658">
        <f>+IFERROR(N$5*GETPIVOTDATA("Unique Billed Hours",'County allocation'!$S$3,"County",$D425,"HHA/CDPAP","CDPAP","Level of Service",$D429),0)</f>
        <v>0</v>
      </c>
      <c r="O429" s="658">
        <f>+IFERROR(O$5*GETPIVOTDATA("Unique Billed Hours",'County allocation'!$S$3,"County",$D425,"HHA/CDPAP","CDPAP","Level of Service",$D429),0)</f>
        <v>0</v>
      </c>
      <c r="P429" s="658">
        <f>+IFERROR(P$5*GETPIVOTDATA("Unique Billed Hours",'County allocation'!$S$3,"County",$D425,"HHA/CDPAP","CDPAP","Level of Service",$D429),0)</f>
        <v>0</v>
      </c>
    </row>
    <row r="430" spans="1:16" x14ac:dyDescent="0.25">
      <c r="B430" s="24"/>
      <c r="C430" s="9">
        <f t="shared" ca="1" si="262"/>
        <v>1</v>
      </c>
      <c r="D430" s="267" t="s">
        <v>43</v>
      </c>
      <c r="E430" s="48" t="s">
        <v>55</v>
      </c>
      <c r="F430" s="678">
        <f t="shared" ca="1" si="263"/>
        <v>0</v>
      </c>
      <c r="G430" s="658">
        <f ca="1">+IFERROR(G$5*GETPIVOTDATA("Unique Billed Hours",'County allocation'!$A$3,"County",$D425,"HHA/CDPAP","CDPAP","Level of Service",$D430),0)</f>
        <v>0</v>
      </c>
      <c r="H430" s="658">
        <f>+IFERROR(H$5*GETPIVOTDATA("Unique Billed Hours",'County allocation'!$A$3,"County",$D425,"HHA/CDPAP","CDPAP","Level of Service",$D430),0)</f>
        <v>0</v>
      </c>
      <c r="I430" s="678">
        <f t="shared" ca="1" si="264"/>
        <v>0</v>
      </c>
      <c r="J430" s="658">
        <f ca="1">+IFERROR(J$5*GETPIVOTDATA("Unique Billed Hours",'County allocation'!$S$3,"County",$D425,"HHA/CDPAP","CDPAP","Level of Service",$D430),0)</f>
        <v>0</v>
      </c>
      <c r="K430" s="658">
        <f ca="1">+IFERROR(K$5*GETPIVOTDATA("Unique Billed Hours",'County allocation'!$X$3,"County",$D425,"HHA/CDPAP","CDPAP","Level of Service",$D430),0)</f>
        <v>0</v>
      </c>
      <c r="L430" s="658">
        <f>+IFERROR(L$5*GETPIVOTDATA("Unique Billed Hours",'County allocation'!$K$19,"County",$D425,"HHA/CDPAP","CDPAP","Level of Service",$D430),0)</f>
        <v>0</v>
      </c>
      <c r="M430" s="658">
        <f>+IFERROR(M$5*GETPIVOTDATA("Unique Billed Hours",'County allocation'!$S$3,"County",$D425,"HHA/CDPAP","CDPAP","Level of Service",$D430),0)</f>
        <v>0</v>
      </c>
      <c r="N430" s="658">
        <f>+IFERROR(N$5*GETPIVOTDATA("Unique Billed Hours",'County allocation'!$S$3,"County",$D425,"HHA/CDPAP","CDPAP","Level of Service",$D430),0)</f>
        <v>0</v>
      </c>
      <c r="O430" s="658">
        <f>+IFERROR(O$5*GETPIVOTDATA("Unique Billed Hours",'County allocation'!$S$3,"County",$D425,"HHA/CDPAP","CDPAP","Level of Service",$D430),0)</f>
        <v>0</v>
      </c>
      <c r="P430" s="658">
        <f>+IFERROR(P$5*GETPIVOTDATA("Unique Billed Hours",'County allocation'!$S$3,"County",$D425,"HHA/CDPAP","CDPAP","Level of Service",$D430),0)</f>
        <v>0</v>
      </c>
    </row>
    <row r="431" spans="1:16" x14ac:dyDescent="0.25">
      <c r="B431" s="24"/>
      <c r="C431" s="9">
        <f t="shared" ca="1" si="262"/>
        <v>1</v>
      </c>
      <c r="D431" s="267" t="s">
        <v>44</v>
      </c>
      <c r="E431" s="48" t="s">
        <v>54</v>
      </c>
      <c r="F431" s="678">
        <f t="shared" ca="1" si="263"/>
        <v>0</v>
      </c>
      <c r="G431" s="658">
        <f ca="1">+IFERROR(G$5*GETPIVOTDATA("Unique Billed Hours",'County allocation'!$A$3,"County",$D425,"HHA/CDPAP","CDPAP","Level of Service",$D431),0)</f>
        <v>0</v>
      </c>
      <c r="H431" s="658">
        <f>+IFERROR(H$5*GETPIVOTDATA("Unique Billed Hours",'County allocation'!$A$3,"County",$D425,"HHA/CDPAP","CDPAP","Level of Service",$D431),0)</f>
        <v>0</v>
      </c>
      <c r="I431" s="678">
        <f t="shared" ca="1" si="264"/>
        <v>0</v>
      </c>
      <c r="J431" s="658">
        <f ca="1">+IFERROR(J$5*GETPIVOTDATA("Unique Billed Hours",'County allocation'!$S$3,"County",$D425,"HHA/CDPAP","CDPAP","Level of Service",$D431),0)</f>
        <v>0</v>
      </c>
      <c r="K431" s="658">
        <f ca="1">+IFERROR(K$5*GETPIVOTDATA("Unique Billed Hours",'County allocation'!$X$3,"County",$D425,"HHA/CDPAP","CDPAP","Level of Service",$D431),0)</f>
        <v>0</v>
      </c>
      <c r="L431" s="658">
        <f>+IFERROR(L$5*GETPIVOTDATA("Unique Billed Hours",'County allocation'!$K$19,"County",$D425,"HHA/CDPAP","CDPAP","Level of Service",$D431),0)</f>
        <v>0</v>
      </c>
      <c r="M431" s="658">
        <f>+IFERROR(M$5*GETPIVOTDATA("Unique Billed Hours",'County allocation'!$S$3,"County",$D425,"HHA/CDPAP","CDPAP","Level of Service",$D431),0)</f>
        <v>0</v>
      </c>
      <c r="N431" s="658">
        <f>+IFERROR(N$5*GETPIVOTDATA("Unique Billed Hours",'County allocation'!$S$3,"County",$D425,"HHA/CDPAP","CDPAP","Level of Service",$D431),0)</f>
        <v>0</v>
      </c>
      <c r="O431" s="658">
        <f>+IFERROR(O$5*GETPIVOTDATA("Unique Billed Hours",'County allocation'!$S$3,"County",$D425,"HHA/CDPAP","CDPAP","Level of Service",$D431),0)</f>
        <v>0</v>
      </c>
      <c r="P431" s="658">
        <f>+IFERROR(P$5*GETPIVOTDATA("Unique Billed Hours",'County allocation'!$S$3,"County",$D425,"HHA/CDPAP","CDPAP","Level of Service",$D431),0)</f>
        <v>0</v>
      </c>
    </row>
    <row r="432" spans="1:16" x14ac:dyDescent="0.25">
      <c r="B432" s="24"/>
      <c r="C432" s="9">
        <f t="shared" ca="1" si="262"/>
        <v>1</v>
      </c>
      <c r="D432" s="267" t="s">
        <v>45</v>
      </c>
      <c r="E432" s="48" t="s">
        <v>53</v>
      </c>
      <c r="F432" s="678">
        <f t="shared" ca="1" si="263"/>
        <v>0</v>
      </c>
      <c r="G432" s="658">
        <f ca="1">+IFERROR(G$5*GETPIVOTDATA("Unique Billed Hours",'County allocation'!$A$3,"County",$D425,"HHA/CDPAP","CDPAP","Level of Service",$D432),0)</f>
        <v>0</v>
      </c>
      <c r="H432" s="658">
        <f>+IFERROR(H$5*GETPIVOTDATA("Unique Billed Hours",'County allocation'!$A$3,"County",$D425,"HHA/CDPAP","CDPAP","Level of Service",$D432),0)</f>
        <v>0</v>
      </c>
      <c r="I432" s="678">
        <f t="shared" ca="1" si="264"/>
        <v>0</v>
      </c>
      <c r="J432" s="658">
        <f ca="1">+IFERROR(J$5*GETPIVOTDATA("Unique Billed Hours",'County allocation'!$S$3,"County",$D425,"HHA/CDPAP","CDPAP","Level of Service",$D432),0)</f>
        <v>0</v>
      </c>
      <c r="K432" s="658">
        <f ca="1">+IFERROR(K$5*GETPIVOTDATA("Unique Billed Hours",'County allocation'!$X$3,"County",$D425,"HHA/CDPAP","CDPAP","Level of Service",$D432),0)</f>
        <v>0</v>
      </c>
      <c r="L432" s="658">
        <f>+IFERROR(L$5*GETPIVOTDATA("Unique Billed Hours",'County allocation'!$K$19,"County",$D425,"HHA/CDPAP","CDPAP","Level of Service",$D432),0)</f>
        <v>0</v>
      </c>
      <c r="M432" s="658">
        <f>+IFERROR(M$5*GETPIVOTDATA("Unique Billed Hours",'County allocation'!$S$3,"County",$D425,"HHA/CDPAP","CDPAP","Level of Service",$D432),0)</f>
        <v>0</v>
      </c>
      <c r="N432" s="658">
        <f>+IFERROR(N$5*GETPIVOTDATA("Unique Billed Hours",'County allocation'!$S$3,"County",$D425,"HHA/CDPAP","CDPAP","Level of Service",$D432),0)</f>
        <v>0</v>
      </c>
      <c r="O432" s="658">
        <f>+IFERROR(O$5*GETPIVOTDATA("Unique Billed Hours",'County allocation'!$S$3,"County",$D425,"HHA/CDPAP","CDPAP","Level of Service",$D432),0)</f>
        <v>0</v>
      </c>
      <c r="P432" s="658">
        <f>+IFERROR(P$5*GETPIVOTDATA("Unique Billed Hours",'County allocation'!$S$3,"County",$D425,"HHA/CDPAP","CDPAP","Level of Service",$D432),0)</f>
        <v>0</v>
      </c>
    </row>
    <row r="433" spans="1:16" x14ac:dyDescent="0.25">
      <c r="A433" s="302"/>
      <c r="B433" s="24"/>
      <c r="C433" s="9">
        <f t="shared" ca="1" si="262"/>
        <v>1</v>
      </c>
      <c r="D433" s="267" t="s">
        <v>46</v>
      </c>
      <c r="E433" s="48" t="s">
        <v>52</v>
      </c>
      <c r="F433" s="678">
        <f t="shared" ca="1" si="263"/>
        <v>0</v>
      </c>
      <c r="G433" s="658">
        <f ca="1">+IFERROR(G$5*GETPIVOTDATA("Unique Billed Hours",'County allocation'!$A$3,"County",$D425,"HHA/CDPAP","CDPAP","Level of Service",$D433),0)</f>
        <v>0</v>
      </c>
      <c r="H433" s="658">
        <f>+IFERROR(H$5*GETPIVOTDATA("Unique Billed Hours",'County allocation'!$A$3,"County",$D425,"HHA/CDPAP","CDPAP","Level of Service",$D433),0)</f>
        <v>0</v>
      </c>
      <c r="I433" s="678">
        <f t="shared" ca="1" si="264"/>
        <v>0</v>
      </c>
      <c r="J433" s="658">
        <f ca="1">+IFERROR(J$5*GETPIVOTDATA("Unique Billed Hours",'County allocation'!$S$3,"County",$D425,"HHA/CDPAP","CDPAP","Level of Service",$D433),0)</f>
        <v>0</v>
      </c>
      <c r="K433" s="658">
        <f ca="1">+IFERROR(K$5*GETPIVOTDATA("Unique Billed Hours",'County allocation'!$X$3,"County",$D425,"HHA/CDPAP","CDPAP","Level of Service",$D433),0)</f>
        <v>0</v>
      </c>
      <c r="L433" s="658">
        <f>+IFERROR(L$5*GETPIVOTDATA("Unique Billed Hours",'County allocation'!$K$19,"County",$D425,"HHA/CDPAP","CDPAP","Level of Service",$D433),0)</f>
        <v>0</v>
      </c>
      <c r="M433" s="658">
        <f>+IFERROR(M$5*GETPIVOTDATA("Unique Billed Hours",'County allocation'!$S$3,"County",$D425,"HHA/CDPAP","CDPAP","Level of Service",$D433),0)</f>
        <v>0</v>
      </c>
      <c r="N433" s="658">
        <f>+IFERROR(N$5*GETPIVOTDATA("Unique Billed Hours",'County allocation'!$S$3,"County",$D425,"HHA/CDPAP","CDPAP","Level of Service",$D433),0)</f>
        <v>0</v>
      </c>
      <c r="O433" s="658">
        <f>+IFERROR(O$5*GETPIVOTDATA("Unique Billed Hours",'County allocation'!$S$3,"County",$D425,"HHA/CDPAP","CDPAP","Level of Service",$D433),0)</f>
        <v>0</v>
      </c>
      <c r="P433" s="658">
        <f>+IFERROR(P$5*GETPIVOTDATA("Unique Billed Hours",'County allocation'!$S$3,"County",$D425,"HHA/CDPAP","CDPAP","Level of Service",$D433),0)</f>
        <v>0</v>
      </c>
    </row>
    <row r="434" spans="1:16" ht="15.75" thickBot="1" x14ac:dyDescent="0.3">
      <c r="A434" s="302"/>
      <c r="B434" s="24"/>
      <c r="C434" s="9">
        <f t="shared" ca="1" si="262"/>
        <v>1</v>
      </c>
      <c r="D434" s="52" t="s">
        <v>389</v>
      </c>
      <c r="E434" s="370" t="s">
        <v>51</v>
      </c>
      <c r="F434" s="679">
        <f ca="1">SUM(F428:F433)</f>
        <v>502808.33064848545</v>
      </c>
      <c r="G434" s="679">
        <f t="shared" ref="G434:H434" ca="1" si="265">SUM(G428:G433)</f>
        <v>20213.97731563175</v>
      </c>
      <c r="H434" s="679">
        <f t="shared" si="265"/>
        <v>17403.861264096322</v>
      </c>
      <c r="I434" s="678">
        <f t="shared" ca="1" si="264"/>
        <v>465190.49206875736</v>
      </c>
      <c r="J434" s="679">
        <f ca="1">SUM(J428:J433)</f>
        <v>92036.6386232558</v>
      </c>
      <c r="K434" s="679">
        <f t="shared" ref="K434:P434" ca="1" si="266">SUM(K428:K433)</f>
        <v>371295.66786571278</v>
      </c>
      <c r="L434" s="679">
        <f t="shared" si="266"/>
        <v>0</v>
      </c>
      <c r="M434" s="679">
        <f t="shared" si="266"/>
        <v>1714.5807769705159</v>
      </c>
      <c r="N434" s="679">
        <f t="shared" si="266"/>
        <v>143.60480281826398</v>
      </c>
      <c r="O434" s="679">
        <f t="shared" si="266"/>
        <v>0</v>
      </c>
      <c r="P434" s="679">
        <f t="shared" si="266"/>
        <v>0</v>
      </c>
    </row>
    <row r="435" spans="1:16" x14ac:dyDescent="0.25">
      <c r="A435" s="302"/>
      <c r="B435" s="24"/>
      <c r="C435" s="9">
        <f t="shared" ca="1" si="262"/>
        <v>1</v>
      </c>
      <c r="D435" s="378" t="s">
        <v>390</v>
      </c>
      <c r="E435" s="370" t="s">
        <v>50</v>
      </c>
      <c r="F435" s="678">
        <f t="shared" ref="F435" ca="1" si="267">SUM(G435:I435)</f>
        <v>0</v>
      </c>
      <c r="G435" s="658">
        <f ca="1">+IFERROR(G$5*GETPIVOTDATA("Unique Billed Hours",'County allocation'!$A$3,"County",$D425,"HHA/CDPAP","CDPAP","Level of Service",$D435),0)</f>
        <v>0</v>
      </c>
      <c r="H435" s="659"/>
      <c r="I435" s="678">
        <f t="shared" si="264"/>
        <v>0</v>
      </c>
      <c r="J435" s="659"/>
      <c r="K435" s="659"/>
      <c r="L435" s="659"/>
      <c r="M435" s="659"/>
      <c r="N435" s="659"/>
      <c r="O435" s="659"/>
      <c r="P435" s="659"/>
    </row>
    <row r="436" spans="1:16" ht="15.75" thickBot="1" x14ac:dyDescent="0.3">
      <c r="B436" s="24"/>
      <c r="C436" s="9">
        <f t="shared" ca="1" si="262"/>
        <v>1</v>
      </c>
      <c r="D436" s="11" t="s">
        <v>48</v>
      </c>
      <c r="E436" s="53" t="s">
        <v>49</v>
      </c>
      <c r="F436" s="662">
        <f ca="1">SUBTOTAL(9,F428:F433)</f>
        <v>502808.33064848545</v>
      </c>
      <c r="G436" s="662">
        <f t="shared" ref="G436:H436" ca="1" si="268">SUBTOTAL(9,G428:G433)</f>
        <v>20213.97731563175</v>
      </c>
      <c r="H436" s="662">
        <f t="shared" si="268"/>
        <v>17403.861264096322</v>
      </c>
      <c r="I436" s="678">
        <f t="shared" ca="1" si="264"/>
        <v>465190.49206875736</v>
      </c>
      <c r="J436" s="662">
        <f t="shared" ref="J436:P436" ca="1" si="269">SUBTOTAL(9,J428:J433)</f>
        <v>92036.6386232558</v>
      </c>
      <c r="K436" s="662">
        <f t="shared" ca="1" si="269"/>
        <v>371295.66786571278</v>
      </c>
      <c r="L436" s="662">
        <f t="shared" si="269"/>
        <v>0</v>
      </c>
      <c r="M436" s="662">
        <f t="shared" si="269"/>
        <v>1714.5807769705159</v>
      </c>
      <c r="N436" s="662">
        <f t="shared" si="269"/>
        <v>143.60480281826398</v>
      </c>
      <c r="O436" s="662">
        <f t="shared" si="269"/>
        <v>0</v>
      </c>
      <c r="P436" s="662">
        <f t="shared" si="269"/>
        <v>0</v>
      </c>
    </row>
    <row r="437" spans="1:16" ht="15.75" hidden="1" thickBot="1" x14ac:dyDescent="0.3"/>
    <row r="438" spans="1:16" ht="75" x14ac:dyDescent="0.25">
      <c r="A438" s="60"/>
      <c r="B438" s="24"/>
      <c r="C438" s="9">
        <f ca="1">IF(F449&gt;0,1,0)</f>
        <v>1</v>
      </c>
      <c r="D438" s="45" t="str">
        <f>A36</f>
        <v>Oneida</v>
      </c>
      <c r="E438" s="28">
        <f>SUMIF(A:A,D438,B:B)</f>
        <v>7.1008449393757042E-3</v>
      </c>
      <c r="F438" s="652" t="s">
        <v>396</v>
      </c>
      <c r="G438" s="652" t="s">
        <v>387</v>
      </c>
      <c r="H438" s="652" t="s">
        <v>388</v>
      </c>
      <c r="I438" s="652" t="s">
        <v>392</v>
      </c>
      <c r="J438" s="652" t="s">
        <v>31</v>
      </c>
      <c r="K438" s="652" t="s">
        <v>32</v>
      </c>
      <c r="L438" s="653" t="s">
        <v>33</v>
      </c>
      <c r="M438" s="653" t="s">
        <v>60</v>
      </c>
      <c r="N438" s="653" t="s">
        <v>59</v>
      </c>
      <c r="O438" s="653" t="s">
        <v>58</v>
      </c>
      <c r="P438" s="653" t="s">
        <v>16</v>
      </c>
    </row>
    <row r="439" spans="1:16" x14ac:dyDescent="0.25">
      <c r="A439" s="60"/>
      <c r="B439" s="24"/>
      <c r="C439" s="9">
        <f ca="1">C438</f>
        <v>1</v>
      </c>
      <c r="D439" s="47"/>
      <c r="E439" s="48"/>
      <c r="F439" s="669" t="s">
        <v>57</v>
      </c>
      <c r="G439" s="669" t="s">
        <v>56</v>
      </c>
      <c r="H439" s="669" t="s">
        <v>55</v>
      </c>
      <c r="I439" s="669" t="s">
        <v>54</v>
      </c>
      <c r="J439" s="669" t="s">
        <v>53</v>
      </c>
      <c r="K439" s="669" t="s">
        <v>52</v>
      </c>
      <c r="L439" s="669" t="s">
        <v>51</v>
      </c>
      <c r="M439" s="669" t="s">
        <v>50</v>
      </c>
      <c r="N439" s="669" t="s">
        <v>49</v>
      </c>
      <c r="O439" s="669" t="s">
        <v>47</v>
      </c>
      <c r="P439" s="670" t="s">
        <v>77</v>
      </c>
    </row>
    <row r="440" spans="1:16" x14ac:dyDescent="0.25">
      <c r="B440" s="24"/>
      <c r="C440" s="9">
        <f t="shared" ref="C440:C449" ca="1" si="270">C439</f>
        <v>1</v>
      </c>
      <c r="D440" s="51" t="s">
        <v>26</v>
      </c>
      <c r="E440" s="48"/>
      <c r="F440" s="674"/>
      <c r="G440" s="674"/>
      <c r="H440" s="674"/>
      <c r="I440" s="674"/>
      <c r="J440" s="674"/>
      <c r="K440" s="674"/>
      <c r="L440" s="675"/>
      <c r="M440" s="675"/>
      <c r="N440" s="676"/>
      <c r="O440" s="674"/>
      <c r="P440" s="677"/>
    </row>
    <row r="441" spans="1:16" x14ac:dyDescent="0.25">
      <c r="B441" s="24"/>
      <c r="C441" s="9">
        <f t="shared" ca="1" si="270"/>
        <v>1</v>
      </c>
      <c r="D441" s="267" t="s">
        <v>18</v>
      </c>
      <c r="E441" s="48" t="s">
        <v>57</v>
      </c>
      <c r="F441" s="678">
        <f ca="1">SUM(G441:I441)</f>
        <v>612117.37946221209</v>
      </c>
      <c r="G441" s="658">
        <f ca="1">+IFERROR(G$5*GETPIVOTDATA("Unique Billed Hours",'County allocation'!$A$3,"County",$D438,"HHA/CDPAP","CDPAP","Level of Service",$D441),0)</f>
        <v>24608.436393635107</v>
      </c>
      <c r="H441" s="658">
        <f>+IFERROR(H$5*GETPIVOTDATA("Unique Billed Hours",'County allocation'!$A$3,"County",$D438,"HHA/CDPAP","CDPAP","Level of Service",$D441),0)</f>
        <v>21187.409396663759</v>
      </c>
      <c r="I441" s="678">
        <f ca="1">SUM(J441:P441)</f>
        <v>566321.5336719132</v>
      </c>
      <c r="J441" s="658">
        <f ca="1">+IFERROR(J$5*GETPIVOTDATA("Unique Billed Hours",'County allocation'!$S$3,"County",$D438,"HHA/CDPAP","CDPAP","Level of Service",$D441),0)</f>
        <v>112045.13253771732</v>
      </c>
      <c r="K441" s="658">
        <f ca="1">+IFERROR(K$5*GETPIVOTDATA("Unique Billed Hours",'County allocation'!$X$3,"County",$D438,"HHA/CDPAP","CDPAP","Level of Service",$D441),0)</f>
        <v>452014.25148725614</v>
      </c>
      <c r="L441" s="658">
        <f>+IFERROR(L$5*GETPIVOTDATA("Unique Billed Hours",'County allocation'!$K$19,"County",$D438,"HHA/CDPAP","CDPAP","Level of Service",$D441),0)</f>
        <v>0</v>
      </c>
      <c r="M441" s="658">
        <f>+IFERROR(M$5*GETPIVOTDATA("Unique Billed Hours",'County allocation'!$S$3,"County",$D438,"HHA/CDPAP","CDPAP","Level of Service",$D441),0)</f>
        <v>2087.3255833328681</v>
      </c>
      <c r="N441" s="658">
        <f>+IFERROR(N$5*GETPIVOTDATA("Unique Billed Hours",'County allocation'!$S$3,"County",$D438,"HHA/CDPAP","CDPAP","Level of Service",$D441),0)</f>
        <v>174.82406360676754</v>
      </c>
      <c r="O441" s="658">
        <f>+IFERROR(O$5*GETPIVOTDATA("Unique Billed Hours",'County allocation'!$S$3,"County",$D438,"HHA/CDPAP","CDPAP","Level of Service",$D441),0)</f>
        <v>0</v>
      </c>
      <c r="P441" s="658">
        <f>+IFERROR(P$5*GETPIVOTDATA("Unique Billed Hours",'County allocation'!$S$3,"County",$D438,"HHA/CDPAP","CDPAP","Level of Service",$D441),0)</f>
        <v>0</v>
      </c>
    </row>
    <row r="442" spans="1:16" x14ac:dyDescent="0.25">
      <c r="B442" s="24"/>
      <c r="C442" s="9">
        <f t="shared" ca="1" si="270"/>
        <v>1</v>
      </c>
      <c r="D442" s="267" t="s">
        <v>42</v>
      </c>
      <c r="E442" s="48" t="s">
        <v>56</v>
      </c>
      <c r="F442" s="678">
        <f t="shared" ref="F442:F446" ca="1" si="271">SUM(G442:I442)</f>
        <v>0</v>
      </c>
      <c r="G442" s="658">
        <f ca="1">+IFERROR(G$5*GETPIVOTDATA("Unique Billed Hours",'County allocation'!$A$3,"County",$D438,"HHA/CDPAP","CDPAP","Level of Service",$D442),0)</f>
        <v>0</v>
      </c>
      <c r="H442" s="658">
        <f>+IFERROR(H$5*GETPIVOTDATA("Unique Billed Hours",'County allocation'!$A$3,"County",$D438,"HHA/CDPAP","CDPAP","Level of Service",$D442),0)</f>
        <v>0</v>
      </c>
      <c r="I442" s="678">
        <f t="shared" ref="I442:I449" ca="1" si="272">SUM(J442:P442)</f>
        <v>0</v>
      </c>
      <c r="J442" s="658">
        <f ca="1">+IFERROR(J$5*GETPIVOTDATA("Unique Billed Hours",'County allocation'!$S$3,"County",$D438,"HHA/CDPAP","CDPAP","Level of Service",$D442),0)</f>
        <v>0</v>
      </c>
      <c r="K442" s="658">
        <f ca="1">+IFERROR(K$5*GETPIVOTDATA("Unique Billed Hours",'County allocation'!$X$3,"County",$D438,"HHA/CDPAP","CDPAP","Level of Service",$D442),0)</f>
        <v>0</v>
      </c>
      <c r="L442" s="658">
        <f>+IFERROR(L$5*GETPIVOTDATA("Unique Billed Hours",'County allocation'!$K$19,"County",$D438,"HHA/CDPAP","CDPAP","Level of Service",$D442),0)</f>
        <v>0</v>
      </c>
      <c r="M442" s="658">
        <f>+IFERROR(M$5*GETPIVOTDATA("Unique Billed Hours",'County allocation'!$S$3,"County",$D438,"HHA/CDPAP","CDPAP","Level of Service",$D442),0)</f>
        <v>0</v>
      </c>
      <c r="N442" s="658">
        <f>+IFERROR(N$5*GETPIVOTDATA("Unique Billed Hours",'County allocation'!$S$3,"County",$D438,"HHA/CDPAP","CDPAP","Level of Service",$D442),0)</f>
        <v>0</v>
      </c>
      <c r="O442" s="658">
        <f>+IFERROR(O$5*GETPIVOTDATA("Unique Billed Hours",'County allocation'!$S$3,"County",$D438,"HHA/CDPAP","CDPAP","Level of Service",$D442),0)</f>
        <v>0</v>
      </c>
      <c r="P442" s="658">
        <f>+IFERROR(P$5*GETPIVOTDATA("Unique Billed Hours",'County allocation'!$S$3,"County",$D438,"HHA/CDPAP","CDPAP","Level of Service",$D442),0)</f>
        <v>0</v>
      </c>
    </row>
    <row r="443" spans="1:16" x14ac:dyDescent="0.25">
      <c r="B443" s="24"/>
      <c r="C443" s="9">
        <f t="shared" ca="1" si="270"/>
        <v>1</v>
      </c>
      <c r="D443" s="267" t="s">
        <v>43</v>
      </c>
      <c r="E443" s="48" t="s">
        <v>55</v>
      </c>
      <c r="F443" s="678">
        <f t="shared" ca="1" si="271"/>
        <v>0</v>
      </c>
      <c r="G443" s="658">
        <f ca="1">+IFERROR(G$5*GETPIVOTDATA("Unique Billed Hours",'County allocation'!$A$3,"County",$D438,"HHA/CDPAP","CDPAP","Level of Service",$D443),0)</f>
        <v>0</v>
      </c>
      <c r="H443" s="658">
        <f>+IFERROR(H$5*GETPIVOTDATA("Unique Billed Hours",'County allocation'!$A$3,"County",$D438,"HHA/CDPAP","CDPAP","Level of Service",$D443),0)</f>
        <v>0</v>
      </c>
      <c r="I443" s="678">
        <f t="shared" ca="1" si="272"/>
        <v>0</v>
      </c>
      <c r="J443" s="658">
        <f ca="1">+IFERROR(J$5*GETPIVOTDATA("Unique Billed Hours",'County allocation'!$S$3,"County",$D438,"HHA/CDPAP","CDPAP","Level of Service",$D443),0)</f>
        <v>0</v>
      </c>
      <c r="K443" s="658">
        <f ca="1">+IFERROR(K$5*GETPIVOTDATA("Unique Billed Hours",'County allocation'!$X$3,"County",$D438,"HHA/CDPAP","CDPAP","Level of Service",$D443),0)</f>
        <v>0</v>
      </c>
      <c r="L443" s="658">
        <f>+IFERROR(L$5*GETPIVOTDATA("Unique Billed Hours",'County allocation'!$K$19,"County",$D438,"HHA/CDPAP","CDPAP","Level of Service",$D443),0)</f>
        <v>0</v>
      </c>
      <c r="M443" s="658">
        <f>+IFERROR(M$5*GETPIVOTDATA("Unique Billed Hours",'County allocation'!$S$3,"County",$D438,"HHA/CDPAP","CDPAP","Level of Service",$D443),0)</f>
        <v>0</v>
      </c>
      <c r="N443" s="658">
        <f>+IFERROR(N$5*GETPIVOTDATA("Unique Billed Hours",'County allocation'!$S$3,"County",$D438,"HHA/CDPAP","CDPAP","Level of Service",$D443),0)</f>
        <v>0</v>
      </c>
      <c r="O443" s="658">
        <f>+IFERROR(O$5*GETPIVOTDATA("Unique Billed Hours",'County allocation'!$S$3,"County",$D438,"HHA/CDPAP","CDPAP","Level of Service",$D443),0)</f>
        <v>0</v>
      </c>
      <c r="P443" s="658">
        <f>+IFERROR(P$5*GETPIVOTDATA("Unique Billed Hours",'County allocation'!$S$3,"County",$D438,"HHA/CDPAP","CDPAP","Level of Service",$D443),0)</f>
        <v>0</v>
      </c>
    </row>
    <row r="444" spans="1:16" x14ac:dyDescent="0.25">
      <c r="B444" s="24"/>
      <c r="C444" s="9">
        <f t="shared" ca="1" si="270"/>
        <v>1</v>
      </c>
      <c r="D444" s="267" t="s">
        <v>44</v>
      </c>
      <c r="E444" s="48" t="s">
        <v>54</v>
      </c>
      <c r="F444" s="678">
        <f t="shared" ca="1" si="271"/>
        <v>0</v>
      </c>
      <c r="G444" s="658">
        <f ca="1">+IFERROR(G$5*GETPIVOTDATA("Unique Billed Hours",'County allocation'!$A$3,"County",$D438,"HHA/CDPAP","CDPAP","Level of Service",$D444),0)</f>
        <v>0</v>
      </c>
      <c r="H444" s="658">
        <f>+IFERROR(H$5*GETPIVOTDATA("Unique Billed Hours",'County allocation'!$A$3,"County",$D438,"HHA/CDPAP","CDPAP","Level of Service",$D444),0)</f>
        <v>0</v>
      </c>
      <c r="I444" s="678">
        <f t="shared" ca="1" si="272"/>
        <v>0</v>
      </c>
      <c r="J444" s="658">
        <f ca="1">+IFERROR(J$5*GETPIVOTDATA("Unique Billed Hours",'County allocation'!$S$3,"County",$D438,"HHA/CDPAP","CDPAP","Level of Service",$D444),0)</f>
        <v>0</v>
      </c>
      <c r="K444" s="658">
        <f ca="1">+IFERROR(K$5*GETPIVOTDATA("Unique Billed Hours",'County allocation'!$X$3,"County",$D438,"HHA/CDPAP","CDPAP","Level of Service",$D444),0)</f>
        <v>0</v>
      </c>
      <c r="L444" s="658">
        <f>+IFERROR(L$5*GETPIVOTDATA("Unique Billed Hours",'County allocation'!$K$19,"County",$D438,"HHA/CDPAP","CDPAP","Level of Service",$D444),0)</f>
        <v>0</v>
      </c>
      <c r="M444" s="658">
        <f>+IFERROR(M$5*GETPIVOTDATA("Unique Billed Hours",'County allocation'!$S$3,"County",$D438,"HHA/CDPAP","CDPAP","Level of Service",$D444),0)</f>
        <v>0</v>
      </c>
      <c r="N444" s="658">
        <f>+IFERROR(N$5*GETPIVOTDATA("Unique Billed Hours",'County allocation'!$S$3,"County",$D438,"HHA/CDPAP","CDPAP","Level of Service",$D444),0)</f>
        <v>0</v>
      </c>
      <c r="O444" s="658">
        <f>+IFERROR(O$5*GETPIVOTDATA("Unique Billed Hours",'County allocation'!$S$3,"County",$D438,"HHA/CDPAP","CDPAP","Level of Service",$D444),0)</f>
        <v>0</v>
      </c>
      <c r="P444" s="658">
        <f>+IFERROR(P$5*GETPIVOTDATA("Unique Billed Hours",'County allocation'!$S$3,"County",$D438,"HHA/CDPAP","CDPAP","Level of Service",$D444),0)</f>
        <v>0</v>
      </c>
    </row>
    <row r="445" spans="1:16" x14ac:dyDescent="0.25">
      <c r="B445" s="24"/>
      <c r="C445" s="9">
        <f t="shared" ca="1" si="270"/>
        <v>1</v>
      </c>
      <c r="D445" s="267" t="s">
        <v>45</v>
      </c>
      <c r="E445" s="48" t="s">
        <v>53</v>
      </c>
      <c r="F445" s="678">
        <f t="shared" ca="1" si="271"/>
        <v>0</v>
      </c>
      <c r="G445" s="658">
        <f ca="1">+IFERROR(G$5*GETPIVOTDATA("Unique Billed Hours",'County allocation'!$A$3,"County",$D438,"HHA/CDPAP","CDPAP","Level of Service",$D445),0)</f>
        <v>0</v>
      </c>
      <c r="H445" s="658">
        <f>+IFERROR(H$5*GETPIVOTDATA("Unique Billed Hours",'County allocation'!$A$3,"County",$D438,"HHA/CDPAP","CDPAP","Level of Service",$D445),0)</f>
        <v>0</v>
      </c>
      <c r="I445" s="678">
        <f t="shared" ca="1" si="272"/>
        <v>0</v>
      </c>
      <c r="J445" s="658">
        <f ca="1">+IFERROR(J$5*GETPIVOTDATA("Unique Billed Hours",'County allocation'!$S$3,"County",$D438,"HHA/CDPAP","CDPAP","Level of Service",$D445),0)</f>
        <v>0</v>
      </c>
      <c r="K445" s="658">
        <f ca="1">+IFERROR(K$5*GETPIVOTDATA("Unique Billed Hours",'County allocation'!$X$3,"County",$D438,"HHA/CDPAP","CDPAP","Level of Service",$D445),0)</f>
        <v>0</v>
      </c>
      <c r="L445" s="658">
        <f>+IFERROR(L$5*GETPIVOTDATA("Unique Billed Hours",'County allocation'!$K$19,"County",$D438,"HHA/CDPAP","CDPAP","Level of Service",$D445),0)</f>
        <v>0</v>
      </c>
      <c r="M445" s="658">
        <f>+IFERROR(M$5*GETPIVOTDATA("Unique Billed Hours",'County allocation'!$S$3,"County",$D438,"HHA/CDPAP","CDPAP","Level of Service",$D445),0)</f>
        <v>0</v>
      </c>
      <c r="N445" s="658">
        <f>+IFERROR(N$5*GETPIVOTDATA("Unique Billed Hours",'County allocation'!$S$3,"County",$D438,"HHA/CDPAP","CDPAP","Level of Service",$D445),0)</f>
        <v>0</v>
      </c>
      <c r="O445" s="658">
        <f>+IFERROR(O$5*GETPIVOTDATA("Unique Billed Hours",'County allocation'!$S$3,"County",$D438,"HHA/CDPAP","CDPAP","Level of Service",$D445),0)</f>
        <v>0</v>
      </c>
      <c r="P445" s="658">
        <f>+IFERROR(P$5*GETPIVOTDATA("Unique Billed Hours",'County allocation'!$S$3,"County",$D438,"HHA/CDPAP","CDPAP","Level of Service",$D445),0)</f>
        <v>0</v>
      </c>
    </row>
    <row r="446" spans="1:16" x14ac:dyDescent="0.25">
      <c r="A446" s="302"/>
      <c r="B446" s="24"/>
      <c r="C446" s="9">
        <f t="shared" ca="1" si="270"/>
        <v>1</v>
      </c>
      <c r="D446" s="267" t="s">
        <v>46</v>
      </c>
      <c r="E446" s="48" t="s">
        <v>52</v>
      </c>
      <c r="F446" s="678">
        <f t="shared" ca="1" si="271"/>
        <v>0</v>
      </c>
      <c r="G446" s="658">
        <f ca="1">+IFERROR(G$5*GETPIVOTDATA("Unique Billed Hours",'County allocation'!$A$3,"County",$D438,"HHA/CDPAP","CDPAP","Level of Service",$D446),0)</f>
        <v>0</v>
      </c>
      <c r="H446" s="658">
        <f>+IFERROR(H$5*GETPIVOTDATA("Unique Billed Hours",'County allocation'!$A$3,"County",$D438,"HHA/CDPAP","CDPAP","Level of Service",$D446),0)</f>
        <v>0</v>
      </c>
      <c r="I446" s="678">
        <f t="shared" ca="1" si="272"/>
        <v>0</v>
      </c>
      <c r="J446" s="658">
        <f ca="1">+IFERROR(J$5*GETPIVOTDATA("Unique Billed Hours",'County allocation'!$S$3,"County",$D438,"HHA/CDPAP","CDPAP","Level of Service",$D446),0)</f>
        <v>0</v>
      </c>
      <c r="K446" s="658">
        <f ca="1">+IFERROR(K$5*GETPIVOTDATA("Unique Billed Hours",'County allocation'!$X$3,"County",$D438,"HHA/CDPAP","CDPAP","Level of Service",$D446),0)</f>
        <v>0</v>
      </c>
      <c r="L446" s="658">
        <f>+IFERROR(L$5*GETPIVOTDATA("Unique Billed Hours",'County allocation'!$K$19,"County",$D438,"HHA/CDPAP","CDPAP","Level of Service",$D446),0)</f>
        <v>0</v>
      </c>
      <c r="M446" s="658">
        <f>+IFERROR(M$5*GETPIVOTDATA("Unique Billed Hours",'County allocation'!$S$3,"County",$D438,"HHA/CDPAP","CDPAP","Level of Service",$D446),0)</f>
        <v>0</v>
      </c>
      <c r="N446" s="658">
        <f>+IFERROR(N$5*GETPIVOTDATA("Unique Billed Hours",'County allocation'!$S$3,"County",$D438,"HHA/CDPAP","CDPAP","Level of Service",$D446),0)</f>
        <v>0</v>
      </c>
      <c r="O446" s="658">
        <f>+IFERROR(O$5*GETPIVOTDATA("Unique Billed Hours",'County allocation'!$S$3,"County",$D438,"HHA/CDPAP","CDPAP","Level of Service",$D446),0)</f>
        <v>0</v>
      </c>
      <c r="P446" s="658">
        <f>+IFERROR(P$5*GETPIVOTDATA("Unique Billed Hours",'County allocation'!$S$3,"County",$D438,"HHA/CDPAP","CDPAP","Level of Service",$D446),0)</f>
        <v>0</v>
      </c>
    </row>
    <row r="447" spans="1:16" ht="15.75" thickBot="1" x14ac:dyDescent="0.3">
      <c r="A447" s="302"/>
      <c r="B447" s="24"/>
      <c r="C447" s="9">
        <f t="shared" ca="1" si="270"/>
        <v>1</v>
      </c>
      <c r="D447" s="52" t="s">
        <v>389</v>
      </c>
      <c r="E447" s="370" t="s">
        <v>51</v>
      </c>
      <c r="F447" s="679">
        <f ca="1">SUM(F441:F446)</f>
        <v>612117.37946221209</v>
      </c>
      <c r="G447" s="679">
        <f t="shared" ref="G447:H447" ca="1" si="273">SUM(G441:G446)</f>
        <v>24608.436393635107</v>
      </c>
      <c r="H447" s="679">
        <f t="shared" si="273"/>
        <v>21187.409396663759</v>
      </c>
      <c r="I447" s="678">
        <f t="shared" ca="1" si="272"/>
        <v>566321.5336719132</v>
      </c>
      <c r="J447" s="679">
        <f ca="1">SUM(J441:J446)</f>
        <v>112045.13253771732</v>
      </c>
      <c r="K447" s="679">
        <f t="shared" ref="K447:P447" ca="1" si="274">SUM(K441:K446)</f>
        <v>452014.25148725614</v>
      </c>
      <c r="L447" s="679">
        <f t="shared" si="274"/>
        <v>0</v>
      </c>
      <c r="M447" s="679">
        <f t="shared" si="274"/>
        <v>2087.3255833328681</v>
      </c>
      <c r="N447" s="679">
        <f t="shared" si="274"/>
        <v>174.82406360676754</v>
      </c>
      <c r="O447" s="679">
        <f t="shared" si="274"/>
        <v>0</v>
      </c>
      <c r="P447" s="679">
        <f t="shared" si="274"/>
        <v>0</v>
      </c>
    </row>
    <row r="448" spans="1:16" x14ac:dyDescent="0.25">
      <c r="A448" s="302"/>
      <c r="B448" s="24"/>
      <c r="C448" s="9">
        <f t="shared" ca="1" si="270"/>
        <v>1</v>
      </c>
      <c r="D448" s="378" t="s">
        <v>390</v>
      </c>
      <c r="E448" s="370" t="s">
        <v>50</v>
      </c>
      <c r="F448" s="678">
        <f t="shared" ref="F448" ca="1" si="275">SUM(G448:I448)</f>
        <v>0</v>
      </c>
      <c r="G448" s="658">
        <f ca="1">+IFERROR(G$5*GETPIVOTDATA("Unique Billed Hours",'County allocation'!$A$3,"County",$D438,"HHA/CDPAP","CDPAP","Level of Service",$D448),0)</f>
        <v>0</v>
      </c>
      <c r="H448" s="659"/>
      <c r="I448" s="678">
        <f t="shared" si="272"/>
        <v>0</v>
      </c>
      <c r="J448" s="659"/>
      <c r="K448" s="659"/>
      <c r="L448" s="659"/>
      <c r="M448" s="659"/>
      <c r="N448" s="659"/>
      <c r="O448" s="659"/>
      <c r="P448" s="659"/>
    </row>
    <row r="449" spans="1:16" ht="15.75" thickBot="1" x14ac:dyDescent="0.3">
      <c r="B449" s="24"/>
      <c r="C449" s="9">
        <f t="shared" ca="1" si="270"/>
        <v>1</v>
      </c>
      <c r="D449" s="11" t="s">
        <v>48</v>
      </c>
      <c r="E449" s="53" t="s">
        <v>49</v>
      </c>
      <c r="F449" s="662">
        <f ca="1">SUBTOTAL(9,F441:F446)</f>
        <v>612117.37946221209</v>
      </c>
      <c r="G449" s="662">
        <f t="shared" ref="G449:H449" ca="1" si="276">SUBTOTAL(9,G441:G446)</f>
        <v>24608.436393635107</v>
      </c>
      <c r="H449" s="662">
        <f t="shared" si="276"/>
        <v>21187.409396663759</v>
      </c>
      <c r="I449" s="678">
        <f t="shared" ca="1" si="272"/>
        <v>566321.5336719132</v>
      </c>
      <c r="J449" s="662">
        <f t="shared" ref="J449:P449" ca="1" si="277">SUBTOTAL(9,J441:J446)</f>
        <v>112045.13253771732</v>
      </c>
      <c r="K449" s="662">
        <f t="shared" ca="1" si="277"/>
        <v>452014.25148725614</v>
      </c>
      <c r="L449" s="662">
        <f t="shared" si="277"/>
        <v>0</v>
      </c>
      <c r="M449" s="662">
        <f t="shared" si="277"/>
        <v>2087.3255833328681</v>
      </c>
      <c r="N449" s="662">
        <f t="shared" si="277"/>
        <v>174.82406360676754</v>
      </c>
      <c r="O449" s="662">
        <f t="shared" si="277"/>
        <v>0</v>
      </c>
      <c r="P449" s="662">
        <f t="shared" si="277"/>
        <v>0</v>
      </c>
    </row>
    <row r="450" spans="1:16" ht="15.75" hidden="1" thickBot="1" x14ac:dyDescent="0.3"/>
    <row r="451" spans="1:16" ht="75" x14ac:dyDescent="0.25">
      <c r="A451" s="60"/>
      <c r="B451" s="24"/>
      <c r="C451" s="9">
        <f ca="1">IF(F462&gt;0,1,0)</f>
        <v>1</v>
      </c>
      <c r="D451" s="45" t="str">
        <f>A37</f>
        <v>Onondaga</v>
      </c>
      <c r="E451" s="28">
        <f>SUMIF(A:A,D451,B:B)</f>
        <v>2.2146992270920353E-2</v>
      </c>
      <c r="F451" s="652" t="s">
        <v>396</v>
      </c>
      <c r="G451" s="652" t="s">
        <v>387</v>
      </c>
      <c r="H451" s="652" t="s">
        <v>388</v>
      </c>
      <c r="I451" s="652" t="s">
        <v>392</v>
      </c>
      <c r="J451" s="652" t="s">
        <v>31</v>
      </c>
      <c r="K451" s="652" t="s">
        <v>32</v>
      </c>
      <c r="L451" s="653" t="s">
        <v>33</v>
      </c>
      <c r="M451" s="653" t="s">
        <v>60</v>
      </c>
      <c r="N451" s="653" t="s">
        <v>59</v>
      </c>
      <c r="O451" s="653" t="s">
        <v>58</v>
      </c>
      <c r="P451" s="653" t="s">
        <v>16</v>
      </c>
    </row>
    <row r="452" spans="1:16" x14ac:dyDescent="0.25">
      <c r="A452" s="60"/>
      <c r="B452" s="24"/>
      <c r="C452" s="9">
        <f ca="1">C451</f>
        <v>1</v>
      </c>
      <c r="D452" s="47"/>
      <c r="E452" s="48"/>
      <c r="F452" s="669" t="s">
        <v>57</v>
      </c>
      <c r="G452" s="669" t="s">
        <v>56</v>
      </c>
      <c r="H452" s="669" t="s">
        <v>55</v>
      </c>
      <c r="I452" s="669" t="s">
        <v>54</v>
      </c>
      <c r="J452" s="669" t="s">
        <v>53</v>
      </c>
      <c r="K452" s="669" t="s">
        <v>52</v>
      </c>
      <c r="L452" s="669" t="s">
        <v>51</v>
      </c>
      <c r="M452" s="669" t="s">
        <v>50</v>
      </c>
      <c r="N452" s="669" t="s">
        <v>49</v>
      </c>
      <c r="O452" s="669" t="s">
        <v>47</v>
      </c>
      <c r="P452" s="670" t="s">
        <v>77</v>
      </c>
    </row>
    <row r="453" spans="1:16" x14ac:dyDescent="0.25">
      <c r="B453" s="24"/>
      <c r="C453" s="9">
        <f t="shared" ref="C453:C462" ca="1" si="278">C452</f>
        <v>1</v>
      </c>
      <c r="D453" s="51" t="s">
        <v>26</v>
      </c>
      <c r="E453" s="48"/>
      <c r="F453" s="674"/>
      <c r="G453" s="674"/>
      <c r="H453" s="674"/>
      <c r="I453" s="674"/>
      <c r="J453" s="674"/>
      <c r="K453" s="674"/>
      <c r="L453" s="675"/>
      <c r="M453" s="675"/>
      <c r="N453" s="676"/>
      <c r="O453" s="674"/>
      <c r="P453" s="677"/>
    </row>
    <row r="454" spans="1:16" x14ac:dyDescent="0.25">
      <c r="B454" s="24"/>
      <c r="C454" s="9">
        <f t="shared" ca="1" si="278"/>
        <v>1</v>
      </c>
      <c r="D454" s="267" t="s">
        <v>18</v>
      </c>
      <c r="E454" s="48" t="s">
        <v>57</v>
      </c>
      <c r="F454" s="678">
        <f ca="1">SUM(G454:I454)</f>
        <v>1465773.74658893</v>
      </c>
      <c r="G454" s="658">
        <f ca="1">+IFERROR(G$5*GETPIVOTDATA("Unique Billed Hours",'County allocation'!$A$3,"County",$D451,"HHA/CDPAP","CDPAP","Level of Service",$D454),0)</f>
        <v>58927.260065845992</v>
      </c>
      <c r="H454" s="658">
        <f>+IFERROR(H$5*GETPIVOTDATA("Unique Billed Hours",'County allocation'!$A$3,"County",$D451,"HHA/CDPAP","CDPAP","Level of Service",$D454),0)</f>
        <v>50735.282960183489</v>
      </c>
      <c r="I454" s="678">
        <f ca="1">SUM(J454:P454)</f>
        <v>1356111.2035629004</v>
      </c>
      <c r="J454" s="658">
        <f ca="1">+IFERROR(J$5*GETPIVOTDATA("Unique Billed Hours",'County allocation'!$S$3,"County",$D451,"HHA/CDPAP","CDPAP","Level of Service",$D454),0)</f>
        <v>268302.81122086936</v>
      </c>
      <c r="K454" s="658">
        <f ca="1">+IFERROR(K$5*GETPIVOTDATA("Unique Billed Hours",'County allocation'!$X$3,"County",$D451,"HHA/CDPAP","CDPAP","Level of Service",$D454),0)</f>
        <v>1082391.4581483756</v>
      </c>
      <c r="L454" s="658">
        <f>+IFERROR(L$5*GETPIVOTDATA("Unique Billed Hours",'County allocation'!$K$19,"County",$D451,"HHA/CDPAP","CDPAP","Level of Service",$D454),0)</f>
        <v>0</v>
      </c>
      <c r="M454" s="658">
        <f>+IFERROR(M$5*GETPIVOTDATA("Unique Billed Hours",'County allocation'!$S$3,"County",$D451,"HHA/CDPAP","CDPAP","Level of Service",$D454),0)</f>
        <v>4998.3012136018224</v>
      </c>
      <c r="N454" s="658">
        <f>+IFERROR(N$5*GETPIVOTDATA("Unique Billed Hours",'County allocation'!$S$3,"County",$D451,"HHA/CDPAP","CDPAP","Level of Service",$D454),0)</f>
        <v>418.63298005348059</v>
      </c>
      <c r="O454" s="658">
        <f>+IFERROR(O$5*GETPIVOTDATA("Unique Billed Hours",'County allocation'!$S$3,"County",$D451,"HHA/CDPAP","CDPAP","Level of Service",$D454),0)</f>
        <v>0</v>
      </c>
      <c r="P454" s="658">
        <f>+IFERROR(P$5*GETPIVOTDATA("Unique Billed Hours",'County allocation'!$S$3,"County",$D451,"HHA/CDPAP","CDPAP","Level of Service",$D454),0)</f>
        <v>0</v>
      </c>
    </row>
    <row r="455" spans="1:16" x14ac:dyDescent="0.25">
      <c r="B455" s="24"/>
      <c r="C455" s="9">
        <f t="shared" ca="1" si="278"/>
        <v>1</v>
      </c>
      <c r="D455" s="267" t="s">
        <v>42</v>
      </c>
      <c r="E455" s="48" t="s">
        <v>56</v>
      </c>
      <c r="F455" s="678">
        <f t="shared" ref="F455:F459" ca="1" si="279">SUM(G455:I455)</f>
        <v>0</v>
      </c>
      <c r="G455" s="658">
        <f ca="1">+IFERROR(G$5*GETPIVOTDATA("Unique Billed Hours",'County allocation'!$A$3,"County",$D451,"HHA/CDPAP","CDPAP","Level of Service",$D455),0)</f>
        <v>0</v>
      </c>
      <c r="H455" s="658">
        <f>+IFERROR(H$5*GETPIVOTDATA("Unique Billed Hours",'County allocation'!$A$3,"County",$D451,"HHA/CDPAP","CDPAP","Level of Service",$D455),0)</f>
        <v>0</v>
      </c>
      <c r="I455" s="678">
        <f t="shared" ref="I455:I462" ca="1" si="280">SUM(J455:P455)</f>
        <v>0</v>
      </c>
      <c r="J455" s="658">
        <f ca="1">+IFERROR(J$5*GETPIVOTDATA("Unique Billed Hours",'County allocation'!$S$3,"County",$D451,"HHA/CDPAP","CDPAP","Level of Service",$D455),0)</f>
        <v>0</v>
      </c>
      <c r="K455" s="658">
        <f ca="1">+IFERROR(K$5*GETPIVOTDATA("Unique Billed Hours",'County allocation'!$X$3,"County",$D451,"HHA/CDPAP","CDPAP","Level of Service",$D455),0)</f>
        <v>0</v>
      </c>
      <c r="L455" s="658">
        <f>+IFERROR(L$5*GETPIVOTDATA("Unique Billed Hours",'County allocation'!$K$19,"County",$D451,"HHA/CDPAP","CDPAP","Level of Service",$D455),0)</f>
        <v>0</v>
      </c>
      <c r="M455" s="658">
        <f>+IFERROR(M$5*GETPIVOTDATA("Unique Billed Hours",'County allocation'!$S$3,"County",$D451,"HHA/CDPAP","CDPAP","Level of Service",$D455),0)</f>
        <v>0</v>
      </c>
      <c r="N455" s="658">
        <f>+IFERROR(N$5*GETPIVOTDATA("Unique Billed Hours",'County allocation'!$S$3,"County",$D451,"HHA/CDPAP","CDPAP","Level of Service",$D455),0)</f>
        <v>0</v>
      </c>
      <c r="O455" s="658">
        <f>+IFERROR(O$5*GETPIVOTDATA("Unique Billed Hours",'County allocation'!$S$3,"County",$D451,"HHA/CDPAP","CDPAP","Level of Service",$D455),0)</f>
        <v>0</v>
      </c>
      <c r="P455" s="658">
        <f>+IFERROR(P$5*GETPIVOTDATA("Unique Billed Hours",'County allocation'!$S$3,"County",$D451,"HHA/CDPAP","CDPAP","Level of Service",$D455),0)</f>
        <v>0</v>
      </c>
    </row>
    <row r="456" spans="1:16" x14ac:dyDescent="0.25">
      <c r="B456" s="24"/>
      <c r="C456" s="9">
        <f t="shared" ca="1" si="278"/>
        <v>1</v>
      </c>
      <c r="D456" s="267" t="s">
        <v>43</v>
      </c>
      <c r="E456" s="48" t="s">
        <v>55</v>
      </c>
      <c r="F456" s="678">
        <f t="shared" ca="1" si="279"/>
        <v>0</v>
      </c>
      <c r="G456" s="658">
        <f ca="1">+IFERROR(G$5*GETPIVOTDATA("Unique Billed Hours",'County allocation'!$A$3,"County",$D451,"HHA/CDPAP","CDPAP","Level of Service",$D456),0)</f>
        <v>0</v>
      </c>
      <c r="H456" s="658">
        <f>+IFERROR(H$5*GETPIVOTDATA("Unique Billed Hours",'County allocation'!$A$3,"County",$D451,"HHA/CDPAP","CDPAP","Level of Service",$D456),0)</f>
        <v>0</v>
      </c>
      <c r="I456" s="678">
        <f t="shared" ca="1" si="280"/>
        <v>0</v>
      </c>
      <c r="J456" s="658">
        <f ca="1">+IFERROR(J$5*GETPIVOTDATA("Unique Billed Hours",'County allocation'!$S$3,"County",$D451,"HHA/CDPAP","CDPAP","Level of Service",$D456),0)</f>
        <v>0</v>
      </c>
      <c r="K456" s="658">
        <f ca="1">+IFERROR(K$5*GETPIVOTDATA("Unique Billed Hours",'County allocation'!$X$3,"County",$D451,"HHA/CDPAP","CDPAP","Level of Service",$D456),0)</f>
        <v>0</v>
      </c>
      <c r="L456" s="658">
        <f>+IFERROR(L$5*GETPIVOTDATA("Unique Billed Hours",'County allocation'!$K$19,"County",$D451,"HHA/CDPAP","CDPAP","Level of Service",$D456),0)</f>
        <v>0</v>
      </c>
      <c r="M456" s="658">
        <f>+IFERROR(M$5*GETPIVOTDATA("Unique Billed Hours",'County allocation'!$S$3,"County",$D451,"HHA/CDPAP","CDPAP","Level of Service",$D456),0)</f>
        <v>0</v>
      </c>
      <c r="N456" s="658">
        <f>+IFERROR(N$5*GETPIVOTDATA("Unique Billed Hours",'County allocation'!$S$3,"County",$D451,"HHA/CDPAP","CDPAP","Level of Service",$D456),0)</f>
        <v>0</v>
      </c>
      <c r="O456" s="658">
        <f>+IFERROR(O$5*GETPIVOTDATA("Unique Billed Hours",'County allocation'!$S$3,"County",$D451,"HHA/CDPAP","CDPAP","Level of Service",$D456),0)</f>
        <v>0</v>
      </c>
      <c r="P456" s="658">
        <f>+IFERROR(P$5*GETPIVOTDATA("Unique Billed Hours",'County allocation'!$S$3,"County",$D451,"HHA/CDPAP","CDPAP","Level of Service",$D456),0)</f>
        <v>0</v>
      </c>
    </row>
    <row r="457" spans="1:16" x14ac:dyDescent="0.25">
      <c r="B457" s="24"/>
      <c r="C457" s="9">
        <f t="shared" ca="1" si="278"/>
        <v>1</v>
      </c>
      <c r="D457" s="267" t="s">
        <v>44</v>
      </c>
      <c r="E457" s="48" t="s">
        <v>54</v>
      </c>
      <c r="F457" s="678">
        <f t="shared" ca="1" si="279"/>
        <v>443373.54328802705</v>
      </c>
      <c r="G457" s="658">
        <f ca="1">+IFERROR(G$5*GETPIVOTDATA("Unique Billed Hours",'County allocation'!$A$3,"County",$D451,"HHA/CDPAP","CDPAP","Level of Service",$D457),0)</f>
        <v>17824.570915156626</v>
      </c>
      <c r="H457" s="658">
        <f>+IFERROR(H$5*GETPIVOTDATA("Unique Billed Hours",'County allocation'!$A$3,"County",$D451,"HHA/CDPAP","CDPAP","Level of Service",$D457),0)</f>
        <v>15346.626468188313</v>
      </c>
      <c r="I457" s="678">
        <f t="shared" ca="1" si="280"/>
        <v>410202.34590468212</v>
      </c>
      <c r="J457" s="658">
        <f ca="1">+IFERROR(J$5*GETPIVOTDATA("Unique Billed Hours",'County allocation'!$S$3,"County",$D451,"HHA/CDPAP","CDPAP","Level of Service",$D457),0)</f>
        <v>81157.387599531663</v>
      </c>
      <c r="K457" s="658">
        <f ca="1">+IFERROR(K$5*GETPIVOTDATA("Unique Billed Hours",'County allocation'!$X$3,"County",$D451,"HHA/CDPAP","CDPAP","Level of Service",$D457),0)</f>
        <v>327406.42076633306</v>
      </c>
      <c r="L457" s="658">
        <f>+IFERROR(L$5*GETPIVOTDATA("Unique Billed Hours",'County allocation'!$K$19,"County",$D451,"HHA/CDPAP","CDPAP","Level of Service",$D457),0)</f>
        <v>0</v>
      </c>
      <c r="M457" s="658">
        <f>+IFERROR(M$5*GETPIVOTDATA("Unique Billed Hours",'County allocation'!$S$3,"County",$D451,"HHA/CDPAP","CDPAP","Level of Service",$D457),0)</f>
        <v>1511.9076355765746</v>
      </c>
      <c r="N457" s="658">
        <f>+IFERROR(N$5*GETPIVOTDATA("Unique Billed Hours",'County allocation'!$S$3,"County",$D451,"HHA/CDPAP","CDPAP","Level of Service",$D457),0)</f>
        <v>126.62990324085226</v>
      </c>
      <c r="O457" s="658">
        <f>+IFERROR(O$5*GETPIVOTDATA("Unique Billed Hours",'County allocation'!$S$3,"County",$D451,"HHA/CDPAP","CDPAP","Level of Service",$D457),0)</f>
        <v>0</v>
      </c>
      <c r="P457" s="658">
        <f>+IFERROR(P$5*GETPIVOTDATA("Unique Billed Hours",'County allocation'!$S$3,"County",$D451,"HHA/CDPAP","CDPAP","Level of Service",$D457),0)</f>
        <v>0</v>
      </c>
    </row>
    <row r="458" spans="1:16" x14ac:dyDescent="0.25">
      <c r="B458" s="24"/>
      <c r="C458" s="9">
        <f t="shared" ca="1" si="278"/>
        <v>1</v>
      </c>
      <c r="D458" s="267" t="s">
        <v>45</v>
      </c>
      <c r="E458" s="48" t="s">
        <v>53</v>
      </c>
      <c r="F458" s="678">
        <f t="shared" ca="1" si="279"/>
        <v>0</v>
      </c>
      <c r="G458" s="658">
        <f ca="1">+IFERROR(G$5*GETPIVOTDATA("Unique Billed Hours",'County allocation'!$A$3,"County",$D451,"HHA/CDPAP","CDPAP","Level of Service",$D458),0)</f>
        <v>0</v>
      </c>
      <c r="H458" s="658">
        <f>+IFERROR(H$5*GETPIVOTDATA("Unique Billed Hours",'County allocation'!$A$3,"County",$D451,"HHA/CDPAP","CDPAP","Level of Service",$D458),0)</f>
        <v>0</v>
      </c>
      <c r="I458" s="678">
        <f t="shared" ca="1" si="280"/>
        <v>0</v>
      </c>
      <c r="J458" s="658">
        <f ca="1">+IFERROR(J$5*GETPIVOTDATA("Unique Billed Hours",'County allocation'!$S$3,"County",$D451,"HHA/CDPAP","CDPAP","Level of Service",$D458),0)</f>
        <v>0</v>
      </c>
      <c r="K458" s="658">
        <f ca="1">+IFERROR(K$5*GETPIVOTDATA("Unique Billed Hours",'County allocation'!$X$3,"County",$D451,"HHA/CDPAP","CDPAP","Level of Service",$D458),0)</f>
        <v>0</v>
      </c>
      <c r="L458" s="658">
        <f>+IFERROR(L$5*GETPIVOTDATA("Unique Billed Hours",'County allocation'!$K$19,"County",$D451,"HHA/CDPAP","CDPAP","Level of Service",$D458),0)</f>
        <v>0</v>
      </c>
      <c r="M458" s="658">
        <f>+IFERROR(M$5*GETPIVOTDATA("Unique Billed Hours",'County allocation'!$S$3,"County",$D451,"HHA/CDPAP","CDPAP","Level of Service",$D458),0)</f>
        <v>0</v>
      </c>
      <c r="N458" s="658">
        <f>+IFERROR(N$5*GETPIVOTDATA("Unique Billed Hours",'County allocation'!$S$3,"County",$D451,"HHA/CDPAP","CDPAP","Level of Service",$D458),0)</f>
        <v>0</v>
      </c>
      <c r="O458" s="658">
        <f>+IFERROR(O$5*GETPIVOTDATA("Unique Billed Hours",'County allocation'!$S$3,"County",$D451,"HHA/CDPAP","CDPAP","Level of Service",$D458),0)</f>
        <v>0</v>
      </c>
      <c r="P458" s="658">
        <f>+IFERROR(P$5*GETPIVOTDATA("Unique Billed Hours",'County allocation'!$S$3,"County",$D451,"HHA/CDPAP","CDPAP","Level of Service",$D458),0)</f>
        <v>0</v>
      </c>
    </row>
    <row r="459" spans="1:16" x14ac:dyDescent="0.25">
      <c r="A459" s="302"/>
      <c r="B459" s="24"/>
      <c r="C459" s="9">
        <f t="shared" ca="1" si="278"/>
        <v>1</v>
      </c>
      <c r="D459" s="267" t="s">
        <v>46</v>
      </c>
      <c r="E459" s="48" t="s">
        <v>52</v>
      </c>
      <c r="F459" s="678">
        <f t="shared" ca="1" si="279"/>
        <v>0</v>
      </c>
      <c r="G459" s="658">
        <f ca="1">+IFERROR(G$5*GETPIVOTDATA("Unique Billed Hours",'County allocation'!$A$3,"County",$D451,"HHA/CDPAP","CDPAP","Level of Service",$D459),0)</f>
        <v>0</v>
      </c>
      <c r="H459" s="658">
        <f>+IFERROR(H$5*GETPIVOTDATA("Unique Billed Hours",'County allocation'!$A$3,"County",$D451,"HHA/CDPAP","CDPAP","Level of Service",$D459),0)</f>
        <v>0</v>
      </c>
      <c r="I459" s="678">
        <f t="shared" ca="1" si="280"/>
        <v>0</v>
      </c>
      <c r="J459" s="658">
        <f ca="1">+IFERROR(J$5*GETPIVOTDATA("Unique Billed Hours",'County allocation'!$S$3,"County",$D451,"HHA/CDPAP","CDPAP","Level of Service",$D459),0)</f>
        <v>0</v>
      </c>
      <c r="K459" s="658">
        <f ca="1">+IFERROR(K$5*GETPIVOTDATA("Unique Billed Hours",'County allocation'!$X$3,"County",$D451,"HHA/CDPAP","CDPAP","Level of Service",$D459),0)</f>
        <v>0</v>
      </c>
      <c r="L459" s="658">
        <f>+IFERROR(L$5*GETPIVOTDATA("Unique Billed Hours",'County allocation'!$K$19,"County",$D451,"HHA/CDPAP","CDPAP","Level of Service",$D459),0)</f>
        <v>0</v>
      </c>
      <c r="M459" s="658">
        <f>+IFERROR(M$5*GETPIVOTDATA("Unique Billed Hours",'County allocation'!$S$3,"County",$D451,"HHA/CDPAP","CDPAP","Level of Service",$D459),0)</f>
        <v>0</v>
      </c>
      <c r="N459" s="658">
        <f>+IFERROR(N$5*GETPIVOTDATA("Unique Billed Hours",'County allocation'!$S$3,"County",$D451,"HHA/CDPAP","CDPAP","Level of Service",$D459),0)</f>
        <v>0</v>
      </c>
      <c r="O459" s="658">
        <f>+IFERROR(O$5*GETPIVOTDATA("Unique Billed Hours",'County allocation'!$S$3,"County",$D451,"HHA/CDPAP","CDPAP","Level of Service",$D459),0)</f>
        <v>0</v>
      </c>
      <c r="P459" s="658">
        <f>+IFERROR(P$5*GETPIVOTDATA("Unique Billed Hours",'County allocation'!$S$3,"County",$D451,"HHA/CDPAP","CDPAP","Level of Service",$D459),0)</f>
        <v>0</v>
      </c>
    </row>
    <row r="460" spans="1:16" ht="15.75" thickBot="1" x14ac:dyDescent="0.3">
      <c r="A460" s="302"/>
      <c r="B460" s="24"/>
      <c r="C460" s="9">
        <f t="shared" ca="1" si="278"/>
        <v>1</v>
      </c>
      <c r="D460" s="52" t="s">
        <v>389</v>
      </c>
      <c r="E460" s="370" t="s">
        <v>51</v>
      </c>
      <c r="F460" s="679">
        <f ca="1">SUM(F454:F459)</f>
        <v>1909147.289876957</v>
      </c>
      <c r="G460" s="679">
        <f t="shared" ref="G460:H460" ca="1" si="281">SUM(G454:G459)</f>
        <v>76751.830981002626</v>
      </c>
      <c r="H460" s="679">
        <f t="shared" si="281"/>
        <v>66081.9094283718</v>
      </c>
      <c r="I460" s="678">
        <f t="shared" ca="1" si="280"/>
        <v>1766313.5494675825</v>
      </c>
      <c r="J460" s="679">
        <f ca="1">SUM(J454:J459)</f>
        <v>349460.19882040104</v>
      </c>
      <c r="K460" s="679">
        <f t="shared" ref="K460:P460" ca="1" si="282">SUM(K454:K459)</f>
        <v>1409797.8789147087</v>
      </c>
      <c r="L460" s="679">
        <f t="shared" si="282"/>
        <v>0</v>
      </c>
      <c r="M460" s="679">
        <f t="shared" si="282"/>
        <v>6510.208849178397</v>
      </c>
      <c r="N460" s="679">
        <f t="shared" si="282"/>
        <v>545.26288329433282</v>
      </c>
      <c r="O460" s="679">
        <f t="shared" si="282"/>
        <v>0</v>
      </c>
      <c r="P460" s="679">
        <f t="shared" si="282"/>
        <v>0</v>
      </c>
    </row>
    <row r="461" spans="1:16" x14ac:dyDescent="0.25">
      <c r="A461" s="302"/>
      <c r="B461" s="24"/>
      <c r="C461" s="9">
        <f t="shared" ca="1" si="278"/>
        <v>1</v>
      </c>
      <c r="D461" s="378" t="s">
        <v>390</v>
      </c>
      <c r="E461" s="370" t="s">
        <v>50</v>
      </c>
      <c r="F461" s="678">
        <f t="shared" ref="F461" ca="1" si="283">SUM(G461:I461)</f>
        <v>0</v>
      </c>
      <c r="G461" s="658">
        <f ca="1">+IFERROR(G$5*GETPIVOTDATA("Unique Billed Hours",'County allocation'!$A$3,"County",$D451,"HHA/CDPAP","CDPAP","Level of Service",$D461),0)</f>
        <v>0</v>
      </c>
      <c r="H461" s="659"/>
      <c r="I461" s="678">
        <f t="shared" si="280"/>
        <v>0</v>
      </c>
      <c r="J461" s="659"/>
      <c r="K461" s="659"/>
      <c r="L461" s="659"/>
      <c r="M461" s="659"/>
      <c r="N461" s="659"/>
      <c r="O461" s="659"/>
      <c r="P461" s="659"/>
    </row>
    <row r="462" spans="1:16" ht="15.75" thickBot="1" x14ac:dyDescent="0.3">
      <c r="B462" s="24"/>
      <c r="C462" s="9">
        <f t="shared" ca="1" si="278"/>
        <v>1</v>
      </c>
      <c r="D462" s="11" t="s">
        <v>48</v>
      </c>
      <c r="E462" s="53" t="s">
        <v>49</v>
      </c>
      <c r="F462" s="662">
        <f ca="1">SUBTOTAL(9,F454:F459)</f>
        <v>1909147.289876957</v>
      </c>
      <c r="G462" s="662">
        <f t="shared" ref="G462:H462" ca="1" si="284">SUBTOTAL(9,G454:G459)</f>
        <v>76751.830981002626</v>
      </c>
      <c r="H462" s="662">
        <f t="shared" si="284"/>
        <v>66081.9094283718</v>
      </c>
      <c r="I462" s="678">
        <f t="shared" ca="1" si="280"/>
        <v>1766313.5494675825</v>
      </c>
      <c r="J462" s="662">
        <f t="shared" ref="J462:P462" ca="1" si="285">SUBTOTAL(9,J454:J459)</f>
        <v>349460.19882040104</v>
      </c>
      <c r="K462" s="662">
        <f t="shared" ca="1" si="285"/>
        <v>1409797.8789147087</v>
      </c>
      <c r="L462" s="662">
        <f t="shared" si="285"/>
        <v>0</v>
      </c>
      <c r="M462" s="662">
        <f t="shared" si="285"/>
        <v>6510.208849178397</v>
      </c>
      <c r="N462" s="662">
        <f t="shared" si="285"/>
        <v>545.26288329433282</v>
      </c>
      <c r="O462" s="662">
        <f t="shared" si="285"/>
        <v>0</v>
      </c>
      <c r="P462" s="662">
        <f t="shared" si="285"/>
        <v>0</v>
      </c>
    </row>
    <row r="463" spans="1:16" ht="15.75" hidden="1" thickBot="1" x14ac:dyDescent="0.3"/>
    <row r="464" spans="1:16" ht="75" x14ac:dyDescent="0.25">
      <c r="A464" s="60"/>
      <c r="B464" s="24"/>
      <c r="C464" s="9">
        <f ca="1">IF(F475&gt;0,1,0)</f>
        <v>1</v>
      </c>
      <c r="D464" s="45" t="str">
        <f>A38</f>
        <v>Ontario</v>
      </c>
      <c r="E464" s="28">
        <f>SUMIF(A:A,D464,B:B)</f>
        <v>3.0558410502578128E-3</v>
      </c>
      <c r="F464" s="652" t="s">
        <v>396</v>
      </c>
      <c r="G464" s="652" t="s">
        <v>387</v>
      </c>
      <c r="H464" s="652" t="s">
        <v>388</v>
      </c>
      <c r="I464" s="652" t="s">
        <v>392</v>
      </c>
      <c r="J464" s="652" t="s">
        <v>31</v>
      </c>
      <c r="K464" s="652" t="s">
        <v>32</v>
      </c>
      <c r="L464" s="653" t="s">
        <v>33</v>
      </c>
      <c r="M464" s="653" t="s">
        <v>60</v>
      </c>
      <c r="N464" s="653" t="s">
        <v>59</v>
      </c>
      <c r="O464" s="653" t="s">
        <v>58</v>
      </c>
      <c r="P464" s="653" t="s">
        <v>16</v>
      </c>
    </row>
    <row r="465" spans="1:16" x14ac:dyDescent="0.25">
      <c r="A465" s="60"/>
      <c r="B465" s="24"/>
      <c r="C465" s="9">
        <f ca="1">C464</f>
        <v>1</v>
      </c>
      <c r="D465" s="47"/>
      <c r="E465" s="48"/>
      <c r="F465" s="669" t="s">
        <v>57</v>
      </c>
      <c r="G465" s="669" t="s">
        <v>56</v>
      </c>
      <c r="H465" s="669" t="s">
        <v>55</v>
      </c>
      <c r="I465" s="669" t="s">
        <v>54</v>
      </c>
      <c r="J465" s="669" t="s">
        <v>53</v>
      </c>
      <c r="K465" s="669" t="s">
        <v>52</v>
      </c>
      <c r="L465" s="669" t="s">
        <v>51</v>
      </c>
      <c r="M465" s="669" t="s">
        <v>50</v>
      </c>
      <c r="N465" s="669" t="s">
        <v>49</v>
      </c>
      <c r="O465" s="669" t="s">
        <v>47</v>
      </c>
      <c r="P465" s="670" t="s">
        <v>77</v>
      </c>
    </row>
    <row r="466" spans="1:16" x14ac:dyDescent="0.25">
      <c r="B466" s="24"/>
      <c r="C466" s="9">
        <f t="shared" ref="C466:C475" ca="1" si="286">C465</f>
        <v>1</v>
      </c>
      <c r="D466" s="51" t="s">
        <v>26</v>
      </c>
      <c r="E466" s="48"/>
      <c r="F466" s="674"/>
      <c r="G466" s="674"/>
      <c r="H466" s="674"/>
      <c r="I466" s="674"/>
      <c r="J466" s="674"/>
      <c r="K466" s="674"/>
      <c r="L466" s="675"/>
      <c r="M466" s="675"/>
      <c r="N466" s="676"/>
      <c r="O466" s="674"/>
      <c r="P466" s="677"/>
    </row>
    <row r="467" spans="1:16" x14ac:dyDescent="0.25">
      <c r="B467" s="24"/>
      <c r="C467" s="9">
        <f t="shared" ca="1" si="286"/>
        <v>1</v>
      </c>
      <c r="D467" s="267" t="s">
        <v>18</v>
      </c>
      <c r="E467" s="48" t="s">
        <v>57</v>
      </c>
      <c r="F467" s="678">
        <f ca="1">SUM(G467:I467)</f>
        <v>263424.06174290017</v>
      </c>
      <c r="G467" s="658">
        <f ca="1">+IFERROR(G$5*GETPIVOTDATA("Unique Billed Hours",'County allocation'!$A$3,"County",$D464,"HHA/CDPAP","CDPAP","Level of Service",$D467),0)</f>
        <v>10590.214369747935</v>
      </c>
      <c r="H467" s="658">
        <f>+IFERROR(H$5*GETPIVOTDATA("Unique Billed Hours",'County allocation'!$A$3,"County",$D464,"HHA/CDPAP","CDPAP","Level of Service",$D467),0)</f>
        <v>9117.9790483687921</v>
      </c>
      <c r="I467" s="678">
        <f ca="1">SUM(J467:P467)</f>
        <v>243715.86832478346</v>
      </c>
      <c r="J467" s="658">
        <f ca="1">+IFERROR(J$5*GETPIVOTDATA("Unique Billed Hours",'County allocation'!$S$3,"County",$D464,"HHA/CDPAP","CDPAP","Level of Service",$D467),0)</f>
        <v>48218.503349044622</v>
      </c>
      <c r="K467" s="658">
        <f ca="1">+IFERROR(K$5*GETPIVOTDATA("Unique Billed Hours",'County allocation'!$X$3,"County",$D464,"HHA/CDPAP","CDPAP","Level of Service",$D467),0)</f>
        <v>194523.85128659863</v>
      </c>
      <c r="L467" s="658">
        <f>+IFERROR(L$5*GETPIVOTDATA("Unique Billed Hours",'County allocation'!$K$19,"County",$D464,"HHA/CDPAP","CDPAP","Level of Service",$D467),0)</f>
        <v>0</v>
      </c>
      <c r="M467" s="658">
        <f>+IFERROR(M$5*GETPIVOTDATA("Unique Billed Hours",'County allocation'!$S$3,"County",$D464,"HHA/CDPAP","CDPAP","Level of Service",$D467),0)</f>
        <v>898.27833972708959</v>
      </c>
      <c r="N467" s="658">
        <f>+IFERROR(N$5*GETPIVOTDATA("Unique Billed Hours",'County allocation'!$S$3,"County",$D464,"HHA/CDPAP","CDPAP","Level of Service",$D467),0)</f>
        <v>75.235349413137911</v>
      </c>
      <c r="O467" s="658">
        <f>+IFERROR(O$5*GETPIVOTDATA("Unique Billed Hours",'County allocation'!$S$3,"County",$D464,"HHA/CDPAP","CDPAP","Level of Service",$D467),0)</f>
        <v>0</v>
      </c>
      <c r="P467" s="658">
        <f>+IFERROR(P$5*GETPIVOTDATA("Unique Billed Hours",'County allocation'!$S$3,"County",$D464,"HHA/CDPAP","CDPAP","Level of Service",$D467),0)</f>
        <v>0</v>
      </c>
    </row>
    <row r="468" spans="1:16" x14ac:dyDescent="0.25">
      <c r="B468" s="24"/>
      <c r="C468" s="9">
        <f t="shared" ca="1" si="286"/>
        <v>1</v>
      </c>
      <c r="D468" s="267" t="s">
        <v>42</v>
      </c>
      <c r="E468" s="48" t="s">
        <v>56</v>
      </c>
      <c r="F468" s="678">
        <f t="shared" ref="F468:F472" ca="1" si="287">SUM(G468:I468)</f>
        <v>0</v>
      </c>
      <c r="G468" s="658">
        <f ca="1">+IFERROR(G$5*GETPIVOTDATA("Unique Billed Hours",'County allocation'!$A$3,"County",$D464,"HHA/CDPAP","CDPAP","Level of Service",$D468),0)</f>
        <v>0</v>
      </c>
      <c r="H468" s="658">
        <f>+IFERROR(H$5*GETPIVOTDATA("Unique Billed Hours",'County allocation'!$A$3,"County",$D464,"HHA/CDPAP","CDPAP","Level of Service",$D468),0)</f>
        <v>0</v>
      </c>
      <c r="I468" s="678">
        <f t="shared" ref="I468:I475" ca="1" si="288">SUM(J468:P468)</f>
        <v>0</v>
      </c>
      <c r="J468" s="658">
        <f ca="1">+IFERROR(J$5*GETPIVOTDATA("Unique Billed Hours",'County allocation'!$S$3,"County",$D464,"HHA/CDPAP","CDPAP","Level of Service",$D468),0)</f>
        <v>0</v>
      </c>
      <c r="K468" s="658">
        <f ca="1">+IFERROR(K$5*GETPIVOTDATA("Unique Billed Hours",'County allocation'!$X$3,"County",$D464,"HHA/CDPAP","CDPAP","Level of Service",$D468),0)</f>
        <v>0</v>
      </c>
      <c r="L468" s="658">
        <f>+IFERROR(L$5*GETPIVOTDATA("Unique Billed Hours",'County allocation'!$K$19,"County",$D464,"HHA/CDPAP","CDPAP","Level of Service",$D468),0)</f>
        <v>0</v>
      </c>
      <c r="M468" s="658">
        <f>+IFERROR(M$5*GETPIVOTDATA("Unique Billed Hours",'County allocation'!$S$3,"County",$D464,"HHA/CDPAP","CDPAP","Level of Service",$D468),0)</f>
        <v>0</v>
      </c>
      <c r="N468" s="658">
        <f>+IFERROR(N$5*GETPIVOTDATA("Unique Billed Hours",'County allocation'!$S$3,"County",$D464,"HHA/CDPAP","CDPAP","Level of Service",$D468),0)</f>
        <v>0</v>
      </c>
      <c r="O468" s="658">
        <f>+IFERROR(O$5*GETPIVOTDATA("Unique Billed Hours",'County allocation'!$S$3,"County",$D464,"HHA/CDPAP","CDPAP","Level of Service",$D468),0)</f>
        <v>0</v>
      </c>
      <c r="P468" s="658">
        <f>+IFERROR(P$5*GETPIVOTDATA("Unique Billed Hours",'County allocation'!$S$3,"County",$D464,"HHA/CDPAP","CDPAP","Level of Service",$D468),0)</f>
        <v>0</v>
      </c>
    </row>
    <row r="469" spans="1:16" x14ac:dyDescent="0.25">
      <c r="B469" s="24"/>
      <c r="C469" s="9">
        <f t="shared" ca="1" si="286"/>
        <v>1</v>
      </c>
      <c r="D469" s="267" t="s">
        <v>43</v>
      </c>
      <c r="E469" s="48" t="s">
        <v>55</v>
      </c>
      <c r="F469" s="678">
        <f t="shared" ca="1" si="287"/>
        <v>0</v>
      </c>
      <c r="G469" s="658">
        <f ca="1">+IFERROR(G$5*GETPIVOTDATA("Unique Billed Hours",'County allocation'!$A$3,"County",$D464,"HHA/CDPAP","CDPAP","Level of Service",$D469),0)</f>
        <v>0</v>
      </c>
      <c r="H469" s="658">
        <f>+IFERROR(H$5*GETPIVOTDATA("Unique Billed Hours",'County allocation'!$A$3,"County",$D464,"HHA/CDPAP","CDPAP","Level of Service",$D469),0)</f>
        <v>0</v>
      </c>
      <c r="I469" s="678">
        <f t="shared" ca="1" si="288"/>
        <v>0</v>
      </c>
      <c r="J469" s="658">
        <f ca="1">+IFERROR(J$5*GETPIVOTDATA("Unique Billed Hours",'County allocation'!$S$3,"County",$D464,"HHA/CDPAP","CDPAP","Level of Service",$D469),0)</f>
        <v>0</v>
      </c>
      <c r="K469" s="658">
        <f ca="1">+IFERROR(K$5*GETPIVOTDATA("Unique Billed Hours",'County allocation'!$X$3,"County",$D464,"HHA/CDPAP","CDPAP","Level of Service",$D469),0)</f>
        <v>0</v>
      </c>
      <c r="L469" s="658">
        <f>+IFERROR(L$5*GETPIVOTDATA("Unique Billed Hours",'County allocation'!$K$19,"County",$D464,"HHA/CDPAP","CDPAP","Level of Service",$D469),0)</f>
        <v>0</v>
      </c>
      <c r="M469" s="658">
        <f>+IFERROR(M$5*GETPIVOTDATA("Unique Billed Hours",'County allocation'!$S$3,"County",$D464,"HHA/CDPAP","CDPAP","Level of Service",$D469),0)</f>
        <v>0</v>
      </c>
      <c r="N469" s="658">
        <f>+IFERROR(N$5*GETPIVOTDATA("Unique Billed Hours",'County allocation'!$S$3,"County",$D464,"HHA/CDPAP","CDPAP","Level of Service",$D469),0)</f>
        <v>0</v>
      </c>
      <c r="O469" s="658">
        <f>+IFERROR(O$5*GETPIVOTDATA("Unique Billed Hours",'County allocation'!$S$3,"County",$D464,"HHA/CDPAP","CDPAP","Level of Service",$D469),0)</f>
        <v>0</v>
      </c>
      <c r="P469" s="658">
        <f>+IFERROR(P$5*GETPIVOTDATA("Unique Billed Hours",'County allocation'!$S$3,"County",$D464,"HHA/CDPAP","CDPAP","Level of Service",$D469),0)</f>
        <v>0</v>
      </c>
    </row>
    <row r="470" spans="1:16" x14ac:dyDescent="0.25">
      <c r="B470" s="24"/>
      <c r="C470" s="9">
        <f t="shared" ca="1" si="286"/>
        <v>1</v>
      </c>
      <c r="D470" s="267" t="s">
        <v>44</v>
      </c>
      <c r="E470" s="48" t="s">
        <v>54</v>
      </c>
      <c r="F470" s="678">
        <f t="shared" ca="1" si="287"/>
        <v>0</v>
      </c>
      <c r="G470" s="658">
        <f ca="1">+IFERROR(G$5*GETPIVOTDATA("Unique Billed Hours",'County allocation'!$A$3,"County",$D464,"HHA/CDPAP","CDPAP","Level of Service",$D470),0)</f>
        <v>0</v>
      </c>
      <c r="H470" s="658">
        <f>+IFERROR(H$5*GETPIVOTDATA("Unique Billed Hours",'County allocation'!$A$3,"County",$D464,"HHA/CDPAP","CDPAP","Level of Service",$D470),0)</f>
        <v>0</v>
      </c>
      <c r="I470" s="678">
        <f t="shared" ca="1" si="288"/>
        <v>0</v>
      </c>
      <c r="J470" s="658">
        <f ca="1">+IFERROR(J$5*GETPIVOTDATA("Unique Billed Hours",'County allocation'!$S$3,"County",$D464,"HHA/CDPAP","CDPAP","Level of Service",$D470),0)</f>
        <v>0</v>
      </c>
      <c r="K470" s="658">
        <f ca="1">+IFERROR(K$5*GETPIVOTDATA("Unique Billed Hours",'County allocation'!$X$3,"County",$D464,"HHA/CDPAP","CDPAP","Level of Service",$D470),0)</f>
        <v>0</v>
      </c>
      <c r="L470" s="658">
        <f>+IFERROR(L$5*GETPIVOTDATA("Unique Billed Hours",'County allocation'!$K$19,"County",$D464,"HHA/CDPAP","CDPAP","Level of Service",$D470),0)</f>
        <v>0</v>
      </c>
      <c r="M470" s="658">
        <f>+IFERROR(M$5*GETPIVOTDATA("Unique Billed Hours",'County allocation'!$S$3,"County",$D464,"HHA/CDPAP","CDPAP","Level of Service",$D470),0)</f>
        <v>0</v>
      </c>
      <c r="N470" s="658">
        <f>+IFERROR(N$5*GETPIVOTDATA("Unique Billed Hours",'County allocation'!$S$3,"County",$D464,"HHA/CDPAP","CDPAP","Level of Service",$D470),0)</f>
        <v>0</v>
      </c>
      <c r="O470" s="658">
        <f>+IFERROR(O$5*GETPIVOTDATA("Unique Billed Hours",'County allocation'!$S$3,"County",$D464,"HHA/CDPAP","CDPAP","Level of Service",$D470),0)</f>
        <v>0</v>
      </c>
      <c r="P470" s="658">
        <f>+IFERROR(P$5*GETPIVOTDATA("Unique Billed Hours",'County allocation'!$S$3,"County",$D464,"HHA/CDPAP","CDPAP","Level of Service",$D470),0)</f>
        <v>0</v>
      </c>
    </row>
    <row r="471" spans="1:16" x14ac:dyDescent="0.25">
      <c r="B471" s="24"/>
      <c r="C471" s="9">
        <f t="shared" ca="1" si="286"/>
        <v>1</v>
      </c>
      <c r="D471" s="267" t="s">
        <v>45</v>
      </c>
      <c r="E471" s="48" t="s">
        <v>53</v>
      </c>
      <c r="F471" s="678">
        <f t="shared" ca="1" si="287"/>
        <v>0</v>
      </c>
      <c r="G471" s="658">
        <f ca="1">+IFERROR(G$5*GETPIVOTDATA("Unique Billed Hours",'County allocation'!$A$3,"County",$D464,"HHA/CDPAP","CDPAP","Level of Service",$D471),0)</f>
        <v>0</v>
      </c>
      <c r="H471" s="658">
        <f>+IFERROR(H$5*GETPIVOTDATA("Unique Billed Hours",'County allocation'!$A$3,"County",$D464,"HHA/CDPAP","CDPAP","Level of Service",$D471),0)</f>
        <v>0</v>
      </c>
      <c r="I471" s="678">
        <f t="shared" ca="1" si="288"/>
        <v>0</v>
      </c>
      <c r="J471" s="658">
        <f ca="1">+IFERROR(J$5*GETPIVOTDATA("Unique Billed Hours",'County allocation'!$S$3,"County",$D464,"HHA/CDPAP","CDPAP","Level of Service",$D471),0)</f>
        <v>0</v>
      </c>
      <c r="K471" s="658">
        <f ca="1">+IFERROR(K$5*GETPIVOTDATA("Unique Billed Hours",'County allocation'!$X$3,"County",$D464,"HHA/CDPAP","CDPAP","Level of Service",$D471),0)</f>
        <v>0</v>
      </c>
      <c r="L471" s="658">
        <f>+IFERROR(L$5*GETPIVOTDATA("Unique Billed Hours",'County allocation'!$K$19,"County",$D464,"HHA/CDPAP","CDPAP","Level of Service",$D471),0)</f>
        <v>0</v>
      </c>
      <c r="M471" s="658">
        <f>+IFERROR(M$5*GETPIVOTDATA("Unique Billed Hours",'County allocation'!$S$3,"County",$D464,"HHA/CDPAP","CDPAP","Level of Service",$D471),0)</f>
        <v>0</v>
      </c>
      <c r="N471" s="658">
        <f>+IFERROR(N$5*GETPIVOTDATA("Unique Billed Hours",'County allocation'!$S$3,"County",$D464,"HHA/CDPAP","CDPAP","Level of Service",$D471),0)</f>
        <v>0</v>
      </c>
      <c r="O471" s="658">
        <f>+IFERROR(O$5*GETPIVOTDATA("Unique Billed Hours",'County allocation'!$S$3,"County",$D464,"HHA/CDPAP","CDPAP","Level of Service",$D471),0)</f>
        <v>0</v>
      </c>
      <c r="P471" s="658">
        <f>+IFERROR(P$5*GETPIVOTDATA("Unique Billed Hours",'County allocation'!$S$3,"County",$D464,"HHA/CDPAP","CDPAP","Level of Service",$D471),0)</f>
        <v>0</v>
      </c>
    </row>
    <row r="472" spans="1:16" x14ac:dyDescent="0.25">
      <c r="A472" s="302"/>
      <c r="B472" s="24"/>
      <c r="C472" s="9">
        <f t="shared" ca="1" si="286"/>
        <v>1</v>
      </c>
      <c r="D472" s="267" t="s">
        <v>46</v>
      </c>
      <c r="E472" s="48" t="s">
        <v>52</v>
      </c>
      <c r="F472" s="678">
        <f t="shared" ca="1" si="287"/>
        <v>0</v>
      </c>
      <c r="G472" s="658">
        <f ca="1">+IFERROR(G$5*GETPIVOTDATA("Unique Billed Hours",'County allocation'!$A$3,"County",$D464,"HHA/CDPAP","CDPAP","Level of Service",$D472),0)</f>
        <v>0</v>
      </c>
      <c r="H472" s="658">
        <f>+IFERROR(H$5*GETPIVOTDATA("Unique Billed Hours",'County allocation'!$A$3,"County",$D464,"HHA/CDPAP","CDPAP","Level of Service",$D472),0)</f>
        <v>0</v>
      </c>
      <c r="I472" s="678">
        <f t="shared" ca="1" si="288"/>
        <v>0</v>
      </c>
      <c r="J472" s="658">
        <f ca="1">+IFERROR(J$5*GETPIVOTDATA("Unique Billed Hours",'County allocation'!$S$3,"County",$D464,"HHA/CDPAP","CDPAP","Level of Service",$D472),0)</f>
        <v>0</v>
      </c>
      <c r="K472" s="658">
        <f ca="1">+IFERROR(K$5*GETPIVOTDATA("Unique Billed Hours",'County allocation'!$X$3,"County",$D464,"HHA/CDPAP","CDPAP","Level of Service",$D472),0)</f>
        <v>0</v>
      </c>
      <c r="L472" s="658">
        <f>+IFERROR(L$5*GETPIVOTDATA("Unique Billed Hours",'County allocation'!$K$19,"County",$D464,"HHA/CDPAP","CDPAP","Level of Service",$D472),0)</f>
        <v>0</v>
      </c>
      <c r="M472" s="658">
        <f>+IFERROR(M$5*GETPIVOTDATA("Unique Billed Hours",'County allocation'!$S$3,"County",$D464,"HHA/CDPAP","CDPAP","Level of Service",$D472),0)</f>
        <v>0</v>
      </c>
      <c r="N472" s="658">
        <f>+IFERROR(N$5*GETPIVOTDATA("Unique Billed Hours",'County allocation'!$S$3,"County",$D464,"HHA/CDPAP","CDPAP","Level of Service",$D472),0)</f>
        <v>0</v>
      </c>
      <c r="O472" s="658">
        <f>+IFERROR(O$5*GETPIVOTDATA("Unique Billed Hours",'County allocation'!$S$3,"County",$D464,"HHA/CDPAP","CDPAP","Level of Service",$D472),0)</f>
        <v>0</v>
      </c>
      <c r="P472" s="658">
        <f>+IFERROR(P$5*GETPIVOTDATA("Unique Billed Hours",'County allocation'!$S$3,"County",$D464,"HHA/CDPAP","CDPAP","Level of Service",$D472),0)</f>
        <v>0</v>
      </c>
    </row>
    <row r="473" spans="1:16" ht="15.75" thickBot="1" x14ac:dyDescent="0.3">
      <c r="A473" s="302"/>
      <c r="B473" s="24"/>
      <c r="C473" s="9">
        <f t="shared" ca="1" si="286"/>
        <v>1</v>
      </c>
      <c r="D473" s="52" t="s">
        <v>389</v>
      </c>
      <c r="E473" s="370" t="s">
        <v>51</v>
      </c>
      <c r="F473" s="679">
        <f ca="1">SUM(F467:F472)</f>
        <v>263424.06174290017</v>
      </c>
      <c r="G473" s="679">
        <f t="shared" ref="G473:H473" ca="1" si="289">SUM(G467:G472)</f>
        <v>10590.214369747935</v>
      </c>
      <c r="H473" s="679">
        <f t="shared" si="289"/>
        <v>9117.9790483687921</v>
      </c>
      <c r="I473" s="678">
        <f t="shared" ca="1" si="288"/>
        <v>243715.86832478346</v>
      </c>
      <c r="J473" s="679">
        <f ca="1">SUM(J467:J472)</f>
        <v>48218.503349044622</v>
      </c>
      <c r="K473" s="679">
        <f t="shared" ref="K473:P473" ca="1" si="290">SUM(K467:K472)</f>
        <v>194523.85128659863</v>
      </c>
      <c r="L473" s="679">
        <f t="shared" si="290"/>
        <v>0</v>
      </c>
      <c r="M473" s="679">
        <f t="shared" si="290"/>
        <v>898.27833972708959</v>
      </c>
      <c r="N473" s="679">
        <f t="shared" si="290"/>
        <v>75.235349413137911</v>
      </c>
      <c r="O473" s="679">
        <f t="shared" si="290"/>
        <v>0</v>
      </c>
      <c r="P473" s="679">
        <f t="shared" si="290"/>
        <v>0</v>
      </c>
    </row>
    <row r="474" spans="1:16" x14ac:dyDescent="0.25">
      <c r="A474" s="302"/>
      <c r="B474" s="24"/>
      <c r="C474" s="9">
        <f t="shared" ca="1" si="286"/>
        <v>1</v>
      </c>
      <c r="D474" s="378" t="s">
        <v>390</v>
      </c>
      <c r="E474" s="370" t="s">
        <v>50</v>
      </c>
      <c r="F474" s="678">
        <f t="shared" ref="F474" ca="1" si="291">SUM(G474:I474)</f>
        <v>0</v>
      </c>
      <c r="G474" s="658">
        <f ca="1">+IFERROR(G$5*GETPIVOTDATA("Unique Billed Hours",'County allocation'!$A$3,"County",$D464,"HHA/CDPAP","CDPAP","Level of Service",$D474),0)</f>
        <v>0</v>
      </c>
      <c r="H474" s="659"/>
      <c r="I474" s="678">
        <f t="shared" si="288"/>
        <v>0</v>
      </c>
      <c r="J474" s="659"/>
      <c r="K474" s="659"/>
      <c r="L474" s="659"/>
      <c r="M474" s="659"/>
      <c r="N474" s="659"/>
      <c r="O474" s="659"/>
      <c r="P474" s="659"/>
    </row>
    <row r="475" spans="1:16" ht="15.75" thickBot="1" x14ac:dyDescent="0.3">
      <c r="B475" s="24"/>
      <c r="C475" s="9">
        <f t="shared" ca="1" si="286"/>
        <v>1</v>
      </c>
      <c r="D475" s="11" t="s">
        <v>48</v>
      </c>
      <c r="E475" s="53" t="s">
        <v>49</v>
      </c>
      <c r="F475" s="662">
        <f ca="1">SUBTOTAL(9,F467:F472)</f>
        <v>263424.06174290017</v>
      </c>
      <c r="G475" s="662">
        <f t="shared" ref="G475:H475" ca="1" si="292">SUBTOTAL(9,G467:G472)</f>
        <v>10590.214369747935</v>
      </c>
      <c r="H475" s="662">
        <f t="shared" si="292"/>
        <v>9117.9790483687921</v>
      </c>
      <c r="I475" s="678">
        <f t="shared" ca="1" si="288"/>
        <v>243715.86832478346</v>
      </c>
      <c r="J475" s="662">
        <f t="shared" ref="J475:P475" ca="1" si="293">SUBTOTAL(9,J467:J472)</f>
        <v>48218.503349044622</v>
      </c>
      <c r="K475" s="662">
        <f t="shared" ca="1" si="293"/>
        <v>194523.85128659863</v>
      </c>
      <c r="L475" s="662">
        <f t="shared" si="293"/>
        <v>0</v>
      </c>
      <c r="M475" s="662">
        <f t="shared" si="293"/>
        <v>898.27833972708959</v>
      </c>
      <c r="N475" s="662">
        <f t="shared" si="293"/>
        <v>75.235349413137911</v>
      </c>
      <c r="O475" s="662">
        <f t="shared" si="293"/>
        <v>0</v>
      </c>
      <c r="P475" s="662">
        <f t="shared" si="293"/>
        <v>0</v>
      </c>
    </row>
    <row r="476" spans="1:16" ht="15.75" hidden="1" thickBot="1" x14ac:dyDescent="0.3"/>
    <row r="477" spans="1:16" ht="75" x14ac:dyDescent="0.25">
      <c r="A477" s="60"/>
      <c r="B477" s="24"/>
      <c r="C477" s="9">
        <f ca="1">IF(F488&gt;0,1,0)</f>
        <v>1</v>
      </c>
      <c r="D477" s="45" t="str">
        <f>A39</f>
        <v>Orange</v>
      </c>
      <c r="E477" s="28">
        <f>SUMIF(A:A,D477,B:B)</f>
        <v>1.2293981971585183E-2</v>
      </c>
      <c r="F477" s="652" t="s">
        <v>396</v>
      </c>
      <c r="G477" s="652" t="s">
        <v>387</v>
      </c>
      <c r="H477" s="652" t="s">
        <v>388</v>
      </c>
      <c r="I477" s="652" t="s">
        <v>392</v>
      </c>
      <c r="J477" s="652" t="s">
        <v>31</v>
      </c>
      <c r="K477" s="652" t="s">
        <v>32</v>
      </c>
      <c r="L477" s="653" t="s">
        <v>33</v>
      </c>
      <c r="M477" s="653" t="s">
        <v>60</v>
      </c>
      <c r="N477" s="653" t="s">
        <v>59</v>
      </c>
      <c r="O477" s="653" t="s">
        <v>58</v>
      </c>
      <c r="P477" s="653" t="s">
        <v>16</v>
      </c>
    </row>
    <row r="478" spans="1:16" x14ac:dyDescent="0.25">
      <c r="A478" s="60"/>
      <c r="B478" s="24"/>
      <c r="C478" s="9">
        <f ca="1">C477</f>
        <v>1</v>
      </c>
      <c r="D478" s="47"/>
      <c r="E478" s="48"/>
      <c r="F478" s="669" t="s">
        <v>57</v>
      </c>
      <c r="G478" s="669" t="s">
        <v>56</v>
      </c>
      <c r="H478" s="669" t="s">
        <v>55</v>
      </c>
      <c r="I478" s="669" t="s">
        <v>54</v>
      </c>
      <c r="J478" s="669" t="s">
        <v>53</v>
      </c>
      <c r="K478" s="669" t="s">
        <v>52</v>
      </c>
      <c r="L478" s="669" t="s">
        <v>51</v>
      </c>
      <c r="M478" s="669" t="s">
        <v>50</v>
      </c>
      <c r="N478" s="669" t="s">
        <v>49</v>
      </c>
      <c r="O478" s="669" t="s">
        <v>47</v>
      </c>
      <c r="P478" s="670" t="s">
        <v>77</v>
      </c>
    </row>
    <row r="479" spans="1:16" x14ac:dyDescent="0.25">
      <c r="B479" s="24"/>
      <c r="C479" s="9">
        <f t="shared" ref="C479:C488" ca="1" si="294">C478</f>
        <v>1</v>
      </c>
      <c r="D479" s="51" t="s">
        <v>26</v>
      </c>
      <c r="E479" s="48"/>
      <c r="F479" s="674"/>
      <c r="G479" s="674"/>
      <c r="H479" s="674"/>
      <c r="I479" s="674"/>
      <c r="J479" s="674"/>
      <c r="K479" s="674"/>
      <c r="L479" s="675"/>
      <c r="M479" s="675"/>
      <c r="N479" s="676"/>
      <c r="O479" s="674"/>
      <c r="P479" s="677"/>
    </row>
    <row r="480" spans="1:16" x14ac:dyDescent="0.25">
      <c r="B480" s="24"/>
      <c r="C480" s="9">
        <f t="shared" ca="1" si="294"/>
        <v>1</v>
      </c>
      <c r="D480" s="267" t="s">
        <v>18</v>
      </c>
      <c r="E480" s="48" t="s">
        <v>57</v>
      </c>
      <c r="F480" s="678">
        <f ca="1">SUM(G480:I480)</f>
        <v>1039698.8837227769</v>
      </c>
      <c r="G480" s="658">
        <f ca="1">+IFERROR(G$5*GETPIVOTDATA("Unique Billed Hours",'County allocation'!$A$3,"County",$D477,"HHA/CDPAP","CDPAP","Level of Service",$D480),0)</f>
        <v>41798.133343483758</v>
      </c>
      <c r="H480" s="658">
        <f>+IFERROR(H$5*GETPIVOTDATA("Unique Billed Hours",'County allocation'!$A$3,"County",$D477,"HHA/CDPAP","CDPAP","Level of Service",$D480),0)</f>
        <v>35987.421102211461</v>
      </c>
      <c r="I480" s="678">
        <f ca="1">SUM(J480:P480)</f>
        <v>961913.32927708165</v>
      </c>
      <c r="J480" s="658">
        <f ca="1">+IFERROR(J$5*GETPIVOTDATA("Unique Billed Hours",'County allocation'!$S$3,"County",$D477,"HHA/CDPAP","CDPAP","Level of Service",$D480),0)</f>
        <v>190311.86359776737</v>
      </c>
      <c r="K480" s="658">
        <f ca="1">+IFERROR(K$5*GETPIVOTDATA("Unique Billed Hours",'County allocation'!$X$3,"County",$D477,"HHA/CDPAP","CDPAP","Level of Service",$D480),0)</f>
        <v>767759.13977639133</v>
      </c>
      <c r="L480" s="658">
        <f>+IFERROR(L$5*GETPIVOTDATA("Unique Billed Hours",'County allocation'!$K$19,"County",$D477,"HHA/CDPAP","CDPAP","Level of Service",$D480),0)</f>
        <v>0</v>
      </c>
      <c r="M480" s="658">
        <f>+IFERROR(M$5*GETPIVOTDATA("Unique Billed Hours",'County allocation'!$S$3,"County",$D477,"HHA/CDPAP","CDPAP","Level of Service",$D480),0)</f>
        <v>3545.382228591257</v>
      </c>
      <c r="N480" s="658">
        <f>+IFERROR(N$5*GETPIVOTDATA("Unique Billed Hours",'County allocation'!$S$3,"County",$D477,"HHA/CDPAP","CDPAP","Level of Service",$D480),0)</f>
        <v>296.94367433175762</v>
      </c>
      <c r="O480" s="658">
        <f>+IFERROR(O$5*GETPIVOTDATA("Unique Billed Hours",'County allocation'!$S$3,"County",$D477,"HHA/CDPAP","CDPAP","Level of Service",$D480),0)</f>
        <v>0</v>
      </c>
      <c r="P480" s="658">
        <f>+IFERROR(P$5*GETPIVOTDATA("Unique Billed Hours",'County allocation'!$S$3,"County",$D477,"HHA/CDPAP","CDPAP","Level of Service",$D480),0)</f>
        <v>0</v>
      </c>
    </row>
    <row r="481" spans="1:16" x14ac:dyDescent="0.25">
      <c r="B481" s="24"/>
      <c r="C481" s="9">
        <f t="shared" ca="1" si="294"/>
        <v>1</v>
      </c>
      <c r="D481" s="267" t="s">
        <v>42</v>
      </c>
      <c r="E481" s="48" t="s">
        <v>56</v>
      </c>
      <c r="F481" s="678">
        <f t="shared" ref="F481:F485" ca="1" si="295">SUM(G481:I481)</f>
        <v>0</v>
      </c>
      <c r="G481" s="658">
        <f ca="1">+IFERROR(G$5*GETPIVOTDATA("Unique Billed Hours",'County allocation'!$A$3,"County",$D477,"HHA/CDPAP","CDPAP","Level of Service",$D481),0)</f>
        <v>0</v>
      </c>
      <c r="H481" s="658">
        <f>+IFERROR(H$5*GETPIVOTDATA("Unique Billed Hours",'County allocation'!$A$3,"County",$D477,"HHA/CDPAP","CDPAP","Level of Service",$D481),0)</f>
        <v>0</v>
      </c>
      <c r="I481" s="678">
        <f t="shared" ref="I481:I488" ca="1" si="296">SUM(J481:P481)</f>
        <v>0</v>
      </c>
      <c r="J481" s="658">
        <f ca="1">+IFERROR(J$5*GETPIVOTDATA("Unique Billed Hours",'County allocation'!$S$3,"County",$D477,"HHA/CDPAP","CDPAP","Level of Service",$D481),0)</f>
        <v>0</v>
      </c>
      <c r="K481" s="658">
        <f ca="1">+IFERROR(K$5*GETPIVOTDATA("Unique Billed Hours",'County allocation'!$X$3,"County",$D477,"HHA/CDPAP","CDPAP","Level of Service",$D481),0)</f>
        <v>0</v>
      </c>
      <c r="L481" s="658">
        <f>+IFERROR(L$5*GETPIVOTDATA("Unique Billed Hours",'County allocation'!$K$19,"County",$D477,"HHA/CDPAP","CDPAP","Level of Service",$D481),0)</f>
        <v>0</v>
      </c>
      <c r="M481" s="658">
        <f>+IFERROR(M$5*GETPIVOTDATA("Unique Billed Hours",'County allocation'!$S$3,"County",$D477,"HHA/CDPAP","CDPAP","Level of Service",$D481),0)</f>
        <v>0</v>
      </c>
      <c r="N481" s="658">
        <f>+IFERROR(N$5*GETPIVOTDATA("Unique Billed Hours",'County allocation'!$S$3,"County",$D477,"HHA/CDPAP","CDPAP","Level of Service",$D481),0)</f>
        <v>0</v>
      </c>
      <c r="O481" s="658">
        <f>+IFERROR(O$5*GETPIVOTDATA("Unique Billed Hours",'County allocation'!$S$3,"County",$D477,"HHA/CDPAP","CDPAP","Level of Service",$D481),0)</f>
        <v>0</v>
      </c>
      <c r="P481" s="658">
        <f>+IFERROR(P$5*GETPIVOTDATA("Unique Billed Hours",'County allocation'!$S$3,"County",$D477,"HHA/CDPAP","CDPAP","Level of Service",$D481),0)</f>
        <v>0</v>
      </c>
    </row>
    <row r="482" spans="1:16" x14ac:dyDescent="0.25">
      <c r="B482" s="24"/>
      <c r="C482" s="9">
        <f t="shared" ca="1" si="294"/>
        <v>1</v>
      </c>
      <c r="D482" s="267" t="s">
        <v>43</v>
      </c>
      <c r="E482" s="48" t="s">
        <v>55</v>
      </c>
      <c r="F482" s="678">
        <f t="shared" ca="1" si="295"/>
        <v>0</v>
      </c>
      <c r="G482" s="658">
        <f ca="1">+IFERROR(G$5*GETPIVOTDATA("Unique Billed Hours",'County allocation'!$A$3,"County",$D477,"HHA/CDPAP","CDPAP","Level of Service",$D482),0)</f>
        <v>0</v>
      </c>
      <c r="H482" s="658">
        <f>+IFERROR(H$5*GETPIVOTDATA("Unique Billed Hours",'County allocation'!$A$3,"County",$D477,"HHA/CDPAP","CDPAP","Level of Service",$D482),0)</f>
        <v>0</v>
      </c>
      <c r="I482" s="678">
        <f t="shared" ca="1" si="296"/>
        <v>0</v>
      </c>
      <c r="J482" s="658">
        <f ca="1">+IFERROR(J$5*GETPIVOTDATA("Unique Billed Hours",'County allocation'!$S$3,"County",$D477,"HHA/CDPAP","CDPAP","Level of Service",$D482),0)</f>
        <v>0</v>
      </c>
      <c r="K482" s="658">
        <f ca="1">+IFERROR(K$5*GETPIVOTDATA("Unique Billed Hours",'County allocation'!$X$3,"County",$D477,"HHA/CDPAP","CDPAP","Level of Service",$D482),0)</f>
        <v>0</v>
      </c>
      <c r="L482" s="658">
        <f>+IFERROR(L$5*GETPIVOTDATA("Unique Billed Hours",'County allocation'!$K$19,"County",$D477,"HHA/CDPAP","CDPAP","Level of Service",$D482),0)</f>
        <v>0</v>
      </c>
      <c r="M482" s="658">
        <f>+IFERROR(M$5*GETPIVOTDATA("Unique Billed Hours",'County allocation'!$S$3,"County",$D477,"HHA/CDPAP","CDPAP","Level of Service",$D482),0)</f>
        <v>0</v>
      </c>
      <c r="N482" s="658">
        <f>+IFERROR(N$5*GETPIVOTDATA("Unique Billed Hours",'County allocation'!$S$3,"County",$D477,"HHA/CDPAP","CDPAP","Level of Service",$D482),0)</f>
        <v>0</v>
      </c>
      <c r="O482" s="658">
        <f>+IFERROR(O$5*GETPIVOTDATA("Unique Billed Hours",'County allocation'!$S$3,"County",$D477,"HHA/CDPAP","CDPAP","Level of Service",$D482),0)</f>
        <v>0</v>
      </c>
      <c r="P482" s="658">
        <f>+IFERROR(P$5*GETPIVOTDATA("Unique Billed Hours",'County allocation'!$S$3,"County",$D477,"HHA/CDPAP","CDPAP","Level of Service",$D482),0)</f>
        <v>0</v>
      </c>
    </row>
    <row r="483" spans="1:16" x14ac:dyDescent="0.25">
      <c r="B483" s="24"/>
      <c r="C483" s="9">
        <f t="shared" ca="1" si="294"/>
        <v>1</v>
      </c>
      <c r="D483" s="267" t="s">
        <v>44</v>
      </c>
      <c r="E483" s="48" t="s">
        <v>54</v>
      </c>
      <c r="F483" s="678">
        <f t="shared" ca="1" si="295"/>
        <v>20084.859176982485</v>
      </c>
      <c r="G483" s="658">
        <f ca="1">+IFERROR(G$5*GETPIVOTDATA("Unique Billed Hours",'County allocation'!$A$3,"County",$D477,"HHA/CDPAP","CDPAP","Level of Service",$D483),0)</f>
        <v>807.45457671228235</v>
      </c>
      <c r="H483" s="658">
        <f>+IFERROR(H$5*GETPIVOTDATA("Unique Billed Hours",'County allocation'!$A$3,"County",$D477,"HHA/CDPAP","CDPAP","Level of Service",$D483),0)</f>
        <v>695.20348275511992</v>
      </c>
      <c r="I483" s="678">
        <f t="shared" ca="1" si="296"/>
        <v>18582.201117515084</v>
      </c>
      <c r="J483" s="658">
        <f ca="1">+IFERROR(J$5*GETPIVOTDATA("Unique Billed Hours",'County allocation'!$S$3,"County",$D477,"HHA/CDPAP","CDPAP","Level of Service",$D483),0)</f>
        <v>3676.4365528447079</v>
      </c>
      <c r="K483" s="658">
        <f ca="1">+IFERROR(K$5*GETPIVOTDATA("Unique Billed Hours",'County allocation'!$X$3,"County",$D477,"HHA/CDPAP","CDPAP","Level of Service",$D483),0)</f>
        <v>14831.538674962814</v>
      </c>
      <c r="L483" s="658">
        <f>+IFERROR(L$5*GETPIVOTDATA("Unique Billed Hours",'County allocation'!$K$19,"County",$D477,"HHA/CDPAP","CDPAP","Level of Service",$D483),0)</f>
        <v>0</v>
      </c>
      <c r="M483" s="658">
        <f>+IFERROR(M$5*GETPIVOTDATA("Unique Billed Hours",'County allocation'!$S$3,"County",$D477,"HHA/CDPAP","CDPAP","Level of Service",$D483),0)</f>
        <v>68.489544333125025</v>
      </c>
      <c r="N483" s="658">
        <f>+IFERROR(N$5*GETPIVOTDATA("Unique Billed Hours",'County allocation'!$S$3,"County",$D477,"HHA/CDPAP","CDPAP","Level of Service",$D483),0)</f>
        <v>5.7363453744356887</v>
      </c>
      <c r="O483" s="658">
        <f>+IFERROR(O$5*GETPIVOTDATA("Unique Billed Hours",'County allocation'!$S$3,"County",$D477,"HHA/CDPAP","CDPAP","Level of Service",$D483),0)</f>
        <v>0</v>
      </c>
      <c r="P483" s="658">
        <f>+IFERROR(P$5*GETPIVOTDATA("Unique Billed Hours",'County allocation'!$S$3,"County",$D477,"HHA/CDPAP","CDPAP","Level of Service",$D483),0)</f>
        <v>0</v>
      </c>
    </row>
    <row r="484" spans="1:16" x14ac:dyDescent="0.25">
      <c r="B484" s="24"/>
      <c r="C484" s="9">
        <f t="shared" ca="1" si="294"/>
        <v>1</v>
      </c>
      <c r="D484" s="267" t="s">
        <v>45</v>
      </c>
      <c r="E484" s="48" t="s">
        <v>53</v>
      </c>
      <c r="F484" s="678">
        <f t="shared" ca="1" si="295"/>
        <v>0</v>
      </c>
      <c r="G484" s="658">
        <f ca="1">+IFERROR(G$5*GETPIVOTDATA("Unique Billed Hours",'County allocation'!$A$3,"County",$D477,"HHA/CDPAP","CDPAP","Level of Service",$D484),0)</f>
        <v>0</v>
      </c>
      <c r="H484" s="658">
        <f>+IFERROR(H$5*GETPIVOTDATA("Unique Billed Hours",'County allocation'!$A$3,"County",$D477,"HHA/CDPAP","CDPAP","Level of Service",$D484),0)</f>
        <v>0</v>
      </c>
      <c r="I484" s="678">
        <f t="shared" ca="1" si="296"/>
        <v>0</v>
      </c>
      <c r="J484" s="658">
        <f ca="1">+IFERROR(J$5*GETPIVOTDATA("Unique Billed Hours",'County allocation'!$S$3,"County",$D477,"HHA/CDPAP","CDPAP","Level of Service",$D484),0)</f>
        <v>0</v>
      </c>
      <c r="K484" s="658">
        <f ca="1">+IFERROR(K$5*GETPIVOTDATA("Unique Billed Hours",'County allocation'!$X$3,"County",$D477,"HHA/CDPAP","CDPAP","Level of Service",$D484),0)</f>
        <v>0</v>
      </c>
      <c r="L484" s="658">
        <f>+IFERROR(L$5*GETPIVOTDATA("Unique Billed Hours",'County allocation'!$K$19,"County",$D477,"HHA/CDPAP","CDPAP","Level of Service",$D484),0)</f>
        <v>0</v>
      </c>
      <c r="M484" s="658">
        <f>+IFERROR(M$5*GETPIVOTDATA("Unique Billed Hours",'County allocation'!$S$3,"County",$D477,"HHA/CDPAP","CDPAP","Level of Service",$D484),0)</f>
        <v>0</v>
      </c>
      <c r="N484" s="658">
        <f>+IFERROR(N$5*GETPIVOTDATA("Unique Billed Hours",'County allocation'!$S$3,"County",$D477,"HHA/CDPAP","CDPAP","Level of Service",$D484),0)</f>
        <v>0</v>
      </c>
      <c r="O484" s="658">
        <f>+IFERROR(O$5*GETPIVOTDATA("Unique Billed Hours",'County allocation'!$S$3,"County",$D477,"HHA/CDPAP","CDPAP","Level of Service",$D484),0)</f>
        <v>0</v>
      </c>
      <c r="P484" s="658">
        <f>+IFERROR(P$5*GETPIVOTDATA("Unique Billed Hours",'County allocation'!$S$3,"County",$D477,"HHA/CDPAP","CDPAP","Level of Service",$D484),0)</f>
        <v>0</v>
      </c>
    </row>
    <row r="485" spans="1:16" x14ac:dyDescent="0.25">
      <c r="A485" s="302"/>
      <c r="B485" s="24"/>
      <c r="C485" s="9">
        <f t="shared" ca="1" si="294"/>
        <v>1</v>
      </c>
      <c r="D485" s="267" t="s">
        <v>46</v>
      </c>
      <c r="E485" s="48" t="s">
        <v>52</v>
      </c>
      <c r="F485" s="678">
        <f t="shared" ca="1" si="295"/>
        <v>0</v>
      </c>
      <c r="G485" s="658">
        <f ca="1">+IFERROR(G$5*GETPIVOTDATA("Unique Billed Hours",'County allocation'!$A$3,"County",$D477,"HHA/CDPAP","CDPAP","Level of Service",$D485),0)</f>
        <v>0</v>
      </c>
      <c r="H485" s="658">
        <f>+IFERROR(H$5*GETPIVOTDATA("Unique Billed Hours",'County allocation'!$A$3,"County",$D477,"HHA/CDPAP","CDPAP","Level of Service",$D485),0)</f>
        <v>0</v>
      </c>
      <c r="I485" s="678">
        <f t="shared" ca="1" si="296"/>
        <v>0</v>
      </c>
      <c r="J485" s="658">
        <f ca="1">+IFERROR(J$5*GETPIVOTDATA("Unique Billed Hours",'County allocation'!$S$3,"County",$D477,"HHA/CDPAP","CDPAP","Level of Service",$D485),0)</f>
        <v>0</v>
      </c>
      <c r="K485" s="658">
        <f ca="1">+IFERROR(K$5*GETPIVOTDATA("Unique Billed Hours",'County allocation'!$X$3,"County",$D477,"HHA/CDPAP","CDPAP","Level of Service",$D485),0)</f>
        <v>0</v>
      </c>
      <c r="L485" s="658">
        <f>+IFERROR(L$5*GETPIVOTDATA("Unique Billed Hours",'County allocation'!$K$19,"County",$D477,"HHA/CDPAP","CDPAP","Level of Service",$D485),0)</f>
        <v>0</v>
      </c>
      <c r="M485" s="658">
        <f>+IFERROR(M$5*GETPIVOTDATA("Unique Billed Hours",'County allocation'!$S$3,"County",$D477,"HHA/CDPAP","CDPAP","Level of Service",$D485),0)</f>
        <v>0</v>
      </c>
      <c r="N485" s="658">
        <f>+IFERROR(N$5*GETPIVOTDATA("Unique Billed Hours",'County allocation'!$S$3,"County",$D477,"HHA/CDPAP","CDPAP","Level of Service",$D485),0)</f>
        <v>0</v>
      </c>
      <c r="O485" s="658">
        <f>+IFERROR(O$5*GETPIVOTDATA("Unique Billed Hours",'County allocation'!$S$3,"County",$D477,"HHA/CDPAP","CDPAP","Level of Service",$D485),0)</f>
        <v>0</v>
      </c>
      <c r="P485" s="658">
        <f>+IFERROR(P$5*GETPIVOTDATA("Unique Billed Hours",'County allocation'!$S$3,"County",$D477,"HHA/CDPAP","CDPAP","Level of Service",$D485),0)</f>
        <v>0</v>
      </c>
    </row>
    <row r="486" spans="1:16" ht="15.75" thickBot="1" x14ac:dyDescent="0.3">
      <c r="A486" s="302"/>
      <c r="B486" s="24"/>
      <c r="C486" s="9">
        <f t="shared" ca="1" si="294"/>
        <v>1</v>
      </c>
      <c r="D486" s="52" t="s">
        <v>389</v>
      </c>
      <c r="E486" s="370" t="s">
        <v>51</v>
      </c>
      <c r="F486" s="679">
        <f ca="1">SUM(F480:F485)</f>
        <v>1059783.7428997594</v>
      </c>
      <c r="G486" s="679">
        <f t="shared" ref="G486:H486" ca="1" si="297">SUM(G480:G485)</f>
        <v>42605.587920196042</v>
      </c>
      <c r="H486" s="679">
        <f t="shared" si="297"/>
        <v>36682.624584966579</v>
      </c>
      <c r="I486" s="678">
        <f t="shared" ca="1" si="296"/>
        <v>980495.53039459686</v>
      </c>
      <c r="J486" s="679">
        <f ca="1">SUM(J480:J485)</f>
        <v>193988.30015061208</v>
      </c>
      <c r="K486" s="679">
        <f t="shared" ref="K486:P486" ca="1" si="298">SUM(K480:K485)</f>
        <v>782590.67845135415</v>
      </c>
      <c r="L486" s="679">
        <f t="shared" si="298"/>
        <v>0</v>
      </c>
      <c r="M486" s="679">
        <f t="shared" si="298"/>
        <v>3613.8717729243822</v>
      </c>
      <c r="N486" s="679">
        <f t="shared" si="298"/>
        <v>302.68001970619332</v>
      </c>
      <c r="O486" s="679">
        <f t="shared" si="298"/>
        <v>0</v>
      </c>
      <c r="P486" s="679">
        <f t="shared" si="298"/>
        <v>0</v>
      </c>
    </row>
    <row r="487" spans="1:16" x14ac:dyDescent="0.25">
      <c r="A487" s="302"/>
      <c r="B487" s="24"/>
      <c r="C487" s="9">
        <f t="shared" ca="1" si="294"/>
        <v>1</v>
      </c>
      <c r="D487" s="378" t="s">
        <v>390</v>
      </c>
      <c r="E487" s="370" t="s">
        <v>50</v>
      </c>
      <c r="F487" s="678">
        <f t="shared" ref="F487" ca="1" si="299">SUM(G487:I487)</f>
        <v>0</v>
      </c>
      <c r="G487" s="658">
        <f ca="1">+IFERROR(G$5*GETPIVOTDATA("Unique Billed Hours",'County allocation'!$A$3,"County",$D477,"HHA/CDPAP","CDPAP","Level of Service",$D487),0)</f>
        <v>0</v>
      </c>
      <c r="H487" s="659"/>
      <c r="I487" s="678">
        <f t="shared" si="296"/>
        <v>0</v>
      </c>
      <c r="J487" s="659"/>
      <c r="K487" s="659"/>
      <c r="L487" s="659"/>
      <c r="M487" s="659"/>
      <c r="N487" s="659"/>
      <c r="O487" s="659"/>
      <c r="P487" s="659"/>
    </row>
    <row r="488" spans="1:16" ht="15.75" thickBot="1" x14ac:dyDescent="0.3">
      <c r="B488" s="24"/>
      <c r="C488" s="9">
        <f t="shared" ca="1" si="294"/>
        <v>1</v>
      </c>
      <c r="D488" s="11" t="s">
        <v>48</v>
      </c>
      <c r="E488" s="53" t="s">
        <v>49</v>
      </c>
      <c r="F488" s="662">
        <f ca="1">SUBTOTAL(9,F480:F485)</f>
        <v>1059783.7428997594</v>
      </c>
      <c r="G488" s="662">
        <f t="shared" ref="G488:H488" ca="1" si="300">SUBTOTAL(9,G480:G485)</f>
        <v>42605.587920196042</v>
      </c>
      <c r="H488" s="662">
        <f t="shared" si="300"/>
        <v>36682.624584966579</v>
      </c>
      <c r="I488" s="678">
        <f t="shared" ca="1" si="296"/>
        <v>980495.53039459686</v>
      </c>
      <c r="J488" s="662">
        <f t="shared" ref="J488:P488" ca="1" si="301">SUBTOTAL(9,J480:J485)</f>
        <v>193988.30015061208</v>
      </c>
      <c r="K488" s="662">
        <f t="shared" ca="1" si="301"/>
        <v>782590.67845135415</v>
      </c>
      <c r="L488" s="662">
        <f t="shared" si="301"/>
        <v>0</v>
      </c>
      <c r="M488" s="662">
        <f t="shared" si="301"/>
        <v>3613.8717729243822</v>
      </c>
      <c r="N488" s="662">
        <f t="shared" si="301"/>
        <v>302.68001970619332</v>
      </c>
      <c r="O488" s="662">
        <f t="shared" si="301"/>
        <v>0</v>
      </c>
      <c r="P488" s="662">
        <f t="shared" si="301"/>
        <v>0</v>
      </c>
    </row>
    <row r="489" spans="1:16" ht="15.75" hidden="1" thickBot="1" x14ac:dyDescent="0.3"/>
    <row r="490" spans="1:16" ht="75" x14ac:dyDescent="0.25">
      <c r="A490" s="60"/>
      <c r="B490" s="24"/>
      <c r="C490" s="9">
        <f ca="1">IF(F501&gt;0,1,0)</f>
        <v>1</v>
      </c>
      <c r="D490" s="45" t="str">
        <f>A40</f>
        <v>Orleans</v>
      </c>
      <c r="E490" s="28">
        <f>SUMIF(A:A,D490,B:B)</f>
        <v>1.1805826190968058E-3</v>
      </c>
      <c r="F490" s="652" t="s">
        <v>396</v>
      </c>
      <c r="G490" s="652" t="s">
        <v>387</v>
      </c>
      <c r="H490" s="652" t="s">
        <v>388</v>
      </c>
      <c r="I490" s="652" t="s">
        <v>392</v>
      </c>
      <c r="J490" s="652" t="s">
        <v>31</v>
      </c>
      <c r="K490" s="652" t="s">
        <v>32</v>
      </c>
      <c r="L490" s="653" t="s">
        <v>33</v>
      </c>
      <c r="M490" s="653" t="s">
        <v>60</v>
      </c>
      <c r="N490" s="653" t="s">
        <v>59</v>
      </c>
      <c r="O490" s="653" t="s">
        <v>58</v>
      </c>
      <c r="P490" s="653" t="s">
        <v>16</v>
      </c>
    </row>
    <row r="491" spans="1:16" x14ac:dyDescent="0.25">
      <c r="A491" s="60"/>
      <c r="B491" s="24"/>
      <c r="C491" s="9">
        <f ca="1">C490</f>
        <v>1</v>
      </c>
      <c r="D491" s="47"/>
      <c r="E491" s="48"/>
      <c r="F491" s="669" t="s">
        <v>57</v>
      </c>
      <c r="G491" s="669" t="s">
        <v>56</v>
      </c>
      <c r="H491" s="669" t="s">
        <v>55</v>
      </c>
      <c r="I491" s="669" t="s">
        <v>54</v>
      </c>
      <c r="J491" s="669" t="s">
        <v>53</v>
      </c>
      <c r="K491" s="669" t="s">
        <v>52</v>
      </c>
      <c r="L491" s="669" t="s">
        <v>51</v>
      </c>
      <c r="M491" s="669" t="s">
        <v>50</v>
      </c>
      <c r="N491" s="669" t="s">
        <v>49</v>
      </c>
      <c r="O491" s="669" t="s">
        <v>47</v>
      </c>
      <c r="P491" s="670" t="s">
        <v>77</v>
      </c>
    </row>
    <row r="492" spans="1:16" x14ac:dyDescent="0.25">
      <c r="B492" s="24"/>
      <c r="C492" s="9">
        <f t="shared" ref="C492:C501" ca="1" si="302">C491</f>
        <v>1</v>
      </c>
      <c r="D492" s="51" t="s">
        <v>26</v>
      </c>
      <c r="E492" s="48"/>
      <c r="F492" s="674"/>
      <c r="G492" s="674"/>
      <c r="H492" s="674"/>
      <c r="I492" s="674"/>
      <c r="J492" s="674"/>
      <c r="K492" s="674"/>
      <c r="L492" s="675"/>
      <c r="M492" s="675"/>
      <c r="N492" s="676"/>
      <c r="O492" s="674"/>
      <c r="P492" s="677"/>
    </row>
    <row r="493" spans="1:16" x14ac:dyDescent="0.25">
      <c r="B493" s="24"/>
      <c r="C493" s="9">
        <f t="shared" ca="1" si="302"/>
        <v>1</v>
      </c>
      <c r="D493" s="267" t="s">
        <v>18</v>
      </c>
      <c r="E493" s="48" t="s">
        <v>57</v>
      </c>
      <c r="F493" s="678">
        <f ca="1">SUM(G493:I493)</f>
        <v>101770.30271889112</v>
      </c>
      <c r="G493" s="658">
        <f ca="1">+IFERROR(G$5*GETPIVOTDATA("Unique Billed Hours",'County allocation'!$A$3,"County",$D490,"HHA/CDPAP","CDPAP","Level of Service",$D493),0)</f>
        <v>4091.3852559114075</v>
      </c>
      <c r="H493" s="658">
        <f>+IFERROR(H$5*GETPIVOTDATA("Unique Billed Hours",'County allocation'!$A$3,"County",$D490,"HHA/CDPAP","CDPAP","Level of Service",$D493),0)</f>
        <v>3522.6071673082788</v>
      </c>
      <c r="I493" s="678">
        <f ca="1">SUM(J493:P493)</f>
        <v>94156.310295671428</v>
      </c>
      <c r="J493" s="658">
        <f ca="1">+IFERROR(J$5*GETPIVOTDATA("Unique Billed Hours",'County allocation'!$S$3,"County",$D490,"HHA/CDPAP","CDPAP","Level of Service",$D493),0)</f>
        <v>18628.562820026425</v>
      </c>
      <c r="K493" s="658">
        <f ca="1">+IFERROR(K$5*GETPIVOTDATA("Unique Billed Hours",'County allocation'!$X$3,"County",$D490,"HHA/CDPAP","CDPAP","Level of Service",$D493),0)</f>
        <v>75151.643705210096</v>
      </c>
      <c r="L493" s="658">
        <f>+IFERROR(L$5*GETPIVOTDATA("Unique Billed Hours",'County allocation'!$K$19,"County",$D490,"HHA/CDPAP","CDPAP","Level of Service",$D493),0)</f>
        <v>0</v>
      </c>
      <c r="M493" s="658">
        <f>+IFERROR(M$5*GETPIVOTDATA("Unique Billed Hours",'County allocation'!$S$3,"County",$D490,"HHA/CDPAP","CDPAP","Level of Service",$D493),0)</f>
        <v>347.03761666643851</v>
      </c>
      <c r="N493" s="658">
        <f>+IFERROR(N$5*GETPIVOTDATA("Unique Billed Hours",'County allocation'!$S$3,"County",$D490,"HHA/CDPAP","CDPAP","Level of Service",$D493),0)</f>
        <v>29.066153768479566</v>
      </c>
      <c r="O493" s="658">
        <f>+IFERROR(O$5*GETPIVOTDATA("Unique Billed Hours",'County allocation'!$S$3,"County",$D490,"HHA/CDPAP","CDPAP","Level of Service",$D493),0)</f>
        <v>0</v>
      </c>
      <c r="P493" s="658">
        <f>+IFERROR(P$5*GETPIVOTDATA("Unique Billed Hours",'County allocation'!$S$3,"County",$D490,"HHA/CDPAP","CDPAP","Level of Service",$D493),0)</f>
        <v>0</v>
      </c>
    </row>
    <row r="494" spans="1:16" x14ac:dyDescent="0.25">
      <c r="B494" s="24"/>
      <c r="C494" s="9">
        <f t="shared" ca="1" si="302"/>
        <v>1</v>
      </c>
      <c r="D494" s="267" t="s">
        <v>42</v>
      </c>
      <c r="E494" s="48" t="s">
        <v>56</v>
      </c>
      <c r="F494" s="678">
        <f t="shared" ref="F494:F498" ca="1" si="303">SUM(G494:I494)</f>
        <v>0</v>
      </c>
      <c r="G494" s="658">
        <f ca="1">+IFERROR(G$5*GETPIVOTDATA("Unique Billed Hours",'County allocation'!$A$3,"County",$D490,"HHA/CDPAP","CDPAP","Level of Service",$D494),0)</f>
        <v>0</v>
      </c>
      <c r="H494" s="658">
        <f>+IFERROR(H$5*GETPIVOTDATA("Unique Billed Hours",'County allocation'!$A$3,"County",$D490,"HHA/CDPAP","CDPAP","Level of Service",$D494),0)</f>
        <v>0</v>
      </c>
      <c r="I494" s="678">
        <f t="shared" ref="I494:I501" ca="1" si="304">SUM(J494:P494)</f>
        <v>0</v>
      </c>
      <c r="J494" s="658">
        <f ca="1">+IFERROR(J$5*GETPIVOTDATA("Unique Billed Hours",'County allocation'!$S$3,"County",$D490,"HHA/CDPAP","CDPAP","Level of Service",$D494),0)</f>
        <v>0</v>
      </c>
      <c r="K494" s="658">
        <f ca="1">+IFERROR(K$5*GETPIVOTDATA("Unique Billed Hours",'County allocation'!$X$3,"County",$D490,"HHA/CDPAP","CDPAP","Level of Service",$D494),0)</f>
        <v>0</v>
      </c>
      <c r="L494" s="658">
        <f>+IFERROR(L$5*GETPIVOTDATA("Unique Billed Hours",'County allocation'!$K$19,"County",$D490,"HHA/CDPAP","CDPAP","Level of Service",$D494),0)</f>
        <v>0</v>
      </c>
      <c r="M494" s="658">
        <f>+IFERROR(M$5*GETPIVOTDATA("Unique Billed Hours",'County allocation'!$S$3,"County",$D490,"HHA/CDPAP","CDPAP","Level of Service",$D494),0)</f>
        <v>0</v>
      </c>
      <c r="N494" s="658">
        <f>+IFERROR(N$5*GETPIVOTDATA("Unique Billed Hours",'County allocation'!$S$3,"County",$D490,"HHA/CDPAP","CDPAP","Level of Service",$D494),0)</f>
        <v>0</v>
      </c>
      <c r="O494" s="658">
        <f>+IFERROR(O$5*GETPIVOTDATA("Unique Billed Hours",'County allocation'!$S$3,"County",$D490,"HHA/CDPAP","CDPAP","Level of Service",$D494),0)</f>
        <v>0</v>
      </c>
      <c r="P494" s="658">
        <f>+IFERROR(P$5*GETPIVOTDATA("Unique Billed Hours",'County allocation'!$S$3,"County",$D490,"HHA/CDPAP","CDPAP","Level of Service",$D494),0)</f>
        <v>0</v>
      </c>
    </row>
    <row r="495" spans="1:16" x14ac:dyDescent="0.25">
      <c r="B495" s="24"/>
      <c r="C495" s="9">
        <f t="shared" ca="1" si="302"/>
        <v>1</v>
      </c>
      <c r="D495" s="267" t="s">
        <v>43</v>
      </c>
      <c r="E495" s="48" t="s">
        <v>55</v>
      </c>
      <c r="F495" s="678">
        <f t="shared" ca="1" si="303"/>
        <v>0</v>
      </c>
      <c r="G495" s="658">
        <f ca="1">+IFERROR(G$5*GETPIVOTDATA("Unique Billed Hours",'County allocation'!$A$3,"County",$D490,"HHA/CDPAP","CDPAP","Level of Service",$D495),0)</f>
        <v>0</v>
      </c>
      <c r="H495" s="658">
        <f>+IFERROR(H$5*GETPIVOTDATA("Unique Billed Hours",'County allocation'!$A$3,"County",$D490,"HHA/CDPAP","CDPAP","Level of Service",$D495),0)</f>
        <v>0</v>
      </c>
      <c r="I495" s="678">
        <f t="shared" ca="1" si="304"/>
        <v>0</v>
      </c>
      <c r="J495" s="658">
        <f ca="1">+IFERROR(J$5*GETPIVOTDATA("Unique Billed Hours",'County allocation'!$S$3,"County",$D490,"HHA/CDPAP","CDPAP","Level of Service",$D495),0)</f>
        <v>0</v>
      </c>
      <c r="K495" s="658">
        <f ca="1">+IFERROR(K$5*GETPIVOTDATA("Unique Billed Hours",'County allocation'!$X$3,"County",$D490,"HHA/CDPAP","CDPAP","Level of Service",$D495),0)</f>
        <v>0</v>
      </c>
      <c r="L495" s="658">
        <f>+IFERROR(L$5*GETPIVOTDATA("Unique Billed Hours",'County allocation'!$K$19,"County",$D490,"HHA/CDPAP","CDPAP","Level of Service",$D495),0)</f>
        <v>0</v>
      </c>
      <c r="M495" s="658">
        <f>+IFERROR(M$5*GETPIVOTDATA("Unique Billed Hours",'County allocation'!$S$3,"County",$D490,"HHA/CDPAP","CDPAP","Level of Service",$D495),0)</f>
        <v>0</v>
      </c>
      <c r="N495" s="658">
        <f>+IFERROR(N$5*GETPIVOTDATA("Unique Billed Hours",'County allocation'!$S$3,"County",$D490,"HHA/CDPAP","CDPAP","Level of Service",$D495),0)</f>
        <v>0</v>
      </c>
      <c r="O495" s="658">
        <f>+IFERROR(O$5*GETPIVOTDATA("Unique Billed Hours",'County allocation'!$S$3,"County",$D490,"HHA/CDPAP","CDPAP","Level of Service",$D495),0)</f>
        <v>0</v>
      </c>
      <c r="P495" s="658">
        <f>+IFERROR(P$5*GETPIVOTDATA("Unique Billed Hours",'County allocation'!$S$3,"County",$D490,"HHA/CDPAP","CDPAP","Level of Service",$D495),0)</f>
        <v>0</v>
      </c>
    </row>
    <row r="496" spans="1:16" x14ac:dyDescent="0.25">
      <c r="B496" s="24"/>
      <c r="C496" s="9">
        <f t="shared" ca="1" si="302"/>
        <v>1</v>
      </c>
      <c r="D496" s="267" t="s">
        <v>44</v>
      </c>
      <c r="E496" s="48" t="s">
        <v>54</v>
      </c>
      <c r="F496" s="678">
        <f t="shared" ca="1" si="303"/>
        <v>0</v>
      </c>
      <c r="G496" s="658">
        <f ca="1">+IFERROR(G$5*GETPIVOTDATA("Unique Billed Hours",'County allocation'!$A$3,"County",$D490,"HHA/CDPAP","CDPAP","Level of Service",$D496),0)</f>
        <v>0</v>
      </c>
      <c r="H496" s="658">
        <f>+IFERROR(H$5*GETPIVOTDATA("Unique Billed Hours",'County allocation'!$A$3,"County",$D490,"HHA/CDPAP","CDPAP","Level of Service",$D496),0)</f>
        <v>0</v>
      </c>
      <c r="I496" s="678">
        <f t="shared" ca="1" si="304"/>
        <v>0</v>
      </c>
      <c r="J496" s="658">
        <f ca="1">+IFERROR(J$5*GETPIVOTDATA("Unique Billed Hours",'County allocation'!$S$3,"County",$D490,"HHA/CDPAP","CDPAP","Level of Service",$D496),0)</f>
        <v>0</v>
      </c>
      <c r="K496" s="658">
        <f ca="1">+IFERROR(K$5*GETPIVOTDATA("Unique Billed Hours",'County allocation'!$X$3,"County",$D490,"HHA/CDPAP","CDPAP","Level of Service",$D496),0)</f>
        <v>0</v>
      </c>
      <c r="L496" s="658">
        <f>+IFERROR(L$5*GETPIVOTDATA("Unique Billed Hours",'County allocation'!$K$19,"County",$D490,"HHA/CDPAP","CDPAP","Level of Service",$D496),0)</f>
        <v>0</v>
      </c>
      <c r="M496" s="658">
        <f>+IFERROR(M$5*GETPIVOTDATA("Unique Billed Hours",'County allocation'!$S$3,"County",$D490,"HHA/CDPAP","CDPAP","Level of Service",$D496),0)</f>
        <v>0</v>
      </c>
      <c r="N496" s="658">
        <f>+IFERROR(N$5*GETPIVOTDATA("Unique Billed Hours",'County allocation'!$S$3,"County",$D490,"HHA/CDPAP","CDPAP","Level of Service",$D496),0)</f>
        <v>0</v>
      </c>
      <c r="O496" s="658">
        <f>+IFERROR(O$5*GETPIVOTDATA("Unique Billed Hours",'County allocation'!$S$3,"County",$D490,"HHA/CDPAP","CDPAP","Level of Service",$D496),0)</f>
        <v>0</v>
      </c>
      <c r="P496" s="658">
        <f>+IFERROR(P$5*GETPIVOTDATA("Unique Billed Hours",'County allocation'!$S$3,"County",$D490,"HHA/CDPAP","CDPAP","Level of Service",$D496),0)</f>
        <v>0</v>
      </c>
    </row>
    <row r="497" spans="1:16" x14ac:dyDescent="0.25">
      <c r="B497" s="24"/>
      <c r="C497" s="9">
        <f t="shared" ca="1" si="302"/>
        <v>1</v>
      </c>
      <c r="D497" s="267" t="s">
        <v>45</v>
      </c>
      <c r="E497" s="48" t="s">
        <v>53</v>
      </c>
      <c r="F497" s="678">
        <f t="shared" ca="1" si="303"/>
        <v>0</v>
      </c>
      <c r="G497" s="658">
        <f ca="1">+IFERROR(G$5*GETPIVOTDATA("Unique Billed Hours",'County allocation'!$A$3,"County",$D490,"HHA/CDPAP","CDPAP","Level of Service",$D497),0)</f>
        <v>0</v>
      </c>
      <c r="H497" s="658">
        <f>+IFERROR(H$5*GETPIVOTDATA("Unique Billed Hours",'County allocation'!$A$3,"County",$D490,"HHA/CDPAP","CDPAP","Level of Service",$D497),0)</f>
        <v>0</v>
      </c>
      <c r="I497" s="678">
        <f t="shared" ca="1" si="304"/>
        <v>0</v>
      </c>
      <c r="J497" s="658">
        <f ca="1">+IFERROR(J$5*GETPIVOTDATA("Unique Billed Hours",'County allocation'!$S$3,"County",$D490,"HHA/CDPAP","CDPAP","Level of Service",$D497),0)</f>
        <v>0</v>
      </c>
      <c r="K497" s="658">
        <f ca="1">+IFERROR(K$5*GETPIVOTDATA("Unique Billed Hours",'County allocation'!$X$3,"County",$D490,"HHA/CDPAP","CDPAP","Level of Service",$D497),0)</f>
        <v>0</v>
      </c>
      <c r="L497" s="658">
        <f>+IFERROR(L$5*GETPIVOTDATA("Unique Billed Hours",'County allocation'!$K$19,"County",$D490,"HHA/CDPAP","CDPAP","Level of Service",$D497),0)</f>
        <v>0</v>
      </c>
      <c r="M497" s="658">
        <f>+IFERROR(M$5*GETPIVOTDATA("Unique Billed Hours",'County allocation'!$S$3,"County",$D490,"HHA/CDPAP","CDPAP","Level of Service",$D497),0)</f>
        <v>0</v>
      </c>
      <c r="N497" s="658">
        <f>+IFERROR(N$5*GETPIVOTDATA("Unique Billed Hours",'County allocation'!$S$3,"County",$D490,"HHA/CDPAP","CDPAP","Level of Service",$D497),0)</f>
        <v>0</v>
      </c>
      <c r="O497" s="658">
        <f>+IFERROR(O$5*GETPIVOTDATA("Unique Billed Hours",'County allocation'!$S$3,"County",$D490,"HHA/CDPAP","CDPAP","Level of Service",$D497),0)</f>
        <v>0</v>
      </c>
      <c r="P497" s="658">
        <f>+IFERROR(P$5*GETPIVOTDATA("Unique Billed Hours",'County allocation'!$S$3,"County",$D490,"HHA/CDPAP","CDPAP","Level of Service",$D497),0)</f>
        <v>0</v>
      </c>
    </row>
    <row r="498" spans="1:16" x14ac:dyDescent="0.25">
      <c r="A498" s="302"/>
      <c r="B498" s="24"/>
      <c r="C498" s="9">
        <f t="shared" ca="1" si="302"/>
        <v>1</v>
      </c>
      <c r="D498" s="267" t="s">
        <v>46</v>
      </c>
      <c r="E498" s="48" t="s">
        <v>52</v>
      </c>
      <c r="F498" s="678">
        <f t="shared" ca="1" si="303"/>
        <v>0</v>
      </c>
      <c r="G498" s="658">
        <f ca="1">+IFERROR(G$5*GETPIVOTDATA("Unique Billed Hours",'County allocation'!$A$3,"County",$D490,"HHA/CDPAP","CDPAP","Level of Service",$D498),0)</f>
        <v>0</v>
      </c>
      <c r="H498" s="658">
        <f>+IFERROR(H$5*GETPIVOTDATA("Unique Billed Hours",'County allocation'!$A$3,"County",$D490,"HHA/CDPAP","CDPAP","Level of Service",$D498),0)</f>
        <v>0</v>
      </c>
      <c r="I498" s="678">
        <f t="shared" ca="1" si="304"/>
        <v>0</v>
      </c>
      <c r="J498" s="658">
        <f ca="1">+IFERROR(J$5*GETPIVOTDATA("Unique Billed Hours",'County allocation'!$S$3,"County",$D490,"HHA/CDPAP","CDPAP","Level of Service",$D498),0)</f>
        <v>0</v>
      </c>
      <c r="K498" s="658">
        <f ca="1">+IFERROR(K$5*GETPIVOTDATA("Unique Billed Hours",'County allocation'!$X$3,"County",$D490,"HHA/CDPAP","CDPAP","Level of Service",$D498),0)</f>
        <v>0</v>
      </c>
      <c r="L498" s="658">
        <f>+IFERROR(L$5*GETPIVOTDATA("Unique Billed Hours",'County allocation'!$K$19,"County",$D490,"HHA/CDPAP","CDPAP","Level of Service",$D498),0)</f>
        <v>0</v>
      </c>
      <c r="M498" s="658">
        <f>+IFERROR(M$5*GETPIVOTDATA("Unique Billed Hours",'County allocation'!$S$3,"County",$D490,"HHA/CDPAP","CDPAP","Level of Service",$D498),0)</f>
        <v>0</v>
      </c>
      <c r="N498" s="658">
        <f>+IFERROR(N$5*GETPIVOTDATA("Unique Billed Hours",'County allocation'!$S$3,"County",$D490,"HHA/CDPAP","CDPAP","Level of Service",$D498),0)</f>
        <v>0</v>
      </c>
      <c r="O498" s="658">
        <f>+IFERROR(O$5*GETPIVOTDATA("Unique Billed Hours",'County allocation'!$S$3,"County",$D490,"HHA/CDPAP","CDPAP","Level of Service",$D498),0)</f>
        <v>0</v>
      </c>
      <c r="P498" s="658">
        <f>+IFERROR(P$5*GETPIVOTDATA("Unique Billed Hours",'County allocation'!$S$3,"County",$D490,"HHA/CDPAP","CDPAP","Level of Service",$D498),0)</f>
        <v>0</v>
      </c>
    </row>
    <row r="499" spans="1:16" ht="15.75" thickBot="1" x14ac:dyDescent="0.3">
      <c r="A499" s="302"/>
      <c r="B499" s="24"/>
      <c r="C499" s="9">
        <f t="shared" ca="1" si="302"/>
        <v>1</v>
      </c>
      <c r="D499" s="52" t="s">
        <v>389</v>
      </c>
      <c r="E499" s="370" t="s">
        <v>51</v>
      </c>
      <c r="F499" s="679">
        <f ca="1">SUM(F493:F498)</f>
        <v>101770.30271889112</v>
      </c>
      <c r="G499" s="679">
        <f t="shared" ref="G499:H499" ca="1" si="305">SUM(G493:G498)</f>
        <v>4091.3852559114075</v>
      </c>
      <c r="H499" s="679">
        <f t="shared" si="305"/>
        <v>3522.6071673082788</v>
      </c>
      <c r="I499" s="678">
        <f t="shared" ca="1" si="304"/>
        <v>94156.310295671428</v>
      </c>
      <c r="J499" s="679">
        <f ca="1">SUM(J493:J498)</f>
        <v>18628.562820026425</v>
      </c>
      <c r="K499" s="679">
        <f t="shared" ref="K499:P499" ca="1" si="306">SUM(K493:K498)</f>
        <v>75151.643705210096</v>
      </c>
      <c r="L499" s="679">
        <f t="shared" si="306"/>
        <v>0</v>
      </c>
      <c r="M499" s="679">
        <f t="shared" si="306"/>
        <v>347.03761666643851</v>
      </c>
      <c r="N499" s="679">
        <f t="shared" si="306"/>
        <v>29.066153768479566</v>
      </c>
      <c r="O499" s="679">
        <f t="shared" si="306"/>
        <v>0</v>
      </c>
      <c r="P499" s="679">
        <f t="shared" si="306"/>
        <v>0</v>
      </c>
    </row>
    <row r="500" spans="1:16" x14ac:dyDescent="0.25">
      <c r="A500" s="302"/>
      <c r="B500" s="24"/>
      <c r="C500" s="9">
        <f t="shared" ca="1" si="302"/>
        <v>1</v>
      </c>
      <c r="D500" s="378" t="s">
        <v>390</v>
      </c>
      <c r="E500" s="370" t="s">
        <v>50</v>
      </c>
      <c r="F500" s="678">
        <f t="shared" ref="F500" ca="1" si="307">SUM(G500:I500)</f>
        <v>0</v>
      </c>
      <c r="G500" s="658">
        <f ca="1">+IFERROR(G$5*GETPIVOTDATA("Unique Billed Hours",'County allocation'!$A$3,"County",$D490,"HHA/CDPAP","CDPAP","Level of Service",$D500),0)</f>
        <v>0</v>
      </c>
      <c r="H500" s="659"/>
      <c r="I500" s="678">
        <f t="shared" si="304"/>
        <v>0</v>
      </c>
      <c r="J500" s="659"/>
      <c r="K500" s="659"/>
      <c r="L500" s="659"/>
      <c r="M500" s="659"/>
      <c r="N500" s="659"/>
      <c r="O500" s="659"/>
      <c r="P500" s="659"/>
    </row>
    <row r="501" spans="1:16" ht="15.75" thickBot="1" x14ac:dyDescent="0.3">
      <c r="B501" s="24"/>
      <c r="C501" s="9">
        <f t="shared" ca="1" si="302"/>
        <v>1</v>
      </c>
      <c r="D501" s="11" t="s">
        <v>48</v>
      </c>
      <c r="E501" s="53" t="s">
        <v>49</v>
      </c>
      <c r="F501" s="662">
        <f ca="1">SUBTOTAL(9,F493:F498)</f>
        <v>101770.30271889112</v>
      </c>
      <c r="G501" s="662">
        <f t="shared" ref="G501:H501" ca="1" si="308">SUBTOTAL(9,G493:G498)</f>
        <v>4091.3852559114075</v>
      </c>
      <c r="H501" s="662">
        <f t="shared" si="308"/>
        <v>3522.6071673082788</v>
      </c>
      <c r="I501" s="678">
        <f t="shared" ca="1" si="304"/>
        <v>94156.310295671428</v>
      </c>
      <c r="J501" s="662">
        <f t="shared" ref="J501:P501" ca="1" si="309">SUBTOTAL(9,J493:J498)</f>
        <v>18628.562820026425</v>
      </c>
      <c r="K501" s="662">
        <f t="shared" ca="1" si="309"/>
        <v>75151.643705210096</v>
      </c>
      <c r="L501" s="662">
        <f t="shared" si="309"/>
        <v>0</v>
      </c>
      <c r="M501" s="662">
        <f t="shared" si="309"/>
        <v>347.03761666643851</v>
      </c>
      <c r="N501" s="662">
        <f t="shared" si="309"/>
        <v>29.066153768479566</v>
      </c>
      <c r="O501" s="662">
        <f t="shared" si="309"/>
        <v>0</v>
      </c>
      <c r="P501" s="662">
        <f t="shared" si="309"/>
        <v>0</v>
      </c>
    </row>
    <row r="502" spans="1:16" ht="15.75" hidden="1" thickBot="1" x14ac:dyDescent="0.3"/>
    <row r="503" spans="1:16" ht="75" x14ac:dyDescent="0.25">
      <c r="A503" s="60"/>
      <c r="B503" s="24"/>
      <c r="C503" s="9">
        <f ca="1">IF(F514&gt;0,1,0)</f>
        <v>1</v>
      </c>
      <c r="D503" s="45" t="str">
        <f>A41</f>
        <v>Oswego</v>
      </c>
      <c r="E503" s="28">
        <f>SUMIF(A:A,D503,B:B)</f>
        <v>3.9130855242887541E-3</v>
      </c>
      <c r="F503" s="652" t="s">
        <v>396</v>
      </c>
      <c r="G503" s="652" t="s">
        <v>387</v>
      </c>
      <c r="H503" s="652" t="s">
        <v>388</v>
      </c>
      <c r="I503" s="652" t="s">
        <v>392</v>
      </c>
      <c r="J503" s="652" t="s">
        <v>31</v>
      </c>
      <c r="K503" s="652" t="s">
        <v>32</v>
      </c>
      <c r="L503" s="653" t="s">
        <v>33</v>
      </c>
      <c r="M503" s="653" t="s">
        <v>60</v>
      </c>
      <c r="N503" s="653" t="s">
        <v>59</v>
      </c>
      <c r="O503" s="653" t="s">
        <v>58</v>
      </c>
      <c r="P503" s="653" t="s">
        <v>16</v>
      </c>
    </row>
    <row r="504" spans="1:16" x14ac:dyDescent="0.25">
      <c r="A504" s="60"/>
      <c r="B504" s="24"/>
      <c r="C504" s="9">
        <f ca="1">C503</f>
        <v>1</v>
      </c>
      <c r="D504" s="47"/>
      <c r="E504" s="48"/>
      <c r="F504" s="669" t="s">
        <v>57</v>
      </c>
      <c r="G504" s="669" t="s">
        <v>56</v>
      </c>
      <c r="H504" s="669" t="s">
        <v>55</v>
      </c>
      <c r="I504" s="669" t="s">
        <v>54</v>
      </c>
      <c r="J504" s="669" t="s">
        <v>53</v>
      </c>
      <c r="K504" s="669" t="s">
        <v>52</v>
      </c>
      <c r="L504" s="669" t="s">
        <v>51</v>
      </c>
      <c r="M504" s="669" t="s">
        <v>50</v>
      </c>
      <c r="N504" s="669" t="s">
        <v>49</v>
      </c>
      <c r="O504" s="669" t="s">
        <v>47</v>
      </c>
      <c r="P504" s="670" t="s">
        <v>77</v>
      </c>
    </row>
    <row r="505" spans="1:16" x14ac:dyDescent="0.25">
      <c r="B505" s="24"/>
      <c r="C505" s="9">
        <f t="shared" ref="C505:C514" ca="1" si="310">C504</f>
        <v>1</v>
      </c>
      <c r="D505" s="51" t="s">
        <v>26</v>
      </c>
      <c r="E505" s="48"/>
      <c r="F505" s="674"/>
      <c r="G505" s="674"/>
      <c r="H505" s="674"/>
      <c r="I505" s="674"/>
      <c r="J505" s="674"/>
      <c r="K505" s="674"/>
      <c r="L505" s="675"/>
      <c r="M505" s="675"/>
      <c r="N505" s="676"/>
      <c r="O505" s="674"/>
      <c r="P505" s="677"/>
    </row>
    <row r="506" spans="1:16" x14ac:dyDescent="0.25">
      <c r="B506" s="24"/>
      <c r="C506" s="9">
        <f t="shared" ca="1" si="310"/>
        <v>1</v>
      </c>
      <c r="D506" s="267" t="s">
        <v>18</v>
      </c>
      <c r="E506" s="48" t="s">
        <v>57</v>
      </c>
      <c r="F506" s="678">
        <f ca="1">SUM(G506:I506)</f>
        <v>337321.49866516259</v>
      </c>
      <c r="G506" s="658">
        <f ca="1">+IFERROR(G$5*GETPIVOTDATA("Unique Billed Hours",'County allocation'!$A$3,"County",$D503,"HHA/CDPAP","CDPAP","Level of Service",$D506),0)</f>
        <v>13561.050417160664</v>
      </c>
      <c r="H506" s="658">
        <f>+IFERROR(H$5*GETPIVOTDATA("Unique Billed Hours",'County allocation'!$A$3,"County",$D503,"HHA/CDPAP","CDPAP","Level of Service",$D506),0)</f>
        <v>11675.814035527108</v>
      </c>
      <c r="I506" s="678">
        <f ca="1">SUM(J506:P506)</f>
        <v>312084.6342124748</v>
      </c>
      <c r="J506" s="658">
        <f ca="1">+IFERROR(J$5*GETPIVOTDATA("Unique Billed Hours",'County allocation'!$S$3,"County",$D503,"HHA/CDPAP","CDPAP","Level of Service",$D506),0)</f>
        <v>61745.072585531452</v>
      </c>
      <c r="K506" s="658">
        <f ca="1">+IFERROR(K$5*GETPIVOTDATA("Unique Billed Hours",'County allocation'!$X$3,"County",$D503,"HHA/CDPAP","CDPAP","Level of Service",$D506),0)</f>
        <v>249092.95152451337</v>
      </c>
      <c r="L506" s="658">
        <f>+IFERROR(L$5*GETPIVOTDATA("Unique Billed Hours",'County allocation'!$K$19,"County",$D503,"HHA/CDPAP","CDPAP","Level of Service",$D506),0)</f>
        <v>0</v>
      </c>
      <c r="M506" s="658">
        <f>+IFERROR(M$5*GETPIVOTDATA("Unique Billed Hours",'County allocation'!$S$3,"County",$D503,"HHA/CDPAP","CDPAP","Level of Service",$D506),0)</f>
        <v>1150.2692418087831</v>
      </c>
      <c r="N506" s="658">
        <f>+IFERROR(N$5*GETPIVOTDATA("Unique Billed Hours",'County allocation'!$S$3,"County",$D503,"HHA/CDPAP","CDPAP","Level of Service",$D506),0)</f>
        <v>96.340860621176105</v>
      </c>
      <c r="O506" s="658">
        <f>+IFERROR(O$5*GETPIVOTDATA("Unique Billed Hours",'County allocation'!$S$3,"County",$D503,"HHA/CDPAP","CDPAP","Level of Service",$D506),0)</f>
        <v>0</v>
      </c>
      <c r="P506" s="658">
        <f>+IFERROR(P$5*GETPIVOTDATA("Unique Billed Hours",'County allocation'!$S$3,"County",$D503,"HHA/CDPAP","CDPAP","Level of Service",$D506),0)</f>
        <v>0</v>
      </c>
    </row>
    <row r="507" spans="1:16" x14ac:dyDescent="0.25">
      <c r="B507" s="24"/>
      <c r="C507" s="9">
        <f t="shared" ca="1" si="310"/>
        <v>1</v>
      </c>
      <c r="D507" s="267" t="s">
        <v>42</v>
      </c>
      <c r="E507" s="48" t="s">
        <v>56</v>
      </c>
      <c r="F507" s="678">
        <f t="shared" ref="F507:F511" ca="1" si="311">SUM(G507:I507)</f>
        <v>0</v>
      </c>
      <c r="G507" s="658">
        <f ca="1">+IFERROR(G$5*GETPIVOTDATA("Unique Billed Hours",'County allocation'!$A$3,"County",$D503,"HHA/CDPAP","CDPAP","Level of Service",$D507),0)</f>
        <v>0</v>
      </c>
      <c r="H507" s="658">
        <f>+IFERROR(H$5*GETPIVOTDATA("Unique Billed Hours",'County allocation'!$A$3,"County",$D503,"HHA/CDPAP","CDPAP","Level of Service",$D507),0)</f>
        <v>0</v>
      </c>
      <c r="I507" s="678">
        <f t="shared" ref="I507:I514" ca="1" si="312">SUM(J507:P507)</f>
        <v>0</v>
      </c>
      <c r="J507" s="658">
        <f ca="1">+IFERROR(J$5*GETPIVOTDATA("Unique Billed Hours",'County allocation'!$S$3,"County",$D503,"HHA/CDPAP","CDPAP","Level of Service",$D507),0)</f>
        <v>0</v>
      </c>
      <c r="K507" s="658">
        <f ca="1">+IFERROR(K$5*GETPIVOTDATA("Unique Billed Hours",'County allocation'!$X$3,"County",$D503,"HHA/CDPAP","CDPAP","Level of Service",$D507),0)</f>
        <v>0</v>
      </c>
      <c r="L507" s="658">
        <f>+IFERROR(L$5*GETPIVOTDATA("Unique Billed Hours",'County allocation'!$K$19,"County",$D503,"HHA/CDPAP","CDPAP","Level of Service",$D507),0)</f>
        <v>0</v>
      </c>
      <c r="M507" s="658">
        <f>+IFERROR(M$5*GETPIVOTDATA("Unique Billed Hours",'County allocation'!$S$3,"County",$D503,"HHA/CDPAP","CDPAP","Level of Service",$D507),0)</f>
        <v>0</v>
      </c>
      <c r="N507" s="658">
        <f>+IFERROR(N$5*GETPIVOTDATA("Unique Billed Hours",'County allocation'!$S$3,"County",$D503,"HHA/CDPAP","CDPAP","Level of Service",$D507),0)</f>
        <v>0</v>
      </c>
      <c r="O507" s="658">
        <f>+IFERROR(O$5*GETPIVOTDATA("Unique Billed Hours",'County allocation'!$S$3,"County",$D503,"HHA/CDPAP","CDPAP","Level of Service",$D507),0)</f>
        <v>0</v>
      </c>
      <c r="P507" s="658">
        <f>+IFERROR(P$5*GETPIVOTDATA("Unique Billed Hours",'County allocation'!$S$3,"County",$D503,"HHA/CDPAP","CDPAP","Level of Service",$D507),0)</f>
        <v>0</v>
      </c>
    </row>
    <row r="508" spans="1:16" x14ac:dyDescent="0.25">
      <c r="B508" s="24"/>
      <c r="C508" s="9">
        <f t="shared" ca="1" si="310"/>
        <v>1</v>
      </c>
      <c r="D508" s="267" t="s">
        <v>43</v>
      </c>
      <c r="E508" s="48" t="s">
        <v>55</v>
      </c>
      <c r="F508" s="678">
        <f t="shared" ca="1" si="311"/>
        <v>0</v>
      </c>
      <c r="G508" s="658">
        <f ca="1">+IFERROR(G$5*GETPIVOTDATA("Unique Billed Hours",'County allocation'!$A$3,"County",$D503,"HHA/CDPAP","CDPAP","Level of Service",$D508),0)</f>
        <v>0</v>
      </c>
      <c r="H508" s="658">
        <f>+IFERROR(H$5*GETPIVOTDATA("Unique Billed Hours",'County allocation'!$A$3,"County",$D503,"HHA/CDPAP","CDPAP","Level of Service",$D508),0)</f>
        <v>0</v>
      </c>
      <c r="I508" s="678">
        <f t="shared" ca="1" si="312"/>
        <v>0</v>
      </c>
      <c r="J508" s="658">
        <f ca="1">+IFERROR(J$5*GETPIVOTDATA("Unique Billed Hours",'County allocation'!$S$3,"County",$D503,"HHA/CDPAP","CDPAP","Level of Service",$D508),0)</f>
        <v>0</v>
      </c>
      <c r="K508" s="658">
        <f ca="1">+IFERROR(K$5*GETPIVOTDATA("Unique Billed Hours",'County allocation'!$X$3,"County",$D503,"HHA/CDPAP","CDPAP","Level of Service",$D508),0)</f>
        <v>0</v>
      </c>
      <c r="L508" s="658">
        <f>+IFERROR(L$5*GETPIVOTDATA("Unique Billed Hours",'County allocation'!$K$19,"County",$D503,"HHA/CDPAP","CDPAP","Level of Service",$D508),0)</f>
        <v>0</v>
      </c>
      <c r="M508" s="658">
        <f>+IFERROR(M$5*GETPIVOTDATA("Unique Billed Hours",'County allocation'!$S$3,"County",$D503,"HHA/CDPAP","CDPAP","Level of Service",$D508),0)</f>
        <v>0</v>
      </c>
      <c r="N508" s="658">
        <f>+IFERROR(N$5*GETPIVOTDATA("Unique Billed Hours",'County allocation'!$S$3,"County",$D503,"HHA/CDPAP","CDPAP","Level of Service",$D508),0)</f>
        <v>0</v>
      </c>
      <c r="O508" s="658">
        <f>+IFERROR(O$5*GETPIVOTDATA("Unique Billed Hours",'County allocation'!$S$3,"County",$D503,"HHA/CDPAP","CDPAP","Level of Service",$D508),0)</f>
        <v>0</v>
      </c>
      <c r="P508" s="658">
        <f>+IFERROR(P$5*GETPIVOTDATA("Unique Billed Hours",'County allocation'!$S$3,"County",$D503,"HHA/CDPAP","CDPAP","Level of Service",$D508),0)</f>
        <v>0</v>
      </c>
    </row>
    <row r="509" spans="1:16" x14ac:dyDescent="0.25">
      <c r="B509" s="24"/>
      <c r="C509" s="9">
        <f t="shared" ca="1" si="310"/>
        <v>1</v>
      </c>
      <c r="D509" s="267" t="s">
        <v>44</v>
      </c>
      <c r="E509" s="48" t="s">
        <v>54</v>
      </c>
      <c r="F509" s="678">
        <f t="shared" ca="1" si="311"/>
        <v>0</v>
      </c>
      <c r="G509" s="658">
        <f ca="1">+IFERROR(G$5*GETPIVOTDATA("Unique Billed Hours",'County allocation'!$A$3,"County",$D503,"HHA/CDPAP","CDPAP","Level of Service",$D509),0)</f>
        <v>0</v>
      </c>
      <c r="H509" s="658">
        <f>+IFERROR(H$5*GETPIVOTDATA("Unique Billed Hours",'County allocation'!$A$3,"County",$D503,"HHA/CDPAP","CDPAP","Level of Service",$D509),0)</f>
        <v>0</v>
      </c>
      <c r="I509" s="678">
        <f t="shared" ca="1" si="312"/>
        <v>0</v>
      </c>
      <c r="J509" s="658">
        <f ca="1">+IFERROR(J$5*GETPIVOTDATA("Unique Billed Hours",'County allocation'!$S$3,"County",$D503,"HHA/CDPAP","CDPAP","Level of Service",$D509),0)</f>
        <v>0</v>
      </c>
      <c r="K509" s="658">
        <f ca="1">+IFERROR(K$5*GETPIVOTDATA("Unique Billed Hours",'County allocation'!$X$3,"County",$D503,"HHA/CDPAP","CDPAP","Level of Service",$D509),0)</f>
        <v>0</v>
      </c>
      <c r="L509" s="658">
        <f>+IFERROR(L$5*GETPIVOTDATA("Unique Billed Hours",'County allocation'!$K$19,"County",$D503,"HHA/CDPAP","CDPAP","Level of Service",$D509),0)</f>
        <v>0</v>
      </c>
      <c r="M509" s="658">
        <f>+IFERROR(M$5*GETPIVOTDATA("Unique Billed Hours",'County allocation'!$S$3,"County",$D503,"HHA/CDPAP","CDPAP","Level of Service",$D509),0)</f>
        <v>0</v>
      </c>
      <c r="N509" s="658">
        <f>+IFERROR(N$5*GETPIVOTDATA("Unique Billed Hours",'County allocation'!$S$3,"County",$D503,"HHA/CDPAP","CDPAP","Level of Service",$D509),0)</f>
        <v>0</v>
      </c>
      <c r="O509" s="658">
        <f>+IFERROR(O$5*GETPIVOTDATA("Unique Billed Hours",'County allocation'!$S$3,"County",$D503,"HHA/CDPAP","CDPAP","Level of Service",$D509),0)</f>
        <v>0</v>
      </c>
      <c r="P509" s="658">
        <f>+IFERROR(P$5*GETPIVOTDATA("Unique Billed Hours",'County allocation'!$S$3,"County",$D503,"HHA/CDPAP","CDPAP","Level of Service",$D509),0)</f>
        <v>0</v>
      </c>
    </row>
    <row r="510" spans="1:16" x14ac:dyDescent="0.25">
      <c r="B510" s="24"/>
      <c r="C510" s="9">
        <f t="shared" ca="1" si="310"/>
        <v>1</v>
      </c>
      <c r="D510" s="267" t="s">
        <v>45</v>
      </c>
      <c r="E510" s="48" t="s">
        <v>53</v>
      </c>
      <c r="F510" s="678">
        <f t="shared" ca="1" si="311"/>
        <v>0</v>
      </c>
      <c r="G510" s="658">
        <f ca="1">+IFERROR(G$5*GETPIVOTDATA("Unique Billed Hours",'County allocation'!$A$3,"County",$D503,"HHA/CDPAP","CDPAP","Level of Service",$D510),0)</f>
        <v>0</v>
      </c>
      <c r="H510" s="658">
        <f>+IFERROR(H$5*GETPIVOTDATA("Unique Billed Hours",'County allocation'!$A$3,"County",$D503,"HHA/CDPAP","CDPAP","Level of Service",$D510),0)</f>
        <v>0</v>
      </c>
      <c r="I510" s="678">
        <f t="shared" ca="1" si="312"/>
        <v>0</v>
      </c>
      <c r="J510" s="658">
        <f ca="1">+IFERROR(J$5*GETPIVOTDATA("Unique Billed Hours",'County allocation'!$S$3,"County",$D503,"HHA/CDPAP","CDPAP","Level of Service",$D510),0)</f>
        <v>0</v>
      </c>
      <c r="K510" s="658">
        <f ca="1">+IFERROR(K$5*GETPIVOTDATA("Unique Billed Hours",'County allocation'!$X$3,"County",$D503,"HHA/CDPAP","CDPAP","Level of Service",$D510),0)</f>
        <v>0</v>
      </c>
      <c r="L510" s="658">
        <f>+IFERROR(L$5*GETPIVOTDATA("Unique Billed Hours",'County allocation'!$K$19,"County",$D503,"HHA/CDPAP","CDPAP","Level of Service",$D510),0)</f>
        <v>0</v>
      </c>
      <c r="M510" s="658">
        <f>+IFERROR(M$5*GETPIVOTDATA("Unique Billed Hours",'County allocation'!$S$3,"County",$D503,"HHA/CDPAP","CDPAP","Level of Service",$D510),0)</f>
        <v>0</v>
      </c>
      <c r="N510" s="658">
        <f>+IFERROR(N$5*GETPIVOTDATA("Unique Billed Hours",'County allocation'!$S$3,"County",$D503,"HHA/CDPAP","CDPAP","Level of Service",$D510),0)</f>
        <v>0</v>
      </c>
      <c r="O510" s="658">
        <f>+IFERROR(O$5*GETPIVOTDATA("Unique Billed Hours",'County allocation'!$S$3,"County",$D503,"HHA/CDPAP","CDPAP","Level of Service",$D510),0)</f>
        <v>0</v>
      </c>
      <c r="P510" s="658">
        <f>+IFERROR(P$5*GETPIVOTDATA("Unique Billed Hours",'County allocation'!$S$3,"County",$D503,"HHA/CDPAP","CDPAP","Level of Service",$D510),0)</f>
        <v>0</v>
      </c>
    </row>
    <row r="511" spans="1:16" x14ac:dyDescent="0.25">
      <c r="A511" s="302"/>
      <c r="B511" s="24"/>
      <c r="C511" s="9">
        <f t="shared" ca="1" si="310"/>
        <v>1</v>
      </c>
      <c r="D511" s="267" t="s">
        <v>46</v>
      </c>
      <c r="E511" s="48" t="s">
        <v>52</v>
      </c>
      <c r="F511" s="678">
        <f t="shared" ca="1" si="311"/>
        <v>0</v>
      </c>
      <c r="G511" s="658">
        <f ca="1">+IFERROR(G$5*GETPIVOTDATA("Unique Billed Hours",'County allocation'!$A$3,"County",$D503,"HHA/CDPAP","CDPAP","Level of Service",$D511),0)</f>
        <v>0</v>
      </c>
      <c r="H511" s="658">
        <f>+IFERROR(H$5*GETPIVOTDATA("Unique Billed Hours",'County allocation'!$A$3,"County",$D503,"HHA/CDPAP","CDPAP","Level of Service",$D511),0)</f>
        <v>0</v>
      </c>
      <c r="I511" s="678">
        <f t="shared" ca="1" si="312"/>
        <v>0</v>
      </c>
      <c r="J511" s="658">
        <f ca="1">+IFERROR(J$5*GETPIVOTDATA("Unique Billed Hours",'County allocation'!$S$3,"County",$D503,"HHA/CDPAP","CDPAP","Level of Service",$D511),0)</f>
        <v>0</v>
      </c>
      <c r="K511" s="658">
        <f ca="1">+IFERROR(K$5*GETPIVOTDATA("Unique Billed Hours",'County allocation'!$X$3,"County",$D503,"HHA/CDPAP","CDPAP","Level of Service",$D511),0)</f>
        <v>0</v>
      </c>
      <c r="L511" s="658">
        <f>+IFERROR(L$5*GETPIVOTDATA("Unique Billed Hours",'County allocation'!$K$19,"County",$D503,"HHA/CDPAP","CDPAP","Level of Service",$D511),0)</f>
        <v>0</v>
      </c>
      <c r="M511" s="658">
        <f>+IFERROR(M$5*GETPIVOTDATA("Unique Billed Hours",'County allocation'!$S$3,"County",$D503,"HHA/CDPAP","CDPAP","Level of Service",$D511),0)</f>
        <v>0</v>
      </c>
      <c r="N511" s="658">
        <f>+IFERROR(N$5*GETPIVOTDATA("Unique Billed Hours",'County allocation'!$S$3,"County",$D503,"HHA/CDPAP","CDPAP","Level of Service",$D511),0)</f>
        <v>0</v>
      </c>
      <c r="O511" s="658">
        <f>+IFERROR(O$5*GETPIVOTDATA("Unique Billed Hours",'County allocation'!$S$3,"County",$D503,"HHA/CDPAP","CDPAP","Level of Service",$D511),0)</f>
        <v>0</v>
      </c>
      <c r="P511" s="658">
        <f>+IFERROR(P$5*GETPIVOTDATA("Unique Billed Hours",'County allocation'!$S$3,"County",$D503,"HHA/CDPAP","CDPAP","Level of Service",$D511),0)</f>
        <v>0</v>
      </c>
    </row>
    <row r="512" spans="1:16" ht="15.75" thickBot="1" x14ac:dyDescent="0.3">
      <c r="A512" s="302"/>
      <c r="B512" s="24"/>
      <c r="C512" s="9">
        <f t="shared" ca="1" si="310"/>
        <v>1</v>
      </c>
      <c r="D512" s="52" t="s">
        <v>389</v>
      </c>
      <c r="E512" s="370" t="s">
        <v>51</v>
      </c>
      <c r="F512" s="679">
        <f ca="1">SUM(F506:F511)</f>
        <v>337321.49866516259</v>
      </c>
      <c r="G512" s="679">
        <f t="shared" ref="G512:H512" ca="1" si="313">SUM(G506:G511)</f>
        <v>13561.050417160664</v>
      </c>
      <c r="H512" s="679">
        <f t="shared" si="313"/>
        <v>11675.814035527108</v>
      </c>
      <c r="I512" s="678">
        <f t="shared" ca="1" si="312"/>
        <v>312084.6342124748</v>
      </c>
      <c r="J512" s="679">
        <f ca="1">SUM(J506:J511)</f>
        <v>61745.072585531452</v>
      </c>
      <c r="K512" s="679">
        <f t="shared" ref="K512:P512" ca="1" si="314">SUM(K506:K511)</f>
        <v>249092.95152451337</v>
      </c>
      <c r="L512" s="679">
        <f t="shared" si="314"/>
        <v>0</v>
      </c>
      <c r="M512" s="679">
        <f t="shared" si="314"/>
        <v>1150.2692418087831</v>
      </c>
      <c r="N512" s="679">
        <f t="shared" si="314"/>
        <v>96.340860621176105</v>
      </c>
      <c r="O512" s="679">
        <f t="shared" si="314"/>
        <v>0</v>
      </c>
      <c r="P512" s="679">
        <f t="shared" si="314"/>
        <v>0</v>
      </c>
    </row>
    <row r="513" spans="1:16" x14ac:dyDescent="0.25">
      <c r="A513" s="302"/>
      <c r="B513" s="24"/>
      <c r="C513" s="9">
        <f t="shared" ca="1" si="310"/>
        <v>1</v>
      </c>
      <c r="D513" s="378" t="s">
        <v>390</v>
      </c>
      <c r="E513" s="370" t="s">
        <v>50</v>
      </c>
      <c r="F513" s="678">
        <f t="shared" ref="F513" ca="1" si="315">SUM(G513:I513)</f>
        <v>0</v>
      </c>
      <c r="G513" s="658">
        <f ca="1">+IFERROR(G$5*GETPIVOTDATA("Unique Billed Hours",'County allocation'!$A$3,"County",$D503,"HHA/CDPAP","CDPAP","Level of Service",$D513),0)</f>
        <v>0</v>
      </c>
      <c r="H513" s="659"/>
      <c r="I513" s="678">
        <f t="shared" si="312"/>
        <v>0</v>
      </c>
      <c r="J513" s="659"/>
      <c r="K513" s="659"/>
      <c r="L513" s="659"/>
      <c r="M513" s="659"/>
      <c r="N513" s="659"/>
      <c r="O513" s="659"/>
      <c r="P513" s="659"/>
    </row>
    <row r="514" spans="1:16" ht="15.75" thickBot="1" x14ac:dyDescent="0.3">
      <c r="B514" s="24"/>
      <c r="C514" s="9">
        <f t="shared" ca="1" si="310"/>
        <v>1</v>
      </c>
      <c r="D514" s="11" t="s">
        <v>48</v>
      </c>
      <c r="E514" s="53" t="s">
        <v>49</v>
      </c>
      <c r="F514" s="662">
        <f ca="1">SUBTOTAL(9,F506:F511)</f>
        <v>337321.49866516259</v>
      </c>
      <c r="G514" s="662">
        <f t="shared" ref="G514:H514" ca="1" si="316">SUBTOTAL(9,G506:G511)</f>
        <v>13561.050417160664</v>
      </c>
      <c r="H514" s="662">
        <f t="shared" si="316"/>
        <v>11675.814035527108</v>
      </c>
      <c r="I514" s="678">
        <f t="shared" ca="1" si="312"/>
        <v>312084.6342124748</v>
      </c>
      <c r="J514" s="662">
        <f t="shared" ref="J514:P514" ca="1" si="317">SUBTOTAL(9,J506:J511)</f>
        <v>61745.072585531452</v>
      </c>
      <c r="K514" s="662">
        <f t="shared" ca="1" si="317"/>
        <v>249092.95152451337</v>
      </c>
      <c r="L514" s="662">
        <f t="shared" si="317"/>
        <v>0</v>
      </c>
      <c r="M514" s="662">
        <f t="shared" si="317"/>
        <v>1150.2692418087831</v>
      </c>
      <c r="N514" s="662">
        <f t="shared" si="317"/>
        <v>96.340860621176105</v>
      </c>
      <c r="O514" s="662">
        <f t="shared" si="317"/>
        <v>0</v>
      </c>
      <c r="P514" s="662">
        <f t="shared" si="317"/>
        <v>0</v>
      </c>
    </row>
    <row r="515" spans="1:16" ht="15.75" hidden="1" thickBot="1" x14ac:dyDescent="0.3"/>
    <row r="516" spans="1:16" ht="75" x14ac:dyDescent="0.25">
      <c r="A516" s="60"/>
      <c r="B516" s="24"/>
      <c r="C516" s="9">
        <f ca="1">IF(F527&gt;0,1,0)</f>
        <v>1</v>
      </c>
      <c r="D516" s="45" t="str">
        <f>A42</f>
        <v>Otsego</v>
      </c>
      <c r="E516" s="28">
        <f>SUMIF(A:A,D516,B:B)</f>
        <v>1.6648187600380527E-3</v>
      </c>
      <c r="F516" s="652" t="s">
        <v>396</v>
      </c>
      <c r="G516" s="652" t="s">
        <v>387</v>
      </c>
      <c r="H516" s="652" t="s">
        <v>388</v>
      </c>
      <c r="I516" s="652" t="s">
        <v>392</v>
      </c>
      <c r="J516" s="652" t="s">
        <v>31</v>
      </c>
      <c r="K516" s="652" t="s">
        <v>32</v>
      </c>
      <c r="L516" s="653" t="s">
        <v>33</v>
      </c>
      <c r="M516" s="653" t="s">
        <v>60</v>
      </c>
      <c r="N516" s="653" t="s">
        <v>59</v>
      </c>
      <c r="O516" s="653" t="s">
        <v>58</v>
      </c>
      <c r="P516" s="653" t="s">
        <v>16</v>
      </c>
    </row>
    <row r="517" spans="1:16" x14ac:dyDescent="0.25">
      <c r="A517" s="60"/>
      <c r="B517" s="24"/>
      <c r="C517" s="9">
        <f ca="1">C516</f>
        <v>1</v>
      </c>
      <c r="D517" s="47"/>
      <c r="E517" s="48"/>
      <c r="F517" s="669" t="s">
        <v>57</v>
      </c>
      <c r="G517" s="669" t="s">
        <v>56</v>
      </c>
      <c r="H517" s="669" t="s">
        <v>55</v>
      </c>
      <c r="I517" s="669" t="s">
        <v>54</v>
      </c>
      <c r="J517" s="669" t="s">
        <v>53</v>
      </c>
      <c r="K517" s="669" t="s">
        <v>52</v>
      </c>
      <c r="L517" s="669" t="s">
        <v>51</v>
      </c>
      <c r="M517" s="669" t="s">
        <v>50</v>
      </c>
      <c r="N517" s="669" t="s">
        <v>49</v>
      </c>
      <c r="O517" s="669" t="s">
        <v>47</v>
      </c>
      <c r="P517" s="670" t="s">
        <v>77</v>
      </c>
    </row>
    <row r="518" spans="1:16" x14ac:dyDescent="0.25">
      <c r="B518" s="24"/>
      <c r="C518" s="9">
        <f t="shared" ref="C518:C527" ca="1" si="318">C517</f>
        <v>1</v>
      </c>
      <c r="D518" s="51" t="s">
        <v>26</v>
      </c>
      <c r="E518" s="48"/>
      <c r="F518" s="674"/>
      <c r="G518" s="674"/>
      <c r="H518" s="674"/>
      <c r="I518" s="674"/>
      <c r="J518" s="674"/>
      <c r="K518" s="674"/>
      <c r="L518" s="675"/>
      <c r="M518" s="675"/>
      <c r="N518" s="676"/>
      <c r="O518" s="674"/>
      <c r="P518" s="677"/>
    </row>
    <row r="519" spans="1:16" x14ac:dyDescent="0.25">
      <c r="B519" s="24"/>
      <c r="C519" s="9">
        <f t="shared" ca="1" si="318"/>
        <v>1</v>
      </c>
      <c r="D519" s="267" t="s">
        <v>18</v>
      </c>
      <c r="E519" s="48" t="s">
        <v>57</v>
      </c>
      <c r="F519" s="678">
        <f ca="1">SUM(G519:I519)</f>
        <v>143513.13194055136</v>
      </c>
      <c r="G519" s="658">
        <f ca="1">+IFERROR(G$5*GETPIVOTDATA("Unique Billed Hours",'County allocation'!$A$3,"County",$D516,"HHA/CDPAP","CDPAP","Level of Service",$D519),0)</f>
        <v>5769.5368527409055</v>
      </c>
      <c r="H519" s="658">
        <f>+IFERROR(H$5*GETPIVOTDATA("Unique Billed Hours",'County allocation'!$A$3,"County",$D516,"HHA/CDPAP","CDPAP","Level of Service",$D519),0)</f>
        <v>4967.4647089637074</v>
      </c>
      <c r="I519" s="678">
        <f ca="1">SUM(J519:P519)</f>
        <v>132776.13037884675</v>
      </c>
      <c r="J519" s="658">
        <f ca="1">+IFERROR(J$5*GETPIVOTDATA("Unique Billed Hours",'County allocation'!$S$3,"County",$D516,"HHA/CDPAP","CDPAP","Level of Service",$D519),0)</f>
        <v>26269.386278999875</v>
      </c>
      <c r="K519" s="658">
        <f ca="1">+IFERROR(K$5*GETPIVOTDATA("Unique Billed Hours",'County allocation'!$X$3,"County",$D516,"HHA/CDPAP","CDPAP","Level of Service",$D519),0)</f>
        <v>105976.37493921995</v>
      </c>
      <c r="L519" s="658">
        <f>+IFERROR(L$5*GETPIVOTDATA("Unique Billed Hours",'County allocation'!$K$19,"County",$D516,"HHA/CDPAP","CDPAP","Level of Service",$D519),0)</f>
        <v>0</v>
      </c>
      <c r="M519" s="658">
        <f>+IFERROR(M$5*GETPIVOTDATA("Unique Billed Hours",'County allocation'!$S$3,"County",$D516,"HHA/CDPAP","CDPAP","Level of Service",$D519),0)</f>
        <v>489.38102706203426</v>
      </c>
      <c r="N519" s="658">
        <f>+IFERROR(N$5*GETPIVOTDATA("Unique Billed Hours",'County allocation'!$S$3,"County",$D516,"HHA/CDPAP","CDPAP","Level of Service",$D519),0)</f>
        <v>40.988133564879831</v>
      </c>
      <c r="O519" s="658">
        <f>+IFERROR(O$5*GETPIVOTDATA("Unique Billed Hours",'County allocation'!$S$3,"County",$D516,"HHA/CDPAP","CDPAP","Level of Service",$D519),0)</f>
        <v>0</v>
      </c>
      <c r="P519" s="658">
        <f>+IFERROR(P$5*GETPIVOTDATA("Unique Billed Hours",'County allocation'!$S$3,"County",$D516,"HHA/CDPAP","CDPAP","Level of Service",$D519),0)</f>
        <v>0</v>
      </c>
    </row>
    <row r="520" spans="1:16" x14ac:dyDescent="0.25">
      <c r="B520" s="24"/>
      <c r="C520" s="9">
        <f t="shared" ca="1" si="318"/>
        <v>1</v>
      </c>
      <c r="D520" s="267" t="s">
        <v>42</v>
      </c>
      <c r="E520" s="48" t="s">
        <v>56</v>
      </c>
      <c r="F520" s="678">
        <f t="shared" ref="F520:F524" ca="1" si="319">SUM(G520:I520)</f>
        <v>0</v>
      </c>
      <c r="G520" s="658">
        <f ca="1">+IFERROR(G$5*GETPIVOTDATA("Unique Billed Hours",'County allocation'!$A$3,"County",$D516,"HHA/CDPAP","CDPAP","Level of Service",$D520),0)</f>
        <v>0</v>
      </c>
      <c r="H520" s="658">
        <f>+IFERROR(H$5*GETPIVOTDATA("Unique Billed Hours",'County allocation'!$A$3,"County",$D516,"HHA/CDPAP","CDPAP","Level of Service",$D520),0)</f>
        <v>0</v>
      </c>
      <c r="I520" s="678">
        <f t="shared" ref="I520:I527" ca="1" si="320">SUM(J520:P520)</f>
        <v>0</v>
      </c>
      <c r="J520" s="658">
        <f ca="1">+IFERROR(J$5*GETPIVOTDATA("Unique Billed Hours",'County allocation'!$S$3,"County",$D516,"HHA/CDPAP","CDPAP","Level of Service",$D520),0)</f>
        <v>0</v>
      </c>
      <c r="K520" s="658">
        <f ca="1">+IFERROR(K$5*GETPIVOTDATA("Unique Billed Hours",'County allocation'!$X$3,"County",$D516,"HHA/CDPAP","CDPAP","Level of Service",$D520),0)</f>
        <v>0</v>
      </c>
      <c r="L520" s="658">
        <f>+IFERROR(L$5*GETPIVOTDATA("Unique Billed Hours",'County allocation'!$K$19,"County",$D516,"HHA/CDPAP","CDPAP","Level of Service",$D520),0)</f>
        <v>0</v>
      </c>
      <c r="M520" s="658">
        <f>+IFERROR(M$5*GETPIVOTDATA("Unique Billed Hours",'County allocation'!$S$3,"County",$D516,"HHA/CDPAP","CDPAP","Level of Service",$D520),0)</f>
        <v>0</v>
      </c>
      <c r="N520" s="658">
        <f>+IFERROR(N$5*GETPIVOTDATA("Unique Billed Hours",'County allocation'!$S$3,"County",$D516,"HHA/CDPAP","CDPAP","Level of Service",$D520),0)</f>
        <v>0</v>
      </c>
      <c r="O520" s="658">
        <f>+IFERROR(O$5*GETPIVOTDATA("Unique Billed Hours",'County allocation'!$S$3,"County",$D516,"HHA/CDPAP","CDPAP","Level of Service",$D520),0)</f>
        <v>0</v>
      </c>
      <c r="P520" s="658">
        <f>+IFERROR(P$5*GETPIVOTDATA("Unique Billed Hours",'County allocation'!$S$3,"County",$D516,"HHA/CDPAP","CDPAP","Level of Service",$D520),0)</f>
        <v>0</v>
      </c>
    </row>
    <row r="521" spans="1:16" x14ac:dyDescent="0.25">
      <c r="B521" s="24"/>
      <c r="C521" s="9">
        <f t="shared" ca="1" si="318"/>
        <v>1</v>
      </c>
      <c r="D521" s="267" t="s">
        <v>43</v>
      </c>
      <c r="E521" s="48" t="s">
        <v>55</v>
      </c>
      <c r="F521" s="678">
        <f t="shared" ca="1" si="319"/>
        <v>0</v>
      </c>
      <c r="G521" s="658">
        <f ca="1">+IFERROR(G$5*GETPIVOTDATA("Unique Billed Hours",'County allocation'!$A$3,"County",$D516,"HHA/CDPAP","CDPAP","Level of Service",$D521),0)</f>
        <v>0</v>
      </c>
      <c r="H521" s="658">
        <f>+IFERROR(H$5*GETPIVOTDATA("Unique Billed Hours",'County allocation'!$A$3,"County",$D516,"HHA/CDPAP","CDPAP","Level of Service",$D521),0)</f>
        <v>0</v>
      </c>
      <c r="I521" s="678">
        <f t="shared" ca="1" si="320"/>
        <v>0</v>
      </c>
      <c r="J521" s="658">
        <f ca="1">+IFERROR(J$5*GETPIVOTDATA("Unique Billed Hours",'County allocation'!$S$3,"County",$D516,"HHA/CDPAP","CDPAP","Level of Service",$D521),0)</f>
        <v>0</v>
      </c>
      <c r="K521" s="658">
        <f ca="1">+IFERROR(K$5*GETPIVOTDATA("Unique Billed Hours",'County allocation'!$X$3,"County",$D516,"HHA/CDPAP","CDPAP","Level of Service",$D521),0)</f>
        <v>0</v>
      </c>
      <c r="L521" s="658">
        <f>+IFERROR(L$5*GETPIVOTDATA("Unique Billed Hours",'County allocation'!$K$19,"County",$D516,"HHA/CDPAP","CDPAP","Level of Service",$D521),0)</f>
        <v>0</v>
      </c>
      <c r="M521" s="658">
        <f>+IFERROR(M$5*GETPIVOTDATA("Unique Billed Hours",'County allocation'!$S$3,"County",$D516,"HHA/CDPAP","CDPAP","Level of Service",$D521),0)</f>
        <v>0</v>
      </c>
      <c r="N521" s="658">
        <f>+IFERROR(N$5*GETPIVOTDATA("Unique Billed Hours",'County allocation'!$S$3,"County",$D516,"HHA/CDPAP","CDPAP","Level of Service",$D521),0)</f>
        <v>0</v>
      </c>
      <c r="O521" s="658">
        <f>+IFERROR(O$5*GETPIVOTDATA("Unique Billed Hours",'County allocation'!$S$3,"County",$D516,"HHA/CDPAP","CDPAP","Level of Service",$D521),0)</f>
        <v>0</v>
      </c>
      <c r="P521" s="658">
        <f>+IFERROR(P$5*GETPIVOTDATA("Unique Billed Hours",'County allocation'!$S$3,"County",$D516,"HHA/CDPAP","CDPAP","Level of Service",$D521),0)</f>
        <v>0</v>
      </c>
    </row>
    <row r="522" spans="1:16" x14ac:dyDescent="0.25">
      <c r="B522" s="24"/>
      <c r="C522" s="9">
        <f t="shared" ca="1" si="318"/>
        <v>1</v>
      </c>
      <c r="D522" s="267" t="s">
        <v>44</v>
      </c>
      <c r="E522" s="48" t="s">
        <v>54</v>
      </c>
      <c r="F522" s="678">
        <f t="shared" ca="1" si="319"/>
        <v>0</v>
      </c>
      <c r="G522" s="658">
        <f ca="1">+IFERROR(G$5*GETPIVOTDATA("Unique Billed Hours",'County allocation'!$A$3,"County",$D516,"HHA/CDPAP","CDPAP","Level of Service",$D522),0)</f>
        <v>0</v>
      </c>
      <c r="H522" s="658">
        <f>+IFERROR(H$5*GETPIVOTDATA("Unique Billed Hours",'County allocation'!$A$3,"County",$D516,"HHA/CDPAP","CDPAP","Level of Service",$D522),0)</f>
        <v>0</v>
      </c>
      <c r="I522" s="678">
        <f t="shared" ca="1" si="320"/>
        <v>0</v>
      </c>
      <c r="J522" s="658">
        <f ca="1">+IFERROR(J$5*GETPIVOTDATA("Unique Billed Hours",'County allocation'!$S$3,"County",$D516,"HHA/CDPAP","CDPAP","Level of Service",$D522),0)</f>
        <v>0</v>
      </c>
      <c r="K522" s="658">
        <f ca="1">+IFERROR(K$5*GETPIVOTDATA("Unique Billed Hours",'County allocation'!$X$3,"County",$D516,"HHA/CDPAP","CDPAP","Level of Service",$D522),0)</f>
        <v>0</v>
      </c>
      <c r="L522" s="658">
        <f>+IFERROR(L$5*GETPIVOTDATA("Unique Billed Hours",'County allocation'!$K$19,"County",$D516,"HHA/CDPAP","CDPAP","Level of Service",$D522),0)</f>
        <v>0</v>
      </c>
      <c r="M522" s="658">
        <f>+IFERROR(M$5*GETPIVOTDATA("Unique Billed Hours",'County allocation'!$S$3,"County",$D516,"HHA/CDPAP","CDPAP","Level of Service",$D522),0)</f>
        <v>0</v>
      </c>
      <c r="N522" s="658">
        <f>+IFERROR(N$5*GETPIVOTDATA("Unique Billed Hours",'County allocation'!$S$3,"County",$D516,"HHA/CDPAP","CDPAP","Level of Service",$D522),0)</f>
        <v>0</v>
      </c>
      <c r="O522" s="658">
        <f>+IFERROR(O$5*GETPIVOTDATA("Unique Billed Hours",'County allocation'!$S$3,"County",$D516,"HHA/CDPAP","CDPAP","Level of Service",$D522),0)</f>
        <v>0</v>
      </c>
      <c r="P522" s="658">
        <f>+IFERROR(P$5*GETPIVOTDATA("Unique Billed Hours",'County allocation'!$S$3,"County",$D516,"HHA/CDPAP","CDPAP","Level of Service",$D522),0)</f>
        <v>0</v>
      </c>
    </row>
    <row r="523" spans="1:16" x14ac:dyDescent="0.25">
      <c r="B523" s="24"/>
      <c r="C523" s="9">
        <f t="shared" ca="1" si="318"/>
        <v>1</v>
      </c>
      <c r="D523" s="267" t="s">
        <v>45</v>
      </c>
      <c r="E523" s="48" t="s">
        <v>53</v>
      </c>
      <c r="F523" s="678">
        <f t="shared" ca="1" si="319"/>
        <v>0</v>
      </c>
      <c r="G523" s="658">
        <f ca="1">+IFERROR(G$5*GETPIVOTDATA("Unique Billed Hours",'County allocation'!$A$3,"County",$D516,"HHA/CDPAP","CDPAP","Level of Service",$D523),0)</f>
        <v>0</v>
      </c>
      <c r="H523" s="658">
        <f>+IFERROR(H$5*GETPIVOTDATA("Unique Billed Hours",'County allocation'!$A$3,"County",$D516,"HHA/CDPAP","CDPAP","Level of Service",$D523),0)</f>
        <v>0</v>
      </c>
      <c r="I523" s="678">
        <f t="shared" ca="1" si="320"/>
        <v>0</v>
      </c>
      <c r="J523" s="658">
        <f ca="1">+IFERROR(J$5*GETPIVOTDATA("Unique Billed Hours",'County allocation'!$S$3,"County",$D516,"HHA/CDPAP","CDPAP","Level of Service",$D523),0)</f>
        <v>0</v>
      </c>
      <c r="K523" s="658">
        <f ca="1">+IFERROR(K$5*GETPIVOTDATA("Unique Billed Hours",'County allocation'!$X$3,"County",$D516,"HHA/CDPAP","CDPAP","Level of Service",$D523),0)</f>
        <v>0</v>
      </c>
      <c r="L523" s="658">
        <f>+IFERROR(L$5*GETPIVOTDATA("Unique Billed Hours",'County allocation'!$K$19,"County",$D516,"HHA/CDPAP","CDPAP","Level of Service",$D523),0)</f>
        <v>0</v>
      </c>
      <c r="M523" s="658">
        <f>+IFERROR(M$5*GETPIVOTDATA("Unique Billed Hours",'County allocation'!$S$3,"County",$D516,"HHA/CDPAP","CDPAP","Level of Service",$D523),0)</f>
        <v>0</v>
      </c>
      <c r="N523" s="658">
        <f>+IFERROR(N$5*GETPIVOTDATA("Unique Billed Hours",'County allocation'!$S$3,"County",$D516,"HHA/CDPAP","CDPAP","Level of Service",$D523),0)</f>
        <v>0</v>
      </c>
      <c r="O523" s="658">
        <f>+IFERROR(O$5*GETPIVOTDATA("Unique Billed Hours",'County allocation'!$S$3,"County",$D516,"HHA/CDPAP","CDPAP","Level of Service",$D523),0)</f>
        <v>0</v>
      </c>
      <c r="P523" s="658">
        <f>+IFERROR(P$5*GETPIVOTDATA("Unique Billed Hours",'County allocation'!$S$3,"County",$D516,"HHA/CDPAP","CDPAP","Level of Service",$D523),0)</f>
        <v>0</v>
      </c>
    </row>
    <row r="524" spans="1:16" x14ac:dyDescent="0.25">
      <c r="A524" s="302"/>
      <c r="B524" s="24"/>
      <c r="C524" s="9">
        <f t="shared" ca="1" si="318"/>
        <v>1</v>
      </c>
      <c r="D524" s="267" t="s">
        <v>46</v>
      </c>
      <c r="E524" s="48" t="s">
        <v>52</v>
      </c>
      <c r="F524" s="678">
        <f t="shared" ca="1" si="319"/>
        <v>0</v>
      </c>
      <c r="G524" s="658">
        <f ca="1">+IFERROR(G$5*GETPIVOTDATA("Unique Billed Hours",'County allocation'!$A$3,"County",$D516,"HHA/CDPAP","CDPAP","Level of Service",$D524),0)</f>
        <v>0</v>
      </c>
      <c r="H524" s="658">
        <f>+IFERROR(H$5*GETPIVOTDATA("Unique Billed Hours",'County allocation'!$A$3,"County",$D516,"HHA/CDPAP","CDPAP","Level of Service",$D524),0)</f>
        <v>0</v>
      </c>
      <c r="I524" s="678">
        <f t="shared" ca="1" si="320"/>
        <v>0</v>
      </c>
      <c r="J524" s="658">
        <f ca="1">+IFERROR(J$5*GETPIVOTDATA("Unique Billed Hours",'County allocation'!$S$3,"County",$D516,"HHA/CDPAP","CDPAP","Level of Service",$D524),0)</f>
        <v>0</v>
      </c>
      <c r="K524" s="658">
        <f ca="1">+IFERROR(K$5*GETPIVOTDATA("Unique Billed Hours",'County allocation'!$X$3,"County",$D516,"HHA/CDPAP","CDPAP","Level of Service",$D524),0)</f>
        <v>0</v>
      </c>
      <c r="L524" s="658">
        <f>+IFERROR(L$5*GETPIVOTDATA("Unique Billed Hours",'County allocation'!$K$19,"County",$D516,"HHA/CDPAP","CDPAP","Level of Service",$D524),0)</f>
        <v>0</v>
      </c>
      <c r="M524" s="658">
        <f>+IFERROR(M$5*GETPIVOTDATA("Unique Billed Hours",'County allocation'!$S$3,"County",$D516,"HHA/CDPAP","CDPAP","Level of Service",$D524),0)</f>
        <v>0</v>
      </c>
      <c r="N524" s="658">
        <f>+IFERROR(N$5*GETPIVOTDATA("Unique Billed Hours",'County allocation'!$S$3,"County",$D516,"HHA/CDPAP","CDPAP","Level of Service",$D524),0)</f>
        <v>0</v>
      </c>
      <c r="O524" s="658">
        <f>+IFERROR(O$5*GETPIVOTDATA("Unique Billed Hours",'County allocation'!$S$3,"County",$D516,"HHA/CDPAP","CDPAP","Level of Service",$D524),0)</f>
        <v>0</v>
      </c>
      <c r="P524" s="658">
        <f>+IFERROR(P$5*GETPIVOTDATA("Unique Billed Hours",'County allocation'!$S$3,"County",$D516,"HHA/CDPAP","CDPAP","Level of Service",$D524),0)</f>
        <v>0</v>
      </c>
    </row>
    <row r="525" spans="1:16" ht="15.75" thickBot="1" x14ac:dyDescent="0.3">
      <c r="A525" s="302"/>
      <c r="B525" s="24"/>
      <c r="C525" s="9">
        <f t="shared" ca="1" si="318"/>
        <v>1</v>
      </c>
      <c r="D525" s="52" t="s">
        <v>389</v>
      </c>
      <c r="E525" s="370" t="s">
        <v>51</v>
      </c>
      <c r="F525" s="679">
        <f ca="1">SUM(F519:F524)</f>
        <v>143513.13194055136</v>
      </c>
      <c r="G525" s="679">
        <f t="shared" ref="G525:H525" ca="1" si="321">SUM(G519:G524)</f>
        <v>5769.5368527409055</v>
      </c>
      <c r="H525" s="679">
        <f t="shared" si="321"/>
        <v>4967.4647089637074</v>
      </c>
      <c r="I525" s="678">
        <f t="shared" ca="1" si="320"/>
        <v>132776.13037884675</v>
      </c>
      <c r="J525" s="679">
        <f ca="1">SUM(J519:J524)</f>
        <v>26269.386278999875</v>
      </c>
      <c r="K525" s="679">
        <f t="shared" ref="K525:P525" ca="1" si="322">SUM(K519:K524)</f>
        <v>105976.37493921995</v>
      </c>
      <c r="L525" s="679">
        <f t="shared" si="322"/>
        <v>0</v>
      </c>
      <c r="M525" s="679">
        <f t="shared" si="322"/>
        <v>489.38102706203426</v>
      </c>
      <c r="N525" s="679">
        <f t="shared" si="322"/>
        <v>40.988133564879831</v>
      </c>
      <c r="O525" s="679">
        <f t="shared" si="322"/>
        <v>0</v>
      </c>
      <c r="P525" s="679">
        <f t="shared" si="322"/>
        <v>0</v>
      </c>
    </row>
    <row r="526" spans="1:16" x14ac:dyDescent="0.25">
      <c r="A526" s="302"/>
      <c r="B526" s="24"/>
      <c r="C526" s="9">
        <f t="shared" ca="1" si="318"/>
        <v>1</v>
      </c>
      <c r="D526" s="378" t="s">
        <v>390</v>
      </c>
      <c r="E526" s="370" t="s">
        <v>50</v>
      </c>
      <c r="F526" s="678">
        <f t="shared" ref="F526" ca="1" si="323">SUM(G526:I526)</f>
        <v>0</v>
      </c>
      <c r="G526" s="658">
        <f ca="1">+IFERROR(G$5*GETPIVOTDATA("Unique Billed Hours",'County allocation'!$A$3,"County",$D516,"HHA/CDPAP","CDPAP","Level of Service",$D526),0)</f>
        <v>0</v>
      </c>
      <c r="H526" s="659"/>
      <c r="I526" s="678">
        <f t="shared" si="320"/>
        <v>0</v>
      </c>
      <c r="J526" s="659"/>
      <c r="K526" s="659"/>
      <c r="L526" s="659"/>
      <c r="M526" s="659"/>
      <c r="N526" s="659"/>
      <c r="O526" s="659"/>
      <c r="P526" s="659"/>
    </row>
    <row r="527" spans="1:16" ht="15.75" thickBot="1" x14ac:dyDescent="0.3">
      <c r="B527" s="24"/>
      <c r="C527" s="9">
        <f t="shared" ca="1" si="318"/>
        <v>1</v>
      </c>
      <c r="D527" s="11" t="s">
        <v>48</v>
      </c>
      <c r="E527" s="53" t="s">
        <v>49</v>
      </c>
      <c r="F527" s="662">
        <f ca="1">SUBTOTAL(9,F519:F524)</f>
        <v>143513.13194055136</v>
      </c>
      <c r="G527" s="662">
        <f t="shared" ref="G527:H527" ca="1" si="324">SUBTOTAL(9,G519:G524)</f>
        <v>5769.5368527409055</v>
      </c>
      <c r="H527" s="662">
        <f t="shared" si="324"/>
        <v>4967.4647089637074</v>
      </c>
      <c r="I527" s="678">
        <f t="shared" ca="1" si="320"/>
        <v>132776.13037884675</v>
      </c>
      <c r="J527" s="662">
        <f t="shared" ref="J527:P527" ca="1" si="325">SUBTOTAL(9,J519:J524)</f>
        <v>26269.386278999875</v>
      </c>
      <c r="K527" s="662">
        <f t="shared" ca="1" si="325"/>
        <v>105976.37493921995</v>
      </c>
      <c r="L527" s="662">
        <f t="shared" si="325"/>
        <v>0</v>
      </c>
      <c r="M527" s="662">
        <f t="shared" si="325"/>
        <v>489.38102706203426</v>
      </c>
      <c r="N527" s="662">
        <f t="shared" si="325"/>
        <v>40.988133564879831</v>
      </c>
      <c r="O527" s="662">
        <f t="shared" si="325"/>
        <v>0</v>
      </c>
      <c r="P527" s="662">
        <f t="shared" si="325"/>
        <v>0</v>
      </c>
    </row>
    <row r="528" spans="1:16" ht="15.75" hidden="1" thickBot="1" x14ac:dyDescent="0.3"/>
    <row r="529" spans="1:16" ht="75" x14ac:dyDescent="0.25">
      <c r="A529" s="60"/>
      <c r="B529" s="24"/>
      <c r="C529" s="9">
        <f ca="1">IF(F540&gt;0,1,0)</f>
        <v>1</v>
      </c>
      <c r="D529" s="45" t="str">
        <f>A43</f>
        <v>Putnam</v>
      </c>
      <c r="E529" s="28">
        <f>SUMIF(A:A,D529,B:B)</f>
        <v>6.9943078478575799E-4</v>
      </c>
      <c r="F529" s="652" t="s">
        <v>396</v>
      </c>
      <c r="G529" s="652" t="s">
        <v>387</v>
      </c>
      <c r="H529" s="652" t="s">
        <v>388</v>
      </c>
      <c r="I529" s="652" t="s">
        <v>392</v>
      </c>
      <c r="J529" s="652" t="s">
        <v>31</v>
      </c>
      <c r="K529" s="652" t="s">
        <v>32</v>
      </c>
      <c r="L529" s="653" t="s">
        <v>33</v>
      </c>
      <c r="M529" s="653" t="s">
        <v>60</v>
      </c>
      <c r="N529" s="653" t="s">
        <v>59</v>
      </c>
      <c r="O529" s="653" t="s">
        <v>58</v>
      </c>
      <c r="P529" s="653" t="s">
        <v>16</v>
      </c>
    </row>
    <row r="530" spans="1:16" x14ac:dyDescent="0.25">
      <c r="A530" s="60"/>
      <c r="B530" s="24"/>
      <c r="C530" s="9">
        <f ca="1">C529</f>
        <v>1</v>
      </c>
      <c r="D530" s="47"/>
      <c r="E530" s="48"/>
      <c r="F530" s="669" t="s">
        <v>57</v>
      </c>
      <c r="G530" s="669" t="s">
        <v>56</v>
      </c>
      <c r="H530" s="669" t="s">
        <v>55</v>
      </c>
      <c r="I530" s="669" t="s">
        <v>54</v>
      </c>
      <c r="J530" s="669" t="s">
        <v>53</v>
      </c>
      <c r="K530" s="669" t="s">
        <v>52</v>
      </c>
      <c r="L530" s="669" t="s">
        <v>51</v>
      </c>
      <c r="M530" s="669" t="s">
        <v>50</v>
      </c>
      <c r="N530" s="669" t="s">
        <v>49</v>
      </c>
      <c r="O530" s="669" t="s">
        <v>47</v>
      </c>
      <c r="P530" s="670" t="s">
        <v>77</v>
      </c>
    </row>
    <row r="531" spans="1:16" x14ac:dyDescent="0.25">
      <c r="B531" s="24"/>
      <c r="C531" s="9">
        <f t="shared" ref="C531:C540" ca="1" si="326">C530</f>
        <v>1</v>
      </c>
      <c r="D531" s="51" t="s">
        <v>26</v>
      </c>
      <c r="E531" s="48"/>
      <c r="F531" s="674"/>
      <c r="G531" s="674"/>
      <c r="H531" s="674"/>
      <c r="I531" s="674"/>
      <c r="J531" s="674"/>
      <c r="K531" s="674"/>
      <c r="L531" s="675"/>
      <c r="M531" s="675"/>
      <c r="N531" s="676"/>
      <c r="O531" s="674"/>
      <c r="P531" s="677"/>
    </row>
    <row r="532" spans="1:16" x14ac:dyDescent="0.25">
      <c r="B532" s="24"/>
      <c r="C532" s="9">
        <f t="shared" ca="1" si="326"/>
        <v>1</v>
      </c>
      <c r="D532" s="267" t="s">
        <v>18</v>
      </c>
      <c r="E532" s="48" t="s">
        <v>57</v>
      </c>
      <c r="F532" s="678">
        <f ca="1">SUM(G532:I532)</f>
        <v>60293.351390362484</v>
      </c>
      <c r="G532" s="658">
        <f ca="1">+IFERROR(G$5*GETPIVOTDATA("Unique Billed Hours",'County allocation'!$A$3,"County",$D529,"HHA/CDPAP","CDPAP","Level of Service",$D532),0)</f>
        <v>2423.9225227559828</v>
      </c>
      <c r="H532" s="658">
        <f>+IFERROR(H$5*GETPIVOTDATA("Unique Billed Hours",'County allocation'!$A$3,"County",$D529,"HHA/CDPAP","CDPAP","Level of Service",$D532),0)</f>
        <v>2086.9525399309105</v>
      </c>
      <c r="I532" s="678">
        <f ca="1">SUM(J532:P532)</f>
        <v>55782.476327675591</v>
      </c>
      <c r="J532" s="658">
        <f ca="1">+IFERROR(J$5*GETPIVOTDATA("Unique Billed Hours",'County allocation'!$S$3,"County",$D529,"HHA/CDPAP","CDPAP","Level of Service",$D532),0)</f>
        <v>11036.407026396759</v>
      </c>
      <c r="K532" s="658">
        <f ca="1">+IFERROR(K$5*GETPIVOTDATA("Unique Billed Hours",'County allocation'!$X$3,"County",$D529,"HHA/CDPAP","CDPAP","Level of Service",$D532),0)</f>
        <v>44523.248338932775</v>
      </c>
      <c r="L532" s="658">
        <f>+IFERROR(L$5*GETPIVOTDATA("Unique Billed Hours",'County allocation'!$K$19,"County",$D529,"HHA/CDPAP","CDPAP","Level of Service",$D532),0)</f>
        <v>0</v>
      </c>
      <c r="M532" s="658">
        <f>+IFERROR(M$5*GETPIVOTDATA("Unique Billed Hours",'County allocation'!$S$3,"County",$D529,"HHA/CDPAP","CDPAP","Level of Service",$D532),0)</f>
        <v>205.60085219692937</v>
      </c>
      <c r="N532" s="658">
        <f>+IFERROR(N$5*GETPIVOTDATA("Unique Billed Hours",'County allocation'!$S$3,"County",$D529,"HHA/CDPAP","CDPAP","Level of Service",$D532),0)</f>
        <v>17.220110149126441</v>
      </c>
      <c r="O532" s="658">
        <f>+IFERROR(O$5*GETPIVOTDATA("Unique Billed Hours",'County allocation'!$S$3,"County",$D529,"HHA/CDPAP","CDPAP","Level of Service",$D532),0)</f>
        <v>0</v>
      </c>
      <c r="P532" s="658">
        <f>+IFERROR(P$5*GETPIVOTDATA("Unique Billed Hours",'County allocation'!$S$3,"County",$D529,"HHA/CDPAP","CDPAP","Level of Service",$D532),0)</f>
        <v>0</v>
      </c>
    </row>
    <row r="533" spans="1:16" x14ac:dyDescent="0.25">
      <c r="B533" s="24"/>
      <c r="C533" s="9">
        <f t="shared" ca="1" si="326"/>
        <v>1</v>
      </c>
      <c r="D533" s="267" t="s">
        <v>42</v>
      </c>
      <c r="E533" s="48" t="s">
        <v>56</v>
      </c>
      <c r="F533" s="678">
        <f t="shared" ref="F533:F537" ca="1" si="327">SUM(G533:I533)</f>
        <v>0</v>
      </c>
      <c r="G533" s="658">
        <f ca="1">+IFERROR(G$5*GETPIVOTDATA("Unique Billed Hours",'County allocation'!$A$3,"County",$D529,"HHA/CDPAP","CDPAP","Level of Service",$D533),0)</f>
        <v>0</v>
      </c>
      <c r="H533" s="658">
        <f>+IFERROR(H$5*GETPIVOTDATA("Unique Billed Hours",'County allocation'!$A$3,"County",$D529,"HHA/CDPAP","CDPAP","Level of Service",$D533),0)</f>
        <v>0</v>
      </c>
      <c r="I533" s="678">
        <f t="shared" ref="I533:I540" ca="1" si="328">SUM(J533:P533)</f>
        <v>0</v>
      </c>
      <c r="J533" s="658">
        <f ca="1">+IFERROR(J$5*GETPIVOTDATA("Unique Billed Hours",'County allocation'!$S$3,"County",$D529,"HHA/CDPAP","CDPAP","Level of Service",$D533),0)</f>
        <v>0</v>
      </c>
      <c r="K533" s="658">
        <f ca="1">+IFERROR(K$5*GETPIVOTDATA("Unique Billed Hours",'County allocation'!$X$3,"County",$D529,"HHA/CDPAP","CDPAP","Level of Service",$D533),0)</f>
        <v>0</v>
      </c>
      <c r="L533" s="658">
        <f>+IFERROR(L$5*GETPIVOTDATA("Unique Billed Hours",'County allocation'!$K$19,"County",$D529,"HHA/CDPAP","CDPAP","Level of Service",$D533),0)</f>
        <v>0</v>
      </c>
      <c r="M533" s="658">
        <f>+IFERROR(M$5*GETPIVOTDATA("Unique Billed Hours",'County allocation'!$S$3,"County",$D529,"HHA/CDPAP","CDPAP","Level of Service",$D533),0)</f>
        <v>0</v>
      </c>
      <c r="N533" s="658">
        <f>+IFERROR(N$5*GETPIVOTDATA("Unique Billed Hours",'County allocation'!$S$3,"County",$D529,"HHA/CDPAP","CDPAP","Level of Service",$D533),0)</f>
        <v>0</v>
      </c>
      <c r="O533" s="658">
        <f>+IFERROR(O$5*GETPIVOTDATA("Unique Billed Hours",'County allocation'!$S$3,"County",$D529,"HHA/CDPAP","CDPAP","Level of Service",$D533),0)</f>
        <v>0</v>
      </c>
      <c r="P533" s="658">
        <f>+IFERROR(P$5*GETPIVOTDATA("Unique Billed Hours",'County allocation'!$S$3,"County",$D529,"HHA/CDPAP","CDPAP","Level of Service",$D533),0)</f>
        <v>0</v>
      </c>
    </row>
    <row r="534" spans="1:16" x14ac:dyDescent="0.25">
      <c r="B534" s="24"/>
      <c r="C534" s="9">
        <f t="shared" ca="1" si="326"/>
        <v>1</v>
      </c>
      <c r="D534" s="267" t="s">
        <v>43</v>
      </c>
      <c r="E534" s="48" t="s">
        <v>55</v>
      </c>
      <c r="F534" s="678">
        <f t="shared" ca="1" si="327"/>
        <v>0</v>
      </c>
      <c r="G534" s="658">
        <f ca="1">+IFERROR(G$5*GETPIVOTDATA("Unique Billed Hours",'County allocation'!$A$3,"County",$D529,"HHA/CDPAP","CDPAP","Level of Service",$D534),0)</f>
        <v>0</v>
      </c>
      <c r="H534" s="658">
        <f>+IFERROR(H$5*GETPIVOTDATA("Unique Billed Hours",'County allocation'!$A$3,"County",$D529,"HHA/CDPAP","CDPAP","Level of Service",$D534),0)</f>
        <v>0</v>
      </c>
      <c r="I534" s="678">
        <f t="shared" ca="1" si="328"/>
        <v>0</v>
      </c>
      <c r="J534" s="658">
        <f ca="1">+IFERROR(J$5*GETPIVOTDATA("Unique Billed Hours",'County allocation'!$S$3,"County",$D529,"HHA/CDPAP","CDPAP","Level of Service",$D534),0)</f>
        <v>0</v>
      </c>
      <c r="K534" s="658">
        <f ca="1">+IFERROR(K$5*GETPIVOTDATA("Unique Billed Hours",'County allocation'!$X$3,"County",$D529,"HHA/CDPAP","CDPAP","Level of Service",$D534),0)</f>
        <v>0</v>
      </c>
      <c r="L534" s="658">
        <f>+IFERROR(L$5*GETPIVOTDATA("Unique Billed Hours",'County allocation'!$K$19,"County",$D529,"HHA/CDPAP","CDPAP","Level of Service",$D534),0)</f>
        <v>0</v>
      </c>
      <c r="M534" s="658">
        <f>+IFERROR(M$5*GETPIVOTDATA("Unique Billed Hours",'County allocation'!$S$3,"County",$D529,"HHA/CDPAP","CDPAP","Level of Service",$D534),0)</f>
        <v>0</v>
      </c>
      <c r="N534" s="658">
        <f>+IFERROR(N$5*GETPIVOTDATA("Unique Billed Hours",'County allocation'!$S$3,"County",$D529,"HHA/CDPAP","CDPAP","Level of Service",$D534),0)</f>
        <v>0</v>
      </c>
      <c r="O534" s="658">
        <f>+IFERROR(O$5*GETPIVOTDATA("Unique Billed Hours",'County allocation'!$S$3,"County",$D529,"HHA/CDPAP","CDPAP","Level of Service",$D534),0)</f>
        <v>0</v>
      </c>
      <c r="P534" s="658">
        <f>+IFERROR(P$5*GETPIVOTDATA("Unique Billed Hours",'County allocation'!$S$3,"County",$D529,"HHA/CDPAP","CDPAP","Level of Service",$D534),0)</f>
        <v>0</v>
      </c>
    </row>
    <row r="535" spans="1:16" x14ac:dyDescent="0.25">
      <c r="B535" s="24"/>
      <c r="C535" s="9">
        <f t="shared" ca="1" si="326"/>
        <v>1</v>
      </c>
      <c r="D535" s="267" t="s">
        <v>44</v>
      </c>
      <c r="E535" s="48" t="s">
        <v>54</v>
      </c>
      <c r="F535" s="678">
        <f t="shared" ca="1" si="327"/>
        <v>0</v>
      </c>
      <c r="G535" s="658">
        <f ca="1">+IFERROR(G$5*GETPIVOTDATA("Unique Billed Hours",'County allocation'!$A$3,"County",$D529,"HHA/CDPAP","CDPAP","Level of Service",$D535),0)</f>
        <v>0</v>
      </c>
      <c r="H535" s="658">
        <f>+IFERROR(H$5*GETPIVOTDATA("Unique Billed Hours",'County allocation'!$A$3,"County",$D529,"HHA/CDPAP","CDPAP","Level of Service",$D535),0)</f>
        <v>0</v>
      </c>
      <c r="I535" s="678">
        <f t="shared" ca="1" si="328"/>
        <v>0</v>
      </c>
      <c r="J535" s="658">
        <f ca="1">+IFERROR(J$5*GETPIVOTDATA("Unique Billed Hours",'County allocation'!$S$3,"County",$D529,"HHA/CDPAP","CDPAP","Level of Service",$D535),0)</f>
        <v>0</v>
      </c>
      <c r="K535" s="658">
        <f ca="1">+IFERROR(K$5*GETPIVOTDATA("Unique Billed Hours",'County allocation'!$X$3,"County",$D529,"HHA/CDPAP","CDPAP","Level of Service",$D535),0)</f>
        <v>0</v>
      </c>
      <c r="L535" s="658">
        <f>+IFERROR(L$5*GETPIVOTDATA("Unique Billed Hours",'County allocation'!$K$19,"County",$D529,"HHA/CDPAP","CDPAP","Level of Service",$D535),0)</f>
        <v>0</v>
      </c>
      <c r="M535" s="658">
        <f>+IFERROR(M$5*GETPIVOTDATA("Unique Billed Hours",'County allocation'!$S$3,"County",$D529,"HHA/CDPAP","CDPAP","Level of Service",$D535),0)</f>
        <v>0</v>
      </c>
      <c r="N535" s="658">
        <f>+IFERROR(N$5*GETPIVOTDATA("Unique Billed Hours",'County allocation'!$S$3,"County",$D529,"HHA/CDPAP","CDPAP","Level of Service",$D535),0)</f>
        <v>0</v>
      </c>
      <c r="O535" s="658">
        <f>+IFERROR(O$5*GETPIVOTDATA("Unique Billed Hours",'County allocation'!$S$3,"County",$D529,"HHA/CDPAP","CDPAP","Level of Service",$D535),0)</f>
        <v>0</v>
      </c>
      <c r="P535" s="658">
        <f>+IFERROR(P$5*GETPIVOTDATA("Unique Billed Hours",'County allocation'!$S$3,"County",$D529,"HHA/CDPAP","CDPAP","Level of Service",$D535),0)</f>
        <v>0</v>
      </c>
    </row>
    <row r="536" spans="1:16" x14ac:dyDescent="0.25">
      <c r="B536" s="24"/>
      <c r="C536" s="9">
        <f t="shared" ca="1" si="326"/>
        <v>1</v>
      </c>
      <c r="D536" s="267" t="s">
        <v>45</v>
      </c>
      <c r="E536" s="48" t="s">
        <v>53</v>
      </c>
      <c r="F536" s="678">
        <f t="shared" ca="1" si="327"/>
        <v>0</v>
      </c>
      <c r="G536" s="658">
        <f ca="1">+IFERROR(G$5*GETPIVOTDATA("Unique Billed Hours",'County allocation'!$A$3,"County",$D529,"HHA/CDPAP","CDPAP","Level of Service",$D536),0)</f>
        <v>0</v>
      </c>
      <c r="H536" s="658">
        <f>+IFERROR(H$5*GETPIVOTDATA("Unique Billed Hours",'County allocation'!$A$3,"County",$D529,"HHA/CDPAP","CDPAP","Level of Service",$D536),0)</f>
        <v>0</v>
      </c>
      <c r="I536" s="678">
        <f t="shared" ca="1" si="328"/>
        <v>0</v>
      </c>
      <c r="J536" s="658">
        <f ca="1">+IFERROR(J$5*GETPIVOTDATA("Unique Billed Hours",'County allocation'!$S$3,"County",$D529,"HHA/CDPAP","CDPAP","Level of Service",$D536),0)</f>
        <v>0</v>
      </c>
      <c r="K536" s="658">
        <f ca="1">+IFERROR(K$5*GETPIVOTDATA("Unique Billed Hours",'County allocation'!$X$3,"County",$D529,"HHA/CDPAP","CDPAP","Level of Service",$D536),0)</f>
        <v>0</v>
      </c>
      <c r="L536" s="658">
        <f>+IFERROR(L$5*GETPIVOTDATA("Unique Billed Hours",'County allocation'!$K$19,"County",$D529,"HHA/CDPAP","CDPAP","Level of Service",$D536),0)</f>
        <v>0</v>
      </c>
      <c r="M536" s="658">
        <f>+IFERROR(M$5*GETPIVOTDATA("Unique Billed Hours",'County allocation'!$S$3,"County",$D529,"HHA/CDPAP","CDPAP","Level of Service",$D536),0)</f>
        <v>0</v>
      </c>
      <c r="N536" s="658">
        <f>+IFERROR(N$5*GETPIVOTDATA("Unique Billed Hours",'County allocation'!$S$3,"County",$D529,"HHA/CDPAP","CDPAP","Level of Service",$D536),0)</f>
        <v>0</v>
      </c>
      <c r="O536" s="658">
        <f>+IFERROR(O$5*GETPIVOTDATA("Unique Billed Hours",'County allocation'!$S$3,"County",$D529,"HHA/CDPAP","CDPAP","Level of Service",$D536),0)</f>
        <v>0</v>
      </c>
      <c r="P536" s="658">
        <f>+IFERROR(P$5*GETPIVOTDATA("Unique Billed Hours",'County allocation'!$S$3,"County",$D529,"HHA/CDPAP","CDPAP","Level of Service",$D536),0)</f>
        <v>0</v>
      </c>
    </row>
    <row r="537" spans="1:16" x14ac:dyDescent="0.25">
      <c r="A537" s="302"/>
      <c r="B537" s="24"/>
      <c r="C537" s="9">
        <f t="shared" ca="1" si="326"/>
        <v>1</v>
      </c>
      <c r="D537" s="267" t="s">
        <v>46</v>
      </c>
      <c r="E537" s="48" t="s">
        <v>52</v>
      </c>
      <c r="F537" s="678">
        <f t="shared" ca="1" si="327"/>
        <v>0</v>
      </c>
      <c r="G537" s="658">
        <f ca="1">+IFERROR(G$5*GETPIVOTDATA("Unique Billed Hours",'County allocation'!$A$3,"County",$D529,"HHA/CDPAP","CDPAP","Level of Service",$D537),0)</f>
        <v>0</v>
      </c>
      <c r="H537" s="658">
        <f>+IFERROR(H$5*GETPIVOTDATA("Unique Billed Hours",'County allocation'!$A$3,"County",$D529,"HHA/CDPAP","CDPAP","Level of Service",$D537),0)</f>
        <v>0</v>
      </c>
      <c r="I537" s="678">
        <f t="shared" ca="1" si="328"/>
        <v>0</v>
      </c>
      <c r="J537" s="658">
        <f ca="1">+IFERROR(J$5*GETPIVOTDATA("Unique Billed Hours",'County allocation'!$S$3,"County",$D529,"HHA/CDPAP","CDPAP","Level of Service",$D537),0)</f>
        <v>0</v>
      </c>
      <c r="K537" s="658">
        <f ca="1">+IFERROR(K$5*GETPIVOTDATA("Unique Billed Hours",'County allocation'!$X$3,"County",$D529,"HHA/CDPAP","CDPAP","Level of Service",$D537),0)</f>
        <v>0</v>
      </c>
      <c r="L537" s="658">
        <f>+IFERROR(L$5*GETPIVOTDATA("Unique Billed Hours",'County allocation'!$K$19,"County",$D529,"HHA/CDPAP","CDPAP","Level of Service",$D537),0)</f>
        <v>0</v>
      </c>
      <c r="M537" s="658">
        <f>+IFERROR(M$5*GETPIVOTDATA("Unique Billed Hours",'County allocation'!$S$3,"County",$D529,"HHA/CDPAP","CDPAP","Level of Service",$D537),0)</f>
        <v>0</v>
      </c>
      <c r="N537" s="658">
        <f>+IFERROR(N$5*GETPIVOTDATA("Unique Billed Hours",'County allocation'!$S$3,"County",$D529,"HHA/CDPAP","CDPAP","Level of Service",$D537),0)</f>
        <v>0</v>
      </c>
      <c r="O537" s="658">
        <f>+IFERROR(O$5*GETPIVOTDATA("Unique Billed Hours",'County allocation'!$S$3,"County",$D529,"HHA/CDPAP","CDPAP","Level of Service",$D537),0)</f>
        <v>0</v>
      </c>
      <c r="P537" s="658">
        <f>+IFERROR(P$5*GETPIVOTDATA("Unique Billed Hours",'County allocation'!$S$3,"County",$D529,"HHA/CDPAP","CDPAP","Level of Service",$D537),0)</f>
        <v>0</v>
      </c>
    </row>
    <row r="538" spans="1:16" ht="15.75" thickBot="1" x14ac:dyDescent="0.3">
      <c r="A538" s="302"/>
      <c r="B538" s="24"/>
      <c r="C538" s="9">
        <f t="shared" ca="1" si="326"/>
        <v>1</v>
      </c>
      <c r="D538" s="52" t="s">
        <v>389</v>
      </c>
      <c r="E538" s="370" t="s">
        <v>51</v>
      </c>
      <c r="F538" s="679">
        <f ca="1">SUM(F532:F537)</f>
        <v>60293.351390362484</v>
      </c>
      <c r="G538" s="679">
        <f t="shared" ref="G538:H538" ca="1" si="329">SUM(G532:G537)</f>
        <v>2423.9225227559828</v>
      </c>
      <c r="H538" s="679">
        <f t="shared" si="329"/>
        <v>2086.9525399309105</v>
      </c>
      <c r="I538" s="678">
        <f t="shared" ca="1" si="328"/>
        <v>55782.476327675591</v>
      </c>
      <c r="J538" s="679">
        <f ca="1">SUM(J532:J537)</f>
        <v>11036.407026396759</v>
      </c>
      <c r="K538" s="679">
        <f t="shared" ref="K538:P538" ca="1" si="330">SUM(K532:K537)</f>
        <v>44523.248338932775</v>
      </c>
      <c r="L538" s="679">
        <f t="shared" si="330"/>
        <v>0</v>
      </c>
      <c r="M538" s="679">
        <f t="shared" si="330"/>
        <v>205.60085219692937</v>
      </c>
      <c r="N538" s="679">
        <f t="shared" si="330"/>
        <v>17.220110149126441</v>
      </c>
      <c r="O538" s="679">
        <f t="shared" si="330"/>
        <v>0</v>
      </c>
      <c r="P538" s="679">
        <f t="shared" si="330"/>
        <v>0</v>
      </c>
    </row>
    <row r="539" spans="1:16" x14ac:dyDescent="0.25">
      <c r="A539" s="302"/>
      <c r="B539" s="24"/>
      <c r="C539" s="9">
        <f t="shared" ca="1" si="326"/>
        <v>1</v>
      </c>
      <c r="D539" s="378" t="s">
        <v>390</v>
      </c>
      <c r="E539" s="370" t="s">
        <v>50</v>
      </c>
      <c r="F539" s="678">
        <f t="shared" ref="F539" ca="1" si="331">SUM(G539:I539)</f>
        <v>0</v>
      </c>
      <c r="G539" s="658">
        <f ca="1">+IFERROR(G$5*GETPIVOTDATA("Unique Billed Hours",'County allocation'!$A$3,"County",$D529,"HHA/CDPAP","CDPAP","Level of Service",$D539),0)</f>
        <v>0</v>
      </c>
      <c r="H539" s="659"/>
      <c r="I539" s="678">
        <f t="shared" si="328"/>
        <v>0</v>
      </c>
      <c r="J539" s="659"/>
      <c r="K539" s="659"/>
      <c r="L539" s="659"/>
      <c r="M539" s="659"/>
      <c r="N539" s="659"/>
      <c r="O539" s="659"/>
      <c r="P539" s="659"/>
    </row>
    <row r="540" spans="1:16" ht="15.75" thickBot="1" x14ac:dyDescent="0.3">
      <c r="B540" s="24"/>
      <c r="C540" s="9">
        <f t="shared" ca="1" si="326"/>
        <v>1</v>
      </c>
      <c r="D540" s="11" t="s">
        <v>48</v>
      </c>
      <c r="E540" s="53" t="s">
        <v>49</v>
      </c>
      <c r="F540" s="662">
        <f ca="1">SUBTOTAL(9,F532:F537)</f>
        <v>60293.351390362484</v>
      </c>
      <c r="G540" s="662">
        <f t="shared" ref="G540:H540" ca="1" si="332">SUBTOTAL(9,G532:G537)</f>
        <v>2423.9225227559828</v>
      </c>
      <c r="H540" s="662">
        <f t="shared" si="332"/>
        <v>2086.9525399309105</v>
      </c>
      <c r="I540" s="678">
        <f t="shared" ca="1" si="328"/>
        <v>55782.476327675591</v>
      </c>
      <c r="J540" s="662">
        <f t="shared" ref="J540:P540" ca="1" si="333">SUBTOTAL(9,J532:J537)</f>
        <v>11036.407026396759</v>
      </c>
      <c r="K540" s="662">
        <f t="shared" ca="1" si="333"/>
        <v>44523.248338932775</v>
      </c>
      <c r="L540" s="662">
        <f t="shared" si="333"/>
        <v>0</v>
      </c>
      <c r="M540" s="662">
        <f t="shared" si="333"/>
        <v>205.60085219692937</v>
      </c>
      <c r="N540" s="662">
        <f t="shared" si="333"/>
        <v>17.220110149126441</v>
      </c>
      <c r="O540" s="662">
        <f t="shared" si="333"/>
        <v>0</v>
      </c>
      <c r="P540" s="662">
        <f t="shared" si="333"/>
        <v>0</v>
      </c>
    </row>
    <row r="541" spans="1:16" ht="15.75" hidden="1" thickBot="1" x14ac:dyDescent="0.3"/>
    <row r="542" spans="1:16" ht="75" x14ac:dyDescent="0.25">
      <c r="A542" s="60"/>
      <c r="B542" s="24"/>
      <c r="C542" s="9">
        <f ca="1">IF(F553&gt;0,1,0)</f>
        <v>1</v>
      </c>
      <c r="D542" s="45" t="str">
        <f>A44</f>
        <v>Queens</v>
      </c>
      <c r="E542" s="28">
        <f>SUMIF(A:A,D542,B:B)</f>
        <v>0.13455152735828174</v>
      </c>
      <c r="F542" s="652" t="s">
        <v>396</v>
      </c>
      <c r="G542" s="652" t="s">
        <v>387</v>
      </c>
      <c r="H542" s="652" t="s">
        <v>388</v>
      </c>
      <c r="I542" s="652" t="s">
        <v>392</v>
      </c>
      <c r="J542" s="652" t="s">
        <v>31</v>
      </c>
      <c r="K542" s="652" t="s">
        <v>32</v>
      </c>
      <c r="L542" s="653" t="s">
        <v>33</v>
      </c>
      <c r="M542" s="653" t="s">
        <v>60</v>
      </c>
      <c r="N542" s="653" t="s">
        <v>59</v>
      </c>
      <c r="O542" s="653" t="s">
        <v>58</v>
      </c>
      <c r="P542" s="653" t="s">
        <v>16</v>
      </c>
    </row>
    <row r="543" spans="1:16" x14ac:dyDescent="0.25">
      <c r="A543" s="60"/>
      <c r="B543" s="24"/>
      <c r="C543" s="9">
        <f ca="1">C542</f>
        <v>1</v>
      </c>
      <c r="D543" s="47"/>
      <c r="E543" s="48"/>
      <c r="F543" s="669" t="s">
        <v>57</v>
      </c>
      <c r="G543" s="669" t="s">
        <v>56</v>
      </c>
      <c r="H543" s="669" t="s">
        <v>55</v>
      </c>
      <c r="I543" s="669" t="s">
        <v>54</v>
      </c>
      <c r="J543" s="669" t="s">
        <v>53</v>
      </c>
      <c r="K543" s="669" t="s">
        <v>52</v>
      </c>
      <c r="L543" s="669" t="s">
        <v>51</v>
      </c>
      <c r="M543" s="669" t="s">
        <v>50</v>
      </c>
      <c r="N543" s="669" t="s">
        <v>49</v>
      </c>
      <c r="O543" s="669" t="s">
        <v>47</v>
      </c>
      <c r="P543" s="670" t="s">
        <v>77</v>
      </c>
    </row>
    <row r="544" spans="1:16" x14ac:dyDescent="0.25">
      <c r="B544" s="24"/>
      <c r="C544" s="9">
        <f t="shared" ref="C544:C553" ca="1" si="334">C543</f>
        <v>1</v>
      </c>
      <c r="D544" s="51" t="s">
        <v>26</v>
      </c>
      <c r="E544" s="48"/>
      <c r="F544" s="674"/>
      <c r="G544" s="674"/>
      <c r="H544" s="674"/>
      <c r="I544" s="674"/>
      <c r="J544" s="674"/>
      <c r="K544" s="674"/>
      <c r="L544" s="675"/>
      <c r="M544" s="675"/>
      <c r="N544" s="676"/>
      <c r="O544" s="674"/>
      <c r="P544" s="677"/>
    </row>
    <row r="545" spans="1:16" x14ac:dyDescent="0.25">
      <c r="B545" s="24"/>
      <c r="C545" s="9">
        <f t="shared" ca="1" si="334"/>
        <v>1</v>
      </c>
      <c r="D545" s="267" t="s">
        <v>18</v>
      </c>
      <c r="E545" s="48" t="s">
        <v>57</v>
      </c>
      <c r="F545" s="678">
        <f ca="1">SUM(G545:I545)</f>
        <v>11549896.312196871</v>
      </c>
      <c r="G545" s="658">
        <f ca="1">+IFERROR(G$5*GETPIVOTDATA("Unique Billed Hours",'County allocation'!$A$3,"County",$D542,"HHA/CDPAP","CDPAP","Level of Service",$D545),0)</f>
        <v>464330.69585687784</v>
      </c>
      <c r="H545" s="658">
        <f>+IFERROR(H$5*GETPIVOTDATA("Unique Billed Hours",'County allocation'!$A$3,"County",$D542,"HHA/CDPAP","CDPAP","Level of Service",$D545),0)</f>
        <v>399780.15633297182</v>
      </c>
      <c r="I545" s="678">
        <f ca="1">SUM(J545:P545)</f>
        <v>10685785.460007021</v>
      </c>
      <c r="J545" s="658">
        <f ca="1">+IFERROR(J$5*GETPIVOTDATA("Unique Billed Hours",'County allocation'!$S$3,"County",$D542,"HHA/CDPAP","CDPAP","Level of Service",$D545),0)</f>
        <v>2114152.785914945</v>
      </c>
      <c r="K545" s="658">
        <f ca="1">+IFERROR(K$5*GETPIVOTDATA("Unique Billed Hours",'County allocation'!$X$3,"County",$D542,"HHA/CDPAP","CDPAP","Level of Service",$D545),0)</f>
        <v>8528948.713888593</v>
      </c>
      <c r="L545" s="658">
        <f>+IFERROR(L$5*GETPIVOTDATA("Unique Billed Hours",'County allocation'!$K$19,"County",$D542,"HHA/CDPAP","CDPAP","Level of Service",$D545),0)</f>
        <v>0</v>
      </c>
      <c r="M545" s="658">
        <f>+IFERROR(M$5*GETPIVOTDATA("Unique Billed Hours",'County allocation'!$S$3,"County",$D542,"HHA/CDPAP","CDPAP","Level of Service",$D545),0)</f>
        <v>39385.246794448787</v>
      </c>
      <c r="N545" s="658">
        <f>+IFERROR(N$5*GETPIVOTDATA("Unique Billed Hours",'County allocation'!$S$3,"County",$D542,"HHA/CDPAP","CDPAP","Level of Service",$D545),0)</f>
        <v>3298.7134090345289</v>
      </c>
      <c r="O545" s="658">
        <f>+IFERROR(O$5*GETPIVOTDATA("Unique Billed Hours",'County allocation'!$S$3,"County",$D542,"HHA/CDPAP","CDPAP","Level of Service",$D545),0)</f>
        <v>0</v>
      </c>
      <c r="P545" s="658">
        <f>+IFERROR(P$5*GETPIVOTDATA("Unique Billed Hours",'County allocation'!$S$3,"County",$D542,"HHA/CDPAP","CDPAP","Level of Service",$D545),0)</f>
        <v>0</v>
      </c>
    </row>
    <row r="546" spans="1:16" x14ac:dyDescent="0.25">
      <c r="B546" s="24"/>
      <c r="C546" s="9">
        <f t="shared" ca="1" si="334"/>
        <v>1</v>
      </c>
      <c r="D546" s="267" t="s">
        <v>42</v>
      </c>
      <c r="E546" s="48" t="s">
        <v>56</v>
      </c>
      <c r="F546" s="678">
        <f t="shared" ref="F546:F550" ca="1" si="335">SUM(G546:I546)</f>
        <v>0</v>
      </c>
      <c r="G546" s="658">
        <f ca="1">+IFERROR(G$5*GETPIVOTDATA("Unique Billed Hours",'County allocation'!$A$3,"County",$D542,"HHA/CDPAP","CDPAP","Level of Service",$D546),0)</f>
        <v>0</v>
      </c>
      <c r="H546" s="658">
        <f>+IFERROR(H$5*GETPIVOTDATA("Unique Billed Hours",'County allocation'!$A$3,"County",$D542,"HHA/CDPAP","CDPAP","Level of Service",$D546),0)</f>
        <v>0</v>
      </c>
      <c r="I546" s="678">
        <f t="shared" ref="I546:I553" ca="1" si="336">SUM(J546:P546)</f>
        <v>0</v>
      </c>
      <c r="J546" s="658">
        <f ca="1">+IFERROR(J$5*GETPIVOTDATA("Unique Billed Hours",'County allocation'!$S$3,"County",$D542,"HHA/CDPAP","CDPAP","Level of Service",$D546),0)</f>
        <v>0</v>
      </c>
      <c r="K546" s="658">
        <f ca="1">+IFERROR(K$5*GETPIVOTDATA("Unique Billed Hours",'County allocation'!$X$3,"County",$D542,"HHA/CDPAP","CDPAP","Level of Service",$D546),0)</f>
        <v>0</v>
      </c>
      <c r="L546" s="658">
        <f>+IFERROR(L$5*GETPIVOTDATA("Unique Billed Hours",'County allocation'!$K$19,"County",$D542,"HHA/CDPAP","CDPAP","Level of Service",$D546),0)</f>
        <v>0</v>
      </c>
      <c r="M546" s="658">
        <f>+IFERROR(M$5*GETPIVOTDATA("Unique Billed Hours",'County allocation'!$S$3,"County",$D542,"HHA/CDPAP","CDPAP","Level of Service",$D546),0)</f>
        <v>0</v>
      </c>
      <c r="N546" s="658">
        <f>+IFERROR(N$5*GETPIVOTDATA("Unique Billed Hours",'County allocation'!$S$3,"County",$D542,"HHA/CDPAP","CDPAP","Level of Service",$D546),0)</f>
        <v>0</v>
      </c>
      <c r="O546" s="658">
        <f>+IFERROR(O$5*GETPIVOTDATA("Unique Billed Hours",'County allocation'!$S$3,"County",$D542,"HHA/CDPAP","CDPAP","Level of Service",$D546),0)</f>
        <v>0</v>
      </c>
      <c r="P546" s="658">
        <f>+IFERROR(P$5*GETPIVOTDATA("Unique Billed Hours",'County allocation'!$S$3,"County",$D542,"HHA/CDPAP","CDPAP","Level of Service",$D546),0)</f>
        <v>0</v>
      </c>
    </row>
    <row r="547" spans="1:16" x14ac:dyDescent="0.25">
      <c r="B547" s="24"/>
      <c r="C547" s="9">
        <f t="shared" ca="1" si="334"/>
        <v>1</v>
      </c>
      <c r="D547" s="267" t="s">
        <v>43</v>
      </c>
      <c r="E547" s="48" t="s">
        <v>55</v>
      </c>
      <c r="F547" s="678">
        <f t="shared" ca="1" si="335"/>
        <v>0</v>
      </c>
      <c r="G547" s="658">
        <f ca="1">+IFERROR(G$5*GETPIVOTDATA("Unique Billed Hours",'County allocation'!$A$3,"County",$D542,"HHA/CDPAP","CDPAP","Level of Service",$D547),0)</f>
        <v>0</v>
      </c>
      <c r="H547" s="658">
        <f>+IFERROR(H$5*GETPIVOTDATA("Unique Billed Hours",'County allocation'!$A$3,"County",$D542,"HHA/CDPAP","CDPAP","Level of Service",$D547),0)</f>
        <v>0</v>
      </c>
      <c r="I547" s="678">
        <f t="shared" ca="1" si="336"/>
        <v>0</v>
      </c>
      <c r="J547" s="658">
        <f ca="1">+IFERROR(J$5*GETPIVOTDATA("Unique Billed Hours",'County allocation'!$S$3,"County",$D542,"HHA/CDPAP","CDPAP","Level of Service",$D547),0)</f>
        <v>0</v>
      </c>
      <c r="K547" s="658">
        <f ca="1">+IFERROR(K$5*GETPIVOTDATA("Unique Billed Hours",'County allocation'!$X$3,"County",$D542,"HHA/CDPAP","CDPAP","Level of Service",$D547),0)</f>
        <v>0</v>
      </c>
      <c r="L547" s="658">
        <f>+IFERROR(L$5*GETPIVOTDATA("Unique Billed Hours",'County allocation'!$K$19,"County",$D542,"HHA/CDPAP","CDPAP","Level of Service",$D547),0)</f>
        <v>0</v>
      </c>
      <c r="M547" s="658">
        <f>+IFERROR(M$5*GETPIVOTDATA("Unique Billed Hours",'County allocation'!$S$3,"County",$D542,"HHA/CDPAP","CDPAP","Level of Service",$D547),0)</f>
        <v>0</v>
      </c>
      <c r="N547" s="658">
        <f>+IFERROR(N$5*GETPIVOTDATA("Unique Billed Hours",'County allocation'!$S$3,"County",$D542,"HHA/CDPAP","CDPAP","Level of Service",$D547),0)</f>
        <v>0</v>
      </c>
      <c r="O547" s="658">
        <f>+IFERROR(O$5*GETPIVOTDATA("Unique Billed Hours",'County allocation'!$S$3,"County",$D542,"HHA/CDPAP","CDPAP","Level of Service",$D547),0)</f>
        <v>0</v>
      </c>
      <c r="P547" s="658">
        <f>+IFERROR(P$5*GETPIVOTDATA("Unique Billed Hours",'County allocation'!$S$3,"County",$D542,"HHA/CDPAP","CDPAP","Level of Service",$D547),0)</f>
        <v>0</v>
      </c>
    </row>
    <row r="548" spans="1:16" x14ac:dyDescent="0.25">
      <c r="B548" s="24"/>
      <c r="C548" s="9">
        <f t="shared" ca="1" si="334"/>
        <v>1</v>
      </c>
      <c r="D548" s="267" t="s">
        <v>44</v>
      </c>
      <c r="E548" s="48" t="s">
        <v>54</v>
      </c>
      <c r="F548" s="678">
        <f t="shared" ca="1" si="335"/>
        <v>48910.45409066612</v>
      </c>
      <c r="G548" s="658">
        <f ca="1">+IFERROR(G$5*GETPIVOTDATA("Unique Billed Hours",'County allocation'!$A$3,"County",$D542,"HHA/CDPAP","CDPAP","Level of Service",$D548),0)</f>
        <v>1966.3055467097224</v>
      </c>
      <c r="H548" s="658">
        <f>+IFERROR(H$5*GETPIVOTDATA("Unique Billed Hours",'County allocation'!$A$3,"County",$D542,"HHA/CDPAP","CDPAP","Level of Service",$D548),0)</f>
        <v>1692.9527724014645</v>
      </c>
      <c r="I548" s="678">
        <f t="shared" ca="1" si="336"/>
        <v>45251.195771554936</v>
      </c>
      <c r="J548" s="658">
        <f ca="1">+IFERROR(J$5*GETPIVOTDATA("Unique Billed Hours",'County allocation'!$S$3,"County",$D542,"HHA/CDPAP","CDPAP","Level of Service",$D548),0)</f>
        <v>8952.8226038661815</v>
      </c>
      <c r="K548" s="658">
        <f ca="1">+IFERROR(K$5*GETPIVOTDATA("Unique Billed Hours",'County allocation'!$X$3,"County",$D542,"HHA/CDPAP","CDPAP","Level of Service",$D548),0)</f>
        <v>36117.619001633109</v>
      </c>
      <c r="L548" s="658">
        <f>+IFERROR(L$5*GETPIVOTDATA("Unique Billed Hours",'County allocation'!$K$19,"County",$D542,"HHA/CDPAP","CDPAP","Level of Service",$D548),0)</f>
        <v>0</v>
      </c>
      <c r="M548" s="658">
        <f>+IFERROR(M$5*GETPIVOTDATA("Unique Billed Hours",'County allocation'!$S$3,"County",$D542,"HHA/CDPAP","CDPAP","Level of Service",$D548),0)</f>
        <v>166.78507348634693</v>
      </c>
      <c r="N548" s="658">
        <f>+IFERROR(N$5*GETPIVOTDATA("Unique Billed Hours",'County allocation'!$S$3,"County",$D542,"HHA/CDPAP","CDPAP","Level of Service",$D548),0)</f>
        <v>13.969092569295956</v>
      </c>
      <c r="O548" s="658">
        <f>+IFERROR(O$5*GETPIVOTDATA("Unique Billed Hours",'County allocation'!$S$3,"County",$D542,"HHA/CDPAP","CDPAP","Level of Service",$D548),0)</f>
        <v>0</v>
      </c>
      <c r="P548" s="658">
        <f>+IFERROR(P$5*GETPIVOTDATA("Unique Billed Hours",'County allocation'!$S$3,"County",$D542,"HHA/CDPAP","CDPAP","Level of Service",$D548),0)</f>
        <v>0</v>
      </c>
    </row>
    <row r="549" spans="1:16" x14ac:dyDescent="0.25">
      <c r="B549" s="24"/>
      <c r="C549" s="9">
        <f t="shared" ca="1" si="334"/>
        <v>1</v>
      </c>
      <c r="D549" s="267" t="s">
        <v>45</v>
      </c>
      <c r="E549" s="48" t="s">
        <v>53</v>
      </c>
      <c r="F549" s="678">
        <f t="shared" ca="1" si="335"/>
        <v>0</v>
      </c>
      <c r="G549" s="658">
        <f ca="1">+IFERROR(G$5*GETPIVOTDATA("Unique Billed Hours",'County allocation'!$A$3,"County",$D542,"HHA/CDPAP","CDPAP","Level of Service",$D549),0)</f>
        <v>0</v>
      </c>
      <c r="H549" s="658">
        <f>+IFERROR(H$5*GETPIVOTDATA("Unique Billed Hours",'County allocation'!$A$3,"County",$D542,"HHA/CDPAP","CDPAP","Level of Service",$D549),0)</f>
        <v>0</v>
      </c>
      <c r="I549" s="678">
        <f t="shared" ca="1" si="336"/>
        <v>0</v>
      </c>
      <c r="J549" s="658">
        <f ca="1">+IFERROR(J$5*GETPIVOTDATA("Unique Billed Hours",'County allocation'!$S$3,"County",$D542,"HHA/CDPAP","CDPAP","Level of Service",$D549),0)</f>
        <v>0</v>
      </c>
      <c r="K549" s="658">
        <f ca="1">+IFERROR(K$5*GETPIVOTDATA("Unique Billed Hours",'County allocation'!$X$3,"County",$D542,"HHA/CDPAP","CDPAP","Level of Service",$D549),0)</f>
        <v>0</v>
      </c>
      <c r="L549" s="658">
        <f>+IFERROR(L$5*GETPIVOTDATA("Unique Billed Hours",'County allocation'!$K$19,"County",$D542,"HHA/CDPAP","CDPAP","Level of Service",$D549),0)</f>
        <v>0</v>
      </c>
      <c r="M549" s="658">
        <f>+IFERROR(M$5*GETPIVOTDATA("Unique Billed Hours",'County allocation'!$S$3,"County",$D542,"HHA/CDPAP","CDPAP","Level of Service",$D549),0)</f>
        <v>0</v>
      </c>
      <c r="N549" s="658">
        <f>+IFERROR(N$5*GETPIVOTDATA("Unique Billed Hours",'County allocation'!$S$3,"County",$D542,"HHA/CDPAP","CDPAP","Level of Service",$D549),0)</f>
        <v>0</v>
      </c>
      <c r="O549" s="658">
        <f>+IFERROR(O$5*GETPIVOTDATA("Unique Billed Hours",'County allocation'!$S$3,"County",$D542,"HHA/CDPAP","CDPAP","Level of Service",$D549),0)</f>
        <v>0</v>
      </c>
      <c r="P549" s="658">
        <f>+IFERROR(P$5*GETPIVOTDATA("Unique Billed Hours",'County allocation'!$S$3,"County",$D542,"HHA/CDPAP","CDPAP","Level of Service",$D549),0)</f>
        <v>0</v>
      </c>
    </row>
    <row r="550" spans="1:16" x14ac:dyDescent="0.25">
      <c r="A550" s="302"/>
      <c r="B550" s="24"/>
      <c r="C550" s="9">
        <f t="shared" ca="1" si="334"/>
        <v>1</v>
      </c>
      <c r="D550" s="267" t="s">
        <v>46</v>
      </c>
      <c r="E550" s="48" t="s">
        <v>52</v>
      </c>
      <c r="F550" s="678">
        <f t="shared" ca="1" si="335"/>
        <v>0</v>
      </c>
      <c r="G550" s="658">
        <f ca="1">+IFERROR(G$5*GETPIVOTDATA("Unique Billed Hours",'County allocation'!$A$3,"County",$D542,"HHA/CDPAP","CDPAP","Level of Service",$D550),0)</f>
        <v>0</v>
      </c>
      <c r="H550" s="658">
        <f>+IFERROR(H$5*GETPIVOTDATA("Unique Billed Hours",'County allocation'!$A$3,"County",$D542,"HHA/CDPAP","CDPAP","Level of Service",$D550),0)</f>
        <v>0</v>
      </c>
      <c r="I550" s="678">
        <f t="shared" ca="1" si="336"/>
        <v>0</v>
      </c>
      <c r="J550" s="658">
        <f ca="1">+IFERROR(J$5*GETPIVOTDATA("Unique Billed Hours",'County allocation'!$S$3,"County",$D542,"HHA/CDPAP","CDPAP","Level of Service",$D550),0)</f>
        <v>0</v>
      </c>
      <c r="K550" s="658">
        <f ca="1">+IFERROR(K$5*GETPIVOTDATA("Unique Billed Hours",'County allocation'!$X$3,"County",$D542,"HHA/CDPAP","CDPAP","Level of Service",$D550),0)</f>
        <v>0</v>
      </c>
      <c r="L550" s="658">
        <f>+IFERROR(L$5*GETPIVOTDATA("Unique Billed Hours",'County allocation'!$K$19,"County",$D542,"HHA/CDPAP","CDPAP","Level of Service",$D550),0)</f>
        <v>0</v>
      </c>
      <c r="M550" s="658">
        <f>+IFERROR(M$5*GETPIVOTDATA("Unique Billed Hours",'County allocation'!$S$3,"County",$D542,"HHA/CDPAP","CDPAP","Level of Service",$D550),0)</f>
        <v>0</v>
      </c>
      <c r="N550" s="658">
        <f>+IFERROR(N$5*GETPIVOTDATA("Unique Billed Hours",'County allocation'!$S$3,"County",$D542,"HHA/CDPAP","CDPAP","Level of Service",$D550),0)</f>
        <v>0</v>
      </c>
      <c r="O550" s="658">
        <f>+IFERROR(O$5*GETPIVOTDATA("Unique Billed Hours",'County allocation'!$S$3,"County",$D542,"HHA/CDPAP","CDPAP","Level of Service",$D550),0)</f>
        <v>0</v>
      </c>
      <c r="P550" s="658">
        <f>+IFERROR(P$5*GETPIVOTDATA("Unique Billed Hours",'County allocation'!$S$3,"County",$D542,"HHA/CDPAP","CDPAP","Level of Service",$D550),0)</f>
        <v>0</v>
      </c>
    </row>
    <row r="551" spans="1:16" ht="15.75" thickBot="1" x14ac:dyDescent="0.3">
      <c r="A551" s="302"/>
      <c r="B551" s="24"/>
      <c r="C551" s="9">
        <f t="shared" ca="1" si="334"/>
        <v>1</v>
      </c>
      <c r="D551" s="52" t="s">
        <v>389</v>
      </c>
      <c r="E551" s="370" t="s">
        <v>51</v>
      </c>
      <c r="F551" s="679">
        <f ca="1">SUM(F545:F550)</f>
        <v>11598806.766287537</v>
      </c>
      <c r="G551" s="679">
        <f t="shared" ref="G551:H551" ca="1" si="337">SUM(G545:G550)</f>
        <v>466297.00140358758</v>
      </c>
      <c r="H551" s="679">
        <f t="shared" si="337"/>
        <v>401473.10910537327</v>
      </c>
      <c r="I551" s="678">
        <f t="shared" ca="1" si="336"/>
        <v>10731036.655778574</v>
      </c>
      <c r="J551" s="679">
        <f ca="1">SUM(J545:J550)</f>
        <v>2123105.6085188109</v>
      </c>
      <c r="K551" s="679">
        <f t="shared" ref="K551:P551" ca="1" si="338">SUM(K545:K550)</f>
        <v>8565066.3328902256</v>
      </c>
      <c r="L551" s="679">
        <f t="shared" si="338"/>
        <v>0</v>
      </c>
      <c r="M551" s="679">
        <f t="shared" si="338"/>
        <v>39552.031867935133</v>
      </c>
      <c r="N551" s="679">
        <f t="shared" si="338"/>
        <v>3312.6825016038247</v>
      </c>
      <c r="O551" s="679">
        <f t="shared" si="338"/>
        <v>0</v>
      </c>
      <c r="P551" s="679">
        <f t="shared" si="338"/>
        <v>0</v>
      </c>
    </row>
    <row r="552" spans="1:16" x14ac:dyDescent="0.25">
      <c r="A552" s="302"/>
      <c r="B552" s="24"/>
      <c r="C552" s="9">
        <f t="shared" ca="1" si="334"/>
        <v>1</v>
      </c>
      <c r="D552" s="378" t="s">
        <v>390</v>
      </c>
      <c r="E552" s="370" t="s">
        <v>50</v>
      </c>
      <c r="F552" s="678">
        <f t="shared" ref="F552" ca="1" si="339">SUM(G552:I552)</f>
        <v>0</v>
      </c>
      <c r="G552" s="658">
        <f ca="1">+IFERROR(G$5*GETPIVOTDATA("Unique Billed Hours",'County allocation'!$A$3,"County",$D542,"HHA/CDPAP","CDPAP","Level of Service",$D552),0)</f>
        <v>0</v>
      </c>
      <c r="H552" s="659"/>
      <c r="I552" s="678">
        <f t="shared" si="336"/>
        <v>0</v>
      </c>
      <c r="J552" s="659"/>
      <c r="K552" s="659"/>
      <c r="L552" s="659"/>
      <c r="M552" s="659"/>
      <c r="N552" s="659"/>
      <c r="O552" s="659"/>
      <c r="P552" s="659"/>
    </row>
    <row r="553" spans="1:16" ht="15.75" thickBot="1" x14ac:dyDescent="0.3">
      <c r="B553" s="24"/>
      <c r="C553" s="9">
        <f t="shared" ca="1" si="334"/>
        <v>1</v>
      </c>
      <c r="D553" s="11" t="s">
        <v>48</v>
      </c>
      <c r="E553" s="53" t="s">
        <v>49</v>
      </c>
      <c r="F553" s="662">
        <f ca="1">SUBTOTAL(9,F545:F550)</f>
        <v>11598806.766287537</v>
      </c>
      <c r="G553" s="662">
        <f t="shared" ref="G553:H553" ca="1" si="340">SUBTOTAL(9,G545:G550)</f>
        <v>466297.00140358758</v>
      </c>
      <c r="H553" s="662">
        <f t="shared" si="340"/>
        <v>401473.10910537327</v>
      </c>
      <c r="I553" s="678">
        <f t="shared" ca="1" si="336"/>
        <v>10731036.655778574</v>
      </c>
      <c r="J553" s="662">
        <f t="shared" ref="J553:P553" ca="1" si="341">SUBTOTAL(9,J545:J550)</f>
        <v>2123105.6085188109</v>
      </c>
      <c r="K553" s="662">
        <f t="shared" ca="1" si="341"/>
        <v>8565066.3328902256</v>
      </c>
      <c r="L553" s="662">
        <f t="shared" si="341"/>
        <v>0</v>
      </c>
      <c r="M553" s="662">
        <f t="shared" si="341"/>
        <v>39552.031867935133</v>
      </c>
      <c r="N553" s="662">
        <f t="shared" si="341"/>
        <v>3312.6825016038247</v>
      </c>
      <c r="O553" s="662">
        <f t="shared" si="341"/>
        <v>0</v>
      </c>
      <c r="P553" s="662">
        <f t="shared" si="341"/>
        <v>0</v>
      </c>
    </row>
    <row r="554" spans="1:16" ht="15.75" hidden="1" thickBot="1" x14ac:dyDescent="0.3"/>
    <row r="555" spans="1:16" ht="75" x14ac:dyDescent="0.25">
      <c r="A555" s="60"/>
      <c r="B555" s="24"/>
      <c r="C555" s="9">
        <f ca="1">IF(F566&gt;0,1,0)</f>
        <v>1</v>
      </c>
      <c r="D555" s="45" t="str">
        <f>A45</f>
        <v>Rensselaer</v>
      </c>
      <c r="E555" s="28">
        <f>SUMIF(A:A,D555,B:B)</f>
        <v>1.1879078473435285E-2</v>
      </c>
      <c r="F555" s="652" t="s">
        <v>396</v>
      </c>
      <c r="G555" s="652" t="s">
        <v>387</v>
      </c>
      <c r="H555" s="652" t="s">
        <v>388</v>
      </c>
      <c r="I555" s="652" t="s">
        <v>392</v>
      </c>
      <c r="J555" s="652" t="s">
        <v>31</v>
      </c>
      <c r="K555" s="652" t="s">
        <v>32</v>
      </c>
      <c r="L555" s="653" t="s">
        <v>33</v>
      </c>
      <c r="M555" s="653" t="s">
        <v>60</v>
      </c>
      <c r="N555" s="653" t="s">
        <v>59</v>
      </c>
      <c r="O555" s="653" t="s">
        <v>58</v>
      </c>
      <c r="P555" s="653" t="s">
        <v>16</v>
      </c>
    </row>
    <row r="556" spans="1:16" x14ac:dyDescent="0.25">
      <c r="A556" s="60"/>
      <c r="B556" s="24"/>
      <c r="C556" s="9">
        <f ca="1">C555</f>
        <v>1</v>
      </c>
      <c r="D556" s="47"/>
      <c r="E556" s="48"/>
      <c r="F556" s="669" t="s">
        <v>57</v>
      </c>
      <c r="G556" s="669" t="s">
        <v>56</v>
      </c>
      <c r="H556" s="669" t="s">
        <v>55</v>
      </c>
      <c r="I556" s="669" t="s">
        <v>54</v>
      </c>
      <c r="J556" s="669" t="s">
        <v>53</v>
      </c>
      <c r="K556" s="669" t="s">
        <v>52</v>
      </c>
      <c r="L556" s="669" t="s">
        <v>51</v>
      </c>
      <c r="M556" s="669" t="s">
        <v>50</v>
      </c>
      <c r="N556" s="669" t="s">
        <v>49</v>
      </c>
      <c r="O556" s="669" t="s">
        <v>47</v>
      </c>
      <c r="P556" s="670" t="s">
        <v>77</v>
      </c>
    </row>
    <row r="557" spans="1:16" x14ac:dyDescent="0.25">
      <c r="B557" s="24"/>
      <c r="C557" s="9">
        <f t="shared" ref="C557:C566" ca="1" si="342">C556</f>
        <v>1</v>
      </c>
      <c r="D557" s="51" t="s">
        <v>26</v>
      </c>
      <c r="E557" s="48"/>
      <c r="F557" s="674"/>
      <c r="G557" s="674"/>
      <c r="H557" s="674"/>
      <c r="I557" s="674"/>
      <c r="J557" s="674"/>
      <c r="K557" s="674"/>
      <c r="L557" s="675"/>
      <c r="M557" s="675"/>
      <c r="N557" s="676"/>
      <c r="O557" s="674"/>
      <c r="P557" s="677"/>
    </row>
    <row r="558" spans="1:16" x14ac:dyDescent="0.25">
      <c r="B558" s="24"/>
      <c r="C558" s="9">
        <f t="shared" ca="1" si="342"/>
        <v>1</v>
      </c>
      <c r="D558" s="267" t="s">
        <v>18</v>
      </c>
      <c r="E558" s="48" t="s">
        <v>57</v>
      </c>
      <c r="F558" s="678">
        <f ca="1">SUM(G558:I558)</f>
        <v>1022289.4208454313</v>
      </c>
      <c r="G558" s="658">
        <f ca="1">+IFERROR(G$5*GETPIVOTDATA("Unique Billed Hours",'County allocation'!$A$3,"County",$D555,"HHA/CDPAP","CDPAP","Level of Service",$D558),0)</f>
        <v>41098.235457491835</v>
      </c>
      <c r="H558" s="658">
        <f>+IFERROR(H$5*GETPIVOTDATA("Unique Billed Hours",'County allocation'!$A$3,"County",$D555,"HHA/CDPAP","CDPAP","Level of Service",$D558),0)</f>
        <v>35384.82194437932</v>
      </c>
      <c r="I558" s="678">
        <f ca="1">SUM(J558:P558)</f>
        <v>945806.36344356008</v>
      </c>
      <c r="J558" s="658">
        <f ca="1">+IFERROR(J$5*GETPIVOTDATA("Unique Billed Hours",'County allocation'!$S$3,"County",$D555,"HHA/CDPAP","CDPAP","Level of Service",$D558),0)</f>
        <v>187125.14542744445</v>
      </c>
      <c r="K558" s="658">
        <f ca="1">+IFERROR(K$5*GETPIVOTDATA("Unique Billed Hours",'County allocation'!$X$3,"County",$D555,"HHA/CDPAP","CDPAP","Level of Service",$D558),0)</f>
        <v>754903.23077048734</v>
      </c>
      <c r="L558" s="658">
        <f>+IFERROR(L$5*GETPIVOTDATA("Unique Billed Hours",'County allocation'!$K$19,"County",$D555,"HHA/CDPAP","CDPAP","Level of Service",$D558),0)</f>
        <v>0</v>
      </c>
      <c r="M558" s="658">
        <f>+IFERROR(M$5*GETPIVOTDATA("Unique Billed Hours",'County allocation'!$S$3,"County",$D555,"HHA/CDPAP","CDPAP","Level of Service",$D558),0)</f>
        <v>3486.0158088893786</v>
      </c>
      <c r="N558" s="658">
        <f>+IFERROR(N$5*GETPIVOTDATA("Unique Billed Hours",'County allocation'!$S$3,"County",$D555,"HHA/CDPAP","CDPAP","Level of Service",$D558),0)</f>
        <v>291.97143673885876</v>
      </c>
      <c r="O558" s="658">
        <f>+IFERROR(O$5*GETPIVOTDATA("Unique Billed Hours",'County allocation'!$S$3,"County",$D555,"HHA/CDPAP","CDPAP","Level of Service",$D558),0)</f>
        <v>0</v>
      </c>
      <c r="P558" s="658">
        <f>+IFERROR(P$5*GETPIVOTDATA("Unique Billed Hours",'County allocation'!$S$3,"County",$D555,"HHA/CDPAP","CDPAP","Level of Service",$D558),0)</f>
        <v>0</v>
      </c>
    </row>
    <row r="559" spans="1:16" x14ac:dyDescent="0.25">
      <c r="B559" s="24"/>
      <c r="C559" s="9">
        <f t="shared" ca="1" si="342"/>
        <v>1</v>
      </c>
      <c r="D559" s="267" t="s">
        <v>42</v>
      </c>
      <c r="E559" s="48" t="s">
        <v>56</v>
      </c>
      <c r="F559" s="678">
        <f t="shared" ref="F559:F563" ca="1" si="343">SUM(G559:I559)</f>
        <v>0</v>
      </c>
      <c r="G559" s="658">
        <f ca="1">+IFERROR(G$5*GETPIVOTDATA("Unique Billed Hours",'County allocation'!$A$3,"County",$D555,"HHA/CDPAP","CDPAP","Level of Service",$D559),0)</f>
        <v>0</v>
      </c>
      <c r="H559" s="658">
        <f>+IFERROR(H$5*GETPIVOTDATA("Unique Billed Hours",'County allocation'!$A$3,"County",$D555,"HHA/CDPAP","CDPAP","Level of Service",$D559),0)</f>
        <v>0</v>
      </c>
      <c r="I559" s="678">
        <f t="shared" ref="I559:I566" ca="1" si="344">SUM(J559:P559)</f>
        <v>0</v>
      </c>
      <c r="J559" s="658">
        <f ca="1">+IFERROR(J$5*GETPIVOTDATA("Unique Billed Hours",'County allocation'!$S$3,"County",$D555,"HHA/CDPAP","CDPAP","Level of Service",$D559),0)</f>
        <v>0</v>
      </c>
      <c r="K559" s="658">
        <f ca="1">+IFERROR(K$5*GETPIVOTDATA("Unique Billed Hours",'County allocation'!$X$3,"County",$D555,"HHA/CDPAP","CDPAP","Level of Service",$D559),0)</f>
        <v>0</v>
      </c>
      <c r="L559" s="658">
        <f>+IFERROR(L$5*GETPIVOTDATA("Unique Billed Hours",'County allocation'!$K$19,"County",$D555,"HHA/CDPAP","CDPAP","Level of Service",$D559),0)</f>
        <v>0</v>
      </c>
      <c r="M559" s="658">
        <f>+IFERROR(M$5*GETPIVOTDATA("Unique Billed Hours",'County allocation'!$S$3,"County",$D555,"HHA/CDPAP","CDPAP","Level of Service",$D559),0)</f>
        <v>0</v>
      </c>
      <c r="N559" s="658">
        <f>+IFERROR(N$5*GETPIVOTDATA("Unique Billed Hours",'County allocation'!$S$3,"County",$D555,"HHA/CDPAP","CDPAP","Level of Service",$D559),0)</f>
        <v>0</v>
      </c>
      <c r="O559" s="658">
        <f>+IFERROR(O$5*GETPIVOTDATA("Unique Billed Hours",'County allocation'!$S$3,"County",$D555,"HHA/CDPAP","CDPAP","Level of Service",$D559),0)</f>
        <v>0</v>
      </c>
      <c r="P559" s="658">
        <f>+IFERROR(P$5*GETPIVOTDATA("Unique Billed Hours",'County allocation'!$S$3,"County",$D555,"HHA/CDPAP","CDPAP","Level of Service",$D559),0)</f>
        <v>0</v>
      </c>
    </row>
    <row r="560" spans="1:16" x14ac:dyDescent="0.25">
      <c r="B560" s="24"/>
      <c r="C560" s="9">
        <f t="shared" ca="1" si="342"/>
        <v>1</v>
      </c>
      <c r="D560" s="267" t="s">
        <v>43</v>
      </c>
      <c r="E560" s="48" t="s">
        <v>55</v>
      </c>
      <c r="F560" s="678">
        <f t="shared" ca="1" si="343"/>
        <v>1728.20630535536</v>
      </c>
      <c r="G560" s="658">
        <f ca="1">+IFERROR(G$5*GETPIVOTDATA("Unique Billed Hours",'County allocation'!$A$3,"County",$D555,"HHA/CDPAP","CDPAP","Level of Service",$D560),0)</f>
        <v>69.477613881476032</v>
      </c>
      <c r="H560" s="658">
        <f>+IFERROR(H$5*GETPIVOTDATA("Unique Billed Hours",'County allocation'!$A$3,"County",$D555,"HHA/CDPAP","CDPAP","Level of Service",$D560),0)</f>
        <v>59.818942807390357</v>
      </c>
      <c r="I560" s="678">
        <f t="shared" ca="1" si="344"/>
        <v>1598.9097486664937</v>
      </c>
      <c r="J560" s="658">
        <f ca="1">+IFERROR(J$5*GETPIVOTDATA("Unique Billed Hours",'County allocation'!$S$3,"County",$D555,"HHA/CDPAP","CDPAP","Level of Service",$D560),0)</f>
        <v>316.33982473456945</v>
      </c>
      <c r="K560" s="658">
        <f ca="1">+IFERROR(K$5*GETPIVOTDATA("Unique Billed Hours",'County allocation'!$X$3,"County",$D555,"HHA/CDPAP","CDPAP","Level of Service",$D560),0)</f>
        <v>1276.1831402615549</v>
      </c>
      <c r="L560" s="658">
        <f>+IFERROR(L$5*GETPIVOTDATA("Unique Billed Hours",'County allocation'!$K$19,"County",$D555,"HHA/CDPAP","CDPAP","Level of Service",$D560),0)</f>
        <v>0</v>
      </c>
      <c r="M560" s="658">
        <f>+IFERROR(M$5*GETPIVOTDATA("Unique Billed Hours",'County allocation'!$S$3,"County",$D555,"HHA/CDPAP","CDPAP","Level of Service",$D560),0)</f>
        <v>5.8931985195628807</v>
      </c>
      <c r="N560" s="658">
        <f>+IFERROR(N$5*GETPIVOTDATA("Unique Billed Hours",'County allocation'!$S$3,"County",$D555,"HHA/CDPAP","CDPAP","Level of Service",$D560),0)</f>
        <v>0.49358515080638027</v>
      </c>
      <c r="O560" s="658">
        <f>+IFERROR(O$5*GETPIVOTDATA("Unique Billed Hours",'County allocation'!$S$3,"County",$D555,"HHA/CDPAP","CDPAP","Level of Service",$D560),0)</f>
        <v>0</v>
      </c>
      <c r="P560" s="658">
        <f>+IFERROR(P$5*GETPIVOTDATA("Unique Billed Hours",'County allocation'!$S$3,"County",$D555,"HHA/CDPAP","CDPAP","Level of Service",$D560),0)</f>
        <v>0</v>
      </c>
    </row>
    <row r="561" spans="1:16" x14ac:dyDescent="0.25">
      <c r="B561" s="24"/>
      <c r="C561" s="9">
        <f t="shared" ca="1" si="342"/>
        <v>1</v>
      </c>
      <c r="D561" s="267" t="s">
        <v>44</v>
      </c>
      <c r="E561" s="48" t="s">
        <v>54</v>
      </c>
      <c r="F561" s="678">
        <f t="shared" ca="1" si="343"/>
        <v>0</v>
      </c>
      <c r="G561" s="658">
        <f ca="1">+IFERROR(G$5*GETPIVOTDATA("Unique Billed Hours",'County allocation'!$A$3,"County",$D555,"HHA/CDPAP","CDPAP","Level of Service",$D561),0)</f>
        <v>0</v>
      </c>
      <c r="H561" s="658">
        <f>+IFERROR(H$5*GETPIVOTDATA("Unique Billed Hours",'County allocation'!$A$3,"County",$D555,"HHA/CDPAP","CDPAP","Level of Service",$D561),0)</f>
        <v>0</v>
      </c>
      <c r="I561" s="678">
        <f t="shared" ca="1" si="344"/>
        <v>0</v>
      </c>
      <c r="J561" s="658">
        <f ca="1">+IFERROR(J$5*GETPIVOTDATA("Unique Billed Hours",'County allocation'!$S$3,"County",$D555,"HHA/CDPAP","CDPAP","Level of Service",$D561),0)</f>
        <v>0</v>
      </c>
      <c r="K561" s="658">
        <f ca="1">+IFERROR(K$5*GETPIVOTDATA("Unique Billed Hours",'County allocation'!$X$3,"County",$D555,"HHA/CDPAP","CDPAP","Level of Service",$D561),0)</f>
        <v>0</v>
      </c>
      <c r="L561" s="658">
        <f>+IFERROR(L$5*GETPIVOTDATA("Unique Billed Hours",'County allocation'!$K$19,"County",$D555,"HHA/CDPAP","CDPAP","Level of Service",$D561),0)</f>
        <v>0</v>
      </c>
      <c r="M561" s="658">
        <f>+IFERROR(M$5*GETPIVOTDATA("Unique Billed Hours",'County allocation'!$S$3,"County",$D555,"HHA/CDPAP","CDPAP","Level of Service",$D561),0)</f>
        <v>0</v>
      </c>
      <c r="N561" s="658">
        <f>+IFERROR(N$5*GETPIVOTDATA("Unique Billed Hours",'County allocation'!$S$3,"County",$D555,"HHA/CDPAP","CDPAP","Level of Service",$D561),0)</f>
        <v>0</v>
      </c>
      <c r="O561" s="658">
        <f>+IFERROR(O$5*GETPIVOTDATA("Unique Billed Hours",'County allocation'!$S$3,"County",$D555,"HHA/CDPAP","CDPAP","Level of Service",$D561),0)</f>
        <v>0</v>
      </c>
      <c r="P561" s="658">
        <f>+IFERROR(P$5*GETPIVOTDATA("Unique Billed Hours",'County allocation'!$S$3,"County",$D555,"HHA/CDPAP","CDPAP","Level of Service",$D561),0)</f>
        <v>0</v>
      </c>
    </row>
    <row r="562" spans="1:16" x14ac:dyDescent="0.25">
      <c r="B562" s="24"/>
      <c r="C562" s="9">
        <f t="shared" ca="1" si="342"/>
        <v>1</v>
      </c>
      <c r="D562" s="267" t="s">
        <v>45</v>
      </c>
      <c r="E562" s="48" t="s">
        <v>53</v>
      </c>
      <c r="F562" s="678">
        <f t="shared" ca="1" si="343"/>
        <v>0</v>
      </c>
      <c r="G562" s="658">
        <f ca="1">+IFERROR(G$5*GETPIVOTDATA("Unique Billed Hours",'County allocation'!$A$3,"County",$D555,"HHA/CDPAP","CDPAP","Level of Service",$D562),0)</f>
        <v>0</v>
      </c>
      <c r="H562" s="658">
        <f>+IFERROR(H$5*GETPIVOTDATA("Unique Billed Hours",'County allocation'!$A$3,"County",$D555,"HHA/CDPAP","CDPAP","Level of Service",$D562),0)</f>
        <v>0</v>
      </c>
      <c r="I562" s="678">
        <f t="shared" ca="1" si="344"/>
        <v>0</v>
      </c>
      <c r="J562" s="658">
        <f ca="1">+IFERROR(J$5*GETPIVOTDATA("Unique Billed Hours",'County allocation'!$S$3,"County",$D555,"HHA/CDPAP","CDPAP","Level of Service",$D562),0)</f>
        <v>0</v>
      </c>
      <c r="K562" s="658">
        <f ca="1">+IFERROR(K$5*GETPIVOTDATA("Unique Billed Hours",'County allocation'!$X$3,"County",$D555,"HHA/CDPAP","CDPAP","Level of Service",$D562),0)</f>
        <v>0</v>
      </c>
      <c r="L562" s="658">
        <f>+IFERROR(L$5*GETPIVOTDATA("Unique Billed Hours",'County allocation'!$K$19,"County",$D555,"HHA/CDPAP","CDPAP","Level of Service",$D562),0)</f>
        <v>0</v>
      </c>
      <c r="M562" s="658">
        <f>+IFERROR(M$5*GETPIVOTDATA("Unique Billed Hours",'County allocation'!$S$3,"County",$D555,"HHA/CDPAP","CDPAP","Level of Service",$D562),0)</f>
        <v>0</v>
      </c>
      <c r="N562" s="658">
        <f>+IFERROR(N$5*GETPIVOTDATA("Unique Billed Hours",'County allocation'!$S$3,"County",$D555,"HHA/CDPAP","CDPAP","Level of Service",$D562),0)</f>
        <v>0</v>
      </c>
      <c r="O562" s="658">
        <f>+IFERROR(O$5*GETPIVOTDATA("Unique Billed Hours",'County allocation'!$S$3,"County",$D555,"HHA/CDPAP","CDPAP","Level of Service",$D562),0)</f>
        <v>0</v>
      </c>
      <c r="P562" s="658">
        <f>+IFERROR(P$5*GETPIVOTDATA("Unique Billed Hours",'County allocation'!$S$3,"County",$D555,"HHA/CDPAP","CDPAP","Level of Service",$D562),0)</f>
        <v>0</v>
      </c>
    </row>
    <row r="563" spans="1:16" x14ac:dyDescent="0.25">
      <c r="A563" s="302"/>
      <c r="B563" s="24"/>
      <c r="C563" s="9">
        <f t="shared" ca="1" si="342"/>
        <v>1</v>
      </c>
      <c r="D563" s="267" t="s">
        <v>46</v>
      </c>
      <c r="E563" s="48" t="s">
        <v>52</v>
      </c>
      <c r="F563" s="678">
        <f t="shared" ca="1" si="343"/>
        <v>0</v>
      </c>
      <c r="G563" s="658">
        <f ca="1">+IFERROR(G$5*GETPIVOTDATA("Unique Billed Hours",'County allocation'!$A$3,"County",$D555,"HHA/CDPAP","CDPAP","Level of Service",$D563),0)</f>
        <v>0</v>
      </c>
      <c r="H563" s="658">
        <f>+IFERROR(H$5*GETPIVOTDATA("Unique Billed Hours",'County allocation'!$A$3,"County",$D555,"HHA/CDPAP","CDPAP","Level of Service",$D563),0)</f>
        <v>0</v>
      </c>
      <c r="I563" s="678">
        <f t="shared" ca="1" si="344"/>
        <v>0</v>
      </c>
      <c r="J563" s="658">
        <f ca="1">+IFERROR(J$5*GETPIVOTDATA("Unique Billed Hours",'County allocation'!$S$3,"County",$D555,"HHA/CDPAP","CDPAP","Level of Service",$D563),0)</f>
        <v>0</v>
      </c>
      <c r="K563" s="658">
        <f ca="1">+IFERROR(K$5*GETPIVOTDATA("Unique Billed Hours",'County allocation'!$X$3,"County",$D555,"HHA/CDPAP","CDPAP","Level of Service",$D563),0)</f>
        <v>0</v>
      </c>
      <c r="L563" s="658">
        <f>+IFERROR(L$5*GETPIVOTDATA("Unique Billed Hours",'County allocation'!$K$19,"County",$D555,"HHA/CDPAP","CDPAP","Level of Service",$D563),0)</f>
        <v>0</v>
      </c>
      <c r="M563" s="658">
        <f>+IFERROR(M$5*GETPIVOTDATA("Unique Billed Hours",'County allocation'!$S$3,"County",$D555,"HHA/CDPAP","CDPAP","Level of Service",$D563),0)</f>
        <v>0</v>
      </c>
      <c r="N563" s="658">
        <f>+IFERROR(N$5*GETPIVOTDATA("Unique Billed Hours",'County allocation'!$S$3,"County",$D555,"HHA/CDPAP","CDPAP","Level of Service",$D563),0)</f>
        <v>0</v>
      </c>
      <c r="O563" s="658">
        <f>+IFERROR(O$5*GETPIVOTDATA("Unique Billed Hours",'County allocation'!$S$3,"County",$D555,"HHA/CDPAP","CDPAP","Level of Service",$D563),0)</f>
        <v>0</v>
      </c>
      <c r="P563" s="658">
        <f>+IFERROR(P$5*GETPIVOTDATA("Unique Billed Hours",'County allocation'!$S$3,"County",$D555,"HHA/CDPAP","CDPAP","Level of Service",$D563),0)</f>
        <v>0</v>
      </c>
    </row>
    <row r="564" spans="1:16" ht="15.75" thickBot="1" x14ac:dyDescent="0.3">
      <c r="A564" s="302"/>
      <c r="B564" s="24"/>
      <c r="C564" s="9">
        <f t="shared" ca="1" si="342"/>
        <v>1</v>
      </c>
      <c r="D564" s="52" t="s">
        <v>389</v>
      </c>
      <c r="E564" s="370" t="s">
        <v>51</v>
      </c>
      <c r="F564" s="679">
        <f ca="1">SUM(F558:F563)</f>
        <v>1024017.6271507867</v>
      </c>
      <c r="G564" s="679">
        <f t="shared" ref="G564:H564" ca="1" si="345">SUM(G558:G563)</f>
        <v>41167.713071373313</v>
      </c>
      <c r="H564" s="679">
        <f t="shared" si="345"/>
        <v>35444.64088718671</v>
      </c>
      <c r="I564" s="678">
        <f t="shared" ca="1" si="344"/>
        <v>947405.27319222642</v>
      </c>
      <c r="J564" s="679">
        <f ca="1">SUM(J558:J563)</f>
        <v>187441.48525217903</v>
      </c>
      <c r="K564" s="679">
        <f t="shared" ref="K564:P564" ca="1" si="346">SUM(K558:K563)</f>
        <v>756179.4139107489</v>
      </c>
      <c r="L564" s="679">
        <f t="shared" si="346"/>
        <v>0</v>
      </c>
      <c r="M564" s="679">
        <f t="shared" si="346"/>
        <v>3491.9090074089413</v>
      </c>
      <c r="N564" s="679">
        <f t="shared" si="346"/>
        <v>292.46502188966514</v>
      </c>
      <c r="O564" s="679">
        <f t="shared" si="346"/>
        <v>0</v>
      </c>
      <c r="P564" s="679">
        <f t="shared" si="346"/>
        <v>0</v>
      </c>
    </row>
    <row r="565" spans="1:16" x14ac:dyDescent="0.25">
      <c r="A565" s="302"/>
      <c r="B565" s="24"/>
      <c r="C565" s="9">
        <f t="shared" ca="1" si="342"/>
        <v>1</v>
      </c>
      <c r="D565" s="378" t="s">
        <v>390</v>
      </c>
      <c r="E565" s="370" t="s">
        <v>50</v>
      </c>
      <c r="F565" s="678">
        <f t="shared" ref="F565" ca="1" si="347">SUM(G565:I565)</f>
        <v>0</v>
      </c>
      <c r="G565" s="658">
        <f ca="1">+IFERROR(G$5*GETPIVOTDATA("Unique Billed Hours",'County allocation'!$A$3,"County",$D555,"HHA/CDPAP","CDPAP","Level of Service",$D565),0)</f>
        <v>0</v>
      </c>
      <c r="H565" s="659"/>
      <c r="I565" s="678">
        <f t="shared" si="344"/>
        <v>0</v>
      </c>
      <c r="J565" s="659"/>
      <c r="K565" s="659"/>
      <c r="L565" s="659"/>
      <c r="M565" s="659"/>
      <c r="N565" s="659"/>
      <c r="O565" s="659"/>
      <c r="P565" s="659"/>
    </row>
    <row r="566" spans="1:16" ht="15.75" thickBot="1" x14ac:dyDescent="0.3">
      <c r="B566" s="24"/>
      <c r="C566" s="9">
        <f t="shared" ca="1" si="342"/>
        <v>1</v>
      </c>
      <c r="D566" s="11" t="s">
        <v>48</v>
      </c>
      <c r="E566" s="53" t="s">
        <v>49</v>
      </c>
      <c r="F566" s="662">
        <f ca="1">SUBTOTAL(9,F558:F563)</f>
        <v>1024017.6271507867</v>
      </c>
      <c r="G566" s="662">
        <f t="shared" ref="G566:H566" ca="1" si="348">SUBTOTAL(9,G558:G563)</f>
        <v>41167.713071373313</v>
      </c>
      <c r="H566" s="662">
        <f t="shared" si="348"/>
        <v>35444.64088718671</v>
      </c>
      <c r="I566" s="678">
        <f t="shared" ca="1" si="344"/>
        <v>947405.27319222642</v>
      </c>
      <c r="J566" s="662">
        <f t="shared" ref="J566:P566" ca="1" si="349">SUBTOTAL(9,J558:J563)</f>
        <v>187441.48525217903</v>
      </c>
      <c r="K566" s="662">
        <f t="shared" ca="1" si="349"/>
        <v>756179.4139107489</v>
      </c>
      <c r="L566" s="662">
        <f t="shared" si="349"/>
        <v>0</v>
      </c>
      <c r="M566" s="662">
        <f t="shared" si="349"/>
        <v>3491.9090074089413</v>
      </c>
      <c r="N566" s="662">
        <f t="shared" si="349"/>
        <v>292.46502188966514</v>
      </c>
      <c r="O566" s="662">
        <f t="shared" si="349"/>
        <v>0</v>
      </c>
      <c r="P566" s="662">
        <f t="shared" si="349"/>
        <v>0</v>
      </c>
    </row>
    <row r="567" spans="1:16" ht="15.75" hidden="1" thickBot="1" x14ac:dyDescent="0.3"/>
    <row r="568" spans="1:16" ht="75" x14ac:dyDescent="0.25">
      <c r="A568" s="60"/>
      <c r="B568" s="24"/>
      <c r="C568" s="9">
        <f ca="1">IF(F579&gt;0,1,0)</f>
        <v>1</v>
      </c>
      <c r="D568" s="45" t="str">
        <f>A46</f>
        <v>Richmond</v>
      </c>
      <c r="E568" s="28">
        <f>SUMIF(A:A,D568,B:B)</f>
        <v>6.7007910925224526E-2</v>
      </c>
      <c r="F568" s="652" t="s">
        <v>396</v>
      </c>
      <c r="G568" s="652" t="s">
        <v>387</v>
      </c>
      <c r="H568" s="652" t="s">
        <v>388</v>
      </c>
      <c r="I568" s="652" t="s">
        <v>392</v>
      </c>
      <c r="J568" s="652" t="s">
        <v>31</v>
      </c>
      <c r="K568" s="652" t="s">
        <v>32</v>
      </c>
      <c r="L568" s="653" t="s">
        <v>33</v>
      </c>
      <c r="M568" s="653" t="s">
        <v>60</v>
      </c>
      <c r="N568" s="653" t="s">
        <v>59</v>
      </c>
      <c r="O568" s="653" t="s">
        <v>58</v>
      </c>
      <c r="P568" s="653" t="s">
        <v>16</v>
      </c>
    </row>
    <row r="569" spans="1:16" x14ac:dyDescent="0.25">
      <c r="A569" s="60"/>
      <c r="B569" s="24"/>
      <c r="C569" s="9">
        <f ca="1">C568</f>
        <v>1</v>
      </c>
      <c r="D569" s="47"/>
      <c r="E569" s="48"/>
      <c r="F569" s="669" t="s">
        <v>57</v>
      </c>
      <c r="G569" s="669" t="s">
        <v>56</v>
      </c>
      <c r="H569" s="669" t="s">
        <v>55</v>
      </c>
      <c r="I569" s="669" t="s">
        <v>54</v>
      </c>
      <c r="J569" s="669" t="s">
        <v>53</v>
      </c>
      <c r="K569" s="669" t="s">
        <v>52</v>
      </c>
      <c r="L569" s="669" t="s">
        <v>51</v>
      </c>
      <c r="M569" s="669" t="s">
        <v>50</v>
      </c>
      <c r="N569" s="669" t="s">
        <v>49</v>
      </c>
      <c r="O569" s="669" t="s">
        <v>47</v>
      </c>
      <c r="P569" s="670" t="s">
        <v>77</v>
      </c>
    </row>
    <row r="570" spans="1:16" x14ac:dyDescent="0.25">
      <c r="B570" s="24"/>
      <c r="C570" s="9">
        <f t="shared" ref="C570:C579" ca="1" si="350">C569</f>
        <v>1</v>
      </c>
      <c r="D570" s="51" t="s">
        <v>26</v>
      </c>
      <c r="E570" s="48"/>
      <c r="F570" s="674"/>
      <c r="G570" s="674"/>
      <c r="H570" s="674"/>
      <c r="I570" s="674"/>
      <c r="J570" s="674"/>
      <c r="K570" s="674"/>
      <c r="L570" s="675"/>
      <c r="M570" s="675"/>
      <c r="N570" s="676"/>
      <c r="O570" s="674"/>
      <c r="P570" s="677"/>
    </row>
    <row r="571" spans="1:16" x14ac:dyDescent="0.25">
      <c r="B571" s="24"/>
      <c r="C571" s="9">
        <f t="shared" ca="1" si="350"/>
        <v>1</v>
      </c>
      <c r="D571" s="267" t="s">
        <v>18</v>
      </c>
      <c r="E571" s="48" t="s">
        <v>57</v>
      </c>
      <c r="F571" s="678">
        <f ca="1">SUM(G571:I571)</f>
        <v>5503234.7971248804</v>
      </c>
      <c r="G571" s="658">
        <f ca="1">+IFERROR(G$5*GETPIVOTDATA("Unique Billed Hours",'County allocation'!$A$3,"County",$D568,"HHA/CDPAP","CDPAP","Level of Service",$D571),0)</f>
        <v>221241.88596518573</v>
      </c>
      <c r="H571" s="658">
        <f>+IFERROR(H$5*GETPIVOTDATA("Unique Billed Hours",'County allocation'!$A$3,"County",$D568,"HHA/CDPAP","CDPAP","Level of Service",$D571),0)</f>
        <v>190485.17909276049</v>
      </c>
      <c r="I571" s="678">
        <f ca="1">SUM(J571:P571)</f>
        <v>5091507.732066934</v>
      </c>
      <c r="J571" s="658">
        <f ca="1">+IFERROR(J$5*GETPIVOTDATA("Unique Billed Hours",'County allocation'!$S$3,"County",$D568,"HHA/CDPAP","CDPAP","Level of Service",$D571),0)</f>
        <v>1007340.573750366</v>
      </c>
      <c r="K571" s="658">
        <f ca="1">+IFERROR(K$5*GETPIVOTDATA("Unique Billed Hours",'County allocation'!$X$3,"County",$D568,"HHA/CDPAP","CDPAP","Level of Service",$D571),0)</f>
        <v>4063829.3259480777</v>
      </c>
      <c r="L571" s="658">
        <f>+IFERROR(L$5*GETPIVOTDATA("Unique Billed Hours",'County allocation'!$K$19,"County",$D568,"HHA/CDPAP","CDPAP","Level of Service",$D571),0)</f>
        <v>0</v>
      </c>
      <c r="M571" s="658">
        <f>+IFERROR(M$5*GETPIVOTDATA("Unique Billed Hours",'County allocation'!$S$3,"County",$D568,"HHA/CDPAP","CDPAP","Level of Service",$D571),0)</f>
        <v>18766.078481905875</v>
      </c>
      <c r="N571" s="658">
        <f>+IFERROR(N$5*GETPIVOTDATA("Unique Billed Hours",'County allocation'!$S$3,"County",$D568,"HHA/CDPAP","CDPAP","Level of Service",$D571),0)</f>
        <v>1571.7538865843132</v>
      </c>
      <c r="O571" s="658">
        <f>+IFERROR(O$5*GETPIVOTDATA("Unique Billed Hours",'County allocation'!$S$3,"County",$D568,"HHA/CDPAP","CDPAP","Level of Service",$D571),0)</f>
        <v>0</v>
      </c>
      <c r="P571" s="658">
        <f>+IFERROR(P$5*GETPIVOTDATA("Unique Billed Hours",'County allocation'!$S$3,"County",$D568,"HHA/CDPAP","CDPAP","Level of Service",$D571),0)</f>
        <v>0</v>
      </c>
    </row>
    <row r="572" spans="1:16" x14ac:dyDescent="0.25">
      <c r="B572" s="24"/>
      <c r="C572" s="9">
        <f t="shared" ca="1" si="350"/>
        <v>1</v>
      </c>
      <c r="D572" s="267" t="s">
        <v>42</v>
      </c>
      <c r="E572" s="48" t="s">
        <v>56</v>
      </c>
      <c r="F572" s="678">
        <f t="shared" ref="F572:F576" ca="1" si="351">SUM(G572:I572)</f>
        <v>0</v>
      </c>
      <c r="G572" s="658">
        <f ca="1">+IFERROR(G$5*GETPIVOTDATA("Unique Billed Hours",'County allocation'!$A$3,"County",$D568,"HHA/CDPAP","CDPAP","Level of Service",$D572),0)</f>
        <v>0</v>
      </c>
      <c r="H572" s="658">
        <f>+IFERROR(H$5*GETPIVOTDATA("Unique Billed Hours",'County allocation'!$A$3,"County",$D568,"HHA/CDPAP","CDPAP","Level of Service",$D572),0)</f>
        <v>0</v>
      </c>
      <c r="I572" s="678">
        <f t="shared" ref="I572:I579" ca="1" si="352">SUM(J572:P572)</f>
        <v>0</v>
      </c>
      <c r="J572" s="658">
        <f ca="1">+IFERROR(J$5*GETPIVOTDATA("Unique Billed Hours",'County allocation'!$S$3,"County",$D568,"HHA/CDPAP","CDPAP","Level of Service",$D572),0)</f>
        <v>0</v>
      </c>
      <c r="K572" s="658">
        <f ca="1">+IFERROR(K$5*GETPIVOTDATA("Unique Billed Hours",'County allocation'!$X$3,"County",$D568,"HHA/CDPAP","CDPAP","Level of Service",$D572),0)</f>
        <v>0</v>
      </c>
      <c r="L572" s="658">
        <f>+IFERROR(L$5*GETPIVOTDATA("Unique Billed Hours",'County allocation'!$K$19,"County",$D568,"HHA/CDPAP","CDPAP","Level of Service",$D572),0)</f>
        <v>0</v>
      </c>
      <c r="M572" s="658">
        <f>+IFERROR(M$5*GETPIVOTDATA("Unique Billed Hours",'County allocation'!$S$3,"County",$D568,"HHA/CDPAP","CDPAP","Level of Service",$D572),0)</f>
        <v>0</v>
      </c>
      <c r="N572" s="658">
        <f>+IFERROR(N$5*GETPIVOTDATA("Unique Billed Hours",'County allocation'!$S$3,"County",$D568,"HHA/CDPAP","CDPAP","Level of Service",$D572),0)</f>
        <v>0</v>
      </c>
      <c r="O572" s="658">
        <f>+IFERROR(O$5*GETPIVOTDATA("Unique Billed Hours",'County allocation'!$S$3,"County",$D568,"HHA/CDPAP","CDPAP","Level of Service",$D572),0)</f>
        <v>0</v>
      </c>
      <c r="P572" s="658">
        <f>+IFERROR(P$5*GETPIVOTDATA("Unique Billed Hours",'County allocation'!$S$3,"County",$D568,"HHA/CDPAP","CDPAP","Level of Service",$D572),0)</f>
        <v>0</v>
      </c>
    </row>
    <row r="573" spans="1:16" x14ac:dyDescent="0.25">
      <c r="B573" s="24"/>
      <c r="C573" s="9">
        <f t="shared" ca="1" si="350"/>
        <v>1</v>
      </c>
      <c r="D573" s="267" t="s">
        <v>43</v>
      </c>
      <c r="E573" s="48" t="s">
        <v>55</v>
      </c>
      <c r="F573" s="678">
        <f t="shared" ca="1" si="351"/>
        <v>228699.30107535934</v>
      </c>
      <c r="G573" s="658">
        <f ca="1">+IFERROR(G$5*GETPIVOTDATA("Unique Billed Hours",'County allocation'!$A$3,"County",$D568,"HHA/CDPAP","CDPAP","Level of Service",$D573),0)</f>
        <v>9194.2042369819956</v>
      </c>
      <c r="H573" s="658">
        <f>+IFERROR(H$5*GETPIVOTDATA("Unique Billed Hours",'County allocation'!$A$3,"County",$D568,"HHA/CDPAP","CDPAP","Level of Service",$D573),0)</f>
        <v>7916.0400981779912</v>
      </c>
      <c r="I573" s="678">
        <f t="shared" ca="1" si="352"/>
        <v>211589.05674019936</v>
      </c>
      <c r="J573" s="658">
        <f ca="1">+IFERROR(J$5*GETPIVOTDATA("Unique Billed Hours",'County allocation'!$S$3,"County",$D568,"HHA/CDPAP","CDPAP","Level of Service",$D573),0)</f>
        <v>41862.303473208027</v>
      </c>
      <c r="K573" s="658">
        <f ca="1">+IFERROR(K$5*GETPIVOTDATA("Unique Billed Hours",'County allocation'!$X$3,"County",$D568,"HHA/CDPAP","CDPAP","Level of Service",$D573),0)</f>
        <v>168881.56889461246</v>
      </c>
      <c r="L573" s="658">
        <f>+IFERROR(L$5*GETPIVOTDATA("Unique Billed Hours",'County allocation'!$K$19,"County",$D568,"HHA/CDPAP","CDPAP","Level of Service",$D573),0)</f>
        <v>0</v>
      </c>
      <c r="M573" s="658">
        <f>+IFERROR(M$5*GETPIVOTDATA("Unique Billed Hours",'County allocation'!$S$3,"County",$D568,"HHA/CDPAP","CDPAP","Level of Service",$D573),0)</f>
        <v>779.8666040888213</v>
      </c>
      <c r="N573" s="658">
        <f>+IFERROR(N$5*GETPIVOTDATA("Unique Billed Hours",'County allocation'!$S$3,"County",$D568,"HHA/CDPAP","CDPAP","Level of Service",$D573),0)</f>
        <v>65.317768290044327</v>
      </c>
      <c r="O573" s="658">
        <f>+IFERROR(O$5*GETPIVOTDATA("Unique Billed Hours",'County allocation'!$S$3,"County",$D568,"HHA/CDPAP","CDPAP","Level of Service",$D573),0)</f>
        <v>0</v>
      </c>
      <c r="P573" s="658">
        <f>+IFERROR(P$5*GETPIVOTDATA("Unique Billed Hours",'County allocation'!$S$3,"County",$D568,"HHA/CDPAP","CDPAP","Level of Service",$D573),0)</f>
        <v>0</v>
      </c>
    </row>
    <row r="574" spans="1:16" x14ac:dyDescent="0.25">
      <c r="B574" s="24"/>
      <c r="C574" s="9">
        <f t="shared" ca="1" si="350"/>
        <v>1</v>
      </c>
      <c r="D574" s="267" t="s">
        <v>44</v>
      </c>
      <c r="E574" s="48" t="s">
        <v>54</v>
      </c>
      <c r="F574" s="678">
        <f t="shared" ca="1" si="351"/>
        <v>44091.417277655979</v>
      </c>
      <c r="G574" s="658">
        <f ca="1">+IFERROR(G$5*GETPIVOTDATA("Unique Billed Hours",'County allocation'!$A$3,"County",$D568,"HHA/CDPAP","CDPAP","Level of Service",$D574),0)</f>
        <v>1772.5698926171449</v>
      </c>
      <c r="H574" s="658">
        <f>+IFERROR(H$5*GETPIVOTDATA("Unique Billed Hours",'County allocation'!$A$3,"County",$D568,"HHA/CDPAP","CDPAP","Level of Service",$D574),0)</f>
        <v>1526.1499511116256</v>
      </c>
      <c r="I574" s="678">
        <f t="shared" ca="1" si="352"/>
        <v>40792.697433927206</v>
      </c>
      <c r="J574" s="658">
        <f ca="1">+IFERROR(J$5*GETPIVOTDATA("Unique Billed Hours",'County allocation'!$S$3,"County",$D568,"HHA/CDPAP","CDPAP","Level of Service",$D574),0)</f>
        <v>8070.7211695101696</v>
      </c>
      <c r="K574" s="658">
        <f ca="1">+IFERROR(K$5*GETPIVOTDATA("Unique Billed Hours",'County allocation'!$X$3,"County",$D568,"HHA/CDPAP","CDPAP","Level of Service",$D574),0)</f>
        <v>32559.031398980693</v>
      </c>
      <c r="L574" s="658">
        <f>+IFERROR(L$5*GETPIVOTDATA("Unique Billed Hours",'County allocation'!$K$19,"County",$D568,"HHA/CDPAP","CDPAP","Level of Service",$D574),0)</f>
        <v>0</v>
      </c>
      <c r="M574" s="658">
        <f>+IFERROR(M$5*GETPIVOTDATA("Unique Billed Hours",'County allocation'!$S$3,"County",$D568,"HHA/CDPAP","CDPAP","Level of Service",$D574),0)</f>
        <v>150.35211607602733</v>
      </c>
      <c r="N574" s="658">
        <f>+IFERROR(N$5*GETPIVOTDATA("Unique Billed Hours",'County allocation'!$S$3,"County",$D568,"HHA/CDPAP","CDPAP","Level of Service",$D574),0)</f>
        <v>12.592749360316624</v>
      </c>
      <c r="O574" s="658">
        <f>+IFERROR(O$5*GETPIVOTDATA("Unique Billed Hours",'County allocation'!$S$3,"County",$D568,"HHA/CDPAP","CDPAP","Level of Service",$D574),0)</f>
        <v>0</v>
      </c>
      <c r="P574" s="658">
        <f>+IFERROR(P$5*GETPIVOTDATA("Unique Billed Hours",'County allocation'!$S$3,"County",$D568,"HHA/CDPAP","CDPAP","Level of Service",$D574),0)</f>
        <v>0</v>
      </c>
    </row>
    <row r="575" spans="1:16" x14ac:dyDescent="0.25">
      <c r="B575" s="24"/>
      <c r="C575" s="9">
        <f t="shared" ca="1" si="350"/>
        <v>1</v>
      </c>
      <c r="D575" s="267" t="s">
        <v>45</v>
      </c>
      <c r="E575" s="48" t="s">
        <v>53</v>
      </c>
      <c r="F575" s="678">
        <f t="shared" ca="1" si="351"/>
        <v>0</v>
      </c>
      <c r="G575" s="658">
        <f ca="1">+IFERROR(G$5*GETPIVOTDATA("Unique Billed Hours",'County allocation'!$A$3,"County",$D568,"HHA/CDPAP","CDPAP","Level of Service",$D575),0)</f>
        <v>0</v>
      </c>
      <c r="H575" s="658">
        <f>+IFERROR(H$5*GETPIVOTDATA("Unique Billed Hours",'County allocation'!$A$3,"County",$D568,"HHA/CDPAP","CDPAP","Level of Service",$D575),0)</f>
        <v>0</v>
      </c>
      <c r="I575" s="678">
        <f t="shared" ca="1" si="352"/>
        <v>0</v>
      </c>
      <c r="J575" s="658">
        <f ca="1">+IFERROR(J$5*GETPIVOTDATA("Unique Billed Hours",'County allocation'!$S$3,"County",$D568,"HHA/CDPAP","CDPAP","Level of Service",$D575),0)</f>
        <v>0</v>
      </c>
      <c r="K575" s="658">
        <f ca="1">+IFERROR(K$5*GETPIVOTDATA("Unique Billed Hours",'County allocation'!$X$3,"County",$D568,"HHA/CDPAP","CDPAP","Level of Service",$D575),0)</f>
        <v>0</v>
      </c>
      <c r="L575" s="658">
        <f>+IFERROR(L$5*GETPIVOTDATA("Unique Billed Hours",'County allocation'!$K$19,"County",$D568,"HHA/CDPAP","CDPAP","Level of Service",$D575),0)</f>
        <v>0</v>
      </c>
      <c r="M575" s="658">
        <f>+IFERROR(M$5*GETPIVOTDATA("Unique Billed Hours",'County allocation'!$S$3,"County",$D568,"HHA/CDPAP","CDPAP","Level of Service",$D575),0)</f>
        <v>0</v>
      </c>
      <c r="N575" s="658">
        <f>+IFERROR(N$5*GETPIVOTDATA("Unique Billed Hours",'County allocation'!$S$3,"County",$D568,"HHA/CDPAP","CDPAP","Level of Service",$D575),0)</f>
        <v>0</v>
      </c>
      <c r="O575" s="658">
        <f>+IFERROR(O$5*GETPIVOTDATA("Unique Billed Hours",'County allocation'!$S$3,"County",$D568,"HHA/CDPAP","CDPAP","Level of Service",$D575),0)</f>
        <v>0</v>
      </c>
      <c r="P575" s="658">
        <f>+IFERROR(P$5*GETPIVOTDATA("Unique Billed Hours",'County allocation'!$S$3,"County",$D568,"HHA/CDPAP","CDPAP","Level of Service",$D575),0)</f>
        <v>0</v>
      </c>
    </row>
    <row r="576" spans="1:16" x14ac:dyDescent="0.25">
      <c r="A576" s="302"/>
      <c r="B576" s="24"/>
      <c r="C576" s="9">
        <f t="shared" ca="1" si="350"/>
        <v>1</v>
      </c>
      <c r="D576" s="267" t="s">
        <v>46</v>
      </c>
      <c r="E576" s="48" t="s">
        <v>52</v>
      </c>
      <c r="F576" s="678">
        <f t="shared" ca="1" si="351"/>
        <v>288.03438422589335</v>
      </c>
      <c r="G576" s="658">
        <f ca="1">+IFERROR(G$5*GETPIVOTDATA("Unique Billed Hours",'County allocation'!$A$3,"County",$D568,"HHA/CDPAP","CDPAP","Level of Service",$D576),0)</f>
        <v>11.57960231357934</v>
      </c>
      <c r="H576" s="658">
        <f>+IFERROR(H$5*GETPIVOTDATA("Unique Billed Hours",'County allocation'!$A$3,"County",$D568,"HHA/CDPAP","CDPAP","Level of Service",$D576),0)</f>
        <v>9.9698238012317262</v>
      </c>
      <c r="I576" s="678">
        <f t="shared" ca="1" si="352"/>
        <v>266.48495811108228</v>
      </c>
      <c r="J576" s="658">
        <f ca="1">+IFERROR(J$5*GETPIVOTDATA("Unique Billed Hours",'County allocation'!$S$3,"County",$D568,"HHA/CDPAP","CDPAP","Level of Service",$D576),0)</f>
        <v>52.723304122428246</v>
      </c>
      <c r="K576" s="658">
        <f ca="1">+IFERROR(K$5*GETPIVOTDATA("Unique Billed Hours",'County allocation'!$X$3,"County",$D568,"HHA/CDPAP","CDPAP","Level of Service",$D576),0)</f>
        <v>212.69719004359249</v>
      </c>
      <c r="L576" s="658">
        <f>+IFERROR(L$5*GETPIVOTDATA("Unique Billed Hours",'County allocation'!$K$19,"County",$D568,"HHA/CDPAP","CDPAP","Level of Service",$D576),0)</f>
        <v>0</v>
      </c>
      <c r="M576" s="658">
        <f>+IFERROR(M$5*GETPIVOTDATA("Unique Billed Hours",'County allocation'!$S$3,"County",$D568,"HHA/CDPAP","CDPAP","Level of Service",$D576),0)</f>
        <v>0.98219975326048015</v>
      </c>
      <c r="N576" s="658">
        <f>+IFERROR(N$5*GETPIVOTDATA("Unique Billed Hours",'County allocation'!$S$3,"County",$D568,"HHA/CDPAP","CDPAP","Level of Service",$D576),0)</f>
        <v>8.2264191801063383E-2</v>
      </c>
      <c r="O576" s="658">
        <f>+IFERROR(O$5*GETPIVOTDATA("Unique Billed Hours",'County allocation'!$S$3,"County",$D568,"HHA/CDPAP","CDPAP","Level of Service",$D576),0)</f>
        <v>0</v>
      </c>
      <c r="P576" s="658">
        <f>+IFERROR(P$5*GETPIVOTDATA("Unique Billed Hours",'County allocation'!$S$3,"County",$D568,"HHA/CDPAP","CDPAP","Level of Service",$D576),0)</f>
        <v>0</v>
      </c>
    </row>
    <row r="577" spans="1:16" ht="15.75" thickBot="1" x14ac:dyDescent="0.3">
      <c r="A577" s="302"/>
      <c r="B577" s="24"/>
      <c r="C577" s="9">
        <f t="shared" ca="1" si="350"/>
        <v>1</v>
      </c>
      <c r="D577" s="52" t="s">
        <v>389</v>
      </c>
      <c r="E577" s="370" t="s">
        <v>51</v>
      </c>
      <c r="F577" s="679">
        <f ca="1">SUM(F571:F576)</f>
        <v>5776313.5498621203</v>
      </c>
      <c r="G577" s="679">
        <f t="shared" ref="G577:H577" ca="1" si="353">SUM(G571:G576)</f>
        <v>232220.23969709844</v>
      </c>
      <c r="H577" s="679">
        <f t="shared" si="353"/>
        <v>199937.33896585132</v>
      </c>
      <c r="I577" s="678">
        <f t="shared" ca="1" si="352"/>
        <v>5344155.9711991716</v>
      </c>
      <c r="J577" s="679">
        <f ca="1">SUM(J571:J576)</f>
        <v>1057326.3216972067</v>
      </c>
      <c r="K577" s="679">
        <f t="shared" ref="K577:P577" ca="1" si="354">SUM(K571:K576)</f>
        <v>4265482.6234317143</v>
      </c>
      <c r="L577" s="679">
        <f t="shared" si="354"/>
        <v>0</v>
      </c>
      <c r="M577" s="679">
        <f t="shared" si="354"/>
        <v>19697.279401823984</v>
      </c>
      <c r="N577" s="679">
        <f t="shared" si="354"/>
        <v>1649.7466684264753</v>
      </c>
      <c r="O577" s="679">
        <f t="shared" si="354"/>
        <v>0</v>
      </c>
      <c r="P577" s="679">
        <f t="shared" si="354"/>
        <v>0</v>
      </c>
    </row>
    <row r="578" spans="1:16" x14ac:dyDescent="0.25">
      <c r="A578" s="302"/>
      <c r="B578" s="24"/>
      <c r="C578" s="9">
        <f t="shared" ca="1" si="350"/>
        <v>1</v>
      </c>
      <c r="D578" s="378" t="s">
        <v>390</v>
      </c>
      <c r="E578" s="370" t="s">
        <v>50</v>
      </c>
      <c r="F578" s="678">
        <f t="shared" ref="F578" ca="1" si="355">SUM(G578:I578)</f>
        <v>0</v>
      </c>
      <c r="G578" s="658">
        <f ca="1">+IFERROR(G$5*GETPIVOTDATA("Unique Billed Hours",'County allocation'!$A$3,"County",$D568,"HHA/CDPAP","CDPAP","Level of Service",$D578),0)</f>
        <v>0</v>
      </c>
      <c r="H578" s="659"/>
      <c r="I578" s="678">
        <f t="shared" si="352"/>
        <v>0</v>
      </c>
      <c r="J578" s="659"/>
      <c r="K578" s="659"/>
      <c r="L578" s="659"/>
      <c r="M578" s="659"/>
      <c r="N578" s="659"/>
      <c r="O578" s="659"/>
      <c r="P578" s="659"/>
    </row>
    <row r="579" spans="1:16" ht="15.75" thickBot="1" x14ac:dyDescent="0.3">
      <c r="B579" s="24"/>
      <c r="C579" s="9">
        <f t="shared" ca="1" si="350"/>
        <v>1</v>
      </c>
      <c r="D579" s="11" t="s">
        <v>48</v>
      </c>
      <c r="E579" s="53" t="s">
        <v>49</v>
      </c>
      <c r="F579" s="662">
        <f ca="1">SUBTOTAL(9,F571:F576)</f>
        <v>5776313.5498621203</v>
      </c>
      <c r="G579" s="662">
        <f t="shared" ref="G579:H579" ca="1" si="356">SUBTOTAL(9,G571:G576)</f>
        <v>232220.23969709844</v>
      </c>
      <c r="H579" s="662">
        <f t="shared" si="356"/>
        <v>199937.33896585132</v>
      </c>
      <c r="I579" s="678">
        <f t="shared" ca="1" si="352"/>
        <v>5344155.9711991716</v>
      </c>
      <c r="J579" s="662">
        <f t="shared" ref="J579:P579" ca="1" si="357">SUBTOTAL(9,J571:J576)</f>
        <v>1057326.3216972067</v>
      </c>
      <c r="K579" s="662">
        <f t="shared" ca="1" si="357"/>
        <v>4265482.6234317143</v>
      </c>
      <c r="L579" s="662">
        <f t="shared" si="357"/>
        <v>0</v>
      </c>
      <c r="M579" s="662">
        <f t="shared" si="357"/>
        <v>19697.279401823984</v>
      </c>
      <c r="N579" s="662">
        <f t="shared" si="357"/>
        <v>1649.7466684264753</v>
      </c>
      <c r="O579" s="662">
        <f t="shared" si="357"/>
        <v>0</v>
      </c>
      <c r="P579" s="662">
        <f t="shared" si="357"/>
        <v>0</v>
      </c>
    </row>
    <row r="580" spans="1:16" ht="15.75" hidden="1" thickBot="1" x14ac:dyDescent="0.3">
      <c r="B580" s="24"/>
      <c r="D580" s="380"/>
      <c r="E580" s="325"/>
      <c r="F580" s="691"/>
      <c r="G580" s="691"/>
      <c r="H580" s="691"/>
      <c r="I580" s="692"/>
      <c r="J580" s="691"/>
      <c r="K580" s="691"/>
      <c r="L580" s="693"/>
      <c r="M580" s="693"/>
      <c r="N580" s="693"/>
      <c r="O580" s="693"/>
      <c r="P580" s="693"/>
    </row>
    <row r="581" spans="1:16" ht="75" x14ac:dyDescent="0.25">
      <c r="A581" s="60"/>
      <c r="B581" s="24"/>
      <c r="C581" s="9">
        <f ca="1">IF(F592&gt;0,1,0)</f>
        <v>1</v>
      </c>
      <c r="D581" s="45" t="str">
        <f>A47</f>
        <v>Rockland</v>
      </c>
      <c r="E581" s="28">
        <f>SUMIF(A:A,D581,B:B)</f>
        <v>8.6451829716716073E-3</v>
      </c>
      <c r="F581" s="652" t="s">
        <v>396</v>
      </c>
      <c r="G581" s="652" t="s">
        <v>387</v>
      </c>
      <c r="H581" s="652" t="s">
        <v>388</v>
      </c>
      <c r="I581" s="652" t="s">
        <v>392</v>
      </c>
      <c r="J581" s="652" t="s">
        <v>31</v>
      </c>
      <c r="K581" s="652" t="s">
        <v>32</v>
      </c>
      <c r="L581" s="653" t="s">
        <v>33</v>
      </c>
      <c r="M581" s="653" t="s">
        <v>60</v>
      </c>
      <c r="N581" s="653" t="s">
        <v>59</v>
      </c>
      <c r="O581" s="653" t="s">
        <v>58</v>
      </c>
      <c r="P581" s="653" t="s">
        <v>16</v>
      </c>
    </row>
    <row r="582" spans="1:16" x14ac:dyDescent="0.25">
      <c r="A582" s="60"/>
      <c r="B582" s="24"/>
      <c r="C582" s="9">
        <f ca="1">C581</f>
        <v>1</v>
      </c>
      <c r="D582" s="47"/>
      <c r="E582" s="48"/>
      <c r="F582" s="669" t="s">
        <v>57</v>
      </c>
      <c r="G582" s="669" t="s">
        <v>56</v>
      </c>
      <c r="H582" s="669" t="s">
        <v>55</v>
      </c>
      <c r="I582" s="669" t="s">
        <v>54</v>
      </c>
      <c r="J582" s="669" t="s">
        <v>53</v>
      </c>
      <c r="K582" s="669" t="s">
        <v>52</v>
      </c>
      <c r="L582" s="669" t="s">
        <v>51</v>
      </c>
      <c r="M582" s="669" t="s">
        <v>50</v>
      </c>
      <c r="N582" s="669" t="s">
        <v>49</v>
      </c>
      <c r="O582" s="669" t="s">
        <v>47</v>
      </c>
      <c r="P582" s="670" t="s">
        <v>77</v>
      </c>
    </row>
    <row r="583" spans="1:16" x14ac:dyDescent="0.25">
      <c r="B583" s="24"/>
      <c r="C583" s="9">
        <f t="shared" ref="C583:C592" ca="1" si="358">C582</f>
        <v>1</v>
      </c>
      <c r="D583" s="51" t="s">
        <v>26</v>
      </c>
      <c r="E583" s="48"/>
      <c r="F583" s="674"/>
      <c r="G583" s="674"/>
      <c r="H583" s="674"/>
      <c r="I583" s="674"/>
      <c r="J583" s="674"/>
      <c r="K583" s="674"/>
      <c r="L583" s="675"/>
      <c r="M583" s="675"/>
      <c r="N583" s="676"/>
      <c r="O583" s="674"/>
      <c r="P583" s="677"/>
    </row>
    <row r="584" spans="1:16" x14ac:dyDescent="0.25">
      <c r="B584" s="24"/>
      <c r="C584" s="9">
        <f t="shared" ca="1" si="358"/>
        <v>1</v>
      </c>
      <c r="D584" s="267" t="s">
        <v>18</v>
      </c>
      <c r="E584" s="48" t="s">
        <v>57</v>
      </c>
      <c r="F584" s="678">
        <f ca="1">SUM(G584:I584)</f>
        <v>745244.65620231058</v>
      </c>
      <c r="G584" s="658">
        <f ca="1">+IFERROR(G$5*GETPIVOTDATA("Unique Billed Hours",'County allocation'!$A$3,"County",$D581,"HHA/CDPAP","CDPAP","Level of Service",$D584),0)</f>
        <v>29960.439509107528</v>
      </c>
      <c r="H584" s="658">
        <f>+IFERROR(H$5*GETPIVOTDATA("Unique Billed Hours",'County allocation'!$A$3,"County",$D581,"HHA/CDPAP","CDPAP","Level of Service",$D584),0)</f>
        <v>25795.385266640747</v>
      </c>
      <c r="I584" s="678">
        <f ca="1">SUM(J584:P584)</f>
        <v>689488.83142656228</v>
      </c>
      <c r="J584" s="658">
        <f ca="1">+IFERROR(J$5*GETPIVOTDATA("Unique Billed Hours",'County allocation'!$S$3,"County",$D581,"HHA/CDPAP","CDPAP","Level of Service",$D584),0)</f>
        <v>136413.43813922579</v>
      </c>
      <c r="K584" s="658">
        <f ca="1">+IFERROR(K$5*GETPIVOTDATA("Unique Billed Hours",'County allocation'!$X$3,"County",$D581,"HHA/CDPAP","CDPAP","Level of Service",$D584),0)</f>
        <v>550321.25659317349</v>
      </c>
      <c r="L584" s="658">
        <f>+IFERROR(L$5*GETPIVOTDATA("Unique Billed Hours",'County allocation'!$K$19,"County",$D581,"HHA/CDPAP","CDPAP","Level of Service",$D584),0)</f>
        <v>0</v>
      </c>
      <c r="M584" s="658">
        <f>+IFERROR(M$5*GETPIVOTDATA("Unique Billed Hours",'County allocation'!$S$3,"County",$D581,"HHA/CDPAP","CDPAP","Level of Service",$D584),0)</f>
        <v>2541.2907539071448</v>
      </c>
      <c r="N584" s="658">
        <f>+IFERROR(N$5*GETPIVOTDATA("Unique Billed Hours",'County allocation'!$S$3,"County",$D581,"HHA/CDPAP","CDPAP","Level of Service",$D584),0)</f>
        <v>212.84594025574364</v>
      </c>
      <c r="O584" s="658">
        <f>+IFERROR(O$5*GETPIVOTDATA("Unique Billed Hours",'County allocation'!$S$3,"County",$D581,"HHA/CDPAP","CDPAP","Level of Service",$D584),0)</f>
        <v>0</v>
      </c>
      <c r="P584" s="658">
        <f>+IFERROR(P$5*GETPIVOTDATA("Unique Billed Hours",'County allocation'!$S$3,"County",$D581,"HHA/CDPAP","CDPAP","Level of Service",$D584),0)</f>
        <v>0</v>
      </c>
    </row>
    <row r="585" spans="1:16" x14ac:dyDescent="0.25">
      <c r="B585" s="24"/>
      <c r="C585" s="9">
        <f t="shared" ca="1" si="358"/>
        <v>1</v>
      </c>
      <c r="D585" s="267" t="s">
        <v>42</v>
      </c>
      <c r="E585" s="48" t="s">
        <v>56</v>
      </c>
      <c r="F585" s="678">
        <f t="shared" ref="F585:F589" ca="1" si="359">SUM(G585:I585)</f>
        <v>0</v>
      </c>
      <c r="G585" s="658">
        <f ca="1">+IFERROR(G$5*GETPIVOTDATA("Unique Billed Hours",'County allocation'!$A$3,"County",$D581,"HHA/CDPAP","CDPAP","Level of Service",$D585),0)</f>
        <v>0</v>
      </c>
      <c r="H585" s="658">
        <f>+IFERROR(H$5*GETPIVOTDATA("Unique Billed Hours",'County allocation'!$A$3,"County",$D581,"HHA/CDPAP","CDPAP","Level of Service",$D585),0)</f>
        <v>0</v>
      </c>
      <c r="I585" s="678">
        <f t="shared" ref="I585:I592" ca="1" si="360">SUM(J585:P585)</f>
        <v>0</v>
      </c>
      <c r="J585" s="658">
        <f ca="1">+IFERROR(J$5*GETPIVOTDATA("Unique Billed Hours",'County allocation'!$S$3,"County",$D581,"HHA/CDPAP","CDPAP","Level of Service",$D585),0)</f>
        <v>0</v>
      </c>
      <c r="K585" s="658">
        <f ca="1">+IFERROR(K$5*GETPIVOTDATA("Unique Billed Hours",'County allocation'!$X$3,"County",$D581,"HHA/CDPAP","CDPAP","Level of Service",$D585),0)</f>
        <v>0</v>
      </c>
      <c r="L585" s="658">
        <f>+IFERROR(L$5*GETPIVOTDATA("Unique Billed Hours",'County allocation'!$K$19,"County",$D581,"HHA/CDPAP","CDPAP","Level of Service",$D585),0)</f>
        <v>0</v>
      </c>
      <c r="M585" s="658">
        <f>+IFERROR(M$5*GETPIVOTDATA("Unique Billed Hours",'County allocation'!$S$3,"County",$D581,"HHA/CDPAP","CDPAP","Level of Service",$D585),0)</f>
        <v>0</v>
      </c>
      <c r="N585" s="658">
        <f>+IFERROR(N$5*GETPIVOTDATA("Unique Billed Hours",'County allocation'!$S$3,"County",$D581,"HHA/CDPAP","CDPAP","Level of Service",$D585),0)</f>
        <v>0</v>
      </c>
      <c r="O585" s="658">
        <f>+IFERROR(O$5*GETPIVOTDATA("Unique Billed Hours",'County allocation'!$S$3,"County",$D581,"HHA/CDPAP","CDPAP","Level of Service",$D585),0)</f>
        <v>0</v>
      </c>
      <c r="P585" s="658">
        <f>+IFERROR(P$5*GETPIVOTDATA("Unique Billed Hours",'County allocation'!$S$3,"County",$D581,"HHA/CDPAP","CDPAP","Level of Service",$D585),0)</f>
        <v>0</v>
      </c>
    </row>
    <row r="586" spans="1:16" x14ac:dyDescent="0.25">
      <c r="B586" s="24"/>
      <c r="C586" s="9">
        <f t="shared" ca="1" si="358"/>
        <v>1</v>
      </c>
      <c r="D586" s="267" t="s">
        <v>43</v>
      </c>
      <c r="E586" s="48" t="s">
        <v>55</v>
      </c>
      <c r="F586" s="678">
        <f t="shared" ca="1" si="359"/>
        <v>0</v>
      </c>
      <c r="G586" s="658">
        <f ca="1">+IFERROR(G$5*GETPIVOTDATA("Unique Billed Hours",'County allocation'!$A$3,"County",$D581,"HHA/CDPAP","CDPAP","Level of Service",$D586),0)</f>
        <v>0</v>
      </c>
      <c r="H586" s="658">
        <f>+IFERROR(H$5*GETPIVOTDATA("Unique Billed Hours",'County allocation'!$A$3,"County",$D581,"HHA/CDPAP","CDPAP","Level of Service",$D586),0)</f>
        <v>0</v>
      </c>
      <c r="I586" s="678">
        <f t="shared" ca="1" si="360"/>
        <v>0</v>
      </c>
      <c r="J586" s="658">
        <f ca="1">+IFERROR(J$5*GETPIVOTDATA("Unique Billed Hours",'County allocation'!$S$3,"County",$D581,"HHA/CDPAP","CDPAP","Level of Service",$D586),0)</f>
        <v>0</v>
      </c>
      <c r="K586" s="658">
        <f ca="1">+IFERROR(K$5*GETPIVOTDATA("Unique Billed Hours",'County allocation'!$X$3,"County",$D581,"HHA/CDPAP","CDPAP","Level of Service",$D586),0)</f>
        <v>0</v>
      </c>
      <c r="L586" s="658">
        <f>+IFERROR(L$5*GETPIVOTDATA("Unique Billed Hours",'County allocation'!$K$19,"County",$D581,"HHA/CDPAP","CDPAP","Level of Service",$D586),0)</f>
        <v>0</v>
      </c>
      <c r="M586" s="658">
        <f>+IFERROR(M$5*GETPIVOTDATA("Unique Billed Hours",'County allocation'!$S$3,"County",$D581,"HHA/CDPAP","CDPAP","Level of Service",$D586),0)</f>
        <v>0</v>
      </c>
      <c r="N586" s="658">
        <f>+IFERROR(N$5*GETPIVOTDATA("Unique Billed Hours",'County allocation'!$S$3,"County",$D581,"HHA/CDPAP","CDPAP","Level of Service",$D586),0)</f>
        <v>0</v>
      </c>
      <c r="O586" s="658">
        <f>+IFERROR(O$5*GETPIVOTDATA("Unique Billed Hours",'County allocation'!$S$3,"County",$D581,"HHA/CDPAP","CDPAP","Level of Service",$D586),0)</f>
        <v>0</v>
      </c>
      <c r="P586" s="658">
        <f>+IFERROR(P$5*GETPIVOTDATA("Unique Billed Hours",'County allocation'!$S$3,"County",$D581,"HHA/CDPAP","CDPAP","Level of Service",$D586),0)</f>
        <v>0</v>
      </c>
    </row>
    <row r="587" spans="1:16" x14ac:dyDescent="0.25">
      <c r="B587" s="24"/>
      <c r="C587" s="9">
        <f t="shared" ca="1" si="358"/>
        <v>1</v>
      </c>
      <c r="D587" s="267" t="s">
        <v>44</v>
      </c>
      <c r="E587" s="48" t="s">
        <v>54</v>
      </c>
      <c r="F587" s="678">
        <f t="shared" ca="1" si="359"/>
        <v>0</v>
      </c>
      <c r="G587" s="658">
        <f ca="1">+IFERROR(G$5*GETPIVOTDATA("Unique Billed Hours",'County allocation'!$A$3,"County",$D581,"HHA/CDPAP","CDPAP","Level of Service",$D587),0)</f>
        <v>0</v>
      </c>
      <c r="H587" s="658">
        <f>+IFERROR(H$5*GETPIVOTDATA("Unique Billed Hours",'County allocation'!$A$3,"County",$D581,"HHA/CDPAP","CDPAP","Level of Service",$D587),0)</f>
        <v>0</v>
      </c>
      <c r="I587" s="678">
        <f t="shared" ca="1" si="360"/>
        <v>0</v>
      </c>
      <c r="J587" s="658">
        <f ca="1">+IFERROR(J$5*GETPIVOTDATA("Unique Billed Hours",'County allocation'!$S$3,"County",$D581,"HHA/CDPAP","CDPAP","Level of Service",$D587),0)</f>
        <v>0</v>
      </c>
      <c r="K587" s="658">
        <f ca="1">+IFERROR(K$5*GETPIVOTDATA("Unique Billed Hours",'County allocation'!$X$3,"County",$D581,"HHA/CDPAP","CDPAP","Level of Service",$D587),0)</f>
        <v>0</v>
      </c>
      <c r="L587" s="658">
        <f>+IFERROR(L$5*GETPIVOTDATA("Unique Billed Hours",'County allocation'!$K$19,"County",$D581,"HHA/CDPAP","CDPAP","Level of Service",$D587),0)</f>
        <v>0</v>
      </c>
      <c r="M587" s="658">
        <f>+IFERROR(M$5*GETPIVOTDATA("Unique Billed Hours",'County allocation'!$S$3,"County",$D581,"HHA/CDPAP","CDPAP","Level of Service",$D587),0)</f>
        <v>0</v>
      </c>
      <c r="N587" s="658">
        <f>+IFERROR(N$5*GETPIVOTDATA("Unique Billed Hours",'County allocation'!$S$3,"County",$D581,"HHA/CDPAP","CDPAP","Level of Service",$D587),0)</f>
        <v>0</v>
      </c>
      <c r="O587" s="658">
        <f>+IFERROR(O$5*GETPIVOTDATA("Unique Billed Hours",'County allocation'!$S$3,"County",$D581,"HHA/CDPAP","CDPAP","Level of Service",$D587),0)</f>
        <v>0</v>
      </c>
      <c r="P587" s="658">
        <f>+IFERROR(P$5*GETPIVOTDATA("Unique Billed Hours",'County allocation'!$S$3,"County",$D581,"HHA/CDPAP","CDPAP","Level of Service",$D587),0)</f>
        <v>0</v>
      </c>
    </row>
    <row r="588" spans="1:16" x14ac:dyDescent="0.25">
      <c r="B588" s="24"/>
      <c r="C588" s="9">
        <f t="shared" ca="1" si="358"/>
        <v>1</v>
      </c>
      <c r="D588" s="267" t="s">
        <v>45</v>
      </c>
      <c r="E588" s="48" t="s">
        <v>53</v>
      </c>
      <c r="F588" s="678">
        <f t="shared" ca="1" si="359"/>
        <v>0</v>
      </c>
      <c r="G588" s="658">
        <f ca="1">+IFERROR(G$5*GETPIVOTDATA("Unique Billed Hours",'County allocation'!$A$3,"County",$D581,"HHA/CDPAP","CDPAP","Level of Service",$D588),0)</f>
        <v>0</v>
      </c>
      <c r="H588" s="658">
        <f>+IFERROR(H$5*GETPIVOTDATA("Unique Billed Hours",'County allocation'!$A$3,"County",$D581,"HHA/CDPAP","CDPAP","Level of Service",$D588),0)</f>
        <v>0</v>
      </c>
      <c r="I588" s="678">
        <f t="shared" ca="1" si="360"/>
        <v>0</v>
      </c>
      <c r="J588" s="658">
        <f ca="1">+IFERROR(J$5*GETPIVOTDATA("Unique Billed Hours",'County allocation'!$S$3,"County",$D581,"HHA/CDPAP","CDPAP","Level of Service",$D588),0)</f>
        <v>0</v>
      </c>
      <c r="K588" s="658">
        <f ca="1">+IFERROR(K$5*GETPIVOTDATA("Unique Billed Hours",'County allocation'!$X$3,"County",$D581,"HHA/CDPAP","CDPAP","Level of Service",$D588),0)</f>
        <v>0</v>
      </c>
      <c r="L588" s="658">
        <f>+IFERROR(L$5*GETPIVOTDATA("Unique Billed Hours",'County allocation'!$K$19,"County",$D581,"HHA/CDPAP","CDPAP","Level of Service",$D588),0)</f>
        <v>0</v>
      </c>
      <c r="M588" s="658">
        <f>+IFERROR(M$5*GETPIVOTDATA("Unique Billed Hours",'County allocation'!$S$3,"County",$D581,"HHA/CDPAP","CDPAP","Level of Service",$D588),0)</f>
        <v>0</v>
      </c>
      <c r="N588" s="658">
        <f>+IFERROR(N$5*GETPIVOTDATA("Unique Billed Hours",'County allocation'!$S$3,"County",$D581,"HHA/CDPAP","CDPAP","Level of Service",$D588),0)</f>
        <v>0</v>
      </c>
      <c r="O588" s="658">
        <f>+IFERROR(O$5*GETPIVOTDATA("Unique Billed Hours",'County allocation'!$S$3,"County",$D581,"HHA/CDPAP","CDPAP","Level of Service",$D588),0)</f>
        <v>0</v>
      </c>
      <c r="P588" s="658">
        <f>+IFERROR(P$5*GETPIVOTDATA("Unique Billed Hours",'County allocation'!$S$3,"County",$D581,"HHA/CDPAP","CDPAP","Level of Service",$D588),0)</f>
        <v>0</v>
      </c>
    </row>
    <row r="589" spans="1:16" x14ac:dyDescent="0.25">
      <c r="A589" s="302"/>
      <c r="B589" s="24"/>
      <c r="C589" s="9">
        <f t="shared" ca="1" si="358"/>
        <v>1</v>
      </c>
      <c r="D589" s="267" t="s">
        <v>46</v>
      </c>
      <c r="E589" s="48" t="s">
        <v>52</v>
      </c>
      <c r="F589" s="678">
        <f t="shared" ca="1" si="359"/>
        <v>0</v>
      </c>
      <c r="G589" s="658">
        <f ca="1">+IFERROR(G$5*GETPIVOTDATA("Unique Billed Hours",'County allocation'!$A$3,"County",$D581,"HHA/CDPAP","CDPAP","Level of Service",$D589),0)</f>
        <v>0</v>
      </c>
      <c r="H589" s="658">
        <f>+IFERROR(H$5*GETPIVOTDATA("Unique Billed Hours",'County allocation'!$A$3,"County",$D581,"HHA/CDPAP","CDPAP","Level of Service",$D589),0)</f>
        <v>0</v>
      </c>
      <c r="I589" s="678">
        <f t="shared" ca="1" si="360"/>
        <v>0</v>
      </c>
      <c r="J589" s="658">
        <f ca="1">+IFERROR(J$5*GETPIVOTDATA("Unique Billed Hours",'County allocation'!$S$3,"County",$D581,"HHA/CDPAP","CDPAP","Level of Service",$D589),0)</f>
        <v>0</v>
      </c>
      <c r="K589" s="658">
        <f ca="1">+IFERROR(K$5*GETPIVOTDATA("Unique Billed Hours",'County allocation'!$X$3,"County",$D581,"HHA/CDPAP","CDPAP","Level of Service",$D589),0)</f>
        <v>0</v>
      </c>
      <c r="L589" s="658">
        <f>+IFERROR(L$5*GETPIVOTDATA("Unique Billed Hours",'County allocation'!$K$19,"County",$D581,"HHA/CDPAP","CDPAP","Level of Service",$D589),0)</f>
        <v>0</v>
      </c>
      <c r="M589" s="658">
        <f>+IFERROR(M$5*GETPIVOTDATA("Unique Billed Hours",'County allocation'!$S$3,"County",$D581,"HHA/CDPAP","CDPAP","Level of Service",$D589),0)</f>
        <v>0</v>
      </c>
      <c r="N589" s="658">
        <f>+IFERROR(N$5*GETPIVOTDATA("Unique Billed Hours",'County allocation'!$S$3,"County",$D581,"HHA/CDPAP","CDPAP","Level of Service",$D589),0)</f>
        <v>0</v>
      </c>
      <c r="O589" s="658">
        <f>+IFERROR(O$5*GETPIVOTDATA("Unique Billed Hours",'County allocation'!$S$3,"County",$D581,"HHA/CDPAP","CDPAP","Level of Service",$D589),0)</f>
        <v>0</v>
      </c>
      <c r="P589" s="658">
        <f>+IFERROR(P$5*GETPIVOTDATA("Unique Billed Hours",'County allocation'!$S$3,"County",$D581,"HHA/CDPAP","CDPAP","Level of Service",$D589),0)</f>
        <v>0</v>
      </c>
    </row>
    <row r="590" spans="1:16" ht="15.75" thickBot="1" x14ac:dyDescent="0.3">
      <c r="A590" s="302"/>
      <c r="B590" s="24"/>
      <c r="C590" s="9">
        <f t="shared" ca="1" si="358"/>
        <v>1</v>
      </c>
      <c r="D590" s="52" t="s">
        <v>389</v>
      </c>
      <c r="E590" s="370" t="s">
        <v>51</v>
      </c>
      <c r="F590" s="679">
        <f ca="1">SUM(F584:F589)</f>
        <v>745244.65620231058</v>
      </c>
      <c r="G590" s="679">
        <f t="shared" ref="G590:H590" ca="1" si="361">SUM(G584:G589)</f>
        <v>29960.439509107528</v>
      </c>
      <c r="H590" s="679">
        <f t="shared" si="361"/>
        <v>25795.385266640747</v>
      </c>
      <c r="I590" s="678">
        <f t="shared" ca="1" si="360"/>
        <v>689488.83142656228</v>
      </c>
      <c r="J590" s="679">
        <f ca="1">SUM(J584:J589)</f>
        <v>136413.43813922579</v>
      </c>
      <c r="K590" s="679">
        <f t="shared" ref="K590:P590" ca="1" si="362">SUM(K584:K589)</f>
        <v>550321.25659317349</v>
      </c>
      <c r="L590" s="679">
        <f t="shared" si="362"/>
        <v>0</v>
      </c>
      <c r="M590" s="679">
        <f t="shared" si="362"/>
        <v>2541.2907539071448</v>
      </c>
      <c r="N590" s="679">
        <f t="shared" si="362"/>
        <v>212.84594025574364</v>
      </c>
      <c r="O590" s="679">
        <f t="shared" si="362"/>
        <v>0</v>
      </c>
      <c r="P590" s="679">
        <f t="shared" si="362"/>
        <v>0</v>
      </c>
    </row>
    <row r="591" spans="1:16" x14ac:dyDescent="0.25">
      <c r="A591" s="302"/>
      <c r="B591" s="24"/>
      <c r="C591" s="9">
        <f t="shared" ca="1" si="358"/>
        <v>1</v>
      </c>
      <c r="D591" s="378" t="s">
        <v>390</v>
      </c>
      <c r="E591" s="370" t="s">
        <v>50</v>
      </c>
      <c r="F591" s="678">
        <f t="shared" ref="F591" ca="1" si="363">SUM(G591:I591)</f>
        <v>0</v>
      </c>
      <c r="G591" s="658">
        <f ca="1">+IFERROR(G$5*GETPIVOTDATA("Unique Billed Hours",'County allocation'!$A$3,"County",$D581,"HHA/CDPAP","CDPAP","Level of Service",$D591),0)</f>
        <v>0</v>
      </c>
      <c r="H591" s="659"/>
      <c r="I591" s="678">
        <f t="shared" si="360"/>
        <v>0</v>
      </c>
      <c r="J591" s="659"/>
      <c r="K591" s="659"/>
      <c r="L591" s="659"/>
      <c r="M591" s="659"/>
      <c r="N591" s="659"/>
      <c r="O591" s="659"/>
      <c r="P591" s="659"/>
    </row>
    <row r="592" spans="1:16" ht="15.75" thickBot="1" x14ac:dyDescent="0.3">
      <c r="B592" s="24"/>
      <c r="C592" s="9">
        <f t="shared" ca="1" si="358"/>
        <v>1</v>
      </c>
      <c r="D592" s="11" t="s">
        <v>48</v>
      </c>
      <c r="E592" s="53" t="s">
        <v>49</v>
      </c>
      <c r="F592" s="662">
        <f ca="1">SUBTOTAL(9,F584:F589)</f>
        <v>745244.65620231058</v>
      </c>
      <c r="G592" s="662">
        <f t="shared" ref="G592:H592" ca="1" si="364">SUBTOTAL(9,G584:G589)</f>
        <v>29960.439509107528</v>
      </c>
      <c r="H592" s="662">
        <f t="shared" si="364"/>
        <v>25795.385266640747</v>
      </c>
      <c r="I592" s="678">
        <f t="shared" ca="1" si="360"/>
        <v>689488.83142656228</v>
      </c>
      <c r="J592" s="662">
        <f t="shared" ref="J592:P592" ca="1" si="365">SUBTOTAL(9,J584:J589)</f>
        <v>136413.43813922579</v>
      </c>
      <c r="K592" s="662">
        <f t="shared" ca="1" si="365"/>
        <v>550321.25659317349</v>
      </c>
      <c r="L592" s="662">
        <f t="shared" si="365"/>
        <v>0</v>
      </c>
      <c r="M592" s="662">
        <f t="shared" si="365"/>
        <v>2541.2907539071448</v>
      </c>
      <c r="N592" s="662">
        <f t="shared" si="365"/>
        <v>212.84594025574364</v>
      </c>
      <c r="O592" s="662">
        <f t="shared" si="365"/>
        <v>0</v>
      </c>
      <c r="P592" s="662">
        <f t="shared" si="365"/>
        <v>0</v>
      </c>
    </row>
    <row r="593" spans="1:16" ht="15.75" hidden="1" thickBot="1" x14ac:dyDescent="0.3"/>
    <row r="594" spans="1:16" ht="75" x14ac:dyDescent="0.25">
      <c r="A594" s="60"/>
      <c r="B594" s="24"/>
      <c r="C594" s="9">
        <f ca="1">IF(F605&gt;0,1,0)</f>
        <v>1</v>
      </c>
      <c r="D594" s="45" t="str">
        <f>A48</f>
        <v>Saint Lawrence</v>
      </c>
      <c r="E594" s="28">
        <f>SUMIF(A:A,D594,B:B)</f>
        <v>2.5221917468452523E-3</v>
      </c>
      <c r="F594" s="652" t="s">
        <v>396</v>
      </c>
      <c r="G594" s="652" t="s">
        <v>387</v>
      </c>
      <c r="H594" s="652" t="s">
        <v>388</v>
      </c>
      <c r="I594" s="652" t="s">
        <v>392</v>
      </c>
      <c r="J594" s="652" t="s">
        <v>31</v>
      </c>
      <c r="K594" s="652" t="s">
        <v>32</v>
      </c>
      <c r="L594" s="653" t="s">
        <v>33</v>
      </c>
      <c r="M594" s="653" t="s">
        <v>60</v>
      </c>
      <c r="N594" s="653" t="s">
        <v>59</v>
      </c>
      <c r="O594" s="653" t="s">
        <v>58</v>
      </c>
      <c r="P594" s="653" t="s">
        <v>16</v>
      </c>
    </row>
    <row r="595" spans="1:16" x14ac:dyDescent="0.25">
      <c r="A595" s="60"/>
      <c r="B595" s="24"/>
      <c r="C595" s="9">
        <f ca="1">C594</f>
        <v>1</v>
      </c>
      <c r="D595" s="47"/>
      <c r="E595" s="48"/>
      <c r="F595" s="669" t="s">
        <v>57</v>
      </c>
      <c r="G595" s="669" t="s">
        <v>56</v>
      </c>
      <c r="H595" s="669" t="s">
        <v>55</v>
      </c>
      <c r="I595" s="669" t="s">
        <v>54</v>
      </c>
      <c r="J595" s="669" t="s">
        <v>53</v>
      </c>
      <c r="K595" s="669" t="s">
        <v>52</v>
      </c>
      <c r="L595" s="669" t="s">
        <v>51</v>
      </c>
      <c r="M595" s="669" t="s">
        <v>50</v>
      </c>
      <c r="N595" s="669" t="s">
        <v>49</v>
      </c>
      <c r="O595" s="669" t="s">
        <v>47</v>
      </c>
      <c r="P595" s="670" t="s">
        <v>77</v>
      </c>
    </row>
    <row r="596" spans="1:16" x14ac:dyDescent="0.25">
      <c r="B596" s="24"/>
      <c r="C596" s="9">
        <f t="shared" ref="C596:C605" ca="1" si="366">C595</f>
        <v>1</v>
      </c>
      <c r="D596" s="51" t="s">
        <v>26</v>
      </c>
      <c r="E596" s="48"/>
      <c r="F596" s="674"/>
      <c r="G596" s="674"/>
      <c r="H596" s="674"/>
      <c r="I596" s="674"/>
      <c r="J596" s="674"/>
      <c r="K596" s="674"/>
      <c r="L596" s="675"/>
      <c r="M596" s="675"/>
      <c r="N596" s="676"/>
      <c r="O596" s="674"/>
      <c r="P596" s="677"/>
    </row>
    <row r="597" spans="1:16" x14ac:dyDescent="0.25">
      <c r="B597" s="24"/>
      <c r="C597" s="9">
        <f t="shared" ca="1" si="366"/>
        <v>1</v>
      </c>
      <c r="D597" s="267" t="s">
        <v>18</v>
      </c>
      <c r="E597" s="48" t="s">
        <v>57</v>
      </c>
      <c r="F597" s="678">
        <f ca="1">SUM(G597:I597)</f>
        <v>217421.64710836086</v>
      </c>
      <c r="G597" s="658">
        <f ca="1">+IFERROR(G$5*GETPIVOTDATA("Unique Billed Hours",'County allocation'!$A$3,"County",$D594,"HHA/CDPAP","CDPAP","Level of Service",$D597),0)</f>
        <v>8740.8182694733878</v>
      </c>
      <c r="H597" s="658">
        <f>+IFERROR(H$5*GETPIVOTDATA("Unique Billed Hours",'County allocation'!$A$3,"County",$D594,"HHA/CDPAP","CDPAP","Level of Service",$D597),0)</f>
        <v>7525.6831508836094</v>
      </c>
      <c r="I597" s="678">
        <f ca="1">SUM(J597:P597)</f>
        <v>201155.14568800386</v>
      </c>
      <c r="J597" s="658">
        <f ca="1">+IFERROR(J$5*GETPIVOTDATA("Unique Billed Hours",'County allocation'!$S$3,"County",$D594,"HHA/CDPAP","CDPAP","Level of Service",$D597),0)</f>
        <v>39797.983334876029</v>
      </c>
      <c r="K597" s="658">
        <f ca="1">+IFERROR(K$5*GETPIVOTDATA("Unique Billed Hours",'County allocation'!$X$3,"County",$D594,"HHA/CDPAP","CDPAP","Level of Service",$D597),0)</f>
        <v>160553.65583829023</v>
      </c>
      <c r="L597" s="658">
        <f>+IFERROR(L$5*GETPIVOTDATA("Unique Billed Hours",'County allocation'!$K$19,"County",$D594,"HHA/CDPAP","CDPAP","Level of Service",$D597),0)</f>
        <v>0</v>
      </c>
      <c r="M597" s="658">
        <f>+IFERROR(M$5*GETPIVOTDATA("Unique Billed Hours",'County allocation'!$S$3,"County",$D594,"HHA/CDPAP","CDPAP","Level of Service",$D597),0)</f>
        <v>741.40970605731479</v>
      </c>
      <c r="N597" s="658">
        <f>+IFERROR(N$5*GETPIVOTDATA("Unique Billed Hours",'County allocation'!$S$3,"County",$D594,"HHA/CDPAP","CDPAP","Level of Service",$D597),0)</f>
        <v>62.096808780294992</v>
      </c>
      <c r="O597" s="658">
        <f>+IFERROR(O$5*GETPIVOTDATA("Unique Billed Hours",'County allocation'!$S$3,"County",$D594,"HHA/CDPAP","CDPAP","Level of Service",$D597),0)</f>
        <v>0</v>
      </c>
      <c r="P597" s="658">
        <f>+IFERROR(P$5*GETPIVOTDATA("Unique Billed Hours",'County allocation'!$S$3,"County",$D594,"HHA/CDPAP","CDPAP","Level of Service",$D597),0)</f>
        <v>0</v>
      </c>
    </row>
    <row r="598" spans="1:16" x14ac:dyDescent="0.25">
      <c r="B598" s="24"/>
      <c r="C598" s="9">
        <f t="shared" ca="1" si="366"/>
        <v>1</v>
      </c>
      <c r="D598" s="267" t="s">
        <v>42</v>
      </c>
      <c r="E598" s="48" t="s">
        <v>56</v>
      </c>
      <c r="F598" s="678">
        <f t="shared" ref="F598:F602" ca="1" si="367">SUM(G598:I598)</f>
        <v>0</v>
      </c>
      <c r="G598" s="658">
        <f ca="1">+IFERROR(G$5*GETPIVOTDATA("Unique Billed Hours",'County allocation'!$A$3,"County",$D594,"HHA/CDPAP","CDPAP","Level of Service",$D598),0)</f>
        <v>0</v>
      </c>
      <c r="H598" s="658">
        <f>+IFERROR(H$5*GETPIVOTDATA("Unique Billed Hours",'County allocation'!$A$3,"County",$D594,"HHA/CDPAP","CDPAP","Level of Service",$D598),0)</f>
        <v>0</v>
      </c>
      <c r="I598" s="678">
        <f t="shared" ref="I598:I605" ca="1" si="368">SUM(J598:P598)</f>
        <v>0</v>
      </c>
      <c r="J598" s="658">
        <f ca="1">+IFERROR(J$5*GETPIVOTDATA("Unique Billed Hours",'County allocation'!$S$3,"County",$D594,"HHA/CDPAP","CDPAP","Level of Service",$D598),0)</f>
        <v>0</v>
      </c>
      <c r="K598" s="658">
        <f ca="1">+IFERROR(K$5*GETPIVOTDATA("Unique Billed Hours",'County allocation'!$X$3,"County",$D594,"HHA/CDPAP","CDPAP","Level of Service",$D598),0)</f>
        <v>0</v>
      </c>
      <c r="L598" s="658">
        <f>+IFERROR(L$5*GETPIVOTDATA("Unique Billed Hours",'County allocation'!$K$19,"County",$D594,"HHA/CDPAP","CDPAP","Level of Service",$D598),0)</f>
        <v>0</v>
      </c>
      <c r="M598" s="658">
        <f>+IFERROR(M$5*GETPIVOTDATA("Unique Billed Hours",'County allocation'!$S$3,"County",$D594,"HHA/CDPAP","CDPAP","Level of Service",$D598),0)</f>
        <v>0</v>
      </c>
      <c r="N598" s="658">
        <f>+IFERROR(N$5*GETPIVOTDATA("Unique Billed Hours",'County allocation'!$S$3,"County",$D594,"HHA/CDPAP","CDPAP","Level of Service",$D598),0)</f>
        <v>0</v>
      </c>
      <c r="O598" s="658">
        <f>+IFERROR(O$5*GETPIVOTDATA("Unique Billed Hours",'County allocation'!$S$3,"County",$D594,"HHA/CDPAP","CDPAP","Level of Service",$D598),0)</f>
        <v>0</v>
      </c>
      <c r="P598" s="658">
        <f>+IFERROR(P$5*GETPIVOTDATA("Unique Billed Hours",'County allocation'!$S$3,"County",$D594,"HHA/CDPAP","CDPAP","Level of Service",$D598),0)</f>
        <v>0</v>
      </c>
    </row>
    <row r="599" spans="1:16" x14ac:dyDescent="0.25">
      <c r="B599" s="24"/>
      <c r="C599" s="9">
        <f t="shared" ca="1" si="366"/>
        <v>1</v>
      </c>
      <c r="D599" s="267" t="s">
        <v>43</v>
      </c>
      <c r="E599" s="48" t="s">
        <v>55</v>
      </c>
      <c r="F599" s="678">
        <f t="shared" ca="1" si="367"/>
        <v>0</v>
      </c>
      <c r="G599" s="658">
        <f ca="1">+IFERROR(G$5*GETPIVOTDATA("Unique Billed Hours",'County allocation'!$A$3,"County",$D594,"HHA/CDPAP","CDPAP","Level of Service",$D599),0)</f>
        <v>0</v>
      </c>
      <c r="H599" s="658">
        <f>+IFERROR(H$5*GETPIVOTDATA("Unique Billed Hours",'County allocation'!$A$3,"County",$D594,"HHA/CDPAP","CDPAP","Level of Service",$D599),0)</f>
        <v>0</v>
      </c>
      <c r="I599" s="678">
        <f t="shared" ca="1" si="368"/>
        <v>0</v>
      </c>
      <c r="J599" s="658">
        <f ca="1">+IFERROR(J$5*GETPIVOTDATA("Unique Billed Hours",'County allocation'!$S$3,"County",$D594,"HHA/CDPAP","CDPAP","Level of Service",$D599),0)</f>
        <v>0</v>
      </c>
      <c r="K599" s="658">
        <f ca="1">+IFERROR(K$5*GETPIVOTDATA("Unique Billed Hours",'County allocation'!$X$3,"County",$D594,"HHA/CDPAP","CDPAP","Level of Service",$D599),0)</f>
        <v>0</v>
      </c>
      <c r="L599" s="658">
        <f>+IFERROR(L$5*GETPIVOTDATA("Unique Billed Hours",'County allocation'!$K$19,"County",$D594,"HHA/CDPAP","CDPAP","Level of Service",$D599),0)</f>
        <v>0</v>
      </c>
      <c r="M599" s="658">
        <f>+IFERROR(M$5*GETPIVOTDATA("Unique Billed Hours",'County allocation'!$S$3,"County",$D594,"HHA/CDPAP","CDPAP","Level of Service",$D599),0)</f>
        <v>0</v>
      </c>
      <c r="N599" s="658">
        <f>+IFERROR(N$5*GETPIVOTDATA("Unique Billed Hours",'County allocation'!$S$3,"County",$D594,"HHA/CDPAP","CDPAP","Level of Service",$D599),0)</f>
        <v>0</v>
      </c>
      <c r="O599" s="658">
        <f>+IFERROR(O$5*GETPIVOTDATA("Unique Billed Hours",'County allocation'!$S$3,"County",$D594,"HHA/CDPAP","CDPAP","Level of Service",$D599),0)</f>
        <v>0</v>
      </c>
      <c r="P599" s="658">
        <f>+IFERROR(P$5*GETPIVOTDATA("Unique Billed Hours",'County allocation'!$S$3,"County",$D594,"HHA/CDPAP","CDPAP","Level of Service",$D599),0)</f>
        <v>0</v>
      </c>
    </row>
    <row r="600" spans="1:16" x14ac:dyDescent="0.25">
      <c r="B600" s="24"/>
      <c r="C600" s="9">
        <f t="shared" ca="1" si="366"/>
        <v>1</v>
      </c>
      <c r="D600" s="267" t="s">
        <v>44</v>
      </c>
      <c r="E600" s="48" t="s">
        <v>54</v>
      </c>
      <c r="F600" s="678">
        <f t="shared" ca="1" si="367"/>
        <v>0</v>
      </c>
      <c r="G600" s="658">
        <f ca="1">+IFERROR(G$5*GETPIVOTDATA("Unique Billed Hours",'County allocation'!$A$3,"County",$D594,"HHA/CDPAP","CDPAP","Level of Service",$D600),0)</f>
        <v>0</v>
      </c>
      <c r="H600" s="658">
        <f>+IFERROR(H$5*GETPIVOTDATA("Unique Billed Hours",'County allocation'!$A$3,"County",$D594,"HHA/CDPAP","CDPAP","Level of Service",$D600),0)</f>
        <v>0</v>
      </c>
      <c r="I600" s="678">
        <f t="shared" ca="1" si="368"/>
        <v>0</v>
      </c>
      <c r="J600" s="658">
        <f ca="1">+IFERROR(J$5*GETPIVOTDATA("Unique Billed Hours",'County allocation'!$S$3,"County",$D594,"HHA/CDPAP","CDPAP","Level of Service",$D600),0)</f>
        <v>0</v>
      </c>
      <c r="K600" s="658">
        <f ca="1">+IFERROR(K$5*GETPIVOTDATA("Unique Billed Hours",'County allocation'!$X$3,"County",$D594,"HHA/CDPAP","CDPAP","Level of Service",$D600),0)</f>
        <v>0</v>
      </c>
      <c r="L600" s="658">
        <f>+IFERROR(L$5*GETPIVOTDATA("Unique Billed Hours",'County allocation'!$K$19,"County",$D594,"HHA/CDPAP","CDPAP","Level of Service",$D600),0)</f>
        <v>0</v>
      </c>
      <c r="M600" s="658">
        <f>+IFERROR(M$5*GETPIVOTDATA("Unique Billed Hours",'County allocation'!$S$3,"County",$D594,"HHA/CDPAP","CDPAP","Level of Service",$D600),0)</f>
        <v>0</v>
      </c>
      <c r="N600" s="658">
        <f>+IFERROR(N$5*GETPIVOTDATA("Unique Billed Hours",'County allocation'!$S$3,"County",$D594,"HHA/CDPAP","CDPAP","Level of Service",$D600),0)</f>
        <v>0</v>
      </c>
      <c r="O600" s="658">
        <f>+IFERROR(O$5*GETPIVOTDATA("Unique Billed Hours",'County allocation'!$S$3,"County",$D594,"HHA/CDPAP","CDPAP","Level of Service",$D600),0)</f>
        <v>0</v>
      </c>
      <c r="P600" s="658">
        <f>+IFERROR(P$5*GETPIVOTDATA("Unique Billed Hours",'County allocation'!$S$3,"County",$D594,"HHA/CDPAP","CDPAP","Level of Service",$D600),0)</f>
        <v>0</v>
      </c>
    </row>
    <row r="601" spans="1:16" x14ac:dyDescent="0.25">
      <c r="B601" s="24"/>
      <c r="C601" s="9">
        <f t="shared" ca="1" si="366"/>
        <v>1</v>
      </c>
      <c r="D601" s="267" t="s">
        <v>45</v>
      </c>
      <c r="E601" s="48" t="s">
        <v>53</v>
      </c>
      <c r="F601" s="678">
        <f t="shared" ca="1" si="367"/>
        <v>0</v>
      </c>
      <c r="G601" s="658">
        <f ca="1">+IFERROR(G$5*GETPIVOTDATA("Unique Billed Hours",'County allocation'!$A$3,"County",$D594,"HHA/CDPAP","CDPAP","Level of Service",$D601),0)</f>
        <v>0</v>
      </c>
      <c r="H601" s="658">
        <f>+IFERROR(H$5*GETPIVOTDATA("Unique Billed Hours",'County allocation'!$A$3,"County",$D594,"HHA/CDPAP","CDPAP","Level of Service",$D601),0)</f>
        <v>0</v>
      </c>
      <c r="I601" s="678">
        <f t="shared" ca="1" si="368"/>
        <v>0</v>
      </c>
      <c r="J601" s="658">
        <f ca="1">+IFERROR(J$5*GETPIVOTDATA("Unique Billed Hours",'County allocation'!$S$3,"County",$D594,"HHA/CDPAP","CDPAP","Level of Service",$D601),0)</f>
        <v>0</v>
      </c>
      <c r="K601" s="658">
        <f ca="1">+IFERROR(K$5*GETPIVOTDATA("Unique Billed Hours",'County allocation'!$X$3,"County",$D594,"HHA/CDPAP","CDPAP","Level of Service",$D601),0)</f>
        <v>0</v>
      </c>
      <c r="L601" s="658">
        <f>+IFERROR(L$5*GETPIVOTDATA("Unique Billed Hours",'County allocation'!$K$19,"County",$D594,"HHA/CDPAP","CDPAP","Level of Service",$D601),0)</f>
        <v>0</v>
      </c>
      <c r="M601" s="658">
        <f>+IFERROR(M$5*GETPIVOTDATA("Unique Billed Hours",'County allocation'!$S$3,"County",$D594,"HHA/CDPAP","CDPAP","Level of Service",$D601),0)</f>
        <v>0</v>
      </c>
      <c r="N601" s="658">
        <f>+IFERROR(N$5*GETPIVOTDATA("Unique Billed Hours",'County allocation'!$S$3,"County",$D594,"HHA/CDPAP","CDPAP","Level of Service",$D601),0)</f>
        <v>0</v>
      </c>
      <c r="O601" s="658">
        <f>+IFERROR(O$5*GETPIVOTDATA("Unique Billed Hours",'County allocation'!$S$3,"County",$D594,"HHA/CDPAP","CDPAP","Level of Service",$D601),0)</f>
        <v>0</v>
      </c>
      <c r="P601" s="658">
        <f>+IFERROR(P$5*GETPIVOTDATA("Unique Billed Hours",'County allocation'!$S$3,"County",$D594,"HHA/CDPAP","CDPAP","Level of Service",$D601),0)</f>
        <v>0</v>
      </c>
    </row>
    <row r="602" spans="1:16" x14ac:dyDescent="0.25">
      <c r="A602" s="302"/>
      <c r="B602" s="24"/>
      <c r="C602" s="9">
        <f t="shared" ca="1" si="366"/>
        <v>1</v>
      </c>
      <c r="D602" s="267" t="s">
        <v>46</v>
      </c>
      <c r="E602" s="48" t="s">
        <v>52</v>
      </c>
      <c r="F602" s="678">
        <f t="shared" ca="1" si="367"/>
        <v>0</v>
      </c>
      <c r="G602" s="658">
        <f ca="1">+IFERROR(G$5*GETPIVOTDATA("Unique Billed Hours",'County allocation'!$A$3,"County",$D594,"HHA/CDPAP","CDPAP","Level of Service",$D602),0)</f>
        <v>0</v>
      </c>
      <c r="H602" s="658">
        <f>+IFERROR(H$5*GETPIVOTDATA("Unique Billed Hours",'County allocation'!$A$3,"County",$D594,"HHA/CDPAP","CDPAP","Level of Service",$D602),0)</f>
        <v>0</v>
      </c>
      <c r="I602" s="678">
        <f t="shared" ca="1" si="368"/>
        <v>0</v>
      </c>
      <c r="J602" s="658">
        <f ca="1">+IFERROR(J$5*GETPIVOTDATA("Unique Billed Hours",'County allocation'!$S$3,"County",$D594,"HHA/CDPAP","CDPAP","Level of Service",$D602),0)</f>
        <v>0</v>
      </c>
      <c r="K602" s="658">
        <f ca="1">+IFERROR(K$5*GETPIVOTDATA("Unique Billed Hours",'County allocation'!$X$3,"County",$D594,"HHA/CDPAP","CDPAP","Level of Service",$D602),0)</f>
        <v>0</v>
      </c>
      <c r="L602" s="658">
        <f>+IFERROR(L$5*GETPIVOTDATA("Unique Billed Hours",'County allocation'!$K$19,"County",$D594,"HHA/CDPAP","CDPAP","Level of Service",$D602),0)</f>
        <v>0</v>
      </c>
      <c r="M602" s="658">
        <f>+IFERROR(M$5*GETPIVOTDATA("Unique Billed Hours",'County allocation'!$S$3,"County",$D594,"HHA/CDPAP","CDPAP","Level of Service",$D602),0)</f>
        <v>0</v>
      </c>
      <c r="N602" s="658">
        <f>+IFERROR(N$5*GETPIVOTDATA("Unique Billed Hours",'County allocation'!$S$3,"County",$D594,"HHA/CDPAP","CDPAP","Level of Service",$D602),0)</f>
        <v>0</v>
      </c>
      <c r="O602" s="658">
        <f>+IFERROR(O$5*GETPIVOTDATA("Unique Billed Hours",'County allocation'!$S$3,"County",$D594,"HHA/CDPAP","CDPAP","Level of Service",$D602),0)</f>
        <v>0</v>
      </c>
      <c r="P602" s="658">
        <f>+IFERROR(P$5*GETPIVOTDATA("Unique Billed Hours",'County allocation'!$S$3,"County",$D594,"HHA/CDPAP","CDPAP","Level of Service",$D602),0)</f>
        <v>0</v>
      </c>
    </row>
    <row r="603" spans="1:16" ht="15.75" thickBot="1" x14ac:dyDescent="0.3">
      <c r="A603" s="302"/>
      <c r="B603" s="24"/>
      <c r="C603" s="9">
        <f t="shared" ca="1" si="366"/>
        <v>1</v>
      </c>
      <c r="D603" s="52" t="s">
        <v>389</v>
      </c>
      <c r="E603" s="370" t="s">
        <v>51</v>
      </c>
      <c r="F603" s="679">
        <f ca="1">SUM(F597:F602)</f>
        <v>217421.64710836086</v>
      </c>
      <c r="G603" s="679">
        <f t="shared" ref="G603:H603" ca="1" si="369">SUM(G597:G602)</f>
        <v>8740.8182694733878</v>
      </c>
      <c r="H603" s="679">
        <f t="shared" si="369"/>
        <v>7525.6831508836094</v>
      </c>
      <c r="I603" s="678">
        <f t="shared" ca="1" si="368"/>
        <v>201155.14568800386</v>
      </c>
      <c r="J603" s="679">
        <f ca="1">SUM(J597:J602)</f>
        <v>39797.983334876029</v>
      </c>
      <c r="K603" s="679">
        <f t="shared" ref="K603:P603" ca="1" si="370">SUM(K597:K602)</f>
        <v>160553.65583829023</v>
      </c>
      <c r="L603" s="679">
        <f t="shared" si="370"/>
        <v>0</v>
      </c>
      <c r="M603" s="679">
        <f t="shared" si="370"/>
        <v>741.40970605731479</v>
      </c>
      <c r="N603" s="679">
        <f t="shared" si="370"/>
        <v>62.096808780294992</v>
      </c>
      <c r="O603" s="679">
        <f t="shared" si="370"/>
        <v>0</v>
      </c>
      <c r="P603" s="679">
        <f t="shared" si="370"/>
        <v>0</v>
      </c>
    </row>
    <row r="604" spans="1:16" x14ac:dyDescent="0.25">
      <c r="A604" s="302"/>
      <c r="B604" s="24"/>
      <c r="C604" s="9">
        <f t="shared" ca="1" si="366"/>
        <v>1</v>
      </c>
      <c r="D604" s="378" t="s">
        <v>390</v>
      </c>
      <c r="E604" s="370" t="s">
        <v>50</v>
      </c>
      <c r="F604" s="678">
        <f t="shared" ref="F604" ca="1" si="371">SUM(G604:I604)</f>
        <v>0</v>
      </c>
      <c r="G604" s="658">
        <f ca="1">+IFERROR(G$5*GETPIVOTDATA("Unique Billed Hours",'County allocation'!$A$3,"County",$D594,"HHA/CDPAP","CDPAP","Level of Service",$D604),0)</f>
        <v>0</v>
      </c>
      <c r="H604" s="659"/>
      <c r="I604" s="678">
        <f t="shared" si="368"/>
        <v>0</v>
      </c>
      <c r="J604" s="659"/>
      <c r="K604" s="659"/>
      <c r="L604" s="659"/>
      <c r="M604" s="659"/>
      <c r="N604" s="659"/>
      <c r="O604" s="659"/>
      <c r="P604" s="659"/>
    </row>
    <row r="605" spans="1:16" ht="15.75" thickBot="1" x14ac:dyDescent="0.3">
      <c r="B605" s="24"/>
      <c r="C605" s="9">
        <f t="shared" ca="1" si="366"/>
        <v>1</v>
      </c>
      <c r="D605" s="11" t="s">
        <v>48</v>
      </c>
      <c r="E605" s="53" t="s">
        <v>49</v>
      </c>
      <c r="F605" s="662">
        <f ca="1">SUBTOTAL(9,F597:F602)</f>
        <v>217421.64710836086</v>
      </c>
      <c r="G605" s="662">
        <f t="shared" ref="G605:H605" ca="1" si="372">SUBTOTAL(9,G597:G602)</f>
        <v>8740.8182694733878</v>
      </c>
      <c r="H605" s="662">
        <f t="shared" si="372"/>
        <v>7525.6831508836094</v>
      </c>
      <c r="I605" s="678">
        <f t="shared" ca="1" si="368"/>
        <v>201155.14568800386</v>
      </c>
      <c r="J605" s="662">
        <f t="shared" ref="J605:P605" ca="1" si="373">SUBTOTAL(9,J597:J602)</f>
        <v>39797.983334876029</v>
      </c>
      <c r="K605" s="662">
        <f t="shared" ca="1" si="373"/>
        <v>160553.65583829023</v>
      </c>
      <c r="L605" s="662">
        <f t="shared" si="373"/>
        <v>0</v>
      </c>
      <c r="M605" s="662">
        <f t="shared" si="373"/>
        <v>741.40970605731479</v>
      </c>
      <c r="N605" s="662">
        <f t="shared" si="373"/>
        <v>62.096808780294992</v>
      </c>
      <c r="O605" s="662">
        <f t="shared" si="373"/>
        <v>0</v>
      </c>
      <c r="P605" s="662">
        <f t="shared" si="373"/>
        <v>0</v>
      </c>
    </row>
    <row r="606" spans="1:16" ht="15.75" hidden="1" thickBot="1" x14ac:dyDescent="0.3"/>
    <row r="607" spans="1:16" ht="75" x14ac:dyDescent="0.25">
      <c r="A607" s="60"/>
      <c r="B607" s="24"/>
      <c r="C607" s="9">
        <f ca="1">IF(F618&gt;0,1,0)</f>
        <v>1</v>
      </c>
      <c r="D607" s="45" t="str">
        <f>A49</f>
        <v>Saratoga</v>
      </c>
      <c r="E607" s="28">
        <f>SUMIF(A:A,D607,B:B)</f>
        <v>6.3457038660819764E-3</v>
      </c>
      <c r="F607" s="652" t="s">
        <v>396</v>
      </c>
      <c r="G607" s="652" t="s">
        <v>387</v>
      </c>
      <c r="H607" s="652" t="s">
        <v>388</v>
      </c>
      <c r="I607" s="652" t="s">
        <v>392</v>
      </c>
      <c r="J607" s="652" t="s">
        <v>31</v>
      </c>
      <c r="K607" s="652" t="s">
        <v>32</v>
      </c>
      <c r="L607" s="653" t="s">
        <v>33</v>
      </c>
      <c r="M607" s="653" t="s">
        <v>60</v>
      </c>
      <c r="N607" s="653" t="s">
        <v>59</v>
      </c>
      <c r="O607" s="653" t="s">
        <v>58</v>
      </c>
      <c r="P607" s="653" t="s">
        <v>16</v>
      </c>
    </row>
    <row r="608" spans="1:16" x14ac:dyDescent="0.25">
      <c r="A608" s="60"/>
      <c r="B608" s="24"/>
      <c r="C608" s="9">
        <f ca="1">C607</f>
        <v>1</v>
      </c>
      <c r="D608" s="47"/>
      <c r="E608" s="48"/>
      <c r="F608" s="669" t="s">
        <v>57</v>
      </c>
      <c r="G608" s="669" t="s">
        <v>56</v>
      </c>
      <c r="H608" s="669" t="s">
        <v>55</v>
      </c>
      <c r="I608" s="669" t="s">
        <v>54</v>
      </c>
      <c r="J608" s="669" t="s">
        <v>53</v>
      </c>
      <c r="K608" s="669" t="s">
        <v>52</v>
      </c>
      <c r="L608" s="669" t="s">
        <v>51</v>
      </c>
      <c r="M608" s="669" t="s">
        <v>50</v>
      </c>
      <c r="N608" s="669" t="s">
        <v>49</v>
      </c>
      <c r="O608" s="669" t="s">
        <v>47</v>
      </c>
      <c r="P608" s="670" t="s">
        <v>77</v>
      </c>
    </row>
    <row r="609" spans="1:16" x14ac:dyDescent="0.25">
      <c r="B609" s="24"/>
      <c r="C609" s="9">
        <f t="shared" ref="C609:C618" ca="1" si="374">C608</f>
        <v>1</v>
      </c>
      <c r="D609" s="51" t="s">
        <v>26</v>
      </c>
      <c r="E609" s="48"/>
      <c r="F609" s="674"/>
      <c r="G609" s="674"/>
      <c r="H609" s="674"/>
      <c r="I609" s="674"/>
      <c r="J609" s="674"/>
      <c r="K609" s="674"/>
      <c r="L609" s="675"/>
      <c r="M609" s="675"/>
      <c r="N609" s="676"/>
      <c r="O609" s="674"/>
      <c r="P609" s="677"/>
    </row>
    <row r="610" spans="1:16" x14ac:dyDescent="0.25">
      <c r="B610" s="24"/>
      <c r="C610" s="9">
        <f t="shared" ca="1" si="374"/>
        <v>1</v>
      </c>
      <c r="D610" s="267" t="s">
        <v>18</v>
      </c>
      <c r="E610" s="48" t="s">
        <v>57</v>
      </c>
      <c r="F610" s="678">
        <f ca="1">SUM(G610:I610)</f>
        <v>547021.60862716008</v>
      </c>
      <c r="G610" s="658">
        <f ca="1">+IFERROR(G$5*GETPIVOTDATA("Unique Billed Hours",'County allocation'!$A$3,"County",$D607,"HHA/CDPAP","CDPAP","Level of Service",$D610),0)</f>
        <v>21991.446270766177</v>
      </c>
      <c r="H610" s="658">
        <f>+IFERROR(H$5*GETPIVOTDATA("Unique Billed Hours",'County allocation'!$A$3,"County",$D607,"HHA/CDPAP","CDPAP","Level of Service",$D610),0)</f>
        <v>18934.229217585391</v>
      </c>
      <c r="I610" s="678">
        <f ca="1">SUM(J610:P610)</f>
        <v>506095.93313880847</v>
      </c>
      <c r="J610" s="658">
        <f ca="1">+IFERROR(J$5*GETPIVOTDATA("Unique Billed Hours",'County allocation'!$S$3,"County",$D607,"HHA/CDPAP","CDPAP","Level of Service",$D610),0)</f>
        <v>100129.66580604854</v>
      </c>
      <c r="K610" s="658">
        <f ca="1">+IFERROR(K$5*GETPIVOTDATA("Unique Billed Hours",'County allocation'!$X$3,"County",$D607,"HHA/CDPAP","CDPAP","Level of Service",$D610),0)</f>
        <v>403944.6865374042</v>
      </c>
      <c r="L610" s="658">
        <f>+IFERROR(L$5*GETPIVOTDATA("Unique Billed Hours",'County allocation'!$K$19,"County",$D607,"HHA/CDPAP","CDPAP","Level of Service",$D610),0)</f>
        <v>0</v>
      </c>
      <c r="M610" s="658">
        <f>+IFERROR(M$5*GETPIVOTDATA("Unique Billed Hours",'County allocation'!$S$3,"County",$D607,"HHA/CDPAP","CDPAP","Level of Service",$D610),0)</f>
        <v>1865.3484390959995</v>
      </c>
      <c r="N610" s="658">
        <f>+IFERROR(N$5*GETPIVOTDATA("Unique Billed Hours",'County allocation'!$S$3,"County",$D607,"HHA/CDPAP","CDPAP","Level of Service",$D610),0)</f>
        <v>156.23235625972723</v>
      </c>
      <c r="O610" s="658">
        <f>+IFERROR(O$5*GETPIVOTDATA("Unique Billed Hours",'County allocation'!$S$3,"County",$D607,"HHA/CDPAP","CDPAP","Level of Service",$D610),0)</f>
        <v>0</v>
      </c>
      <c r="P610" s="658">
        <f>+IFERROR(P$5*GETPIVOTDATA("Unique Billed Hours",'County allocation'!$S$3,"County",$D607,"HHA/CDPAP","CDPAP","Level of Service",$D610),0)</f>
        <v>0</v>
      </c>
    </row>
    <row r="611" spans="1:16" x14ac:dyDescent="0.25">
      <c r="B611" s="24"/>
      <c r="C611" s="9">
        <f t="shared" ca="1" si="374"/>
        <v>1</v>
      </c>
      <c r="D611" s="267" t="s">
        <v>42</v>
      </c>
      <c r="E611" s="48" t="s">
        <v>56</v>
      </c>
      <c r="F611" s="678">
        <f t="shared" ref="F611:F615" ca="1" si="375">SUM(G611:I611)</f>
        <v>0</v>
      </c>
      <c r="G611" s="658">
        <f ca="1">+IFERROR(G$5*GETPIVOTDATA("Unique Billed Hours",'County allocation'!$A$3,"County",$D607,"HHA/CDPAP","CDPAP","Level of Service",$D611),0)</f>
        <v>0</v>
      </c>
      <c r="H611" s="658">
        <f>+IFERROR(H$5*GETPIVOTDATA("Unique Billed Hours",'County allocation'!$A$3,"County",$D607,"HHA/CDPAP","CDPAP","Level of Service",$D611),0)</f>
        <v>0</v>
      </c>
      <c r="I611" s="678">
        <f t="shared" ref="I611:I618" ca="1" si="376">SUM(J611:P611)</f>
        <v>0</v>
      </c>
      <c r="J611" s="658">
        <f ca="1">+IFERROR(J$5*GETPIVOTDATA("Unique Billed Hours",'County allocation'!$S$3,"County",$D607,"HHA/CDPAP","CDPAP","Level of Service",$D611),0)</f>
        <v>0</v>
      </c>
      <c r="K611" s="658">
        <f ca="1">+IFERROR(K$5*GETPIVOTDATA("Unique Billed Hours",'County allocation'!$X$3,"County",$D607,"HHA/CDPAP","CDPAP","Level of Service",$D611),0)</f>
        <v>0</v>
      </c>
      <c r="L611" s="658">
        <f>+IFERROR(L$5*GETPIVOTDATA("Unique Billed Hours",'County allocation'!$K$19,"County",$D607,"HHA/CDPAP","CDPAP","Level of Service",$D611),0)</f>
        <v>0</v>
      </c>
      <c r="M611" s="658">
        <f>+IFERROR(M$5*GETPIVOTDATA("Unique Billed Hours",'County allocation'!$S$3,"County",$D607,"HHA/CDPAP","CDPAP","Level of Service",$D611),0)</f>
        <v>0</v>
      </c>
      <c r="N611" s="658">
        <f>+IFERROR(N$5*GETPIVOTDATA("Unique Billed Hours",'County allocation'!$S$3,"County",$D607,"HHA/CDPAP","CDPAP","Level of Service",$D611),0)</f>
        <v>0</v>
      </c>
      <c r="O611" s="658">
        <f>+IFERROR(O$5*GETPIVOTDATA("Unique Billed Hours",'County allocation'!$S$3,"County",$D607,"HHA/CDPAP","CDPAP","Level of Service",$D611),0)</f>
        <v>0</v>
      </c>
      <c r="P611" s="658">
        <f>+IFERROR(P$5*GETPIVOTDATA("Unique Billed Hours",'County allocation'!$S$3,"County",$D607,"HHA/CDPAP","CDPAP","Level of Service",$D611),0)</f>
        <v>0</v>
      </c>
    </row>
    <row r="612" spans="1:16" x14ac:dyDescent="0.25">
      <c r="B612" s="24"/>
      <c r="C612" s="9">
        <f t="shared" ca="1" si="374"/>
        <v>1</v>
      </c>
      <c r="D612" s="267" t="s">
        <v>43</v>
      </c>
      <c r="E612" s="48" t="s">
        <v>55</v>
      </c>
      <c r="F612" s="678">
        <f t="shared" ca="1" si="375"/>
        <v>0</v>
      </c>
      <c r="G612" s="658">
        <f ca="1">+IFERROR(G$5*GETPIVOTDATA("Unique Billed Hours",'County allocation'!$A$3,"County",$D607,"HHA/CDPAP","CDPAP","Level of Service",$D612),0)</f>
        <v>0</v>
      </c>
      <c r="H612" s="658">
        <f>+IFERROR(H$5*GETPIVOTDATA("Unique Billed Hours",'County allocation'!$A$3,"County",$D607,"HHA/CDPAP","CDPAP","Level of Service",$D612),0)</f>
        <v>0</v>
      </c>
      <c r="I612" s="678">
        <f t="shared" ca="1" si="376"/>
        <v>0</v>
      </c>
      <c r="J612" s="658">
        <f ca="1">+IFERROR(J$5*GETPIVOTDATA("Unique Billed Hours",'County allocation'!$S$3,"County",$D607,"HHA/CDPAP","CDPAP","Level of Service",$D612),0)</f>
        <v>0</v>
      </c>
      <c r="K612" s="658">
        <f ca="1">+IFERROR(K$5*GETPIVOTDATA("Unique Billed Hours",'County allocation'!$X$3,"County",$D607,"HHA/CDPAP","CDPAP","Level of Service",$D612),0)</f>
        <v>0</v>
      </c>
      <c r="L612" s="658">
        <f>+IFERROR(L$5*GETPIVOTDATA("Unique Billed Hours",'County allocation'!$K$19,"County",$D607,"HHA/CDPAP","CDPAP","Level of Service",$D612),0)</f>
        <v>0</v>
      </c>
      <c r="M612" s="658">
        <f>+IFERROR(M$5*GETPIVOTDATA("Unique Billed Hours",'County allocation'!$S$3,"County",$D607,"HHA/CDPAP","CDPAP","Level of Service",$D612),0)</f>
        <v>0</v>
      </c>
      <c r="N612" s="658">
        <f>+IFERROR(N$5*GETPIVOTDATA("Unique Billed Hours",'County allocation'!$S$3,"County",$D607,"HHA/CDPAP","CDPAP","Level of Service",$D612),0)</f>
        <v>0</v>
      </c>
      <c r="O612" s="658">
        <f>+IFERROR(O$5*GETPIVOTDATA("Unique Billed Hours",'County allocation'!$S$3,"County",$D607,"HHA/CDPAP","CDPAP","Level of Service",$D612),0)</f>
        <v>0</v>
      </c>
      <c r="P612" s="658">
        <f>+IFERROR(P$5*GETPIVOTDATA("Unique Billed Hours",'County allocation'!$S$3,"County",$D607,"HHA/CDPAP","CDPAP","Level of Service",$D612),0)</f>
        <v>0</v>
      </c>
    </row>
    <row r="613" spans="1:16" x14ac:dyDescent="0.25">
      <c r="B613" s="24"/>
      <c r="C613" s="9">
        <f t="shared" ca="1" si="374"/>
        <v>1</v>
      </c>
      <c r="D613" s="267" t="s">
        <v>44</v>
      </c>
      <c r="E613" s="48" t="s">
        <v>54</v>
      </c>
      <c r="F613" s="678">
        <f t="shared" ca="1" si="375"/>
        <v>0</v>
      </c>
      <c r="G613" s="658">
        <f ca="1">+IFERROR(G$5*GETPIVOTDATA("Unique Billed Hours",'County allocation'!$A$3,"County",$D607,"HHA/CDPAP","CDPAP","Level of Service",$D613),0)</f>
        <v>0</v>
      </c>
      <c r="H613" s="658">
        <f>+IFERROR(H$5*GETPIVOTDATA("Unique Billed Hours",'County allocation'!$A$3,"County",$D607,"HHA/CDPAP","CDPAP","Level of Service",$D613),0)</f>
        <v>0</v>
      </c>
      <c r="I613" s="678">
        <f t="shared" ca="1" si="376"/>
        <v>0</v>
      </c>
      <c r="J613" s="658">
        <f ca="1">+IFERROR(J$5*GETPIVOTDATA("Unique Billed Hours",'County allocation'!$S$3,"County",$D607,"HHA/CDPAP","CDPAP","Level of Service",$D613),0)</f>
        <v>0</v>
      </c>
      <c r="K613" s="658">
        <f ca="1">+IFERROR(K$5*GETPIVOTDATA("Unique Billed Hours",'County allocation'!$X$3,"County",$D607,"HHA/CDPAP","CDPAP","Level of Service",$D613),0)</f>
        <v>0</v>
      </c>
      <c r="L613" s="658">
        <f>+IFERROR(L$5*GETPIVOTDATA("Unique Billed Hours",'County allocation'!$K$19,"County",$D607,"HHA/CDPAP","CDPAP","Level of Service",$D613),0)</f>
        <v>0</v>
      </c>
      <c r="M613" s="658">
        <f>+IFERROR(M$5*GETPIVOTDATA("Unique Billed Hours",'County allocation'!$S$3,"County",$D607,"HHA/CDPAP","CDPAP","Level of Service",$D613),0)</f>
        <v>0</v>
      </c>
      <c r="N613" s="658">
        <f>+IFERROR(N$5*GETPIVOTDATA("Unique Billed Hours",'County allocation'!$S$3,"County",$D607,"HHA/CDPAP","CDPAP","Level of Service",$D613),0)</f>
        <v>0</v>
      </c>
      <c r="O613" s="658">
        <f>+IFERROR(O$5*GETPIVOTDATA("Unique Billed Hours",'County allocation'!$S$3,"County",$D607,"HHA/CDPAP","CDPAP","Level of Service",$D613),0)</f>
        <v>0</v>
      </c>
      <c r="P613" s="658">
        <f>+IFERROR(P$5*GETPIVOTDATA("Unique Billed Hours",'County allocation'!$S$3,"County",$D607,"HHA/CDPAP","CDPAP","Level of Service",$D613),0)</f>
        <v>0</v>
      </c>
    </row>
    <row r="614" spans="1:16" x14ac:dyDescent="0.25">
      <c r="B614" s="24"/>
      <c r="C614" s="9">
        <f t="shared" ca="1" si="374"/>
        <v>1</v>
      </c>
      <c r="D614" s="267" t="s">
        <v>45</v>
      </c>
      <c r="E614" s="48" t="s">
        <v>53</v>
      </c>
      <c r="F614" s="678">
        <f t="shared" ca="1" si="375"/>
        <v>0</v>
      </c>
      <c r="G614" s="658">
        <f ca="1">+IFERROR(G$5*GETPIVOTDATA("Unique Billed Hours",'County allocation'!$A$3,"County",$D607,"HHA/CDPAP","CDPAP","Level of Service",$D614),0)</f>
        <v>0</v>
      </c>
      <c r="H614" s="658">
        <f>+IFERROR(H$5*GETPIVOTDATA("Unique Billed Hours",'County allocation'!$A$3,"County",$D607,"HHA/CDPAP","CDPAP","Level of Service",$D614),0)</f>
        <v>0</v>
      </c>
      <c r="I614" s="678">
        <f t="shared" ca="1" si="376"/>
        <v>0</v>
      </c>
      <c r="J614" s="658">
        <f ca="1">+IFERROR(J$5*GETPIVOTDATA("Unique Billed Hours",'County allocation'!$S$3,"County",$D607,"HHA/CDPAP","CDPAP","Level of Service",$D614),0)</f>
        <v>0</v>
      </c>
      <c r="K614" s="658">
        <f ca="1">+IFERROR(K$5*GETPIVOTDATA("Unique Billed Hours",'County allocation'!$X$3,"County",$D607,"HHA/CDPAP","CDPAP","Level of Service",$D614),0)</f>
        <v>0</v>
      </c>
      <c r="L614" s="658">
        <f>+IFERROR(L$5*GETPIVOTDATA("Unique Billed Hours",'County allocation'!$K$19,"County",$D607,"HHA/CDPAP","CDPAP","Level of Service",$D614),0)</f>
        <v>0</v>
      </c>
      <c r="M614" s="658">
        <f>+IFERROR(M$5*GETPIVOTDATA("Unique Billed Hours",'County allocation'!$S$3,"County",$D607,"HHA/CDPAP","CDPAP","Level of Service",$D614),0)</f>
        <v>0</v>
      </c>
      <c r="N614" s="658">
        <f>+IFERROR(N$5*GETPIVOTDATA("Unique Billed Hours",'County allocation'!$S$3,"County",$D607,"HHA/CDPAP","CDPAP","Level of Service",$D614),0)</f>
        <v>0</v>
      </c>
      <c r="O614" s="658">
        <f>+IFERROR(O$5*GETPIVOTDATA("Unique Billed Hours",'County allocation'!$S$3,"County",$D607,"HHA/CDPAP","CDPAP","Level of Service",$D614),0)</f>
        <v>0</v>
      </c>
      <c r="P614" s="658">
        <f>+IFERROR(P$5*GETPIVOTDATA("Unique Billed Hours",'County allocation'!$S$3,"County",$D607,"HHA/CDPAP","CDPAP","Level of Service",$D614),0)</f>
        <v>0</v>
      </c>
    </row>
    <row r="615" spans="1:16" x14ac:dyDescent="0.25">
      <c r="A615" s="302"/>
      <c r="B615" s="24"/>
      <c r="C615" s="9">
        <f t="shared" ca="1" si="374"/>
        <v>1</v>
      </c>
      <c r="D615" s="267" t="s">
        <v>46</v>
      </c>
      <c r="E615" s="48" t="s">
        <v>52</v>
      </c>
      <c r="F615" s="678">
        <f t="shared" ca="1" si="375"/>
        <v>0</v>
      </c>
      <c r="G615" s="658">
        <f ca="1">+IFERROR(G$5*GETPIVOTDATA("Unique Billed Hours",'County allocation'!$A$3,"County",$D607,"HHA/CDPAP","CDPAP","Level of Service",$D615),0)</f>
        <v>0</v>
      </c>
      <c r="H615" s="658">
        <f>+IFERROR(H$5*GETPIVOTDATA("Unique Billed Hours",'County allocation'!$A$3,"County",$D607,"HHA/CDPAP","CDPAP","Level of Service",$D615),0)</f>
        <v>0</v>
      </c>
      <c r="I615" s="678">
        <f t="shared" ca="1" si="376"/>
        <v>0</v>
      </c>
      <c r="J615" s="658">
        <f ca="1">+IFERROR(J$5*GETPIVOTDATA("Unique Billed Hours",'County allocation'!$S$3,"County",$D607,"HHA/CDPAP","CDPAP","Level of Service",$D615),0)</f>
        <v>0</v>
      </c>
      <c r="K615" s="658">
        <f ca="1">+IFERROR(K$5*GETPIVOTDATA("Unique Billed Hours",'County allocation'!$X$3,"County",$D607,"HHA/CDPAP","CDPAP","Level of Service",$D615),0)</f>
        <v>0</v>
      </c>
      <c r="L615" s="658">
        <f>+IFERROR(L$5*GETPIVOTDATA("Unique Billed Hours",'County allocation'!$K$19,"County",$D607,"HHA/CDPAP","CDPAP","Level of Service",$D615),0)</f>
        <v>0</v>
      </c>
      <c r="M615" s="658">
        <f>+IFERROR(M$5*GETPIVOTDATA("Unique Billed Hours",'County allocation'!$S$3,"County",$D607,"HHA/CDPAP","CDPAP","Level of Service",$D615),0)</f>
        <v>0</v>
      </c>
      <c r="N615" s="658">
        <f>+IFERROR(N$5*GETPIVOTDATA("Unique Billed Hours",'County allocation'!$S$3,"County",$D607,"HHA/CDPAP","CDPAP","Level of Service",$D615),0)</f>
        <v>0</v>
      </c>
      <c r="O615" s="658">
        <f>+IFERROR(O$5*GETPIVOTDATA("Unique Billed Hours",'County allocation'!$S$3,"County",$D607,"HHA/CDPAP","CDPAP","Level of Service",$D615),0)</f>
        <v>0</v>
      </c>
      <c r="P615" s="658">
        <f>+IFERROR(P$5*GETPIVOTDATA("Unique Billed Hours",'County allocation'!$S$3,"County",$D607,"HHA/CDPAP","CDPAP","Level of Service",$D615),0)</f>
        <v>0</v>
      </c>
    </row>
    <row r="616" spans="1:16" ht="15.75" thickBot="1" x14ac:dyDescent="0.3">
      <c r="A616" s="302"/>
      <c r="B616" s="24"/>
      <c r="C616" s="9">
        <f t="shared" ca="1" si="374"/>
        <v>1</v>
      </c>
      <c r="D616" s="52" t="s">
        <v>389</v>
      </c>
      <c r="E616" s="370" t="s">
        <v>51</v>
      </c>
      <c r="F616" s="679">
        <f ca="1">SUM(F610:F615)</f>
        <v>547021.60862716008</v>
      </c>
      <c r="G616" s="679">
        <f t="shared" ref="G616:H616" ca="1" si="377">SUM(G610:G615)</f>
        <v>21991.446270766177</v>
      </c>
      <c r="H616" s="679">
        <f t="shared" si="377"/>
        <v>18934.229217585391</v>
      </c>
      <c r="I616" s="678">
        <f t="shared" ca="1" si="376"/>
        <v>506095.93313880847</v>
      </c>
      <c r="J616" s="679">
        <f ca="1">SUM(J610:J615)</f>
        <v>100129.66580604854</v>
      </c>
      <c r="K616" s="679">
        <f t="shared" ref="K616:P616" ca="1" si="378">SUM(K610:K615)</f>
        <v>403944.6865374042</v>
      </c>
      <c r="L616" s="679">
        <f t="shared" si="378"/>
        <v>0</v>
      </c>
      <c r="M616" s="679">
        <f t="shared" si="378"/>
        <v>1865.3484390959995</v>
      </c>
      <c r="N616" s="679">
        <f t="shared" si="378"/>
        <v>156.23235625972723</v>
      </c>
      <c r="O616" s="679">
        <f t="shared" si="378"/>
        <v>0</v>
      </c>
      <c r="P616" s="679">
        <f t="shared" si="378"/>
        <v>0</v>
      </c>
    </row>
    <row r="617" spans="1:16" x14ac:dyDescent="0.25">
      <c r="A617" s="302"/>
      <c r="B617" s="24"/>
      <c r="C617" s="9">
        <f t="shared" ca="1" si="374"/>
        <v>1</v>
      </c>
      <c r="D617" s="378" t="s">
        <v>390</v>
      </c>
      <c r="E617" s="370" t="s">
        <v>50</v>
      </c>
      <c r="F617" s="678">
        <f t="shared" ref="F617" ca="1" si="379">SUM(G617:I617)</f>
        <v>0</v>
      </c>
      <c r="G617" s="658">
        <f ca="1">+IFERROR(G$5*GETPIVOTDATA("Unique Billed Hours",'County allocation'!$A$3,"County",$D607,"HHA/CDPAP","CDPAP","Level of Service",$D617),0)</f>
        <v>0</v>
      </c>
      <c r="H617" s="659"/>
      <c r="I617" s="678">
        <f t="shared" si="376"/>
        <v>0</v>
      </c>
      <c r="J617" s="659"/>
      <c r="K617" s="659"/>
      <c r="L617" s="659"/>
      <c r="M617" s="659"/>
      <c r="N617" s="659"/>
      <c r="O617" s="659"/>
      <c r="P617" s="659"/>
    </row>
    <row r="618" spans="1:16" ht="15.75" thickBot="1" x14ac:dyDescent="0.3">
      <c r="B618" s="24"/>
      <c r="C618" s="9">
        <f t="shared" ca="1" si="374"/>
        <v>1</v>
      </c>
      <c r="D618" s="11" t="s">
        <v>48</v>
      </c>
      <c r="E618" s="53" t="s">
        <v>49</v>
      </c>
      <c r="F618" s="662">
        <f ca="1">SUBTOTAL(9,F610:F615)</f>
        <v>547021.60862716008</v>
      </c>
      <c r="G618" s="662">
        <f t="shared" ref="G618:H618" ca="1" si="380">SUBTOTAL(9,G610:G615)</f>
        <v>21991.446270766177</v>
      </c>
      <c r="H618" s="662">
        <f t="shared" si="380"/>
        <v>18934.229217585391</v>
      </c>
      <c r="I618" s="678">
        <f t="shared" ca="1" si="376"/>
        <v>506095.93313880847</v>
      </c>
      <c r="J618" s="662">
        <f t="shared" ref="J618:P618" ca="1" si="381">SUBTOTAL(9,J610:J615)</f>
        <v>100129.66580604854</v>
      </c>
      <c r="K618" s="662">
        <f t="shared" ca="1" si="381"/>
        <v>403944.6865374042</v>
      </c>
      <c r="L618" s="662">
        <f t="shared" si="381"/>
        <v>0</v>
      </c>
      <c r="M618" s="662">
        <f t="shared" si="381"/>
        <v>1865.3484390959995</v>
      </c>
      <c r="N618" s="662">
        <f t="shared" si="381"/>
        <v>156.23235625972723</v>
      </c>
      <c r="O618" s="662">
        <f t="shared" si="381"/>
        <v>0</v>
      </c>
      <c r="P618" s="662">
        <f t="shared" si="381"/>
        <v>0</v>
      </c>
    </row>
    <row r="619" spans="1:16" ht="15.75" hidden="1" thickBot="1" x14ac:dyDescent="0.3"/>
    <row r="620" spans="1:16" ht="75" x14ac:dyDescent="0.25">
      <c r="A620" s="60"/>
      <c r="B620" s="24"/>
      <c r="C620" s="9">
        <f ca="1">IF(F631&gt;0,1,0)</f>
        <v>1</v>
      </c>
      <c r="D620" s="45" t="str">
        <f>A50</f>
        <v>Schenectady</v>
      </c>
      <c r="E620" s="28">
        <f>SUMIF(A:A,D620,B:B)</f>
        <v>3.6612583135718163E-2</v>
      </c>
      <c r="F620" s="652" t="s">
        <v>396</v>
      </c>
      <c r="G620" s="652" t="s">
        <v>387</v>
      </c>
      <c r="H620" s="652" t="s">
        <v>388</v>
      </c>
      <c r="I620" s="652" t="s">
        <v>392</v>
      </c>
      <c r="J620" s="652" t="s">
        <v>31</v>
      </c>
      <c r="K620" s="652" t="s">
        <v>32</v>
      </c>
      <c r="L620" s="653" t="s">
        <v>33</v>
      </c>
      <c r="M620" s="653" t="s">
        <v>60</v>
      </c>
      <c r="N620" s="653" t="s">
        <v>59</v>
      </c>
      <c r="O620" s="653" t="s">
        <v>58</v>
      </c>
      <c r="P620" s="653" t="s">
        <v>16</v>
      </c>
    </row>
    <row r="621" spans="1:16" x14ac:dyDescent="0.25">
      <c r="A621" s="60"/>
      <c r="B621" s="24"/>
      <c r="C621" s="9">
        <f ca="1">C620</f>
        <v>1</v>
      </c>
      <c r="D621" s="47"/>
      <c r="E621" s="48"/>
      <c r="F621" s="669" t="s">
        <v>57</v>
      </c>
      <c r="G621" s="669" t="s">
        <v>56</v>
      </c>
      <c r="H621" s="669" t="s">
        <v>55</v>
      </c>
      <c r="I621" s="669" t="s">
        <v>54</v>
      </c>
      <c r="J621" s="669" t="s">
        <v>53</v>
      </c>
      <c r="K621" s="669" t="s">
        <v>52</v>
      </c>
      <c r="L621" s="669" t="s">
        <v>51</v>
      </c>
      <c r="M621" s="669" t="s">
        <v>50</v>
      </c>
      <c r="N621" s="669" t="s">
        <v>49</v>
      </c>
      <c r="O621" s="669" t="s">
        <v>47</v>
      </c>
      <c r="P621" s="670" t="s">
        <v>77</v>
      </c>
    </row>
    <row r="622" spans="1:16" x14ac:dyDescent="0.25">
      <c r="B622" s="24"/>
      <c r="C622" s="9">
        <f t="shared" ref="C622:C631" ca="1" si="382">C621</f>
        <v>1</v>
      </c>
      <c r="D622" s="51" t="s">
        <v>26</v>
      </c>
      <c r="E622" s="48"/>
      <c r="F622" s="674"/>
      <c r="G622" s="674"/>
      <c r="H622" s="674"/>
      <c r="I622" s="674"/>
      <c r="J622" s="674"/>
      <c r="K622" s="674"/>
      <c r="L622" s="675"/>
      <c r="M622" s="675"/>
      <c r="N622" s="676"/>
      <c r="O622" s="674"/>
      <c r="P622" s="677"/>
    </row>
    <row r="623" spans="1:16" x14ac:dyDescent="0.25">
      <c r="B623" s="24"/>
      <c r="C623" s="9">
        <f t="shared" ca="1" si="382"/>
        <v>1</v>
      </c>
      <c r="D623" s="267" t="s">
        <v>18</v>
      </c>
      <c r="E623" s="48" t="s">
        <v>57</v>
      </c>
      <c r="F623" s="678">
        <f ca="1">SUM(G623:I623)</f>
        <v>3129150.1590023697</v>
      </c>
      <c r="G623" s="658">
        <f ca="1">+IFERROR(G$5*GETPIVOTDATA("Unique Billed Hours",'County allocation'!$A$3,"County",$D620,"HHA/CDPAP","CDPAP","Level of Service",$D623),0)</f>
        <v>125798.57268812718</v>
      </c>
      <c r="H623" s="658">
        <f>+IFERROR(H$5*GETPIVOTDATA("Unique Billed Hours",'County allocation'!$A$3,"County",$D620,"HHA/CDPAP","CDPAP","Level of Service",$D623),0)</f>
        <v>108310.24850277355</v>
      </c>
      <c r="I623" s="678">
        <f ca="1">SUM(J623:P623)</f>
        <v>2895041.3378114691</v>
      </c>
      <c r="J623" s="658">
        <f ca="1">+IFERROR(J$5*GETPIVOTDATA("Unique Billed Hours",'County allocation'!$S$3,"County",$D620,"HHA/CDPAP","CDPAP","Level of Service",$D623),0)</f>
        <v>572775.83688911388</v>
      </c>
      <c r="K623" s="658">
        <f ca="1">+IFERROR(K$5*GETPIVOTDATA("Unique Billed Hours",'County allocation'!$X$3,"County",$D620,"HHA/CDPAP","CDPAP","Level of Service",$D623),0)</f>
        <v>2310701.3693278115</v>
      </c>
      <c r="L623" s="658">
        <f>+IFERROR(L$5*GETPIVOTDATA("Unique Billed Hours",'County allocation'!$K$19,"County",$D620,"HHA/CDPAP","CDPAP","Level of Service",$D623),0)</f>
        <v>0</v>
      </c>
      <c r="M623" s="658">
        <f>+IFERROR(M$5*GETPIVOTDATA("Unique Billed Hours",'County allocation'!$S$3,"County",$D620,"HHA/CDPAP","CDPAP","Level of Service",$D623),0)</f>
        <v>10670.429234853922</v>
      </c>
      <c r="N623" s="658">
        <f>+IFERROR(N$5*GETPIVOTDATA("Unique Billed Hours",'County allocation'!$S$3,"County",$D620,"HHA/CDPAP","CDPAP","Level of Service",$D623),0)</f>
        <v>893.70235968986776</v>
      </c>
      <c r="O623" s="658">
        <f>+IFERROR(O$5*GETPIVOTDATA("Unique Billed Hours",'County allocation'!$S$3,"County",$D620,"HHA/CDPAP","CDPAP","Level of Service",$D623),0)</f>
        <v>0</v>
      </c>
      <c r="P623" s="658">
        <f>+IFERROR(P$5*GETPIVOTDATA("Unique Billed Hours",'County allocation'!$S$3,"County",$D620,"HHA/CDPAP","CDPAP","Level of Service",$D623),0)</f>
        <v>0</v>
      </c>
    </row>
    <row r="624" spans="1:16" x14ac:dyDescent="0.25">
      <c r="B624" s="24"/>
      <c r="C624" s="9">
        <f t="shared" ca="1" si="382"/>
        <v>1</v>
      </c>
      <c r="D624" s="267" t="s">
        <v>42</v>
      </c>
      <c r="E624" s="48" t="s">
        <v>56</v>
      </c>
      <c r="F624" s="678">
        <f t="shared" ref="F624:F628" ca="1" si="383">SUM(G624:I624)</f>
        <v>0</v>
      </c>
      <c r="G624" s="658">
        <f ca="1">+IFERROR(G$5*GETPIVOTDATA("Unique Billed Hours",'County allocation'!$A$3,"County",$D620,"HHA/CDPAP","CDPAP","Level of Service",$D624),0)</f>
        <v>0</v>
      </c>
      <c r="H624" s="658">
        <f>+IFERROR(H$5*GETPIVOTDATA("Unique Billed Hours",'County allocation'!$A$3,"County",$D620,"HHA/CDPAP","CDPAP","Level of Service",$D624),0)</f>
        <v>0</v>
      </c>
      <c r="I624" s="678">
        <f t="shared" ref="I624:I631" ca="1" si="384">SUM(J624:P624)</f>
        <v>0</v>
      </c>
      <c r="J624" s="658">
        <f ca="1">+IFERROR(J$5*GETPIVOTDATA("Unique Billed Hours",'County allocation'!$S$3,"County",$D620,"HHA/CDPAP","CDPAP","Level of Service",$D624),0)</f>
        <v>0</v>
      </c>
      <c r="K624" s="658">
        <f ca="1">+IFERROR(K$5*GETPIVOTDATA("Unique Billed Hours",'County allocation'!$X$3,"County",$D620,"HHA/CDPAP","CDPAP","Level of Service",$D624),0)</f>
        <v>0</v>
      </c>
      <c r="L624" s="658">
        <f>+IFERROR(L$5*GETPIVOTDATA("Unique Billed Hours",'County allocation'!$K$19,"County",$D620,"HHA/CDPAP","CDPAP","Level of Service",$D624),0)</f>
        <v>0</v>
      </c>
      <c r="M624" s="658">
        <f>+IFERROR(M$5*GETPIVOTDATA("Unique Billed Hours",'County allocation'!$S$3,"County",$D620,"HHA/CDPAP","CDPAP","Level of Service",$D624),0)</f>
        <v>0</v>
      </c>
      <c r="N624" s="658">
        <f>+IFERROR(N$5*GETPIVOTDATA("Unique Billed Hours",'County allocation'!$S$3,"County",$D620,"HHA/CDPAP","CDPAP","Level of Service",$D624),0)</f>
        <v>0</v>
      </c>
      <c r="O624" s="658">
        <f>+IFERROR(O$5*GETPIVOTDATA("Unique Billed Hours",'County allocation'!$S$3,"County",$D620,"HHA/CDPAP","CDPAP","Level of Service",$D624),0)</f>
        <v>0</v>
      </c>
      <c r="P624" s="658">
        <f>+IFERROR(P$5*GETPIVOTDATA("Unique Billed Hours",'County allocation'!$S$3,"County",$D620,"HHA/CDPAP","CDPAP","Level of Service",$D624),0)</f>
        <v>0</v>
      </c>
    </row>
    <row r="625" spans="1:16" x14ac:dyDescent="0.25">
      <c r="B625" s="24"/>
      <c r="C625" s="9">
        <f t="shared" ca="1" si="382"/>
        <v>1</v>
      </c>
      <c r="D625" s="267" t="s">
        <v>43</v>
      </c>
      <c r="E625" s="48" t="s">
        <v>55</v>
      </c>
      <c r="F625" s="678">
        <f t="shared" ca="1" si="383"/>
        <v>0</v>
      </c>
      <c r="G625" s="658">
        <f ca="1">+IFERROR(G$5*GETPIVOTDATA("Unique Billed Hours",'County allocation'!$A$3,"County",$D620,"HHA/CDPAP","CDPAP","Level of Service",$D625),0)</f>
        <v>0</v>
      </c>
      <c r="H625" s="658">
        <f>+IFERROR(H$5*GETPIVOTDATA("Unique Billed Hours",'County allocation'!$A$3,"County",$D620,"HHA/CDPAP","CDPAP","Level of Service",$D625),0)</f>
        <v>0</v>
      </c>
      <c r="I625" s="678">
        <f t="shared" ca="1" si="384"/>
        <v>0</v>
      </c>
      <c r="J625" s="658">
        <f ca="1">+IFERROR(J$5*GETPIVOTDATA("Unique Billed Hours",'County allocation'!$S$3,"County",$D620,"HHA/CDPAP","CDPAP","Level of Service",$D625),0)</f>
        <v>0</v>
      </c>
      <c r="K625" s="658">
        <f ca="1">+IFERROR(K$5*GETPIVOTDATA("Unique Billed Hours",'County allocation'!$X$3,"County",$D620,"HHA/CDPAP","CDPAP","Level of Service",$D625),0)</f>
        <v>0</v>
      </c>
      <c r="L625" s="658">
        <f>+IFERROR(L$5*GETPIVOTDATA("Unique Billed Hours",'County allocation'!$K$19,"County",$D620,"HHA/CDPAP","CDPAP","Level of Service",$D625),0)</f>
        <v>0</v>
      </c>
      <c r="M625" s="658">
        <f>+IFERROR(M$5*GETPIVOTDATA("Unique Billed Hours",'County allocation'!$S$3,"County",$D620,"HHA/CDPAP","CDPAP","Level of Service",$D625),0)</f>
        <v>0</v>
      </c>
      <c r="N625" s="658">
        <f>+IFERROR(N$5*GETPIVOTDATA("Unique Billed Hours",'County allocation'!$S$3,"County",$D620,"HHA/CDPAP","CDPAP","Level of Service",$D625),0)</f>
        <v>0</v>
      </c>
      <c r="O625" s="658">
        <f>+IFERROR(O$5*GETPIVOTDATA("Unique Billed Hours",'County allocation'!$S$3,"County",$D620,"HHA/CDPAP","CDPAP","Level of Service",$D625),0)</f>
        <v>0</v>
      </c>
      <c r="P625" s="658">
        <f>+IFERROR(P$5*GETPIVOTDATA("Unique Billed Hours",'County allocation'!$S$3,"County",$D620,"HHA/CDPAP","CDPAP","Level of Service",$D625),0)</f>
        <v>0</v>
      </c>
    </row>
    <row r="626" spans="1:16" x14ac:dyDescent="0.25">
      <c r="B626" s="24"/>
      <c r="C626" s="9">
        <f t="shared" ca="1" si="382"/>
        <v>1</v>
      </c>
      <c r="D626" s="267" t="s">
        <v>44</v>
      </c>
      <c r="E626" s="48" t="s">
        <v>54</v>
      </c>
      <c r="F626" s="678">
        <f t="shared" ca="1" si="383"/>
        <v>26981.067030083199</v>
      </c>
      <c r="G626" s="658">
        <f ca="1">+IFERROR(G$5*GETPIVOTDATA("Unique Billed Hours",'County allocation'!$A$3,"County",$D620,"HHA/CDPAP","CDPAP","Level of Service",$D626),0)</f>
        <v>1084.6969782585568</v>
      </c>
      <c r="H626" s="658">
        <f>+IFERROR(H$5*GETPIVOTDATA("Unique Billed Hours",'County allocation'!$A$3,"County",$D620,"HHA/CDPAP","CDPAP","Level of Service",$D626),0)</f>
        <v>933.90407184230253</v>
      </c>
      <c r="I626" s="678">
        <f t="shared" ca="1" si="384"/>
        <v>24962.465979982338</v>
      </c>
      <c r="J626" s="658">
        <f ca="1">+IFERROR(J$5*GETPIVOTDATA("Unique Billed Hours",'County allocation'!$S$3,"County",$D620,"HHA/CDPAP","CDPAP","Level of Service",$D626),0)</f>
        <v>4938.7541226989997</v>
      </c>
      <c r="K626" s="658">
        <f ca="1">+IFERROR(K$5*GETPIVOTDATA("Unique Billed Hours",'County allocation'!$X$3,"County",$D620,"HHA/CDPAP","CDPAP","Level of Service",$D626),0)</f>
        <v>19924.000244275747</v>
      </c>
      <c r="L626" s="658">
        <f>+IFERROR(L$5*GETPIVOTDATA("Unique Billed Hours",'County allocation'!$K$19,"County",$D620,"HHA/CDPAP","CDPAP","Level of Service",$D626),0)</f>
        <v>0</v>
      </c>
      <c r="M626" s="658">
        <f>+IFERROR(M$5*GETPIVOTDATA("Unique Billed Hours",'County allocation'!$S$3,"County",$D620,"HHA/CDPAP","CDPAP","Level of Service",$D626),0)</f>
        <v>92.005673040996129</v>
      </c>
      <c r="N626" s="658">
        <f>+IFERROR(N$5*GETPIVOTDATA("Unique Billed Hours",'County allocation'!$S$3,"County",$D620,"HHA/CDPAP","CDPAP","Level of Service",$D626),0)</f>
        <v>7.7059399665957633</v>
      </c>
      <c r="O626" s="658">
        <f>+IFERROR(O$5*GETPIVOTDATA("Unique Billed Hours",'County allocation'!$S$3,"County",$D620,"HHA/CDPAP","CDPAP","Level of Service",$D626),0)</f>
        <v>0</v>
      </c>
      <c r="P626" s="658">
        <f>+IFERROR(P$5*GETPIVOTDATA("Unique Billed Hours",'County allocation'!$S$3,"County",$D620,"HHA/CDPAP","CDPAP","Level of Service",$D626),0)</f>
        <v>0</v>
      </c>
    </row>
    <row r="627" spans="1:16" x14ac:dyDescent="0.25">
      <c r="B627" s="24"/>
      <c r="C627" s="9">
        <f t="shared" ca="1" si="382"/>
        <v>1</v>
      </c>
      <c r="D627" s="267" t="s">
        <v>45</v>
      </c>
      <c r="E627" s="48" t="s">
        <v>53</v>
      </c>
      <c r="F627" s="678">
        <f t="shared" ca="1" si="383"/>
        <v>0</v>
      </c>
      <c r="G627" s="658">
        <f ca="1">+IFERROR(G$5*GETPIVOTDATA("Unique Billed Hours",'County allocation'!$A$3,"County",$D620,"HHA/CDPAP","CDPAP","Level of Service",$D627),0)</f>
        <v>0</v>
      </c>
      <c r="H627" s="658">
        <f>+IFERROR(H$5*GETPIVOTDATA("Unique Billed Hours",'County allocation'!$A$3,"County",$D620,"HHA/CDPAP","CDPAP","Level of Service",$D627),0)</f>
        <v>0</v>
      </c>
      <c r="I627" s="678">
        <f t="shared" ca="1" si="384"/>
        <v>0</v>
      </c>
      <c r="J627" s="658">
        <f ca="1">+IFERROR(J$5*GETPIVOTDATA("Unique Billed Hours",'County allocation'!$S$3,"County",$D620,"HHA/CDPAP","CDPAP","Level of Service",$D627),0)</f>
        <v>0</v>
      </c>
      <c r="K627" s="658">
        <f ca="1">+IFERROR(K$5*GETPIVOTDATA("Unique Billed Hours",'County allocation'!$X$3,"County",$D620,"HHA/CDPAP","CDPAP","Level of Service",$D627),0)</f>
        <v>0</v>
      </c>
      <c r="L627" s="658">
        <f>+IFERROR(L$5*GETPIVOTDATA("Unique Billed Hours",'County allocation'!$K$19,"County",$D620,"HHA/CDPAP","CDPAP","Level of Service",$D627),0)</f>
        <v>0</v>
      </c>
      <c r="M627" s="658">
        <f>+IFERROR(M$5*GETPIVOTDATA("Unique Billed Hours",'County allocation'!$S$3,"County",$D620,"HHA/CDPAP","CDPAP","Level of Service",$D627),0)</f>
        <v>0</v>
      </c>
      <c r="N627" s="658">
        <f>+IFERROR(N$5*GETPIVOTDATA("Unique Billed Hours",'County allocation'!$S$3,"County",$D620,"HHA/CDPAP","CDPAP","Level of Service",$D627),0)</f>
        <v>0</v>
      </c>
      <c r="O627" s="658">
        <f>+IFERROR(O$5*GETPIVOTDATA("Unique Billed Hours",'County allocation'!$S$3,"County",$D620,"HHA/CDPAP","CDPAP","Level of Service",$D627),0)</f>
        <v>0</v>
      </c>
      <c r="P627" s="658">
        <f>+IFERROR(P$5*GETPIVOTDATA("Unique Billed Hours",'County allocation'!$S$3,"County",$D620,"HHA/CDPAP","CDPAP","Level of Service",$D627),0)</f>
        <v>0</v>
      </c>
    </row>
    <row r="628" spans="1:16" x14ac:dyDescent="0.25">
      <c r="A628" s="302"/>
      <c r="B628" s="24"/>
      <c r="C628" s="9">
        <f t="shared" ca="1" si="382"/>
        <v>1</v>
      </c>
      <c r="D628" s="267" t="s">
        <v>46</v>
      </c>
      <c r="E628" s="48" t="s">
        <v>52</v>
      </c>
      <c r="F628" s="678">
        <f t="shared" ca="1" si="383"/>
        <v>0</v>
      </c>
      <c r="G628" s="658">
        <f ca="1">+IFERROR(G$5*GETPIVOTDATA("Unique Billed Hours",'County allocation'!$A$3,"County",$D620,"HHA/CDPAP","CDPAP","Level of Service",$D628),0)</f>
        <v>0</v>
      </c>
      <c r="H628" s="658">
        <f>+IFERROR(H$5*GETPIVOTDATA("Unique Billed Hours",'County allocation'!$A$3,"County",$D620,"HHA/CDPAP","CDPAP","Level of Service",$D628),0)</f>
        <v>0</v>
      </c>
      <c r="I628" s="678">
        <f t="shared" ca="1" si="384"/>
        <v>0</v>
      </c>
      <c r="J628" s="658">
        <f ca="1">+IFERROR(J$5*GETPIVOTDATA("Unique Billed Hours",'County allocation'!$S$3,"County",$D620,"HHA/CDPAP","CDPAP","Level of Service",$D628),0)</f>
        <v>0</v>
      </c>
      <c r="K628" s="658">
        <f ca="1">+IFERROR(K$5*GETPIVOTDATA("Unique Billed Hours",'County allocation'!$X$3,"County",$D620,"HHA/CDPAP","CDPAP","Level of Service",$D628),0)</f>
        <v>0</v>
      </c>
      <c r="L628" s="658">
        <f>+IFERROR(L$5*GETPIVOTDATA("Unique Billed Hours",'County allocation'!$K$19,"County",$D620,"HHA/CDPAP","CDPAP","Level of Service",$D628),0)</f>
        <v>0</v>
      </c>
      <c r="M628" s="658">
        <f>+IFERROR(M$5*GETPIVOTDATA("Unique Billed Hours",'County allocation'!$S$3,"County",$D620,"HHA/CDPAP","CDPAP","Level of Service",$D628),0)</f>
        <v>0</v>
      </c>
      <c r="N628" s="658">
        <f>+IFERROR(N$5*GETPIVOTDATA("Unique Billed Hours",'County allocation'!$S$3,"County",$D620,"HHA/CDPAP","CDPAP","Level of Service",$D628),0)</f>
        <v>0</v>
      </c>
      <c r="O628" s="658">
        <f>+IFERROR(O$5*GETPIVOTDATA("Unique Billed Hours",'County allocation'!$S$3,"County",$D620,"HHA/CDPAP","CDPAP","Level of Service",$D628),0)</f>
        <v>0</v>
      </c>
      <c r="P628" s="658">
        <f>+IFERROR(P$5*GETPIVOTDATA("Unique Billed Hours",'County allocation'!$S$3,"County",$D620,"HHA/CDPAP","CDPAP","Level of Service",$D628),0)</f>
        <v>0</v>
      </c>
    </row>
    <row r="629" spans="1:16" ht="15.75" thickBot="1" x14ac:dyDescent="0.3">
      <c r="A629" s="302"/>
      <c r="B629" s="24"/>
      <c r="C629" s="9">
        <f t="shared" ca="1" si="382"/>
        <v>1</v>
      </c>
      <c r="D629" s="52" t="s">
        <v>389</v>
      </c>
      <c r="E629" s="370" t="s">
        <v>51</v>
      </c>
      <c r="F629" s="679">
        <f ca="1">SUM(F623:F628)</f>
        <v>3156131.2260324531</v>
      </c>
      <c r="G629" s="679">
        <f t="shared" ref="G629:H629" ca="1" si="385">SUM(G623:G628)</f>
        <v>126883.26966638574</v>
      </c>
      <c r="H629" s="679">
        <f t="shared" si="385"/>
        <v>109244.15257461586</v>
      </c>
      <c r="I629" s="678">
        <f t="shared" ca="1" si="384"/>
        <v>2920003.8037914517</v>
      </c>
      <c r="J629" s="679">
        <f ca="1">SUM(J623:J628)</f>
        <v>577714.59101181291</v>
      </c>
      <c r="K629" s="679">
        <f t="shared" ref="K629:P629" ca="1" si="386">SUM(K623:K628)</f>
        <v>2330625.3695720872</v>
      </c>
      <c r="L629" s="679">
        <f t="shared" si="386"/>
        <v>0</v>
      </c>
      <c r="M629" s="679">
        <f t="shared" si="386"/>
        <v>10762.434907894918</v>
      </c>
      <c r="N629" s="679">
        <f t="shared" si="386"/>
        <v>901.40829965646356</v>
      </c>
      <c r="O629" s="679">
        <f t="shared" si="386"/>
        <v>0</v>
      </c>
      <c r="P629" s="679">
        <f t="shared" si="386"/>
        <v>0</v>
      </c>
    </row>
    <row r="630" spans="1:16" x14ac:dyDescent="0.25">
      <c r="A630" s="302"/>
      <c r="B630" s="24"/>
      <c r="C630" s="9">
        <f t="shared" ca="1" si="382"/>
        <v>1</v>
      </c>
      <c r="D630" s="378" t="s">
        <v>390</v>
      </c>
      <c r="E630" s="370" t="s">
        <v>50</v>
      </c>
      <c r="F630" s="678">
        <f t="shared" ref="F630" ca="1" si="387">SUM(G630:I630)</f>
        <v>0</v>
      </c>
      <c r="G630" s="658">
        <f ca="1">+IFERROR(G$5*GETPIVOTDATA("Unique Billed Hours",'County allocation'!$A$3,"County",$D620,"HHA/CDPAP","CDPAP","Level of Service",$D630),0)</f>
        <v>0</v>
      </c>
      <c r="H630" s="659"/>
      <c r="I630" s="678">
        <f t="shared" si="384"/>
        <v>0</v>
      </c>
      <c r="J630" s="659"/>
      <c r="K630" s="659"/>
      <c r="L630" s="659"/>
      <c r="M630" s="659"/>
      <c r="N630" s="659"/>
      <c r="O630" s="659"/>
      <c r="P630" s="659"/>
    </row>
    <row r="631" spans="1:16" ht="15.75" thickBot="1" x14ac:dyDescent="0.3">
      <c r="B631" s="24"/>
      <c r="C631" s="9">
        <f t="shared" ca="1" si="382"/>
        <v>1</v>
      </c>
      <c r="D631" s="11" t="s">
        <v>48</v>
      </c>
      <c r="E631" s="53" t="s">
        <v>49</v>
      </c>
      <c r="F631" s="662">
        <f ca="1">SUBTOTAL(9,F623:F628)</f>
        <v>3156131.2260324531</v>
      </c>
      <c r="G631" s="662">
        <f t="shared" ref="G631:H631" ca="1" si="388">SUBTOTAL(9,G623:G628)</f>
        <v>126883.26966638574</v>
      </c>
      <c r="H631" s="662">
        <f t="shared" si="388"/>
        <v>109244.15257461586</v>
      </c>
      <c r="I631" s="678">
        <f t="shared" ca="1" si="384"/>
        <v>2920003.8037914517</v>
      </c>
      <c r="J631" s="662">
        <f t="shared" ref="J631:P631" ca="1" si="389">SUBTOTAL(9,J623:J628)</f>
        <v>577714.59101181291</v>
      </c>
      <c r="K631" s="662">
        <f t="shared" ca="1" si="389"/>
        <v>2330625.3695720872</v>
      </c>
      <c r="L631" s="662">
        <f t="shared" si="389"/>
        <v>0</v>
      </c>
      <c r="M631" s="662">
        <f t="shared" si="389"/>
        <v>10762.434907894918</v>
      </c>
      <c r="N631" s="662">
        <f t="shared" si="389"/>
        <v>901.40829965646356</v>
      </c>
      <c r="O631" s="662">
        <f t="shared" si="389"/>
        <v>0</v>
      </c>
      <c r="P631" s="662">
        <f t="shared" si="389"/>
        <v>0</v>
      </c>
    </row>
    <row r="632" spans="1:16" ht="15.75" hidden="1" thickBot="1" x14ac:dyDescent="0.3"/>
    <row r="633" spans="1:16" ht="75" x14ac:dyDescent="0.25">
      <c r="A633" s="60"/>
      <c r="B633" s="24"/>
      <c r="C633" s="9">
        <f ca="1">IF(F644&gt;0,1,0)</f>
        <v>1</v>
      </c>
      <c r="D633" s="45" t="str">
        <f>A51</f>
        <v>Schoharie</v>
      </c>
      <c r="E633" s="28">
        <f>SUMIF(A:A,D633,B:B)</f>
        <v>2.3823698462762297E-3</v>
      </c>
      <c r="F633" s="652" t="s">
        <v>396</v>
      </c>
      <c r="G633" s="652" t="s">
        <v>387</v>
      </c>
      <c r="H633" s="652" t="s">
        <v>388</v>
      </c>
      <c r="I633" s="652" t="s">
        <v>392</v>
      </c>
      <c r="J633" s="652" t="s">
        <v>31</v>
      </c>
      <c r="K633" s="652" t="s">
        <v>32</v>
      </c>
      <c r="L633" s="653" t="s">
        <v>33</v>
      </c>
      <c r="M633" s="653" t="s">
        <v>60</v>
      </c>
      <c r="N633" s="653" t="s">
        <v>59</v>
      </c>
      <c r="O633" s="653" t="s">
        <v>58</v>
      </c>
      <c r="P633" s="653" t="s">
        <v>16</v>
      </c>
    </row>
    <row r="634" spans="1:16" x14ac:dyDescent="0.25">
      <c r="A634" s="60"/>
      <c r="B634" s="24"/>
      <c r="C634" s="9">
        <f ca="1">C633</f>
        <v>1</v>
      </c>
      <c r="D634" s="47"/>
      <c r="E634" s="48"/>
      <c r="F634" s="669" t="s">
        <v>57</v>
      </c>
      <c r="G634" s="669" t="s">
        <v>56</v>
      </c>
      <c r="H634" s="669" t="s">
        <v>55</v>
      </c>
      <c r="I634" s="669" t="s">
        <v>54</v>
      </c>
      <c r="J634" s="669" t="s">
        <v>53</v>
      </c>
      <c r="K634" s="669" t="s">
        <v>52</v>
      </c>
      <c r="L634" s="669" t="s">
        <v>51</v>
      </c>
      <c r="M634" s="669" t="s">
        <v>50</v>
      </c>
      <c r="N634" s="669" t="s">
        <v>49</v>
      </c>
      <c r="O634" s="669" t="s">
        <v>47</v>
      </c>
      <c r="P634" s="670" t="s">
        <v>77</v>
      </c>
    </row>
    <row r="635" spans="1:16" x14ac:dyDescent="0.25">
      <c r="B635" s="24"/>
      <c r="C635" s="9">
        <f t="shared" ref="C635:C644" ca="1" si="390">C634</f>
        <v>1</v>
      </c>
      <c r="D635" s="51" t="s">
        <v>26</v>
      </c>
      <c r="E635" s="48"/>
      <c r="F635" s="674"/>
      <c r="G635" s="674"/>
      <c r="H635" s="674"/>
      <c r="I635" s="674"/>
      <c r="J635" s="674"/>
      <c r="K635" s="674"/>
      <c r="L635" s="675"/>
      <c r="M635" s="675"/>
      <c r="N635" s="676"/>
      <c r="O635" s="674"/>
      <c r="P635" s="677"/>
    </row>
    <row r="636" spans="1:16" x14ac:dyDescent="0.25">
      <c r="B636" s="24"/>
      <c r="C636" s="9">
        <f t="shared" ca="1" si="390"/>
        <v>1</v>
      </c>
      <c r="D636" s="267" t="s">
        <v>18</v>
      </c>
      <c r="E636" s="48" t="s">
        <v>57</v>
      </c>
      <c r="F636" s="678">
        <f ca="1">SUM(G636:I636)</f>
        <v>205368.51595306193</v>
      </c>
      <c r="G636" s="658">
        <f ca="1">+IFERROR(G$5*GETPIVOTDATA("Unique Billed Hours",'County allocation'!$A$3,"County",$D633,"HHA/CDPAP","CDPAP","Level of Service",$D636),0)</f>
        <v>8256.2564495820679</v>
      </c>
      <c r="H636" s="658">
        <f>+IFERROR(H$5*GETPIVOTDATA("Unique Billed Hours",'County allocation'!$A$3,"County",$D633,"HHA/CDPAP","CDPAP","Level of Service",$D636),0)</f>
        <v>7108.48437027822</v>
      </c>
      <c r="I636" s="678">
        <f ca="1">SUM(J636:P636)</f>
        <v>190003.77513320165</v>
      </c>
      <c r="J636" s="658">
        <f ca="1">+IFERROR(J$5*GETPIVOTDATA("Unique Billed Hours",'County allocation'!$S$3,"County",$D633,"HHA/CDPAP","CDPAP","Level of Service",$D636),0)</f>
        <v>37591.715839291341</v>
      </c>
      <c r="K636" s="658">
        <f ca="1">+IFERROR(K$5*GETPIVOTDATA("Unique Billed Hours",'County allocation'!$X$3,"County",$D633,"HHA/CDPAP","CDPAP","Level of Service",$D636),0)</f>
        <v>151653.09650108143</v>
      </c>
      <c r="L636" s="658">
        <f>+IFERROR(L$5*GETPIVOTDATA("Unique Billed Hours",'County allocation'!$K$19,"County",$D633,"HHA/CDPAP","CDPAP","Level of Service",$D636),0)</f>
        <v>0</v>
      </c>
      <c r="M636" s="658">
        <f>+IFERROR(M$5*GETPIVOTDATA("Unique Billed Hours",'County allocation'!$S$3,"County",$D633,"HHA/CDPAP","CDPAP","Level of Service",$D636),0)</f>
        <v>700.30842407472232</v>
      </c>
      <c r="N636" s="658">
        <f>+IFERROR(N$5*GETPIVOTDATA("Unique Billed Hours",'County allocation'!$S$3,"County",$D633,"HHA/CDPAP","CDPAP","Level of Service",$D636),0)</f>
        <v>58.654368754158185</v>
      </c>
      <c r="O636" s="658">
        <f>+IFERROR(O$5*GETPIVOTDATA("Unique Billed Hours",'County allocation'!$S$3,"County",$D633,"HHA/CDPAP","CDPAP","Level of Service",$D636),0)</f>
        <v>0</v>
      </c>
      <c r="P636" s="658">
        <f>+IFERROR(P$5*GETPIVOTDATA("Unique Billed Hours",'County allocation'!$S$3,"County",$D633,"HHA/CDPAP","CDPAP","Level of Service",$D636),0)</f>
        <v>0</v>
      </c>
    </row>
    <row r="637" spans="1:16" x14ac:dyDescent="0.25">
      <c r="B637" s="24"/>
      <c r="C637" s="9">
        <f t="shared" ca="1" si="390"/>
        <v>1</v>
      </c>
      <c r="D637" s="267" t="s">
        <v>42</v>
      </c>
      <c r="E637" s="48" t="s">
        <v>56</v>
      </c>
      <c r="F637" s="678">
        <f t="shared" ref="F637:F641" ca="1" si="391">SUM(G637:I637)</f>
        <v>0</v>
      </c>
      <c r="G637" s="658">
        <f ca="1">+IFERROR(G$5*GETPIVOTDATA("Unique Billed Hours",'County allocation'!$A$3,"County",$D633,"HHA/CDPAP","CDPAP","Level of Service",$D637),0)</f>
        <v>0</v>
      </c>
      <c r="H637" s="658">
        <f>+IFERROR(H$5*GETPIVOTDATA("Unique Billed Hours",'County allocation'!$A$3,"County",$D633,"HHA/CDPAP","CDPAP","Level of Service",$D637),0)</f>
        <v>0</v>
      </c>
      <c r="I637" s="678">
        <f t="shared" ref="I637:I644" ca="1" si="392">SUM(J637:P637)</f>
        <v>0</v>
      </c>
      <c r="J637" s="658">
        <f ca="1">+IFERROR(J$5*GETPIVOTDATA("Unique Billed Hours",'County allocation'!$S$3,"County",$D633,"HHA/CDPAP","CDPAP","Level of Service",$D637),0)</f>
        <v>0</v>
      </c>
      <c r="K637" s="658">
        <f ca="1">+IFERROR(K$5*GETPIVOTDATA("Unique Billed Hours",'County allocation'!$X$3,"County",$D633,"HHA/CDPAP","CDPAP","Level of Service",$D637),0)</f>
        <v>0</v>
      </c>
      <c r="L637" s="658">
        <f>+IFERROR(L$5*GETPIVOTDATA("Unique Billed Hours",'County allocation'!$K$19,"County",$D633,"HHA/CDPAP","CDPAP","Level of Service",$D637),0)</f>
        <v>0</v>
      </c>
      <c r="M637" s="658">
        <f>+IFERROR(M$5*GETPIVOTDATA("Unique Billed Hours",'County allocation'!$S$3,"County",$D633,"HHA/CDPAP","CDPAP","Level of Service",$D637),0)</f>
        <v>0</v>
      </c>
      <c r="N637" s="658">
        <f>+IFERROR(N$5*GETPIVOTDATA("Unique Billed Hours",'County allocation'!$S$3,"County",$D633,"HHA/CDPAP","CDPAP","Level of Service",$D637),0)</f>
        <v>0</v>
      </c>
      <c r="O637" s="658">
        <f>+IFERROR(O$5*GETPIVOTDATA("Unique Billed Hours",'County allocation'!$S$3,"County",$D633,"HHA/CDPAP","CDPAP","Level of Service",$D637),0)</f>
        <v>0</v>
      </c>
      <c r="P637" s="658">
        <f>+IFERROR(P$5*GETPIVOTDATA("Unique Billed Hours",'County allocation'!$S$3,"County",$D633,"HHA/CDPAP","CDPAP","Level of Service",$D637),0)</f>
        <v>0</v>
      </c>
    </row>
    <row r="638" spans="1:16" x14ac:dyDescent="0.25">
      <c r="B638" s="24"/>
      <c r="C638" s="9">
        <f t="shared" ca="1" si="390"/>
        <v>1</v>
      </c>
      <c r="D638" s="267" t="s">
        <v>43</v>
      </c>
      <c r="E638" s="48" t="s">
        <v>55</v>
      </c>
      <c r="F638" s="678">
        <f t="shared" ca="1" si="391"/>
        <v>0</v>
      </c>
      <c r="G638" s="658">
        <f ca="1">+IFERROR(G$5*GETPIVOTDATA("Unique Billed Hours",'County allocation'!$A$3,"County",$D633,"HHA/CDPAP","CDPAP","Level of Service",$D638),0)</f>
        <v>0</v>
      </c>
      <c r="H638" s="658">
        <f>+IFERROR(H$5*GETPIVOTDATA("Unique Billed Hours",'County allocation'!$A$3,"County",$D633,"HHA/CDPAP","CDPAP","Level of Service",$D638),0)</f>
        <v>0</v>
      </c>
      <c r="I638" s="678">
        <f t="shared" ca="1" si="392"/>
        <v>0</v>
      </c>
      <c r="J638" s="658">
        <f ca="1">+IFERROR(J$5*GETPIVOTDATA("Unique Billed Hours",'County allocation'!$S$3,"County",$D633,"HHA/CDPAP","CDPAP","Level of Service",$D638),0)</f>
        <v>0</v>
      </c>
      <c r="K638" s="658">
        <f ca="1">+IFERROR(K$5*GETPIVOTDATA("Unique Billed Hours",'County allocation'!$X$3,"County",$D633,"HHA/CDPAP","CDPAP","Level of Service",$D638),0)</f>
        <v>0</v>
      </c>
      <c r="L638" s="658">
        <f>+IFERROR(L$5*GETPIVOTDATA("Unique Billed Hours",'County allocation'!$K$19,"County",$D633,"HHA/CDPAP","CDPAP","Level of Service",$D638),0)</f>
        <v>0</v>
      </c>
      <c r="M638" s="658">
        <f>+IFERROR(M$5*GETPIVOTDATA("Unique Billed Hours",'County allocation'!$S$3,"County",$D633,"HHA/CDPAP","CDPAP","Level of Service",$D638),0)</f>
        <v>0</v>
      </c>
      <c r="N638" s="658">
        <f>+IFERROR(N$5*GETPIVOTDATA("Unique Billed Hours",'County allocation'!$S$3,"County",$D633,"HHA/CDPAP","CDPAP","Level of Service",$D638),0)</f>
        <v>0</v>
      </c>
      <c r="O638" s="658">
        <f>+IFERROR(O$5*GETPIVOTDATA("Unique Billed Hours",'County allocation'!$S$3,"County",$D633,"HHA/CDPAP","CDPAP","Level of Service",$D638),0)</f>
        <v>0</v>
      </c>
      <c r="P638" s="658">
        <f>+IFERROR(P$5*GETPIVOTDATA("Unique Billed Hours",'County allocation'!$S$3,"County",$D633,"HHA/CDPAP","CDPAP","Level of Service",$D638),0)</f>
        <v>0</v>
      </c>
    </row>
    <row r="639" spans="1:16" x14ac:dyDescent="0.25">
      <c r="B639" s="24"/>
      <c r="C639" s="9">
        <f t="shared" ca="1" si="390"/>
        <v>1</v>
      </c>
      <c r="D639" s="267" t="s">
        <v>44</v>
      </c>
      <c r="E639" s="48" t="s">
        <v>54</v>
      </c>
      <c r="F639" s="678">
        <f t="shared" ca="1" si="391"/>
        <v>0</v>
      </c>
      <c r="G639" s="658">
        <f ca="1">+IFERROR(G$5*GETPIVOTDATA("Unique Billed Hours",'County allocation'!$A$3,"County",$D633,"HHA/CDPAP","CDPAP","Level of Service",$D639),0)</f>
        <v>0</v>
      </c>
      <c r="H639" s="658">
        <f>+IFERROR(H$5*GETPIVOTDATA("Unique Billed Hours",'County allocation'!$A$3,"County",$D633,"HHA/CDPAP","CDPAP","Level of Service",$D639),0)</f>
        <v>0</v>
      </c>
      <c r="I639" s="678">
        <f t="shared" ca="1" si="392"/>
        <v>0</v>
      </c>
      <c r="J639" s="658">
        <f ca="1">+IFERROR(J$5*GETPIVOTDATA("Unique Billed Hours",'County allocation'!$S$3,"County",$D633,"HHA/CDPAP","CDPAP","Level of Service",$D639),0)</f>
        <v>0</v>
      </c>
      <c r="K639" s="658">
        <f ca="1">+IFERROR(K$5*GETPIVOTDATA("Unique Billed Hours",'County allocation'!$X$3,"County",$D633,"HHA/CDPAP","CDPAP","Level of Service",$D639),0)</f>
        <v>0</v>
      </c>
      <c r="L639" s="658">
        <f>+IFERROR(L$5*GETPIVOTDATA("Unique Billed Hours",'County allocation'!$K$19,"County",$D633,"HHA/CDPAP","CDPAP","Level of Service",$D639),0)</f>
        <v>0</v>
      </c>
      <c r="M639" s="658">
        <f>+IFERROR(M$5*GETPIVOTDATA("Unique Billed Hours",'County allocation'!$S$3,"County",$D633,"HHA/CDPAP","CDPAP","Level of Service",$D639),0)</f>
        <v>0</v>
      </c>
      <c r="N639" s="658">
        <f>+IFERROR(N$5*GETPIVOTDATA("Unique Billed Hours",'County allocation'!$S$3,"County",$D633,"HHA/CDPAP","CDPAP","Level of Service",$D639),0)</f>
        <v>0</v>
      </c>
      <c r="O639" s="658">
        <f>+IFERROR(O$5*GETPIVOTDATA("Unique Billed Hours",'County allocation'!$S$3,"County",$D633,"HHA/CDPAP","CDPAP","Level of Service",$D639),0)</f>
        <v>0</v>
      </c>
      <c r="P639" s="658">
        <f>+IFERROR(P$5*GETPIVOTDATA("Unique Billed Hours",'County allocation'!$S$3,"County",$D633,"HHA/CDPAP","CDPAP","Level of Service",$D639),0)</f>
        <v>0</v>
      </c>
    </row>
    <row r="640" spans="1:16" x14ac:dyDescent="0.25">
      <c r="B640" s="24"/>
      <c r="C640" s="9">
        <f t="shared" ca="1" si="390"/>
        <v>1</v>
      </c>
      <c r="D640" s="267" t="s">
        <v>45</v>
      </c>
      <c r="E640" s="48" t="s">
        <v>53</v>
      </c>
      <c r="F640" s="678">
        <f t="shared" ca="1" si="391"/>
        <v>0</v>
      </c>
      <c r="G640" s="658">
        <f ca="1">+IFERROR(G$5*GETPIVOTDATA("Unique Billed Hours",'County allocation'!$A$3,"County",$D633,"HHA/CDPAP","CDPAP","Level of Service",$D640),0)</f>
        <v>0</v>
      </c>
      <c r="H640" s="658">
        <f>+IFERROR(H$5*GETPIVOTDATA("Unique Billed Hours",'County allocation'!$A$3,"County",$D633,"HHA/CDPAP","CDPAP","Level of Service",$D640),0)</f>
        <v>0</v>
      </c>
      <c r="I640" s="678">
        <f t="shared" ca="1" si="392"/>
        <v>0</v>
      </c>
      <c r="J640" s="658">
        <f ca="1">+IFERROR(J$5*GETPIVOTDATA("Unique Billed Hours",'County allocation'!$S$3,"County",$D633,"HHA/CDPAP","CDPAP","Level of Service",$D640),0)</f>
        <v>0</v>
      </c>
      <c r="K640" s="658">
        <f ca="1">+IFERROR(K$5*GETPIVOTDATA("Unique Billed Hours",'County allocation'!$X$3,"County",$D633,"HHA/CDPAP","CDPAP","Level of Service",$D640),0)</f>
        <v>0</v>
      </c>
      <c r="L640" s="658">
        <f>+IFERROR(L$5*GETPIVOTDATA("Unique Billed Hours",'County allocation'!$K$19,"County",$D633,"HHA/CDPAP","CDPAP","Level of Service",$D640),0)</f>
        <v>0</v>
      </c>
      <c r="M640" s="658">
        <f>+IFERROR(M$5*GETPIVOTDATA("Unique Billed Hours",'County allocation'!$S$3,"County",$D633,"HHA/CDPAP","CDPAP","Level of Service",$D640),0)</f>
        <v>0</v>
      </c>
      <c r="N640" s="658">
        <f>+IFERROR(N$5*GETPIVOTDATA("Unique Billed Hours",'County allocation'!$S$3,"County",$D633,"HHA/CDPAP","CDPAP","Level of Service",$D640),0)</f>
        <v>0</v>
      </c>
      <c r="O640" s="658">
        <f>+IFERROR(O$5*GETPIVOTDATA("Unique Billed Hours",'County allocation'!$S$3,"County",$D633,"HHA/CDPAP","CDPAP","Level of Service",$D640),0)</f>
        <v>0</v>
      </c>
      <c r="P640" s="658">
        <f>+IFERROR(P$5*GETPIVOTDATA("Unique Billed Hours",'County allocation'!$S$3,"County",$D633,"HHA/CDPAP","CDPAP","Level of Service",$D640),0)</f>
        <v>0</v>
      </c>
    </row>
    <row r="641" spans="1:16" x14ac:dyDescent="0.25">
      <c r="A641" s="302"/>
      <c r="B641" s="24"/>
      <c r="C641" s="9">
        <f t="shared" ca="1" si="390"/>
        <v>1</v>
      </c>
      <c r="D641" s="267" t="s">
        <v>46</v>
      </c>
      <c r="E641" s="48" t="s">
        <v>52</v>
      </c>
      <c r="F641" s="678">
        <f t="shared" ca="1" si="391"/>
        <v>0</v>
      </c>
      <c r="G641" s="658">
        <f ca="1">+IFERROR(G$5*GETPIVOTDATA("Unique Billed Hours",'County allocation'!$A$3,"County",$D633,"HHA/CDPAP","CDPAP","Level of Service",$D641),0)</f>
        <v>0</v>
      </c>
      <c r="H641" s="658">
        <f>+IFERROR(H$5*GETPIVOTDATA("Unique Billed Hours",'County allocation'!$A$3,"County",$D633,"HHA/CDPAP","CDPAP","Level of Service",$D641),0)</f>
        <v>0</v>
      </c>
      <c r="I641" s="678">
        <f t="shared" ca="1" si="392"/>
        <v>0</v>
      </c>
      <c r="J641" s="658">
        <f ca="1">+IFERROR(J$5*GETPIVOTDATA("Unique Billed Hours",'County allocation'!$S$3,"County",$D633,"HHA/CDPAP","CDPAP","Level of Service",$D641),0)</f>
        <v>0</v>
      </c>
      <c r="K641" s="658">
        <f ca="1">+IFERROR(K$5*GETPIVOTDATA("Unique Billed Hours",'County allocation'!$X$3,"County",$D633,"HHA/CDPAP","CDPAP","Level of Service",$D641),0)</f>
        <v>0</v>
      </c>
      <c r="L641" s="658">
        <f>+IFERROR(L$5*GETPIVOTDATA("Unique Billed Hours",'County allocation'!$K$19,"County",$D633,"HHA/CDPAP","CDPAP","Level of Service",$D641),0)</f>
        <v>0</v>
      </c>
      <c r="M641" s="658">
        <f>+IFERROR(M$5*GETPIVOTDATA("Unique Billed Hours",'County allocation'!$S$3,"County",$D633,"HHA/CDPAP","CDPAP","Level of Service",$D641),0)</f>
        <v>0</v>
      </c>
      <c r="N641" s="658">
        <f>+IFERROR(N$5*GETPIVOTDATA("Unique Billed Hours",'County allocation'!$S$3,"County",$D633,"HHA/CDPAP","CDPAP","Level of Service",$D641),0)</f>
        <v>0</v>
      </c>
      <c r="O641" s="658">
        <f>+IFERROR(O$5*GETPIVOTDATA("Unique Billed Hours",'County allocation'!$S$3,"County",$D633,"HHA/CDPAP","CDPAP","Level of Service",$D641),0)</f>
        <v>0</v>
      </c>
      <c r="P641" s="658">
        <f>+IFERROR(P$5*GETPIVOTDATA("Unique Billed Hours",'County allocation'!$S$3,"County",$D633,"HHA/CDPAP","CDPAP","Level of Service",$D641),0)</f>
        <v>0</v>
      </c>
    </row>
    <row r="642" spans="1:16" ht="15.75" thickBot="1" x14ac:dyDescent="0.3">
      <c r="A642" s="302"/>
      <c r="B642" s="24"/>
      <c r="C642" s="9">
        <f t="shared" ca="1" si="390"/>
        <v>1</v>
      </c>
      <c r="D642" s="52" t="s">
        <v>389</v>
      </c>
      <c r="E642" s="370" t="s">
        <v>51</v>
      </c>
      <c r="F642" s="679">
        <f ca="1">SUM(F636:F641)</f>
        <v>205368.51595306193</v>
      </c>
      <c r="G642" s="679">
        <f t="shared" ref="G642:H642" ca="1" si="393">SUM(G636:G641)</f>
        <v>8256.2564495820679</v>
      </c>
      <c r="H642" s="679">
        <f t="shared" si="393"/>
        <v>7108.48437027822</v>
      </c>
      <c r="I642" s="678">
        <f t="shared" ca="1" si="392"/>
        <v>190003.77513320165</v>
      </c>
      <c r="J642" s="679">
        <f ca="1">SUM(J636:J641)</f>
        <v>37591.715839291341</v>
      </c>
      <c r="K642" s="679">
        <f t="shared" ref="K642:P642" ca="1" si="394">SUM(K636:K641)</f>
        <v>151653.09650108143</v>
      </c>
      <c r="L642" s="679">
        <f t="shared" si="394"/>
        <v>0</v>
      </c>
      <c r="M642" s="679">
        <f t="shared" si="394"/>
        <v>700.30842407472232</v>
      </c>
      <c r="N642" s="679">
        <f t="shared" si="394"/>
        <v>58.654368754158185</v>
      </c>
      <c r="O642" s="679">
        <f t="shared" si="394"/>
        <v>0</v>
      </c>
      <c r="P642" s="679">
        <f t="shared" si="394"/>
        <v>0</v>
      </c>
    </row>
    <row r="643" spans="1:16" x14ac:dyDescent="0.25">
      <c r="A643" s="302"/>
      <c r="B643" s="24"/>
      <c r="C643" s="9">
        <f t="shared" ca="1" si="390"/>
        <v>1</v>
      </c>
      <c r="D643" s="378" t="s">
        <v>390</v>
      </c>
      <c r="E643" s="370" t="s">
        <v>50</v>
      </c>
      <c r="F643" s="678">
        <f t="shared" ref="F643" ca="1" si="395">SUM(G643:I643)</f>
        <v>0</v>
      </c>
      <c r="G643" s="658">
        <f ca="1">+IFERROR(G$5*GETPIVOTDATA("Unique Billed Hours",'County allocation'!$A$3,"County",$D633,"HHA/CDPAP","CDPAP","Level of Service",$D643),0)</f>
        <v>0</v>
      </c>
      <c r="H643" s="659"/>
      <c r="I643" s="678">
        <f t="shared" si="392"/>
        <v>0</v>
      </c>
      <c r="J643" s="659"/>
      <c r="K643" s="659"/>
      <c r="L643" s="659"/>
      <c r="M643" s="659"/>
      <c r="N643" s="659"/>
      <c r="O643" s="659"/>
      <c r="P643" s="659"/>
    </row>
    <row r="644" spans="1:16" ht="15.75" thickBot="1" x14ac:dyDescent="0.3">
      <c r="B644" s="24"/>
      <c r="C644" s="9">
        <f t="shared" ca="1" si="390"/>
        <v>1</v>
      </c>
      <c r="D644" s="11" t="s">
        <v>48</v>
      </c>
      <c r="E644" s="53" t="s">
        <v>49</v>
      </c>
      <c r="F644" s="662">
        <f ca="1">SUBTOTAL(9,F636:F641)</f>
        <v>205368.51595306193</v>
      </c>
      <c r="G644" s="662">
        <f t="shared" ref="G644:H644" ca="1" si="396">SUBTOTAL(9,G636:G641)</f>
        <v>8256.2564495820679</v>
      </c>
      <c r="H644" s="662">
        <f t="shared" si="396"/>
        <v>7108.48437027822</v>
      </c>
      <c r="I644" s="678">
        <f t="shared" ca="1" si="392"/>
        <v>190003.77513320165</v>
      </c>
      <c r="J644" s="662">
        <f t="shared" ref="J644:P644" ca="1" si="397">SUBTOTAL(9,J636:J641)</f>
        <v>37591.715839291341</v>
      </c>
      <c r="K644" s="662">
        <f t="shared" ca="1" si="397"/>
        <v>151653.09650108143</v>
      </c>
      <c r="L644" s="662">
        <f t="shared" si="397"/>
        <v>0</v>
      </c>
      <c r="M644" s="662">
        <f t="shared" si="397"/>
        <v>700.30842407472232</v>
      </c>
      <c r="N644" s="662">
        <f t="shared" si="397"/>
        <v>58.654368754158185</v>
      </c>
      <c r="O644" s="662">
        <f t="shared" si="397"/>
        <v>0</v>
      </c>
      <c r="P644" s="662">
        <f t="shared" si="397"/>
        <v>0</v>
      </c>
    </row>
    <row r="645" spans="1:16" ht="15.75" hidden="1" thickBot="1" x14ac:dyDescent="0.3"/>
    <row r="646" spans="1:16" ht="75" x14ac:dyDescent="0.25">
      <c r="A646" s="60"/>
      <c r="B646" s="24"/>
      <c r="C646" s="9">
        <f ca="1">IF(F657&gt;0,1,0)</f>
        <v>1</v>
      </c>
      <c r="D646" s="45" t="str">
        <f>A52</f>
        <v>Schuyler</v>
      </c>
      <c r="E646" s="28">
        <f>SUMIF(A:A,D646,B:B)</f>
        <v>6.2373675956962351E-4</v>
      </c>
      <c r="F646" s="652" t="s">
        <v>396</v>
      </c>
      <c r="G646" s="652" t="s">
        <v>387</v>
      </c>
      <c r="H646" s="652" t="s">
        <v>388</v>
      </c>
      <c r="I646" s="652" t="s">
        <v>392</v>
      </c>
      <c r="J646" s="652" t="s">
        <v>31</v>
      </c>
      <c r="K646" s="652" t="s">
        <v>32</v>
      </c>
      <c r="L646" s="653" t="s">
        <v>33</v>
      </c>
      <c r="M646" s="653" t="s">
        <v>60</v>
      </c>
      <c r="N646" s="653" t="s">
        <v>59</v>
      </c>
      <c r="O646" s="653" t="s">
        <v>58</v>
      </c>
      <c r="P646" s="653" t="s">
        <v>16</v>
      </c>
    </row>
    <row r="647" spans="1:16" x14ac:dyDescent="0.25">
      <c r="A647" s="60"/>
      <c r="B647" s="24"/>
      <c r="C647" s="9">
        <f ca="1">C646</f>
        <v>1</v>
      </c>
      <c r="D647" s="47"/>
      <c r="E647" s="48"/>
      <c r="F647" s="669" t="s">
        <v>57</v>
      </c>
      <c r="G647" s="669" t="s">
        <v>56</v>
      </c>
      <c r="H647" s="669" t="s">
        <v>55</v>
      </c>
      <c r="I647" s="669" t="s">
        <v>54</v>
      </c>
      <c r="J647" s="669" t="s">
        <v>53</v>
      </c>
      <c r="K647" s="669" t="s">
        <v>52</v>
      </c>
      <c r="L647" s="669" t="s">
        <v>51</v>
      </c>
      <c r="M647" s="669" t="s">
        <v>50</v>
      </c>
      <c r="N647" s="669" t="s">
        <v>49</v>
      </c>
      <c r="O647" s="669" t="s">
        <v>47</v>
      </c>
      <c r="P647" s="670" t="s">
        <v>77</v>
      </c>
    </row>
    <row r="648" spans="1:16" x14ac:dyDescent="0.25">
      <c r="B648" s="24"/>
      <c r="C648" s="9">
        <f t="shared" ref="C648:C657" ca="1" si="398">C647</f>
        <v>1</v>
      </c>
      <c r="D648" s="51" t="s">
        <v>26</v>
      </c>
      <c r="E648" s="48"/>
      <c r="F648" s="674"/>
      <c r="G648" s="674"/>
      <c r="H648" s="674"/>
      <c r="I648" s="674"/>
      <c r="J648" s="674"/>
      <c r="K648" s="674"/>
      <c r="L648" s="675"/>
      <c r="M648" s="675"/>
      <c r="N648" s="676"/>
      <c r="O648" s="674"/>
      <c r="P648" s="677"/>
    </row>
    <row r="649" spans="1:16" x14ac:dyDescent="0.25">
      <c r="B649" s="24"/>
      <c r="C649" s="9">
        <f t="shared" ca="1" si="398"/>
        <v>1</v>
      </c>
      <c r="D649" s="267" t="s">
        <v>18</v>
      </c>
      <c r="E649" s="48" t="s">
        <v>57</v>
      </c>
      <c r="F649" s="678">
        <f ca="1">SUM(G649:I649)</f>
        <v>53768.264763091283</v>
      </c>
      <c r="G649" s="658">
        <f ca="1">+IFERROR(G$5*GETPIVOTDATA("Unique Billed Hours",'County allocation'!$A$3,"County",$D646,"HHA/CDPAP","CDPAP","Level of Service",$D649),0)</f>
        <v>2161.5999934214351</v>
      </c>
      <c r="H649" s="658">
        <f>+IFERROR(H$5*GETPIVOTDATA("Unique Billed Hours",'County allocation'!$A$3,"County",$D646,"HHA/CDPAP","CDPAP","Level of Service",$D649),0)</f>
        <v>1861.0976853568529</v>
      </c>
      <c r="I649" s="678">
        <f ca="1">SUM(J649:P649)</f>
        <v>49745.567084312992</v>
      </c>
      <c r="J649" s="658">
        <f ca="1">+IFERROR(J$5*GETPIVOTDATA("Unique Billed Hours",'County allocation'!$S$3,"County",$D646,"HHA/CDPAP","CDPAP","Level of Service",$D649),0)</f>
        <v>9842.0214060848266</v>
      </c>
      <c r="K649" s="658">
        <f ca="1">+IFERROR(K$5*GETPIVOTDATA("Unique Billed Hours",'County allocation'!$X$3,"County",$D646,"HHA/CDPAP","CDPAP","Level of Service",$D649),0)</f>
        <v>39704.83891832985</v>
      </c>
      <c r="L649" s="658">
        <f>+IFERROR(L$5*GETPIVOTDATA("Unique Billed Hours",'County allocation'!$K$19,"County",$D646,"HHA/CDPAP","CDPAP","Level of Service",$D649),0)</f>
        <v>0</v>
      </c>
      <c r="M649" s="658">
        <f>+IFERROR(M$5*GETPIVOTDATA("Unique Billed Hours",'County allocation'!$S$3,"County",$D646,"HHA/CDPAP","CDPAP","Level of Service",$D649),0)</f>
        <v>183.35025009422077</v>
      </c>
      <c r="N649" s="658">
        <f>+IFERROR(N$5*GETPIVOTDATA("Unique Billed Hours",'County allocation'!$S$3,"County",$D646,"HHA/CDPAP","CDPAP","Level of Service",$D649),0)</f>
        <v>15.356509804094657</v>
      </c>
      <c r="O649" s="658">
        <f>+IFERROR(O$5*GETPIVOTDATA("Unique Billed Hours",'County allocation'!$S$3,"County",$D646,"HHA/CDPAP","CDPAP","Level of Service",$D649),0)</f>
        <v>0</v>
      </c>
      <c r="P649" s="658">
        <f>+IFERROR(P$5*GETPIVOTDATA("Unique Billed Hours",'County allocation'!$S$3,"County",$D646,"HHA/CDPAP","CDPAP","Level of Service",$D649),0)</f>
        <v>0</v>
      </c>
    </row>
    <row r="650" spans="1:16" x14ac:dyDescent="0.25">
      <c r="B650" s="24"/>
      <c r="C650" s="9">
        <f t="shared" ca="1" si="398"/>
        <v>1</v>
      </c>
      <c r="D650" s="267" t="s">
        <v>42</v>
      </c>
      <c r="E650" s="48" t="s">
        <v>56</v>
      </c>
      <c r="F650" s="678">
        <f t="shared" ref="F650:F654" ca="1" si="399">SUM(G650:I650)</f>
        <v>0</v>
      </c>
      <c r="G650" s="658">
        <f ca="1">+IFERROR(G$5*GETPIVOTDATA("Unique Billed Hours",'County allocation'!$A$3,"County",$D646,"HHA/CDPAP","CDPAP","Level of Service",$D650),0)</f>
        <v>0</v>
      </c>
      <c r="H650" s="658">
        <f>+IFERROR(H$5*GETPIVOTDATA("Unique Billed Hours",'County allocation'!$A$3,"County",$D646,"HHA/CDPAP","CDPAP","Level of Service",$D650),0)</f>
        <v>0</v>
      </c>
      <c r="I650" s="678">
        <f t="shared" ref="I650:I657" ca="1" si="400">SUM(J650:P650)</f>
        <v>0</v>
      </c>
      <c r="J650" s="658">
        <f ca="1">+IFERROR(J$5*GETPIVOTDATA("Unique Billed Hours",'County allocation'!$S$3,"County",$D646,"HHA/CDPAP","CDPAP","Level of Service",$D650),0)</f>
        <v>0</v>
      </c>
      <c r="K650" s="658">
        <f ca="1">+IFERROR(K$5*GETPIVOTDATA("Unique Billed Hours",'County allocation'!$X$3,"County",$D646,"HHA/CDPAP","CDPAP","Level of Service",$D650),0)</f>
        <v>0</v>
      </c>
      <c r="L650" s="658">
        <f>+IFERROR(L$5*GETPIVOTDATA("Unique Billed Hours",'County allocation'!$K$19,"County",$D646,"HHA/CDPAP","CDPAP","Level of Service",$D650),0)</f>
        <v>0</v>
      </c>
      <c r="M650" s="658">
        <f>+IFERROR(M$5*GETPIVOTDATA("Unique Billed Hours",'County allocation'!$S$3,"County",$D646,"HHA/CDPAP","CDPAP","Level of Service",$D650),0)</f>
        <v>0</v>
      </c>
      <c r="N650" s="658">
        <f>+IFERROR(N$5*GETPIVOTDATA("Unique Billed Hours",'County allocation'!$S$3,"County",$D646,"HHA/CDPAP","CDPAP","Level of Service",$D650),0)</f>
        <v>0</v>
      </c>
      <c r="O650" s="658">
        <f>+IFERROR(O$5*GETPIVOTDATA("Unique Billed Hours",'County allocation'!$S$3,"County",$D646,"HHA/CDPAP","CDPAP","Level of Service",$D650),0)</f>
        <v>0</v>
      </c>
      <c r="P650" s="658">
        <f>+IFERROR(P$5*GETPIVOTDATA("Unique Billed Hours",'County allocation'!$S$3,"County",$D646,"HHA/CDPAP","CDPAP","Level of Service",$D650),0)</f>
        <v>0</v>
      </c>
    </row>
    <row r="651" spans="1:16" x14ac:dyDescent="0.25">
      <c r="B651" s="24"/>
      <c r="C651" s="9">
        <f t="shared" ca="1" si="398"/>
        <v>1</v>
      </c>
      <c r="D651" s="267" t="s">
        <v>43</v>
      </c>
      <c r="E651" s="48" t="s">
        <v>55</v>
      </c>
      <c r="F651" s="678">
        <f t="shared" ca="1" si="399"/>
        <v>0</v>
      </c>
      <c r="G651" s="658">
        <f ca="1">+IFERROR(G$5*GETPIVOTDATA("Unique Billed Hours",'County allocation'!$A$3,"County",$D646,"HHA/CDPAP","CDPAP","Level of Service",$D651),0)</f>
        <v>0</v>
      </c>
      <c r="H651" s="658">
        <f>+IFERROR(H$5*GETPIVOTDATA("Unique Billed Hours",'County allocation'!$A$3,"County",$D646,"HHA/CDPAP","CDPAP","Level of Service",$D651),0)</f>
        <v>0</v>
      </c>
      <c r="I651" s="678">
        <f t="shared" ca="1" si="400"/>
        <v>0</v>
      </c>
      <c r="J651" s="658">
        <f ca="1">+IFERROR(J$5*GETPIVOTDATA("Unique Billed Hours",'County allocation'!$S$3,"County",$D646,"HHA/CDPAP","CDPAP","Level of Service",$D651),0)</f>
        <v>0</v>
      </c>
      <c r="K651" s="658">
        <f ca="1">+IFERROR(K$5*GETPIVOTDATA("Unique Billed Hours",'County allocation'!$X$3,"County",$D646,"HHA/CDPAP","CDPAP","Level of Service",$D651),0)</f>
        <v>0</v>
      </c>
      <c r="L651" s="658">
        <f>+IFERROR(L$5*GETPIVOTDATA("Unique Billed Hours",'County allocation'!$K$19,"County",$D646,"HHA/CDPAP","CDPAP","Level of Service",$D651),0)</f>
        <v>0</v>
      </c>
      <c r="M651" s="658">
        <f>+IFERROR(M$5*GETPIVOTDATA("Unique Billed Hours",'County allocation'!$S$3,"County",$D646,"HHA/CDPAP","CDPAP","Level of Service",$D651),0)</f>
        <v>0</v>
      </c>
      <c r="N651" s="658">
        <f>+IFERROR(N$5*GETPIVOTDATA("Unique Billed Hours",'County allocation'!$S$3,"County",$D646,"HHA/CDPAP","CDPAP","Level of Service",$D651),0)</f>
        <v>0</v>
      </c>
      <c r="O651" s="658">
        <f>+IFERROR(O$5*GETPIVOTDATA("Unique Billed Hours",'County allocation'!$S$3,"County",$D646,"HHA/CDPAP","CDPAP","Level of Service",$D651),0)</f>
        <v>0</v>
      </c>
      <c r="P651" s="658">
        <f>+IFERROR(P$5*GETPIVOTDATA("Unique Billed Hours",'County allocation'!$S$3,"County",$D646,"HHA/CDPAP","CDPAP","Level of Service",$D651),0)</f>
        <v>0</v>
      </c>
    </row>
    <row r="652" spans="1:16" x14ac:dyDescent="0.25">
      <c r="B652" s="24"/>
      <c r="C652" s="9">
        <f t="shared" ca="1" si="398"/>
        <v>1</v>
      </c>
      <c r="D652" s="267" t="s">
        <v>44</v>
      </c>
      <c r="E652" s="48" t="s">
        <v>54</v>
      </c>
      <c r="F652" s="678">
        <f t="shared" ca="1" si="399"/>
        <v>0</v>
      </c>
      <c r="G652" s="658">
        <f ca="1">+IFERROR(G$5*GETPIVOTDATA("Unique Billed Hours",'County allocation'!$A$3,"County",$D646,"HHA/CDPAP","CDPAP","Level of Service",$D652),0)</f>
        <v>0</v>
      </c>
      <c r="H652" s="658">
        <f>+IFERROR(H$5*GETPIVOTDATA("Unique Billed Hours",'County allocation'!$A$3,"County",$D646,"HHA/CDPAP","CDPAP","Level of Service",$D652),0)</f>
        <v>0</v>
      </c>
      <c r="I652" s="678">
        <f t="shared" ca="1" si="400"/>
        <v>0</v>
      </c>
      <c r="J652" s="658">
        <f ca="1">+IFERROR(J$5*GETPIVOTDATA("Unique Billed Hours",'County allocation'!$S$3,"County",$D646,"HHA/CDPAP","CDPAP","Level of Service",$D652),0)</f>
        <v>0</v>
      </c>
      <c r="K652" s="658">
        <f ca="1">+IFERROR(K$5*GETPIVOTDATA("Unique Billed Hours",'County allocation'!$X$3,"County",$D646,"HHA/CDPAP","CDPAP","Level of Service",$D652),0)</f>
        <v>0</v>
      </c>
      <c r="L652" s="658">
        <f>+IFERROR(L$5*GETPIVOTDATA("Unique Billed Hours",'County allocation'!$K$19,"County",$D646,"HHA/CDPAP","CDPAP","Level of Service",$D652),0)</f>
        <v>0</v>
      </c>
      <c r="M652" s="658">
        <f>+IFERROR(M$5*GETPIVOTDATA("Unique Billed Hours",'County allocation'!$S$3,"County",$D646,"HHA/CDPAP","CDPAP","Level of Service",$D652),0)</f>
        <v>0</v>
      </c>
      <c r="N652" s="658">
        <f>+IFERROR(N$5*GETPIVOTDATA("Unique Billed Hours",'County allocation'!$S$3,"County",$D646,"HHA/CDPAP","CDPAP","Level of Service",$D652),0)</f>
        <v>0</v>
      </c>
      <c r="O652" s="658">
        <f>+IFERROR(O$5*GETPIVOTDATA("Unique Billed Hours",'County allocation'!$S$3,"County",$D646,"HHA/CDPAP","CDPAP","Level of Service",$D652),0)</f>
        <v>0</v>
      </c>
      <c r="P652" s="658">
        <f>+IFERROR(P$5*GETPIVOTDATA("Unique Billed Hours",'County allocation'!$S$3,"County",$D646,"HHA/CDPAP","CDPAP","Level of Service",$D652),0)</f>
        <v>0</v>
      </c>
    </row>
    <row r="653" spans="1:16" x14ac:dyDescent="0.25">
      <c r="B653" s="24"/>
      <c r="C653" s="9">
        <f t="shared" ca="1" si="398"/>
        <v>1</v>
      </c>
      <c r="D653" s="267" t="s">
        <v>45</v>
      </c>
      <c r="E653" s="48" t="s">
        <v>53</v>
      </c>
      <c r="F653" s="678">
        <f t="shared" ca="1" si="399"/>
        <v>0</v>
      </c>
      <c r="G653" s="658">
        <f ca="1">+IFERROR(G$5*GETPIVOTDATA("Unique Billed Hours",'County allocation'!$A$3,"County",$D646,"HHA/CDPAP","CDPAP","Level of Service",$D653),0)</f>
        <v>0</v>
      </c>
      <c r="H653" s="658">
        <f>+IFERROR(H$5*GETPIVOTDATA("Unique Billed Hours",'County allocation'!$A$3,"County",$D646,"HHA/CDPAP","CDPAP","Level of Service",$D653),0)</f>
        <v>0</v>
      </c>
      <c r="I653" s="678">
        <f t="shared" ca="1" si="400"/>
        <v>0</v>
      </c>
      <c r="J653" s="658">
        <f ca="1">+IFERROR(J$5*GETPIVOTDATA("Unique Billed Hours",'County allocation'!$S$3,"County",$D646,"HHA/CDPAP","CDPAP","Level of Service",$D653),0)</f>
        <v>0</v>
      </c>
      <c r="K653" s="658">
        <f ca="1">+IFERROR(K$5*GETPIVOTDATA("Unique Billed Hours",'County allocation'!$X$3,"County",$D646,"HHA/CDPAP","CDPAP","Level of Service",$D653),0)</f>
        <v>0</v>
      </c>
      <c r="L653" s="658">
        <f>+IFERROR(L$5*GETPIVOTDATA("Unique Billed Hours",'County allocation'!$K$19,"County",$D646,"HHA/CDPAP","CDPAP","Level of Service",$D653),0)</f>
        <v>0</v>
      </c>
      <c r="M653" s="658">
        <f>+IFERROR(M$5*GETPIVOTDATA("Unique Billed Hours",'County allocation'!$S$3,"County",$D646,"HHA/CDPAP","CDPAP","Level of Service",$D653),0)</f>
        <v>0</v>
      </c>
      <c r="N653" s="658">
        <f>+IFERROR(N$5*GETPIVOTDATA("Unique Billed Hours",'County allocation'!$S$3,"County",$D646,"HHA/CDPAP","CDPAP","Level of Service",$D653),0)</f>
        <v>0</v>
      </c>
      <c r="O653" s="658">
        <f>+IFERROR(O$5*GETPIVOTDATA("Unique Billed Hours",'County allocation'!$S$3,"County",$D646,"HHA/CDPAP","CDPAP","Level of Service",$D653),0)</f>
        <v>0</v>
      </c>
      <c r="P653" s="658">
        <f>+IFERROR(P$5*GETPIVOTDATA("Unique Billed Hours",'County allocation'!$S$3,"County",$D646,"HHA/CDPAP","CDPAP","Level of Service",$D653),0)</f>
        <v>0</v>
      </c>
    </row>
    <row r="654" spans="1:16" x14ac:dyDescent="0.25">
      <c r="A654" s="302"/>
      <c r="B654" s="24"/>
      <c r="C654" s="9">
        <f t="shared" ca="1" si="398"/>
        <v>1</v>
      </c>
      <c r="D654" s="267" t="s">
        <v>46</v>
      </c>
      <c r="E654" s="48" t="s">
        <v>52</v>
      </c>
      <c r="F654" s="678">
        <f t="shared" ca="1" si="399"/>
        <v>0</v>
      </c>
      <c r="G654" s="658">
        <f ca="1">+IFERROR(G$5*GETPIVOTDATA("Unique Billed Hours",'County allocation'!$A$3,"County",$D646,"HHA/CDPAP","CDPAP","Level of Service",$D654),0)</f>
        <v>0</v>
      </c>
      <c r="H654" s="658">
        <f>+IFERROR(H$5*GETPIVOTDATA("Unique Billed Hours",'County allocation'!$A$3,"County",$D646,"HHA/CDPAP","CDPAP","Level of Service",$D654),0)</f>
        <v>0</v>
      </c>
      <c r="I654" s="678">
        <f t="shared" ca="1" si="400"/>
        <v>0</v>
      </c>
      <c r="J654" s="658">
        <f ca="1">+IFERROR(J$5*GETPIVOTDATA("Unique Billed Hours",'County allocation'!$S$3,"County",$D646,"HHA/CDPAP","CDPAP","Level of Service",$D654),0)</f>
        <v>0</v>
      </c>
      <c r="K654" s="658">
        <f ca="1">+IFERROR(K$5*GETPIVOTDATA("Unique Billed Hours",'County allocation'!$X$3,"County",$D646,"HHA/CDPAP","CDPAP","Level of Service",$D654),0)</f>
        <v>0</v>
      </c>
      <c r="L654" s="658">
        <f>+IFERROR(L$5*GETPIVOTDATA("Unique Billed Hours",'County allocation'!$K$19,"County",$D646,"HHA/CDPAP","CDPAP","Level of Service",$D654),0)</f>
        <v>0</v>
      </c>
      <c r="M654" s="658">
        <f>+IFERROR(M$5*GETPIVOTDATA("Unique Billed Hours",'County allocation'!$S$3,"County",$D646,"HHA/CDPAP","CDPAP","Level of Service",$D654),0)</f>
        <v>0</v>
      </c>
      <c r="N654" s="658">
        <f>+IFERROR(N$5*GETPIVOTDATA("Unique Billed Hours",'County allocation'!$S$3,"County",$D646,"HHA/CDPAP","CDPAP","Level of Service",$D654),0)</f>
        <v>0</v>
      </c>
      <c r="O654" s="658">
        <f>+IFERROR(O$5*GETPIVOTDATA("Unique Billed Hours",'County allocation'!$S$3,"County",$D646,"HHA/CDPAP","CDPAP","Level of Service",$D654),0)</f>
        <v>0</v>
      </c>
      <c r="P654" s="658">
        <f>+IFERROR(P$5*GETPIVOTDATA("Unique Billed Hours",'County allocation'!$S$3,"County",$D646,"HHA/CDPAP","CDPAP","Level of Service",$D654),0)</f>
        <v>0</v>
      </c>
    </row>
    <row r="655" spans="1:16" ht="15.75" thickBot="1" x14ac:dyDescent="0.3">
      <c r="A655" s="302"/>
      <c r="B655" s="24"/>
      <c r="C655" s="9">
        <f t="shared" ca="1" si="398"/>
        <v>1</v>
      </c>
      <c r="D655" s="52" t="s">
        <v>389</v>
      </c>
      <c r="E655" s="370" t="s">
        <v>51</v>
      </c>
      <c r="F655" s="679">
        <f ca="1">SUM(F649:F654)</f>
        <v>53768.264763091283</v>
      </c>
      <c r="G655" s="679">
        <f t="shared" ref="G655:H655" ca="1" si="401">SUM(G649:G654)</f>
        <v>2161.5999934214351</v>
      </c>
      <c r="H655" s="679">
        <f t="shared" si="401"/>
        <v>1861.0976853568529</v>
      </c>
      <c r="I655" s="678">
        <f t="shared" ca="1" si="400"/>
        <v>49745.567084312992</v>
      </c>
      <c r="J655" s="679">
        <f ca="1">SUM(J649:J654)</f>
        <v>9842.0214060848266</v>
      </c>
      <c r="K655" s="679">
        <f t="shared" ref="K655:P655" ca="1" si="402">SUM(K649:K654)</f>
        <v>39704.83891832985</v>
      </c>
      <c r="L655" s="679">
        <f t="shared" si="402"/>
        <v>0</v>
      </c>
      <c r="M655" s="679">
        <f t="shared" si="402"/>
        <v>183.35025009422077</v>
      </c>
      <c r="N655" s="679">
        <f t="shared" si="402"/>
        <v>15.356509804094657</v>
      </c>
      <c r="O655" s="679">
        <f t="shared" si="402"/>
        <v>0</v>
      </c>
      <c r="P655" s="679">
        <f t="shared" si="402"/>
        <v>0</v>
      </c>
    </row>
    <row r="656" spans="1:16" x14ac:dyDescent="0.25">
      <c r="A656" s="302"/>
      <c r="B656" s="24"/>
      <c r="C656" s="9">
        <f t="shared" ca="1" si="398"/>
        <v>1</v>
      </c>
      <c r="D656" s="378" t="s">
        <v>390</v>
      </c>
      <c r="E656" s="370" t="s">
        <v>50</v>
      </c>
      <c r="F656" s="678">
        <f t="shared" ref="F656" ca="1" si="403">SUM(G656:I656)</f>
        <v>0</v>
      </c>
      <c r="G656" s="658">
        <f ca="1">+IFERROR(G$5*GETPIVOTDATA("Unique Billed Hours",'County allocation'!$A$3,"County",$D646,"HHA/CDPAP","CDPAP","Level of Service",$D656),0)</f>
        <v>0</v>
      </c>
      <c r="H656" s="659"/>
      <c r="I656" s="678">
        <f t="shared" si="400"/>
        <v>0</v>
      </c>
      <c r="J656" s="659"/>
      <c r="K656" s="659"/>
      <c r="L656" s="659"/>
      <c r="M656" s="659"/>
      <c r="N656" s="659"/>
      <c r="O656" s="659"/>
      <c r="P656" s="659"/>
    </row>
    <row r="657" spans="1:16" ht="15.75" thickBot="1" x14ac:dyDescent="0.3">
      <c r="B657" s="24"/>
      <c r="C657" s="9">
        <f t="shared" ca="1" si="398"/>
        <v>1</v>
      </c>
      <c r="D657" s="11" t="s">
        <v>48</v>
      </c>
      <c r="E657" s="53" t="s">
        <v>49</v>
      </c>
      <c r="F657" s="662">
        <f ca="1">SUBTOTAL(9,F649:F654)</f>
        <v>53768.264763091283</v>
      </c>
      <c r="G657" s="662">
        <f t="shared" ref="G657:H657" ca="1" si="404">SUBTOTAL(9,G649:G654)</f>
        <v>2161.5999934214351</v>
      </c>
      <c r="H657" s="662">
        <f t="shared" si="404"/>
        <v>1861.0976853568529</v>
      </c>
      <c r="I657" s="678">
        <f t="shared" ca="1" si="400"/>
        <v>49745.567084312992</v>
      </c>
      <c r="J657" s="662">
        <f t="shared" ref="J657:P657" ca="1" si="405">SUBTOTAL(9,J649:J654)</f>
        <v>9842.0214060848266</v>
      </c>
      <c r="K657" s="662">
        <f t="shared" ca="1" si="405"/>
        <v>39704.83891832985</v>
      </c>
      <c r="L657" s="662">
        <f t="shared" si="405"/>
        <v>0</v>
      </c>
      <c r="M657" s="662">
        <f t="shared" si="405"/>
        <v>183.35025009422077</v>
      </c>
      <c r="N657" s="662">
        <f t="shared" si="405"/>
        <v>15.356509804094657</v>
      </c>
      <c r="O657" s="662">
        <f t="shared" si="405"/>
        <v>0</v>
      </c>
      <c r="P657" s="662">
        <f t="shared" si="405"/>
        <v>0</v>
      </c>
    </row>
    <row r="658" spans="1:16" ht="15.75" hidden="1" thickBot="1" x14ac:dyDescent="0.3"/>
    <row r="659" spans="1:16" ht="75" x14ac:dyDescent="0.25">
      <c r="A659" s="60"/>
      <c r="B659" s="24"/>
      <c r="C659" s="9">
        <f ca="1">IF(F670&gt;0,1,0)</f>
        <v>1</v>
      </c>
      <c r="D659" s="45" t="str">
        <f>A53</f>
        <v>Seneca</v>
      </c>
      <c r="E659" s="28">
        <f>SUMIF(A:A,D659,B:B)</f>
        <v>5.0916761953535567E-4</v>
      </c>
      <c r="F659" s="652" t="s">
        <v>396</v>
      </c>
      <c r="G659" s="652" t="s">
        <v>387</v>
      </c>
      <c r="H659" s="652" t="s">
        <v>388</v>
      </c>
      <c r="I659" s="652" t="s">
        <v>392</v>
      </c>
      <c r="J659" s="652" t="s">
        <v>31</v>
      </c>
      <c r="K659" s="652" t="s">
        <v>32</v>
      </c>
      <c r="L659" s="653" t="s">
        <v>33</v>
      </c>
      <c r="M659" s="653" t="s">
        <v>60</v>
      </c>
      <c r="N659" s="653" t="s">
        <v>59</v>
      </c>
      <c r="O659" s="653" t="s">
        <v>58</v>
      </c>
      <c r="P659" s="653" t="s">
        <v>16</v>
      </c>
    </row>
    <row r="660" spans="1:16" x14ac:dyDescent="0.25">
      <c r="A660" s="60"/>
      <c r="B660" s="24"/>
      <c r="C660" s="9">
        <f ca="1">C659</f>
        <v>1</v>
      </c>
      <c r="D660" s="47"/>
      <c r="E660" s="48"/>
      <c r="F660" s="669" t="s">
        <v>57</v>
      </c>
      <c r="G660" s="669" t="s">
        <v>56</v>
      </c>
      <c r="H660" s="669" t="s">
        <v>55</v>
      </c>
      <c r="I660" s="669" t="s">
        <v>54</v>
      </c>
      <c r="J660" s="669" t="s">
        <v>53</v>
      </c>
      <c r="K660" s="669" t="s">
        <v>52</v>
      </c>
      <c r="L660" s="669" t="s">
        <v>51</v>
      </c>
      <c r="M660" s="669" t="s">
        <v>50</v>
      </c>
      <c r="N660" s="669" t="s">
        <v>49</v>
      </c>
      <c r="O660" s="669" t="s">
        <v>47</v>
      </c>
      <c r="P660" s="670" t="s">
        <v>77</v>
      </c>
    </row>
    <row r="661" spans="1:16" x14ac:dyDescent="0.25">
      <c r="B661" s="24"/>
      <c r="C661" s="9">
        <f t="shared" ref="C661:C670" ca="1" si="406">C660</f>
        <v>1</v>
      </c>
      <c r="D661" s="51" t="s">
        <v>26</v>
      </c>
      <c r="E661" s="48"/>
      <c r="F661" s="674"/>
      <c r="G661" s="674"/>
      <c r="H661" s="674"/>
      <c r="I661" s="674"/>
      <c r="J661" s="674"/>
      <c r="K661" s="674"/>
      <c r="L661" s="675"/>
      <c r="M661" s="675"/>
      <c r="N661" s="676"/>
      <c r="O661" s="674"/>
      <c r="P661" s="677"/>
    </row>
    <row r="662" spans="1:16" x14ac:dyDescent="0.25">
      <c r="B662" s="24"/>
      <c r="C662" s="9">
        <f t="shared" ca="1" si="406"/>
        <v>1</v>
      </c>
      <c r="D662" s="267" t="s">
        <v>18</v>
      </c>
      <c r="E662" s="48" t="s">
        <v>57</v>
      </c>
      <c r="F662" s="678">
        <f ca="1">SUM(G662:I662)</f>
        <v>43892.00885780729</v>
      </c>
      <c r="G662" s="658">
        <f ca="1">+IFERROR(G$5*GETPIVOTDATA("Unique Billed Hours",'County allocation'!$A$3,"County",$D659,"HHA/CDPAP","CDPAP","Level of Service",$D662),0)</f>
        <v>1764.5532448615902</v>
      </c>
      <c r="H662" s="658">
        <f>+IFERROR(H$5*GETPIVOTDATA("Unique Billed Hours",'County allocation'!$A$3,"County",$D659,"HHA/CDPAP","CDPAP","Level of Service",$D662),0)</f>
        <v>1519.2477654030808</v>
      </c>
      <c r="I662" s="678">
        <f ca="1">SUM(J662:P662)</f>
        <v>40608.207847542617</v>
      </c>
      <c r="J662" s="658">
        <f ca="1">+IFERROR(J$5*GETPIVOTDATA("Unique Billed Hours",'County allocation'!$S$3,"County",$D659,"HHA/CDPAP","CDPAP","Level of Service",$D662),0)</f>
        <v>8034.2204205023354</v>
      </c>
      <c r="K662" s="658">
        <f ca="1">+IFERROR(K$5*GETPIVOTDATA("Unique Billed Hours",'County allocation'!$X$3,"County",$D659,"HHA/CDPAP","CDPAP","Level of Service",$D662),0)</f>
        <v>32411.779498181288</v>
      </c>
      <c r="L662" s="658">
        <f>+IFERROR(L$5*GETPIVOTDATA("Unique Billed Hours",'County allocation'!$K$19,"County",$D659,"HHA/CDPAP","CDPAP","Level of Service",$D662),0)</f>
        <v>0</v>
      </c>
      <c r="M662" s="658">
        <f>+IFERROR(M$5*GETPIVOTDATA("Unique Billed Hours",'County allocation'!$S$3,"County",$D659,"HHA/CDPAP","CDPAP","Level of Service",$D662),0)</f>
        <v>149.67213163146241</v>
      </c>
      <c r="N662" s="658">
        <f>+IFERROR(N$5*GETPIVOTDATA("Unique Billed Hours",'County allocation'!$S$3,"County",$D659,"HHA/CDPAP","CDPAP","Level of Service",$D662),0)</f>
        <v>12.535797227531274</v>
      </c>
      <c r="O662" s="658">
        <f>+IFERROR(O$5*GETPIVOTDATA("Unique Billed Hours",'County allocation'!$S$3,"County",$D659,"HHA/CDPAP","CDPAP","Level of Service",$D662),0)</f>
        <v>0</v>
      </c>
      <c r="P662" s="658">
        <f>+IFERROR(P$5*GETPIVOTDATA("Unique Billed Hours",'County allocation'!$S$3,"County",$D659,"HHA/CDPAP","CDPAP","Level of Service",$D662),0)</f>
        <v>0</v>
      </c>
    </row>
    <row r="663" spans="1:16" x14ac:dyDescent="0.25">
      <c r="B663" s="24"/>
      <c r="C663" s="9">
        <f t="shared" ca="1" si="406"/>
        <v>1</v>
      </c>
      <c r="D663" s="267" t="s">
        <v>42</v>
      </c>
      <c r="E663" s="48" t="s">
        <v>56</v>
      </c>
      <c r="F663" s="678">
        <f t="shared" ref="F663:F667" ca="1" si="407">SUM(G663:I663)</f>
        <v>0</v>
      </c>
      <c r="G663" s="658">
        <f ca="1">+IFERROR(G$5*GETPIVOTDATA("Unique Billed Hours",'County allocation'!$A$3,"County",$D659,"HHA/CDPAP","CDPAP","Level of Service",$D663),0)</f>
        <v>0</v>
      </c>
      <c r="H663" s="658">
        <f>+IFERROR(H$5*GETPIVOTDATA("Unique Billed Hours",'County allocation'!$A$3,"County",$D659,"HHA/CDPAP","CDPAP","Level of Service",$D663),0)</f>
        <v>0</v>
      </c>
      <c r="I663" s="678">
        <f t="shared" ref="I663:I670" ca="1" si="408">SUM(J663:P663)</f>
        <v>0</v>
      </c>
      <c r="J663" s="658">
        <f ca="1">+IFERROR(J$5*GETPIVOTDATA("Unique Billed Hours",'County allocation'!$S$3,"County",$D659,"HHA/CDPAP","CDPAP","Level of Service",$D663),0)</f>
        <v>0</v>
      </c>
      <c r="K663" s="658">
        <f ca="1">+IFERROR(K$5*GETPIVOTDATA("Unique Billed Hours",'County allocation'!$X$3,"County",$D659,"HHA/CDPAP","CDPAP","Level of Service",$D663),0)</f>
        <v>0</v>
      </c>
      <c r="L663" s="658">
        <f>+IFERROR(L$5*GETPIVOTDATA("Unique Billed Hours",'County allocation'!$K$19,"County",$D659,"HHA/CDPAP","CDPAP","Level of Service",$D663),0)</f>
        <v>0</v>
      </c>
      <c r="M663" s="658">
        <f>+IFERROR(M$5*GETPIVOTDATA("Unique Billed Hours",'County allocation'!$S$3,"County",$D659,"HHA/CDPAP","CDPAP","Level of Service",$D663),0)</f>
        <v>0</v>
      </c>
      <c r="N663" s="658">
        <f>+IFERROR(N$5*GETPIVOTDATA("Unique Billed Hours",'County allocation'!$S$3,"County",$D659,"HHA/CDPAP","CDPAP","Level of Service",$D663),0)</f>
        <v>0</v>
      </c>
      <c r="O663" s="658">
        <f>+IFERROR(O$5*GETPIVOTDATA("Unique Billed Hours",'County allocation'!$S$3,"County",$D659,"HHA/CDPAP","CDPAP","Level of Service",$D663),0)</f>
        <v>0</v>
      </c>
      <c r="P663" s="658">
        <f>+IFERROR(P$5*GETPIVOTDATA("Unique Billed Hours",'County allocation'!$S$3,"County",$D659,"HHA/CDPAP","CDPAP","Level of Service",$D663),0)</f>
        <v>0</v>
      </c>
    </row>
    <row r="664" spans="1:16" x14ac:dyDescent="0.25">
      <c r="B664" s="24"/>
      <c r="C664" s="9">
        <f t="shared" ca="1" si="406"/>
        <v>1</v>
      </c>
      <c r="D664" s="267" t="s">
        <v>43</v>
      </c>
      <c r="E664" s="48" t="s">
        <v>55</v>
      </c>
      <c r="F664" s="678">
        <f t="shared" ca="1" si="407"/>
        <v>0</v>
      </c>
      <c r="G664" s="658">
        <f ca="1">+IFERROR(G$5*GETPIVOTDATA("Unique Billed Hours",'County allocation'!$A$3,"County",$D659,"HHA/CDPAP","CDPAP","Level of Service",$D664),0)</f>
        <v>0</v>
      </c>
      <c r="H664" s="658">
        <f>+IFERROR(H$5*GETPIVOTDATA("Unique Billed Hours",'County allocation'!$A$3,"County",$D659,"HHA/CDPAP","CDPAP","Level of Service",$D664),0)</f>
        <v>0</v>
      </c>
      <c r="I664" s="678">
        <f t="shared" ca="1" si="408"/>
        <v>0</v>
      </c>
      <c r="J664" s="658">
        <f ca="1">+IFERROR(J$5*GETPIVOTDATA("Unique Billed Hours",'County allocation'!$S$3,"County",$D659,"HHA/CDPAP","CDPAP","Level of Service",$D664),0)</f>
        <v>0</v>
      </c>
      <c r="K664" s="658">
        <f ca="1">+IFERROR(K$5*GETPIVOTDATA("Unique Billed Hours",'County allocation'!$X$3,"County",$D659,"HHA/CDPAP","CDPAP","Level of Service",$D664),0)</f>
        <v>0</v>
      </c>
      <c r="L664" s="658">
        <f>+IFERROR(L$5*GETPIVOTDATA("Unique Billed Hours",'County allocation'!$K$19,"County",$D659,"HHA/CDPAP","CDPAP","Level of Service",$D664),0)</f>
        <v>0</v>
      </c>
      <c r="M664" s="658">
        <f>+IFERROR(M$5*GETPIVOTDATA("Unique Billed Hours",'County allocation'!$S$3,"County",$D659,"HHA/CDPAP","CDPAP","Level of Service",$D664),0)</f>
        <v>0</v>
      </c>
      <c r="N664" s="658">
        <f>+IFERROR(N$5*GETPIVOTDATA("Unique Billed Hours",'County allocation'!$S$3,"County",$D659,"HHA/CDPAP","CDPAP","Level of Service",$D664),0)</f>
        <v>0</v>
      </c>
      <c r="O664" s="658">
        <f>+IFERROR(O$5*GETPIVOTDATA("Unique Billed Hours",'County allocation'!$S$3,"County",$D659,"HHA/CDPAP","CDPAP","Level of Service",$D664),0)</f>
        <v>0</v>
      </c>
      <c r="P664" s="658">
        <f>+IFERROR(P$5*GETPIVOTDATA("Unique Billed Hours",'County allocation'!$S$3,"County",$D659,"HHA/CDPAP","CDPAP","Level of Service",$D664),0)</f>
        <v>0</v>
      </c>
    </row>
    <row r="665" spans="1:16" x14ac:dyDescent="0.25">
      <c r="B665" s="24"/>
      <c r="C665" s="9">
        <f t="shared" ca="1" si="406"/>
        <v>1</v>
      </c>
      <c r="D665" s="267" t="s">
        <v>44</v>
      </c>
      <c r="E665" s="48" t="s">
        <v>54</v>
      </c>
      <c r="F665" s="678">
        <f t="shared" ca="1" si="407"/>
        <v>0</v>
      </c>
      <c r="G665" s="658">
        <f ca="1">+IFERROR(G$5*GETPIVOTDATA("Unique Billed Hours",'County allocation'!$A$3,"County",$D659,"HHA/CDPAP","CDPAP","Level of Service",$D665),0)</f>
        <v>0</v>
      </c>
      <c r="H665" s="658">
        <f>+IFERROR(H$5*GETPIVOTDATA("Unique Billed Hours",'County allocation'!$A$3,"County",$D659,"HHA/CDPAP","CDPAP","Level of Service",$D665),0)</f>
        <v>0</v>
      </c>
      <c r="I665" s="678">
        <f t="shared" ca="1" si="408"/>
        <v>0</v>
      </c>
      <c r="J665" s="658">
        <f ca="1">+IFERROR(J$5*GETPIVOTDATA("Unique Billed Hours",'County allocation'!$S$3,"County",$D659,"HHA/CDPAP","CDPAP","Level of Service",$D665),0)</f>
        <v>0</v>
      </c>
      <c r="K665" s="658">
        <f ca="1">+IFERROR(K$5*GETPIVOTDATA("Unique Billed Hours",'County allocation'!$X$3,"County",$D659,"HHA/CDPAP","CDPAP","Level of Service",$D665),0)</f>
        <v>0</v>
      </c>
      <c r="L665" s="658">
        <f>+IFERROR(L$5*GETPIVOTDATA("Unique Billed Hours",'County allocation'!$K$19,"County",$D659,"HHA/CDPAP","CDPAP","Level of Service",$D665),0)</f>
        <v>0</v>
      </c>
      <c r="M665" s="658">
        <f>+IFERROR(M$5*GETPIVOTDATA("Unique Billed Hours",'County allocation'!$S$3,"County",$D659,"HHA/CDPAP","CDPAP","Level of Service",$D665),0)</f>
        <v>0</v>
      </c>
      <c r="N665" s="658">
        <f>+IFERROR(N$5*GETPIVOTDATA("Unique Billed Hours",'County allocation'!$S$3,"County",$D659,"HHA/CDPAP","CDPAP","Level of Service",$D665),0)</f>
        <v>0</v>
      </c>
      <c r="O665" s="658">
        <f>+IFERROR(O$5*GETPIVOTDATA("Unique Billed Hours",'County allocation'!$S$3,"County",$D659,"HHA/CDPAP","CDPAP","Level of Service",$D665),0)</f>
        <v>0</v>
      </c>
      <c r="P665" s="658">
        <f>+IFERROR(P$5*GETPIVOTDATA("Unique Billed Hours",'County allocation'!$S$3,"County",$D659,"HHA/CDPAP","CDPAP","Level of Service",$D665),0)</f>
        <v>0</v>
      </c>
    </row>
    <row r="666" spans="1:16" x14ac:dyDescent="0.25">
      <c r="B666" s="24"/>
      <c r="C666" s="9">
        <f t="shared" ca="1" si="406"/>
        <v>1</v>
      </c>
      <c r="D666" s="267" t="s">
        <v>45</v>
      </c>
      <c r="E666" s="48" t="s">
        <v>53</v>
      </c>
      <c r="F666" s="678">
        <f t="shared" ca="1" si="407"/>
        <v>0</v>
      </c>
      <c r="G666" s="658">
        <f ca="1">+IFERROR(G$5*GETPIVOTDATA("Unique Billed Hours",'County allocation'!$A$3,"County",$D659,"HHA/CDPAP","CDPAP","Level of Service",$D666),0)</f>
        <v>0</v>
      </c>
      <c r="H666" s="658">
        <f>+IFERROR(H$5*GETPIVOTDATA("Unique Billed Hours",'County allocation'!$A$3,"County",$D659,"HHA/CDPAP","CDPAP","Level of Service",$D666),0)</f>
        <v>0</v>
      </c>
      <c r="I666" s="678">
        <f t="shared" ca="1" si="408"/>
        <v>0</v>
      </c>
      <c r="J666" s="658">
        <f ca="1">+IFERROR(J$5*GETPIVOTDATA("Unique Billed Hours",'County allocation'!$S$3,"County",$D659,"HHA/CDPAP","CDPAP","Level of Service",$D666),0)</f>
        <v>0</v>
      </c>
      <c r="K666" s="658">
        <f ca="1">+IFERROR(K$5*GETPIVOTDATA("Unique Billed Hours",'County allocation'!$X$3,"County",$D659,"HHA/CDPAP","CDPAP","Level of Service",$D666),0)</f>
        <v>0</v>
      </c>
      <c r="L666" s="658">
        <f>+IFERROR(L$5*GETPIVOTDATA("Unique Billed Hours",'County allocation'!$K$19,"County",$D659,"HHA/CDPAP","CDPAP","Level of Service",$D666),0)</f>
        <v>0</v>
      </c>
      <c r="M666" s="658">
        <f>+IFERROR(M$5*GETPIVOTDATA("Unique Billed Hours",'County allocation'!$S$3,"County",$D659,"HHA/CDPAP","CDPAP","Level of Service",$D666),0)</f>
        <v>0</v>
      </c>
      <c r="N666" s="658">
        <f>+IFERROR(N$5*GETPIVOTDATA("Unique Billed Hours",'County allocation'!$S$3,"County",$D659,"HHA/CDPAP","CDPAP","Level of Service",$D666),0)</f>
        <v>0</v>
      </c>
      <c r="O666" s="658">
        <f>+IFERROR(O$5*GETPIVOTDATA("Unique Billed Hours",'County allocation'!$S$3,"County",$D659,"HHA/CDPAP","CDPAP","Level of Service",$D666),0)</f>
        <v>0</v>
      </c>
      <c r="P666" s="658">
        <f>+IFERROR(P$5*GETPIVOTDATA("Unique Billed Hours",'County allocation'!$S$3,"County",$D659,"HHA/CDPAP","CDPAP","Level of Service",$D666),0)</f>
        <v>0</v>
      </c>
    </row>
    <row r="667" spans="1:16" x14ac:dyDescent="0.25">
      <c r="A667" s="302"/>
      <c r="B667" s="24"/>
      <c r="C667" s="9">
        <f t="shared" ca="1" si="406"/>
        <v>1</v>
      </c>
      <c r="D667" s="267" t="s">
        <v>46</v>
      </c>
      <c r="E667" s="48" t="s">
        <v>52</v>
      </c>
      <c r="F667" s="678">
        <f t="shared" ca="1" si="407"/>
        <v>0</v>
      </c>
      <c r="G667" s="658">
        <f ca="1">+IFERROR(G$5*GETPIVOTDATA("Unique Billed Hours",'County allocation'!$A$3,"County",$D659,"HHA/CDPAP","CDPAP","Level of Service",$D667),0)</f>
        <v>0</v>
      </c>
      <c r="H667" s="658">
        <f>+IFERROR(H$5*GETPIVOTDATA("Unique Billed Hours",'County allocation'!$A$3,"County",$D659,"HHA/CDPAP","CDPAP","Level of Service",$D667),0)</f>
        <v>0</v>
      </c>
      <c r="I667" s="678">
        <f t="shared" ca="1" si="408"/>
        <v>0</v>
      </c>
      <c r="J667" s="658">
        <f ca="1">+IFERROR(J$5*GETPIVOTDATA("Unique Billed Hours",'County allocation'!$S$3,"County",$D659,"HHA/CDPAP","CDPAP","Level of Service",$D667),0)</f>
        <v>0</v>
      </c>
      <c r="K667" s="658">
        <f ca="1">+IFERROR(K$5*GETPIVOTDATA("Unique Billed Hours",'County allocation'!$X$3,"County",$D659,"HHA/CDPAP","CDPAP","Level of Service",$D667),0)</f>
        <v>0</v>
      </c>
      <c r="L667" s="658">
        <f>+IFERROR(L$5*GETPIVOTDATA("Unique Billed Hours",'County allocation'!$K$19,"County",$D659,"HHA/CDPAP","CDPAP","Level of Service",$D667),0)</f>
        <v>0</v>
      </c>
      <c r="M667" s="658">
        <f>+IFERROR(M$5*GETPIVOTDATA("Unique Billed Hours",'County allocation'!$S$3,"County",$D659,"HHA/CDPAP","CDPAP","Level of Service",$D667),0)</f>
        <v>0</v>
      </c>
      <c r="N667" s="658">
        <f>+IFERROR(N$5*GETPIVOTDATA("Unique Billed Hours",'County allocation'!$S$3,"County",$D659,"HHA/CDPAP","CDPAP","Level of Service",$D667),0)</f>
        <v>0</v>
      </c>
      <c r="O667" s="658">
        <f>+IFERROR(O$5*GETPIVOTDATA("Unique Billed Hours",'County allocation'!$S$3,"County",$D659,"HHA/CDPAP","CDPAP","Level of Service",$D667),0)</f>
        <v>0</v>
      </c>
      <c r="P667" s="658">
        <f>+IFERROR(P$5*GETPIVOTDATA("Unique Billed Hours",'County allocation'!$S$3,"County",$D659,"HHA/CDPAP","CDPAP","Level of Service",$D667),0)</f>
        <v>0</v>
      </c>
    </row>
    <row r="668" spans="1:16" ht="15.75" thickBot="1" x14ac:dyDescent="0.3">
      <c r="A668" s="302"/>
      <c r="B668" s="24"/>
      <c r="C668" s="9">
        <f t="shared" ca="1" si="406"/>
        <v>1</v>
      </c>
      <c r="D668" s="52" t="s">
        <v>389</v>
      </c>
      <c r="E668" s="370" t="s">
        <v>51</v>
      </c>
      <c r="F668" s="679">
        <f ca="1">SUM(F662:F667)</f>
        <v>43892.00885780729</v>
      </c>
      <c r="G668" s="679">
        <f t="shared" ref="G668:H668" ca="1" si="409">SUM(G662:G667)</f>
        <v>1764.5532448615902</v>
      </c>
      <c r="H668" s="679">
        <f t="shared" si="409"/>
        <v>1519.2477654030808</v>
      </c>
      <c r="I668" s="678">
        <f t="shared" ca="1" si="408"/>
        <v>40608.207847542617</v>
      </c>
      <c r="J668" s="679">
        <f ca="1">SUM(J662:J667)</f>
        <v>8034.2204205023354</v>
      </c>
      <c r="K668" s="679">
        <f t="shared" ref="K668:P668" ca="1" si="410">SUM(K662:K667)</f>
        <v>32411.779498181288</v>
      </c>
      <c r="L668" s="679">
        <f t="shared" si="410"/>
        <v>0</v>
      </c>
      <c r="M668" s="679">
        <f t="shared" si="410"/>
        <v>149.67213163146241</v>
      </c>
      <c r="N668" s="679">
        <f t="shared" si="410"/>
        <v>12.535797227531274</v>
      </c>
      <c r="O668" s="679">
        <f t="shared" si="410"/>
        <v>0</v>
      </c>
      <c r="P668" s="679">
        <f t="shared" si="410"/>
        <v>0</v>
      </c>
    </row>
    <row r="669" spans="1:16" x14ac:dyDescent="0.25">
      <c r="A669" s="302"/>
      <c r="B669" s="24"/>
      <c r="C669" s="9">
        <f t="shared" ca="1" si="406"/>
        <v>1</v>
      </c>
      <c r="D669" s="378" t="s">
        <v>390</v>
      </c>
      <c r="E669" s="370" t="s">
        <v>50</v>
      </c>
      <c r="F669" s="678">
        <f t="shared" ref="F669" ca="1" si="411">SUM(G669:I669)</f>
        <v>0</v>
      </c>
      <c r="G669" s="658">
        <f ca="1">+IFERROR(G$5*GETPIVOTDATA("Unique Billed Hours",'County allocation'!$A$3,"County",$D659,"HHA/CDPAP","CDPAP","Level of Service",$D669),0)</f>
        <v>0</v>
      </c>
      <c r="H669" s="659"/>
      <c r="I669" s="678">
        <f t="shared" si="408"/>
        <v>0</v>
      </c>
      <c r="J669" s="659"/>
      <c r="K669" s="659"/>
      <c r="L669" s="659"/>
      <c r="M669" s="659"/>
      <c r="N669" s="659"/>
      <c r="O669" s="659"/>
      <c r="P669" s="659"/>
    </row>
    <row r="670" spans="1:16" ht="15.75" thickBot="1" x14ac:dyDescent="0.3">
      <c r="B670" s="24"/>
      <c r="C670" s="9">
        <f t="shared" ca="1" si="406"/>
        <v>1</v>
      </c>
      <c r="D670" s="11" t="s">
        <v>48</v>
      </c>
      <c r="E670" s="53" t="s">
        <v>49</v>
      </c>
      <c r="F670" s="662">
        <f ca="1">SUBTOTAL(9,F662:F667)</f>
        <v>43892.00885780729</v>
      </c>
      <c r="G670" s="662">
        <f t="shared" ref="G670:H670" ca="1" si="412">SUBTOTAL(9,G662:G667)</f>
        <v>1764.5532448615902</v>
      </c>
      <c r="H670" s="662">
        <f t="shared" si="412"/>
        <v>1519.2477654030808</v>
      </c>
      <c r="I670" s="678">
        <f t="shared" ca="1" si="408"/>
        <v>40608.207847542617</v>
      </c>
      <c r="J670" s="662">
        <f t="shared" ref="J670:P670" ca="1" si="413">SUBTOTAL(9,J662:J667)</f>
        <v>8034.2204205023354</v>
      </c>
      <c r="K670" s="662">
        <f t="shared" ca="1" si="413"/>
        <v>32411.779498181288</v>
      </c>
      <c r="L670" s="662">
        <f t="shared" si="413"/>
        <v>0</v>
      </c>
      <c r="M670" s="662">
        <f t="shared" si="413"/>
        <v>149.67213163146241</v>
      </c>
      <c r="N670" s="662">
        <f t="shared" si="413"/>
        <v>12.535797227531274</v>
      </c>
      <c r="O670" s="662">
        <f t="shared" si="413"/>
        <v>0</v>
      </c>
      <c r="P670" s="662">
        <f t="shared" si="413"/>
        <v>0</v>
      </c>
    </row>
    <row r="671" spans="1:16" ht="15.75" hidden="1" thickBot="1" x14ac:dyDescent="0.3"/>
    <row r="672" spans="1:16" ht="75" x14ac:dyDescent="0.25">
      <c r="A672" s="60"/>
      <c r="B672" s="24"/>
      <c r="C672" s="9">
        <f ca="1">IF(F683&gt;0,1,0)</f>
        <v>1</v>
      </c>
      <c r="D672" s="45" t="str">
        <f>A54</f>
        <v>Steuben</v>
      </c>
      <c r="E672" s="28">
        <f>SUMIF(A:A,D672,B:B)</f>
        <v>2.7722133530557608E-3</v>
      </c>
      <c r="F672" s="652" t="s">
        <v>396</v>
      </c>
      <c r="G672" s="652" t="s">
        <v>387</v>
      </c>
      <c r="H672" s="652" t="s">
        <v>388</v>
      </c>
      <c r="I672" s="652" t="s">
        <v>392</v>
      </c>
      <c r="J672" s="652" t="s">
        <v>31</v>
      </c>
      <c r="K672" s="652" t="s">
        <v>32</v>
      </c>
      <c r="L672" s="653" t="s">
        <v>33</v>
      </c>
      <c r="M672" s="653" t="s">
        <v>60</v>
      </c>
      <c r="N672" s="653" t="s">
        <v>59</v>
      </c>
      <c r="O672" s="653" t="s">
        <v>58</v>
      </c>
      <c r="P672" s="653" t="s">
        <v>16</v>
      </c>
    </row>
    <row r="673" spans="1:16" x14ac:dyDescent="0.25">
      <c r="A673" s="60"/>
      <c r="B673" s="24"/>
      <c r="C673" s="9">
        <f ca="1">C672</f>
        <v>1</v>
      </c>
      <c r="D673" s="47"/>
      <c r="E673" s="48"/>
      <c r="F673" s="669" t="s">
        <v>57</v>
      </c>
      <c r="G673" s="669" t="s">
        <v>56</v>
      </c>
      <c r="H673" s="669" t="s">
        <v>55</v>
      </c>
      <c r="I673" s="669" t="s">
        <v>54</v>
      </c>
      <c r="J673" s="669" t="s">
        <v>53</v>
      </c>
      <c r="K673" s="669" t="s">
        <v>52</v>
      </c>
      <c r="L673" s="669" t="s">
        <v>51</v>
      </c>
      <c r="M673" s="669" t="s">
        <v>50</v>
      </c>
      <c r="N673" s="669" t="s">
        <v>49</v>
      </c>
      <c r="O673" s="669" t="s">
        <v>47</v>
      </c>
      <c r="P673" s="670" t="s">
        <v>77</v>
      </c>
    </row>
    <row r="674" spans="1:16" x14ac:dyDescent="0.25">
      <c r="B674" s="24"/>
      <c r="C674" s="9">
        <f t="shared" ref="C674:C683" ca="1" si="414">C673</f>
        <v>1</v>
      </c>
      <c r="D674" s="51" t="s">
        <v>26</v>
      </c>
      <c r="E674" s="48"/>
      <c r="F674" s="674"/>
      <c r="G674" s="674"/>
      <c r="H674" s="674"/>
      <c r="I674" s="674"/>
      <c r="J674" s="674"/>
      <c r="K674" s="674"/>
      <c r="L674" s="675"/>
      <c r="M674" s="675"/>
      <c r="N674" s="676"/>
      <c r="O674" s="674"/>
      <c r="P674" s="677"/>
    </row>
    <row r="675" spans="1:16" x14ac:dyDescent="0.25">
      <c r="B675" s="24"/>
      <c r="C675" s="9">
        <f t="shared" ca="1" si="414"/>
        <v>1</v>
      </c>
      <c r="D675" s="267" t="s">
        <v>18</v>
      </c>
      <c r="E675" s="48" t="s">
        <v>57</v>
      </c>
      <c r="F675" s="678">
        <f ca="1">SUM(G675:I675)</f>
        <v>238974.37382034073</v>
      </c>
      <c r="G675" s="658">
        <f ca="1">+IFERROR(G$5*GETPIVOTDATA("Unique Billed Hours",'County allocation'!$A$3,"County",$D672,"HHA/CDPAP","CDPAP","Level of Service",$D675),0)</f>
        <v>9607.284281052951</v>
      </c>
      <c r="H675" s="658">
        <f>+IFERROR(H$5*GETPIVOTDATA("Unique Billed Hours",'County allocation'!$A$3,"County",$D672,"HHA/CDPAP","CDPAP","Level of Service",$D675),0)</f>
        <v>8271.694389548853</v>
      </c>
      <c r="I675" s="678">
        <f ca="1">SUM(J675:P675)</f>
        <v>221095.39514973894</v>
      </c>
      <c r="J675" s="658">
        <f ca="1">+IFERROR(J$5*GETPIVOTDATA("Unique Billed Hours",'County allocation'!$S$3,"County",$D672,"HHA/CDPAP","CDPAP","Level of Service",$D675),0)</f>
        <v>43743.10595680619</v>
      </c>
      <c r="K675" s="658">
        <f ca="1">+IFERROR(K$5*GETPIVOTDATA("Unique Billed Hours",'County allocation'!$X$3,"County",$D672,"HHA/CDPAP","CDPAP","Level of Service",$D675),0)</f>
        <v>176469.13211635983</v>
      </c>
      <c r="L675" s="658">
        <f>+IFERROR(L$5*GETPIVOTDATA("Unique Billed Hours",'County allocation'!$K$19,"County",$D672,"HHA/CDPAP","CDPAP","Level of Service",$D675),0)</f>
        <v>0</v>
      </c>
      <c r="M675" s="658">
        <f>+IFERROR(M$5*GETPIVOTDATA("Unique Billed Hours",'County allocation'!$S$3,"County",$D672,"HHA/CDPAP","CDPAP","Level of Service",$D675),0)</f>
        <v>814.9046914407096</v>
      </c>
      <c r="N675" s="658">
        <f>+IFERROR(N$5*GETPIVOTDATA("Unique Billed Hours",'County allocation'!$S$3,"County",$D672,"HHA/CDPAP","CDPAP","Level of Service",$D675),0)</f>
        <v>68.252385132178418</v>
      </c>
      <c r="O675" s="658">
        <f>+IFERROR(O$5*GETPIVOTDATA("Unique Billed Hours",'County allocation'!$S$3,"County",$D672,"HHA/CDPAP","CDPAP","Level of Service",$D675),0)</f>
        <v>0</v>
      </c>
      <c r="P675" s="658">
        <f>+IFERROR(P$5*GETPIVOTDATA("Unique Billed Hours",'County allocation'!$S$3,"County",$D672,"HHA/CDPAP","CDPAP","Level of Service",$D675),0)</f>
        <v>0</v>
      </c>
    </row>
    <row r="676" spans="1:16" x14ac:dyDescent="0.25">
      <c r="B676" s="24"/>
      <c r="C676" s="9">
        <f t="shared" ca="1" si="414"/>
        <v>1</v>
      </c>
      <c r="D676" s="267" t="s">
        <v>42</v>
      </c>
      <c r="E676" s="48" t="s">
        <v>56</v>
      </c>
      <c r="F676" s="678">
        <f t="shared" ref="F676:F680" ca="1" si="415">SUM(G676:I676)</f>
        <v>0</v>
      </c>
      <c r="G676" s="658">
        <f ca="1">+IFERROR(G$5*GETPIVOTDATA("Unique Billed Hours",'County allocation'!$A$3,"County",$D672,"HHA/CDPAP","CDPAP","Level of Service",$D676),0)</f>
        <v>0</v>
      </c>
      <c r="H676" s="658">
        <f>+IFERROR(H$5*GETPIVOTDATA("Unique Billed Hours",'County allocation'!$A$3,"County",$D672,"HHA/CDPAP","CDPAP","Level of Service",$D676),0)</f>
        <v>0</v>
      </c>
      <c r="I676" s="678">
        <f t="shared" ref="I676:I683" ca="1" si="416">SUM(J676:P676)</f>
        <v>0</v>
      </c>
      <c r="J676" s="658">
        <f ca="1">+IFERROR(J$5*GETPIVOTDATA("Unique Billed Hours",'County allocation'!$S$3,"County",$D672,"HHA/CDPAP","CDPAP","Level of Service",$D676),0)</f>
        <v>0</v>
      </c>
      <c r="K676" s="658">
        <f ca="1">+IFERROR(K$5*GETPIVOTDATA("Unique Billed Hours",'County allocation'!$X$3,"County",$D672,"HHA/CDPAP","CDPAP","Level of Service",$D676),0)</f>
        <v>0</v>
      </c>
      <c r="L676" s="658">
        <f>+IFERROR(L$5*GETPIVOTDATA("Unique Billed Hours",'County allocation'!$K$19,"County",$D672,"HHA/CDPAP","CDPAP","Level of Service",$D676),0)</f>
        <v>0</v>
      </c>
      <c r="M676" s="658">
        <f>+IFERROR(M$5*GETPIVOTDATA("Unique Billed Hours",'County allocation'!$S$3,"County",$D672,"HHA/CDPAP","CDPAP","Level of Service",$D676),0)</f>
        <v>0</v>
      </c>
      <c r="N676" s="658">
        <f>+IFERROR(N$5*GETPIVOTDATA("Unique Billed Hours",'County allocation'!$S$3,"County",$D672,"HHA/CDPAP","CDPAP","Level of Service",$D676),0)</f>
        <v>0</v>
      </c>
      <c r="O676" s="658">
        <f>+IFERROR(O$5*GETPIVOTDATA("Unique Billed Hours",'County allocation'!$S$3,"County",$D672,"HHA/CDPAP","CDPAP","Level of Service",$D676),0)</f>
        <v>0</v>
      </c>
      <c r="P676" s="658">
        <f>+IFERROR(P$5*GETPIVOTDATA("Unique Billed Hours",'County allocation'!$S$3,"County",$D672,"HHA/CDPAP","CDPAP","Level of Service",$D676),0)</f>
        <v>0</v>
      </c>
    </row>
    <row r="677" spans="1:16" x14ac:dyDescent="0.25">
      <c r="B677" s="24"/>
      <c r="C677" s="9">
        <f t="shared" ca="1" si="414"/>
        <v>1</v>
      </c>
      <c r="D677" s="267" t="s">
        <v>43</v>
      </c>
      <c r="E677" s="48" t="s">
        <v>55</v>
      </c>
      <c r="F677" s="678">
        <f t="shared" ca="1" si="415"/>
        <v>0</v>
      </c>
      <c r="G677" s="658">
        <f ca="1">+IFERROR(G$5*GETPIVOTDATA("Unique Billed Hours",'County allocation'!$A$3,"County",$D672,"HHA/CDPAP","CDPAP","Level of Service",$D677),0)</f>
        <v>0</v>
      </c>
      <c r="H677" s="658">
        <f>+IFERROR(H$5*GETPIVOTDATA("Unique Billed Hours",'County allocation'!$A$3,"County",$D672,"HHA/CDPAP","CDPAP","Level of Service",$D677),0)</f>
        <v>0</v>
      </c>
      <c r="I677" s="678">
        <f t="shared" ca="1" si="416"/>
        <v>0</v>
      </c>
      <c r="J677" s="658">
        <f ca="1">+IFERROR(J$5*GETPIVOTDATA("Unique Billed Hours",'County allocation'!$S$3,"County",$D672,"HHA/CDPAP","CDPAP","Level of Service",$D677),0)</f>
        <v>0</v>
      </c>
      <c r="K677" s="658">
        <f ca="1">+IFERROR(K$5*GETPIVOTDATA("Unique Billed Hours",'County allocation'!$X$3,"County",$D672,"HHA/CDPAP","CDPAP","Level of Service",$D677),0)</f>
        <v>0</v>
      </c>
      <c r="L677" s="658">
        <f>+IFERROR(L$5*GETPIVOTDATA("Unique Billed Hours",'County allocation'!$K$19,"County",$D672,"HHA/CDPAP","CDPAP","Level of Service",$D677),0)</f>
        <v>0</v>
      </c>
      <c r="M677" s="658">
        <f>+IFERROR(M$5*GETPIVOTDATA("Unique Billed Hours",'County allocation'!$S$3,"County",$D672,"HHA/CDPAP","CDPAP","Level of Service",$D677),0)</f>
        <v>0</v>
      </c>
      <c r="N677" s="658">
        <f>+IFERROR(N$5*GETPIVOTDATA("Unique Billed Hours",'County allocation'!$S$3,"County",$D672,"HHA/CDPAP","CDPAP","Level of Service",$D677),0)</f>
        <v>0</v>
      </c>
      <c r="O677" s="658">
        <f>+IFERROR(O$5*GETPIVOTDATA("Unique Billed Hours",'County allocation'!$S$3,"County",$D672,"HHA/CDPAP","CDPAP","Level of Service",$D677),0)</f>
        <v>0</v>
      </c>
      <c r="P677" s="658">
        <f>+IFERROR(P$5*GETPIVOTDATA("Unique Billed Hours",'County allocation'!$S$3,"County",$D672,"HHA/CDPAP","CDPAP","Level of Service",$D677),0)</f>
        <v>0</v>
      </c>
    </row>
    <row r="678" spans="1:16" x14ac:dyDescent="0.25">
      <c r="B678" s="24"/>
      <c r="C678" s="9">
        <f t="shared" ca="1" si="414"/>
        <v>1</v>
      </c>
      <c r="D678" s="267" t="s">
        <v>44</v>
      </c>
      <c r="E678" s="48" t="s">
        <v>54</v>
      </c>
      <c r="F678" s="678">
        <f t="shared" ca="1" si="415"/>
        <v>0</v>
      </c>
      <c r="G678" s="658">
        <f ca="1">+IFERROR(G$5*GETPIVOTDATA("Unique Billed Hours",'County allocation'!$A$3,"County",$D672,"HHA/CDPAP","CDPAP","Level of Service",$D678),0)</f>
        <v>0</v>
      </c>
      <c r="H678" s="658">
        <f>+IFERROR(H$5*GETPIVOTDATA("Unique Billed Hours",'County allocation'!$A$3,"County",$D672,"HHA/CDPAP","CDPAP","Level of Service",$D678),0)</f>
        <v>0</v>
      </c>
      <c r="I678" s="678">
        <f t="shared" ca="1" si="416"/>
        <v>0</v>
      </c>
      <c r="J678" s="658">
        <f ca="1">+IFERROR(J$5*GETPIVOTDATA("Unique Billed Hours",'County allocation'!$S$3,"County",$D672,"HHA/CDPAP","CDPAP","Level of Service",$D678),0)</f>
        <v>0</v>
      </c>
      <c r="K678" s="658">
        <f ca="1">+IFERROR(K$5*GETPIVOTDATA("Unique Billed Hours",'County allocation'!$X$3,"County",$D672,"HHA/CDPAP","CDPAP","Level of Service",$D678),0)</f>
        <v>0</v>
      </c>
      <c r="L678" s="658">
        <f>+IFERROR(L$5*GETPIVOTDATA("Unique Billed Hours",'County allocation'!$K$19,"County",$D672,"HHA/CDPAP","CDPAP","Level of Service",$D678),0)</f>
        <v>0</v>
      </c>
      <c r="M678" s="658">
        <f>+IFERROR(M$5*GETPIVOTDATA("Unique Billed Hours",'County allocation'!$S$3,"County",$D672,"HHA/CDPAP","CDPAP","Level of Service",$D678),0)</f>
        <v>0</v>
      </c>
      <c r="N678" s="658">
        <f>+IFERROR(N$5*GETPIVOTDATA("Unique Billed Hours",'County allocation'!$S$3,"County",$D672,"HHA/CDPAP","CDPAP","Level of Service",$D678),0)</f>
        <v>0</v>
      </c>
      <c r="O678" s="658">
        <f>+IFERROR(O$5*GETPIVOTDATA("Unique Billed Hours",'County allocation'!$S$3,"County",$D672,"HHA/CDPAP","CDPAP","Level of Service",$D678),0)</f>
        <v>0</v>
      </c>
      <c r="P678" s="658">
        <f>+IFERROR(P$5*GETPIVOTDATA("Unique Billed Hours",'County allocation'!$S$3,"County",$D672,"HHA/CDPAP","CDPAP","Level of Service",$D678),0)</f>
        <v>0</v>
      </c>
    </row>
    <row r="679" spans="1:16" x14ac:dyDescent="0.25">
      <c r="B679" s="24"/>
      <c r="C679" s="9">
        <f t="shared" ca="1" si="414"/>
        <v>1</v>
      </c>
      <c r="D679" s="267" t="s">
        <v>45</v>
      </c>
      <c r="E679" s="48" t="s">
        <v>53</v>
      </c>
      <c r="F679" s="678">
        <f t="shared" ca="1" si="415"/>
        <v>0</v>
      </c>
      <c r="G679" s="658">
        <f ca="1">+IFERROR(G$5*GETPIVOTDATA("Unique Billed Hours",'County allocation'!$A$3,"County",$D672,"HHA/CDPAP","CDPAP","Level of Service",$D679),0)</f>
        <v>0</v>
      </c>
      <c r="H679" s="658">
        <f>+IFERROR(H$5*GETPIVOTDATA("Unique Billed Hours",'County allocation'!$A$3,"County",$D672,"HHA/CDPAP","CDPAP","Level of Service",$D679),0)</f>
        <v>0</v>
      </c>
      <c r="I679" s="678">
        <f t="shared" ca="1" si="416"/>
        <v>0</v>
      </c>
      <c r="J679" s="658">
        <f ca="1">+IFERROR(J$5*GETPIVOTDATA("Unique Billed Hours",'County allocation'!$S$3,"County",$D672,"HHA/CDPAP","CDPAP","Level of Service",$D679),0)</f>
        <v>0</v>
      </c>
      <c r="K679" s="658">
        <f ca="1">+IFERROR(K$5*GETPIVOTDATA("Unique Billed Hours",'County allocation'!$X$3,"County",$D672,"HHA/CDPAP","CDPAP","Level of Service",$D679),0)</f>
        <v>0</v>
      </c>
      <c r="L679" s="658">
        <f>+IFERROR(L$5*GETPIVOTDATA("Unique Billed Hours",'County allocation'!$K$19,"County",$D672,"HHA/CDPAP","CDPAP","Level of Service",$D679),0)</f>
        <v>0</v>
      </c>
      <c r="M679" s="658">
        <f>+IFERROR(M$5*GETPIVOTDATA("Unique Billed Hours",'County allocation'!$S$3,"County",$D672,"HHA/CDPAP","CDPAP","Level of Service",$D679),0)</f>
        <v>0</v>
      </c>
      <c r="N679" s="658">
        <f>+IFERROR(N$5*GETPIVOTDATA("Unique Billed Hours",'County allocation'!$S$3,"County",$D672,"HHA/CDPAP","CDPAP","Level of Service",$D679),0)</f>
        <v>0</v>
      </c>
      <c r="O679" s="658">
        <f>+IFERROR(O$5*GETPIVOTDATA("Unique Billed Hours",'County allocation'!$S$3,"County",$D672,"HHA/CDPAP","CDPAP","Level of Service",$D679),0)</f>
        <v>0</v>
      </c>
      <c r="P679" s="658">
        <f>+IFERROR(P$5*GETPIVOTDATA("Unique Billed Hours",'County allocation'!$S$3,"County",$D672,"HHA/CDPAP","CDPAP","Level of Service",$D679),0)</f>
        <v>0</v>
      </c>
    </row>
    <row r="680" spans="1:16" x14ac:dyDescent="0.25">
      <c r="A680" s="302"/>
      <c r="B680" s="24"/>
      <c r="C680" s="9">
        <f t="shared" ca="1" si="414"/>
        <v>1</v>
      </c>
      <c r="D680" s="267" t="s">
        <v>46</v>
      </c>
      <c r="E680" s="48" t="s">
        <v>52</v>
      </c>
      <c r="F680" s="678">
        <f t="shared" ca="1" si="415"/>
        <v>0</v>
      </c>
      <c r="G680" s="658">
        <f ca="1">+IFERROR(G$5*GETPIVOTDATA("Unique Billed Hours",'County allocation'!$A$3,"County",$D672,"HHA/CDPAP","CDPAP","Level of Service",$D680),0)</f>
        <v>0</v>
      </c>
      <c r="H680" s="658">
        <f>+IFERROR(H$5*GETPIVOTDATA("Unique Billed Hours",'County allocation'!$A$3,"County",$D672,"HHA/CDPAP","CDPAP","Level of Service",$D680),0)</f>
        <v>0</v>
      </c>
      <c r="I680" s="678">
        <f t="shared" ca="1" si="416"/>
        <v>0</v>
      </c>
      <c r="J680" s="658">
        <f ca="1">+IFERROR(J$5*GETPIVOTDATA("Unique Billed Hours",'County allocation'!$S$3,"County",$D672,"HHA/CDPAP","CDPAP","Level of Service",$D680),0)</f>
        <v>0</v>
      </c>
      <c r="K680" s="658">
        <f ca="1">+IFERROR(K$5*GETPIVOTDATA("Unique Billed Hours",'County allocation'!$X$3,"County",$D672,"HHA/CDPAP","CDPAP","Level of Service",$D680),0)</f>
        <v>0</v>
      </c>
      <c r="L680" s="658">
        <f>+IFERROR(L$5*GETPIVOTDATA("Unique Billed Hours",'County allocation'!$K$19,"County",$D672,"HHA/CDPAP","CDPAP","Level of Service",$D680),0)</f>
        <v>0</v>
      </c>
      <c r="M680" s="658">
        <f>+IFERROR(M$5*GETPIVOTDATA("Unique Billed Hours",'County allocation'!$S$3,"County",$D672,"HHA/CDPAP","CDPAP","Level of Service",$D680),0)</f>
        <v>0</v>
      </c>
      <c r="N680" s="658">
        <f>+IFERROR(N$5*GETPIVOTDATA("Unique Billed Hours",'County allocation'!$S$3,"County",$D672,"HHA/CDPAP","CDPAP","Level of Service",$D680),0)</f>
        <v>0</v>
      </c>
      <c r="O680" s="658">
        <f>+IFERROR(O$5*GETPIVOTDATA("Unique Billed Hours",'County allocation'!$S$3,"County",$D672,"HHA/CDPAP","CDPAP","Level of Service",$D680),0)</f>
        <v>0</v>
      </c>
      <c r="P680" s="658">
        <f>+IFERROR(P$5*GETPIVOTDATA("Unique Billed Hours",'County allocation'!$S$3,"County",$D672,"HHA/CDPAP","CDPAP","Level of Service",$D680),0)</f>
        <v>0</v>
      </c>
    </row>
    <row r="681" spans="1:16" ht="15.75" thickBot="1" x14ac:dyDescent="0.3">
      <c r="A681" s="302"/>
      <c r="B681" s="24"/>
      <c r="C681" s="9">
        <f t="shared" ca="1" si="414"/>
        <v>1</v>
      </c>
      <c r="D681" s="52" t="s">
        <v>389</v>
      </c>
      <c r="E681" s="370" t="s">
        <v>51</v>
      </c>
      <c r="F681" s="679">
        <f ca="1">SUM(F675:F680)</f>
        <v>238974.37382034073</v>
      </c>
      <c r="G681" s="679">
        <f t="shared" ref="G681:H681" ca="1" si="417">SUM(G675:G680)</f>
        <v>9607.284281052951</v>
      </c>
      <c r="H681" s="679">
        <f t="shared" si="417"/>
        <v>8271.694389548853</v>
      </c>
      <c r="I681" s="678">
        <f t="shared" ca="1" si="416"/>
        <v>221095.39514973894</v>
      </c>
      <c r="J681" s="679">
        <f ca="1">SUM(J675:J680)</f>
        <v>43743.10595680619</v>
      </c>
      <c r="K681" s="679">
        <f t="shared" ref="K681:P681" ca="1" si="418">SUM(K675:K680)</f>
        <v>176469.13211635983</v>
      </c>
      <c r="L681" s="679">
        <f t="shared" si="418"/>
        <v>0</v>
      </c>
      <c r="M681" s="679">
        <f t="shared" si="418"/>
        <v>814.9046914407096</v>
      </c>
      <c r="N681" s="679">
        <f t="shared" si="418"/>
        <v>68.252385132178418</v>
      </c>
      <c r="O681" s="679">
        <f t="shared" si="418"/>
        <v>0</v>
      </c>
      <c r="P681" s="679">
        <f t="shared" si="418"/>
        <v>0</v>
      </c>
    </row>
    <row r="682" spans="1:16" x14ac:dyDescent="0.25">
      <c r="A682" s="302"/>
      <c r="B682" s="24"/>
      <c r="C682" s="9">
        <f t="shared" ca="1" si="414"/>
        <v>1</v>
      </c>
      <c r="D682" s="378" t="s">
        <v>390</v>
      </c>
      <c r="E682" s="370" t="s">
        <v>50</v>
      </c>
      <c r="F682" s="678">
        <f t="shared" ref="F682" ca="1" si="419">SUM(G682:I682)</f>
        <v>0</v>
      </c>
      <c r="G682" s="658">
        <f ca="1">+IFERROR(G$5*GETPIVOTDATA("Unique Billed Hours",'County allocation'!$A$3,"County",$D672,"HHA/CDPAP","CDPAP","Level of Service",$D682),0)</f>
        <v>0</v>
      </c>
      <c r="H682" s="659"/>
      <c r="I682" s="678">
        <f t="shared" si="416"/>
        <v>0</v>
      </c>
      <c r="J682" s="659"/>
      <c r="K682" s="659"/>
      <c r="L682" s="659"/>
      <c r="M682" s="659"/>
      <c r="N682" s="659"/>
      <c r="O682" s="659"/>
      <c r="P682" s="659"/>
    </row>
    <row r="683" spans="1:16" ht="15.75" thickBot="1" x14ac:dyDescent="0.3">
      <c r="B683" s="24"/>
      <c r="C683" s="9">
        <f t="shared" ca="1" si="414"/>
        <v>1</v>
      </c>
      <c r="D683" s="11" t="s">
        <v>48</v>
      </c>
      <c r="E683" s="53" t="s">
        <v>49</v>
      </c>
      <c r="F683" s="662">
        <f ca="1">SUBTOTAL(9,F675:F680)</f>
        <v>238974.37382034073</v>
      </c>
      <c r="G683" s="662">
        <f t="shared" ref="G683:H683" ca="1" si="420">SUBTOTAL(9,G675:G680)</f>
        <v>9607.284281052951</v>
      </c>
      <c r="H683" s="662">
        <f t="shared" si="420"/>
        <v>8271.694389548853</v>
      </c>
      <c r="I683" s="678">
        <f t="shared" ca="1" si="416"/>
        <v>221095.39514973894</v>
      </c>
      <c r="J683" s="662">
        <f t="shared" ref="J683:P683" ca="1" si="421">SUBTOTAL(9,J675:J680)</f>
        <v>43743.10595680619</v>
      </c>
      <c r="K683" s="662">
        <f t="shared" ca="1" si="421"/>
        <v>176469.13211635983</v>
      </c>
      <c r="L683" s="662">
        <f t="shared" si="421"/>
        <v>0</v>
      </c>
      <c r="M683" s="662">
        <f t="shared" si="421"/>
        <v>814.9046914407096</v>
      </c>
      <c r="N683" s="662">
        <f t="shared" si="421"/>
        <v>68.252385132178418</v>
      </c>
      <c r="O683" s="662">
        <f t="shared" si="421"/>
        <v>0</v>
      </c>
      <c r="P683" s="662">
        <f t="shared" si="421"/>
        <v>0</v>
      </c>
    </row>
    <row r="684" spans="1:16" ht="15.75" hidden="1" thickBot="1" x14ac:dyDescent="0.3"/>
    <row r="685" spans="1:16" ht="75" x14ac:dyDescent="0.25">
      <c r="A685" s="60"/>
      <c r="B685" s="24"/>
      <c r="C685" s="9">
        <f ca="1">IF(F696&gt;0,1,0)</f>
        <v>1</v>
      </c>
      <c r="D685" s="45" t="str">
        <f>A55</f>
        <v>Suffolk</v>
      </c>
      <c r="E685" s="28">
        <f>SUMIF(A:A,D685,B:B)</f>
        <v>4.7178453804958088E-2</v>
      </c>
      <c r="F685" s="652" t="s">
        <v>396</v>
      </c>
      <c r="G685" s="652" t="s">
        <v>387</v>
      </c>
      <c r="H685" s="652" t="s">
        <v>388</v>
      </c>
      <c r="I685" s="652" t="s">
        <v>392</v>
      </c>
      <c r="J685" s="652" t="s">
        <v>31</v>
      </c>
      <c r="K685" s="652" t="s">
        <v>32</v>
      </c>
      <c r="L685" s="653" t="s">
        <v>33</v>
      </c>
      <c r="M685" s="653" t="s">
        <v>60</v>
      </c>
      <c r="N685" s="653" t="s">
        <v>59</v>
      </c>
      <c r="O685" s="653" t="s">
        <v>58</v>
      </c>
      <c r="P685" s="653" t="s">
        <v>16</v>
      </c>
    </row>
    <row r="686" spans="1:16" x14ac:dyDescent="0.25">
      <c r="A686" s="60"/>
      <c r="B686" s="24"/>
      <c r="C686" s="9">
        <f ca="1">C685</f>
        <v>1</v>
      </c>
      <c r="D686" s="47"/>
      <c r="E686" s="48"/>
      <c r="F686" s="669" t="s">
        <v>57</v>
      </c>
      <c r="G686" s="669" t="s">
        <v>56</v>
      </c>
      <c r="H686" s="669" t="s">
        <v>55</v>
      </c>
      <c r="I686" s="669" t="s">
        <v>54</v>
      </c>
      <c r="J686" s="669" t="s">
        <v>53</v>
      </c>
      <c r="K686" s="669" t="s">
        <v>52</v>
      </c>
      <c r="L686" s="669" t="s">
        <v>51</v>
      </c>
      <c r="M686" s="669" t="s">
        <v>50</v>
      </c>
      <c r="N686" s="669" t="s">
        <v>49</v>
      </c>
      <c r="O686" s="669" t="s">
        <v>47</v>
      </c>
      <c r="P686" s="670" t="s">
        <v>77</v>
      </c>
    </row>
    <row r="687" spans="1:16" x14ac:dyDescent="0.25">
      <c r="B687" s="24"/>
      <c r="C687" s="9">
        <f t="shared" ref="C687:C696" ca="1" si="422">C686</f>
        <v>1</v>
      </c>
      <c r="D687" s="51" t="s">
        <v>26</v>
      </c>
      <c r="E687" s="48"/>
      <c r="F687" s="674"/>
      <c r="G687" s="674"/>
      <c r="H687" s="674"/>
      <c r="I687" s="674"/>
      <c r="J687" s="674"/>
      <c r="K687" s="674"/>
      <c r="L687" s="675"/>
      <c r="M687" s="675"/>
      <c r="N687" s="676"/>
      <c r="O687" s="674"/>
      <c r="P687" s="677"/>
    </row>
    <row r="688" spans="1:16" x14ac:dyDescent="0.25">
      <c r="B688" s="24"/>
      <c r="C688" s="9">
        <f t="shared" ca="1" si="422"/>
        <v>1</v>
      </c>
      <c r="D688" s="267" t="s">
        <v>18</v>
      </c>
      <c r="E688" s="48" t="s">
        <v>57</v>
      </c>
      <c r="F688" s="678">
        <f ca="1">SUM(G688:I688)</f>
        <v>3695093.4110240606</v>
      </c>
      <c r="G688" s="658">
        <f ca="1">+IFERROR(G$5*GETPIVOTDATA("Unique Billed Hours",'County allocation'!$A$3,"County",$D685,"HHA/CDPAP","CDPAP","Level of Service",$D688),0)</f>
        <v>148550.70975703155</v>
      </c>
      <c r="H688" s="658">
        <f>+IFERROR(H$5*GETPIVOTDATA("Unique Billed Hours",'County allocation'!$A$3,"County",$D685,"HHA/CDPAP","CDPAP","Level of Service",$D688),0)</f>
        <v>127899.41845314753</v>
      </c>
      <c r="I688" s="678">
        <f ca="1">SUM(J688:P688)</f>
        <v>3418643.2828138815</v>
      </c>
      <c r="J688" s="658">
        <f ca="1">+IFERROR(J$5*GETPIVOTDATA("Unique Billed Hours",'County allocation'!$S$3,"County",$D685,"HHA/CDPAP","CDPAP","Level of Service",$D688),0)</f>
        <v>676369.01821212796</v>
      </c>
      <c r="K688" s="658">
        <f ca="1">+IFERROR(K$5*GETPIVOTDATA("Unique Billed Hours",'County allocation'!$X$3,"County",$D685,"HHA/CDPAP","CDPAP","Level of Service",$D688),0)</f>
        <v>2728618.6251188479</v>
      </c>
      <c r="L688" s="658">
        <f>+IFERROR(L$5*GETPIVOTDATA("Unique Billed Hours",'County allocation'!$K$19,"County",$D685,"HHA/CDPAP","CDPAP","Level of Service",$D688),0)</f>
        <v>0</v>
      </c>
      <c r="M688" s="658">
        <f>+IFERROR(M$5*GETPIVOTDATA("Unique Billed Hours",'County allocation'!$S$3,"County",$D685,"HHA/CDPAP","CDPAP","Level of Service",$D688),0)</f>
        <v>12600.300642356417</v>
      </c>
      <c r="N688" s="658">
        <f>+IFERROR(N$5*GETPIVOTDATA("Unique Billed Hours",'County allocation'!$S$3,"County",$D685,"HHA/CDPAP","CDPAP","Level of Service",$D688),0)</f>
        <v>1055.3388405494493</v>
      </c>
      <c r="O688" s="658">
        <f>+IFERROR(O$5*GETPIVOTDATA("Unique Billed Hours",'County allocation'!$S$3,"County",$D685,"HHA/CDPAP","CDPAP","Level of Service",$D688),0)</f>
        <v>0</v>
      </c>
      <c r="P688" s="658">
        <f>+IFERROR(P$5*GETPIVOTDATA("Unique Billed Hours",'County allocation'!$S$3,"County",$D685,"HHA/CDPAP","CDPAP","Level of Service",$D688),0)</f>
        <v>0</v>
      </c>
    </row>
    <row r="689" spans="1:16" x14ac:dyDescent="0.25">
      <c r="B689" s="24"/>
      <c r="C689" s="9">
        <f t="shared" ca="1" si="422"/>
        <v>1</v>
      </c>
      <c r="D689" s="267" t="s">
        <v>42</v>
      </c>
      <c r="E689" s="48" t="s">
        <v>56</v>
      </c>
      <c r="F689" s="678">
        <f t="shared" ref="F689:F693" ca="1" si="423">SUM(G689:I689)</f>
        <v>44102.495523203135</v>
      </c>
      <c r="G689" s="658">
        <f ca="1">+IFERROR(G$5*GETPIVOTDATA("Unique Billed Hours",'County allocation'!$A$3,"County",$D685,"HHA/CDPAP","CDPAP","Level of Service",$D689),0)</f>
        <v>1773.0152619368982</v>
      </c>
      <c r="H689" s="658">
        <f>+IFERROR(H$5*GETPIVOTDATA("Unique Billed Hours",'County allocation'!$A$3,"County",$D685,"HHA/CDPAP","CDPAP","Level of Service",$D689),0)</f>
        <v>1526.5334058732117</v>
      </c>
      <c r="I689" s="678">
        <f t="shared" ref="I689:I696" ca="1" si="424">SUM(J689:P689)</f>
        <v>40802.946855393027</v>
      </c>
      <c r="J689" s="658">
        <f ca="1">+IFERROR(J$5*GETPIVOTDATA("Unique Billed Hours",'County allocation'!$S$3,"County",$D685,"HHA/CDPAP","CDPAP","Level of Service",$D689),0)</f>
        <v>8072.7489888994951</v>
      </c>
      <c r="K689" s="658">
        <f ca="1">+IFERROR(K$5*GETPIVOTDATA("Unique Billed Hours",'County allocation'!$X$3,"County",$D685,"HHA/CDPAP","CDPAP","Level of Service",$D689),0)</f>
        <v>32567.212060136222</v>
      </c>
      <c r="L689" s="658">
        <f>+IFERROR(L$5*GETPIVOTDATA("Unique Billed Hours",'County allocation'!$K$19,"County",$D685,"HHA/CDPAP","CDPAP","Level of Service",$D689),0)</f>
        <v>0</v>
      </c>
      <c r="M689" s="658">
        <f>+IFERROR(M$5*GETPIVOTDATA("Unique Billed Hours",'County allocation'!$S$3,"County",$D685,"HHA/CDPAP","CDPAP","Level of Service",$D689),0)</f>
        <v>150.38989298961431</v>
      </c>
      <c r="N689" s="658">
        <f>+IFERROR(N$5*GETPIVOTDATA("Unique Billed Hours",'County allocation'!$S$3,"County",$D685,"HHA/CDPAP","CDPAP","Level of Service",$D689),0)</f>
        <v>12.595913367693591</v>
      </c>
      <c r="O689" s="658">
        <f>+IFERROR(O$5*GETPIVOTDATA("Unique Billed Hours",'County allocation'!$S$3,"County",$D685,"HHA/CDPAP","CDPAP","Level of Service",$D689),0)</f>
        <v>0</v>
      </c>
      <c r="P689" s="658">
        <f>+IFERROR(P$5*GETPIVOTDATA("Unique Billed Hours",'County allocation'!$S$3,"County",$D685,"HHA/CDPAP","CDPAP","Level of Service",$D689),0)</f>
        <v>0</v>
      </c>
    </row>
    <row r="690" spans="1:16" x14ac:dyDescent="0.25">
      <c r="B690" s="24"/>
      <c r="C690" s="9">
        <f t="shared" ca="1" si="422"/>
        <v>1</v>
      </c>
      <c r="D690" s="267" t="s">
        <v>43</v>
      </c>
      <c r="E690" s="48" t="s">
        <v>55</v>
      </c>
      <c r="F690" s="678">
        <f t="shared" ca="1" si="423"/>
        <v>124718.88836981182</v>
      </c>
      <c r="G690" s="658">
        <f ca="1">+IFERROR(G$5*GETPIVOTDATA("Unique Billed Hours",'County allocation'!$A$3,"County",$D685,"HHA/CDPAP","CDPAP","Level of Service",$D690),0)</f>
        <v>5013.9678017798533</v>
      </c>
      <c r="H690" s="658">
        <f>+IFERROR(H$5*GETPIVOTDATA("Unique Billed Hours",'County allocation'!$A$3,"County",$D685,"HHA/CDPAP","CDPAP","Level of Service",$D690),0)</f>
        <v>4316.9337059333375</v>
      </c>
      <c r="I690" s="678">
        <f t="shared" ca="1" si="424"/>
        <v>115387.98686209862</v>
      </c>
      <c r="J690" s="658">
        <f ca="1">+IFERROR(J$5*GETPIVOTDATA("Unique Billed Hours",'County allocation'!$S$3,"County",$D685,"HHA/CDPAP","CDPAP","Level of Service",$D690),0)</f>
        <v>22829.190685011428</v>
      </c>
      <c r="K690" s="658">
        <f ca="1">+IFERROR(K$5*GETPIVOTDATA("Unique Billed Hours",'County allocation'!$X$3,"County",$D685,"HHA/CDPAP","CDPAP","Level of Service",$D690),0)</f>
        <v>92097.883288875542</v>
      </c>
      <c r="L690" s="658">
        <f>+IFERROR(L$5*GETPIVOTDATA("Unique Billed Hours",'County allocation'!$K$19,"County",$D685,"HHA/CDPAP","CDPAP","Level of Service",$D690),0)</f>
        <v>0</v>
      </c>
      <c r="M690" s="658">
        <f>+IFERROR(M$5*GETPIVOTDATA("Unique Billed Hours",'County allocation'!$S$3,"County",$D685,"HHA/CDPAP","CDPAP","Level of Service",$D690),0)</f>
        <v>425.29249316178789</v>
      </c>
      <c r="N690" s="658">
        <f>+IFERROR(N$5*GETPIVOTDATA("Unique Billed Hours",'County allocation'!$S$3,"County",$D685,"HHA/CDPAP","CDPAP","Level of Service",$D690),0)</f>
        <v>35.620395049860441</v>
      </c>
      <c r="O690" s="658">
        <f>+IFERROR(O$5*GETPIVOTDATA("Unique Billed Hours",'County allocation'!$S$3,"County",$D685,"HHA/CDPAP","CDPAP","Level of Service",$D690),0)</f>
        <v>0</v>
      </c>
      <c r="P690" s="658">
        <f>+IFERROR(P$5*GETPIVOTDATA("Unique Billed Hours",'County allocation'!$S$3,"County",$D685,"HHA/CDPAP","CDPAP","Level of Service",$D690),0)</f>
        <v>0</v>
      </c>
    </row>
    <row r="691" spans="1:16" x14ac:dyDescent="0.25">
      <c r="B691" s="24"/>
      <c r="C691" s="9">
        <f t="shared" ca="1" si="422"/>
        <v>1</v>
      </c>
      <c r="D691" s="267" t="s">
        <v>44</v>
      </c>
      <c r="E691" s="48" t="s">
        <v>54</v>
      </c>
      <c r="F691" s="678">
        <f t="shared" ca="1" si="423"/>
        <v>203031.00614261336</v>
      </c>
      <c r="G691" s="658">
        <f ca="1">+IFERROR(G$5*GETPIVOTDATA("Unique Billed Hours",'County allocation'!$A$3,"County",$D685,"HHA/CDPAP","CDPAP","Level of Service",$D691),0)</f>
        <v>8162.2835231141753</v>
      </c>
      <c r="H691" s="658">
        <f>+IFERROR(H$5*GETPIVOTDATA("Unique Billed Hours",'County allocation'!$A$3,"County",$D685,"HHA/CDPAP","CDPAP","Level of Service",$D691),0)</f>
        <v>7027.5754155836094</v>
      </c>
      <c r="I691" s="678">
        <f t="shared" ca="1" si="424"/>
        <v>187841.14720391558</v>
      </c>
      <c r="J691" s="658">
        <f ca="1">+IFERROR(J$5*GETPIVOTDATA("Unique Billed Hours",'County allocation'!$S$3,"County",$D685,"HHA/CDPAP","CDPAP","Level of Service",$D691),0)</f>
        <v>37163.845948143942</v>
      </c>
      <c r="K691" s="658">
        <f ca="1">+IFERROR(K$5*GETPIVOTDATA("Unique Billed Hours",'County allocation'!$X$3,"County",$D685,"HHA/CDPAP","CDPAP","Level of Service",$D691),0)</f>
        <v>149926.97699726615</v>
      </c>
      <c r="L691" s="658">
        <f>+IFERROR(L$5*GETPIVOTDATA("Unique Billed Hours",'County allocation'!$K$19,"County",$D685,"HHA/CDPAP","CDPAP","Level of Service",$D691),0)</f>
        <v>0</v>
      </c>
      <c r="M691" s="658">
        <f>+IFERROR(M$5*GETPIVOTDATA("Unique Billed Hours",'County allocation'!$S$3,"County",$D685,"HHA/CDPAP","CDPAP","Level of Service",$D691),0)</f>
        <v>692.3374953078777</v>
      </c>
      <c r="N691" s="658">
        <f>+IFERROR(N$5*GETPIVOTDATA("Unique Billed Hours",'County allocation'!$S$3,"County",$D685,"HHA/CDPAP","CDPAP","Level of Service",$D691),0)</f>
        <v>57.986763197618792</v>
      </c>
      <c r="O691" s="658">
        <f>+IFERROR(O$5*GETPIVOTDATA("Unique Billed Hours",'County allocation'!$S$3,"County",$D685,"HHA/CDPAP","CDPAP","Level of Service",$D691),0)</f>
        <v>0</v>
      </c>
      <c r="P691" s="658">
        <f>+IFERROR(P$5*GETPIVOTDATA("Unique Billed Hours",'County allocation'!$S$3,"County",$D685,"HHA/CDPAP","CDPAP","Level of Service",$D691),0)</f>
        <v>0</v>
      </c>
    </row>
    <row r="692" spans="1:16" x14ac:dyDescent="0.25">
      <c r="B692" s="24"/>
      <c r="C692" s="9">
        <f t="shared" ca="1" si="422"/>
        <v>1</v>
      </c>
      <c r="D692" s="267" t="s">
        <v>45</v>
      </c>
      <c r="E692" s="48" t="s">
        <v>53</v>
      </c>
      <c r="F692" s="678">
        <f t="shared" ca="1" si="423"/>
        <v>0</v>
      </c>
      <c r="G692" s="658">
        <f ca="1">+IFERROR(G$5*GETPIVOTDATA("Unique Billed Hours",'County allocation'!$A$3,"County",$D685,"HHA/CDPAP","CDPAP","Level of Service",$D692),0)</f>
        <v>0</v>
      </c>
      <c r="H692" s="658">
        <f>+IFERROR(H$5*GETPIVOTDATA("Unique Billed Hours",'County allocation'!$A$3,"County",$D685,"HHA/CDPAP","CDPAP","Level of Service",$D692),0)</f>
        <v>0</v>
      </c>
      <c r="I692" s="678">
        <f t="shared" ca="1" si="424"/>
        <v>0</v>
      </c>
      <c r="J692" s="658">
        <f ca="1">+IFERROR(J$5*GETPIVOTDATA("Unique Billed Hours",'County allocation'!$S$3,"County",$D685,"HHA/CDPAP","CDPAP","Level of Service",$D692),0)</f>
        <v>0</v>
      </c>
      <c r="K692" s="658">
        <f ca="1">+IFERROR(K$5*GETPIVOTDATA("Unique Billed Hours",'County allocation'!$X$3,"County",$D685,"HHA/CDPAP","CDPAP","Level of Service",$D692),0)</f>
        <v>0</v>
      </c>
      <c r="L692" s="658">
        <f>+IFERROR(L$5*GETPIVOTDATA("Unique Billed Hours",'County allocation'!$K$19,"County",$D685,"HHA/CDPAP","CDPAP","Level of Service",$D692),0)</f>
        <v>0</v>
      </c>
      <c r="M692" s="658">
        <f>+IFERROR(M$5*GETPIVOTDATA("Unique Billed Hours",'County allocation'!$S$3,"County",$D685,"HHA/CDPAP","CDPAP","Level of Service",$D692),0)</f>
        <v>0</v>
      </c>
      <c r="N692" s="658">
        <f>+IFERROR(N$5*GETPIVOTDATA("Unique Billed Hours",'County allocation'!$S$3,"County",$D685,"HHA/CDPAP","CDPAP","Level of Service",$D692),0)</f>
        <v>0</v>
      </c>
      <c r="O692" s="658">
        <f>+IFERROR(O$5*GETPIVOTDATA("Unique Billed Hours",'County allocation'!$S$3,"County",$D685,"HHA/CDPAP","CDPAP","Level of Service",$D692),0)</f>
        <v>0</v>
      </c>
      <c r="P692" s="658">
        <f>+IFERROR(P$5*GETPIVOTDATA("Unique Billed Hours",'County allocation'!$S$3,"County",$D685,"HHA/CDPAP","CDPAP","Level of Service",$D692),0)</f>
        <v>0</v>
      </c>
    </row>
    <row r="693" spans="1:16" x14ac:dyDescent="0.25">
      <c r="A693" s="302"/>
      <c r="B693" s="24"/>
      <c r="C693" s="9">
        <f t="shared" ca="1" si="422"/>
        <v>1</v>
      </c>
      <c r="D693" s="267" t="s">
        <v>46</v>
      </c>
      <c r="E693" s="48" t="s">
        <v>52</v>
      </c>
      <c r="F693" s="678">
        <f t="shared" ca="1" si="423"/>
        <v>0</v>
      </c>
      <c r="G693" s="658">
        <f ca="1">+IFERROR(G$5*GETPIVOTDATA("Unique Billed Hours",'County allocation'!$A$3,"County",$D685,"HHA/CDPAP","CDPAP","Level of Service",$D693),0)</f>
        <v>0</v>
      </c>
      <c r="H693" s="658">
        <f>+IFERROR(H$5*GETPIVOTDATA("Unique Billed Hours",'County allocation'!$A$3,"County",$D685,"HHA/CDPAP","CDPAP","Level of Service",$D693),0)</f>
        <v>0</v>
      </c>
      <c r="I693" s="678">
        <f t="shared" ca="1" si="424"/>
        <v>0</v>
      </c>
      <c r="J693" s="658">
        <f ca="1">+IFERROR(J$5*GETPIVOTDATA("Unique Billed Hours",'County allocation'!$S$3,"County",$D685,"HHA/CDPAP","CDPAP","Level of Service",$D693),0)</f>
        <v>0</v>
      </c>
      <c r="K693" s="658">
        <f ca="1">+IFERROR(K$5*GETPIVOTDATA("Unique Billed Hours",'County allocation'!$X$3,"County",$D685,"HHA/CDPAP","CDPAP","Level of Service",$D693),0)</f>
        <v>0</v>
      </c>
      <c r="L693" s="658">
        <f>+IFERROR(L$5*GETPIVOTDATA("Unique Billed Hours",'County allocation'!$K$19,"County",$D685,"HHA/CDPAP","CDPAP","Level of Service",$D693),0)</f>
        <v>0</v>
      </c>
      <c r="M693" s="658">
        <f>+IFERROR(M$5*GETPIVOTDATA("Unique Billed Hours",'County allocation'!$S$3,"County",$D685,"HHA/CDPAP","CDPAP","Level of Service",$D693),0)</f>
        <v>0</v>
      </c>
      <c r="N693" s="658">
        <f>+IFERROR(N$5*GETPIVOTDATA("Unique Billed Hours",'County allocation'!$S$3,"County",$D685,"HHA/CDPAP","CDPAP","Level of Service",$D693),0)</f>
        <v>0</v>
      </c>
      <c r="O693" s="658">
        <f>+IFERROR(O$5*GETPIVOTDATA("Unique Billed Hours",'County allocation'!$S$3,"County",$D685,"HHA/CDPAP","CDPAP","Level of Service",$D693),0)</f>
        <v>0</v>
      </c>
      <c r="P693" s="658">
        <f>+IFERROR(P$5*GETPIVOTDATA("Unique Billed Hours",'County allocation'!$S$3,"County",$D685,"HHA/CDPAP","CDPAP","Level of Service",$D693),0)</f>
        <v>0</v>
      </c>
    </row>
    <row r="694" spans="1:16" ht="15.75" thickBot="1" x14ac:dyDescent="0.3">
      <c r="A694" s="302"/>
      <c r="B694" s="24"/>
      <c r="C694" s="9">
        <f t="shared" ca="1" si="422"/>
        <v>1</v>
      </c>
      <c r="D694" s="52" t="s">
        <v>389</v>
      </c>
      <c r="E694" s="370" t="s">
        <v>51</v>
      </c>
      <c r="F694" s="679">
        <f ca="1">SUM(F688:F693)</f>
        <v>4066945.8010596889</v>
      </c>
      <c r="G694" s="679">
        <f t="shared" ref="G694:H694" ca="1" si="425">SUM(G688:G693)</f>
        <v>163499.97634386248</v>
      </c>
      <c r="H694" s="679">
        <f t="shared" si="425"/>
        <v>140770.4609805377</v>
      </c>
      <c r="I694" s="678">
        <f t="shared" ca="1" si="424"/>
        <v>3762675.3637352888</v>
      </c>
      <c r="J694" s="679">
        <f ca="1">SUM(J688:J693)</f>
        <v>744434.80383418291</v>
      </c>
      <c r="K694" s="679">
        <f t="shared" ref="K694:P694" ca="1" si="426">SUM(K688:K693)</f>
        <v>3003210.6974651259</v>
      </c>
      <c r="L694" s="679">
        <f t="shared" si="426"/>
        <v>0</v>
      </c>
      <c r="M694" s="679">
        <f t="shared" si="426"/>
        <v>13868.320523815697</v>
      </c>
      <c r="N694" s="679">
        <f t="shared" si="426"/>
        <v>1161.5419121646221</v>
      </c>
      <c r="O694" s="679">
        <f t="shared" si="426"/>
        <v>0</v>
      </c>
      <c r="P694" s="679">
        <f t="shared" si="426"/>
        <v>0</v>
      </c>
    </row>
    <row r="695" spans="1:16" x14ac:dyDescent="0.25">
      <c r="A695" s="302"/>
      <c r="B695" s="24"/>
      <c r="C695" s="9">
        <f t="shared" ca="1" si="422"/>
        <v>1</v>
      </c>
      <c r="D695" s="378" t="s">
        <v>390</v>
      </c>
      <c r="E695" s="370" t="s">
        <v>50</v>
      </c>
      <c r="F695" s="678">
        <f t="shared" ref="F695" ca="1" si="427">SUM(G695:I695)</f>
        <v>0</v>
      </c>
      <c r="G695" s="658">
        <f ca="1">+IFERROR(G$5*GETPIVOTDATA("Unique Billed Hours",'County allocation'!$A$3,"County",$D685,"HHA/CDPAP","CDPAP","Level of Service",$D695),0)</f>
        <v>0</v>
      </c>
      <c r="H695" s="659"/>
      <c r="I695" s="678">
        <f t="shared" si="424"/>
        <v>0</v>
      </c>
      <c r="J695" s="659"/>
      <c r="K695" s="659"/>
      <c r="L695" s="659"/>
      <c r="M695" s="659"/>
      <c r="N695" s="659"/>
      <c r="O695" s="659"/>
      <c r="P695" s="659"/>
    </row>
    <row r="696" spans="1:16" ht="15.75" thickBot="1" x14ac:dyDescent="0.3">
      <c r="B696" s="24"/>
      <c r="C696" s="9">
        <f t="shared" ca="1" si="422"/>
        <v>1</v>
      </c>
      <c r="D696" s="11" t="s">
        <v>48</v>
      </c>
      <c r="E696" s="53" t="s">
        <v>49</v>
      </c>
      <c r="F696" s="662">
        <f ca="1">SUBTOTAL(9,F688:F693)</f>
        <v>4066945.8010596889</v>
      </c>
      <c r="G696" s="662">
        <f t="shared" ref="G696:H696" ca="1" si="428">SUBTOTAL(9,G688:G693)</f>
        <v>163499.97634386248</v>
      </c>
      <c r="H696" s="662">
        <f t="shared" si="428"/>
        <v>140770.4609805377</v>
      </c>
      <c r="I696" s="678">
        <f t="shared" ca="1" si="424"/>
        <v>3762675.3637352888</v>
      </c>
      <c r="J696" s="662">
        <f t="shared" ref="J696:P696" ca="1" si="429">SUBTOTAL(9,J688:J693)</f>
        <v>744434.80383418291</v>
      </c>
      <c r="K696" s="662">
        <f t="shared" ca="1" si="429"/>
        <v>3003210.6974651259</v>
      </c>
      <c r="L696" s="662">
        <f t="shared" si="429"/>
        <v>0</v>
      </c>
      <c r="M696" s="662">
        <f t="shared" si="429"/>
        <v>13868.320523815697</v>
      </c>
      <c r="N696" s="662">
        <f t="shared" si="429"/>
        <v>1161.5419121646221</v>
      </c>
      <c r="O696" s="662">
        <f t="shared" si="429"/>
        <v>0</v>
      </c>
      <c r="P696" s="662">
        <f t="shared" si="429"/>
        <v>0</v>
      </c>
    </row>
    <row r="697" spans="1:16" ht="15.75" hidden="1" thickBot="1" x14ac:dyDescent="0.3"/>
    <row r="698" spans="1:16" ht="75" x14ac:dyDescent="0.25">
      <c r="A698" s="60"/>
      <c r="B698" s="24"/>
      <c r="C698" s="9">
        <f ca="1">IF(F709&gt;0,1,0)</f>
        <v>1</v>
      </c>
      <c r="D698" s="45" t="str">
        <f>A56</f>
        <v>Sullivan</v>
      </c>
      <c r="E698" s="28">
        <f>SUMIF(A:A,D698,B:B)</f>
        <v>2.5908175693671806E-3</v>
      </c>
      <c r="F698" s="652" t="s">
        <v>396</v>
      </c>
      <c r="G698" s="652" t="s">
        <v>387</v>
      </c>
      <c r="H698" s="652" t="s">
        <v>388</v>
      </c>
      <c r="I698" s="652" t="s">
        <v>392</v>
      </c>
      <c r="J698" s="652" t="s">
        <v>31</v>
      </c>
      <c r="K698" s="652" t="s">
        <v>32</v>
      </c>
      <c r="L698" s="653" t="s">
        <v>33</v>
      </c>
      <c r="M698" s="653" t="s">
        <v>60</v>
      </c>
      <c r="N698" s="653" t="s">
        <v>59</v>
      </c>
      <c r="O698" s="653" t="s">
        <v>58</v>
      </c>
      <c r="P698" s="653" t="s">
        <v>16</v>
      </c>
    </row>
    <row r="699" spans="1:16" x14ac:dyDescent="0.25">
      <c r="A699" s="60"/>
      <c r="B699" s="24"/>
      <c r="C699" s="9">
        <f ca="1">C698</f>
        <v>1</v>
      </c>
      <c r="D699" s="47"/>
      <c r="E699" s="48"/>
      <c r="F699" s="669" t="s">
        <v>57</v>
      </c>
      <c r="G699" s="669" t="s">
        <v>56</v>
      </c>
      <c r="H699" s="669" t="s">
        <v>55</v>
      </c>
      <c r="I699" s="669" t="s">
        <v>54</v>
      </c>
      <c r="J699" s="669" t="s">
        <v>53</v>
      </c>
      <c r="K699" s="669" t="s">
        <v>52</v>
      </c>
      <c r="L699" s="669" t="s">
        <v>51</v>
      </c>
      <c r="M699" s="669" t="s">
        <v>50</v>
      </c>
      <c r="N699" s="669" t="s">
        <v>49</v>
      </c>
      <c r="O699" s="669" t="s">
        <v>47</v>
      </c>
      <c r="P699" s="670" t="s">
        <v>77</v>
      </c>
    </row>
    <row r="700" spans="1:16" x14ac:dyDescent="0.25">
      <c r="B700" s="24"/>
      <c r="C700" s="9">
        <f t="shared" ref="C700:C709" ca="1" si="430">C699</f>
        <v>1</v>
      </c>
      <c r="D700" s="51" t="s">
        <v>26</v>
      </c>
      <c r="E700" s="48"/>
      <c r="F700" s="674"/>
      <c r="G700" s="674"/>
      <c r="H700" s="674"/>
      <c r="I700" s="674"/>
      <c r="J700" s="674"/>
      <c r="K700" s="674"/>
      <c r="L700" s="675"/>
      <c r="M700" s="675"/>
      <c r="N700" s="676"/>
      <c r="O700" s="674"/>
      <c r="P700" s="677"/>
    </row>
    <row r="701" spans="1:16" x14ac:dyDescent="0.25">
      <c r="B701" s="24"/>
      <c r="C701" s="9">
        <f t="shared" ca="1" si="430"/>
        <v>1</v>
      </c>
      <c r="D701" s="267" t="s">
        <v>18</v>
      </c>
      <c r="E701" s="48" t="s">
        <v>57</v>
      </c>
      <c r="F701" s="678">
        <f ca="1">SUM(G701:I701)</f>
        <v>223337.43023053883</v>
      </c>
      <c r="G701" s="658">
        <f ca="1">+IFERROR(G$5*GETPIVOTDATA("Unique Billed Hours",'County allocation'!$A$3,"County",$D698,"HHA/CDPAP","CDPAP","Level of Service",$D701),0)</f>
        <v>8978.6454862215178</v>
      </c>
      <c r="H701" s="658">
        <f>+IFERROR(H$5*GETPIVOTDATA("Unique Billed Hours",'County allocation'!$A$3,"County",$D698,"HHA/CDPAP","CDPAP","Level of Service",$D701),0)</f>
        <v>7730.4479935704458</v>
      </c>
      <c r="I701" s="678">
        <f ca="1">SUM(J701:P701)</f>
        <v>206628.33675074688</v>
      </c>
      <c r="J701" s="658">
        <f ca="1">+IFERROR(J$5*GETPIVOTDATA("Unique Billed Hours",'County allocation'!$S$3,"County",$D698,"HHA/CDPAP","CDPAP","Level of Service",$D701),0)</f>
        <v>40880.838888775135</v>
      </c>
      <c r="K701" s="658">
        <f ca="1">+IFERROR(K$5*GETPIVOTDATA("Unique Billed Hours",'County allocation'!$X$3,"County",$D698,"HHA/CDPAP","CDPAP","Level of Service",$D701),0)</f>
        <v>164922.12889533941</v>
      </c>
      <c r="L701" s="658">
        <f>+IFERROR(L$5*GETPIVOTDATA("Unique Billed Hours",'County allocation'!$K$19,"County",$D698,"HHA/CDPAP","CDPAP","Level of Service",$D701),0)</f>
        <v>0</v>
      </c>
      <c r="M701" s="658">
        <f>+IFERROR(M$5*GETPIVOTDATA("Unique Billed Hours",'County allocation'!$S$3,"County",$D698,"HHA/CDPAP","CDPAP","Level of Service",$D701),0)</f>
        <v>761.5825779127415</v>
      </c>
      <c r="N701" s="658">
        <f>+IFERROR(N$5*GETPIVOTDATA("Unique Billed Hours",'County allocation'!$S$3,"County",$D698,"HHA/CDPAP","CDPAP","Level of Service",$D701),0)</f>
        <v>63.786388719593759</v>
      </c>
      <c r="O701" s="658">
        <f>+IFERROR(O$5*GETPIVOTDATA("Unique Billed Hours",'County allocation'!$S$3,"County",$D698,"HHA/CDPAP","CDPAP","Level of Service",$D701),0)</f>
        <v>0</v>
      </c>
      <c r="P701" s="658">
        <f>+IFERROR(P$5*GETPIVOTDATA("Unique Billed Hours",'County allocation'!$S$3,"County",$D698,"HHA/CDPAP","CDPAP","Level of Service",$D701),0)</f>
        <v>0</v>
      </c>
    </row>
    <row r="702" spans="1:16" x14ac:dyDescent="0.25">
      <c r="B702" s="24"/>
      <c r="C702" s="9">
        <f t="shared" ca="1" si="430"/>
        <v>1</v>
      </c>
      <c r="D702" s="267" t="s">
        <v>42</v>
      </c>
      <c r="E702" s="48" t="s">
        <v>56</v>
      </c>
      <c r="F702" s="678">
        <f t="shared" ref="F702:F706" ca="1" si="431">SUM(G702:I702)</f>
        <v>0</v>
      </c>
      <c r="G702" s="658">
        <f ca="1">+IFERROR(G$5*GETPIVOTDATA("Unique Billed Hours",'County allocation'!$A$3,"County",$D698,"HHA/CDPAP","CDPAP","Level of Service",$D702),0)</f>
        <v>0</v>
      </c>
      <c r="H702" s="658">
        <f>+IFERROR(H$5*GETPIVOTDATA("Unique Billed Hours",'County allocation'!$A$3,"County",$D698,"HHA/CDPAP","CDPAP","Level of Service",$D702),0)</f>
        <v>0</v>
      </c>
      <c r="I702" s="678">
        <f t="shared" ref="I702:I709" ca="1" si="432">SUM(J702:P702)</f>
        <v>0</v>
      </c>
      <c r="J702" s="658">
        <f ca="1">+IFERROR(J$5*GETPIVOTDATA("Unique Billed Hours",'County allocation'!$S$3,"County",$D698,"HHA/CDPAP","CDPAP","Level of Service",$D702),0)</f>
        <v>0</v>
      </c>
      <c r="K702" s="658">
        <f ca="1">+IFERROR(K$5*GETPIVOTDATA("Unique Billed Hours",'County allocation'!$X$3,"County",$D698,"HHA/CDPAP","CDPAP","Level of Service",$D702),0)</f>
        <v>0</v>
      </c>
      <c r="L702" s="658">
        <f>+IFERROR(L$5*GETPIVOTDATA("Unique Billed Hours",'County allocation'!$K$19,"County",$D698,"HHA/CDPAP","CDPAP","Level of Service",$D702),0)</f>
        <v>0</v>
      </c>
      <c r="M702" s="658">
        <f>+IFERROR(M$5*GETPIVOTDATA("Unique Billed Hours",'County allocation'!$S$3,"County",$D698,"HHA/CDPAP","CDPAP","Level of Service",$D702),0)</f>
        <v>0</v>
      </c>
      <c r="N702" s="658">
        <f>+IFERROR(N$5*GETPIVOTDATA("Unique Billed Hours",'County allocation'!$S$3,"County",$D698,"HHA/CDPAP","CDPAP","Level of Service",$D702),0)</f>
        <v>0</v>
      </c>
      <c r="O702" s="658">
        <f>+IFERROR(O$5*GETPIVOTDATA("Unique Billed Hours",'County allocation'!$S$3,"County",$D698,"HHA/CDPAP","CDPAP","Level of Service",$D702),0)</f>
        <v>0</v>
      </c>
      <c r="P702" s="658">
        <f>+IFERROR(P$5*GETPIVOTDATA("Unique Billed Hours",'County allocation'!$S$3,"County",$D698,"HHA/CDPAP","CDPAP","Level of Service",$D702),0)</f>
        <v>0</v>
      </c>
    </row>
    <row r="703" spans="1:16" x14ac:dyDescent="0.25">
      <c r="B703" s="24"/>
      <c r="C703" s="9">
        <f t="shared" ca="1" si="430"/>
        <v>1</v>
      </c>
      <c r="D703" s="267" t="s">
        <v>43</v>
      </c>
      <c r="E703" s="48" t="s">
        <v>55</v>
      </c>
      <c r="F703" s="678">
        <f t="shared" ca="1" si="431"/>
        <v>0</v>
      </c>
      <c r="G703" s="658">
        <f ca="1">+IFERROR(G$5*GETPIVOTDATA("Unique Billed Hours",'County allocation'!$A$3,"County",$D698,"HHA/CDPAP","CDPAP","Level of Service",$D703),0)</f>
        <v>0</v>
      </c>
      <c r="H703" s="658">
        <f>+IFERROR(H$5*GETPIVOTDATA("Unique Billed Hours",'County allocation'!$A$3,"County",$D698,"HHA/CDPAP","CDPAP","Level of Service",$D703),0)</f>
        <v>0</v>
      </c>
      <c r="I703" s="678">
        <f t="shared" ca="1" si="432"/>
        <v>0</v>
      </c>
      <c r="J703" s="658">
        <f ca="1">+IFERROR(J$5*GETPIVOTDATA("Unique Billed Hours",'County allocation'!$S$3,"County",$D698,"HHA/CDPAP","CDPAP","Level of Service",$D703),0)</f>
        <v>0</v>
      </c>
      <c r="K703" s="658">
        <f ca="1">+IFERROR(K$5*GETPIVOTDATA("Unique Billed Hours",'County allocation'!$X$3,"County",$D698,"HHA/CDPAP","CDPAP","Level of Service",$D703),0)</f>
        <v>0</v>
      </c>
      <c r="L703" s="658">
        <f>+IFERROR(L$5*GETPIVOTDATA("Unique Billed Hours",'County allocation'!$K$19,"County",$D698,"HHA/CDPAP","CDPAP","Level of Service",$D703),0)</f>
        <v>0</v>
      </c>
      <c r="M703" s="658">
        <f>+IFERROR(M$5*GETPIVOTDATA("Unique Billed Hours",'County allocation'!$S$3,"County",$D698,"HHA/CDPAP","CDPAP","Level of Service",$D703),0)</f>
        <v>0</v>
      </c>
      <c r="N703" s="658">
        <f>+IFERROR(N$5*GETPIVOTDATA("Unique Billed Hours",'County allocation'!$S$3,"County",$D698,"HHA/CDPAP","CDPAP","Level of Service",$D703),0)</f>
        <v>0</v>
      </c>
      <c r="O703" s="658">
        <f>+IFERROR(O$5*GETPIVOTDATA("Unique Billed Hours",'County allocation'!$S$3,"County",$D698,"HHA/CDPAP","CDPAP","Level of Service",$D703),0)</f>
        <v>0</v>
      </c>
      <c r="P703" s="658">
        <f>+IFERROR(P$5*GETPIVOTDATA("Unique Billed Hours",'County allocation'!$S$3,"County",$D698,"HHA/CDPAP","CDPAP","Level of Service",$D703),0)</f>
        <v>0</v>
      </c>
    </row>
    <row r="704" spans="1:16" x14ac:dyDescent="0.25">
      <c r="B704" s="24"/>
      <c r="C704" s="9">
        <f t="shared" ca="1" si="430"/>
        <v>1</v>
      </c>
      <c r="D704" s="267" t="s">
        <v>44</v>
      </c>
      <c r="E704" s="48" t="s">
        <v>54</v>
      </c>
      <c r="F704" s="678">
        <f t="shared" ca="1" si="431"/>
        <v>0</v>
      </c>
      <c r="G704" s="658">
        <f ca="1">+IFERROR(G$5*GETPIVOTDATA("Unique Billed Hours",'County allocation'!$A$3,"County",$D698,"HHA/CDPAP","CDPAP","Level of Service",$D704),0)</f>
        <v>0</v>
      </c>
      <c r="H704" s="658">
        <f>+IFERROR(H$5*GETPIVOTDATA("Unique Billed Hours",'County allocation'!$A$3,"County",$D698,"HHA/CDPAP","CDPAP","Level of Service",$D704),0)</f>
        <v>0</v>
      </c>
      <c r="I704" s="678">
        <f t="shared" ca="1" si="432"/>
        <v>0</v>
      </c>
      <c r="J704" s="658">
        <f ca="1">+IFERROR(J$5*GETPIVOTDATA("Unique Billed Hours",'County allocation'!$S$3,"County",$D698,"HHA/CDPAP","CDPAP","Level of Service",$D704),0)</f>
        <v>0</v>
      </c>
      <c r="K704" s="658">
        <f ca="1">+IFERROR(K$5*GETPIVOTDATA("Unique Billed Hours",'County allocation'!$X$3,"County",$D698,"HHA/CDPAP","CDPAP","Level of Service",$D704),0)</f>
        <v>0</v>
      </c>
      <c r="L704" s="658">
        <f>+IFERROR(L$5*GETPIVOTDATA("Unique Billed Hours",'County allocation'!$K$19,"County",$D698,"HHA/CDPAP","CDPAP","Level of Service",$D704),0)</f>
        <v>0</v>
      </c>
      <c r="M704" s="658">
        <f>+IFERROR(M$5*GETPIVOTDATA("Unique Billed Hours",'County allocation'!$S$3,"County",$D698,"HHA/CDPAP","CDPAP","Level of Service",$D704),0)</f>
        <v>0</v>
      </c>
      <c r="N704" s="658">
        <f>+IFERROR(N$5*GETPIVOTDATA("Unique Billed Hours",'County allocation'!$S$3,"County",$D698,"HHA/CDPAP","CDPAP","Level of Service",$D704),0)</f>
        <v>0</v>
      </c>
      <c r="O704" s="658">
        <f>+IFERROR(O$5*GETPIVOTDATA("Unique Billed Hours",'County allocation'!$S$3,"County",$D698,"HHA/CDPAP","CDPAP","Level of Service",$D704),0)</f>
        <v>0</v>
      </c>
      <c r="P704" s="658">
        <f>+IFERROR(P$5*GETPIVOTDATA("Unique Billed Hours",'County allocation'!$S$3,"County",$D698,"HHA/CDPAP","CDPAP","Level of Service",$D704),0)</f>
        <v>0</v>
      </c>
    </row>
    <row r="705" spans="1:16" x14ac:dyDescent="0.25">
      <c r="B705" s="24"/>
      <c r="C705" s="9">
        <f t="shared" ca="1" si="430"/>
        <v>1</v>
      </c>
      <c r="D705" s="267" t="s">
        <v>45</v>
      </c>
      <c r="E705" s="48" t="s">
        <v>53</v>
      </c>
      <c r="F705" s="678">
        <f t="shared" ca="1" si="431"/>
        <v>0</v>
      </c>
      <c r="G705" s="658">
        <f ca="1">+IFERROR(G$5*GETPIVOTDATA("Unique Billed Hours",'County allocation'!$A$3,"County",$D698,"HHA/CDPAP","CDPAP","Level of Service",$D705),0)</f>
        <v>0</v>
      </c>
      <c r="H705" s="658">
        <f>+IFERROR(H$5*GETPIVOTDATA("Unique Billed Hours",'County allocation'!$A$3,"County",$D698,"HHA/CDPAP","CDPAP","Level of Service",$D705),0)</f>
        <v>0</v>
      </c>
      <c r="I705" s="678">
        <f t="shared" ca="1" si="432"/>
        <v>0</v>
      </c>
      <c r="J705" s="658">
        <f ca="1">+IFERROR(J$5*GETPIVOTDATA("Unique Billed Hours",'County allocation'!$S$3,"County",$D698,"HHA/CDPAP","CDPAP","Level of Service",$D705),0)</f>
        <v>0</v>
      </c>
      <c r="K705" s="658">
        <f ca="1">+IFERROR(K$5*GETPIVOTDATA("Unique Billed Hours",'County allocation'!$X$3,"County",$D698,"HHA/CDPAP","CDPAP","Level of Service",$D705),0)</f>
        <v>0</v>
      </c>
      <c r="L705" s="658">
        <f>+IFERROR(L$5*GETPIVOTDATA("Unique Billed Hours",'County allocation'!$K$19,"County",$D698,"HHA/CDPAP","CDPAP","Level of Service",$D705),0)</f>
        <v>0</v>
      </c>
      <c r="M705" s="658">
        <f>+IFERROR(M$5*GETPIVOTDATA("Unique Billed Hours",'County allocation'!$S$3,"County",$D698,"HHA/CDPAP","CDPAP","Level of Service",$D705),0)</f>
        <v>0</v>
      </c>
      <c r="N705" s="658">
        <f>+IFERROR(N$5*GETPIVOTDATA("Unique Billed Hours",'County allocation'!$S$3,"County",$D698,"HHA/CDPAP","CDPAP","Level of Service",$D705),0)</f>
        <v>0</v>
      </c>
      <c r="O705" s="658">
        <f>+IFERROR(O$5*GETPIVOTDATA("Unique Billed Hours",'County allocation'!$S$3,"County",$D698,"HHA/CDPAP","CDPAP","Level of Service",$D705),0)</f>
        <v>0</v>
      </c>
      <c r="P705" s="658">
        <f>+IFERROR(P$5*GETPIVOTDATA("Unique Billed Hours",'County allocation'!$S$3,"County",$D698,"HHA/CDPAP","CDPAP","Level of Service",$D705),0)</f>
        <v>0</v>
      </c>
    </row>
    <row r="706" spans="1:16" x14ac:dyDescent="0.25">
      <c r="A706" s="302"/>
      <c r="B706" s="24"/>
      <c r="C706" s="9">
        <f t="shared" ca="1" si="430"/>
        <v>1</v>
      </c>
      <c r="D706" s="267" t="s">
        <v>46</v>
      </c>
      <c r="E706" s="48" t="s">
        <v>52</v>
      </c>
      <c r="F706" s="678">
        <f t="shared" ca="1" si="431"/>
        <v>0</v>
      </c>
      <c r="G706" s="658">
        <f ca="1">+IFERROR(G$5*GETPIVOTDATA("Unique Billed Hours",'County allocation'!$A$3,"County",$D698,"HHA/CDPAP","CDPAP","Level of Service",$D706),0)</f>
        <v>0</v>
      </c>
      <c r="H706" s="658">
        <f>+IFERROR(H$5*GETPIVOTDATA("Unique Billed Hours",'County allocation'!$A$3,"County",$D698,"HHA/CDPAP","CDPAP","Level of Service",$D706),0)</f>
        <v>0</v>
      </c>
      <c r="I706" s="678">
        <f t="shared" ca="1" si="432"/>
        <v>0</v>
      </c>
      <c r="J706" s="658">
        <f ca="1">+IFERROR(J$5*GETPIVOTDATA("Unique Billed Hours",'County allocation'!$S$3,"County",$D698,"HHA/CDPAP","CDPAP","Level of Service",$D706),0)</f>
        <v>0</v>
      </c>
      <c r="K706" s="658">
        <f ca="1">+IFERROR(K$5*GETPIVOTDATA("Unique Billed Hours",'County allocation'!$X$3,"County",$D698,"HHA/CDPAP","CDPAP","Level of Service",$D706),0)</f>
        <v>0</v>
      </c>
      <c r="L706" s="658">
        <f>+IFERROR(L$5*GETPIVOTDATA("Unique Billed Hours",'County allocation'!$K$19,"County",$D698,"HHA/CDPAP","CDPAP","Level of Service",$D706),0)</f>
        <v>0</v>
      </c>
      <c r="M706" s="658">
        <f>+IFERROR(M$5*GETPIVOTDATA("Unique Billed Hours",'County allocation'!$S$3,"County",$D698,"HHA/CDPAP","CDPAP","Level of Service",$D706),0)</f>
        <v>0</v>
      </c>
      <c r="N706" s="658">
        <f>+IFERROR(N$5*GETPIVOTDATA("Unique Billed Hours",'County allocation'!$S$3,"County",$D698,"HHA/CDPAP","CDPAP","Level of Service",$D706),0)</f>
        <v>0</v>
      </c>
      <c r="O706" s="658">
        <f>+IFERROR(O$5*GETPIVOTDATA("Unique Billed Hours",'County allocation'!$S$3,"County",$D698,"HHA/CDPAP","CDPAP","Level of Service",$D706),0)</f>
        <v>0</v>
      </c>
      <c r="P706" s="658">
        <f>+IFERROR(P$5*GETPIVOTDATA("Unique Billed Hours",'County allocation'!$S$3,"County",$D698,"HHA/CDPAP","CDPAP","Level of Service",$D706),0)</f>
        <v>0</v>
      </c>
    </row>
    <row r="707" spans="1:16" ht="15.75" thickBot="1" x14ac:dyDescent="0.3">
      <c r="A707" s="302"/>
      <c r="B707" s="24"/>
      <c r="C707" s="9">
        <f t="shared" ca="1" si="430"/>
        <v>1</v>
      </c>
      <c r="D707" s="52" t="s">
        <v>389</v>
      </c>
      <c r="E707" s="370" t="s">
        <v>51</v>
      </c>
      <c r="F707" s="679">
        <f ca="1">SUM(F701:F706)</f>
        <v>223337.43023053883</v>
      </c>
      <c r="G707" s="679">
        <f t="shared" ref="G707:H707" ca="1" si="433">SUM(G701:G706)</f>
        <v>8978.6454862215178</v>
      </c>
      <c r="H707" s="679">
        <f t="shared" si="433"/>
        <v>7730.4479935704458</v>
      </c>
      <c r="I707" s="678">
        <f t="shared" ca="1" si="432"/>
        <v>206628.33675074688</v>
      </c>
      <c r="J707" s="679">
        <f ca="1">SUM(J701:J706)</f>
        <v>40880.838888775135</v>
      </c>
      <c r="K707" s="679">
        <f t="shared" ref="K707:P707" ca="1" si="434">SUM(K701:K706)</f>
        <v>164922.12889533941</v>
      </c>
      <c r="L707" s="679">
        <f t="shared" si="434"/>
        <v>0</v>
      </c>
      <c r="M707" s="679">
        <f t="shared" si="434"/>
        <v>761.5825779127415</v>
      </c>
      <c r="N707" s="679">
        <f t="shared" si="434"/>
        <v>63.786388719593759</v>
      </c>
      <c r="O707" s="679">
        <f t="shared" si="434"/>
        <v>0</v>
      </c>
      <c r="P707" s="679">
        <f t="shared" si="434"/>
        <v>0</v>
      </c>
    </row>
    <row r="708" spans="1:16" x14ac:dyDescent="0.25">
      <c r="A708" s="302"/>
      <c r="B708" s="24"/>
      <c r="C708" s="9">
        <f t="shared" ca="1" si="430"/>
        <v>1</v>
      </c>
      <c r="D708" s="378" t="s">
        <v>390</v>
      </c>
      <c r="E708" s="370" t="s">
        <v>50</v>
      </c>
      <c r="F708" s="678">
        <f t="shared" ref="F708" ca="1" si="435">SUM(G708:I708)</f>
        <v>0</v>
      </c>
      <c r="G708" s="658">
        <f ca="1">+IFERROR(G$5*GETPIVOTDATA("Unique Billed Hours",'County allocation'!$A$3,"County",$D698,"HHA/CDPAP","CDPAP","Level of Service",$D708),0)</f>
        <v>0</v>
      </c>
      <c r="H708" s="659"/>
      <c r="I708" s="678">
        <f t="shared" si="432"/>
        <v>0</v>
      </c>
      <c r="J708" s="659"/>
      <c r="K708" s="659"/>
      <c r="L708" s="659"/>
      <c r="M708" s="659"/>
      <c r="N708" s="659"/>
      <c r="O708" s="659"/>
      <c r="P708" s="659"/>
    </row>
    <row r="709" spans="1:16" ht="15.75" thickBot="1" x14ac:dyDescent="0.3">
      <c r="B709" s="24"/>
      <c r="C709" s="9">
        <f t="shared" ca="1" si="430"/>
        <v>1</v>
      </c>
      <c r="D709" s="11" t="s">
        <v>48</v>
      </c>
      <c r="E709" s="53" t="s">
        <v>49</v>
      </c>
      <c r="F709" s="662">
        <f ca="1">SUBTOTAL(9,F701:F706)</f>
        <v>223337.43023053883</v>
      </c>
      <c r="G709" s="662">
        <f t="shared" ref="G709:H709" ca="1" si="436">SUBTOTAL(9,G701:G706)</f>
        <v>8978.6454862215178</v>
      </c>
      <c r="H709" s="662">
        <f t="shared" si="436"/>
        <v>7730.4479935704458</v>
      </c>
      <c r="I709" s="678">
        <f t="shared" ca="1" si="432"/>
        <v>206628.33675074688</v>
      </c>
      <c r="J709" s="662">
        <f t="shared" ref="J709:P709" ca="1" si="437">SUBTOTAL(9,J701:J706)</f>
        <v>40880.838888775135</v>
      </c>
      <c r="K709" s="662">
        <f t="shared" ca="1" si="437"/>
        <v>164922.12889533941</v>
      </c>
      <c r="L709" s="662">
        <f t="shared" si="437"/>
        <v>0</v>
      </c>
      <c r="M709" s="662">
        <f t="shared" si="437"/>
        <v>761.5825779127415</v>
      </c>
      <c r="N709" s="662">
        <f t="shared" si="437"/>
        <v>63.786388719593759</v>
      </c>
      <c r="O709" s="662">
        <f t="shared" si="437"/>
        <v>0</v>
      </c>
      <c r="P709" s="662">
        <f t="shared" si="437"/>
        <v>0</v>
      </c>
    </row>
    <row r="710" spans="1:16" ht="15.75" hidden="1" thickBot="1" x14ac:dyDescent="0.3"/>
    <row r="711" spans="1:16" ht="75" x14ac:dyDescent="0.25">
      <c r="A711" s="60"/>
      <c r="B711" s="24"/>
      <c r="C711" s="9">
        <f ca="1">IF(F722&gt;0,1,0)</f>
        <v>1</v>
      </c>
      <c r="D711" s="45" t="str">
        <f>A57</f>
        <v>Tioga</v>
      </c>
      <c r="E711" s="28">
        <f>SUMIF(A:A,D711,B:B)</f>
        <v>1.4345881213713213E-3</v>
      </c>
      <c r="F711" s="652" t="s">
        <v>396</v>
      </c>
      <c r="G711" s="652" t="s">
        <v>387</v>
      </c>
      <c r="H711" s="652" t="s">
        <v>388</v>
      </c>
      <c r="I711" s="652" t="s">
        <v>392</v>
      </c>
      <c r="J711" s="652" t="s">
        <v>31</v>
      </c>
      <c r="K711" s="652" t="s">
        <v>32</v>
      </c>
      <c r="L711" s="653" t="s">
        <v>33</v>
      </c>
      <c r="M711" s="653" t="s">
        <v>60</v>
      </c>
      <c r="N711" s="653" t="s">
        <v>59</v>
      </c>
      <c r="O711" s="653" t="s">
        <v>58</v>
      </c>
      <c r="P711" s="653" t="s">
        <v>16</v>
      </c>
    </row>
    <row r="712" spans="1:16" x14ac:dyDescent="0.25">
      <c r="A712" s="60"/>
      <c r="B712" s="24"/>
      <c r="C712" s="9">
        <f ca="1">C711</f>
        <v>1</v>
      </c>
      <c r="D712" s="47"/>
      <c r="E712" s="48"/>
      <c r="F712" s="669" t="s">
        <v>57</v>
      </c>
      <c r="G712" s="669" t="s">
        <v>56</v>
      </c>
      <c r="H712" s="669" t="s">
        <v>55</v>
      </c>
      <c r="I712" s="669" t="s">
        <v>54</v>
      </c>
      <c r="J712" s="669" t="s">
        <v>53</v>
      </c>
      <c r="K712" s="669" t="s">
        <v>52</v>
      </c>
      <c r="L712" s="669" t="s">
        <v>51</v>
      </c>
      <c r="M712" s="669" t="s">
        <v>50</v>
      </c>
      <c r="N712" s="669" t="s">
        <v>49</v>
      </c>
      <c r="O712" s="669" t="s">
        <v>47</v>
      </c>
      <c r="P712" s="670" t="s">
        <v>77</v>
      </c>
    </row>
    <row r="713" spans="1:16" x14ac:dyDescent="0.25">
      <c r="B713" s="24"/>
      <c r="C713" s="9">
        <f t="shared" ref="C713:C722" ca="1" si="438">C712</f>
        <v>1</v>
      </c>
      <c r="D713" s="51" t="s">
        <v>26</v>
      </c>
      <c r="E713" s="48"/>
      <c r="F713" s="674"/>
      <c r="G713" s="674"/>
      <c r="H713" s="674"/>
      <c r="I713" s="674"/>
      <c r="J713" s="674"/>
      <c r="K713" s="674"/>
      <c r="L713" s="675"/>
      <c r="M713" s="675"/>
      <c r="N713" s="676"/>
      <c r="O713" s="674"/>
      <c r="P713" s="677"/>
    </row>
    <row r="714" spans="1:16" x14ac:dyDescent="0.25">
      <c r="B714" s="24"/>
      <c r="C714" s="9">
        <f t="shared" ca="1" si="438"/>
        <v>1</v>
      </c>
      <c r="D714" s="267" t="s">
        <v>18</v>
      </c>
      <c r="E714" s="48" t="s">
        <v>57</v>
      </c>
      <c r="F714" s="678">
        <f ca="1">SUM(G714:I714)</f>
        <v>123666.45504283259</v>
      </c>
      <c r="G714" s="658">
        <f ca="1">+IFERROR(G$5*GETPIVOTDATA("Unique Billed Hours",'County allocation'!$A$3,"County",$D711,"HHA/CDPAP","CDPAP","Level of Service",$D714),0)</f>
        <v>4971.6577164033142</v>
      </c>
      <c r="H714" s="658">
        <f>+IFERROR(H$5*GETPIVOTDATA("Unique Billed Hours",'County allocation'!$A$3,"County",$D711,"HHA/CDPAP","CDPAP","Level of Service",$D714),0)</f>
        <v>4280.5055035826826</v>
      </c>
      <c r="I714" s="678">
        <f ca="1">SUM(J714:P714)</f>
        <v>114414.29182284659</v>
      </c>
      <c r="J714" s="658">
        <f ca="1">+IFERROR(J$5*GETPIVOTDATA("Unique Billed Hours",'County allocation'!$S$3,"County",$D711,"HHA/CDPAP","CDPAP","Level of Service",$D714),0)</f>
        <v>22636.547843025633</v>
      </c>
      <c r="K714" s="658">
        <f ca="1">+IFERROR(K$5*GETPIVOTDATA("Unique Billed Hours",'County allocation'!$X$3,"County",$D711,"HHA/CDPAP","CDPAP","Level of Service",$D714),0)</f>
        <v>91320.720479100884</v>
      </c>
      <c r="L714" s="658">
        <f>+IFERROR(L$5*GETPIVOTDATA("Unique Billed Hours",'County allocation'!$K$19,"County",$D711,"HHA/CDPAP","CDPAP","Level of Service",$D714),0)</f>
        <v>0</v>
      </c>
      <c r="M714" s="658">
        <f>+IFERROR(M$5*GETPIVOTDATA("Unique Billed Hours",'County allocation'!$S$3,"County",$D711,"HHA/CDPAP","CDPAP","Level of Service",$D714),0)</f>
        <v>421.70368637102848</v>
      </c>
      <c r="N714" s="658">
        <f>+IFERROR(N$5*GETPIVOTDATA("Unique Billed Hours",'County allocation'!$S$3,"County",$D711,"HHA/CDPAP","CDPAP","Level of Service",$D714),0)</f>
        <v>35.319814349048869</v>
      </c>
      <c r="O714" s="658">
        <f>+IFERROR(O$5*GETPIVOTDATA("Unique Billed Hours",'County allocation'!$S$3,"County",$D711,"HHA/CDPAP","CDPAP","Level of Service",$D714),0)</f>
        <v>0</v>
      </c>
      <c r="P714" s="658">
        <f>+IFERROR(P$5*GETPIVOTDATA("Unique Billed Hours",'County allocation'!$S$3,"County",$D711,"HHA/CDPAP","CDPAP","Level of Service",$D714),0)</f>
        <v>0</v>
      </c>
    </row>
    <row r="715" spans="1:16" x14ac:dyDescent="0.25">
      <c r="B715" s="24"/>
      <c r="C715" s="9">
        <f t="shared" ca="1" si="438"/>
        <v>1</v>
      </c>
      <c r="D715" s="267" t="s">
        <v>42</v>
      </c>
      <c r="E715" s="48" t="s">
        <v>56</v>
      </c>
      <c r="F715" s="678">
        <f t="shared" ref="F715:F719" ca="1" si="439">SUM(G715:I715)</f>
        <v>0</v>
      </c>
      <c r="G715" s="658">
        <f ca="1">+IFERROR(G$5*GETPIVOTDATA("Unique Billed Hours",'County allocation'!$A$3,"County",$D711,"HHA/CDPAP","CDPAP","Level of Service",$D715),0)</f>
        <v>0</v>
      </c>
      <c r="H715" s="658">
        <f>+IFERROR(H$5*GETPIVOTDATA("Unique Billed Hours",'County allocation'!$A$3,"County",$D711,"HHA/CDPAP","CDPAP","Level of Service",$D715),0)</f>
        <v>0</v>
      </c>
      <c r="I715" s="678">
        <f t="shared" ref="I715:I722" ca="1" si="440">SUM(J715:P715)</f>
        <v>0</v>
      </c>
      <c r="J715" s="658">
        <f ca="1">+IFERROR(J$5*GETPIVOTDATA("Unique Billed Hours",'County allocation'!$S$3,"County",$D711,"HHA/CDPAP","CDPAP","Level of Service",$D715),0)</f>
        <v>0</v>
      </c>
      <c r="K715" s="658">
        <f ca="1">+IFERROR(K$5*GETPIVOTDATA("Unique Billed Hours",'County allocation'!$X$3,"County",$D711,"HHA/CDPAP","CDPAP","Level of Service",$D715),0)</f>
        <v>0</v>
      </c>
      <c r="L715" s="658">
        <f>+IFERROR(L$5*GETPIVOTDATA("Unique Billed Hours",'County allocation'!$K$19,"County",$D711,"HHA/CDPAP","CDPAP","Level of Service",$D715),0)</f>
        <v>0</v>
      </c>
      <c r="M715" s="658">
        <f>+IFERROR(M$5*GETPIVOTDATA("Unique Billed Hours",'County allocation'!$S$3,"County",$D711,"HHA/CDPAP","CDPAP","Level of Service",$D715),0)</f>
        <v>0</v>
      </c>
      <c r="N715" s="658">
        <f>+IFERROR(N$5*GETPIVOTDATA("Unique Billed Hours",'County allocation'!$S$3,"County",$D711,"HHA/CDPAP","CDPAP","Level of Service",$D715),0)</f>
        <v>0</v>
      </c>
      <c r="O715" s="658">
        <f>+IFERROR(O$5*GETPIVOTDATA("Unique Billed Hours",'County allocation'!$S$3,"County",$D711,"HHA/CDPAP","CDPAP","Level of Service",$D715),0)</f>
        <v>0</v>
      </c>
      <c r="P715" s="658">
        <f>+IFERROR(P$5*GETPIVOTDATA("Unique Billed Hours",'County allocation'!$S$3,"County",$D711,"HHA/CDPAP","CDPAP","Level of Service",$D715),0)</f>
        <v>0</v>
      </c>
    </row>
    <row r="716" spans="1:16" x14ac:dyDescent="0.25">
      <c r="B716" s="24"/>
      <c r="C716" s="9">
        <f t="shared" ca="1" si="438"/>
        <v>1</v>
      </c>
      <c r="D716" s="267" t="s">
        <v>43</v>
      </c>
      <c r="E716" s="48" t="s">
        <v>55</v>
      </c>
      <c r="F716" s="678">
        <f t="shared" ca="1" si="439"/>
        <v>0</v>
      </c>
      <c r="G716" s="658">
        <f ca="1">+IFERROR(G$5*GETPIVOTDATA("Unique Billed Hours",'County allocation'!$A$3,"County",$D711,"HHA/CDPAP","CDPAP","Level of Service",$D716),0)</f>
        <v>0</v>
      </c>
      <c r="H716" s="658">
        <f>+IFERROR(H$5*GETPIVOTDATA("Unique Billed Hours",'County allocation'!$A$3,"County",$D711,"HHA/CDPAP","CDPAP","Level of Service",$D716),0)</f>
        <v>0</v>
      </c>
      <c r="I716" s="678">
        <f t="shared" ca="1" si="440"/>
        <v>0</v>
      </c>
      <c r="J716" s="658">
        <f ca="1">+IFERROR(J$5*GETPIVOTDATA("Unique Billed Hours",'County allocation'!$S$3,"County",$D711,"HHA/CDPAP","CDPAP","Level of Service",$D716),0)</f>
        <v>0</v>
      </c>
      <c r="K716" s="658">
        <f ca="1">+IFERROR(K$5*GETPIVOTDATA("Unique Billed Hours",'County allocation'!$X$3,"County",$D711,"HHA/CDPAP","CDPAP","Level of Service",$D716),0)</f>
        <v>0</v>
      </c>
      <c r="L716" s="658">
        <f>+IFERROR(L$5*GETPIVOTDATA("Unique Billed Hours",'County allocation'!$K$19,"County",$D711,"HHA/CDPAP","CDPAP","Level of Service",$D716),0)</f>
        <v>0</v>
      </c>
      <c r="M716" s="658">
        <f>+IFERROR(M$5*GETPIVOTDATA("Unique Billed Hours",'County allocation'!$S$3,"County",$D711,"HHA/CDPAP","CDPAP","Level of Service",$D716),0)</f>
        <v>0</v>
      </c>
      <c r="N716" s="658">
        <f>+IFERROR(N$5*GETPIVOTDATA("Unique Billed Hours",'County allocation'!$S$3,"County",$D711,"HHA/CDPAP","CDPAP","Level of Service",$D716),0)</f>
        <v>0</v>
      </c>
      <c r="O716" s="658">
        <f>+IFERROR(O$5*GETPIVOTDATA("Unique Billed Hours",'County allocation'!$S$3,"County",$D711,"HHA/CDPAP","CDPAP","Level of Service",$D716),0)</f>
        <v>0</v>
      </c>
      <c r="P716" s="658">
        <f>+IFERROR(P$5*GETPIVOTDATA("Unique Billed Hours",'County allocation'!$S$3,"County",$D711,"HHA/CDPAP","CDPAP","Level of Service",$D716),0)</f>
        <v>0</v>
      </c>
    </row>
    <row r="717" spans="1:16" x14ac:dyDescent="0.25">
      <c r="B717" s="24"/>
      <c r="C717" s="9">
        <f t="shared" ca="1" si="438"/>
        <v>1</v>
      </c>
      <c r="D717" s="267" t="s">
        <v>44</v>
      </c>
      <c r="E717" s="48" t="s">
        <v>54</v>
      </c>
      <c r="F717" s="678">
        <f t="shared" ca="1" si="439"/>
        <v>0</v>
      </c>
      <c r="G717" s="658">
        <f ca="1">+IFERROR(G$5*GETPIVOTDATA("Unique Billed Hours",'County allocation'!$A$3,"County",$D711,"HHA/CDPAP","CDPAP","Level of Service",$D717),0)</f>
        <v>0</v>
      </c>
      <c r="H717" s="658">
        <f>+IFERROR(H$5*GETPIVOTDATA("Unique Billed Hours",'County allocation'!$A$3,"County",$D711,"HHA/CDPAP","CDPAP","Level of Service",$D717),0)</f>
        <v>0</v>
      </c>
      <c r="I717" s="678">
        <f t="shared" ca="1" si="440"/>
        <v>0</v>
      </c>
      <c r="J717" s="658">
        <f ca="1">+IFERROR(J$5*GETPIVOTDATA("Unique Billed Hours",'County allocation'!$S$3,"County",$D711,"HHA/CDPAP","CDPAP","Level of Service",$D717),0)</f>
        <v>0</v>
      </c>
      <c r="K717" s="658">
        <f ca="1">+IFERROR(K$5*GETPIVOTDATA("Unique Billed Hours",'County allocation'!$X$3,"County",$D711,"HHA/CDPAP","CDPAP","Level of Service",$D717),0)</f>
        <v>0</v>
      </c>
      <c r="L717" s="658">
        <f>+IFERROR(L$5*GETPIVOTDATA("Unique Billed Hours",'County allocation'!$K$19,"County",$D711,"HHA/CDPAP","CDPAP","Level of Service",$D717),0)</f>
        <v>0</v>
      </c>
      <c r="M717" s="658">
        <f>+IFERROR(M$5*GETPIVOTDATA("Unique Billed Hours",'County allocation'!$S$3,"County",$D711,"HHA/CDPAP","CDPAP","Level of Service",$D717),0)</f>
        <v>0</v>
      </c>
      <c r="N717" s="658">
        <f>+IFERROR(N$5*GETPIVOTDATA("Unique Billed Hours",'County allocation'!$S$3,"County",$D711,"HHA/CDPAP","CDPAP","Level of Service",$D717),0)</f>
        <v>0</v>
      </c>
      <c r="O717" s="658">
        <f>+IFERROR(O$5*GETPIVOTDATA("Unique Billed Hours",'County allocation'!$S$3,"County",$D711,"HHA/CDPAP","CDPAP","Level of Service",$D717),0)</f>
        <v>0</v>
      </c>
      <c r="P717" s="658">
        <f>+IFERROR(P$5*GETPIVOTDATA("Unique Billed Hours",'County allocation'!$S$3,"County",$D711,"HHA/CDPAP","CDPAP","Level of Service",$D717),0)</f>
        <v>0</v>
      </c>
    </row>
    <row r="718" spans="1:16" x14ac:dyDescent="0.25">
      <c r="B718" s="24"/>
      <c r="C718" s="9">
        <f t="shared" ca="1" si="438"/>
        <v>1</v>
      </c>
      <c r="D718" s="267" t="s">
        <v>45</v>
      </c>
      <c r="E718" s="48" t="s">
        <v>53</v>
      </c>
      <c r="F718" s="678">
        <f t="shared" ca="1" si="439"/>
        <v>0</v>
      </c>
      <c r="G718" s="658">
        <f ca="1">+IFERROR(G$5*GETPIVOTDATA("Unique Billed Hours",'County allocation'!$A$3,"County",$D711,"HHA/CDPAP","CDPAP","Level of Service",$D718),0)</f>
        <v>0</v>
      </c>
      <c r="H718" s="658">
        <f>+IFERROR(H$5*GETPIVOTDATA("Unique Billed Hours",'County allocation'!$A$3,"County",$D711,"HHA/CDPAP","CDPAP","Level of Service",$D718),0)</f>
        <v>0</v>
      </c>
      <c r="I718" s="678">
        <f t="shared" ca="1" si="440"/>
        <v>0</v>
      </c>
      <c r="J718" s="658">
        <f ca="1">+IFERROR(J$5*GETPIVOTDATA("Unique Billed Hours",'County allocation'!$S$3,"County",$D711,"HHA/CDPAP","CDPAP","Level of Service",$D718),0)</f>
        <v>0</v>
      </c>
      <c r="K718" s="658">
        <f ca="1">+IFERROR(K$5*GETPIVOTDATA("Unique Billed Hours",'County allocation'!$X$3,"County",$D711,"HHA/CDPAP","CDPAP","Level of Service",$D718),0)</f>
        <v>0</v>
      </c>
      <c r="L718" s="658">
        <f>+IFERROR(L$5*GETPIVOTDATA("Unique Billed Hours",'County allocation'!$K$19,"County",$D711,"HHA/CDPAP","CDPAP","Level of Service",$D718),0)</f>
        <v>0</v>
      </c>
      <c r="M718" s="658">
        <f>+IFERROR(M$5*GETPIVOTDATA("Unique Billed Hours",'County allocation'!$S$3,"County",$D711,"HHA/CDPAP","CDPAP","Level of Service",$D718),0)</f>
        <v>0</v>
      </c>
      <c r="N718" s="658">
        <f>+IFERROR(N$5*GETPIVOTDATA("Unique Billed Hours",'County allocation'!$S$3,"County",$D711,"HHA/CDPAP","CDPAP","Level of Service",$D718),0)</f>
        <v>0</v>
      </c>
      <c r="O718" s="658">
        <f>+IFERROR(O$5*GETPIVOTDATA("Unique Billed Hours",'County allocation'!$S$3,"County",$D711,"HHA/CDPAP","CDPAP","Level of Service",$D718),0)</f>
        <v>0</v>
      </c>
      <c r="P718" s="658">
        <f>+IFERROR(P$5*GETPIVOTDATA("Unique Billed Hours",'County allocation'!$S$3,"County",$D711,"HHA/CDPAP","CDPAP","Level of Service",$D718),0)</f>
        <v>0</v>
      </c>
    </row>
    <row r="719" spans="1:16" x14ac:dyDescent="0.25">
      <c r="A719" s="302"/>
      <c r="B719" s="24"/>
      <c r="C719" s="9">
        <f t="shared" ca="1" si="438"/>
        <v>1</v>
      </c>
      <c r="D719" s="267" t="s">
        <v>46</v>
      </c>
      <c r="E719" s="48" t="s">
        <v>52</v>
      </c>
      <c r="F719" s="678">
        <f t="shared" ca="1" si="439"/>
        <v>0</v>
      </c>
      <c r="G719" s="658">
        <f ca="1">+IFERROR(G$5*GETPIVOTDATA("Unique Billed Hours",'County allocation'!$A$3,"County",$D711,"HHA/CDPAP","CDPAP","Level of Service",$D719),0)</f>
        <v>0</v>
      </c>
      <c r="H719" s="658">
        <f>+IFERROR(H$5*GETPIVOTDATA("Unique Billed Hours",'County allocation'!$A$3,"County",$D711,"HHA/CDPAP","CDPAP","Level of Service",$D719),0)</f>
        <v>0</v>
      </c>
      <c r="I719" s="678">
        <f t="shared" ca="1" si="440"/>
        <v>0</v>
      </c>
      <c r="J719" s="658">
        <f ca="1">+IFERROR(J$5*GETPIVOTDATA("Unique Billed Hours",'County allocation'!$S$3,"County",$D711,"HHA/CDPAP","CDPAP","Level of Service",$D719),0)</f>
        <v>0</v>
      </c>
      <c r="K719" s="658">
        <f ca="1">+IFERROR(K$5*GETPIVOTDATA("Unique Billed Hours",'County allocation'!$X$3,"County",$D711,"HHA/CDPAP","CDPAP","Level of Service",$D719),0)</f>
        <v>0</v>
      </c>
      <c r="L719" s="658">
        <f>+IFERROR(L$5*GETPIVOTDATA("Unique Billed Hours",'County allocation'!$K$19,"County",$D711,"HHA/CDPAP","CDPAP","Level of Service",$D719),0)</f>
        <v>0</v>
      </c>
      <c r="M719" s="658">
        <f>+IFERROR(M$5*GETPIVOTDATA("Unique Billed Hours",'County allocation'!$S$3,"County",$D711,"HHA/CDPAP","CDPAP","Level of Service",$D719),0)</f>
        <v>0</v>
      </c>
      <c r="N719" s="658">
        <f>+IFERROR(N$5*GETPIVOTDATA("Unique Billed Hours",'County allocation'!$S$3,"County",$D711,"HHA/CDPAP","CDPAP","Level of Service",$D719),0)</f>
        <v>0</v>
      </c>
      <c r="O719" s="658">
        <f>+IFERROR(O$5*GETPIVOTDATA("Unique Billed Hours",'County allocation'!$S$3,"County",$D711,"HHA/CDPAP","CDPAP","Level of Service",$D719),0)</f>
        <v>0</v>
      </c>
      <c r="P719" s="658">
        <f>+IFERROR(P$5*GETPIVOTDATA("Unique Billed Hours",'County allocation'!$S$3,"County",$D711,"HHA/CDPAP","CDPAP","Level of Service",$D719),0)</f>
        <v>0</v>
      </c>
    </row>
    <row r="720" spans="1:16" ht="15.75" thickBot="1" x14ac:dyDescent="0.3">
      <c r="A720" s="302"/>
      <c r="B720" s="24"/>
      <c r="C720" s="9">
        <f t="shared" ca="1" si="438"/>
        <v>1</v>
      </c>
      <c r="D720" s="52" t="s">
        <v>389</v>
      </c>
      <c r="E720" s="370" t="s">
        <v>51</v>
      </c>
      <c r="F720" s="679">
        <f ca="1">SUM(F714:F719)</f>
        <v>123666.45504283259</v>
      </c>
      <c r="G720" s="679">
        <f t="shared" ref="G720:H720" ca="1" si="441">SUM(G714:G719)</f>
        <v>4971.6577164033142</v>
      </c>
      <c r="H720" s="679">
        <f t="shared" si="441"/>
        <v>4280.5055035826826</v>
      </c>
      <c r="I720" s="678">
        <f t="shared" ca="1" si="440"/>
        <v>114414.29182284659</v>
      </c>
      <c r="J720" s="679">
        <f ca="1">SUM(J714:J719)</f>
        <v>22636.547843025633</v>
      </c>
      <c r="K720" s="679">
        <f t="shared" ref="K720:P720" ca="1" si="442">SUM(K714:K719)</f>
        <v>91320.720479100884</v>
      </c>
      <c r="L720" s="679">
        <f t="shared" si="442"/>
        <v>0</v>
      </c>
      <c r="M720" s="679">
        <f t="shared" si="442"/>
        <v>421.70368637102848</v>
      </c>
      <c r="N720" s="679">
        <f t="shared" si="442"/>
        <v>35.319814349048869</v>
      </c>
      <c r="O720" s="679">
        <f t="shared" si="442"/>
        <v>0</v>
      </c>
      <c r="P720" s="679">
        <f t="shared" si="442"/>
        <v>0</v>
      </c>
    </row>
    <row r="721" spans="1:16" x14ac:dyDescent="0.25">
      <c r="A721" s="302"/>
      <c r="B721" s="24"/>
      <c r="C721" s="9">
        <f t="shared" ca="1" si="438"/>
        <v>1</v>
      </c>
      <c r="D721" s="378" t="s">
        <v>390</v>
      </c>
      <c r="E721" s="370" t="s">
        <v>50</v>
      </c>
      <c r="F721" s="678">
        <f t="shared" ref="F721" ca="1" si="443">SUM(G721:I721)</f>
        <v>0</v>
      </c>
      <c r="G721" s="658">
        <f ca="1">+IFERROR(G$5*GETPIVOTDATA("Unique Billed Hours",'County allocation'!$A$3,"County",$D711,"HHA/CDPAP","CDPAP","Level of Service",$D721),0)</f>
        <v>0</v>
      </c>
      <c r="H721" s="659"/>
      <c r="I721" s="678">
        <f t="shared" si="440"/>
        <v>0</v>
      </c>
      <c r="J721" s="659"/>
      <c r="K721" s="659"/>
      <c r="L721" s="659"/>
      <c r="M721" s="659"/>
      <c r="N721" s="659"/>
      <c r="O721" s="659"/>
      <c r="P721" s="659"/>
    </row>
    <row r="722" spans="1:16" ht="15.75" thickBot="1" x14ac:dyDescent="0.3">
      <c r="B722" s="24"/>
      <c r="C722" s="9">
        <f t="shared" ca="1" si="438"/>
        <v>1</v>
      </c>
      <c r="D722" s="11" t="s">
        <v>48</v>
      </c>
      <c r="E722" s="53" t="s">
        <v>49</v>
      </c>
      <c r="F722" s="662">
        <f ca="1">SUBTOTAL(9,F714:F719)</f>
        <v>123666.45504283259</v>
      </c>
      <c r="G722" s="662">
        <f t="shared" ref="G722:H722" ca="1" si="444">SUBTOTAL(9,G714:G719)</f>
        <v>4971.6577164033142</v>
      </c>
      <c r="H722" s="662">
        <f t="shared" si="444"/>
        <v>4280.5055035826826</v>
      </c>
      <c r="I722" s="678">
        <f t="shared" ca="1" si="440"/>
        <v>114414.29182284659</v>
      </c>
      <c r="J722" s="662">
        <f t="shared" ref="J722:P722" ca="1" si="445">SUBTOTAL(9,J714:J719)</f>
        <v>22636.547843025633</v>
      </c>
      <c r="K722" s="662">
        <f t="shared" ca="1" si="445"/>
        <v>91320.720479100884</v>
      </c>
      <c r="L722" s="662">
        <f t="shared" si="445"/>
        <v>0</v>
      </c>
      <c r="M722" s="662">
        <f t="shared" si="445"/>
        <v>421.70368637102848</v>
      </c>
      <c r="N722" s="662">
        <f t="shared" si="445"/>
        <v>35.319814349048869</v>
      </c>
      <c r="O722" s="662">
        <f t="shared" si="445"/>
        <v>0</v>
      </c>
      <c r="P722" s="662">
        <f t="shared" si="445"/>
        <v>0</v>
      </c>
    </row>
    <row r="723" spans="1:16" ht="15.75" hidden="1" thickBot="1" x14ac:dyDescent="0.3"/>
    <row r="724" spans="1:16" ht="75" x14ac:dyDescent="0.25">
      <c r="A724" s="60"/>
      <c r="B724" s="24"/>
      <c r="C724" s="9">
        <f ca="1">IF(F735&gt;0,1,0)</f>
        <v>1</v>
      </c>
      <c r="D724" s="45" t="str">
        <f>A58</f>
        <v>Tompkins</v>
      </c>
      <c r="E724" s="28">
        <f>SUMIF(A:A,D724,B:B)</f>
        <v>1.0364555405231305E-3</v>
      </c>
      <c r="F724" s="652" t="s">
        <v>396</v>
      </c>
      <c r="G724" s="652" t="s">
        <v>387</v>
      </c>
      <c r="H724" s="652" t="s">
        <v>388</v>
      </c>
      <c r="I724" s="652" t="s">
        <v>392</v>
      </c>
      <c r="J724" s="652" t="s">
        <v>31</v>
      </c>
      <c r="K724" s="652" t="s">
        <v>32</v>
      </c>
      <c r="L724" s="653" t="s">
        <v>33</v>
      </c>
      <c r="M724" s="653" t="s">
        <v>60</v>
      </c>
      <c r="N724" s="653" t="s">
        <v>59</v>
      </c>
      <c r="O724" s="653" t="s">
        <v>58</v>
      </c>
      <c r="P724" s="653" t="s">
        <v>16</v>
      </c>
    </row>
    <row r="725" spans="1:16" x14ac:dyDescent="0.25">
      <c r="A725" s="60"/>
      <c r="B725" s="24"/>
      <c r="C725" s="9">
        <f ca="1">C724</f>
        <v>1</v>
      </c>
      <c r="D725" s="47"/>
      <c r="E725" s="48"/>
      <c r="F725" s="669" t="s">
        <v>57</v>
      </c>
      <c r="G725" s="669" t="s">
        <v>56</v>
      </c>
      <c r="H725" s="669" t="s">
        <v>55</v>
      </c>
      <c r="I725" s="669" t="s">
        <v>54</v>
      </c>
      <c r="J725" s="669" t="s">
        <v>53</v>
      </c>
      <c r="K725" s="669" t="s">
        <v>52</v>
      </c>
      <c r="L725" s="669" t="s">
        <v>51</v>
      </c>
      <c r="M725" s="669" t="s">
        <v>50</v>
      </c>
      <c r="N725" s="669" t="s">
        <v>49</v>
      </c>
      <c r="O725" s="669" t="s">
        <v>47</v>
      </c>
      <c r="P725" s="670" t="s">
        <v>77</v>
      </c>
    </row>
    <row r="726" spans="1:16" x14ac:dyDescent="0.25">
      <c r="B726" s="24"/>
      <c r="C726" s="9">
        <f t="shared" ref="C726:C735" ca="1" si="446">C725</f>
        <v>1</v>
      </c>
      <c r="D726" s="51" t="s">
        <v>26</v>
      </c>
      <c r="E726" s="48"/>
      <c r="F726" s="674"/>
      <c r="G726" s="674"/>
      <c r="H726" s="674"/>
      <c r="I726" s="674"/>
      <c r="J726" s="674"/>
      <c r="K726" s="674"/>
      <c r="L726" s="675"/>
      <c r="M726" s="675"/>
      <c r="N726" s="676"/>
      <c r="O726" s="674"/>
      <c r="P726" s="677"/>
    </row>
    <row r="727" spans="1:16" x14ac:dyDescent="0.25">
      <c r="B727" s="24"/>
      <c r="C727" s="9">
        <f t="shared" ca="1" si="446"/>
        <v>1</v>
      </c>
      <c r="D727" s="267" t="s">
        <v>18</v>
      </c>
      <c r="E727" s="48" t="s">
        <v>57</v>
      </c>
      <c r="F727" s="678">
        <f ca="1">SUM(G727:I727)</f>
        <v>89346.050337762674</v>
      </c>
      <c r="G727" s="658">
        <f ca="1">+IFERROR(G$5*GETPIVOTDATA("Unique Billed Hours",'County allocation'!$A$3,"County",$D724,"HHA/CDPAP","CDPAP","Level of Service",$D727),0)</f>
        <v>3591.9035638083601</v>
      </c>
      <c r="H727" s="658">
        <f>+IFERROR(H$5*GETPIVOTDATA("Unique Billed Hours",'County allocation'!$A$3,"County",$D724,"HHA/CDPAP","CDPAP","Level of Service",$D727),0)</f>
        <v>3092.5626521897643</v>
      </c>
      <c r="I727" s="678">
        <f ca="1">SUM(J727:P727)</f>
        <v>82661.58412176455</v>
      </c>
      <c r="J727" s="658">
        <f ca="1">+IFERROR(J$5*GETPIVOTDATA("Unique Billed Hours",'County allocation'!$S$3,"County",$D724,"HHA/CDPAP","CDPAP","Level of Service",$D727),0)</f>
        <v>16354.363374899376</v>
      </c>
      <c r="K727" s="658">
        <f ca="1">+IFERROR(K$5*GETPIVOTDATA("Unique Billed Hours",'County allocation'!$X$3,"County",$D724,"HHA/CDPAP","CDPAP","Level of Service",$D727),0)</f>
        <v>65977.032219291286</v>
      </c>
      <c r="L727" s="658">
        <f>+IFERROR(L$5*GETPIVOTDATA("Unique Billed Hours",'County allocation'!$K$19,"County",$D724,"HHA/CDPAP","CDPAP","Level of Service",$D727),0)</f>
        <v>0</v>
      </c>
      <c r="M727" s="658">
        <f>+IFERROR(M$5*GETPIVOTDATA("Unique Billed Hours",'County allocation'!$S$3,"County",$D724,"HHA/CDPAP","CDPAP","Level of Service",$D727),0)</f>
        <v>304.67080807868354</v>
      </c>
      <c r="N727" s="658">
        <f>+IFERROR(N$5*GETPIVOTDATA("Unique Billed Hours",'County allocation'!$S$3,"County",$D724,"HHA/CDPAP","CDPAP","Level of Service",$D727),0)</f>
        <v>25.517719495214468</v>
      </c>
      <c r="O727" s="658">
        <f>+IFERROR(O$5*GETPIVOTDATA("Unique Billed Hours",'County allocation'!$S$3,"County",$D724,"HHA/CDPAP","CDPAP","Level of Service",$D727),0)</f>
        <v>0</v>
      </c>
      <c r="P727" s="658">
        <f>+IFERROR(P$5*GETPIVOTDATA("Unique Billed Hours",'County allocation'!$S$3,"County",$D724,"HHA/CDPAP","CDPAP","Level of Service",$D727),0)</f>
        <v>0</v>
      </c>
    </row>
    <row r="728" spans="1:16" x14ac:dyDescent="0.25">
      <c r="B728" s="24"/>
      <c r="C728" s="9">
        <f t="shared" ca="1" si="446"/>
        <v>1</v>
      </c>
      <c r="D728" s="267" t="s">
        <v>42</v>
      </c>
      <c r="E728" s="48" t="s">
        <v>56</v>
      </c>
      <c r="F728" s="678">
        <f t="shared" ref="F728:F732" ca="1" si="447">SUM(G728:I728)</f>
        <v>0</v>
      </c>
      <c r="G728" s="658">
        <f ca="1">+IFERROR(G$5*GETPIVOTDATA("Unique Billed Hours",'County allocation'!$A$3,"County",$D724,"HHA/CDPAP","CDPAP","Level of Service",$D728),0)</f>
        <v>0</v>
      </c>
      <c r="H728" s="658">
        <f>+IFERROR(H$5*GETPIVOTDATA("Unique Billed Hours",'County allocation'!$A$3,"County",$D724,"HHA/CDPAP","CDPAP","Level of Service",$D728),0)</f>
        <v>0</v>
      </c>
      <c r="I728" s="678">
        <f t="shared" ref="I728:I735" ca="1" si="448">SUM(J728:P728)</f>
        <v>0</v>
      </c>
      <c r="J728" s="658">
        <f ca="1">+IFERROR(J$5*GETPIVOTDATA("Unique Billed Hours",'County allocation'!$S$3,"County",$D724,"HHA/CDPAP","CDPAP","Level of Service",$D728),0)</f>
        <v>0</v>
      </c>
      <c r="K728" s="658">
        <f ca="1">+IFERROR(K$5*GETPIVOTDATA("Unique Billed Hours",'County allocation'!$X$3,"County",$D724,"HHA/CDPAP","CDPAP","Level of Service",$D728),0)</f>
        <v>0</v>
      </c>
      <c r="L728" s="658">
        <f>+IFERROR(L$5*GETPIVOTDATA("Unique Billed Hours",'County allocation'!$K$19,"County",$D724,"HHA/CDPAP","CDPAP","Level of Service",$D728),0)</f>
        <v>0</v>
      </c>
      <c r="M728" s="658">
        <f>+IFERROR(M$5*GETPIVOTDATA("Unique Billed Hours",'County allocation'!$S$3,"County",$D724,"HHA/CDPAP","CDPAP","Level of Service",$D728),0)</f>
        <v>0</v>
      </c>
      <c r="N728" s="658">
        <f>+IFERROR(N$5*GETPIVOTDATA("Unique Billed Hours",'County allocation'!$S$3,"County",$D724,"HHA/CDPAP","CDPAP","Level of Service",$D728),0)</f>
        <v>0</v>
      </c>
      <c r="O728" s="658">
        <f>+IFERROR(O$5*GETPIVOTDATA("Unique Billed Hours",'County allocation'!$S$3,"County",$D724,"HHA/CDPAP","CDPAP","Level of Service",$D728),0)</f>
        <v>0</v>
      </c>
      <c r="P728" s="658">
        <f>+IFERROR(P$5*GETPIVOTDATA("Unique Billed Hours",'County allocation'!$S$3,"County",$D724,"HHA/CDPAP","CDPAP","Level of Service",$D728),0)</f>
        <v>0</v>
      </c>
    </row>
    <row r="729" spans="1:16" x14ac:dyDescent="0.25">
      <c r="B729" s="24"/>
      <c r="C729" s="9">
        <f t="shared" ca="1" si="446"/>
        <v>1</v>
      </c>
      <c r="D729" s="267" t="s">
        <v>43</v>
      </c>
      <c r="E729" s="48" t="s">
        <v>55</v>
      </c>
      <c r="F729" s="678">
        <f t="shared" ca="1" si="447"/>
        <v>0</v>
      </c>
      <c r="G729" s="658">
        <f ca="1">+IFERROR(G$5*GETPIVOTDATA("Unique Billed Hours",'County allocation'!$A$3,"County",$D724,"HHA/CDPAP","CDPAP","Level of Service",$D729),0)</f>
        <v>0</v>
      </c>
      <c r="H729" s="658">
        <f>+IFERROR(H$5*GETPIVOTDATA("Unique Billed Hours",'County allocation'!$A$3,"County",$D724,"HHA/CDPAP","CDPAP","Level of Service",$D729),0)</f>
        <v>0</v>
      </c>
      <c r="I729" s="678">
        <f t="shared" ca="1" si="448"/>
        <v>0</v>
      </c>
      <c r="J729" s="658">
        <f ca="1">+IFERROR(J$5*GETPIVOTDATA("Unique Billed Hours",'County allocation'!$S$3,"County",$D724,"HHA/CDPAP","CDPAP","Level of Service",$D729),0)</f>
        <v>0</v>
      </c>
      <c r="K729" s="658">
        <f ca="1">+IFERROR(K$5*GETPIVOTDATA("Unique Billed Hours",'County allocation'!$X$3,"County",$D724,"HHA/CDPAP","CDPAP","Level of Service",$D729),0)</f>
        <v>0</v>
      </c>
      <c r="L729" s="658">
        <f>+IFERROR(L$5*GETPIVOTDATA("Unique Billed Hours",'County allocation'!$K$19,"County",$D724,"HHA/CDPAP","CDPAP","Level of Service",$D729),0)</f>
        <v>0</v>
      </c>
      <c r="M729" s="658">
        <f>+IFERROR(M$5*GETPIVOTDATA("Unique Billed Hours",'County allocation'!$S$3,"County",$D724,"HHA/CDPAP","CDPAP","Level of Service",$D729),0)</f>
        <v>0</v>
      </c>
      <c r="N729" s="658">
        <f>+IFERROR(N$5*GETPIVOTDATA("Unique Billed Hours",'County allocation'!$S$3,"County",$D724,"HHA/CDPAP","CDPAP","Level of Service",$D729),0)</f>
        <v>0</v>
      </c>
      <c r="O729" s="658">
        <f>+IFERROR(O$5*GETPIVOTDATA("Unique Billed Hours",'County allocation'!$S$3,"County",$D724,"HHA/CDPAP","CDPAP","Level of Service",$D729),0)</f>
        <v>0</v>
      </c>
      <c r="P729" s="658">
        <f>+IFERROR(P$5*GETPIVOTDATA("Unique Billed Hours",'County allocation'!$S$3,"County",$D724,"HHA/CDPAP","CDPAP","Level of Service",$D729),0)</f>
        <v>0</v>
      </c>
    </row>
    <row r="730" spans="1:16" x14ac:dyDescent="0.25">
      <c r="B730" s="24"/>
      <c r="C730" s="9">
        <f t="shared" ca="1" si="446"/>
        <v>1</v>
      </c>
      <c r="D730" s="267" t="s">
        <v>44</v>
      </c>
      <c r="E730" s="48" t="s">
        <v>54</v>
      </c>
      <c r="F730" s="678">
        <f t="shared" ca="1" si="447"/>
        <v>0</v>
      </c>
      <c r="G730" s="658">
        <f ca="1">+IFERROR(G$5*GETPIVOTDATA("Unique Billed Hours",'County allocation'!$A$3,"County",$D724,"HHA/CDPAP","CDPAP","Level of Service",$D730),0)</f>
        <v>0</v>
      </c>
      <c r="H730" s="658">
        <f>+IFERROR(H$5*GETPIVOTDATA("Unique Billed Hours",'County allocation'!$A$3,"County",$D724,"HHA/CDPAP","CDPAP","Level of Service",$D730),0)</f>
        <v>0</v>
      </c>
      <c r="I730" s="678">
        <f t="shared" ca="1" si="448"/>
        <v>0</v>
      </c>
      <c r="J730" s="658">
        <f ca="1">+IFERROR(J$5*GETPIVOTDATA("Unique Billed Hours",'County allocation'!$S$3,"County",$D724,"HHA/CDPAP","CDPAP","Level of Service",$D730),0)</f>
        <v>0</v>
      </c>
      <c r="K730" s="658">
        <f ca="1">+IFERROR(K$5*GETPIVOTDATA("Unique Billed Hours",'County allocation'!$X$3,"County",$D724,"HHA/CDPAP","CDPAP","Level of Service",$D730),0)</f>
        <v>0</v>
      </c>
      <c r="L730" s="658">
        <f>+IFERROR(L$5*GETPIVOTDATA("Unique Billed Hours",'County allocation'!$K$19,"County",$D724,"HHA/CDPAP","CDPAP","Level of Service",$D730),0)</f>
        <v>0</v>
      </c>
      <c r="M730" s="658">
        <f>+IFERROR(M$5*GETPIVOTDATA("Unique Billed Hours",'County allocation'!$S$3,"County",$D724,"HHA/CDPAP","CDPAP","Level of Service",$D730),0)</f>
        <v>0</v>
      </c>
      <c r="N730" s="658">
        <f>+IFERROR(N$5*GETPIVOTDATA("Unique Billed Hours",'County allocation'!$S$3,"County",$D724,"HHA/CDPAP","CDPAP","Level of Service",$D730),0)</f>
        <v>0</v>
      </c>
      <c r="O730" s="658">
        <f>+IFERROR(O$5*GETPIVOTDATA("Unique Billed Hours",'County allocation'!$S$3,"County",$D724,"HHA/CDPAP","CDPAP","Level of Service",$D730),0)</f>
        <v>0</v>
      </c>
      <c r="P730" s="658">
        <f>+IFERROR(P$5*GETPIVOTDATA("Unique Billed Hours",'County allocation'!$S$3,"County",$D724,"HHA/CDPAP","CDPAP","Level of Service",$D730),0)</f>
        <v>0</v>
      </c>
    </row>
    <row r="731" spans="1:16" x14ac:dyDescent="0.25">
      <c r="B731" s="24"/>
      <c r="C731" s="9">
        <f t="shared" ca="1" si="446"/>
        <v>1</v>
      </c>
      <c r="D731" s="267" t="s">
        <v>45</v>
      </c>
      <c r="E731" s="48" t="s">
        <v>53</v>
      </c>
      <c r="F731" s="678">
        <f t="shared" ca="1" si="447"/>
        <v>0</v>
      </c>
      <c r="G731" s="658">
        <f ca="1">+IFERROR(G$5*GETPIVOTDATA("Unique Billed Hours",'County allocation'!$A$3,"County",$D724,"HHA/CDPAP","CDPAP","Level of Service",$D731),0)</f>
        <v>0</v>
      </c>
      <c r="H731" s="658">
        <f>+IFERROR(H$5*GETPIVOTDATA("Unique Billed Hours",'County allocation'!$A$3,"County",$D724,"HHA/CDPAP","CDPAP","Level of Service",$D731),0)</f>
        <v>0</v>
      </c>
      <c r="I731" s="678">
        <f t="shared" ca="1" si="448"/>
        <v>0</v>
      </c>
      <c r="J731" s="658">
        <f ca="1">+IFERROR(J$5*GETPIVOTDATA("Unique Billed Hours",'County allocation'!$S$3,"County",$D724,"HHA/CDPAP","CDPAP","Level of Service",$D731),0)</f>
        <v>0</v>
      </c>
      <c r="K731" s="658">
        <f ca="1">+IFERROR(K$5*GETPIVOTDATA("Unique Billed Hours",'County allocation'!$X$3,"County",$D724,"HHA/CDPAP","CDPAP","Level of Service",$D731),0)</f>
        <v>0</v>
      </c>
      <c r="L731" s="658">
        <f>+IFERROR(L$5*GETPIVOTDATA("Unique Billed Hours",'County allocation'!$K$19,"County",$D724,"HHA/CDPAP","CDPAP","Level of Service",$D731),0)</f>
        <v>0</v>
      </c>
      <c r="M731" s="658">
        <f>+IFERROR(M$5*GETPIVOTDATA("Unique Billed Hours",'County allocation'!$S$3,"County",$D724,"HHA/CDPAP","CDPAP","Level of Service",$D731),0)</f>
        <v>0</v>
      </c>
      <c r="N731" s="658">
        <f>+IFERROR(N$5*GETPIVOTDATA("Unique Billed Hours",'County allocation'!$S$3,"County",$D724,"HHA/CDPAP","CDPAP","Level of Service",$D731),0)</f>
        <v>0</v>
      </c>
      <c r="O731" s="658">
        <f>+IFERROR(O$5*GETPIVOTDATA("Unique Billed Hours",'County allocation'!$S$3,"County",$D724,"HHA/CDPAP","CDPAP","Level of Service",$D731),0)</f>
        <v>0</v>
      </c>
      <c r="P731" s="658">
        <f>+IFERROR(P$5*GETPIVOTDATA("Unique Billed Hours",'County allocation'!$S$3,"County",$D724,"HHA/CDPAP","CDPAP","Level of Service",$D731),0)</f>
        <v>0</v>
      </c>
    </row>
    <row r="732" spans="1:16" x14ac:dyDescent="0.25">
      <c r="A732" s="302"/>
      <c r="B732" s="24"/>
      <c r="C732" s="9">
        <f t="shared" ca="1" si="446"/>
        <v>1</v>
      </c>
      <c r="D732" s="267" t="s">
        <v>46</v>
      </c>
      <c r="E732" s="48" t="s">
        <v>52</v>
      </c>
      <c r="F732" s="678">
        <f t="shared" ca="1" si="447"/>
        <v>0</v>
      </c>
      <c r="G732" s="658">
        <f ca="1">+IFERROR(G$5*GETPIVOTDATA("Unique Billed Hours",'County allocation'!$A$3,"County",$D724,"HHA/CDPAP","CDPAP","Level of Service",$D732),0)</f>
        <v>0</v>
      </c>
      <c r="H732" s="658">
        <f>+IFERROR(H$5*GETPIVOTDATA("Unique Billed Hours",'County allocation'!$A$3,"County",$D724,"HHA/CDPAP","CDPAP","Level of Service",$D732),0)</f>
        <v>0</v>
      </c>
      <c r="I732" s="678">
        <f t="shared" ca="1" si="448"/>
        <v>0</v>
      </c>
      <c r="J732" s="658">
        <f ca="1">+IFERROR(J$5*GETPIVOTDATA("Unique Billed Hours",'County allocation'!$S$3,"County",$D724,"HHA/CDPAP","CDPAP","Level of Service",$D732),0)</f>
        <v>0</v>
      </c>
      <c r="K732" s="658">
        <f ca="1">+IFERROR(K$5*GETPIVOTDATA("Unique Billed Hours",'County allocation'!$X$3,"County",$D724,"HHA/CDPAP","CDPAP","Level of Service",$D732),0)</f>
        <v>0</v>
      </c>
      <c r="L732" s="658">
        <f>+IFERROR(L$5*GETPIVOTDATA("Unique Billed Hours",'County allocation'!$K$19,"County",$D724,"HHA/CDPAP","CDPAP","Level of Service",$D732),0)</f>
        <v>0</v>
      </c>
      <c r="M732" s="658">
        <f>+IFERROR(M$5*GETPIVOTDATA("Unique Billed Hours",'County allocation'!$S$3,"County",$D724,"HHA/CDPAP","CDPAP","Level of Service",$D732),0)</f>
        <v>0</v>
      </c>
      <c r="N732" s="658">
        <f>+IFERROR(N$5*GETPIVOTDATA("Unique Billed Hours",'County allocation'!$S$3,"County",$D724,"HHA/CDPAP","CDPAP","Level of Service",$D732),0)</f>
        <v>0</v>
      </c>
      <c r="O732" s="658">
        <f>+IFERROR(O$5*GETPIVOTDATA("Unique Billed Hours",'County allocation'!$S$3,"County",$D724,"HHA/CDPAP","CDPAP","Level of Service",$D732),0)</f>
        <v>0</v>
      </c>
      <c r="P732" s="658">
        <f>+IFERROR(P$5*GETPIVOTDATA("Unique Billed Hours",'County allocation'!$S$3,"County",$D724,"HHA/CDPAP","CDPAP","Level of Service",$D732),0)</f>
        <v>0</v>
      </c>
    </row>
    <row r="733" spans="1:16" ht="15.75" thickBot="1" x14ac:dyDescent="0.3">
      <c r="A733" s="302"/>
      <c r="B733" s="24"/>
      <c r="C733" s="9">
        <f t="shared" ca="1" si="446"/>
        <v>1</v>
      </c>
      <c r="D733" s="52" t="s">
        <v>389</v>
      </c>
      <c r="E733" s="370" t="s">
        <v>51</v>
      </c>
      <c r="F733" s="679">
        <f ca="1">SUM(F727:F732)</f>
        <v>89346.050337762674</v>
      </c>
      <c r="G733" s="679">
        <f t="shared" ref="G733:H733" ca="1" si="449">SUM(G727:G732)</f>
        <v>3591.9035638083601</v>
      </c>
      <c r="H733" s="679">
        <f t="shared" si="449"/>
        <v>3092.5626521897643</v>
      </c>
      <c r="I733" s="678">
        <f t="shared" ca="1" si="448"/>
        <v>82661.58412176455</v>
      </c>
      <c r="J733" s="679">
        <f ca="1">SUM(J727:J732)</f>
        <v>16354.363374899376</v>
      </c>
      <c r="K733" s="679">
        <f t="shared" ref="K733:P733" ca="1" si="450">SUM(K727:K732)</f>
        <v>65977.032219291286</v>
      </c>
      <c r="L733" s="679">
        <f t="shared" si="450"/>
        <v>0</v>
      </c>
      <c r="M733" s="679">
        <f t="shared" si="450"/>
        <v>304.67080807868354</v>
      </c>
      <c r="N733" s="679">
        <f t="shared" si="450"/>
        <v>25.517719495214468</v>
      </c>
      <c r="O733" s="679">
        <f t="shared" si="450"/>
        <v>0</v>
      </c>
      <c r="P733" s="679">
        <f t="shared" si="450"/>
        <v>0</v>
      </c>
    </row>
    <row r="734" spans="1:16" x14ac:dyDescent="0.25">
      <c r="A734" s="302"/>
      <c r="B734" s="24"/>
      <c r="C734" s="9">
        <f t="shared" ca="1" si="446"/>
        <v>1</v>
      </c>
      <c r="D734" s="378" t="s">
        <v>390</v>
      </c>
      <c r="E734" s="370" t="s">
        <v>50</v>
      </c>
      <c r="F734" s="678">
        <f t="shared" ref="F734" ca="1" si="451">SUM(G734:I734)</f>
        <v>0</v>
      </c>
      <c r="G734" s="658">
        <f ca="1">+IFERROR(G$5*GETPIVOTDATA("Unique Billed Hours",'County allocation'!$A$3,"County",$D724,"HHA/CDPAP","CDPAP","Level of Service",$D734),0)</f>
        <v>0</v>
      </c>
      <c r="H734" s="659"/>
      <c r="I734" s="678">
        <f t="shared" si="448"/>
        <v>0</v>
      </c>
      <c r="J734" s="659"/>
      <c r="K734" s="659"/>
      <c r="L734" s="659"/>
      <c r="M734" s="659"/>
      <c r="N734" s="659"/>
      <c r="O734" s="659"/>
      <c r="P734" s="659"/>
    </row>
    <row r="735" spans="1:16" ht="15.75" thickBot="1" x14ac:dyDescent="0.3">
      <c r="B735" s="24"/>
      <c r="C735" s="9">
        <f t="shared" ca="1" si="446"/>
        <v>1</v>
      </c>
      <c r="D735" s="11" t="s">
        <v>48</v>
      </c>
      <c r="E735" s="53" t="s">
        <v>49</v>
      </c>
      <c r="F735" s="662">
        <f ca="1">SUBTOTAL(9,F727:F732)</f>
        <v>89346.050337762674</v>
      </c>
      <c r="G735" s="662">
        <f t="shared" ref="G735:H735" ca="1" si="452">SUBTOTAL(9,G727:G732)</f>
        <v>3591.9035638083601</v>
      </c>
      <c r="H735" s="662">
        <f t="shared" si="452"/>
        <v>3092.5626521897643</v>
      </c>
      <c r="I735" s="678">
        <f t="shared" ca="1" si="448"/>
        <v>82661.58412176455</v>
      </c>
      <c r="J735" s="662">
        <f t="shared" ref="J735:P735" ca="1" si="453">SUBTOTAL(9,J727:J732)</f>
        <v>16354.363374899376</v>
      </c>
      <c r="K735" s="662">
        <f t="shared" ca="1" si="453"/>
        <v>65977.032219291286</v>
      </c>
      <c r="L735" s="662">
        <f t="shared" si="453"/>
        <v>0</v>
      </c>
      <c r="M735" s="662">
        <f t="shared" si="453"/>
        <v>304.67080807868354</v>
      </c>
      <c r="N735" s="662">
        <f t="shared" si="453"/>
        <v>25.517719495214468</v>
      </c>
      <c r="O735" s="662">
        <f t="shared" si="453"/>
        <v>0</v>
      </c>
      <c r="P735" s="662">
        <f t="shared" si="453"/>
        <v>0</v>
      </c>
    </row>
    <row r="736" spans="1:16" ht="15.75" hidden="1" thickBot="1" x14ac:dyDescent="0.3">
      <c r="B736" s="24"/>
      <c r="D736" s="380"/>
      <c r="E736" s="325"/>
      <c r="F736" s="691"/>
      <c r="G736" s="691"/>
      <c r="H736" s="691"/>
      <c r="I736" s="692"/>
      <c r="J736" s="691"/>
      <c r="K736" s="691"/>
      <c r="L736" s="693"/>
      <c r="M736" s="693"/>
      <c r="N736" s="693"/>
      <c r="O736" s="693"/>
      <c r="P736" s="693"/>
    </row>
    <row r="737" spans="1:16" ht="75" x14ac:dyDescent="0.25">
      <c r="A737" s="60"/>
      <c r="B737" s="24"/>
      <c r="C737" s="9">
        <f ca="1">IF(F748&gt;0,1,0)</f>
        <v>1</v>
      </c>
      <c r="D737" s="45" t="str">
        <f>A59</f>
        <v>Ulster</v>
      </c>
      <c r="E737" s="28">
        <f>SUMIF(A:A,D737,B:B)</f>
        <v>8.5279793197240439E-3</v>
      </c>
      <c r="F737" s="652" t="s">
        <v>396</v>
      </c>
      <c r="G737" s="652" t="s">
        <v>387</v>
      </c>
      <c r="H737" s="652" t="s">
        <v>388</v>
      </c>
      <c r="I737" s="652" t="s">
        <v>392</v>
      </c>
      <c r="J737" s="652" t="s">
        <v>31</v>
      </c>
      <c r="K737" s="652" t="s">
        <v>32</v>
      </c>
      <c r="L737" s="653" t="s">
        <v>33</v>
      </c>
      <c r="M737" s="653" t="s">
        <v>60</v>
      </c>
      <c r="N737" s="653" t="s">
        <v>59</v>
      </c>
      <c r="O737" s="653" t="s">
        <v>58</v>
      </c>
      <c r="P737" s="653" t="s">
        <v>16</v>
      </c>
    </row>
    <row r="738" spans="1:16" x14ac:dyDescent="0.25">
      <c r="A738" s="60"/>
      <c r="B738" s="24"/>
      <c r="C738" s="9">
        <f ca="1">C737</f>
        <v>1</v>
      </c>
      <c r="D738" s="47"/>
      <c r="E738" s="48"/>
      <c r="F738" s="669" t="s">
        <v>57</v>
      </c>
      <c r="G738" s="669" t="s">
        <v>56</v>
      </c>
      <c r="H738" s="669" t="s">
        <v>55</v>
      </c>
      <c r="I738" s="669" t="s">
        <v>54</v>
      </c>
      <c r="J738" s="669" t="s">
        <v>53</v>
      </c>
      <c r="K738" s="669" t="s">
        <v>52</v>
      </c>
      <c r="L738" s="669" t="s">
        <v>51</v>
      </c>
      <c r="M738" s="669" t="s">
        <v>50</v>
      </c>
      <c r="N738" s="669" t="s">
        <v>49</v>
      </c>
      <c r="O738" s="669" t="s">
        <v>47</v>
      </c>
      <c r="P738" s="670" t="s">
        <v>77</v>
      </c>
    </row>
    <row r="739" spans="1:16" x14ac:dyDescent="0.25">
      <c r="B739" s="24"/>
      <c r="C739" s="9">
        <f t="shared" ref="C739:C748" ca="1" si="454">C738</f>
        <v>1</v>
      </c>
      <c r="D739" s="51" t="s">
        <v>26</v>
      </c>
      <c r="E739" s="48"/>
      <c r="F739" s="674"/>
      <c r="G739" s="674"/>
      <c r="H739" s="674"/>
      <c r="I739" s="674"/>
      <c r="J739" s="674"/>
      <c r="K739" s="674"/>
      <c r="L739" s="675"/>
      <c r="M739" s="675"/>
      <c r="N739" s="676"/>
      <c r="O739" s="674"/>
      <c r="P739" s="677"/>
    </row>
    <row r="740" spans="1:16" x14ac:dyDescent="0.25">
      <c r="B740" s="24"/>
      <c r="C740" s="9">
        <f t="shared" ca="1" si="454"/>
        <v>1</v>
      </c>
      <c r="D740" s="267" t="s">
        <v>18</v>
      </c>
      <c r="E740" s="48" t="s">
        <v>57</v>
      </c>
      <c r="F740" s="678">
        <f ca="1">SUM(G740:I740)</f>
        <v>735141.29626330989</v>
      </c>
      <c r="G740" s="658">
        <f ca="1">+IFERROR(G$5*GETPIVOTDATA("Unique Billed Hours",'County allocation'!$A$3,"County",$D737,"HHA/CDPAP","CDPAP","Level of Service",$D740),0)</f>
        <v>29554.262689492742</v>
      </c>
      <c r="H740" s="658">
        <f>+IFERROR(H$5*GETPIVOTDATA("Unique Billed Hours",'County allocation'!$A$3,"County",$D737,"HHA/CDPAP","CDPAP","Level of Service",$D740),0)</f>
        <v>25445.674524074464</v>
      </c>
      <c r="I740" s="678">
        <f ca="1">SUM(J740:P740)</f>
        <v>680141.35904974269</v>
      </c>
      <c r="J740" s="658">
        <f ca="1">+IFERROR(J$5*GETPIVOTDATA("Unique Billed Hours",'County allocation'!$S$3,"County",$D737,"HHA/CDPAP","CDPAP","Level of Service",$D740),0)</f>
        <v>134564.06685616216</v>
      </c>
      <c r="K740" s="658">
        <f ca="1">+IFERROR(K$5*GETPIVOTDATA("Unique Billed Hours",'County allocation'!$X$3,"County",$D737,"HHA/CDPAP","CDPAP","Level of Service",$D740),0)</f>
        <v>542860.49361933663</v>
      </c>
      <c r="L740" s="658">
        <f>+IFERROR(L$5*GETPIVOTDATA("Unique Billed Hours",'County allocation'!$K$19,"County",$D737,"HHA/CDPAP","CDPAP","Level of Service",$D740),0)</f>
        <v>0</v>
      </c>
      <c r="M740" s="658">
        <f>+IFERROR(M$5*GETPIVOTDATA("Unique Billed Hours",'County allocation'!$S$3,"County",$D737,"HHA/CDPAP","CDPAP","Level of Service",$D740),0)</f>
        <v>2506.8382087158539</v>
      </c>
      <c r="N740" s="658">
        <f>+IFERROR(N$5*GETPIVOTDATA("Unique Billed Hours",'County allocation'!$S$3,"County",$D737,"HHA/CDPAP","CDPAP","Level of Service",$D740),0)</f>
        <v>209.96036552795246</v>
      </c>
      <c r="O740" s="658">
        <f>+IFERROR(O$5*GETPIVOTDATA("Unique Billed Hours",'County allocation'!$S$3,"County",$D737,"HHA/CDPAP","CDPAP","Level of Service",$D740),0)</f>
        <v>0</v>
      </c>
      <c r="P740" s="658">
        <f>+IFERROR(P$5*GETPIVOTDATA("Unique Billed Hours",'County allocation'!$S$3,"County",$D737,"HHA/CDPAP","CDPAP","Level of Service",$D740),0)</f>
        <v>0</v>
      </c>
    </row>
    <row r="741" spans="1:16" x14ac:dyDescent="0.25">
      <c r="B741" s="24"/>
      <c r="C741" s="9">
        <f t="shared" ca="1" si="454"/>
        <v>1</v>
      </c>
      <c r="D741" s="267" t="s">
        <v>42</v>
      </c>
      <c r="E741" s="48" t="s">
        <v>56</v>
      </c>
      <c r="F741" s="678">
        <f t="shared" ref="F741:F745" ca="1" si="455">SUM(G741:I741)</f>
        <v>0</v>
      </c>
      <c r="G741" s="658">
        <f ca="1">+IFERROR(G$5*GETPIVOTDATA("Unique Billed Hours",'County allocation'!$A$3,"County",$D737,"HHA/CDPAP","CDPAP","Level of Service",$D741),0)</f>
        <v>0</v>
      </c>
      <c r="H741" s="658">
        <f>+IFERROR(H$5*GETPIVOTDATA("Unique Billed Hours",'County allocation'!$A$3,"County",$D737,"HHA/CDPAP","CDPAP","Level of Service",$D741),0)</f>
        <v>0</v>
      </c>
      <c r="I741" s="678">
        <f t="shared" ref="I741:I748" ca="1" si="456">SUM(J741:P741)</f>
        <v>0</v>
      </c>
      <c r="J741" s="658">
        <f ca="1">+IFERROR(J$5*GETPIVOTDATA("Unique Billed Hours",'County allocation'!$S$3,"County",$D737,"HHA/CDPAP","CDPAP","Level of Service",$D741),0)</f>
        <v>0</v>
      </c>
      <c r="K741" s="658">
        <f ca="1">+IFERROR(K$5*GETPIVOTDATA("Unique Billed Hours",'County allocation'!$X$3,"County",$D737,"HHA/CDPAP","CDPAP","Level of Service",$D741),0)</f>
        <v>0</v>
      </c>
      <c r="L741" s="658">
        <f>+IFERROR(L$5*GETPIVOTDATA("Unique Billed Hours",'County allocation'!$K$19,"County",$D737,"HHA/CDPAP","CDPAP","Level of Service",$D741),0)</f>
        <v>0</v>
      </c>
      <c r="M741" s="658">
        <f>+IFERROR(M$5*GETPIVOTDATA("Unique Billed Hours",'County allocation'!$S$3,"County",$D737,"HHA/CDPAP","CDPAP","Level of Service",$D741),0)</f>
        <v>0</v>
      </c>
      <c r="N741" s="658">
        <f>+IFERROR(N$5*GETPIVOTDATA("Unique Billed Hours",'County allocation'!$S$3,"County",$D737,"HHA/CDPAP","CDPAP","Level of Service",$D741),0)</f>
        <v>0</v>
      </c>
      <c r="O741" s="658">
        <f>+IFERROR(O$5*GETPIVOTDATA("Unique Billed Hours",'County allocation'!$S$3,"County",$D737,"HHA/CDPAP","CDPAP","Level of Service",$D741),0)</f>
        <v>0</v>
      </c>
      <c r="P741" s="658">
        <f>+IFERROR(P$5*GETPIVOTDATA("Unique Billed Hours",'County allocation'!$S$3,"County",$D737,"HHA/CDPAP","CDPAP","Level of Service",$D741),0)</f>
        <v>0</v>
      </c>
    </row>
    <row r="742" spans="1:16" x14ac:dyDescent="0.25">
      <c r="B742" s="24"/>
      <c r="C742" s="9">
        <f t="shared" ca="1" si="454"/>
        <v>1</v>
      </c>
      <c r="D742" s="267" t="s">
        <v>43</v>
      </c>
      <c r="E742" s="48" t="s">
        <v>55</v>
      </c>
      <c r="F742" s="678">
        <f t="shared" ca="1" si="455"/>
        <v>0</v>
      </c>
      <c r="G742" s="658">
        <f ca="1">+IFERROR(G$5*GETPIVOTDATA("Unique Billed Hours",'County allocation'!$A$3,"County",$D737,"HHA/CDPAP","CDPAP","Level of Service",$D742),0)</f>
        <v>0</v>
      </c>
      <c r="H742" s="658">
        <f>+IFERROR(H$5*GETPIVOTDATA("Unique Billed Hours",'County allocation'!$A$3,"County",$D737,"HHA/CDPAP","CDPAP","Level of Service",$D742),0)</f>
        <v>0</v>
      </c>
      <c r="I742" s="678">
        <f t="shared" ca="1" si="456"/>
        <v>0</v>
      </c>
      <c r="J742" s="658">
        <f ca="1">+IFERROR(J$5*GETPIVOTDATA("Unique Billed Hours",'County allocation'!$S$3,"County",$D737,"HHA/CDPAP","CDPAP","Level of Service",$D742),0)</f>
        <v>0</v>
      </c>
      <c r="K742" s="658">
        <f ca="1">+IFERROR(K$5*GETPIVOTDATA("Unique Billed Hours",'County allocation'!$X$3,"County",$D737,"HHA/CDPAP","CDPAP","Level of Service",$D742),0)</f>
        <v>0</v>
      </c>
      <c r="L742" s="658">
        <f>+IFERROR(L$5*GETPIVOTDATA("Unique Billed Hours",'County allocation'!$K$19,"County",$D737,"HHA/CDPAP","CDPAP","Level of Service",$D742),0)</f>
        <v>0</v>
      </c>
      <c r="M742" s="658">
        <f>+IFERROR(M$5*GETPIVOTDATA("Unique Billed Hours",'County allocation'!$S$3,"County",$D737,"HHA/CDPAP","CDPAP","Level of Service",$D742),0)</f>
        <v>0</v>
      </c>
      <c r="N742" s="658">
        <f>+IFERROR(N$5*GETPIVOTDATA("Unique Billed Hours",'County allocation'!$S$3,"County",$D737,"HHA/CDPAP","CDPAP","Level of Service",$D742),0)</f>
        <v>0</v>
      </c>
      <c r="O742" s="658">
        <f>+IFERROR(O$5*GETPIVOTDATA("Unique Billed Hours",'County allocation'!$S$3,"County",$D737,"HHA/CDPAP","CDPAP","Level of Service",$D742),0)</f>
        <v>0</v>
      </c>
      <c r="P742" s="658">
        <f>+IFERROR(P$5*GETPIVOTDATA("Unique Billed Hours",'County allocation'!$S$3,"County",$D737,"HHA/CDPAP","CDPAP","Level of Service",$D742),0)</f>
        <v>0</v>
      </c>
    </row>
    <row r="743" spans="1:16" x14ac:dyDescent="0.25">
      <c r="B743" s="24"/>
      <c r="C743" s="9">
        <f t="shared" ca="1" si="454"/>
        <v>1</v>
      </c>
      <c r="D743" s="267" t="s">
        <v>44</v>
      </c>
      <c r="E743" s="48" t="s">
        <v>54</v>
      </c>
      <c r="F743" s="678">
        <f t="shared" ca="1" si="455"/>
        <v>0</v>
      </c>
      <c r="G743" s="658">
        <f ca="1">+IFERROR(G$5*GETPIVOTDATA("Unique Billed Hours",'County allocation'!$A$3,"County",$D737,"HHA/CDPAP","CDPAP","Level of Service",$D743),0)</f>
        <v>0</v>
      </c>
      <c r="H743" s="658">
        <f>+IFERROR(H$5*GETPIVOTDATA("Unique Billed Hours",'County allocation'!$A$3,"County",$D737,"HHA/CDPAP","CDPAP","Level of Service",$D743),0)</f>
        <v>0</v>
      </c>
      <c r="I743" s="678">
        <f t="shared" ca="1" si="456"/>
        <v>0</v>
      </c>
      <c r="J743" s="658">
        <f ca="1">+IFERROR(J$5*GETPIVOTDATA("Unique Billed Hours",'County allocation'!$S$3,"County",$D737,"HHA/CDPAP","CDPAP","Level of Service",$D743),0)</f>
        <v>0</v>
      </c>
      <c r="K743" s="658">
        <f ca="1">+IFERROR(K$5*GETPIVOTDATA("Unique Billed Hours",'County allocation'!$X$3,"County",$D737,"HHA/CDPAP","CDPAP","Level of Service",$D743),0)</f>
        <v>0</v>
      </c>
      <c r="L743" s="658">
        <f>+IFERROR(L$5*GETPIVOTDATA("Unique Billed Hours",'County allocation'!$K$19,"County",$D737,"HHA/CDPAP","CDPAP","Level of Service",$D743),0)</f>
        <v>0</v>
      </c>
      <c r="M743" s="658">
        <f>+IFERROR(M$5*GETPIVOTDATA("Unique Billed Hours",'County allocation'!$S$3,"County",$D737,"HHA/CDPAP","CDPAP","Level of Service",$D743),0)</f>
        <v>0</v>
      </c>
      <c r="N743" s="658">
        <f>+IFERROR(N$5*GETPIVOTDATA("Unique Billed Hours",'County allocation'!$S$3,"County",$D737,"HHA/CDPAP","CDPAP","Level of Service",$D743),0)</f>
        <v>0</v>
      </c>
      <c r="O743" s="658">
        <f>+IFERROR(O$5*GETPIVOTDATA("Unique Billed Hours",'County allocation'!$S$3,"County",$D737,"HHA/CDPAP","CDPAP","Level of Service",$D743),0)</f>
        <v>0</v>
      </c>
      <c r="P743" s="658">
        <f>+IFERROR(P$5*GETPIVOTDATA("Unique Billed Hours",'County allocation'!$S$3,"County",$D737,"HHA/CDPAP","CDPAP","Level of Service",$D743),0)</f>
        <v>0</v>
      </c>
    </row>
    <row r="744" spans="1:16" x14ac:dyDescent="0.25">
      <c r="B744" s="24"/>
      <c r="C744" s="9">
        <f t="shared" ca="1" si="454"/>
        <v>1</v>
      </c>
      <c r="D744" s="267" t="s">
        <v>45</v>
      </c>
      <c r="E744" s="48" t="s">
        <v>53</v>
      </c>
      <c r="F744" s="678">
        <f t="shared" ca="1" si="455"/>
        <v>0</v>
      </c>
      <c r="G744" s="658">
        <f ca="1">+IFERROR(G$5*GETPIVOTDATA("Unique Billed Hours",'County allocation'!$A$3,"County",$D737,"HHA/CDPAP","CDPAP","Level of Service",$D744),0)</f>
        <v>0</v>
      </c>
      <c r="H744" s="658">
        <f>+IFERROR(H$5*GETPIVOTDATA("Unique Billed Hours",'County allocation'!$A$3,"County",$D737,"HHA/CDPAP","CDPAP","Level of Service",$D744),0)</f>
        <v>0</v>
      </c>
      <c r="I744" s="678">
        <f t="shared" ca="1" si="456"/>
        <v>0</v>
      </c>
      <c r="J744" s="658">
        <f ca="1">+IFERROR(J$5*GETPIVOTDATA("Unique Billed Hours",'County allocation'!$S$3,"County",$D737,"HHA/CDPAP","CDPAP","Level of Service",$D744),0)</f>
        <v>0</v>
      </c>
      <c r="K744" s="658">
        <f ca="1">+IFERROR(K$5*GETPIVOTDATA("Unique Billed Hours",'County allocation'!$X$3,"County",$D737,"HHA/CDPAP","CDPAP","Level of Service",$D744),0)</f>
        <v>0</v>
      </c>
      <c r="L744" s="658">
        <f>+IFERROR(L$5*GETPIVOTDATA("Unique Billed Hours",'County allocation'!$K$19,"County",$D737,"HHA/CDPAP","CDPAP","Level of Service",$D744),0)</f>
        <v>0</v>
      </c>
      <c r="M744" s="658">
        <f>+IFERROR(M$5*GETPIVOTDATA("Unique Billed Hours",'County allocation'!$S$3,"County",$D737,"HHA/CDPAP","CDPAP","Level of Service",$D744),0)</f>
        <v>0</v>
      </c>
      <c r="N744" s="658">
        <f>+IFERROR(N$5*GETPIVOTDATA("Unique Billed Hours",'County allocation'!$S$3,"County",$D737,"HHA/CDPAP","CDPAP","Level of Service",$D744),0)</f>
        <v>0</v>
      </c>
      <c r="O744" s="658">
        <f>+IFERROR(O$5*GETPIVOTDATA("Unique Billed Hours",'County allocation'!$S$3,"County",$D737,"HHA/CDPAP","CDPAP","Level of Service",$D744),0)</f>
        <v>0</v>
      </c>
      <c r="P744" s="658">
        <f>+IFERROR(P$5*GETPIVOTDATA("Unique Billed Hours",'County allocation'!$S$3,"County",$D737,"HHA/CDPAP","CDPAP","Level of Service",$D744),0)</f>
        <v>0</v>
      </c>
    </row>
    <row r="745" spans="1:16" x14ac:dyDescent="0.25">
      <c r="A745" s="302"/>
      <c r="B745" s="24"/>
      <c r="C745" s="9">
        <f t="shared" ca="1" si="454"/>
        <v>1</v>
      </c>
      <c r="D745" s="267" t="s">
        <v>46</v>
      </c>
      <c r="E745" s="48" t="s">
        <v>52</v>
      </c>
      <c r="F745" s="678">
        <f t="shared" ca="1" si="455"/>
        <v>0</v>
      </c>
      <c r="G745" s="658">
        <f ca="1">+IFERROR(G$5*GETPIVOTDATA("Unique Billed Hours",'County allocation'!$A$3,"County",$D737,"HHA/CDPAP","CDPAP","Level of Service",$D745),0)</f>
        <v>0</v>
      </c>
      <c r="H745" s="658">
        <f>+IFERROR(H$5*GETPIVOTDATA("Unique Billed Hours",'County allocation'!$A$3,"County",$D737,"HHA/CDPAP","CDPAP","Level of Service",$D745),0)</f>
        <v>0</v>
      </c>
      <c r="I745" s="678">
        <f t="shared" ca="1" si="456"/>
        <v>0</v>
      </c>
      <c r="J745" s="658">
        <f ca="1">+IFERROR(J$5*GETPIVOTDATA("Unique Billed Hours",'County allocation'!$S$3,"County",$D737,"HHA/CDPAP","CDPAP","Level of Service",$D745),0)</f>
        <v>0</v>
      </c>
      <c r="K745" s="658">
        <f ca="1">+IFERROR(K$5*GETPIVOTDATA("Unique Billed Hours",'County allocation'!$X$3,"County",$D737,"HHA/CDPAP","CDPAP","Level of Service",$D745),0)</f>
        <v>0</v>
      </c>
      <c r="L745" s="658">
        <f>+IFERROR(L$5*GETPIVOTDATA("Unique Billed Hours",'County allocation'!$K$19,"County",$D737,"HHA/CDPAP","CDPAP","Level of Service",$D745),0)</f>
        <v>0</v>
      </c>
      <c r="M745" s="658">
        <f>+IFERROR(M$5*GETPIVOTDATA("Unique Billed Hours",'County allocation'!$S$3,"County",$D737,"HHA/CDPAP","CDPAP","Level of Service",$D745),0)</f>
        <v>0</v>
      </c>
      <c r="N745" s="658">
        <f>+IFERROR(N$5*GETPIVOTDATA("Unique Billed Hours",'County allocation'!$S$3,"County",$D737,"HHA/CDPAP","CDPAP","Level of Service",$D745),0)</f>
        <v>0</v>
      </c>
      <c r="O745" s="658">
        <f>+IFERROR(O$5*GETPIVOTDATA("Unique Billed Hours",'County allocation'!$S$3,"County",$D737,"HHA/CDPAP","CDPAP","Level of Service",$D745),0)</f>
        <v>0</v>
      </c>
      <c r="P745" s="658">
        <f>+IFERROR(P$5*GETPIVOTDATA("Unique Billed Hours",'County allocation'!$S$3,"County",$D737,"HHA/CDPAP","CDPAP","Level of Service",$D745),0)</f>
        <v>0</v>
      </c>
    </row>
    <row r="746" spans="1:16" ht="15.75" thickBot="1" x14ac:dyDescent="0.3">
      <c r="A746" s="302"/>
      <c r="B746" s="24"/>
      <c r="C746" s="9">
        <f t="shared" ca="1" si="454"/>
        <v>1</v>
      </c>
      <c r="D746" s="52" t="s">
        <v>389</v>
      </c>
      <c r="E746" s="370" t="s">
        <v>51</v>
      </c>
      <c r="F746" s="679">
        <f ca="1">SUM(F740:F745)</f>
        <v>735141.29626330989</v>
      </c>
      <c r="G746" s="679">
        <f t="shared" ref="G746:H746" ca="1" si="457">SUM(G740:G745)</f>
        <v>29554.262689492742</v>
      </c>
      <c r="H746" s="679">
        <f t="shared" si="457"/>
        <v>25445.674524074464</v>
      </c>
      <c r="I746" s="678">
        <f t="shared" ca="1" si="456"/>
        <v>680141.35904974269</v>
      </c>
      <c r="J746" s="679">
        <f ca="1">SUM(J740:J745)</f>
        <v>134564.06685616216</v>
      </c>
      <c r="K746" s="679">
        <f t="shared" ref="K746:P746" ca="1" si="458">SUM(K740:K745)</f>
        <v>542860.49361933663</v>
      </c>
      <c r="L746" s="679">
        <f t="shared" si="458"/>
        <v>0</v>
      </c>
      <c r="M746" s="679">
        <f t="shared" si="458"/>
        <v>2506.8382087158539</v>
      </c>
      <c r="N746" s="679">
        <f t="shared" si="458"/>
        <v>209.96036552795246</v>
      </c>
      <c r="O746" s="679">
        <f t="shared" si="458"/>
        <v>0</v>
      </c>
      <c r="P746" s="679">
        <f t="shared" si="458"/>
        <v>0</v>
      </c>
    </row>
    <row r="747" spans="1:16" x14ac:dyDescent="0.25">
      <c r="A747" s="302"/>
      <c r="B747" s="24"/>
      <c r="C747" s="9">
        <f t="shared" ca="1" si="454"/>
        <v>1</v>
      </c>
      <c r="D747" s="378" t="s">
        <v>390</v>
      </c>
      <c r="E747" s="370" t="s">
        <v>50</v>
      </c>
      <c r="F747" s="678">
        <f t="shared" ref="F747" ca="1" si="459">SUM(G747:I747)</f>
        <v>0</v>
      </c>
      <c r="G747" s="658">
        <f ca="1">+IFERROR(G$5*GETPIVOTDATA("Unique Billed Hours",'County allocation'!$A$3,"County",$D737,"HHA/CDPAP","CDPAP","Level of Service",$D747),0)</f>
        <v>0</v>
      </c>
      <c r="H747" s="659"/>
      <c r="I747" s="678">
        <f t="shared" si="456"/>
        <v>0</v>
      </c>
      <c r="J747" s="659"/>
      <c r="K747" s="659"/>
      <c r="L747" s="659"/>
      <c r="M747" s="659"/>
      <c r="N747" s="659"/>
      <c r="O747" s="659"/>
      <c r="P747" s="659"/>
    </row>
    <row r="748" spans="1:16" ht="15.75" thickBot="1" x14ac:dyDescent="0.3">
      <c r="B748" s="24"/>
      <c r="C748" s="9">
        <f t="shared" ca="1" si="454"/>
        <v>1</v>
      </c>
      <c r="D748" s="11" t="s">
        <v>48</v>
      </c>
      <c r="E748" s="53" t="s">
        <v>49</v>
      </c>
      <c r="F748" s="662">
        <f ca="1">SUBTOTAL(9,F740:F745)</f>
        <v>735141.29626330989</v>
      </c>
      <c r="G748" s="662">
        <f t="shared" ref="G748:H748" ca="1" si="460">SUBTOTAL(9,G740:G745)</f>
        <v>29554.262689492742</v>
      </c>
      <c r="H748" s="662">
        <f t="shared" si="460"/>
        <v>25445.674524074464</v>
      </c>
      <c r="I748" s="678">
        <f t="shared" ca="1" si="456"/>
        <v>680141.35904974269</v>
      </c>
      <c r="J748" s="662">
        <f t="shared" ref="J748:P748" ca="1" si="461">SUBTOTAL(9,J740:J745)</f>
        <v>134564.06685616216</v>
      </c>
      <c r="K748" s="662">
        <f t="shared" ca="1" si="461"/>
        <v>542860.49361933663</v>
      </c>
      <c r="L748" s="662">
        <f t="shared" si="461"/>
        <v>0</v>
      </c>
      <c r="M748" s="662">
        <f t="shared" si="461"/>
        <v>2506.8382087158539</v>
      </c>
      <c r="N748" s="662">
        <f t="shared" si="461"/>
        <v>209.96036552795246</v>
      </c>
      <c r="O748" s="662">
        <f t="shared" si="461"/>
        <v>0</v>
      </c>
      <c r="P748" s="662">
        <f t="shared" si="461"/>
        <v>0</v>
      </c>
    </row>
    <row r="749" spans="1:16" ht="15.75" hidden="1" thickBot="1" x14ac:dyDescent="0.3"/>
    <row r="750" spans="1:16" ht="75" x14ac:dyDescent="0.25">
      <c r="A750" s="60"/>
      <c r="B750" s="24"/>
      <c r="C750" s="9">
        <f ca="1">IF(F761&gt;0,1,0)</f>
        <v>1</v>
      </c>
      <c r="D750" s="45" t="str">
        <f>A60</f>
        <v>Warren</v>
      </c>
      <c r="E750" s="28">
        <f>SUMIF(A:A,D750,B:B)</f>
        <v>1.4283552517227942E-3</v>
      </c>
      <c r="F750" s="652" t="s">
        <v>396</v>
      </c>
      <c r="G750" s="652" t="s">
        <v>387</v>
      </c>
      <c r="H750" s="652" t="s">
        <v>388</v>
      </c>
      <c r="I750" s="652" t="s">
        <v>392</v>
      </c>
      <c r="J750" s="652" t="s">
        <v>31</v>
      </c>
      <c r="K750" s="652" t="s">
        <v>32</v>
      </c>
      <c r="L750" s="653" t="s">
        <v>33</v>
      </c>
      <c r="M750" s="653" t="s">
        <v>60</v>
      </c>
      <c r="N750" s="653" t="s">
        <v>59</v>
      </c>
      <c r="O750" s="653" t="s">
        <v>58</v>
      </c>
      <c r="P750" s="653" t="s">
        <v>16</v>
      </c>
    </row>
    <row r="751" spans="1:16" x14ac:dyDescent="0.25">
      <c r="A751" s="60"/>
      <c r="B751" s="24"/>
      <c r="C751" s="9">
        <f ca="1">C750</f>
        <v>1</v>
      </c>
      <c r="D751" s="47"/>
      <c r="E751" s="48"/>
      <c r="F751" s="669" t="s">
        <v>57</v>
      </c>
      <c r="G751" s="669" t="s">
        <v>56</v>
      </c>
      <c r="H751" s="669" t="s">
        <v>55</v>
      </c>
      <c r="I751" s="669" t="s">
        <v>54</v>
      </c>
      <c r="J751" s="669" t="s">
        <v>53</v>
      </c>
      <c r="K751" s="669" t="s">
        <v>52</v>
      </c>
      <c r="L751" s="669" t="s">
        <v>51</v>
      </c>
      <c r="M751" s="669" t="s">
        <v>50</v>
      </c>
      <c r="N751" s="669" t="s">
        <v>49</v>
      </c>
      <c r="O751" s="669" t="s">
        <v>47</v>
      </c>
      <c r="P751" s="670" t="s">
        <v>77</v>
      </c>
    </row>
    <row r="752" spans="1:16" x14ac:dyDescent="0.25">
      <c r="B752" s="24"/>
      <c r="C752" s="9">
        <f t="shared" ref="C752:C761" ca="1" si="462">C751</f>
        <v>1</v>
      </c>
      <c r="D752" s="51" t="s">
        <v>26</v>
      </c>
      <c r="E752" s="48"/>
      <c r="F752" s="674"/>
      <c r="G752" s="674"/>
      <c r="H752" s="674"/>
      <c r="I752" s="674"/>
      <c r="J752" s="674"/>
      <c r="K752" s="674"/>
      <c r="L752" s="675"/>
      <c r="M752" s="675"/>
      <c r="N752" s="676"/>
      <c r="O752" s="674"/>
      <c r="P752" s="677"/>
    </row>
    <row r="753" spans="1:16" x14ac:dyDescent="0.25">
      <c r="B753" s="24"/>
      <c r="C753" s="9">
        <f t="shared" ca="1" si="462"/>
        <v>1</v>
      </c>
      <c r="D753" s="267" t="s">
        <v>18</v>
      </c>
      <c r="E753" s="48" t="s">
        <v>57</v>
      </c>
      <c r="F753" s="678">
        <f ca="1">SUM(G753:I753)</f>
        <v>123129.16013379584</v>
      </c>
      <c r="G753" s="658">
        <f ca="1">+IFERROR(G$5*GETPIVOTDATA("Unique Billed Hours",'County allocation'!$A$3,"County",$D750,"HHA/CDPAP","CDPAP","Level of Service",$D753),0)</f>
        <v>4950.0573043952909</v>
      </c>
      <c r="H753" s="658">
        <f>+IFERROR(H$5*GETPIVOTDATA("Unique Billed Hours",'County allocation'!$A$3,"County",$D750,"HHA/CDPAP","CDPAP","Level of Service",$D753),0)</f>
        <v>4261.90794764577</v>
      </c>
      <c r="I753" s="678">
        <f ca="1">SUM(J753:P753)</f>
        <v>113917.19488175478</v>
      </c>
      <c r="J753" s="658">
        <f ca="1">+IFERROR(J$5*GETPIVOTDATA("Unique Billed Hours",'County allocation'!$S$3,"County",$D750,"HHA/CDPAP","CDPAP","Level of Service",$D753),0)</f>
        <v>22538.198602643413</v>
      </c>
      <c r="K753" s="658">
        <f ca="1">+IFERROR(K$5*GETPIVOTDATA("Unique Billed Hours",'County allocation'!$X$3,"County",$D750,"HHA/CDPAP","CDPAP","Level of Service",$D753),0)</f>
        <v>90923.958413058033</v>
      </c>
      <c r="L753" s="658">
        <f>+IFERROR(L$5*GETPIVOTDATA("Unique Billed Hours",'County allocation'!$K$19,"County",$D750,"HHA/CDPAP","CDPAP","Level of Service",$D753),0)</f>
        <v>0</v>
      </c>
      <c r="M753" s="658">
        <f>+IFERROR(M$5*GETPIVOTDATA("Unique Billed Hours",'County allocation'!$S$3,"County",$D750,"HHA/CDPAP","CDPAP","Level of Service",$D753),0)</f>
        <v>419.87150606206183</v>
      </c>
      <c r="N753" s="658">
        <f>+IFERROR(N$5*GETPIVOTDATA("Unique Billed Hours",'County allocation'!$S$3,"County",$D750,"HHA/CDPAP","CDPAP","Level of Service",$D753),0)</f>
        <v>35.166359991266113</v>
      </c>
      <c r="O753" s="658">
        <f>+IFERROR(O$5*GETPIVOTDATA("Unique Billed Hours",'County allocation'!$S$3,"County",$D750,"HHA/CDPAP","CDPAP","Level of Service",$D753),0)</f>
        <v>0</v>
      </c>
      <c r="P753" s="658">
        <f>+IFERROR(P$5*GETPIVOTDATA("Unique Billed Hours",'County allocation'!$S$3,"County",$D750,"HHA/CDPAP","CDPAP","Level of Service",$D753),0)</f>
        <v>0</v>
      </c>
    </row>
    <row r="754" spans="1:16" x14ac:dyDescent="0.25">
      <c r="B754" s="24"/>
      <c r="C754" s="9">
        <f t="shared" ca="1" si="462"/>
        <v>1</v>
      </c>
      <c r="D754" s="267" t="s">
        <v>42</v>
      </c>
      <c r="E754" s="48" t="s">
        <v>56</v>
      </c>
      <c r="F754" s="678">
        <f t="shared" ref="F754:F758" ca="1" si="463">SUM(G754:I754)</f>
        <v>0</v>
      </c>
      <c r="G754" s="658">
        <f ca="1">+IFERROR(G$5*GETPIVOTDATA("Unique Billed Hours",'County allocation'!$A$3,"County",$D750,"HHA/CDPAP","CDPAP","Level of Service",$D754),0)</f>
        <v>0</v>
      </c>
      <c r="H754" s="658">
        <f>+IFERROR(H$5*GETPIVOTDATA("Unique Billed Hours",'County allocation'!$A$3,"County",$D750,"HHA/CDPAP","CDPAP","Level of Service",$D754),0)</f>
        <v>0</v>
      </c>
      <c r="I754" s="678">
        <f t="shared" ref="I754:I761" ca="1" si="464">SUM(J754:P754)</f>
        <v>0</v>
      </c>
      <c r="J754" s="658">
        <f ca="1">+IFERROR(J$5*GETPIVOTDATA("Unique Billed Hours",'County allocation'!$S$3,"County",$D750,"HHA/CDPAP","CDPAP","Level of Service",$D754),0)</f>
        <v>0</v>
      </c>
      <c r="K754" s="658">
        <f ca="1">+IFERROR(K$5*GETPIVOTDATA("Unique Billed Hours",'County allocation'!$X$3,"County",$D750,"HHA/CDPAP","CDPAP","Level of Service",$D754),0)</f>
        <v>0</v>
      </c>
      <c r="L754" s="658">
        <f>+IFERROR(L$5*GETPIVOTDATA("Unique Billed Hours",'County allocation'!$K$19,"County",$D750,"HHA/CDPAP","CDPAP","Level of Service",$D754),0)</f>
        <v>0</v>
      </c>
      <c r="M754" s="658">
        <f>+IFERROR(M$5*GETPIVOTDATA("Unique Billed Hours",'County allocation'!$S$3,"County",$D750,"HHA/CDPAP","CDPAP","Level of Service",$D754),0)</f>
        <v>0</v>
      </c>
      <c r="N754" s="658">
        <f>+IFERROR(N$5*GETPIVOTDATA("Unique Billed Hours",'County allocation'!$S$3,"County",$D750,"HHA/CDPAP","CDPAP","Level of Service",$D754),0)</f>
        <v>0</v>
      </c>
      <c r="O754" s="658">
        <f>+IFERROR(O$5*GETPIVOTDATA("Unique Billed Hours",'County allocation'!$S$3,"County",$D750,"HHA/CDPAP","CDPAP","Level of Service",$D754),0)</f>
        <v>0</v>
      </c>
      <c r="P754" s="658">
        <f>+IFERROR(P$5*GETPIVOTDATA("Unique Billed Hours",'County allocation'!$S$3,"County",$D750,"HHA/CDPAP","CDPAP","Level of Service",$D754),0)</f>
        <v>0</v>
      </c>
    </row>
    <row r="755" spans="1:16" x14ac:dyDescent="0.25">
      <c r="B755" s="24"/>
      <c r="C755" s="9">
        <f t="shared" ca="1" si="462"/>
        <v>1</v>
      </c>
      <c r="D755" s="267" t="s">
        <v>43</v>
      </c>
      <c r="E755" s="48" t="s">
        <v>55</v>
      </c>
      <c r="F755" s="678">
        <f t="shared" ca="1" si="463"/>
        <v>0</v>
      </c>
      <c r="G755" s="658">
        <f ca="1">+IFERROR(G$5*GETPIVOTDATA("Unique Billed Hours",'County allocation'!$A$3,"County",$D750,"HHA/CDPAP","CDPAP","Level of Service",$D755),0)</f>
        <v>0</v>
      </c>
      <c r="H755" s="658">
        <f>+IFERROR(H$5*GETPIVOTDATA("Unique Billed Hours",'County allocation'!$A$3,"County",$D750,"HHA/CDPAP","CDPAP","Level of Service",$D755),0)</f>
        <v>0</v>
      </c>
      <c r="I755" s="678">
        <f t="shared" ca="1" si="464"/>
        <v>0</v>
      </c>
      <c r="J755" s="658">
        <f ca="1">+IFERROR(J$5*GETPIVOTDATA("Unique Billed Hours",'County allocation'!$S$3,"County",$D750,"HHA/CDPAP","CDPAP","Level of Service",$D755),0)</f>
        <v>0</v>
      </c>
      <c r="K755" s="658">
        <f ca="1">+IFERROR(K$5*GETPIVOTDATA("Unique Billed Hours",'County allocation'!$X$3,"County",$D750,"HHA/CDPAP","CDPAP","Level of Service",$D755),0)</f>
        <v>0</v>
      </c>
      <c r="L755" s="658">
        <f>+IFERROR(L$5*GETPIVOTDATA("Unique Billed Hours",'County allocation'!$K$19,"County",$D750,"HHA/CDPAP","CDPAP","Level of Service",$D755),0)</f>
        <v>0</v>
      </c>
      <c r="M755" s="658">
        <f>+IFERROR(M$5*GETPIVOTDATA("Unique Billed Hours",'County allocation'!$S$3,"County",$D750,"HHA/CDPAP","CDPAP","Level of Service",$D755),0)</f>
        <v>0</v>
      </c>
      <c r="N755" s="658">
        <f>+IFERROR(N$5*GETPIVOTDATA("Unique Billed Hours",'County allocation'!$S$3,"County",$D750,"HHA/CDPAP","CDPAP","Level of Service",$D755),0)</f>
        <v>0</v>
      </c>
      <c r="O755" s="658">
        <f>+IFERROR(O$5*GETPIVOTDATA("Unique Billed Hours",'County allocation'!$S$3,"County",$D750,"HHA/CDPAP","CDPAP","Level of Service",$D755),0)</f>
        <v>0</v>
      </c>
      <c r="P755" s="658">
        <f>+IFERROR(P$5*GETPIVOTDATA("Unique Billed Hours",'County allocation'!$S$3,"County",$D750,"HHA/CDPAP","CDPAP","Level of Service",$D755),0)</f>
        <v>0</v>
      </c>
    </row>
    <row r="756" spans="1:16" x14ac:dyDescent="0.25">
      <c r="B756" s="24"/>
      <c r="C756" s="9">
        <f t="shared" ca="1" si="462"/>
        <v>1</v>
      </c>
      <c r="D756" s="267" t="s">
        <v>44</v>
      </c>
      <c r="E756" s="48" t="s">
        <v>54</v>
      </c>
      <c r="F756" s="678">
        <f t="shared" ca="1" si="463"/>
        <v>0</v>
      </c>
      <c r="G756" s="658">
        <f ca="1">+IFERROR(G$5*GETPIVOTDATA("Unique Billed Hours",'County allocation'!$A$3,"County",$D750,"HHA/CDPAP","CDPAP","Level of Service",$D756),0)</f>
        <v>0</v>
      </c>
      <c r="H756" s="658">
        <f>+IFERROR(H$5*GETPIVOTDATA("Unique Billed Hours",'County allocation'!$A$3,"County",$D750,"HHA/CDPAP","CDPAP","Level of Service",$D756),0)</f>
        <v>0</v>
      </c>
      <c r="I756" s="678">
        <f t="shared" ca="1" si="464"/>
        <v>0</v>
      </c>
      <c r="J756" s="658">
        <f ca="1">+IFERROR(J$5*GETPIVOTDATA("Unique Billed Hours",'County allocation'!$S$3,"County",$D750,"HHA/CDPAP","CDPAP","Level of Service",$D756),0)</f>
        <v>0</v>
      </c>
      <c r="K756" s="658">
        <f ca="1">+IFERROR(K$5*GETPIVOTDATA("Unique Billed Hours",'County allocation'!$X$3,"County",$D750,"HHA/CDPAP","CDPAP","Level of Service",$D756),0)</f>
        <v>0</v>
      </c>
      <c r="L756" s="658">
        <f>+IFERROR(L$5*GETPIVOTDATA("Unique Billed Hours",'County allocation'!$K$19,"County",$D750,"HHA/CDPAP","CDPAP","Level of Service",$D756),0)</f>
        <v>0</v>
      </c>
      <c r="M756" s="658">
        <f>+IFERROR(M$5*GETPIVOTDATA("Unique Billed Hours",'County allocation'!$S$3,"County",$D750,"HHA/CDPAP","CDPAP","Level of Service",$D756),0)</f>
        <v>0</v>
      </c>
      <c r="N756" s="658">
        <f>+IFERROR(N$5*GETPIVOTDATA("Unique Billed Hours",'County allocation'!$S$3,"County",$D750,"HHA/CDPAP","CDPAP","Level of Service",$D756),0)</f>
        <v>0</v>
      </c>
      <c r="O756" s="658">
        <f>+IFERROR(O$5*GETPIVOTDATA("Unique Billed Hours",'County allocation'!$S$3,"County",$D750,"HHA/CDPAP","CDPAP","Level of Service",$D756),0)</f>
        <v>0</v>
      </c>
      <c r="P756" s="658">
        <f>+IFERROR(P$5*GETPIVOTDATA("Unique Billed Hours",'County allocation'!$S$3,"County",$D750,"HHA/CDPAP","CDPAP","Level of Service",$D756),0)</f>
        <v>0</v>
      </c>
    </row>
    <row r="757" spans="1:16" x14ac:dyDescent="0.25">
      <c r="B757" s="24"/>
      <c r="C757" s="9">
        <f t="shared" ca="1" si="462"/>
        <v>1</v>
      </c>
      <c r="D757" s="267" t="s">
        <v>45</v>
      </c>
      <c r="E757" s="48" t="s">
        <v>53</v>
      </c>
      <c r="F757" s="678">
        <f t="shared" ca="1" si="463"/>
        <v>0</v>
      </c>
      <c r="G757" s="658">
        <f ca="1">+IFERROR(G$5*GETPIVOTDATA("Unique Billed Hours",'County allocation'!$A$3,"County",$D750,"HHA/CDPAP","CDPAP","Level of Service",$D757),0)</f>
        <v>0</v>
      </c>
      <c r="H757" s="658">
        <f>+IFERROR(H$5*GETPIVOTDATA("Unique Billed Hours",'County allocation'!$A$3,"County",$D750,"HHA/CDPAP","CDPAP","Level of Service",$D757),0)</f>
        <v>0</v>
      </c>
      <c r="I757" s="678">
        <f t="shared" ca="1" si="464"/>
        <v>0</v>
      </c>
      <c r="J757" s="658">
        <f ca="1">+IFERROR(J$5*GETPIVOTDATA("Unique Billed Hours",'County allocation'!$S$3,"County",$D750,"HHA/CDPAP","CDPAP","Level of Service",$D757),0)</f>
        <v>0</v>
      </c>
      <c r="K757" s="658">
        <f ca="1">+IFERROR(K$5*GETPIVOTDATA("Unique Billed Hours",'County allocation'!$X$3,"County",$D750,"HHA/CDPAP","CDPAP","Level of Service",$D757),0)</f>
        <v>0</v>
      </c>
      <c r="L757" s="658">
        <f>+IFERROR(L$5*GETPIVOTDATA("Unique Billed Hours",'County allocation'!$K$19,"County",$D750,"HHA/CDPAP","CDPAP","Level of Service",$D757),0)</f>
        <v>0</v>
      </c>
      <c r="M757" s="658">
        <f>+IFERROR(M$5*GETPIVOTDATA("Unique Billed Hours",'County allocation'!$S$3,"County",$D750,"HHA/CDPAP","CDPAP","Level of Service",$D757),0)</f>
        <v>0</v>
      </c>
      <c r="N757" s="658">
        <f>+IFERROR(N$5*GETPIVOTDATA("Unique Billed Hours",'County allocation'!$S$3,"County",$D750,"HHA/CDPAP","CDPAP","Level of Service",$D757),0)</f>
        <v>0</v>
      </c>
      <c r="O757" s="658">
        <f>+IFERROR(O$5*GETPIVOTDATA("Unique Billed Hours",'County allocation'!$S$3,"County",$D750,"HHA/CDPAP","CDPAP","Level of Service",$D757),0)</f>
        <v>0</v>
      </c>
      <c r="P757" s="658">
        <f>+IFERROR(P$5*GETPIVOTDATA("Unique Billed Hours",'County allocation'!$S$3,"County",$D750,"HHA/CDPAP","CDPAP","Level of Service",$D757),0)</f>
        <v>0</v>
      </c>
    </row>
    <row r="758" spans="1:16" x14ac:dyDescent="0.25">
      <c r="A758" s="302"/>
      <c r="B758" s="24"/>
      <c r="C758" s="9">
        <f t="shared" ca="1" si="462"/>
        <v>1</v>
      </c>
      <c r="D758" s="267" t="s">
        <v>46</v>
      </c>
      <c r="E758" s="48" t="s">
        <v>52</v>
      </c>
      <c r="F758" s="678">
        <f t="shared" ca="1" si="463"/>
        <v>0</v>
      </c>
      <c r="G758" s="658">
        <f ca="1">+IFERROR(G$5*GETPIVOTDATA("Unique Billed Hours",'County allocation'!$A$3,"County",$D750,"HHA/CDPAP","CDPAP","Level of Service",$D758),0)</f>
        <v>0</v>
      </c>
      <c r="H758" s="658">
        <f>+IFERROR(H$5*GETPIVOTDATA("Unique Billed Hours",'County allocation'!$A$3,"County",$D750,"HHA/CDPAP","CDPAP","Level of Service",$D758),0)</f>
        <v>0</v>
      </c>
      <c r="I758" s="678">
        <f t="shared" ca="1" si="464"/>
        <v>0</v>
      </c>
      <c r="J758" s="658">
        <f ca="1">+IFERROR(J$5*GETPIVOTDATA("Unique Billed Hours",'County allocation'!$S$3,"County",$D750,"HHA/CDPAP","CDPAP","Level of Service",$D758),0)</f>
        <v>0</v>
      </c>
      <c r="K758" s="658">
        <f ca="1">+IFERROR(K$5*GETPIVOTDATA("Unique Billed Hours",'County allocation'!$X$3,"County",$D750,"HHA/CDPAP","CDPAP","Level of Service",$D758),0)</f>
        <v>0</v>
      </c>
      <c r="L758" s="658">
        <f>+IFERROR(L$5*GETPIVOTDATA("Unique Billed Hours",'County allocation'!$K$19,"County",$D750,"HHA/CDPAP","CDPAP","Level of Service",$D758),0)</f>
        <v>0</v>
      </c>
      <c r="M758" s="658">
        <f>+IFERROR(M$5*GETPIVOTDATA("Unique Billed Hours",'County allocation'!$S$3,"County",$D750,"HHA/CDPAP","CDPAP","Level of Service",$D758),0)</f>
        <v>0</v>
      </c>
      <c r="N758" s="658">
        <f>+IFERROR(N$5*GETPIVOTDATA("Unique Billed Hours",'County allocation'!$S$3,"County",$D750,"HHA/CDPAP","CDPAP","Level of Service",$D758),0)</f>
        <v>0</v>
      </c>
      <c r="O758" s="658">
        <f>+IFERROR(O$5*GETPIVOTDATA("Unique Billed Hours",'County allocation'!$S$3,"County",$D750,"HHA/CDPAP","CDPAP","Level of Service",$D758),0)</f>
        <v>0</v>
      </c>
      <c r="P758" s="658">
        <f>+IFERROR(P$5*GETPIVOTDATA("Unique Billed Hours",'County allocation'!$S$3,"County",$D750,"HHA/CDPAP","CDPAP","Level of Service",$D758),0)</f>
        <v>0</v>
      </c>
    </row>
    <row r="759" spans="1:16" ht="15.75" thickBot="1" x14ac:dyDescent="0.3">
      <c r="A759" s="302"/>
      <c r="B759" s="24"/>
      <c r="C759" s="9">
        <f t="shared" ca="1" si="462"/>
        <v>1</v>
      </c>
      <c r="D759" s="52" t="s">
        <v>389</v>
      </c>
      <c r="E759" s="370" t="s">
        <v>51</v>
      </c>
      <c r="F759" s="679">
        <f ca="1">SUM(F753:F758)</f>
        <v>123129.16013379584</v>
      </c>
      <c r="G759" s="679">
        <f t="shared" ref="G759:H759" ca="1" si="465">SUM(G753:G758)</f>
        <v>4950.0573043952909</v>
      </c>
      <c r="H759" s="679">
        <f t="shared" si="465"/>
        <v>4261.90794764577</v>
      </c>
      <c r="I759" s="678">
        <f t="shared" ca="1" si="464"/>
        <v>113917.19488175478</v>
      </c>
      <c r="J759" s="679">
        <f ca="1">SUM(J753:J758)</f>
        <v>22538.198602643413</v>
      </c>
      <c r="K759" s="679">
        <f t="shared" ref="K759:P759" ca="1" si="466">SUM(K753:K758)</f>
        <v>90923.958413058033</v>
      </c>
      <c r="L759" s="679">
        <f t="shared" si="466"/>
        <v>0</v>
      </c>
      <c r="M759" s="679">
        <f t="shared" si="466"/>
        <v>419.87150606206183</v>
      </c>
      <c r="N759" s="679">
        <f t="shared" si="466"/>
        <v>35.166359991266113</v>
      </c>
      <c r="O759" s="679">
        <f t="shared" si="466"/>
        <v>0</v>
      </c>
      <c r="P759" s="679">
        <f t="shared" si="466"/>
        <v>0</v>
      </c>
    </row>
    <row r="760" spans="1:16" x14ac:dyDescent="0.25">
      <c r="A760" s="302"/>
      <c r="B760" s="24"/>
      <c r="C760" s="9">
        <f t="shared" ca="1" si="462"/>
        <v>1</v>
      </c>
      <c r="D760" s="378" t="s">
        <v>390</v>
      </c>
      <c r="E760" s="370" t="s">
        <v>50</v>
      </c>
      <c r="F760" s="678">
        <f t="shared" ref="F760" ca="1" si="467">SUM(G760:I760)</f>
        <v>0</v>
      </c>
      <c r="G760" s="658">
        <f ca="1">+IFERROR(G$5*GETPIVOTDATA("Unique Billed Hours",'County allocation'!$A$3,"County",$D750,"HHA/CDPAP","CDPAP","Level of Service",$D760),0)</f>
        <v>0</v>
      </c>
      <c r="H760" s="659"/>
      <c r="I760" s="678">
        <f t="shared" si="464"/>
        <v>0</v>
      </c>
      <c r="J760" s="659"/>
      <c r="K760" s="659"/>
      <c r="L760" s="659"/>
      <c r="M760" s="659"/>
      <c r="N760" s="659"/>
      <c r="O760" s="659"/>
      <c r="P760" s="659"/>
    </row>
    <row r="761" spans="1:16" ht="15.75" thickBot="1" x14ac:dyDescent="0.3">
      <c r="B761" s="24"/>
      <c r="C761" s="9">
        <f t="shared" ca="1" si="462"/>
        <v>1</v>
      </c>
      <c r="D761" s="11" t="s">
        <v>48</v>
      </c>
      <c r="E761" s="53" t="s">
        <v>49</v>
      </c>
      <c r="F761" s="662">
        <f ca="1">SUBTOTAL(9,F753:F758)</f>
        <v>123129.16013379584</v>
      </c>
      <c r="G761" s="662">
        <f t="shared" ref="G761:H761" ca="1" si="468">SUBTOTAL(9,G753:G758)</f>
        <v>4950.0573043952909</v>
      </c>
      <c r="H761" s="662">
        <f t="shared" si="468"/>
        <v>4261.90794764577</v>
      </c>
      <c r="I761" s="678">
        <f t="shared" ca="1" si="464"/>
        <v>113917.19488175478</v>
      </c>
      <c r="J761" s="662">
        <f t="shared" ref="J761:P761" ca="1" si="469">SUBTOTAL(9,J753:J758)</f>
        <v>22538.198602643413</v>
      </c>
      <c r="K761" s="662">
        <f t="shared" ca="1" si="469"/>
        <v>90923.958413058033</v>
      </c>
      <c r="L761" s="662">
        <f t="shared" si="469"/>
        <v>0</v>
      </c>
      <c r="M761" s="662">
        <f t="shared" si="469"/>
        <v>419.87150606206183</v>
      </c>
      <c r="N761" s="662">
        <f t="shared" si="469"/>
        <v>35.166359991266113</v>
      </c>
      <c r="O761" s="662">
        <f t="shared" si="469"/>
        <v>0</v>
      </c>
      <c r="P761" s="662">
        <f t="shared" si="469"/>
        <v>0</v>
      </c>
    </row>
    <row r="762" spans="1:16" ht="15.75" hidden="1" thickBot="1" x14ac:dyDescent="0.3"/>
    <row r="763" spans="1:16" ht="75" x14ac:dyDescent="0.25">
      <c r="A763" s="60"/>
      <c r="B763" s="24"/>
      <c r="C763" s="9">
        <f ca="1">IF(F774&gt;0,1,0)</f>
        <v>1</v>
      </c>
      <c r="D763" s="45" t="str">
        <f>A61</f>
        <v>Washington</v>
      </c>
      <c r="E763" s="28">
        <f>SUMIF(A:A,D763,B:B)</f>
        <v>2.2537928136298082E-3</v>
      </c>
      <c r="F763" s="652" t="s">
        <v>396</v>
      </c>
      <c r="G763" s="652" t="s">
        <v>387</v>
      </c>
      <c r="H763" s="652" t="s">
        <v>388</v>
      </c>
      <c r="I763" s="652" t="s">
        <v>392</v>
      </c>
      <c r="J763" s="652" t="s">
        <v>31</v>
      </c>
      <c r="K763" s="652" t="s">
        <v>32</v>
      </c>
      <c r="L763" s="653" t="s">
        <v>33</v>
      </c>
      <c r="M763" s="653" t="s">
        <v>60</v>
      </c>
      <c r="N763" s="653" t="s">
        <v>59</v>
      </c>
      <c r="O763" s="653" t="s">
        <v>58</v>
      </c>
      <c r="P763" s="653" t="s">
        <v>16</v>
      </c>
    </row>
    <row r="764" spans="1:16" x14ac:dyDescent="0.25">
      <c r="A764" s="60"/>
      <c r="B764" s="24"/>
      <c r="C764" s="9">
        <f ca="1">C763</f>
        <v>1</v>
      </c>
      <c r="D764" s="47"/>
      <c r="E764" s="48"/>
      <c r="F764" s="669" t="s">
        <v>57</v>
      </c>
      <c r="G764" s="669" t="s">
        <v>56</v>
      </c>
      <c r="H764" s="669" t="s">
        <v>55</v>
      </c>
      <c r="I764" s="669" t="s">
        <v>54</v>
      </c>
      <c r="J764" s="669" t="s">
        <v>53</v>
      </c>
      <c r="K764" s="669" t="s">
        <v>52</v>
      </c>
      <c r="L764" s="669" t="s">
        <v>51</v>
      </c>
      <c r="M764" s="669" t="s">
        <v>50</v>
      </c>
      <c r="N764" s="669" t="s">
        <v>49</v>
      </c>
      <c r="O764" s="669" t="s">
        <v>47</v>
      </c>
      <c r="P764" s="670" t="s">
        <v>77</v>
      </c>
    </row>
    <row r="765" spans="1:16" x14ac:dyDescent="0.25">
      <c r="B765" s="24"/>
      <c r="C765" s="9">
        <f t="shared" ref="C765:C774" ca="1" si="470">C764</f>
        <v>1</v>
      </c>
      <c r="D765" s="51" t="s">
        <v>26</v>
      </c>
      <c r="E765" s="48"/>
      <c r="F765" s="674"/>
      <c r="G765" s="674"/>
      <c r="H765" s="674"/>
      <c r="I765" s="674"/>
      <c r="J765" s="674"/>
      <c r="K765" s="674"/>
      <c r="L765" s="675"/>
      <c r="M765" s="675"/>
      <c r="N765" s="676"/>
      <c r="O765" s="674"/>
      <c r="P765" s="677"/>
    </row>
    <row r="766" spans="1:16" x14ac:dyDescent="0.25">
      <c r="B766" s="24"/>
      <c r="C766" s="9">
        <f t="shared" ca="1" si="470"/>
        <v>1</v>
      </c>
      <c r="D766" s="267" t="s">
        <v>18</v>
      </c>
      <c r="E766" s="48" t="s">
        <v>57</v>
      </c>
      <c r="F766" s="678">
        <f ca="1">SUM(G766:I766)</f>
        <v>194284.73128313862</v>
      </c>
      <c r="G766" s="658">
        <f ca="1">+IFERROR(G$5*GETPIVOTDATA("Unique Billed Hours",'County allocation'!$A$3,"County",$D763,"HHA/CDPAP","CDPAP","Level of Service",$D766),0)</f>
        <v>7810.6644451691409</v>
      </c>
      <c r="H766" s="658">
        <f>+IFERROR(H$5*GETPIVOTDATA("Unique Billed Hours",'County allocation'!$A$3,"County",$D763,"HHA/CDPAP","CDPAP","Level of Service",$D766),0)</f>
        <v>6724.8378813115924</v>
      </c>
      <c r="I766" s="678">
        <f ca="1">SUM(J766:P766)</f>
        <v>179749.2289566579</v>
      </c>
      <c r="J766" s="658">
        <f ca="1">+IFERROR(J$5*GETPIVOTDATA("Unique Billed Hours",'County allocation'!$S$3,"County",$D763,"HHA/CDPAP","CDPAP","Level of Service",$D766),0)</f>
        <v>35562.88254027252</v>
      </c>
      <c r="K766" s="658">
        <f ca="1">+IFERROR(K$5*GETPIVOTDATA("Unique Billed Hours",'County allocation'!$X$3,"County",$D763,"HHA/CDPAP","CDPAP","Level of Service",$D766),0)</f>
        <v>143468.34501498091</v>
      </c>
      <c r="L766" s="658">
        <f>+IFERROR(L$5*GETPIVOTDATA("Unique Billed Hours",'County allocation'!$K$19,"County",$D763,"HHA/CDPAP","CDPAP","Level of Service",$D766),0)</f>
        <v>0</v>
      </c>
      <c r="M766" s="658">
        <f>+IFERROR(M$5*GETPIVOTDATA("Unique Billed Hours",'County allocation'!$S$3,"County",$D763,"HHA/CDPAP","CDPAP","Level of Service",$D766),0)</f>
        <v>662.51262203098736</v>
      </c>
      <c r="N766" s="658">
        <f>+IFERROR(N$5*GETPIVOTDATA("Unique Billed Hours",'County allocation'!$S$3,"County",$D763,"HHA/CDPAP","CDPAP","Level of Service",$D766),0)</f>
        <v>55.488779373505736</v>
      </c>
      <c r="O766" s="658">
        <f>+IFERROR(O$5*GETPIVOTDATA("Unique Billed Hours",'County allocation'!$S$3,"County",$D763,"HHA/CDPAP","CDPAP","Level of Service",$D766),0)</f>
        <v>0</v>
      </c>
      <c r="P766" s="658">
        <f>+IFERROR(P$5*GETPIVOTDATA("Unique Billed Hours",'County allocation'!$S$3,"County",$D763,"HHA/CDPAP","CDPAP","Level of Service",$D766),0)</f>
        <v>0</v>
      </c>
    </row>
    <row r="767" spans="1:16" x14ac:dyDescent="0.25">
      <c r="B767" s="24"/>
      <c r="C767" s="9">
        <f t="shared" ca="1" si="470"/>
        <v>1</v>
      </c>
      <c r="D767" s="267" t="s">
        <v>42</v>
      </c>
      <c r="E767" s="48" t="s">
        <v>56</v>
      </c>
      <c r="F767" s="678">
        <f t="shared" ref="F767:F771" ca="1" si="471">SUM(G767:I767)</f>
        <v>0</v>
      </c>
      <c r="G767" s="658">
        <f ca="1">+IFERROR(G$5*GETPIVOTDATA("Unique Billed Hours",'County allocation'!$A$3,"County",$D763,"HHA/CDPAP","CDPAP","Level of Service",$D767),0)</f>
        <v>0</v>
      </c>
      <c r="H767" s="658">
        <f>+IFERROR(H$5*GETPIVOTDATA("Unique Billed Hours",'County allocation'!$A$3,"County",$D763,"HHA/CDPAP","CDPAP","Level of Service",$D767),0)</f>
        <v>0</v>
      </c>
      <c r="I767" s="678">
        <f t="shared" ref="I767:I774" ca="1" si="472">SUM(J767:P767)</f>
        <v>0</v>
      </c>
      <c r="J767" s="658">
        <f ca="1">+IFERROR(J$5*GETPIVOTDATA("Unique Billed Hours",'County allocation'!$S$3,"County",$D763,"HHA/CDPAP","CDPAP","Level of Service",$D767),0)</f>
        <v>0</v>
      </c>
      <c r="K767" s="658">
        <f ca="1">+IFERROR(K$5*GETPIVOTDATA("Unique Billed Hours",'County allocation'!$X$3,"County",$D763,"HHA/CDPAP","CDPAP","Level of Service",$D767),0)</f>
        <v>0</v>
      </c>
      <c r="L767" s="658">
        <f>+IFERROR(L$5*GETPIVOTDATA("Unique Billed Hours",'County allocation'!$K$19,"County",$D763,"HHA/CDPAP","CDPAP","Level of Service",$D767),0)</f>
        <v>0</v>
      </c>
      <c r="M767" s="658">
        <f>+IFERROR(M$5*GETPIVOTDATA("Unique Billed Hours",'County allocation'!$S$3,"County",$D763,"HHA/CDPAP","CDPAP","Level of Service",$D767),0)</f>
        <v>0</v>
      </c>
      <c r="N767" s="658">
        <f>+IFERROR(N$5*GETPIVOTDATA("Unique Billed Hours",'County allocation'!$S$3,"County",$D763,"HHA/CDPAP","CDPAP","Level of Service",$D767),0)</f>
        <v>0</v>
      </c>
      <c r="O767" s="658">
        <f>+IFERROR(O$5*GETPIVOTDATA("Unique Billed Hours",'County allocation'!$S$3,"County",$D763,"HHA/CDPAP","CDPAP","Level of Service",$D767),0)</f>
        <v>0</v>
      </c>
      <c r="P767" s="658">
        <f>+IFERROR(P$5*GETPIVOTDATA("Unique Billed Hours",'County allocation'!$S$3,"County",$D763,"HHA/CDPAP","CDPAP","Level of Service",$D767),0)</f>
        <v>0</v>
      </c>
    </row>
    <row r="768" spans="1:16" x14ac:dyDescent="0.25">
      <c r="B768" s="24"/>
      <c r="C768" s="9">
        <f t="shared" ca="1" si="470"/>
        <v>1</v>
      </c>
      <c r="D768" s="267" t="s">
        <v>43</v>
      </c>
      <c r="E768" s="48" t="s">
        <v>55</v>
      </c>
      <c r="F768" s="678">
        <f t="shared" ca="1" si="471"/>
        <v>0</v>
      </c>
      <c r="G768" s="658">
        <f ca="1">+IFERROR(G$5*GETPIVOTDATA("Unique Billed Hours",'County allocation'!$A$3,"County",$D763,"HHA/CDPAP","CDPAP","Level of Service",$D768),0)</f>
        <v>0</v>
      </c>
      <c r="H768" s="658">
        <f>+IFERROR(H$5*GETPIVOTDATA("Unique Billed Hours",'County allocation'!$A$3,"County",$D763,"HHA/CDPAP","CDPAP","Level of Service",$D768),0)</f>
        <v>0</v>
      </c>
      <c r="I768" s="678">
        <f t="shared" ca="1" si="472"/>
        <v>0</v>
      </c>
      <c r="J768" s="658">
        <f ca="1">+IFERROR(J$5*GETPIVOTDATA("Unique Billed Hours",'County allocation'!$S$3,"County",$D763,"HHA/CDPAP","CDPAP","Level of Service",$D768),0)</f>
        <v>0</v>
      </c>
      <c r="K768" s="658">
        <f ca="1">+IFERROR(K$5*GETPIVOTDATA("Unique Billed Hours",'County allocation'!$X$3,"County",$D763,"HHA/CDPAP","CDPAP","Level of Service",$D768),0)</f>
        <v>0</v>
      </c>
      <c r="L768" s="658">
        <f>+IFERROR(L$5*GETPIVOTDATA("Unique Billed Hours",'County allocation'!$K$19,"County",$D763,"HHA/CDPAP","CDPAP","Level of Service",$D768),0)</f>
        <v>0</v>
      </c>
      <c r="M768" s="658">
        <f>+IFERROR(M$5*GETPIVOTDATA("Unique Billed Hours",'County allocation'!$S$3,"County",$D763,"HHA/CDPAP","CDPAP","Level of Service",$D768),0)</f>
        <v>0</v>
      </c>
      <c r="N768" s="658">
        <f>+IFERROR(N$5*GETPIVOTDATA("Unique Billed Hours",'County allocation'!$S$3,"County",$D763,"HHA/CDPAP","CDPAP","Level of Service",$D768),0)</f>
        <v>0</v>
      </c>
      <c r="O768" s="658">
        <f>+IFERROR(O$5*GETPIVOTDATA("Unique Billed Hours",'County allocation'!$S$3,"County",$D763,"HHA/CDPAP","CDPAP","Level of Service",$D768),0)</f>
        <v>0</v>
      </c>
      <c r="P768" s="658">
        <f>+IFERROR(P$5*GETPIVOTDATA("Unique Billed Hours",'County allocation'!$S$3,"County",$D763,"HHA/CDPAP","CDPAP","Level of Service",$D768),0)</f>
        <v>0</v>
      </c>
    </row>
    <row r="769" spans="1:16" x14ac:dyDescent="0.25">
      <c r="B769" s="24"/>
      <c r="C769" s="9">
        <f t="shared" ca="1" si="470"/>
        <v>1</v>
      </c>
      <c r="D769" s="267" t="s">
        <v>44</v>
      </c>
      <c r="E769" s="48" t="s">
        <v>54</v>
      </c>
      <c r="F769" s="678">
        <f t="shared" ca="1" si="471"/>
        <v>0</v>
      </c>
      <c r="G769" s="658">
        <f ca="1">+IFERROR(G$5*GETPIVOTDATA("Unique Billed Hours",'County allocation'!$A$3,"County",$D763,"HHA/CDPAP","CDPAP","Level of Service",$D769),0)</f>
        <v>0</v>
      </c>
      <c r="H769" s="658">
        <f>+IFERROR(H$5*GETPIVOTDATA("Unique Billed Hours",'County allocation'!$A$3,"County",$D763,"HHA/CDPAP","CDPAP","Level of Service",$D769),0)</f>
        <v>0</v>
      </c>
      <c r="I769" s="678">
        <f t="shared" ca="1" si="472"/>
        <v>0</v>
      </c>
      <c r="J769" s="658">
        <f ca="1">+IFERROR(J$5*GETPIVOTDATA("Unique Billed Hours",'County allocation'!$S$3,"County",$D763,"HHA/CDPAP","CDPAP","Level of Service",$D769),0)</f>
        <v>0</v>
      </c>
      <c r="K769" s="658">
        <f ca="1">+IFERROR(K$5*GETPIVOTDATA("Unique Billed Hours",'County allocation'!$X$3,"County",$D763,"HHA/CDPAP","CDPAP","Level of Service",$D769),0)</f>
        <v>0</v>
      </c>
      <c r="L769" s="658">
        <f>+IFERROR(L$5*GETPIVOTDATA("Unique Billed Hours",'County allocation'!$K$19,"County",$D763,"HHA/CDPAP","CDPAP","Level of Service",$D769),0)</f>
        <v>0</v>
      </c>
      <c r="M769" s="658">
        <f>+IFERROR(M$5*GETPIVOTDATA("Unique Billed Hours",'County allocation'!$S$3,"County",$D763,"HHA/CDPAP","CDPAP","Level of Service",$D769),0)</f>
        <v>0</v>
      </c>
      <c r="N769" s="658">
        <f>+IFERROR(N$5*GETPIVOTDATA("Unique Billed Hours",'County allocation'!$S$3,"County",$D763,"HHA/CDPAP","CDPAP","Level of Service",$D769),0)</f>
        <v>0</v>
      </c>
      <c r="O769" s="658">
        <f>+IFERROR(O$5*GETPIVOTDATA("Unique Billed Hours",'County allocation'!$S$3,"County",$D763,"HHA/CDPAP","CDPAP","Level of Service",$D769),0)</f>
        <v>0</v>
      </c>
      <c r="P769" s="658">
        <f>+IFERROR(P$5*GETPIVOTDATA("Unique Billed Hours",'County allocation'!$S$3,"County",$D763,"HHA/CDPAP","CDPAP","Level of Service",$D769),0)</f>
        <v>0</v>
      </c>
    </row>
    <row r="770" spans="1:16" x14ac:dyDescent="0.25">
      <c r="B770" s="24"/>
      <c r="C770" s="9">
        <f t="shared" ca="1" si="470"/>
        <v>1</v>
      </c>
      <c r="D770" s="267" t="s">
        <v>45</v>
      </c>
      <c r="E770" s="48" t="s">
        <v>53</v>
      </c>
      <c r="F770" s="678">
        <f t="shared" ca="1" si="471"/>
        <v>0</v>
      </c>
      <c r="G770" s="658">
        <f ca="1">+IFERROR(G$5*GETPIVOTDATA("Unique Billed Hours",'County allocation'!$A$3,"County",$D763,"HHA/CDPAP","CDPAP","Level of Service",$D770),0)</f>
        <v>0</v>
      </c>
      <c r="H770" s="658">
        <f>+IFERROR(H$5*GETPIVOTDATA("Unique Billed Hours",'County allocation'!$A$3,"County",$D763,"HHA/CDPAP","CDPAP","Level of Service",$D770),0)</f>
        <v>0</v>
      </c>
      <c r="I770" s="678">
        <f t="shared" ca="1" si="472"/>
        <v>0</v>
      </c>
      <c r="J770" s="658">
        <f ca="1">+IFERROR(J$5*GETPIVOTDATA("Unique Billed Hours",'County allocation'!$S$3,"County",$D763,"HHA/CDPAP","CDPAP","Level of Service",$D770),0)</f>
        <v>0</v>
      </c>
      <c r="K770" s="658">
        <f ca="1">+IFERROR(K$5*GETPIVOTDATA("Unique Billed Hours",'County allocation'!$X$3,"County",$D763,"HHA/CDPAP","CDPAP","Level of Service",$D770),0)</f>
        <v>0</v>
      </c>
      <c r="L770" s="658">
        <f>+IFERROR(L$5*GETPIVOTDATA("Unique Billed Hours",'County allocation'!$K$19,"County",$D763,"HHA/CDPAP","CDPAP","Level of Service",$D770),0)</f>
        <v>0</v>
      </c>
      <c r="M770" s="658">
        <f>+IFERROR(M$5*GETPIVOTDATA("Unique Billed Hours",'County allocation'!$S$3,"County",$D763,"HHA/CDPAP","CDPAP","Level of Service",$D770),0)</f>
        <v>0</v>
      </c>
      <c r="N770" s="658">
        <f>+IFERROR(N$5*GETPIVOTDATA("Unique Billed Hours",'County allocation'!$S$3,"County",$D763,"HHA/CDPAP","CDPAP","Level of Service",$D770),0)</f>
        <v>0</v>
      </c>
      <c r="O770" s="658">
        <f>+IFERROR(O$5*GETPIVOTDATA("Unique Billed Hours",'County allocation'!$S$3,"County",$D763,"HHA/CDPAP","CDPAP","Level of Service",$D770),0)</f>
        <v>0</v>
      </c>
      <c r="P770" s="658">
        <f>+IFERROR(P$5*GETPIVOTDATA("Unique Billed Hours",'County allocation'!$S$3,"County",$D763,"HHA/CDPAP","CDPAP","Level of Service",$D770),0)</f>
        <v>0</v>
      </c>
    </row>
    <row r="771" spans="1:16" x14ac:dyDescent="0.25">
      <c r="A771" s="302"/>
      <c r="B771" s="24"/>
      <c r="C771" s="9">
        <f t="shared" ca="1" si="470"/>
        <v>1</v>
      </c>
      <c r="D771" s="267" t="s">
        <v>46</v>
      </c>
      <c r="E771" s="48" t="s">
        <v>52</v>
      </c>
      <c r="F771" s="678">
        <f t="shared" ca="1" si="471"/>
        <v>0</v>
      </c>
      <c r="G771" s="658">
        <f ca="1">+IFERROR(G$5*GETPIVOTDATA("Unique Billed Hours",'County allocation'!$A$3,"County",$D763,"HHA/CDPAP","CDPAP","Level of Service",$D771),0)</f>
        <v>0</v>
      </c>
      <c r="H771" s="658">
        <f>+IFERROR(H$5*GETPIVOTDATA("Unique Billed Hours",'County allocation'!$A$3,"County",$D763,"HHA/CDPAP","CDPAP","Level of Service",$D771),0)</f>
        <v>0</v>
      </c>
      <c r="I771" s="678">
        <f t="shared" ca="1" si="472"/>
        <v>0</v>
      </c>
      <c r="J771" s="658">
        <f ca="1">+IFERROR(J$5*GETPIVOTDATA("Unique Billed Hours",'County allocation'!$S$3,"County",$D763,"HHA/CDPAP","CDPAP","Level of Service",$D771),0)</f>
        <v>0</v>
      </c>
      <c r="K771" s="658">
        <f ca="1">+IFERROR(K$5*GETPIVOTDATA("Unique Billed Hours",'County allocation'!$X$3,"County",$D763,"HHA/CDPAP","CDPAP","Level of Service",$D771),0)</f>
        <v>0</v>
      </c>
      <c r="L771" s="658">
        <f>+IFERROR(L$5*GETPIVOTDATA("Unique Billed Hours",'County allocation'!$K$19,"County",$D763,"HHA/CDPAP","CDPAP","Level of Service",$D771),0)</f>
        <v>0</v>
      </c>
      <c r="M771" s="658">
        <f>+IFERROR(M$5*GETPIVOTDATA("Unique Billed Hours",'County allocation'!$S$3,"County",$D763,"HHA/CDPAP","CDPAP","Level of Service",$D771),0)</f>
        <v>0</v>
      </c>
      <c r="N771" s="658">
        <f>+IFERROR(N$5*GETPIVOTDATA("Unique Billed Hours",'County allocation'!$S$3,"County",$D763,"HHA/CDPAP","CDPAP","Level of Service",$D771),0)</f>
        <v>0</v>
      </c>
      <c r="O771" s="658">
        <f>+IFERROR(O$5*GETPIVOTDATA("Unique Billed Hours",'County allocation'!$S$3,"County",$D763,"HHA/CDPAP","CDPAP","Level of Service",$D771),0)</f>
        <v>0</v>
      </c>
      <c r="P771" s="658">
        <f>+IFERROR(P$5*GETPIVOTDATA("Unique Billed Hours",'County allocation'!$S$3,"County",$D763,"HHA/CDPAP","CDPAP","Level of Service",$D771),0)</f>
        <v>0</v>
      </c>
    </row>
    <row r="772" spans="1:16" ht="15.75" thickBot="1" x14ac:dyDescent="0.3">
      <c r="A772" s="302"/>
      <c r="B772" s="24"/>
      <c r="C772" s="9">
        <f t="shared" ca="1" si="470"/>
        <v>1</v>
      </c>
      <c r="D772" s="52" t="s">
        <v>389</v>
      </c>
      <c r="E772" s="370" t="s">
        <v>51</v>
      </c>
      <c r="F772" s="679">
        <f ca="1">SUM(F766:F771)</f>
        <v>194284.73128313862</v>
      </c>
      <c r="G772" s="679">
        <f t="shared" ref="G772:H772" ca="1" si="473">SUM(G766:G771)</f>
        <v>7810.6644451691409</v>
      </c>
      <c r="H772" s="679">
        <f t="shared" si="473"/>
        <v>6724.8378813115924</v>
      </c>
      <c r="I772" s="678">
        <f t="shared" ca="1" si="472"/>
        <v>179749.2289566579</v>
      </c>
      <c r="J772" s="679">
        <f ca="1">SUM(J766:J771)</f>
        <v>35562.88254027252</v>
      </c>
      <c r="K772" s="679">
        <f t="shared" ref="K772:P772" ca="1" si="474">SUM(K766:K771)</f>
        <v>143468.34501498091</v>
      </c>
      <c r="L772" s="679">
        <f t="shared" si="474"/>
        <v>0</v>
      </c>
      <c r="M772" s="679">
        <f t="shared" si="474"/>
        <v>662.51262203098736</v>
      </c>
      <c r="N772" s="679">
        <f t="shared" si="474"/>
        <v>55.488779373505736</v>
      </c>
      <c r="O772" s="679">
        <f t="shared" si="474"/>
        <v>0</v>
      </c>
      <c r="P772" s="679">
        <f t="shared" si="474"/>
        <v>0</v>
      </c>
    </row>
    <row r="773" spans="1:16" x14ac:dyDescent="0.25">
      <c r="A773" s="302"/>
      <c r="B773" s="24"/>
      <c r="C773" s="9">
        <f t="shared" ca="1" si="470"/>
        <v>1</v>
      </c>
      <c r="D773" s="378" t="s">
        <v>390</v>
      </c>
      <c r="E773" s="370" t="s">
        <v>50</v>
      </c>
      <c r="F773" s="678">
        <f t="shared" ref="F773" ca="1" si="475">SUM(G773:I773)</f>
        <v>0</v>
      </c>
      <c r="G773" s="658">
        <f ca="1">+IFERROR(G$5*GETPIVOTDATA("Unique Billed Hours",'County allocation'!$A$3,"County",$D763,"HHA/CDPAP","CDPAP","Level of Service",$D773),0)</f>
        <v>0</v>
      </c>
      <c r="H773" s="659"/>
      <c r="I773" s="678">
        <f t="shared" si="472"/>
        <v>0</v>
      </c>
      <c r="J773" s="659"/>
      <c r="K773" s="659"/>
      <c r="L773" s="659"/>
      <c r="M773" s="659"/>
      <c r="N773" s="659"/>
      <c r="O773" s="659"/>
      <c r="P773" s="659"/>
    </row>
    <row r="774" spans="1:16" ht="15.75" thickBot="1" x14ac:dyDescent="0.3">
      <c r="B774" s="24"/>
      <c r="C774" s="9">
        <f t="shared" ca="1" si="470"/>
        <v>1</v>
      </c>
      <c r="D774" s="11" t="s">
        <v>48</v>
      </c>
      <c r="E774" s="53" t="s">
        <v>49</v>
      </c>
      <c r="F774" s="662">
        <f ca="1">SUBTOTAL(9,F766:F771)</f>
        <v>194284.73128313862</v>
      </c>
      <c r="G774" s="662">
        <f t="shared" ref="G774:H774" ca="1" si="476">SUBTOTAL(9,G766:G771)</f>
        <v>7810.6644451691409</v>
      </c>
      <c r="H774" s="662">
        <f t="shared" si="476"/>
        <v>6724.8378813115924</v>
      </c>
      <c r="I774" s="678">
        <f t="shared" ca="1" si="472"/>
        <v>179749.2289566579</v>
      </c>
      <c r="J774" s="662">
        <f t="shared" ref="J774:P774" ca="1" si="477">SUBTOTAL(9,J766:J771)</f>
        <v>35562.88254027252</v>
      </c>
      <c r="K774" s="662">
        <f t="shared" ca="1" si="477"/>
        <v>143468.34501498091</v>
      </c>
      <c r="L774" s="662">
        <f t="shared" si="477"/>
        <v>0</v>
      </c>
      <c r="M774" s="662">
        <f t="shared" si="477"/>
        <v>662.51262203098736</v>
      </c>
      <c r="N774" s="662">
        <f t="shared" si="477"/>
        <v>55.488779373505736</v>
      </c>
      <c r="O774" s="662">
        <f t="shared" si="477"/>
        <v>0</v>
      </c>
      <c r="P774" s="662">
        <f t="shared" si="477"/>
        <v>0</v>
      </c>
    </row>
    <row r="775" spans="1:16" ht="15.75" hidden="1" thickBot="1" x14ac:dyDescent="0.3"/>
    <row r="776" spans="1:16" ht="75" x14ac:dyDescent="0.25">
      <c r="A776" s="60"/>
      <c r="B776" s="24"/>
      <c r="C776" s="9">
        <f ca="1">IF(F787&gt;0,1,0)</f>
        <v>1</v>
      </c>
      <c r="D776" s="45" t="str">
        <f>A62</f>
        <v>Wayne</v>
      </c>
      <c r="E776" s="28">
        <f>SUMIF(A:A,D776,B:B)</f>
        <v>8.7420816049703603E-4</v>
      </c>
      <c r="F776" s="652" t="s">
        <v>396</v>
      </c>
      <c r="G776" s="652" t="s">
        <v>387</v>
      </c>
      <c r="H776" s="652" t="s">
        <v>388</v>
      </c>
      <c r="I776" s="652" t="s">
        <v>392</v>
      </c>
      <c r="J776" s="652" t="s">
        <v>31</v>
      </c>
      <c r="K776" s="652" t="s">
        <v>32</v>
      </c>
      <c r="L776" s="653" t="s">
        <v>33</v>
      </c>
      <c r="M776" s="653" t="s">
        <v>60</v>
      </c>
      <c r="N776" s="653" t="s">
        <v>59</v>
      </c>
      <c r="O776" s="653" t="s">
        <v>58</v>
      </c>
      <c r="P776" s="653" t="s">
        <v>16</v>
      </c>
    </row>
    <row r="777" spans="1:16" x14ac:dyDescent="0.25">
      <c r="A777" s="60"/>
      <c r="B777" s="24"/>
      <c r="C777" s="9">
        <f ca="1">C776</f>
        <v>1</v>
      </c>
      <c r="D777" s="47"/>
      <c r="E777" s="48"/>
      <c r="F777" s="669" t="s">
        <v>57</v>
      </c>
      <c r="G777" s="669" t="s">
        <v>56</v>
      </c>
      <c r="H777" s="669" t="s">
        <v>55</v>
      </c>
      <c r="I777" s="669" t="s">
        <v>54</v>
      </c>
      <c r="J777" s="669" t="s">
        <v>53</v>
      </c>
      <c r="K777" s="669" t="s">
        <v>52</v>
      </c>
      <c r="L777" s="669" t="s">
        <v>51</v>
      </c>
      <c r="M777" s="669" t="s">
        <v>50</v>
      </c>
      <c r="N777" s="669" t="s">
        <v>49</v>
      </c>
      <c r="O777" s="669" t="s">
        <v>47</v>
      </c>
      <c r="P777" s="670" t="s">
        <v>77</v>
      </c>
    </row>
    <row r="778" spans="1:16" x14ac:dyDescent="0.25">
      <c r="B778" s="24"/>
      <c r="C778" s="9">
        <f t="shared" ref="C778:C787" ca="1" si="478">C777</f>
        <v>1</v>
      </c>
      <c r="D778" s="51" t="s">
        <v>26</v>
      </c>
      <c r="E778" s="48"/>
      <c r="F778" s="674"/>
      <c r="G778" s="674"/>
      <c r="H778" s="674"/>
      <c r="I778" s="674"/>
      <c r="J778" s="674"/>
      <c r="K778" s="674"/>
      <c r="L778" s="675"/>
      <c r="M778" s="675"/>
      <c r="N778" s="676"/>
      <c r="O778" s="674"/>
      <c r="P778" s="677"/>
    </row>
    <row r="779" spans="1:16" x14ac:dyDescent="0.25">
      <c r="B779" s="24"/>
      <c r="C779" s="9">
        <f t="shared" ca="1" si="478"/>
        <v>1</v>
      </c>
      <c r="D779" s="267" t="s">
        <v>18</v>
      </c>
      <c r="E779" s="48" t="s">
        <v>57</v>
      </c>
      <c r="F779" s="678">
        <f ca="1">SUM(G779:I779)</f>
        <v>75359.765334486132</v>
      </c>
      <c r="G779" s="658">
        <f ca="1">+IFERROR(G$5*GETPIVOTDATA("Unique Billed Hours",'County allocation'!$A$3,"County",$D776,"HHA/CDPAP","CDPAP","Level of Service",$D779),0)</f>
        <v>3029.624797620133</v>
      </c>
      <c r="H779" s="658">
        <f>+IFERROR(H$5*GETPIVOTDATA("Unique Billed Hours",'County allocation'!$A$3,"County",$D776,"HHA/CDPAP","CDPAP","Level of Service",$D779),0)</f>
        <v>2608.4510156876468</v>
      </c>
      <c r="I779" s="678">
        <f ca="1">SUM(J779:P779)</f>
        <v>69721.689521178356</v>
      </c>
      <c r="J779" s="658">
        <f ca="1">+IFERROR(J$5*GETPIVOTDATA("Unique Billed Hours",'County allocation'!$S$3,"County",$D776,"HHA/CDPAP","CDPAP","Level of Service",$D779),0)</f>
        <v>13794.241395877621</v>
      </c>
      <c r="K779" s="658">
        <f ca="1">+IFERROR(K$5*GETPIVOTDATA("Unique Billed Hours",'County allocation'!$X$3,"County",$D776,"HHA/CDPAP","CDPAP","Level of Service",$D779),0)</f>
        <v>55648.947510443766</v>
      </c>
      <c r="L779" s="658">
        <f>+IFERROR(L$5*GETPIVOTDATA("Unique Billed Hours",'County allocation'!$K$19,"County",$D776,"HHA/CDPAP","CDPAP","Level of Service",$D779),0)</f>
        <v>0</v>
      </c>
      <c r="M779" s="658">
        <f>+IFERROR(M$5*GETPIVOTDATA("Unique Billed Hours",'County allocation'!$S$3,"County",$D776,"HHA/CDPAP","CDPAP","Level of Service",$D779),0)</f>
        <v>256.97745467516984</v>
      </c>
      <c r="N779" s="658">
        <f>+IFERROR(N$5*GETPIVOTDATA("Unique Billed Hours",'County allocation'!$S$3,"County",$D776,"HHA/CDPAP","CDPAP","Level of Service",$D779),0)</f>
        <v>21.523160181797447</v>
      </c>
      <c r="O779" s="658">
        <f>+IFERROR(O$5*GETPIVOTDATA("Unique Billed Hours",'County allocation'!$S$3,"County",$D776,"HHA/CDPAP","CDPAP","Level of Service",$D779),0)</f>
        <v>0</v>
      </c>
      <c r="P779" s="658">
        <f>+IFERROR(P$5*GETPIVOTDATA("Unique Billed Hours",'County allocation'!$S$3,"County",$D776,"HHA/CDPAP","CDPAP","Level of Service",$D779),0)</f>
        <v>0</v>
      </c>
    </row>
    <row r="780" spans="1:16" x14ac:dyDescent="0.25">
      <c r="B780" s="24"/>
      <c r="C780" s="9">
        <f t="shared" ca="1" si="478"/>
        <v>1</v>
      </c>
      <c r="D780" s="267" t="s">
        <v>42</v>
      </c>
      <c r="E780" s="48" t="s">
        <v>56</v>
      </c>
      <c r="F780" s="678">
        <f t="shared" ref="F780:F784" ca="1" si="479">SUM(G780:I780)</f>
        <v>0</v>
      </c>
      <c r="G780" s="658">
        <f ca="1">+IFERROR(G$5*GETPIVOTDATA("Unique Billed Hours",'County allocation'!$A$3,"County",$D776,"HHA/CDPAP","CDPAP","Level of Service",$D780),0)</f>
        <v>0</v>
      </c>
      <c r="H780" s="658">
        <f>+IFERROR(H$5*GETPIVOTDATA("Unique Billed Hours",'County allocation'!$A$3,"County",$D776,"HHA/CDPAP","CDPAP","Level of Service",$D780),0)</f>
        <v>0</v>
      </c>
      <c r="I780" s="678">
        <f t="shared" ref="I780:I787" ca="1" si="480">SUM(J780:P780)</f>
        <v>0</v>
      </c>
      <c r="J780" s="658">
        <f ca="1">+IFERROR(J$5*GETPIVOTDATA("Unique Billed Hours",'County allocation'!$S$3,"County",$D776,"HHA/CDPAP","CDPAP","Level of Service",$D780),0)</f>
        <v>0</v>
      </c>
      <c r="K780" s="658">
        <f ca="1">+IFERROR(K$5*GETPIVOTDATA("Unique Billed Hours",'County allocation'!$X$3,"County",$D776,"HHA/CDPAP","CDPAP","Level of Service",$D780),0)</f>
        <v>0</v>
      </c>
      <c r="L780" s="658">
        <f>+IFERROR(L$5*GETPIVOTDATA("Unique Billed Hours",'County allocation'!$K$19,"County",$D776,"HHA/CDPAP","CDPAP","Level of Service",$D780),0)</f>
        <v>0</v>
      </c>
      <c r="M780" s="658">
        <f>+IFERROR(M$5*GETPIVOTDATA("Unique Billed Hours",'County allocation'!$S$3,"County",$D776,"HHA/CDPAP","CDPAP","Level of Service",$D780),0)</f>
        <v>0</v>
      </c>
      <c r="N780" s="658">
        <f>+IFERROR(N$5*GETPIVOTDATA("Unique Billed Hours",'County allocation'!$S$3,"County",$D776,"HHA/CDPAP","CDPAP","Level of Service",$D780),0)</f>
        <v>0</v>
      </c>
      <c r="O780" s="658">
        <f>+IFERROR(O$5*GETPIVOTDATA("Unique Billed Hours",'County allocation'!$S$3,"County",$D776,"HHA/CDPAP","CDPAP","Level of Service",$D780),0)</f>
        <v>0</v>
      </c>
      <c r="P780" s="658">
        <f>+IFERROR(P$5*GETPIVOTDATA("Unique Billed Hours",'County allocation'!$S$3,"County",$D776,"HHA/CDPAP","CDPAP","Level of Service",$D780),0)</f>
        <v>0</v>
      </c>
    </row>
    <row r="781" spans="1:16" x14ac:dyDescent="0.25">
      <c r="B781" s="24"/>
      <c r="C781" s="9">
        <f t="shared" ca="1" si="478"/>
        <v>1</v>
      </c>
      <c r="D781" s="267" t="s">
        <v>43</v>
      </c>
      <c r="E781" s="48" t="s">
        <v>55</v>
      </c>
      <c r="F781" s="678">
        <f t="shared" ca="1" si="479"/>
        <v>0</v>
      </c>
      <c r="G781" s="658">
        <f ca="1">+IFERROR(G$5*GETPIVOTDATA("Unique Billed Hours",'County allocation'!$A$3,"County",$D776,"HHA/CDPAP","CDPAP","Level of Service",$D781),0)</f>
        <v>0</v>
      </c>
      <c r="H781" s="658">
        <f>+IFERROR(H$5*GETPIVOTDATA("Unique Billed Hours",'County allocation'!$A$3,"County",$D776,"HHA/CDPAP","CDPAP","Level of Service",$D781),0)</f>
        <v>0</v>
      </c>
      <c r="I781" s="678">
        <f t="shared" ca="1" si="480"/>
        <v>0</v>
      </c>
      <c r="J781" s="658">
        <f ca="1">+IFERROR(J$5*GETPIVOTDATA("Unique Billed Hours",'County allocation'!$S$3,"County",$D776,"HHA/CDPAP","CDPAP","Level of Service",$D781),0)</f>
        <v>0</v>
      </c>
      <c r="K781" s="658">
        <f ca="1">+IFERROR(K$5*GETPIVOTDATA("Unique Billed Hours",'County allocation'!$X$3,"County",$D776,"HHA/CDPAP","CDPAP","Level of Service",$D781),0)</f>
        <v>0</v>
      </c>
      <c r="L781" s="658">
        <f>+IFERROR(L$5*GETPIVOTDATA("Unique Billed Hours",'County allocation'!$K$19,"County",$D776,"HHA/CDPAP","CDPAP","Level of Service",$D781),0)</f>
        <v>0</v>
      </c>
      <c r="M781" s="658">
        <f>+IFERROR(M$5*GETPIVOTDATA("Unique Billed Hours",'County allocation'!$S$3,"County",$D776,"HHA/CDPAP","CDPAP","Level of Service",$D781),0)</f>
        <v>0</v>
      </c>
      <c r="N781" s="658">
        <f>+IFERROR(N$5*GETPIVOTDATA("Unique Billed Hours",'County allocation'!$S$3,"County",$D776,"HHA/CDPAP","CDPAP","Level of Service",$D781),0)</f>
        <v>0</v>
      </c>
      <c r="O781" s="658">
        <f>+IFERROR(O$5*GETPIVOTDATA("Unique Billed Hours",'County allocation'!$S$3,"County",$D776,"HHA/CDPAP","CDPAP","Level of Service",$D781),0)</f>
        <v>0</v>
      </c>
      <c r="P781" s="658">
        <f>+IFERROR(P$5*GETPIVOTDATA("Unique Billed Hours",'County allocation'!$S$3,"County",$D776,"HHA/CDPAP","CDPAP","Level of Service",$D781),0)</f>
        <v>0</v>
      </c>
    </row>
    <row r="782" spans="1:16" x14ac:dyDescent="0.25">
      <c r="B782" s="24"/>
      <c r="C782" s="9">
        <f t="shared" ca="1" si="478"/>
        <v>1</v>
      </c>
      <c r="D782" s="267" t="s">
        <v>44</v>
      </c>
      <c r="E782" s="48" t="s">
        <v>54</v>
      </c>
      <c r="F782" s="678">
        <f t="shared" ca="1" si="479"/>
        <v>0</v>
      </c>
      <c r="G782" s="658">
        <f ca="1">+IFERROR(G$5*GETPIVOTDATA("Unique Billed Hours",'County allocation'!$A$3,"County",$D776,"HHA/CDPAP","CDPAP","Level of Service",$D782),0)</f>
        <v>0</v>
      </c>
      <c r="H782" s="658">
        <f>+IFERROR(H$5*GETPIVOTDATA("Unique Billed Hours",'County allocation'!$A$3,"County",$D776,"HHA/CDPAP","CDPAP","Level of Service",$D782),0)</f>
        <v>0</v>
      </c>
      <c r="I782" s="678">
        <f t="shared" ca="1" si="480"/>
        <v>0</v>
      </c>
      <c r="J782" s="658">
        <f ca="1">+IFERROR(J$5*GETPIVOTDATA("Unique Billed Hours",'County allocation'!$S$3,"County",$D776,"HHA/CDPAP","CDPAP","Level of Service",$D782),0)</f>
        <v>0</v>
      </c>
      <c r="K782" s="658">
        <f ca="1">+IFERROR(K$5*GETPIVOTDATA("Unique Billed Hours",'County allocation'!$X$3,"County",$D776,"HHA/CDPAP","CDPAP","Level of Service",$D782),0)</f>
        <v>0</v>
      </c>
      <c r="L782" s="658">
        <f>+IFERROR(L$5*GETPIVOTDATA("Unique Billed Hours",'County allocation'!$K$19,"County",$D776,"HHA/CDPAP","CDPAP","Level of Service",$D782),0)</f>
        <v>0</v>
      </c>
      <c r="M782" s="658">
        <f>+IFERROR(M$5*GETPIVOTDATA("Unique Billed Hours",'County allocation'!$S$3,"County",$D776,"HHA/CDPAP","CDPAP","Level of Service",$D782),0)</f>
        <v>0</v>
      </c>
      <c r="N782" s="658">
        <f>+IFERROR(N$5*GETPIVOTDATA("Unique Billed Hours",'County allocation'!$S$3,"County",$D776,"HHA/CDPAP","CDPAP","Level of Service",$D782),0)</f>
        <v>0</v>
      </c>
      <c r="O782" s="658">
        <f>+IFERROR(O$5*GETPIVOTDATA("Unique Billed Hours",'County allocation'!$S$3,"County",$D776,"HHA/CDPAP","CDPAP","Level of Service",$D782),0)</f>
        <v>0</v>
      </c>
      <c r="P782" s="658">
        <f>+IFERROR(P$5*GETPIVOTDATA("Unique Billed Hours",'County allocation'!$S$3,"County",$D776,"HHA/CDPAP","CDPAP","Level of Service",$D782),0)</f>
        <v>0</v>
      </c>
    </row>
    <row r="783" spans="1:16" x14ac:dyDescent="0.25">
      <c r="B783" s="24"/>
      <c r="C783" s="9">
        <f t="shared" ca="1" si="478"/>
        <v>1</v>
      </c>
      <c r="D783" s="267" t="s">
        <v>45</v>
      </c>
      <c r="E783" s="48" t="s">
        <v>53</v>
      </c>
      <c r="F783" s="678">
        <f t="shared" ca="1" si="479"/>
        <v>0</v>
      </c>
      <c r="G783" s="658">
        <f ca="1">+IFERROR(G$5*GETPIVOTDATA("Unique Billed Hours",'County allocation'!$A$3,"County",$D776,"HHA/CDPAP","CDPAP","Level of Service",$D783),0)</f>
        <v>0</v>
      </c>
      <c r="H783" s="658">
        <f>+IFERROR(H$5*GETPIVOTDATA("Unique Billed Hours",'County allocation'!$A$3,"County",$D776,"HHA/CDPAP","CDPAP","Level of Service",$D783),0)</f>
        <v>0</v>
      </c>
      <c r="I783" s="678">
        <f t="shared" ca="1" si="480"/>
        <v>0</v>
      </c>
      <c r="J783" s="658">
        <f ca="1">+IFERROR(J$5*GETPIVOTDATA("Unique Billed Hours",'County allocation'!$S$3,"County",$D776,"HHA/CDPAP","CDPAP","Level of Service",$D783),0)</f>
        <v>0</v>
      </c>
      <c r="K783" s="658">
        <f ca="1">+IFERROR(K$5*GETPIVOTDATA("Unique Billed Hours",'County allocation'!$X$3,"County",$D776,"HHA/CDPAP","CDPAP","Level of Service",$D783),0)</f>
        <v>0</v>
      </c>
      <c r="L783" s="658">
        <f>+IFERROR(L$5*GETPIVOTDATA("Unique Billed Hours",'County allocation'!$K$19,"County",$D776,"HHA/CDPAP","CDPAP","Level of Service",$D783),0)</f>
        <v>0</v>
      </c>
      <c r="M783" s="658">
        <f>+IFERROR(M$5*GETPIVOTDATA("Unique Billed Hours",'County allocation'!$S$3,"County",$D776,"HHA/CDPAP","CDPAP","Level of Service",$D783),0)</f>
        <v>0</v>
      </c>
      <c r="N783" s="658">
        <f>+IFERROR(N$5*GETPIVOTDATA("Unique Billed Hours",'County allocation'!$S$3,"County",$D776,"HHA/CDPAP","CDPAP","Level of Service",$D783),0)</f>
        <v>0</v>
      </c>
      <c r="O783" s="658">
        <f>+IFERROR(O$5*GETPIVOTDATA("Unique Billed Hours",'County allocation'!$S$3,"County",$D776,"HHA/CDPAP","CDPAP","Level of Service",$D783),0)</f>
        <v>0</v>
      </c>
      <c r="P783" s="658">
        <f>+IFERROR(P$5*GETPIVOTDATA("Unique Billed Hours",'County allocation'!$S$3,"County",$D776,"HHA/CDPAP","CDPAP","Level of Service",$D783),0)</f>
        <v>0</v>
      </c>
    </row>
    <row r="784" spans="1:16" x14ac:dyDescent="0.25">
      <c r="A784" s="302"/>
      <c r="B784" s="24"/>
      <c r="C784" s="9">
        <f t="shared" ca="1" si="478"/>
        <v>1</v>
      </c>
      <c r="D784" s="267" t="s">
        <v>46</v>
      </c>
      <c r="E784" s="48" t="s">
        <v>52</v>
      </c>
      <c r="F784" s="678">
        <f t="shared" ca="1" si="479"/>
        <v>0</v>
      </c>
      <c r="G784" s="658">
        <f ca="1">+IFERROR(G$5*GETPIVOTDATA("Unique Billed Hours",'County allocation'!$A$3,"County",$D776,"HHA/CDPAP","CDPAP","Level of Service",$D784),0)</f>
        <v>0</v>
      </c>
      <c r="H784" s="658">
        <f>+IFERROR(H$5*GETPIVOTDATA("Unique Billed Hours",'County allocation'!$A$3,"County",$D776,"HHA/CDPAP","CDPAP","Level of Service",$D784),0)</f>
        <v>0</v>
      </c>
      <c r="I784" s="678">
        <f t="shared" ca="1" si="480"/>
        <v>0</v>
      </c>
      <c r="J784" s="658">
        <f ca="1">+IFERROR(J$5*GETPIVOTDATA("Unique Billed Hours",'County allocation'!$S$3,"County",$D776,"HHA/CDPAP","CDPAP","Level of Service",$D784),0)</f>
        <v>0</v>
      </c>
      <c r="K784" s="658">
        <f ca="1">+IFERROR(K$5*GETPIVOTDATA("Unique Billed Hours",'County allocation'!$X$3,"County",$D776,"HHA/CDPAP","CDPAP","Level of Service",$D784),0)</f>
        <v>0</v>
      </c>
      <c r="L784" s="658">
        <f>+IFERROR(L$5*GETPIVOTDATA("Unique Billed Hours",'County allocation'!$K$19,"County",$D776,"HHA/CDPAP","CDPAP","Level of Service",$D784),0)</f>
        <v>0</v>
      </c>
      <c r="M784" s="658">
        <f>+IFERROR(M$5*GETPIVOTDATA("Unique Billed Hours",'County allocation'!$S$3,"County",$D776,"HHA/CDPAP","CDPAP","Level of Service",$D784),0)</f>
        <v>0</v>
      </c>
      <c r="N784" s="658">
        <f>+IFERROR(N$5*GETPIVOTDATA("Unique Billed Hours",'County allocation'!$S$3,"County",$D776,"HHA/CDPAP","CDPAP","Level of Service",$D784),0)</f>
        <v>0</v>
      </c>
      <c r="O784" s="658">
        <f>+IFERROR(O$5*GETPIVOTDATA("Unique Billed Hours",'County allocation'!$S$3,"County",$D776,"HHA/CDPAP","CDPAP","Level of Service",$D784),0)</f>
        <v>0</v>
      </c>
      <c r="P784" s="658">
        <f>+IFERROR(P$5*GETPIVOTDATA("Unique Billed Hours",'County allocation'!$S$3,"County",$D776,"HHA/CDPAP","CDPAP","Level of Service",$D784),0)</f>
        <v>0</v>
      </c>
    </row>
    <row r="785" spans="1:16" ht="15.75" thickBot="1" x14ac:dyDescent="0.3">
      <c r="A785" s="302"/>
      <c r="B785" s="24"/>
      <c r="C785" s="9">
        <f t="shared" ca="1" si="478"/>
        <v>1</v>
      </c>
      <c r="D785" s="52" t="s">
        <v>389</v>
      </c>
      <c r="E785" s="370" t="s">
        <v>51</v>
      </c>
      <c r="F785" s="679">
        <f ca="1">SUM(F779:F784)</f>
        <v>75359.765334486132</v>
      </c>
      <c r="G785" s="679">
        <f t="shared" ref="G785:H785" ca="1" si="481">SUM(G779:G784)</f>
        <v>3029.624797620133</v>
      </c>
      <c r="H785" s="679">
        <f t="shared" si="481"/>
        <v>2608.4510156876468</v>
      </c>
      <c r="I785" s="678">
        <f t="shared" ca="1" si="480"/>
        <v>69721.689521178356</v>
      </c>
      <c r="J785" s="679">
        <f ca="1">SUM(J779:J784)</f>
        <v>13794.241395877621</v>
      </c>
      <c r="K785" s="679">
        <f t="shared" ref="K785:P785" ca="1" si="482">SUM(K779:K784)</f>
        <v>55648.947510443766</v>
      </c>
      <c r="L785" s="679">
        <f t="shared" si="482"/>
        <v>0</v>
      </c>
      <c r="M785" s="679">
        <f t="shared" si="482"/>
        <v>256.97745467516984</v>
      </c>
      <c r="N785" s="679">
        <f t="shared" si="482"/>
        <v>21.523160181797447</v>
      </c>
      <c r="O785" s="679">
        <f t="shared" si="482"/>
        <v>0</v>
      </c>
      <c r="P785" s="679">
        <f t="shared" si="482"/>
        <v>0</v>
      </c>
    </row>
    <row r="786" spans="1:16" x14ac:dyDescent="0.25">
      <c r="A786" s="302"/>
      <c r="B786" s="24"/>
      <c r="C786" s="9">
        <f t="shared" ca="1" si="478"/>
        <v>1</v>
      </c>
      <c r="D786" s="378" t="s">
        <v>390</v>
      </c>
      <c r="E786" s="370" t="s">
        <v>50</v>
      </c>
      <c r="F786" s="678">
        <f t="shared" ref="F786" ca="1" si="483">SUM(G786:I786)</f>
        <v>0</v>
      </c>
      <c r="G786" s="658">
        <f ca="1">+IFERROR(G$5*GETPIVOTDATA("Unique Billed Hours",'County allocation'!$A$3,"County",$D776,"HHA/CDPAP","CDPAP","Level of Service",$D786),0)</f>
        <v>0</v>
      </c>
      <c r="H786" s="659"/>
      <c r="I786" s="678">
        <f t="shared" si="480"/>
        <v>0</v>
      </c>
      <c r="J786" s="659"/>
      <c r="K786" s="659"/>
      <c r="L786" s="659"/>
      <c r="M786" s="659"/>
      <c r="N786" s="659"/>
      <c r="O786" s="659"/>
      <c r="P786" s="659"/>
    </row>
    <row r="787" spans="1:16" ht="15.75" thickBot="1" x14ac:dyDescent="0.3">
      <c r="B787" s="24"/>
      <c r="C787" s="9">
        <f t="shared" ca="1" si="478"/>
        <v>1</v>
      </c>
      <c r="D787" s="11" t="s">
        <v>48</v>
      </c>
      <c r="E787" s="53" t="s">
        <v>49</v>
      </c>
      <c r="F787" s="662">
        <f ca="1">SUBTOTAL(9,F779:F784)</f>
        <v>75359.765334486132</v>
      </c>
      <c r="G787" s="662">
        <f t="shared" ref="G787:H787" ca="1" si="484">SUBTOTAL(9,G779:G784)</f>
        <v>3029.624797620133</v>
      </c>
      <c r="H787" s="662">
        <f t="shared" si="484"/>
        <v>2608.4510156876468</v>
      </c>
      <c r="I787" s="678">
        <f t="shared" ca="1" si="480"/>
        <v>69721.689521178356</v>
      </c>
      <c r="J787" s="662">
        <f t="shared" ref="J787:P787" ca="1" si="485">SUBTOTAL(9,J779:J784)</f>
        <v>13794.241395877621</v>
      </c>
      <c r="K787" s="662">
        <f t="shared" ca="1" si="485"/>
        <v>55648.947510443766</v>
      </c>
      <c r="L787" s="662">
        <f t="shared" si="485"/>
        <v>0</v>
      </c>
      <c r="M787" s="662">
        <f t="shared" si="485"/>
        <v>256.97745467516984</v>
      </c>
      <c r="N787" s="662">
        <f t="shared" si="485"/>
        <v>21.523160181797447</v>
      </c>
      <c r="O787" s="662">
        <f t="shared" si="485"/>
        <v>0</v>
      </c>
      <c r="P787" s="662">
        <f t="shared" si="485"/>
        <v>0</v>
      </c>
    </row>
    <row r="788" spans="1:16" ht="15.75" hidden="1" thickBot="1" x14ac:dyDescent="0.3"/>
    <row r="789" spans="1:16" ht="75" x14ac:dyDescent="0.25">
      <c r="A789" s="60"/>
      <c r="B789" s="24"/>
      <c r="C789" s="9">
        <f ca="1">IF(F800&gt;0,1,0)</f>
        <v>1</v>
      </c>
      <c r="D789" s="45" t="str">
        <f>A63</f>
        <v>Westchester</v>
      </c>
      <c r="E789" s="28">
        <f>SUMIF(A:A,D789,B:B)</f>
        <v>2.408470791134289E-2</v>
      </c>
      <c r="F789" s="652" t="s">
        <v>396</v>
      </c>
      <c r="G789" s="652" t="s">
        <v>387</v>
      </c>
      <c r="H789" s="652" t="s">
        <v>388</v>
      </c>
      <c r="I789" s="652" t="s">
        <v>392</v>
      </c>
      <c r="J789" s="652" t="s">
        <v>31</v>
      </c>
      <c r="K789" s="652" t="s">
        <v>32</v>
      </c>
      <c r="L789" s="653" t="s">
        <v>33</v>
      </c>
      <c r="M789" s="653" t="s">
        <v>60</v>
      </c>
      <c r="N789" s="653" t="s">
        <v>59</v>
      </c>
      <c r="O789" s="653" t="s">
        <v>58</v>
      </c>
      <c r="P789" s="653" t="s">
        <v>16</v>
      </c>
    </row>
    <row r="790" spans="1:16" x14ac:dyDescent="0.25">
      <c r="A790" s="60"/>
      <c r="B790" s="24"/>
      <c r="C790" s="9">
        <f ca="1">C789</f>
        <v>1</v>
      </c>
      <c r="D790" s="47"/>
      <c r="E790" s="48"/>
      <c r="F790" s="669" t="s">
        <v>57</v>
      </c>
      <c r="G790" s="669" t="s">
        <v>56</v>
      </c>
      <c r="H790" s="669" t="s">
        <v>55</v>
      </c>
      <c r="I790" s="669" t="s">
        <v>54</v>
      </c>
      <c r="J790" s="669" t="s">
        <v>53</v>
      </c>
      <c r="K790" s="669" t="s">
        <v>52</v>
      </c>
      <c r="L790" s="669" t="s">
        <v>51</v>
      </c>
      <c r="M790" s="669" t="s">
        <v>50</v>
      </c>
      <c r="N790" s="669" t="s">
        <v>49</v>
      </c>
      <c r="O790" s="669" t="s">
        <v>47</v>
      </c>
      <c r="P790" s="670" t="s">
        <v>77</v>
      </c>
    </row>
    <row r="791" spans="1:16" x14ac:dyDescent="0.25">
      <c r="B791" s="24"/>
      <c r="C791" s="9">
        <f t="shared" ref="C791:C800" ca="1" si="486">C790</f>
        <v>1</v>
      </c>
      <c r="D791" s="51" t="s">
        <v>26</v>
      </c>
      <c r="E791" s="48"/>
      <c r="F791" s="674"/>
      <c r="G791" s="674"/>
      <c r="H791" s="674"/>
      <c r="I791" s="674"/>
      <c r="J791" s="674"/>
      <c r="K791" s="674"/>
      <c r="L791" s="675"/>
      <c r="M791" s="675"/>
      <c r="N791" s="676"/>
      <c r="O791" s="674"/>
      <c r="P791" s="677"/>
    </row>
    <row r="792" spans="1:16" x14ac:dyDescent="0.25">
      <c r="B792" s="24"/>
      <c r="C792" s="9">
        <f t="shared" ca="1" si="486"/>
        <v>1</v>
      </c>
      <c r="D792" s="267" t="s">
        <v>18</v>
      </c>
      <c r="E792" s="48" t="s">
        <v>57</v>
      </c>
      <c r="F792" s="678">
        <f ca="1">SUM(G792:I792)</f>
        <v>2009710.0638312087</v>
      </c>
      <c r="G792" s="658">
        <f ca="1">+IFERROR(G$5*GETPIVOTDATA("Unique Billed Hours",'County allocation'!$A$3,"County",$D789,"HHA/CDPAP","CDPAP","Level of Service",$D792),0)</f>
        <v>80794.670981060946</v>
      </c>
      <c r="H792" s="658">
        <f>+IFERROR(H$5*GETPIVOTDATA("Unique Billed Hours",'County allocation'!$A$3,"County",$D789,"HHA/CDPAP","CDPAP","Level of Service",$D792),0)</f>
        <v>69562.72002666723</v>
      </c>
      <c r="I792" s="678">
        <f ca="1">SUM(J792:P792)</f>
        <v>1859352.6728234806</v>
      </c>
      <c r="J792" s="658">
        <f ca="1">+IFERROR(J$5*GETPIVOTDATA("Unique Billed Hours",'County allocation'!$S$3,"County",$D789,"HHA/CDPAP","CDPAP","Level of Service",$D792),0)</f>
        <v>367867.72932699113</v>
      </c>
      <c r="K792" s="658">
        <f ca="1">+IFERROR(K$5*GETPIVOTDATA("Unique Billed Hours",'County allocation'!$X$3,"County",$D789,"HHA/CDPAP","CDPAP","Level of Service",$D792),0)</f>
        <v>1484057.8305539668</v>
      </c>
      <c r="L792" s="658">
        <f>+IFERROR(L$5*GETPIVOTDATA("Unique Billed Hours",'County allocation'!$K$19,"County",$D789,"HHA/CDPAP","CDPAP","Level of Service",$D792),0)</f>
        <v>0</v>
      </c>
      <c r="M792" s="658">
        <f>+IFERROR(M$5*GETPIVOTDATA("Unique Billed Hours",'County allocation'!$S$3,"County",$D789,"HHA/CDPAP","CDPAP","Level of Service",$D792),0)</f>
        <v>6853.1287822638596</v>
      </c>
      <c r="N792" s="658">
        <f>+IFERROR(N$5*GETPIVOTDATA("Unique Billed Hours",'County allocation'!$S$3,"County",$D789,"HHA/CDPAP","CDPAP","Level of Service",$D792),0)</f>
        <v>573.98416025872336</v>
      </c>
      <c r="O792" s="658">
        <f>+IFERROR(O$5*GETPIVOTDATA("Unique Billed Hours",'County allocation'!$S$3,"County",$D789,"HHA/CDPAP","CDPAP","Level of Service",$D792),0)</f>
        <v>0</v>
      </c>
      <c r="P792" s="658">
        <f>+IFERROR(P$5*GETPIVOTDATA("Unique Billed Hours",'County allocation'!$S$3,"County",$D789,"HHA/CDPAP","CDPAP","Level of Service",$D792),0)</f>
        <v>0</v>
      </c>
    </row>
    <row r="793" spans="1:16" x14ac:dyDescent="0.25">
      <c r="B793" s="24"/>
      <c r="C793" s="9">
        <f t="shared" ca="1" si="486"/>
        <v>1</v>
      </c>
      <c r="D793" s="267" t="s">
        <v>42</v>
      </c>
      <c r="E793" s="48" t="s">
        <v>56</v>
      </c>
      <c r="F793" s="678">
        <f t="shared" ref="F793:F797" ca="1" si="487">SUM(G793:I793)</f>
        <v>61511.958400548952</v>
      </c>
      <c r="G793" s="658">
        <f ca="1">+IFERROR(G$5*GETPIVOTDATA("Unique Billed Hours",'County allocation'!$A$3,"County",$D789,"HHA/CDPAP","CDPAP","Level of Service",$D793),0)</f>
        <v>2472.9131479288185</v>
      </c>
      <c r="H793" s="658">
        <f>+IFERROR(H$5*GETPIVOTDATA("Unique Billed Hours",'County allocation'!$A$3,"County",$D789,"HHA/CDPAP","CDPAP","Level of Service",$D793),0)</f>
        <v>2129.1325637053524</v>
      </c>
      <c r="I793" s="678">
        <f t="shared" ref="I793:I800" ca="1" si="488">SUM(J793:P793)</f>
        <v>56909.912688914781</v>
      </c>
      <c r="J793" s="658">
        <f ca="1">+IFERROR(J$5*GETPIVOTDATA("Unique Billed Hours",'County allocation'!$S$3,"County",$D789,"HHA/CDPAP","CDPAP","Level of Service",$D793),0)</f>
        <v>11259.467159222417</v>
      </c>
      <c r="K793" s="658">
        <f ca="1">+IFERROR(K$5*GETPIVOTDATA("Unique Billed Hours",'County allocation'!$X$3,"County",$D789,"HHA/CDPAP","CDPAP","Level of Service",$D793),0)</f>
        <v>45423.121066040279</v>
      </c>
      <c r="L793" s="658">
        <f>+IFERROR(L$5*GETPIVOTDATA("Unique Billed Hours",'County allocation'!$K$19,"County",$D789,"HHA/CDPAP","CDPAP","Level of Service",$D793),0)</f>
        <v>0</v>
      </c>
      <c r="M793" s="658">
        <f>+IFERROR(M$5*GETPIVOTDATA("Unique Billed Hours",'County allocation'!$S$3,"County",$D789,"HHA/CDPAP","CDPAP","Level of Service",$D793),0)</f>
        <v>209.75631269149292</v>
      </c>
      <c r="N793" s="658">
        <f>+IFERROR(N$5*GETPIVOTDATA("Unique Billed Hours",'County allocation'!$S$3,"County",$D789,"HHA/CDPAP","CDPAP","Level of Service",$D793),0)</f>
        <v>17.568150960592476</v>
      </c>
      <c r="O793" s="658">
        <f>+IFERROR(O$5*GETPIVOTDATA("Unique Billed Hours",'County allocation'!$S$3,"County",$D789,"HHA/CDPAP","CDPAP","Level of Service",$D793),0)</f>
        <v>0</v>
      </c>
      <c r="P793" s="658">
        <f>+IFERROR(P$5*GETPIVOTDATA("Unique Billed Hours",'County allocation'!$S$3,"County",$D789,"HHA/CDPAP","CDPAP","Level of Service",$D793),0)</f>
        <v>0</v>
      </c>
    </row>
    <row r="794" spans="1:16" x14ac:dyDescent="0.25">
      <c r="B794" s="24"/>
      <c r="C794" s="9">
        <f t="shared" ca="1" si="486"/>
        <v>1</v>
      </c>
      <c r="D794" s="267" t="s">
        <v>43</v>
      </c>
      <c r="E794" s="48" t="s">
        <v>55</v>
      </c>
      <c r="F794" s="678">
        <f t="shared" ca="1" si="487"/>
        <v>0</v>
      </c>
      <c r="G794" s="658">
        <f ca="1">+IFERROR(G$5*GETPIVOTDATA("Unique Billed Hours",'County allocation'!$A$3,"County",$D789,"HHA/CDPAP","CDPAP","Level of Service",$D794),0)</f>
        <v>0</v>
      </c>
      <c r="H794" s="658">
        <f>+IFERROR(H$5*GETPIVOTDATA("Unique Billed Hours",'County allocation'!$A$3,"County",$D789,"HHA/CDPAP","CDPAP","Level of Service",$D794),0)</f>
        <v>0</v>
      </c>
      <c r="I794" s="678">
        <f t="shared" ca="1" si="488"/>
        <v>0</v>
      </c>
      <c r="J794" s="658">
        <f ca="1">+IFERROR(J$5*GETPIVOTDATA("Unique Billed Hours",'County allocation'!$S$3,"County",$D789,"HHA/CDPAP","CDPAP","Level of Service",$D794),0)</f>
        <v>0</v>
      </c>
      <c r="K794" s="658">
        <f ca="1">+IFERROR(K$5*GETPIVOTDATA("Unique Billed Hours",'County allocation'!$X$3,"County",$D789,"HHA/CDPAP","CDPAP","Level of Service",$D794),0)</f>
        <v>0</v>
      </c>
      <c r="L794" s="658">
        <f>+IFERROR(L$5*GETPIVOTDATA("Unique Billed Hours",'County allocation'!$K$19,"County",$D789,"HHA/CDPAP","CDPAP","Level of Service",$D794),0)</f>
        <v>0</v>
      </c>
      <c r="M794" s="658">
        <f>+IFERROR(M$5*GETPIVOTDATA("Unique Billed Hours",'County allocation'!$S$3,"County",$D789,"HHA/CDPAP","CDPAP","Level of Service",$D794),0)</f>
        <v>0</v>
      </c>
      <c r="N794" s="658">
        <f>+IFERROR(N$5*GETPIVOTDATA("Unique Billed Hours",'County allocation'!$S$3,"County",$D789,"HHA/CDPAP","CDPAP","Level of Service",$D794),0)</f>
        <v>0</v>
      </c>
      <c r="O794" s="658">
        <f>+IFERROR(O$5*GETPIVOTDATA("Unique Billed Hours",'County allocation'!$S$3,"County",$D789,"HHA/CDPAP","CDPAP","Level of Service",$D794),0)</f>
        <v>0</v>
      </c>
      <c r="P794" s="658">
        <f>+IFERROR(P$5*GETPIVOTDATA("Unique Billed Hours",'County allocation'!$S$3,"County",$D789,"HHA/CDPAP","CDPAP","Level of Service",$D794),0)</f>
        <v>0</v>
      </c>
    </row>
    <row r="795" spans="1:16" x14ac:dyDescent="0.25">
      <c r="B795" s="24"/>
      <c r="C795" s="9">
        <f t="shared" ca="1" si="486"/>
        <v>1</v>
      </c>
      <c r="D795" s="267" t="s">
        <v>44</v>
      </c>
      <c r="E795" s="48" t="s">
        <v>54</v>
      </c>
      <c r="F795" s="678">
        <f t="shared" ca="1" si="487"/>
        <v>4963.0540051230855</v>
      </c>
      <c r="G795" s="658">
        <f ca="1">+IFERROR(G$5*GETPIVOTDATA("Unique Billed Hours",'County allocation'!$A$3,"County",$D789,"HHA/CDPAP","CDPAP","Level of Service",$D795),0)</f>
        <v>199.52545524936707</v>
      </c>
      <c r="H795" s="658">
        <f>+IFERROR(H$5*GETPIVOTDATA("Unique Billed Hours",'County allocation'!$A$3,"County",$D789,"HHA/CDPAP","CDPAP","Level of Service",$D795),0)</f>
        <v>171.78773319045436</v>
      </c>
      <c r="I795" s="678">
        <f t="shared" ca="1" si="488"/>
        <v>4591.7408166832638</v>
      </c>
      <c r="J795" s="658">
        <f ca="1">+IFERROR(J$5*GETPIVOTDATA("Unique Billed Hours",'County allocation'!$S$3,"County",$D789,"HHA/CDPAP","CDPAP","Level of Service",$D795),0)</f>
        <v>908.46308641722521</v>
      </c>
      <c r="K795" s="658">
        <f ca="1">+IFERROR(K$5*GETPIVOTDATA("Unique Billed Hours",'County allocation'!$X$3,"County",$D789,"HHA/CDPAP","CDPAP","Level of Service",$D795),0)</f>
        <v>3664.9361976742089</v>
      </c>
      <c r="L795" s="658">
        <f>+IFERROR(L$5*GETPIVOTDATA("Unique Billed Hours",'County allocation'!$K$19,"County",$D789,"HHA/CDPAP","CDPAP","Level of Service",$D795),0)</f>
        <v>0</v>
      </c>
      <c r="M795" s="658">
        <f>+IFERROR(M$5*GETPIVOTDATA("Unique Billed Hours",'County allocation'!$S$3,"County",$D789,"HHA/CDPAP","CDPAP","Level of Service",$D795),0)</f>
        <v>16.924057286949811</v>
      </c>
      <c r="N795" s="658">
        <f>+IFERROR(N$5*GETPIVOTDATA("Unique Billed Hours",'County allocation'!$S$3,"County",$D789,"HHA/CDPAP","CDPAP","Level of Service",$D795),0)</f>
        <v>1.4174753048798614</v>
      </c>
      <c r="O795" s="658">
        <f>+IFERROR(O$5*GETPIVOTDATA("Unique Billed Hours",'County allocation'!$S$3,"County",$D789,"HHA/CDPAP","CDPAP","Level of Service",$D795),0)</f>
        <v>0</v>
      </c>
      <c r="P795" s="658">
        <f>+IFERROR(P$5*GETPIVOTDATA("Unique Billed Hours",'County allocation'!$S$3,"County",$D789,"HHA/CDPAP","CDPAP","Level of Service",$D795),0)</f>
        <v>0</v>
      </c>
    </row>
    <row r="796" spans="1:16" x14ac:dyDescent="0.25">
      <c r="B796" s="24"/>
      <c r="C796" s="9">
        <f t="shared" ca="1" si="486"/>
        <v>1</v>
      </c>
      <c r="D796" s="267" t="s">
        <v>45</v>
      </c>
      <c r="E796" s="48" t="s">
        <v>53</v>
      </c>
      <c r="F796" s="678">
        <f t="shared" ca="1" si="487"/>
        <v>0</v>
      </c>
      <c r="G796" s="658">
        <f ca="1">+IFERROR(G$5*GETPIVOTDATA("Unique Billed Hours",'County allocation'!$A$3,"County",$D789,"HHA/CDPAP","CDPAP","Level of Service",$D796),0)</f>
        <v>0</v>
      </c>
      <c r="H796" s="658">
        <f>+IFERROR(H$5*GETPIVOTDATA("Unique Billed Hours",'County allocation'!$A$3,"County",$D789,"HHA/CDPAP","CDPAP","Level of Service",$D796),0)</f>
        <v>0</v>
      </c>
      <c r="I796" s="678">
        <f t="shared" ca="1" si="488"/>
        <v>0</v>
      </c>
      <c r="J796" s="658">
        <f ca="1">+IFERROR(J$5*GETPIVOTDATA("Unique Billed Hours",'County allocation'!$S$3,"County",$D789,"HHA/CDPAP","CDPAP","Level of Service",$D796),0)</f>
        <v>0</v>
      </c>
      <c r="K796" s="658">
        <f ca="1">+IFERROR(K$5*GETPIVOTDATA("Unique Billed Hours",'County allocation'!$X$3,"County",$D789,"HHA/CDPAP","CDPAP","Level of Service",$D796),0)</f>
        <v>0</v>
      </c>
      <c r="L796" s="658">
        <f>+IFERROR(L$5*GETPIVOTDATA("Unique Billed Hours",'County allocation'!$K$19,"County",$D789,"HHA/CDPAP","CDPAP","Level of Service",$D796),0)</f>
        <v>0</v>
      </c>
      <c r="M796" s="658">
        <f>+IFERROR(M$5*GETPIVOTDATA("Unique Billed Hours",'County allocation'!$S$3,"County",$D789,"HHA/CDPAP","CDPAP","Level of Service",$D796),0)</f>
        <v>0</v>
      </c>
      <c r="N796" s="658">
        <f>+IFERROR(N$5*GETPIVOTDATA("Unique Billed Hours",'County allocation'!$S$3,"County",$D789,"HHA/CDPAP","CDPAP","Level of Service",$D796),0)</f>
        <v>0</v>
      </c>
      <c r="O796" s="658">
        <f>+IFERROR(O$5*GETPIVOTDATA("Unique Billed Hours",'County allocation'!$S$3,"County",$D789,"HHA/CDPAP","CDPAP","Level of Service",$D796),0)</f>
        <v>0</v>
      </c>
      <c r="P796" s="658">
        <f>+IFERROR(P$5*GETPIVOTDATA("Unique Billed Hours",'County allocation'!$S$3,"County",$D789,"HHA/CDPAP","CDPAP","Level of Service",$D796),0)</f>
        <v>0</v>
      </c>
    </row>
    <row r="797" spans="1:16" x14ac:dyDescent="0.25">
      <c r="A797" s="302"/>
      <c r="B797" s="24"/>
      <c r="C797" s="9">
        <f t="shared" ca="1" si="486"/>
        <v>1</v>
      </c>
      <c r="D797" s="267" t="s">
        <v>46</v>
      </c>
      <c r="E797" s="48" t="s">
        <v>52</v>
      </c>
      <c r="F797" s="678">
        <f t="shared" ca="1" si="487"/>
        <v>0</v>
      </c>
      <c r="G797" s="658">
        <f ca="1">+IFERROR(G$5*GETPIVOTDATA("Unique Billed Hours",'County allocation'!$A$3,"County",$D789,"HHA/CDPAP","CDPAP","Level of Service",$D797),0)</f>
        <v>0</v>
      </c>
      <c r="H797" s="658">
        <f>+IFERROR(H$5*GETPIVOTDATA("Unique Billed Hours",'County allocation'!$A$3,"County",$D789,"HHA/CDPAP","CDPAP","Level of Service",$D797),0)</f>
        <v>0</v>
      </c>
      <c r="I797" s="678">
        <f t="shared" ca="1" si="488"/>
        <v>0</v>
      </c>
      <c r="J797" s="658">
        <f ca="1">+IFERROR(J$5*GETPIVOTDATA("Unique Billed Hours",'County allocation'!$S$3,"County",$D789,"HHA/CDPAP","CDPAP","Level of Service",$D797),0)</f>
        <v>0</v>
      </c>
      <c r="K797" s="658">
        <f ca="1">+IFERROR(K$5*GETPIVOTDATA("Unique Billed Hours",'County allocation'!$X$3,"County",$D789,"HHA/CDPAP","CDPAP","Level of Service",$D797),0)</f>
        <v>0</v>
      </c>
      <c r="L797" s="658">
        <f>+IFERROR(L$5*GETPIVOTDATA("Unique Billed Hours",'County allocation'!$K$19,"County",$D789,"HHA/CDPAP","CDPAP","Level of Service",$D797),0)</f>
        <v>0</v>
      </c>
      <c r="M797" s="658">
        <f>+IFERROR(M$5*GETPIVOTDATA("Unique Billed Hours",'County allocation'!$S$3,"County",$D789,"HHA/CDPAP","CDPAP","Level of Service",$D797),0)</f>
        <v>0</v>
      </c>
      <c r="N797" s="658">
        <f>+IFERROR(N$5*GETPIVOTDATA("Unique Billed Hours",'County allocation'!$S$3,"County",$D789,"HHA/CDPAP","CDPAP","Level of Service",$D797),0)</f>
        <v>0</v>
      </c>
      <c r="O797" s="658">
        <f>+IFERROR(O$5*GETPIVOTDATA("Unique Billed Hours",'County allocation'!$S$3,"County",$D789,"HHA/CDPAP","CDPAP","Level of Service",$D797),0)</f>
        <v>0</v>
      </c>
      <c r="P797" s="658">
        <f>+IFERROR(P$5*GETPIVOTDATA("Unique Billed Hours",'County allocation'!$S$3,"County",$D789,"HHA/CDPAP","CDPAP","Level of Service",$D797),0)</f>
        <v>0</v>
      </c>
    </row>
    <row r="798" spans="1:16" ht="15.75" thickBot="1" x14ac:dyDescent="0.3">
      <c r="A798" s="302"/>
      <c r="B798" s="24"/>
      <c r="C798" s="9">
        <f t="shared" ca="1" si="486"/>
        <v>1</v>
      </c>
      <c r="D798" s="52" t="s">
        <v>389</v>
      </c>
      <c r="E798" s="370" t="s">
        <v>51</v>
      </c>
      <c r="F798" s="679">
        <f ca="1">SUM(F792:F797)</f>
        <v>2076185.0762368806</v>
      </c>
      <c r="G798" s="679">
        <f t="shared" ref="G798:H798" ca="1" si="489">SUM(G792:G797)</f>
        <v>83467.109584239137</v>
      </c>
      <c r="H798" s="679">
        <f t="shared" si="489"/>
        <v>71863.640323563042</v>
      </c>
      <c r="I798" s="678">
        <f t="shared" ca="1" si="488"/>
        <v>1920854.3263290785</v>
      </c>
      <c r="J798" s="679">
        <f ca="1">SUM(J792:J797)</f>
        <v>380035.65957263077</v>
      </c>
      <c r="K798" s="679">
        <f t="shared" ref="K798:P798" ca="1" si="490">SUM(K792:K797)</f>
        <v>1533145.8878176813</v>
      </c>
      <c r="L798" s="679">
        <f t="shared" si="490"/>
        <v>0</v>
      </c>
      <c r="M798" s="679">
        <f t="shared" si="490"/>
        <v>7079.8091522423019</v>
      </c>
      <c r="N798" s="679">
        <f t="shared" si="490"/>
        <v>592.96978652419568</v>
      </c>
      <c r="O798" s="679">
        <f t="shared" si="490"/>
        <v>0</v>
      </c>
      <c r="P798" s="679">
        <f t="shared" si="490"/>
        <v>0</v>
      </c>
    </row>
    <row r="799" spans="1:16" x14ac:dyDescent="0.25">
      <c r="A799" s="302"/>
      <c r="B799" s="24"/>
      <c r="C799" s="9">
        <f t="shared" ca="1" si="486"/>
        <v>1</v>
      </c>
      <c r="D799" s="378" t="s">
        <v>390</v>
      </c>
      <c r="E799" s="370" t="s">
        <v>50</v>
      </c>
      <c r="F799" s="678">
        <f t="shared" ref="F799" ca="1" si="491">SUM(G799:I799)</f>
        <v>0</v>
      </c>
      <c r="G799" s="658">
        <f ca="1">+IFERROR(G$5*GETPIVOTDATA("Unique Billed Hours",'County allocation'!$A$3,"County",$D789,"HHA/CDPAP","CDPAP","Level of Service",$D799),0)</f>
        <v>0</v>
      </c>
      <c r="H799" s="659"/>
      <c r="I799" s="678">
        <f t="shared" si="488"/>
        <v>0</v>
      </c>
      <c r="J799" s="659"/>
      <c r="K799" s="659"/>
      <c r="L799" s="659"/>
      <c r="M799" s="659"/>
      <c r="N799" s="659"/>
      <c r="O799" s="659"/>
      <c r="P799" s="659"/>
    </row>
    <row r="800" spans="1:16" ht="15.75" thickBot="1" x14ac:dyDescent="0.3">
      <c r="B800" s="24"/>
      <c r="C800" s="9">
        <f t="shared" ca="1" si="486"/>
        <v>1</v>
      </c>
      <c r="D800" s="11" t="s">
        <v>48</v>
      </c>
      <c r="E800" s="53" t="s">
        <v>49</v>
      </c>
      <c r="F800" s="662">
        <f ca="1">SUBTOTAL(9,F792:F797)</f>
        <v>2076185.0762368806</v>
      </c>
      <c r="G800" s="662">
        <f t="shared" ref="G800:H800" ca="1" si="492">SUBTOTAL(9,G792:G797)</f>
        <v>83467.109584239137</v>
      </c>
      <c r="H800" s="662">
        <f t="shared" si="492"/>
        <v>71863.640323563042</v>
      </c>
      <c r="I800" s="678">
        <f t="shared" ca="1" si="488"/>
        <v>1920854.3263290785</v>
      </c>
      <c r="J800" s="662">
        <f t="shared" ref="J800:P800" ca="1" si="493">SUBTOTAL(9,J792:J797)</f>
        <v>380035.65957263077</v>
      </c>
      <c r="K800" s="662">
        <f t="shared" ca="1" si="493"/>
        <v>1533145.8878176813</v>
      </c>
      <c r="L800" s="662">
        <f t="shared" si="493"/>
        <v>0</v>
      </c>
      <c r="M800" s="662">
        <f t="shared" si="493"/>
        <v>7079.8091522423019</v>
      </c>
      <c r="N800" s="662">
        <f t="shared" si="493"/>
        <v>592.96978652419568</v>
      </c>
      <c r="O800" s="662">
        <f t="shared" si="493"/>
        <v>0</v>
      </c>
      <c r="P800" s="662">
        <f t="shared" si="493"/>
        <v>0</v>
      </c>
    </row>
    <row r="801" spans="1:16" ht="15.75" hidden="1" thickBot="1" x14ac:dyDescent="0.3"/>
    <row r="802" spans="1:16" ht="75" x14ac:dyDescent="0.25">
      <c r="A802" s="60"/>
      <c r="B802" s="24"/>
      <c r="C802" s="9">
        <f ca="1">IF(F813&gt;0,1,0)</f>
        <v>1</v>
      </c>
      <c r="D802" s="45" t="str">
        <f>A64</f>
        <v>Wyoming</v>
      </c>
      <c r="E802" s="28">
        <f>SUMIF(A:A,D802,B:B)</f>
        <v>6.0201810038197211E-4</v>
      </c>
      <c r="F802" s="652" t="s">
        <v>396</v>
      </c>
      <c r="G802" s="652" t="s">
        <v>387</v>
      </c>
      <c r="H802" s="652" t="s">
        <v>388</v>
      </c>
      <c r="I802" s="652" t="s">
        <v>392</v>
      </c>
      <c r="J802" s="652" t="s">
        <v>31</v>
      </c>
      <c r="K802" s="652" t="s">
        <v>32</v>
      </c>
      <c r="L802" s="653" t="s">
        <v>33</v>
      </c>
      <c r="M802" s="653" t="s">
        <v>60</v>
      </c>
      <c r="N802" s="653" t="s">
        <v>59</v>
      </c>
      <c r="O802" s="653" t="s">
        <v>58</v>
      </c>
      <c r="P802" s="653" t="s">
        <v>16</v>
      </c>
    </row>
    <row r="803" spans="1:16" x14ac:dyDescent="0.25">
      <c r="A803" s="60"/>
      <c r="B803" s="24"/>
      <c r="C803" s="9">
        <f ca="1">C802</f>
        <v>1</v>
      </c>
      <c r="D803" s="47"/>
      <c r="E803" s="48"/>
      <c r="F803" s="669" t="s">
        <v>57</v>
      </c>
      <c r="G803" s="669" t="s">
        <v>56</v>
      </c>
      <c r="H803" s="669" t="s">
        <v>55</v>
      </c>
      <c r="I803" s="669" t="s">
        <v>54</v>
      </c>
      <c r="J803" s="669" t="s">
        <v>53</v>
      </c>
      <c r="K803" s="669" t="s">
        <v>52</v>
      </c>
      <c r="L803" s="669" t="s">
        <v>51</v>
      </c>
      <c r="M803" s="669" t="s">
        <v>50</v>
      </c>
      <c r="N803" s="669" t="s">
        <v>49</v>
      </c>
      <c r="O803" s="669" t="s">
        <v>47</v>
      </c>
      <c r="P803" s="670" t="s">
        <v>77</v>
      </c>
    </row>
    <row r="804" spans="1:16" x14ac:dyDescent="0.25">
      <c r="B804" s="24"/>
      <c r="C804" s="9">
        <f t="shared" ref="C804:C813" ca="1" si="494">C803</f>
        <v>1</v>
      </c>
      <c r="D804" s="51" t="s">
        <v>26</v>
      </c>
      <c r="E804" s="48"/>
      <c r="F804" s="674"/>
      <c r="G804" s="674"/>
      <c r="H804" s="674"/>
      <c r="I804" s="674"/>
      <c r="J804" s="674"/>
      <c r="K804" s="674"/>
      <c r="L804" s="675"/>
      <c r="M804" s="675"/>
      <c r="N804" s="676"/>
      <c r="O804" s="674"/>
      <c r="P804" s="677"/>
    </row>
    <row r="805" spans="1:16" x14ac:dyDescent="0.25">
      <c r="B805" s="24"/>
      <c r="C805" s="9">
        <f t="shared" ca="1" si="494"/>
        <v>1</v>
      </c>
      <c r="D805" s="267" t="s">
        <v>18</v>
      </c>
      <c r="E805" s="48" t="s">
        <v>57</v>
      </c>
      <c r="F805" s="678">
        <f ca="1">SUM(G805:I805)</f>
        <v>51896.041265622967</v>
      </c>
      <c r="G805" s="658">
        <f ca="1">+IFERROR(G$5*GETPIVOTDATA("Unique Billed Hours",'County allocation'!$A$3,"County",$D802,"HHA/CDPAP","CDPAP","Level of Service",$D805),0)</f>
        <v>2086.3325783831697</v>
      </c>
      <c r="H805" s="658">
        <f>+IFERROR(H$5*GETPIVOTDATA("Unique Billed Hours",'County allocation'!$A$3,"County",$D802,"HHA/CDPAP","CDPAP","Level of Service",$D805),0)</f>
        <v>1796.293830648847</v>
      </c>
      <c r="I805" s="678">
        <f ca="1">SUM(J805:P805)</f>
        <v>48013.414856590949</v>
      </c>
      <c r="J805" s="658">
        <f ca="1">+IFERROR(J$5*GETPIVOTDATA("Unique Billed Hours",'County allocation'!$S$3,"County",$D802,"HHA/CDPAP","CDPAP","Level of Service",$D805),0)</f>
        <v>9499.319929289044</v>
      </c>
      <c r="K805" s="658">
        <f ca="1">+IFERROR(K$5*GETPIVOTDATA("Unique Billed Hours",'County allocation'!$X$3,"County",$D802,"HHA/CDPAP","CDPAP","Level of Service",$D805),0)</f>
        <v>38322.307183046498</v>
      </c>
      <c r="L805" s="658">
        <f>+IFERROR(L$5*GETPIVOTDATA("Unique Billed Hours",'County allocation'!$K$19,"County",$D802,"HHA/CDPAP","CDPAP","Level of Service",$D805),0)</f>
        <v>0</v>
      </c>
      <c r="M805" s="658">
        <f>+IFERROR(M$5*GETPIVOTDATA("Unique Billed Hours",'County allocation'!$S$3,"County",$D802,"HHA/CDPAP","CDPAP","Level of Service",$D805),0)</f>
        <v>176.96595169802768</v>
      </c>
      <c r="N805" s="658">
        <f>+IFERROR(N$5*GETPIVOTDATA("Unique Billed Hours",'County allocation'!$S$3,"County",$D802,"HHA/CDPAP","CDPAP","Level of Service",$D805),0)</f>
        <v>14.821792557387747</v>
      </c>
      <c r="O805" s="658">
        <f>+IFERROR(O$5*GETPIVOTDATA("Unique Billed Hours",'County allocation'!$S$3,"County",$D802,"HHA/CDPAP","CDPAP","Level of Service",$D805),0)</f>
        <v>0</v>
      </c>
      <c r="P805" s="658">
        <f>+IFERROR(P$5*GETPIVOTDATA("Unique Billed Hours",'County allocation'!$S$3,"County",$D802,"HHA/CDPAP","CDPAP","Level of Service",$D805),0)</f>
        <v>0</v>
      </c>
    </row>
    <row r="806" spans="1:16" x14ac:dyDescent="0.25">
      <c r="B806" s="24"/>
      <c r="C806" s="9">
        <f t="shared" ca="1" si="494"/>
        <v>1</v>
      </c>
      <c r="D806" s="267" t="s">
        <v>42</v>
      </c>
      <c r="E806" s="48" t="s">
        <v>56</v>
      </c>
      <c r="F806" s="678">
        <f t="shared" ref="F806:F810" ca="1" si="495">SUM(G806:I806)</f>
        <v>0</v>
      </c>
      <c r="G806" s="658">
        <f ca="1">+IFERROR(G$5*GETPIVOTDATA("Unique Billed Hours",'County allocation'!$A$3,"County",$D802,"HHA/CDPAP","CDPAP","Level of Service",$D806),0)</f>
        <v>0</v>
      </c>
      <c r="H806" s="658">
        <f>+IFERROR(H$5*GETPIVOTDATA("Unique Billed Hours",'County allocation'!$A$3,"County",$D802,"HHA/CDPAP","CDPAP","Level of Service",$D806),0)</f>
        <v>0</v>
      </c>
      <c r="I806" s="678">
        <f t="shared" ref="I806:I813" ca="1" si="496">SUM(J806:P806)</f>
        <v>0</v>
      </c>
      <c r="J806" s="658">
        <f ca="1">+IFERROR(J$5*GETPIVOTDATA("Unique Billed Hours",'County allocation'!$S$3,"County",$D802,"HHA/CDPAP","CDPAP","Level of Service",$D806),0)</f>
        <v>0</v>
      </c>
      <c r="K806" s="658">
        <f ca="1">+IFERROR(K$5*GETPIVOTDATA("Unique Billed Hours",'County allocation'!$X$3,"County",$D802,"HHA/CDPAP","CDPAP","Level of Service",$D806),0)</f>
        <v>0</v>
      </c>
      <c r="L806" s="658">
        <f>+IFERROR(L$5*GETPIVOTDATA("Unique Billed Hours",'County allocation'!$K$19,"County",$D802,"HHA/CDPAP","CDPAP","Level of Service",$D806),0)</f>
        <v>0</v>
      </c>
      <c r="M806" s="658">
        <f>+IFERROR(M$5*GETPIVOTDATA("Unique Billed Hours",'County allocation'!$S$3,"County",$D802,"HHA/CDPAP","CDPAP","Level of Service",$D806),0)</f>
        <v>0</v>
      </c>
      <c r="N806" s="658">
        <f>+IFERROR(N$5*GETPIVOTDATA("Unique Billed Hours",'County allocation'!$S$3,"County",$D802,"HHA/CDPAP","CDPAP","Level of Service",$D806),0)</f>
        <v>0</v>
      </c>
      <c r="O806" s="658">
        <f>+IFERROR(O$5*GETPIVOTDATA("Unique Billed Hours",'County allocation'!$S$3,"County",$D802,"HHA/CDPAP","CDPAP","Level of Service",$D806),0)</f>
        <v>0</v>
      </c>
      <c r="P806" s="658">
        <f>+IFERROR(P$5*GETPIVOTDATA("Unique Billed Hours",'County allocation'!$S$3,"County",$D802,"HHA/CDPAP","CDPAP","Level of Service",$D806),0)</f>
        <v>0</v>
      </c>
    </row>
    <row r="807" spans="1:16" x14ac:dyDescent="0.25">
      <c r="B807" s="24"/>
      <c r="C807" s="9">
        <f t="shared" ca="1" si="494"/>
        <v>1</v>
      </c>
      <c r="D807" s="267" t="s">
        <v>43</v>
      </c>
      <c r="E807" s="48" t="s">
        <v>55</v>
      </c>
      <c r="F807" s="678">
        <f t="shared" ca="1" si="495"/>
        <v>0</v>
      </c>
      <c r="G807" s="658">
        <f ca="1">+IFERROR(G$5*GETPIVOTDATA("Unique Billed Hours",'County allocation'!$A$3,"County",$D802,"HHA/CDPAP","CDPAP","Level of Service",$D807),0)</f>
        <v>0</v>
      </c>
      <c r="H807" s="658">
        <f>+IFERROR(H$5*GETPIVOTDATA("Unique Billed Hours",'County allocation'!$A$3,"County",$D802,"HHA/CDPAP","CDPAP","Level of Service",$D807),0)</f>
        <v>0</v>
      </c>
      <c r="I807" s="678">
        <f t="shared" ca="1" si="496"/>
        <v>0</v>
      </c>
      <c r="J807" s="658">
        <f ca="1">+IFERROR(J$5*GETPIVOTDATA("Unique Billed Hours",'County allocation'!$S$3,"County",$D802,"HHA/CDPAP","CDPAP","Level of Service",$D807),0)</f>
        <v>0</v>
      </c>
      <c r="K807" s="658">
        <f ca="1">+IFERROR(K$5*GETPIVOTDATA("Unique Billed Hours",'County allocation'!$X$3,"County",$D802,"HHA/CDPAP","CDPAP","Level of Service",$D807),0)</f>
        <v>0</v>
      </c>
      <c r="L807" s="658">
        <f>+IFERROR(L$5*GETPIVOTDATA("Unique Billed Hours",'County allocation'!$K$19,"County",$D802,"HHA/CDPAP","CDPAP","Level of Service",$D807),0)</f>
        <v>0</v>
      </c>
      <c r="M807" s="658">
        <f>+IFERROR(M$5*GETPIVOTDATA("Unique Billed Hours",'County allocation'!$S$3,"County",$D802,"HHA/CDPAP","CDPAP","Level of Service",$D807),0)</f>
        <v>0</v>
      </c>
      <c r="N807" s="658">
        <f>+IFERROR(N$5*GETPIVOTDATA("Unique Billed Hours",'County allocation'!$S$3,"County",$D802,"HHA/CDPAP","CDPAP","Level of Service",$D807),0)</f>
        <v>0</v>
      </c>
      <c r="O807" s="658">
        <f>+IFERROR(O$5*GETPIVOTDATA("Unique Billed Hours",'County allocation'!$S$3,"County",$D802,"HHA/CDPAP","CDPAP","Level of Service",$D807),0)</f>
        <v>0</v>
      </c>
      <c r="P807" s="658">
        <f>+IFERROR(P$5*GETPIVOTDATA("Unique Billed Hours",'County allocation'!$S$3,"County",$D802,"HHA/CDPAP","CDPAP","Level of Service",$D807),0)</f>
        <v>0</v>
      </c>
    </row>
    <row r="808" spans="1:16" x14ac:dyDescent="0.25">
      <c r="B808" s="24"/>
      <c r="C808" s="9">
        <f t="shared" ca="1" si="494"/>
        <v>1</v>
      </c>
      <c r="D808" s="267" t="s">
        <v>44</v>
      </c>
      <c r="E808" s="48" t="s">
        <v>54</v>
      </c>
      <c r="F808" s="678">
        <f t="shared" ca="1" si="495"/>
        <v>0</v>
      </c>
      <c r="G808" s="658">
        <f ca="1">+IFERROR(G$5*GETPIVOTDATA("Unique Billed Hours",'County allocation'!$A$3,"County",$D802,"HHA/CDPAP","CDPAP","Level of Service",$D808),0)</f>
        <v>0</v>
      </c>
      <c r="H808" s="658">
        <f>+IFERROR(H$5*GETPIVOTDATA("Unique Billed Hours",'County allocation'!$A$3,"County",$D802,"HHA/CDPAP","CDPAP","Level of Service",$D808),0)</f>
        <v>0</v>
      </c>
      <c r="I808" s="678">
        <f t="shared" ca="1" si="496"/>
        <v>0</v>
      </c>
      <c r="J808" s="658">
        <f ca="1">+IFERROR(J$5*GETPIVOTDATA("Unique Billed Hours",'County allocation'!$S$3,"County",$D802,"HHA/CDPAP","CDPAP","Level of Service",$D808),0)</f>
        <v>0</v>
      </c>
      <c r="K808" s="658">
        <f ca="1">+IFERROR(K$5*GETPIVOTDATA("Unique Billed Hours",'County allocation'!$X$3,"County",$D802,"HHA/CDPAP","CDPAP","Level of Service",$D808),0)</f>
        <v>0</v>
      </c>
      <c r="L808" s="658">
        <f>+IFERROR(L$5*GETPIVOTDATA("Unique Billed Hours",'County allocation'!$K$19,"County",$D802,"HHA/CDPAP","CDPAP","Level of Service",$D808),0)</f>
        <v>0</v>
      </c>
      <c r="M808" s="658">
        <f>+IFERROR(M$5*GETPIVOTDATA("Unique Billed Hours",'County allocation'!$S$3,"County",$D802,"HHA/CDPAP","CDPAP","Level of Service",$D808),0)</f>
        <v>0</v>
      </c>
      <c r="N808" s="658">
        <f>+IFERROR(N$5*GETPIVOTDATA("Unique Billed Hours",'County allocation'!$S$3,"County",$D802,"HHA/CDPAP","CDPAP","Level of Service",$D808),0)</f>
        <v>0</v>
      </c>
      <c r="O808" s="658">
        <f>+IFERROR(O$5*GETPIVOTDATA("Unique Billed Hours",'County allocation'!$S$3,"County",$D802,"HHA/CDPAP","CDPAP","Level of Service",$D808),0)</f>
        <v>0</v>
      </c>
      <c r="P808" s="658">
        <f>+IFERROR(P$5*GETPIVOTDATA("Unique Billed Hours",'County allocation'!$S$3,"County",$D802,"HHA/CDPAP","CDPAP","Level of Service",$D808),0)</f>
        <v>0</v>
      </c>
    </row>
    <row r="809" spans="1:16" x14ac:dyDescent="0.25">
      <c r="B809" s="24"/>
      <c r="C809" s="9">
        <f t="shared" ca="1" si="494"/>
        <v>1</v>
      </c>
      <c r="D809" s="267" t="s">
        <v>45</v>
      </c>
      <c r="E809" s="48" t="s">
        <v>53</v>
      </c>
      <c r="F809" s="678">
        <f t="shared" ca="1" si="495"/>
        <v>0</v>
      </c>
      <c r="G809" s="658">
        <f ca="1">+IFERROR(G$5*GETPIVOTDATA("Unique Billed Hours",'County allocation'!$A$3,"County",$D802,"HHA/CDPAP","CDPAP","Level of Service",$D809),0)</f>
        <v>0</v>
      </c>
      <c r="H809" s="658">
        <f>+IFERROR(H$5*GETPIVOTDATA("Unique Billed Hours",'County allocation'!$A$3,"County",$D802,"HHA/CDPAP","CDPAP","Level of Service",$D809),0)</f>
        <v>0</v>
      </c>
      <c r="I809" s="678">
        <f t="shared" ca="1" si="496"/>
        <v>0</v>
      </c>
      <c r="J809" s="658">
        <f ca="1">+IFERROR(J$5*GETPIVOTDATA("Unique Billed Hours",'County allocation'!$S$3,"County",$D802,"HHA/CDPAP","CDPAP","Level of Service",$D809),0)</f>
        <v>0</v>
      </c>
      <c r="K809" s="658">
        <f ca="1">+IFERROR(K$5*GETPIVOTDATA("Unique Billed Hours",'County allocation'!$X$3,"County",$D802,"HHA/CDPAP","CDPAP","Level of Service",$D809),0)</f>
        <v>0</v>
      </c>
      <c r="L809" s="658">
        <f>+IFERROR(L$5*GETPIVOTDATA("Unique Billed Hours",'County allocation'!$K$19,"County",$D802,"HHA/CDPAP","CDPAP","Level of Service",$D809),0)</f>
        <v>0</v>
      </c>
      <c r="M809" s="658">
        <f>+IFERROR(M$5*GETPIVOTDATA("Unique Billed Hours",'County allocation'!$S$3,"County",$D802,"HHA/CDPAP","CDPAP","Level of Service",$D809),0)</f>
        <v>0</v>
      </c>
      <c r="N809" s="658">
        <f>+IFERROR(N$5*GETPIVOTDATA("Unique Billed Hours",'County allocation'!$S$3,"County",$D802,"HHA/CDPAP","CDPAP","Level of Service",$D809),0)</f>
        <v>0</v>
      </c>
      <c r="O809" s="658">
        <f>+IFERROR(O$5*GETPIVOTDATA("Unique Billed Hours",'County allocation'!$S$3,"County",$D802,"HHA/CDPAP","CDPAP","Level of Service",$D809),0)</f>
        <v>0</v>
      </c>
      <c r="P809" s="658">
        <f>+IFERROR(P$5*GETPIVOTDATA("Unique Billed Hours",'County allocation'!$S$3,"County",$D802,"HHA/CDPAP","CDPAP","Level of Service",$D809),0)</f>
        <v>0</v>
      </c>
    </row>
    <row r="810" spans="1:16" x14ac:dyDescent="0.25">
      <c r="A810" s="302"/>
      <c r="B810" s="24"/>
      <c r="C810" s="9">
        <f t="shared" ca="1" si="494"/>
        <v>1</v>
      </c>
      <c r="D810" s="267" t="s">
        <v>46</v>
      </c>
      <c r="E810" s="48" t="s">
        <v>52</v>
      </c>
      <c r="F810" s="678">
        <f t="shared" ca="1" si="495"/>
        <v>0</v>
      </c>
      <c r="G810" s="658">
        <f ca="1">+IFERROR(G$5*GETPIVOTDATA("Unique Billed Hours",'County allocation'!$A$3,"County",$D802,"HHA/CDPAP","CDPAP","Level of Service",$D810),0)</f>
        <v>0</v>
      </c>
      <c r="H810" s="658">
        <f>+IFERROR(H$5*GETPIVOTDATA("Unique Billed Hours",'County allocation'!$A$3,"County",$D802,"HHA/CDPAP","CDPAP","Level of Service",$D810),0)</f>
        <v>0</v>
      </c>
      <c r="I810" s="678">
        <f t="shared" ca="1" si="496"/>
        <v>0</v>
      </c>
      <c r="J810" s="658">
        <f ca="1">+IFERROR(J$5*GETPIVOTDATA("Unique Billed Hours",'County allocation'!$S$3,"County",$D802,"HHA/CDPAP","CDPAP","Level of Service",$D810),0)</f>
        <v>0</v>
      </c>
      <c r="K810" s="658">
        <f ca="1">+IFERROR(K$5*GETPIVOTDATA("Unique Billed Hours",'County allocation'!$X$3,"County",$D802,"HHA/CDPAP","CDPAP","Level of Service",$D810),0)</f>
        <v>0</v>
      </c>
      <c r="L810" s="658">
        <f>+IFERROR(L$5*GETPIVOTDATA("Unique Billed Hours",'County allocation'!$K$19,"County",$D802,"HHA/CDPAP","CDPAP","Level of Service",$D810),0)</f>
        <v>0</v>
      </c>
      <c r="M810" s="658">
        <f>+IFERROR(M$5*GETPIVOTDATA("Unique Billed Hours",'County allocation'!$S$3,"County",$D802,"HHA/CDPAP","CDPAP","Level of Service",$D810),0)</f>
        <v>0</v>
      </c>
      <c r="N810" s="658">
        <f>+IFERROR(N$5*GETPIVOTDATA("Unique Billed Hours",'County allocation'!$S$3,"County",$D802,"HHA/CDPAP","CDPAP","Level of Service",$D810),0)</f>
        <v>0</v>
      </c>
      <c r="O810" s="658">
        <f>+IFERROR(O$5*GETPIVOTDATA("Unique Billed Hours",'County allocation'!$S$3,"County",$D802,"HHA/CDPAP","CDPAP","Level of Service",$D810),0)</f>
        <v>0</v>
      </c>
      <c r="P810" s="658">
        <f>+IFERROR(P$5*GETPIVOTDATA("Unique Billed Hours",'County allocation'!$S$3,"County",$D802,"HHA/CDPAP","CDPAP","Level of Service",$D810),0)</f>
        <v>0</v>
      </c>
    </row>
    <row r="811" spans="1:16" ht="15.75" thickBot="1" x14ac:dyDescent="0.3">
      <c r="A811" s="302"/>
      <c r="B811" s="24"/>
      <c r="C811" s="9">
        <f t="shared" ca="1" si="494"/>
        <v>1</v>
      </c>
      <c r="D811" s="52" t="s">
        <v>389</v>
      </c>
      <c r="E811" s="370" t="s">
        <v>51</v>
      </c>
      <c r="F811" s="679">
        <f ca="1">SUM(F805:F810)</f>
        <v>51896.041265622967</v>
      </c>
      <c r="G811" s="679">
        <f t="shared" ref="G811:H811" ca="1" si="497">SUM(G805:G810)</f>
        <v>2086.3325783831697</v>
      </c>
      <c r="H811" s="679">
        <f t="shared" si="497"/>
        <v>1796.293830648847</v>
      </c>
      <c r="I811" s="678">
        <f t="shared" ca="1" si="496"/>
        <v>48013.414856590949</v>
      </c>
      <c r="J811" s="679">
        <f ca="1">SUM(J805:J810)</f>
        <v>9499.319929289044</v>
      </c>
      <c r="K811" s="679">
        <f t="shared" ref="K811:P811" ca="1" si="498">SUM(K805:K810)</f>
        <v>38322.307183046498</v>
      </c>
      <c r="L811" s="679">
        <f t="shared" si="498"/>
        <v>0</v>
      </c>
      <c r="M811" s="679">
        <f t="shared" si="498"/>
        <v>176.96595169802768</v>
      </c>
      <c r="N811" s="679">
        <f t="shared" si="498"/>
        <v>14.821792557387747</v>
      </c>
      <c r="O811" s="679">
        <f t="shared" si="498"/>
        <v>0</v>
      </c>
      <c r="P811" s="679">
        <f t="shared" si="498"/>
        <v>0</v>
      </c>
    </row>
    <row r="812" spans="1:16" x14ac:dyDescent="0.25">
      <c r="A812" s="302"/>
      <c r="B812" s="24"/>
      <c r="C812" s="9">
        <f t="shared" ca="1" si="494"/>
        <v>1</v>
      </c>
      <c r="D812" s="378" t="s">
        <v>390</v>
      </c>
      <c r="E812" s="370" t="s">
        <v>50</v>
      </c>
      <c r="F812" s="678">
        <f t="shared" ref="F812" ca="1" si="499">SUM(G812:I812)</f>
        <v>0</v>
      </c>
      <c r="G812" s="658">
        <f ca="1">+IFERROR(G$5*GETPIVOTDATA("Unique Billed Hours",'County allocation'!$A$3,"County",$D802,"HHA/CDPAP","CDPAP","Level of Service",$D812),0)</f>
        <v>0</v>
      </c>
      <c r="H812" s="659"/>
      <c r="I812" s="678">
        <f t="shared" si="496"/>
        <v>0</v>
      </c>
      <c r="J812" s="659"/>
      <c r="K812" s="659"/>
      <c r="L812" s="659"/>
      <c r="M812" s="659"/>
      <c r="N812" s="659"/>
      <c r="O812" s="659"/>
      <c r="P812" s="659"/>
    </row>
    <row r="813" spans="1:16" ht="15.75" thickBot="1" x14ac:dyDescent="0.3">
      <c r="B813" s="24"/>
      <c r="C813" s="9">
        <f t="shared" ca="1" si="494"/>
        <v>1</v>
      </c>
      <c r="D813" s="11" t="s">
        <v>48</v>
      </c>
      <c r="E813" s="53" t="s">
        <v>49</v>
      </c>
      <c r="F813" s="662">
        <f ca="1">SUBTOTAL(9,F805:F810)</f>
        <v>51896.041265622967</v>
      </c>
      <c r="G813" s="662">
        <f t="shared" ref="G813:H813" ca="1" si="500">SUBTOTAL(9,G805:G810)</f>
        <v>2086.3325783831697</v>
      </c>
      <c r="H813" s="662">
        <f t="shared" si="500"/>
        <v>1796.293830648847</v>
      </c>
      <c r="I813" s="678">
        <f t="shared" ca="1" si="496"/>
        <v>48013.414856590949</v>
      </c>
      <c r="J813" s="662">
        <f t="shared" ref="J813:P813" ca="1" si="501">SUBTOTAL(9,J805:J810)</f>
        <v>9499.319929289044</v>
      </c>
      <c r="K813" s="662">
        <f t="shared" ca="1" si="501"/>
        <v>38322.307183046498</v>
      </c>
      <c r="L813" s="662">
        <f t="shared" si="501"/>
        <v>0</v>
      </c>
      <c r="M813" s="662">
        <f t="shared" si="501"/>
        <v>176.96595169802768</v>
      </c>
      <c r="N813" s="662">
        <f t="shared" si="501"/>
        <v>14.821792557387747</v>
      </c>
      <c r="O813" s="662">
        <f t="shared" si="501"/>
        <v>0</v>
      </c>
      <c r="P813" s="662">
        <f t="shared" si="501"/>
        <v>0</v>
      </c>
    </row>
    <row r="814" spans="1:16" ht="15.75" hidden="1" thickBot="1" x14ac:dyDescent="0.3"/>
    <row r="815" spans="1:16" ht="75" x14ac:dyDescent="0.25">
      <c r="A815" s="60"/>
      <c r="B815" s="24"/>
      <c r="C815" s="9">
        <f ca="1">IF(F826&gt;0,1,0)</f>
        <v>1</v>
      </c>
      <c r="D815" s="45" t="str">
        <f>A65</f>
        <v>Yates</v>
      </c>
      <c r="E815" s="28">
        <f>SUMIF(A:A,D815,B:B)</f>
        <v>8.2460222886133507E-4</v>
      </c>
      <c r="F815" s="652" t="s">
        <v>396</v>
      </c>
      <c r="G815" s="652" t="s">
        <v>387</v>
      </c>
      <c r="H815" s="652" t="s">
        <v>388</v>
      </c>
      <c r="I815" s="652" t="s">
        <v>392</v>
      </c>
      <c r="J815" s="652" t="s">
        <v>31</v>
      </c>
      <c r="K815" s="652" t="s">
        <v>32</v>
      </c>
      <c r="L815" s="653" t="s">
        <v>33</v>
      </c>
      <c r="M815" s="653" t="s">
        <v>60</v>
      </c>
      <c r="N815" s="653" t="s">
        <v>59</v>
      </c>
      <c r="O815" s="653" t="s">
        <v>58</v>
      </c>
      <c r="P815" s="653" t="s">
        <v>16</v>
      </c>
    </row>
    <row r="816" spans="1:16" x14ac:dyDescent="0.25">
      <c r="A816" s="60"/>
      <c r="B816" s="24"/>
      <c r="C816" s="9">
        <f ca="1">C815</f>
        <v>1</v>
      </c>
      <c r="D816" s="47"/>
      <c r="E816" s="48"/>
      <c r="F816" s="669" t="s">
        <v>57</v>
      </c>
      <c r="G816" s="669" t="s">
        <v>56</v>
      </c>
      <c r="H816" s="669" t="s">
        <v>55</v>
      </c>
      <c r="I816" s="669" t="s">
        <v>54</v>
      </c>
      <c r="J816" s="669" t="s">
        <v>53</v>
      </c>
      <c r="K816" s="669" t="s">
        <v>52</v>
      </c>
      <c r="L816" s="669" t="s">
        <v>51</v>
      </c>
      <c r="M816" s="669" t="s">
        <v>50</v>
      </c>
      <c r="N816" s="669" t="s">
        <v>49</v>
      </c>
      <c r="O816" s="669" t="s">
        <v>47</v>
      </c>
      <c r="P816" s="670" t="s">
        <v>77</v>
      </c>
    </row>
    <row r="817" spans="1:16" x14ac:dyDescent="0.25">
      <c r="B817" s="24"/>
      <c r="C817" s="9">
        <f t="shared" ref="C817:C826" ca="1" si="502">C816</f>
        <v>1</v>
      </c>
      <c r="D817" s="51" t="s">
        <v>26</v>
      </c>
      <c r="E817" s="48"/>
      <c r="F817" s="674"/>
      <c r="G817" s="674"/>
      <c r="H817" s="674"/>
      <c r="I817" s="674"/>
      <c r="J817" s="674"/>
      <c r="K817" s="674"/>
      <c r="L817" s="675"/>
      <c r="M817" s="675"/>
      <c r="N817" s="676"/>
      <c r="O817" s="674"/>
      <c r="P817" s="677"/>
    </row>
    <row r="818" spans="1:16" x14ac:dyDescent="0.25">
      <c r="B818" s="24"/>
      <c r="C818" s="9">
        <f t="shared" ca="1" si="502"/>
        <v>1</v>
      </c>
      <c r="D818" s="267" t="s">
        <v>18</v>
      </c>
      <c r="E818" s="48" t="s">
        <v>57</v>
      </c>
      <c r="F818" s="678">
        <f ca="1">SUM(G818:I818)</f>
        <v>71083.562553286334</v>
      </c>
      <c r="G818" s="658">
        <f ca="1">+IFERROR(G$5*GETPIVOTDATA("Unique Billed Hours",'County allocation'!$A$3,"County",$D815,"HHA/CDPAP","CDPAP","Level of Service",$D818),0)</f>
        <v>2857.7122401954548</v>
      </c>
      <c r="H818" s="658">
        <f>+IFERROR(H$5*GETPIVOTDATA("Unique Billed Hours",'County allocation'!$A$3,"County",$D815,"HHA/CDPAP","CDPAP","Level of Service",$D818),0)</f>
        <v>2460.4374777155144</v>
      </c>
      <c r="I818" s="678">
        <f ca="1">SUM(J818:P818)</f>
        <v>65765.412835375362</v>
      </c>
      <c r="J818" s="658">
        <f ca="1">+IFERROR(J$5*GETPIVOTDATA("Unique Billed Hours",'County allocation'!$S$3,"County",$D815,"HHA/CDPAP","CDPAP","Level of Service",$D818),0)</f>
        <v>13011.503111598495</v>
      </c>
      <c r="K818" s="658">
        <f ca="1">+IFERROR(K$5*GETPIVOTDATA("Unique Billed Hours",'County allocation'!$X$3,"County",$D815,"HHA/CDPAP","CDPAP","Level of Service",$D818),0)</f>
        <v>52491.212304411973</v>
      </c>
      <c r="L818" s="658">
        <f>+IFERROR(L$5*GETPIVOTDATA("Unique Billed Hours",'County allocation'!$K$19,"County",$D815,"HHA/CDPAP","CDPAP","Level of Service",$D818),0)</f>
        <v>0</v>
      </c>
      <c r="M818" s="658">
        <f>+IFERROR(M$5*GETPIVOTDATA("Unique Billed Hours",'County allocation'!$S$3,"County",$D815,"HHA/CDPAP","CDPAP","Level of Service",$D818),0)</f>
        <v>242.39556603061044</v>
      </c>
      <c r="N818" s="658">
        <f>+IFERROR(N$5*GETPIVOTDATA("Unique Billed Hours",'County allocation'!$S$3,"County",$D815,"HHA/CDPAP","CDPAP","Level of Service",$D818),0)</f>
        <v>20.301853334289355</v>
      </c>
      <c r="O818" s="658">
        <f>+IFERROR(O$5*GETPIVOTDATA("Unique Billed Hours",'County allocation'!$S$3,"County",$D815,"HHA/CDPAP","CDPAP","Level of Service",$D818),0)</f>
        <v>0</v>
      </c>
      <c r="P818" s="658">
        <f>+IFERROR(P$5*GETPIVOTDATA("Unique Billed Hours",'County allocation'!$S$3,"County",$D815,"HHA/CDPAP","CDPAP","Level of Service",$D818),0)</f>
        <v>0</v>
      </c>
    </row>
    <row r="819" spans="1:16" x14ac:dyDescent="0.25">
      <c r="B819" s="24"/>
      <c r="C819" s="9">
        <f t="shared" ca="1" si="502"/>
        <v>1</v>
      </c>
      <c r="D819" s="267" t="s">
        <v>42</v>
      </c>
      <c r="E819" s="48" t="s">
        <v>56</v>
      </c>
      <c r="F819" s="678">
        <f t="shared" ref="F819:F823" ca="1" si="503">SUM(G819:I819)</f>
        <v>0</v>
      </c>
      <c r="G819" s="658">
        <f ca="1">+IFERROR(G$5*GETPIVOTDATA("Unique Billed Hours",'County allocation'!$A$3,"County",$D815,"HHA/CDPAP","CDPAP","Level of Service",$D819),0)</f>
        <v>0</v>
      </c>
      <c r="H819" s="658">
        <f>+IFERROR(H$5*GETPIVOTDATA("Unique Billed Hours",'County allocation'!$A$3,"County",$D815,"HHA/CDPAP","CDPAP","Level of Service",$D819),0)</f>
        <v>0</v>
      </c>
      <c r="I819" s="678">
        <f t="shared" ref="I819:I826" ca="1" si="504">SUM(J819:P819)</f>
        <v>0</v>
      </c>
      <c r="J819" s="658">
        <f ca="1">+IFERROR(J$5*GETPIVOTDATA("Unique Billed Hours",'County allocation'!$S$3,"County",$D815,"HHA/CDPAP","CDPAP","Level of Service",$D819),0)</f>
        <v>0</v>
      </c>
      <c r="K819" s="658">
        <f ca="1">+IFERROR(K$5*GETPIVOTDATA("Unique Billed Hours",'County allocation'!$X$3,"County",$D815,"HHA/CDPAP","CDPAP","Level of Service",$D819),0)</f>
        <v>0</v>
      </c>
      <c r="L819" s="658">
        <f>+IFERROR(L$5*GETPIVOTDATA("Unique Billed Hours",'County allocation'!$K$19,"County",$D815,"HHA/CDPAP","CDPAP","Level of Service",$D819),0)</f>
        <v>0</v>
      </c>
      <c r="M819" s="658">
        <f>+IFERROR(M$5*GETPIVOTDATA("Unique Billed Hours",'County allocation'!$S$3,"County",$D815,"HHA/CDPAP","CDPAP","Level of Service",$D819),0)</f>
        <v>0</v>
      </c>
      <c r="N819" s="658">
        <f>+IFERROR(N$5*GETPIVOTDATA("Unique Billed Hours",'County allocation'!$S$3,"County",$D815,"HHA/CDPAP","CDPAP","Level of Service",$D819),0)</f>
        <v>0</v>
      </c>
      <c r="O819" s="658">
        <f>+IFERROR(O$5*GETPIVOTDATA("Unique Billed Hours",'County allocation'!$S$3,"County",$D815,"HHA/CDPAP","CDPAP","Level of Service",$D819),0)</f>
        <v>0</v>
      </c>
      <c r="P819" s="658">
        <f>+IFERROR(P$5*GETPIVOTDATA("Unique Billed Hours",'County allocation'!$S$3,"County",$D815,"HHA/CDPAP","CDPAP","Level of Service",$D819),0)</f>
        <v>0</v>
      </c>
    </row>
    <row r="820" spans="1:16" x14ac:dyDescent="0.25">
      <c r="B820" s="24"/>
      <c r="C820" s="9">
        <f t="shared" ca="1" si="502"/>
        <v>1</v>
      </c>
      <c r="D820" s="267" t="s">
        <v>43</v>
      </c>
      <c r="E820" s="48" t="s">
        <v>55</v>
      </c>
      <c r="F820" s="678">
        <f t="shared" ca="1" si="503"/>
        <v>0</v>
      </c>
      <c r="G820" s="658">
        <f ca="1">+IFERROR(G$5*GETPIVOTDATA("Unique Billed Hours",'County allocation'!$A$3,"County",$D815,"HHA/CDPAP","CDPAP","Level of Service",$D820),0)</f>
        <v>0</v>
      </c>
      <c r="H820" s="658">
        <f>+IFERROR(H$5*GETPIVOTDATA("Unique Billed Hours",'County allocation'!$A$3,"County",$D815,"HHA/CDPAP","CDPAP","Level of Service",$D820),0)</f>
        <v>0</v>
      </c>
      <c r="I820" s="678">
        <f t="shared" ca="1" si="504"/>
        <v>0</v>
      </c>
      <c r="J820" s="658">
        <f ca="1">+IFERROR(J$5*GETPIVOTDATA("Unique Billed Hours",'County allocation'!$S$3,"County",$D815,"HHA/CDPAP","CDPAP","Level of Service",$D820),0)</f>
        <v>0</v>
      </c>
      <c r="K820" s="658">
        <f ca="1">+IFERROR(K$5*GETPIVOTDATA("Unique Billed Hours",'County allocation'!$X$3,"County",$D815,"HHA/CDPAP","CDPAP","Level of Service",$D820),0)</f>
        <v>0</v>
      </c>
      <c r="L820" s="658">
        <f>+IFERROR(L$5*GETPIVOTDATA("Unique Billed Hours",'County allocation'!$K$19,"County",$D815,"HHA/CDPAP","CDPAP","Level of Service",$D820),0)</f>
        <v>0</v>
      </c>
      <c r="M820" s="658">
        <f>+IFERROR(M$5*GETPIVOTDATA("Unique Billed Hours",'County allocation'!$S$3,"County",$D815,"HHA/CDPAP","CDPAP","Level of Service",$D820),0)</f>
        <v>0</v>
      </c>
      <c r="N820" s="658">
        <f>+IFERROR(N$5*GETPIVOTDATA("Unique Billed Hours",'County allocation'!$S$3,"County",$D815,"HHA/CDPAP","CDPAP","Level of Service",$D820),0)</f>
        <v>0</v>
      </c>
      <c r="O820" s="658">
        <f>+IFERROR(O$5*GETPIVOTDATA("Unique Billed Hours",'County allocation'!$S$3,"County",$D815,"HHA/CDPAP","CDPAP","Level of Service",$D820),0)</f>
        <v>0</v>
      </c>
      <c r="P820" s="658">
        <f>+IFERROR(P$5*GETPIVOTDATA("Unique Billed Hours",'County allocation'!$S$3,"County",$D815,"HHA/CDPAP","CDPAP","Level of Service",$D820),0)</f>
        <v>0</v>
      </c>
    </row>
    <row r="821" spans="1:16" x14ac:dyDescent="0.25">
      <c r="B821" s="24"/>
      <c r="C821" s="9">
        <f t="shared" ca="1" si="502"/>
        <v>1</v>
      </c>
      <c r="D821" s="267" t="s">
        <v>44</v>
      </c>
      <c r="E821" s="48" t="s">
        <v>54</v>
      </c>
      <c r="F821" s="678">
        <f t="shared" ca="1" si="503"/>
        <v>0</v>
      </c>
      <c r="G821" s="658">
        <f ca="1">+IFERROR(G$5*GETPIVOTDATA("Unique Billed Hours",'County allocation'!$A$3,"County",$D815,"HHA/CDPAP","CDPAP","Level of Service",$D821),0)</f>
        <v>0</v>
      </c>
      <c r="H821" s="658">
        <f>+IFERROR(H$5*GETPIVOTDATA("Unique Billed Hours",'County allocation'!$A$3,"County",$D815,"HHA/CDPAP","CDPAP","Level of Service",$D821),0)</f>
        <v>0</v>
      </c>
      <c r="I821" s="678">
        <f t="shared" ca="1" si="504"/>
        <v>0</v>
      </c>
      <c r="J821" s="658">
        <f ca="1">+IFERROR(J$5*GETPIVOTDATA("Unique Billed Hours",'County allocation'!$S$3,"County",$D815,"HHA/CDPAP","CDPAP","Level of Service",$D821),0)</f>
        <v>0</v>
      </c>
      <c r="K821" s="658">
        <f ca="1">+IFERROR(K$5*GETPIVOTDATA("Unique Billed Hours",'County allocation'!$X$3,"County",$D815,"HHA/CDPAP","CDPAP","Level of Service",$D821),0)</f>
        <v>0</v>
      </c>
      <c r="L821" s="658">
        <f>+IFERROR(L$5*GETPIVOTDATA("Unique Billed Hours",'County allocation'!$K$19,"County",$D815,"HHA/CDPAP","CDPAP","Level of Service",$D821),0)</f>
        <v>0</v>
      </c>
      <c r="M821" s="658">
        <f>+IFERROR(M$5*GETPIVOTDATA("Unique Billed Hours",'County allocation'!$S$3,"County",$D815,"HHA/CDPAP","CDPAP","Level of Service",$D821),0)</f>
        <v>0</v>
      </c>
      <c r="N821" s="658">
        <f>+IFERROR(N$5*GETPIVOTDATA("Unique Billed Hours",'County allocation'!$S$3,"County",$D815,"HHA/CDPAP","CDPAP","Level of Service",$D821),0)</f>
        <v>0</v>
      </c>
      <c r="O821" s="658">
        <f>+IFERROR(O$5*GETPIVOTDATA("Unique Billed Hours",'County allocation'!$S$3,"County",$D815,"HHA/CDPAP","CDPAP","Level of Service",$D821),0)</f>
        <v>0</v>
      </c>
      <c r="P821" s="658">
        <f>+IFERROR(P$5*GETPIVOTDATA("Unique Billed Hours",'County allocation'!$S$3,"County",$D815,"HHA/CDPAP","CDPAP","Level of Service",$D821),0)</f>
        <v>0</v>
      </c>
    </row>
    <row r="822" spans="1:16" x14ac:dyDescent="0.25">
      <c r="B822" s="24"/>
      <c r="C822" s="9">
        <f t="shared" ca="1" si="502"/>
        <v>1</v>
      </c>
      <c r="D822" s="267" t="s">
        <v>45</v>
      </c>
      <c r="E822" s="48" t="s">
        <v>53</v>
      </c>
      <c r="F822" s="678">
        <f t="shared" ca="1" si="503"/>
        <v>0</v>
      </c>
      <c r="G822" s="658">
        <f ca="1">+IFERROR(G$5*GETPIVOTDATA("Unique Billed Hours",'County allocation'!$A$3,"County",$D815,"HHA/CDPAP","CDPAP","Level of Service",$D822),0)</f>
        <v>0</v>
      </c>
      <c r="H822" s="658">
        <f>+IFERROR(H$5*GETPIVOTDATA("Unique Billed Hours",'County allocation'!$A$3,"County",$D815,"HHA/CDPAP","CDPAP","Level of Service",$D822),0)</f>
        <v>0</v>
      </c>
      <c r="I822" s="678">
        <f t="shared" ca="1" si="504"/>
        <v>0</v>
      </c>
      <c r="J822" s="658">
        <f ca="1">+IFERROR(J$5*GETPIVOTDATA("Unique Billed Hours",'County allocation'!$S$3,"County",$D815,"HHA/CDPAP","CDPAP","Level of Service",$D822),0)</f>
        <v>0</v>
      </c>
      <c r="K822" s="658">
        <f ca="1">+IFERROR(K$5*GETPIVOTDATA("Unique Billed Hours",'County allocation'!$X$3,"County",$D815,"HHA/CDPAP","CDPAP","Level of Service",$D822),0)</f>
        <v>0</v>
      </c>
      <c r="L822" s="658">
        <f>+IFERROR(L$5*GETPIVOTDATA("Unique Billed Hours",'County allocation'!$K$19,"County",$D815,"HHA/CDPAP","CDPAP","Level of Service",$D822),0)</f>
        <v>0</v>
      </c>
      <c r="M822" s="658">
        <f>+IFERROR(M$5*GETPIVOTDATA("Unique Billed Hours",'County allocation'!$S$3,"County",$D815,"HHA/CDPAP","CDPAP","Level of Service",$D822),0)</f>
        <v>0</v>
      </c>
      <c r="N822" s="658">
        <f>+IFERROR(N$5*GETPIVOTDATA("Unique Billed Hours",'County allocation'!$S$3,"County",$D815,"HHA/CDPAP","CDPAP","Level of Service",$D822),0)</f>
        <v>0</v>
      </c>
      <c r="O822" s="658">
        <f>+IFERROR(O$5*GETPIVOTDATA("Unique Billed Hours",'County allocation'!$S$3,"County",$D815,"HHA/CDPAP","CDPAP","Level of Service",$D822),0)</f>
        <v>0</v>
      </c>
      <c r="P822" s="658">
        <f>+IFERROR(P$5*GETPIVOTDATA("Unique Billed Hours",'County allocation'!$S$3,"County",$D815,"HHA/CDPAP","CDPAP","Level of Service",$D822),0)</f>
        <v>0</v>
      </c>
    </row>
    <row r="823" spans="1:16" x14ac:dyDescent="0.25">
      <c r="A823" s="302"/>
      <c r="B823" s="24"/>
      <c r="C823" s="9">
        <f t="shared" ca="1" si="502"/>
        <v>1</v>
      </c>
      <c r="D823" s="267" t="s">
        <v>46</v>
      </c>
      <c r="E823" s="48" t="s">
        <v>52</v>
      </c>
      <c r="F823" s="678">
        <f t="shared" ca="1" si="503"/>
        <v>0</v>
      </c>
      <c r="G823" s="658">
        <f ca="1">+IFERROR(G$5*GETPIVOTDATA("Unique Billed Hours",'County allocation'!$A$3,"County",$D815,"HHA/CDPAP","CDPAP","Level of Service",$D823),0)</f>
        <v>0</v>
      </c>
      <c r="H823" s="658">
        <f>+IFERROR(H$5*GETPIVOTDATA("Unique Billed Hours",'County allocation'!$A$3,"County",$D815,"HHA/CDPAP","CDPAP","Level of Service",$D823),0)</f>
        <v>0</v>
      </c>
      <c r="I823" s="678">
        <f t="shared" ca="1" si="504"/>
        <v>0</v>
      </c>
      <c r="J823" s="658">
        <f ca="1">+IFERROR(J$5*GETPIVOTDATA("Unique Billed Hours",'County allocation'!$S$3,"County",$D815,"HHA/CDPAP","CDPAP","Level of Service",$D823),0)</f>
        <v>0</v>
      </c>
      <c r="K823" s="658">
        <f ca="1">+IFERROR(K$5*GETPIVOTDATA("Unique Billed Hours",'County allocation'!$X$3,"County",$D815,"HHA/CDPAP","CDPAP","Level of Service",$D823),0)</f>
        <v>0</v>
      </c>
      <c r="L823" s="658">
        <f>+IFERROR(L$5*GETPIVOTDATA("Unique Billed Hours",'County allocation'!$K$19,"County",$D815,"HHA/CDPAP","CDPAP","Level of Service",$D823),0)</f>
        <v>0</v>
      </c>
      <c r="M823" s="658">
        <f>+IFERROR(M$5*GETPIVOTDATA("Unique Billed Hours",'County allocation'!$S$3,"County",$D815,"HHA/CDPAP","CDPAP","Level of Service",$D823),0)</f>
        <v>0</v>
      </c>
      <c r="N823" s="658">
        <f>+IFERROR(N$5*GETPIVOTDATA("Unique Billed Hours",'County allocation'!$S$3,"County",$D815,"HHA/CDPAP","CDPAP","Level of Service",$D823),0)</f>
        <v>0</v>
      </c>
      <c r="O823" s="658">
        <f>+IFERROR(O$5*GETPIVOTDATA("Unique Billed Hours",'County allocation'!$S$3,"County",$D815,"HHA/CDPAP","CDPAP","Level of Service",$D823),0)</f>
        <v>0</v>
      </c>
      <c r="P823" s="658">
        <f>+IFERROR(P$5*GETPIVOTDATA("Unique Billed Hours",'County allocation'!$S$3,"County",$D815,"HHA/CDPAP","CDPAP","Level of Service",$D823),0)</f>
        <v>0</v>
      </c>
    </row>
    <row r="824" spans="1:16" ht="15.75" thickBot="1" x14ac:dyDescent="0.3">
      <c r="A824" s="302"/>
      <c r="B824" s="24"/>
      <c r="C824" s="9">
        <f t="shared" ca="1" si="502"/>
        <v>1</v>
      </c>
      <c r="D824" s="52" t="s">
        <v>389</v>
      </c>
      <c r="E824" s="370" t="s">
        <v>51</v>
      </c>
      <c r="F824" s="679">
        <f ca="1">SUM(F818:F823)</f>
        <v>71083.562553286334</v>
      </c>
      <c r="G824" s="679">
        <f t="shared" ref="G824:H824" ca="1" si="505">SUM(G818:G823)</f>
        <v>2857.7122401954548</v>
      </c>
      <c r="H824" s="679">
        <f t="shared" si="505"/>
        <v>2460.4374777155144</v>
      </c>
      <c r="I824" s="678">
        <f t="shared" ca="1" si="504"/>
        <v>65765.412835375362</v>
      </c>
      <c r="J824" s="679">
        <f ca="1">SUM(J818:J823)</f>
        <v>13011.503111598495</v>
      </c>
      <c r="K824" s="679">
        <f t="shared" ref="K824:P824" ca="1" si="506">SUM(K818:K823)</f>
        <v>52491.212304411973</v>
      </c>
      <c r="L824" s="679">
        <f t="shared" si="506"/>
        <v>0</v>
      </c>
      <c r="M824" s="679">
        <f t="shared" si="506"/>
        <v>242.39556603061044</v>
      </c>
      <c r="N824" s="679">
        <f t="shared" si="506"/>
        <v>20.301853334289355</v>
      </c>
      <c r="O824" s="679">
        <f t="shared" si="506"/>
        <v>0</v>
      </c>
      <c r="P824" s="679">
        <f t="shared" si="506"/>
        <v>0</v>
      </c>
    </row>
    <row r="825" spans="1:16" x14ac:dyDescent="0.25">
      <c r="A825" s="302"/>
      <c r="B825" s="24"/>
      <c r="C825" s="9">
        <f t="shared" ca="1" si="502"/>
        <v>1</v>
      </c>
      <c r="D825" s="378" t="s">
        <v>390</v>
      </c>
      <c r="E825" s="370" t="s">
        <v>50</v>
      </c>
      <c r="F825" s="678">
        <f t="shared" ref="F825" ca="1" si="507">SUM(G825:I825)</f>
        <v>0</v>
      </c>
      <c r="G825" s="658">
        <f ca="1">+IFERROR(G$5*GETPIVOTDATA("Unique Billed Hours",'County allocation'!$A$3,"County",$D815,"HHA/CDPAP","CDPAP","Level of Service",$D825),0)</f>
        <v>0</v>
      </c>
      <c r="H825" s="659"/>
      <c r="I825" s="678">
        <f t="shared" si="504"/>
        <v>0</v>
      </c>
      <c r="J825" s="659"/>
      <c r="K825" s="659"/>
      <c r="L825" s="659"/>
      <c r="M825" s="659"/>
      <c r="N825" s="659"/>
      <c r="O825" s="659"/>
      <c r="P825" s="659"/>
    </row>
    <row r="826" spans="1:16" ht="15.75" thickBot="1" x14ac:dyDescent="0.3">
      <c r="B826" s="24"/>
      <c r="C826" s="9">
        <f t="shared" ca="1" si="502"/>
        <v>1</v>
      </c>
      <c r="D826" s="11" t="s">
        <v>48</v>
      </c>
      <c r="E826" s="53" t="s">
        <v>49</v>
      </c>
      <c r="F826" s="662">
        <f ca="1">SUBTOTAL(9,F818:F823)</f>
        <v>71083.562553286334</v>
      </c>
      <c r="G826" s="662">
        <f t="shared" ref="G826:H826" ca="1" si="508">SUBTOTAL(9,G818:G823)</f>
        <v>2857.7122401954548</v>
      </c>
      <c r="H826" s="662">
        <f t="shared" si="508"/>
        <v>2460.4374777155144</v>
      </c>
      <c r="I826" s="678">
        <f t="shared" ca="1" si="504"/>
        <v>65765.412835375362</v>
      </c>
      <c r="J826" s="662">
        <f t="shared" ref="J826:P826" ca="1" si="509">SUBTOTAL(9,J818:J823)</f>
        <v>13011.503111598495</v>
      </c>
      <c r="K826" s="662">
        <f t="shared" ca="1" si="509"/>
        <v>52491.212304411973</v>
      </c>
      <c r="L826" s="662">
        <f t="shared" si="509"/>
        <v>0</v>
      </c>
      <c r="M826" s="662">
        <f t="shared" si="509"/>
        <v>242.39556603061044</v>
      </c>
      <c r="N826" s="662">
        <f t="shared" si="509"/>
        <v>20.301853334289355</v>
      </c>
      <c r="O826" s="662">
        <f t="shared" si="509"/>
        <v>0</v>
      </c>
      <c r="P826" s="662">
        <f t="shared" si="509"/>
        <v>0</v>
      </c>
    </row>
    <row r="827" spans="1:16" x14ac:dyDescent="0.25">
      <c r="C827" s="9">
        <v>1</v>
      </c>
    </row>
    <row r="828" spans="1:16" x14ac:dyDescent="0.25">
      <c r="C828" s="9">
        <v>1</v>
      </c>
      <c r="D828" s="373" t="s">
        <v>68</v>
      </c>
      <c r="E828" s="372">
        <f>SUM(E815,E204,E802,E789,E776,E763,E750,E737,E724,E711,E698,E685,E672,E659,E646,E633,E620,E607,E594,E581,E568,E555,E542,E529,E516,E503,E490,E477,E464,E451,E438,E425,E412,E399,E386,E373,E360,E347,E334,E321,E308,E295,E282,E269,E256,E243,E230,E217,E191,E178,E165,E152,E139,E126,E113,E100,E87,E74,E61,E48,E35,E21)</f>
        <v>0.99999999999999978</v>
      </c>
    </row>
    <row r="829" spans="1:16" x14ac:dyDescent="0.25">
      <c r="C829" s="9">
        <v>1</v>
      </c>
      <c r="E829" s="381" t="s">
        <v>68</v>
      </c>
      <c r="G829" s="400">
        <f ca="1">SUM(G826,G59,G813,G800,G787,G774,G761,G748,G735,G722,G709,G696,G683,G670,G657,G644,G631,G618,G605,G592,G579,G566,G553,G540,G527,G514,G501,G488,G475,G462,G449,G436,G423,G410,G397,G384,G371,G358,G345,G332,G319,G306,G293,G280,G267,G254,G241,G228,G215,G202,G189,G176,G163,G150,G137,G124,G111,G98,G85,G72,G46,G32,)</f>
        <v>3465564.5354507142</v>
      </c>
      <c r="H829" s="400">
        <f t="shared" ref="H829:P829" si="510">SUM(H826,H59,H813,H800,H787,H774,H761,H748,H735,H722,H709,H696,H683,H670,H657,H644,H631,H618,H605,H592,H579,H566,H553,H540,H527,H514,H501,H488,H475,H462,H449,H436,H423,H410,H397,H384,H371,H358,H345,H332,H319,H306,H293,H280,H267,H254,H241,H228,H215,H202,H189,H176,H163,H150,H137,H124,H111,H98,H85,H72,H46,H32,)</f>
        <v>2983787.0813338072</v>
      </c>
      <c r="I829" s="400">
        <f t="shared" ca="1" si="510"/>
        <v>79754105.111004353</v>
      </c>
      <c r="J829" s="400">
        <f t="shared" ca="1" si="510"/>
        <v>15779126.779181316</v>
      </c>
      <c r="K829" s="400">
        <f t="shared" ca="1" si="510"/>
        <v>63656403.617651239</v>
      </c>
      <c r="L829" s="400">
        <f t="shared" si="510"/>
        <v>0</v>
      </c>
      <c r="M829" s="400">
        <f t="shared" si="510"/>
        <v>293954.53655919194</v>
      </c>
      <c r="N829" s="400">
        <f t="shared" si="510"/>
        <v>24620.177612572654</v>
      </c>
      <c r="O829" s="400">
        <f t="shared" si="510"/>
        <v>0</v>
      </c>
      <c r="P829" s="400">
        <f t="shared" si="510"/>
        <v>0</v>
      </c>
    </row>
    <row r="830" spans="1:16" x14ac:dyDescent="0.25">
      <c r="C830" s="9">
        <v>1</v>
      </c>
      <c r="E830" s="382" t="s">
        <v>69</v>
      </c>
      <c r="G830" s="648">
        <f ca="1">G829-G5</f>
        <v>0</v>
      </c>
      <c r="H830" s="648">
        <f t="shared" ref="H830:P830" si="511">H829-H5</f>
        <v>0</v>
      </c>
      <c r="I830" s="648">
        <f t="shared" ca="1" si="511"/>
        <v>0</v>
      </c>
      <c r="J830" s="648">
        <f t="shared" ca="1" si="511"/>
        <v>0</v>
      </c>
      <c r="K830" s="648">
        <f t="shared" ca="1" si="511"/>
        <v>0</v>
      </c>
      <c r="L830" s="648">
        <f t="shared" si="511"/>
        <v>0</v>
      </c>
      <c r="M830" s="648">
        <f t="shared" si="511"/>
        <v>0</v>
      </c>
      <c r="N830" s="648">
        <f t="shared" si="511"/>
        <v>0</v>
      </c>
      <c r="O830" s="648">
        <f t="shared" si="511"/>
        <v>0</v>
      </c>
      <c r="P830" s="648">
        <f t="shared" si="511"/>
        <v>0</v>
      </c>
    </row>
  </sheetData>
  <autoFilter ref="A1:R830" xr:uid="{00000000-0009-0000-0000-000008000000}">
    <filterColumn colId="2">
      <customFilters>
        <customFilter operator="notEqual" val=" "/>
      </customFilters>
    </filterColumn>
    <filterColumn colId="4" showButton="0"/>
    <filterColumn colId="5" showButton="0"/>
    <filterColumn colId="6" showButton="0"/>
    <filterColumn colId="7" showButton="0"/>
  </autoFilter>
  <customSheetViews>
    <customSheetView guid="{DE5AAEC6-B417-4CB5-A2E1-8776196B56AA}" scale="80" showPageBreaks="1" fitToPage="1" printArea="1">
      <selection activeCell="A4" sqref="A4:B13"/>
      <pageMargins left="0.7" right="0.7" top="0.75" bottom="0.75" header="0.3" footer="0.3"/>
      <pageSetup paperSize="17" scale="85" orientation="landscape" r:id="rId1"/>
    </customSheetView>
    <customSheetView guid="{3ACE1F12-3844-4D90-9B24-992DA32A7B7A}" scale="80" fitToPage="1">
      <selection activeCell="D33" sqref="D33"/>
      <pageMargins left="0.7" right="0.7" top="0.75" bottom="0.75" header="0.3" footer="0.3"/>
      <pageSetup paperSize="17" scale="85" orientation="landscape" r:id="rId2"/>
    </customSheetView>
  </customSheetViews>
  <mergeCells count="2">
    <mergeCell ref="E1:I1"/>
    <mergeCell ref="E2:I2"/>
  </mergeCells>
  <conditionalFormatting sqref="G830:P830">
    <cfRule type="cellIs" dxfId="773" priority="1" operator="lessThan">
      <formula>0</formula>
    </cfRule>
    <cfRule type="cellIs" dxfId="772" priority="2" operator="greaterThan">
      <formula>0</formula>
    </cfRule>
    <cfRule type="cellIs" dxfId="771" priority="3" operator="equal">
      <formula>0</formula>
    </cfRule>
  </conditionalFormatting>
  <pageMargins left="0.7" right="0.7" top="0.75" bottom="0.75" header="0.3" footer="0.3"/>
  <pageSetup paperSize="17" scale="79" orientation="landscape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 filterMode="1">
    <tabColor rgb="FF92D050"/>
    <pageSetUpPr fitToPage="1"/>
  </sheetPr>
  <dimension ref="A1:I1270"/>
  <sheetViews>
    <sheetView topLeftCell="A32" zoomScaleNormal="100" workbookViewId="0">
      <selection activeCell="F17" sqref="F17"/>
    </sheetView>
  </sheetViews>
  <sheetFormatPr defaultColWidth="9.28515625" defaultRowHeight="15" x14ac:dyDescent="0.25"/>
  <cols>
    <col min="1" max="1" width="16.28515625" style="119" bestFit="1" customWidth="1"/>
    <col min="2" max="2" width="15.7109375" style="310" bestFit="1" customWidth="1"/>
    <col min="3" max="3" width="21.7109375" style="9" customWidth="1"/>
    <col min="4" max="4" width="55.7109375" style="9" customWidth="1"/>
    <col min="5" max="5" width="10" style="10" bestFit="1" customWidth="1"/>
    <col min="6" max="7" width="17.7109375" style="648" customWidth="1"/>
    <col min="8" max="8" width="12" style="9" bestFit="1" customWidth="1"/>
    <col min="9" max="9" width="13.140625" style="9" bestFit="1" customWidth="1"/>
    <col min="10" max="16384" width="9.28515625" style="9"/>
  </cols>
  <sheetData>
    <row r="1" spans="1:9" x14ac:dyDescent="0.25">
      <c r="A1" s="289" t="s">
        <v>20</v>
      </c>
      <c r="B1" s="307"/>
      <c r="C1" s="9">
        <v>1</v>
      </c>
      <c r="D1" s="22" t="s">
        <v>64</v>
      </c>
      <c r="E1" s="376"/>
      <c r="F1" s="586"/>
      <c r="G1" s="586"/>
    </row>
    <row r="2" spans="1:9" ht="15.75" thickBot="1" x14ac:dyDescent="0.3">
      <c r="A2" s="62"/>
      <c r="B2" s="307"/>
      <c r="C2" s="9">
        <v>1</v>
      </c>
      <c r="D2" s="21" t="s">
        <v>63</v>
      </c>
      <c r="E2" s="377"/>
      <c r="F2" s="586"/>
      <c r="G2" s="586"/>
    </row>
    <row r="3" spans="1:9" ht="30" x14ac:dyDescent="0.25">
      <c r="A3" s="100"/>
      <c r="B3" s="308"/>
      <c r="C3" s="9">
        <v>1</v>
      </c>
      <c r="D3" s="20" t="s">
        <v>70</v>
      </c>
      <c r="E3" s="19">
        <f>+GETPIVOTDATA("Unique Billed Hours",'HHA-CDPAP'!$A$3,"HHA/CDPAP","HHA")</f>
        <v>0.64953982701210444</v>
      </c>
      <c r="F3" s="652" t="s">
        <v>31</v>
      </c>
      <c r="G3" s="652" t="s">
        <v>32</v>
      </c>
    </row>
    <row r="4" spans="1:9" x14ac:dyDescent="0.25">
      <c r="A4" s="553" t="s">
        <v>303</v>
      </c>
      <c r="B4" s="309">
        <f>IFERROR(+GETPIVOTDATA("Unique Billed Hours",'County allocation'!$AI$3,"County",A4,"Admin","R"),0)</f>
        <v>7.9966886343837643E-3</v>
      </c>
      <c r="C4" s="9">
        <v>1</v>
      </c>
      <c r="D4" s="30"/>
      <c r="E4" s="31"/>
      <c r="F4" s="680" t="s">
        <v>54</v>
      </c>
      <c r="G4" s="680" t="s">
        <v>53</v>
      </c>
    </row>
    <row r="5" spans="1:9" x14ac:dyDescent="0.25">
      <c r="A5" s="553" t="s">
        <v>304</v>
      </c>
      <c r="B5" s="309">
        <f>IFERROR(+GETPIVOTDATA("Unique Billed Hours",'County allocation'!$AI$3,"County",A5,"Admin","R"),0)</f>
        <v>0</v>
      </c>
      <c r="C5" s="9">
        <v>1</v>
      </c>
      <c r="D5" s="32" t="s">
        <v>71</v>
      </c>
      <c r="E5" s="33"/>
      <c r="F5" s="681"/>
      <c r="G5" s="682"/>
    </row>
    <row r="6" spans="1:9" x14ac:dyDescent="0.25">
      <c r="A6" s="553" t="s">
        <v>305</v>
      </c>
      <c r="B6" s="309">
        <f>IFERROR(+GETPIVOTDATA("Unique Billed Hours",'County allocation'!$AI$3,"County",A6,"Admin","R"),0)</f>
        <v>4.8303668785223693E-2</v>
      </c>
      <c r="C6" s="9">
        <v>1</v>
      </c>
      <c r="D6" s="364" t="s">
        <v>72</v>
      </c>
      <c r="E6" s="12" t="s">
        <v>57</v>
      </c>
      <c r="F6" s="683">
        <f>SUMIFS('TB Tagging'!$B:$B,'TB Tagging'!$D:$D,$D6,'TB Tagging'!$E:$E,F$3)*$E$3</f>
        <v>0</v>
      </c>
      <c r="G6" s="682"/>
    </row>
    <row r="7" spans="1:9" x14ac:dyDescent="0.25">
      <c r="A7" s="553" t="s">
        <v>306</v>
      </c>
      <c r="B7" s="309">
        <f>IFERROR(+GETPIVOTDATA("Unique Billed Hours",'County allocation'!$AI$3,"County",A7,"Admin","R"),0)</f>
        <v>0</v>
      </c>
      <c r="C7" s="9">
        <v>1</v>
      </c>
      <c r="D7" s="364" t="s">
        <v>73</v>
      </c>
      <c r="E7" s="12" t="s">
        <v>56</v>
      </c>
      <c r="F7" s="683">
        <f>SUMIFS('TB Tagging'!$B:$B,'TB Tagging'!$D:$D,$D7,'TB Tagging'!$E:$E,F$3)*$E$3</f>
        <v>812025.44295212266</v>
      </c>
      <c r="G7" s="682"/>
    </row>
    <row r="8" spans="1:9" x14ac:dyDescent="0.25">
      <c r="A8" s="553" t="s">
        <v>307</v>
      </c>
      <c r="B8" s="309">
        <f>IFERROR(+GETPIVOTDATA("Unique Billed Hours",'County allocation'!$AI$3,"County",A8,"Admin","R"),0)</f>
        <v>0</v>
      </c>
      <c r="C8" s="9">
        <v>1</v>
      </c>
      <c r="D8" s="364" t="s">
        <v>74</v>
      </c>
      <c r="E8" s="12" t="s">
        <v>55</v>
      </c>
      <c r="F8" s="683">
        <f>SUMIFS('TB Tagging'!$B:$B,'TB Tagging'!$D:$D,$D8,'TB Tagging'!$E:$E,F$3)*$E$3</f>
        <v>121736.16329736603</v>
      </c>
      <c r="G8" s="682"/>
      <c r="H8" s="572">
        <f>F8+'Schedule 4c'!F8</f>
        <v>187419.09000000003</v>
      </c>
    </row>
    <row r="9" spans="1:9" x14ac:dyDescent="0.25">
      <c r="A9" s="553" t="s">
        <v>308</v>
      </c>
      <c r="B9" s="309">
        <f>IFERROR(+GETPIVOTDATA("Unique Billed Hours",'County allocation'!$AI$3,"County",A9,"Admin","R"),0)</f>
        <v>0</v>
      </c>
      <c r="C9" s="9">
        <v>1</v>
      </c>
      <c r="D9" s="364" t="s">
        <v>75</v>
      </c>
      <c r="E9" s="12" t="s">
        <v>54</v>
      </c>
      <c r="F9" s="683">
        <f>SUMIFS('TB Tagging'!$B:$B,'TB Tagging'!$D:$D,$D9,'TB Tagging'!$E:$E,F$3)*$E$3</f>
        <v>248812.03112764182</v>
      </c>
      <c r="G9" s="682"/>
      <c r="H9" s="44">
        <f>F9+'Schedule 4c'!F9</f>
        <v>383058.93000000005</v>
      </c>
    </row>
    <row r="10" spans="1:9" x14ac:dyDescent="0.25">
      <c r="A10" s="553" t="s">
        <v>309</v>
      </c>
      <c r="B10" s="309">
        <f>IFERROR(+GETPIVOTDATA("Unique Billed Hours",'County allocation'!$AI$3,"County",A10,"Admin","R"),0)</f>
        <v>0</v>
      </c>
      <c r="C10" s="9">
        <v>1</v>
      </c>
      <c r="D10" s="34" t="s">
        <v>467</v>
      </c>
      <c r="E10" s="12" t="s">
        <v>53</v>
      </c>
      <c r="F10" s="683">
        <f>SUMIFS('TB Tagging'!$B:$B,'TB Tagging'!$D:$D,$D10,'TB Tagging'!$E:$E,F$3)*$E$3</f>
        <v>1191427.3328879809</v>
      </c>
      <c r="G10" s="682"/>
      <c r="H10" s="44">
        <f>F10+'Schedule 4c'!F10</f>
        <v>1834263.71</v>
      </c>
    </row>
    <row r="11" spans="1:9" x14ac:dyDescent="0.25">
      <c r="A11" s="553" t="s">
        <v>310</v>
      </c>
      <c r="B11" s="309">
        <f>IFERROR(+GETPIVOTDATA("Unique Billed Hours",'County allocation'!$AI$3,"County",A11,"Admin","R"),0)</f>
        <v>0</v>
      </c>
      <c r="C11" s="9">
        <v>1</v>
      </c>
      <c r="D11" s="34" t="s">
        <v>76</v>
      </c>
      <c r="E11" s="12" t="s">
        <v>52</v>
      </c>
      <c r="F11" s="683">
        <f>SUMIFS('TB Tagging'!$B:$B,'TB Tagging'!$D:$D,$D11,'TB Tagging'!$E:$E,F$3)*$E$3</f>
        <v>272417.10737524892</v>
      </c>
      <c r="G11" s="682"/>
      <c r="H11" s="44">
        <f>F11+'Schedule 4c'!F11</f>
        <v>419400.16000000003</v>
      </c>
    </row>
    <row r="12" spans="1:9" x14ac:dyDescent="0.25">
      <c r="A12" s="553" t="s">
        <v>360</v>
      </c>
      <c r="B12" s="309">
        <f>IFERROR(+GETPIVOTDATA("Unique Billed Hours",'County allocation'!$AI$3,"County",A12,"Admin","R"),0)</f>
        <v>0</v>
      </c>
      <c r="C12" s="9">
        <v>1</v>
      </c>
      <c r="D12" s="34" t="s">
        <v>468</v>
      </c>
      <c r="E12" s="12" t="s">
        <v>51</v>
      </c>
      <c r="F12" s="683">
        <f>SUMIFS('TB Tagging'!$B:$B,'TB Tagging'!$D:$D,$D12,'TB Tagging'!$E:$E,F$3)*$E$3</f>
        <v>0</v>
      </c>
      <c r="G12" s="682"/>
      <c r="H12" s="572">
        <f>F12+'Schedule 4c'!F12</f>
        <v>0</v>
      </c>
    </row>
    <row r="13" spans="1:9" x14ac:dyDescent="0.25">
      <c r="A13" s="553" t="s">
        <v>311</v>
      </c>
      <c r="B13" s="309">
        <f>IFERROR(+GETPIVOTDATA("Unique Billed Hours",'County allocation'!$AI$3,"County",A13,"Admin","R"),0)</f>
        <v>0</v>
      </c>
      <c r="C13" s="9">
        <v>1</v>
      </c>
      <c r="D13" s="364" t="s">
        <v>59</v>
      </c>
      <c r="E13" s="12" t="s">
        <v>50</v>
      </c>
      <c r="F13" s="683">
        <f>SUMIFS('TB Tagging'!$B:$B,'TB Tagging'!$D:$D,$D13,'TB Tagging'!$E:$E,F$3)*$E$3</f>
        <v>43135.647618951705</v>
      </c>
      <c r="G13" s="682"/>
      <c r="H13" s="44">
        <f>F13+'Schedule 4c'!F13</f>
        <v>66409.550000000017</v>
      </c>
    </row>
    <row r="14" spans="1:9" x14ac:dyDescent="0.25">
      <c r="A14" s="553" t="s">
        <v>312</v>
      </c>
      <c r="B14" s="309">
        <f>IFERROR(+GETPIVOTDATA("Unique Billed Hours",'County allocation'!$AI$3,"County",A14,"Admin","R"),0)</f>
        <v>8.5321957257270391E-5</v>
      </c>
      <c r="C14" s="9">
        <v>1</v>
      </c>
      <c r="D14" s="364" t="s">
        <v>25</v>
      </c>
      <c r="E14" s="12" t="s">
        <v>49</v>
      </c>
      <c r="F14" s="683">
        <f>SUMIFS('TB Tagging'!$B:$B,'TB Tagging'!$D:$D,$D14,'TB Tagging'!$E:$E,F$3)*$E$3</f>
        <v>141251.69782171529</v>
      </c>
      <c r="G14" s="682"/>
      <c r="H14" s="44">
        <f>F14+'Schedule 4c'!F14</f>
        <v>217464.26</v>
      </c>
    </row>
    <row r="15" spans="1:9" x14ac:dyDescent="0.25">
      <c r="A15" s="553" t="s">
        <v>313</v>
      </c>
      <c r="B15" s="309">
        <f>IFERROR(+GETPIVOTDATA("Unique Billed Hours",'County allocation'!$AI$3,"County",A15,"Admin","R"),0)</f>
        <v>0</v>
      </c>
      <c r="C15" s="9">
        <v>1</v>
      </c>
      <c r="D15" s="552" t="s">
        <v>466</v>
      </c>
      <c r="E15" s="12" t="s">
        <v>47</v>
      </c>
      <c r="F15" s="683">
        <f>SUMIFS('TB Tagging'!$B:$B,'TB Tagging'!$D:$D,$D15,'TB Tagging'!$E:$E,F$3)*$E$3</f>
        <v>527004.04121529683</v>
      </c>
      <c r="G15" s="682"/>
      <c r="H15" s="44">
        <f>F15+'Schedule 4c'!F15</f>
        <v>811349.85</v>
      </c>
    </row>
    <row r="16" spans="1:9" x14ac:dyDescent="0.25">
      <c r="A16" s="553" t="s">
        <v>314</v>
      </c>
      <c r="B16" s="309">
        <f>IFERROR(+GETPIVOTDATA("Unique Billed Hours",'County allocation'!$AI$3,"County",A16,"Admin","R"),0)</f>
        <v>0</v>
      </c>
      <c r="C16" s="9">
        <v>1</v>
      </c>
      <c r="D16" s="364" t="s">
        <v>82</v>
      </c>
      <c r="E16" s="12" t="s">
        <v>77</v>
      </c>
      <c r="F16" s="683">
        <f>SUMIFS('TB Tagging'!$B:$B,'TB Tagging'!$D:$D,$D16,'TB Tagging'!$E:$E,F$3)*$E$3</f>
        <v>357108.23459898861</v>
      </c>
      <c r="G16" s="682"/>
      <c r="H16" s="572">
        <f>F16+'Schedule 4c'!F16</f>
        <v>549786.51</v>
      </c>
      <c r="I16" s="15"/>
    </row>
    <row r="17" spans="1:9" x14ac:dyDescent="0.25">
      <c r="A17" s="553" t="s">
        <v>315</v>
      </c>
      <c r="B17" s="309">
        <f>IFERROR(+GETPIVOTDATA("Unique Billed Hours",'County allocation'!$AI$3,"County",A17,"Admin","R"),0)</f>
        <v>0</v>
      </c>
      <c r="C17" s="9">
        <v>1</v>
      </c>
      <c r="D17" s="364" t="s">
        <v>84</v>
      </c>
      <c r="E17" s="12" t="s">
        <v>78</v>
      </c>
      <c r="F17" s="683">
        <f ca="1">SUMIFS('TB Tagging'!$B:$B,'TB Tagging'!$D:$D,$D17,'TB Tagging'!$E:$E,F$3)*$E$3</f>
        <v>25529978.20802274</v>
      </c>
      <c r="G17" s="682"/>
      <c r="H17" s="572">
        <f ca="1">F17+'Schedule 4c'!F17</f>
        <v>39304715.656099379</v>
      </c>
    </row>
    <row r="18" spans="1:9" x14ac:dyDescent="0.25">
      <c r="A18" s="553" t="s">
        <v>316</v>
      </c>
      <c r="B18" s="309">
        <f>IFERROR(+GETPIVOTDATA("Unique Billed Hours",'County allocation'!$AI$3,"County",A18,"Admin","R"),0)</f>
        <v>0</v>
      </c>
      <c r="C18" s="9">
        <v>1</v>
      </c>
      <c r="D18" s="364" t="s">
        <v>86</v>
      </c>
      <c r="E18" s="12" t="s">
        <v>79</v>
      </c>
      <c r="F18" s="684">
        <f>SUMIFS('TB Tagging'!$B:$B,'TB Tagging'!$D:$D,$D18,'TB Tagging'!$E:$E,F$3)</f>
        <v>393254.69</v>
      </c>
      <c r="G18" s="684">
        <f>SUMIFS('TB Tagging'!$B:$B,'TB Tagging'!$D:$D,$D18,'TB Tagging'!$E:$E,G$3)</f>
        <v>0</v>
      </c>
      <c r="H18" s="44">
        <f>F18+'Schedule 4c'!F18</f>
        <v>393254.69</v>
      </c>
    </row>
    <row r="19" spans="1:9" x14ac:dyDescent="0.25">
      <c r="A19" s="553" t="s">
        <v>317</v>
      </c>
      <c r="B19" s="309">
        <f>IFERROR(+GETPIVOTDATA("Unique Billed Hours",'County allocation'!$AI$3,"County",A19,"Admin","R"),0)</f>
        <v>0</v>
      </c>
      <c r="C19" s="9">
        <v>1</v>
      </c>
      <c r="D19" s="364" t="s">
        <v>386</v>
      </c>
      <c r="E19" s="12" t="s">
        <v>81</v>
      </c>
      <c r="F19" s="683"/>
      <c r="G19" s="683">
        <f>SUMIFS('TB Tagging'!$B:$B,'TB Tagging'!$D:$D,$D19,'TB Tagging'!$E:$E,F$3)*$E$3</f>
        <v>0</v>
      </c>
      <c r="H19" s="572">
        <f>F19+'Schedule 4c'!F19</f>
        <v>0</v>
      </c>
    </row>
    <row r="20" spans="1:9" ht="15.75" thickBot="1" x14ac:dyDescent="0.3">
      <c r="A20" s="553" t="s">
        <v>318</v>
      </c>
      <c r="B20" s="309">
        <f>IFERROR(+GETPIVOTDATA("Unique Billed Hours",'County allocation'!$AI$3,"County",A20,"Admin","R"),0)</f>
        <v>0</v>
      </c>
      <c r="C20" s="9">
        <v>1</v>
      </c>
      <c r="D20" s="35" t="s">
        <v>22</v>
      </c>
      <c r="E20" s="12" t="s">
        <v>83</v>
      </c>
      <c r="F20" s="685">
        <f ca="1">SUBTOTAL(9,F6:F19)</f>
        <v>29638150.596918054</v>
      </c>
      <c r="G20" s="685">
        <f>SUBTOTAL(9,G6:G19)</f>
        <v>0</v>
      </c>
      <c r="H20" s="43">
        <f ca="1">G20+F20</f>
        <v>29638150.596918054</v>
      </c>
      <c r="I20" s="44"/>
    </row>
    <row r="21" spans="1:9" ht="15.75" thickBot="1" x14ac:dyDescent="0.3">
      <c r="A21" s="201" t="s">
        <v>319</v>
      </c>
      <c r="B21" s="309">
        <f>IFERROR(+GETPIVOTDATA("Unique Billed Hours",'County allocation'!$AI$3,"County",A21,"Admin","R"),0)</f>
        <v>0</v>
      </c>
      <c r="C21" s="9">
        <v>1</v>
      </c>
    </row>
    <row r="22" spans="1:9" ht="15.75" hidden="1" thickBot="1" x14ac:dyDescent="0.3">
      <c r="A22" s="201" t="s">
        <v>320</v>
      </c>
      <c r="B22" s="309">
        <f>IFERROR(+GETPIVOTDATA("Unique Billed Hours",'County allocation'!$AI$3,"County",A22,"Admin","R"),0)</f>
        <v>0</v>
      </c>
    </row>
    <row r="23" spans="1:9" ht="30" x14ac:dyDescent="0.25">
      <c r="A23" s="201" t="s">
        <v>321</v>
      </c>
      <c r="B23" s="309">
        <f>IFERROR(+GETPIVOTDATA("Unique Billed Hours",'County allocation'!$AI$3,"County",A23,"Admin","R"),0)</f>
        <v>0</v>
      </c>
      <c r="C23" s="9">
        <f ca="1">IF(F40&gt;0,1,0)</f>
        <v>1</v>
      </c>
      <c r="D23" s="20" t="str">
        <f>+A4</f>
        <v>Albany</v>
      </c>
      <c r="E23" s="19">
        <f>IFERROR(SUMIF(A:A,D23,B:B),0)</f>
        <v>7.9966886343837643E-3</v>
      </c>
      <c r="F23" s="652" t="s">
        <v>31</v>
      </c>
      <c r="G23" s="652" t="s">
        <v>32</v>
      </c>
    </row>
    <row r="24" spans="1:9" x14ac:dyDescent="0.25">
      <c r="A24" s="201" t="s">
        <v>322</v>
      </c>
      <c r="B24" s="309">
        <f>IFERROR(+GETPIVOTDATA("Unique Billed Hours",'County allocation'!$AI$3,"County",A24,"Admin","R"),0)</f>
        <v>0</v>
      </c>
      <c r="C24" s="9">
        <f ca="1">C23</f>
        <v>1</v>
      </c>
      <c r="D24" s="30"/>
      <c r="E24" s="31"/>
      <c r="F24" s="680" t="s">
        <v>54</v>
      </c>
      <c r="G24" s="680" t="s">
        <v>53</v>
      </c>
    </row>
    <row r="25" spans="1:9" x14ac:dyDescent="0.25">
      <c r="A25" s="201" t="s">
        <v>323</v>
      </c>
      <c r="B25" s="309">
        <f>IFERROR(+GETPIVOTDATA("Unique Billed Hours",'County allocation'!$AI$3,"County",A25,"Admin","R"),0)</f>
        <v>0</v>
      </c>
      <c r="C25" s="9">
        <f t="shared" ref="C25:C40" ca="1" si="0">C24</f>
        <v>1</v>
      </c>
      <c r="D25" s="32" t="s">
        <v>71</v>
      </c>
      <c r="E25" s="33"/>
      <c r="F25" s="681"/>
      <c r="G25" s="682"/>
    </row>
    <row r="26" spans="1:9" x14ac:dyDescent="0.25">
      <c r="A26" s="201" t="s">
        <v>324</v>
      </c>
      <c r="B26" s="309">
        <f>IFERROR(+GETPIVOTDATA("Unique Billed Hours",'County allocation'!$AI$3,"County",A26,"Admin","R"),0)</f>
        <v>0</v>
      </c>
      <c r="C26" s="9">
        <f t="shared" ca="1" si="0"/>
        <v>1</v>
      </c>
      <c r="D26" s="364" t="s">
        <v>72</v>
      </c>
      <c r="E26" s="12" t="s">
        <v>57</v>
      </c>
      <c r="F26" s="683">
        <f t="shared" ref="F26:G39" si="1">+$E$23*F6</f>
        <v>0</v>
      </c>
      <c r="G26" s="683">
        <f t="shared" si="1"/>
        <v>0</v>
      </c>
    </row>
    <row r="27" spans="1:9" x14ac:dyDescent="0.25">
      <c r="A27" s="201" t="s">
        <v>365</v>
      </c>
      <c r="B27" s="309">
        <f>IFERROR(+GETPIVOTDATA("Unique Billed Hours",'County allocation'!$AI$3,"County",A27,"Admin","R"),0)</f>
        <v>0.11968971791368295</v>
      </c>
      <c r="C27" s="9">
        <f t="shared" ca="1" si="0"/>
        <v>1</v>
      </c>
      <c r="D27" s="364" t="s">
        <v>73</v>
      </c>
      <c r="E27" s="12" t="s">
        <v>56</v>
      </c>
      <c r="F27" s="683">
        <f t="shared" si="1"/>
        <v>6493.5146304856808</v>
      </c>
      <c r="G27" s="683">
        <f t="shared" si="1"/>
        <v>0</v>
      </c>
    </row>
    <row r="28" spans="1:9" x14ac:dyDescent="0.25">
      <c r="A28" s="201" t="s">
        <v>325</v>
      </c>
      <c r="B28" s="309">
        <f>IFERROR(+GETPIVOTDATA("Unique Billed Hours",'County allocation'!$AI$3,"County",A28,"Admin","R"),0)</f>
        <v>0</v>
      </c>
      <c r="C28" s="9">
        <f t="shared" ca="1" si="0"/>
        <v>1</v>
      </c>
      <c r="D28" s="364" t="s">
        <v>74</v>
      </c>
      <c r="E28" s="12" t="s">
        <v>55</v>
      </c>
      <c r="F28" s="683">
        <f t="shared" si="1"/>
        <v>973.48619343353289</v>
      </c>
      <c r="G28" s="683">
        <f t="shared" si="1"/>
        <v>0</v>
      </c>
    </row>
    <row r="29" spans="1:9" x14ac:dyDescent="0.25">
      <c r="A29" s="201" t="s">
        <v>326</v>
      </c>
      <c r="B29" s="309">
        <f>IFERROR(+GETPIVOTDATA("Unique Billed Hours",'County allocation'!$AI$3,"County",A29,"Admin","R"),0)</f>
        <v>0</v>
      </c>
      <c r="C29" s="9">
        <f t="shared" ca="1" si="0"/>
        <v>1</v>
      </c>
      <c r="D29" s="364" t="s">
        <v>75</v>
      </c>
      <c r="E29" s="12" t="s">
        <v>54</v>
      </c>
      <c r="F29" s="683">
        <f t="shared" si="1"/>
        <v>1989.6723414163528</v>
      </c>
      <c r="G29" s="683">
        <f t="shared" si="1"/>
        <v>0</v>
      </c>
    </row>
    <row r="30" spans="1:9" x14ac:dyDescent="0.25">
      <c r="A30" s="201" t="s">
        <v>327</v>
      </c>
      <c r="B30" s="309">
        <f>IFERROR(+GETPIVOTDATA("Unique Billed Hours",'County allocation'!$AI$3,"County",A30,"Admin","R"),0)</f>
        <v>0</v>
      </c>
      <c r="C30" s="9">
        <f t="shared" ca="1" si="0"/>
        <v>1</v>
      </c>
      <c r="D30" s="34" t="s">
        <v>467</v>
      </c>
      <c r="E30" s="12" t="s">
        <v>53</v>
      </c>
      <c r="F30" s="683">
        <f t="shared" si="1"/>
        <v>9527.4734115994779</v>
      </c>
      <c r="G30" s="683">
        <f t="shared" si="1"/>
        <v>0</v>
      </c>
    </row>
    <row r="31" spans="1:9" x14ac:dyDescent="0.25">
      <c r="A31" s="201" t="s">
        <v>285</v>
      </c>
      <c r="B31" s="309">
        <f>IFERROR(+GETPIVOTDATA("Unique Billed Hours",'County allocation'!$AI$3,"County",A31,"Admin","R"),0)</f>
        <v>0</v>
      </c>
      <c r="C31" s="9">
        <f t="shared" ca="1" si="0"/>
        <v>1</v>
      </c>
      <c r="D31" s="34" t="s">
        <v>76</v>
      </c>
      <c r="E31" s="12" t="s">
        <v>52</v>
      </c>
      <c r="F31" s="683">
        <f t="shared" si="1"/>
        <v>2178.4347863593543</v>
      </c>
      <c r="G31" s="683">
        <f t="shared" si="1"/>
        <v>0</v>
      </c>
    </row>
    <row r="32" spans="1:9" x14ac:dyDescent="0.25">
      <c r="A32" s="201" t="s">
        <v>328</v>
      </c>
      <c r="B32" s="309">
        <f>IFERROR(+GETPIVOTDATA("Unique Billed Hours",'County allocation'!$AI$3,"County",A32,"Admin","R"),0)</f>
        <v>1.3302736692244878E-4</v>
      </c>
      <c r="C32" s="9">
        <f t="shared" ca="1" si="0"/>
        <v>1</v>
      </c>
      <c r="D32" s="34" t="s">
        <v>468</v>
      </c>
      <c r="E32" s="12" t="s">
        <v>51</v>
      </c>
      <c r="F32" s="683">
        <f t="shared" si="1"/>
        <v>0</v>
      </c>
      <c r="G32" s="683">
        <f t="shared" si="1"/>
        <v>0</v>
      </c>
    </row>
    <row r="33" spans="1:7" x14ac:dyDescent="0.25">
      <c r="A33" s="201" t="s">
        <v>329</v>
      </c>
      <c r="B33" s="309">
        <f>IFERROR(+GETPIVOTDATA("Unique Billed Hours",'County allocation'!$AI$3,"County",A33,"Admin","R"),0)</f>
        <v>3.5280473312550277E-2</v>
      </c>
      <c r="C33" s="9">
        <f t="shared" ca="1" si="0"/>
        <v>1</v>
      </c>
      <c r="D33" s="364" t="s">
        <v>59</v>
      </c>
      <c r="E33" s="12" t="s">
        <v>50</v>
      </c>
      <c r="F33" s="683">
        <f t="shared" si="1"/>
        <v>344.94234305125417</v>
      </c>
      <c r="G33" s="683">
        <f t="shared" si="1"/>
        <v>0</v>
      </c>
    </row>
    <row r="34" spans="1:7" x14ac:dyDescent="0.25">
      <c r="A34" s="201" t="s">
        <v>366</v>
      </c>
      <c r="B34" s="309">
        <f>IFERROR(+GETPIVOTDATA("Unique Billed Hours",'County allocation'!$AI$3,"County",A34,"Admin","R"),0)</f>
        <v>5.4433987275344702E-2</v>
      </c>
      <c r="C34" s="9">
        <f t="shared" ca="1" si="0"/>
        <v>1</v>
      </c>
      <c r="D34" s="364" t="s">
        <v>25</v>
      </c>
      <c r="E34" s="12" t="s">
        <v>49</v>
      </c>
      <c r="F34" s="683">
        <f t="shared" si="1"/>
        <v>1129.5458465583206</v>
      </c>
      <c r="G34" s="683">
        <f t="shared" si="1"/>
        <v>0</v>
      </c>
    </row>
    <row r="35" spans="1:7" x14ac:dyDescent="0.25">
      <c r="A35" s="201" t="s">
        <v>330</v>
      </c>
      <c r="B35" s="309">
        <f>IFERROR(+GETPIVOTDATA("Unique Billed Hours",'County allocation'!$AI$3,"County",A35,"Admin","R"),0)</f>
        <v>0</v>
      </c>
      <c r="C35" s="9">
        <f t="shared" ca="1" si="0"/>
        <v>1</v>
      </c>
      <c r="D35" s="364" t="s">
        <v>466</v>
      </c>
      <c r="E35" s="12" t="s">
        <v>47</v>
      </c>
      <c r="F35" s="683">
        <f t="shared" si="1"/>
        <v>4214.2872266606773</v>
      </c>
      <c r="G35" s="683">
        <f t="shared" si="1"/>
        <v>0</v>
      </c>
    </row>
    <row r="36" spans="1:7" x14ac:dyDescent="0.25">
      <c r="A36" s="201" t="s">
        <v>331</v>
      </c>
      <c r="B36" s="309">
        <f>IFERROR(+GETPIVOTDATA("Unique Billed Hours",'County allocation'!$AI$3,"County",A36,"Admin","R"),0)</f>
        <v>0</v>
      </c>
      <c r="C36" s="9">
        <f t="shared" ca="1" si="0"/>
        <v>1</v>
      </c>
      <c r="D36" s="364" t="s">
        <v>82</v>
      </c>
      <c r="E36" s="12" t="s">
        <v>77</v>
      </c>
      <c r="F36" s="683">
        <f t="shared" si="1"/>
        <v>2855.683360862583</v>
      </c>
      <c r="G36" s="683">
        <f t="shared" si="1"/>
        <v>0</v>
      </c>
    </row>
    <row r="37" spans="1:7" x14ac:dyDescent="0.25">
      <c r="A37" s="201" t="s">
        <v>332</v>
      </c>
      <c r="B37" s="309">
        <f>IFERROR(+GETPIVOTDATA("Unique Billed Hours",'County allocation'!$AI$3,"County",A37,"Admin","R"),0)</f>
        <v>0</v>
      </c>
      <c r="C37" s="9">
        <f t="shared" ca="1" si="0"/>
        <v>1</v>
      </c>
      <c r="D37" s="364" t="s">
        <v>84</v>
      </c>
      <c r="E37" s="12" t="s">
        <v>78</v>
      </c>
      <c r="F37" s="683">
        <f t="shared" ca="1" si="1"/>
        <v>204155.28657216064</v>
      </c>
      <c r="G37" s="683">
        <f t="shared" si="1"/>
        <v>0</v>
      </c>
    </row>
    <row r="38" spans="1:7" x14ac:dyDescent="0.25">
      <c r="A38" s="201" t="s">
        <v>333</v>
      </c>
      <c r="B38" s="309">
        <f>IFERROR(+GETPIVOTDATA("Unique Billed Hours",'County allocation'!$AI$3,"County",A38,"Admin","R"),0)</f>
        <v>0</v>
      </c>
      <c r="C38" s="9">
        <f t="shared" ca="1" si="0"/>
        <v>1</v>
      </c>
      <c r="D38" s="364" t="s">
        <v>86</v>
      </c>
      <c r="E38" s="12" t="s">
        <v>79</v>
      </c>
      <c r="F38" s="683">
        <f t="shared" si="1"/>
        <v>3144.7353099411107</v>
      </c>
      <c r="G38" s="683">
        <f t="shared" si="1"/>
        <v>0</v>
      </c>
    </row>
    <row r="39" spans="1:7" x14ac:dyDescent="0.25">
      <c r="A39" s="201" t="s">
        <v>334</v>
      </c>
      <c r="B39" s="309">
        <f>IFERROR(+GETPIVOTDATA("Unique Billed Hours",'County allocation'!$AI$3,"County",A39,"Admin","R"),0)</f>
        <v>1.4561244229196897E-6</v>
      </c>
      <c r="C39" s="9">
        <f t="shared" ca="1" si="0"/>
        <v>1</v>
      </c>
      <c r="D39" s="364" t="s">
        <v>386</v>
      </c>
      <c r="E39" s="12" t="s">
        <v>81</v>
      </c>
      <c r="F39" s="683">
        <f t="shared" si="1"/>
        <v>0</v>
      </c>
      <c r="G39" s="683">
        <f t="shared" si="1"/>
        <v>0</v>
      </c>
    </row>
    <row r="40" spans="1:7" ht="15.75" thickBot="1" x14ac:dyDescent="0.3">
      <c r="A40" s="201" t="s">
        <v>335</v>
      </c>
      <c r="B40" s="309">
        <f>IFERROR(+GETPIVOTDATA("Unique Billed Hours",'County allocation'!$AI$3,"County",A40,"Admin","R"),0)</f>
        <v>0</v>
      </c>
      <c r="C40" s="9">
        <f t="shared" ca="1" si="0"/>
        <v>1</v>
      </c>
      <c r="D40" s="35" t="s">
        <v>22</v>
      </c>
      <c r="E40" s="12" t="s">
        <v>83</v>
      </c>
      <c r="F40" s="685">
        <f ca="1">SUBTOTAL(9,F26:F39)</f>
        <v>237007.06202252899</v>
      </c>
      <c r="G40" s="685">
        <f>SUBTOTAL(9,G26:G39)</f>
        <v>0</v>
      </c>
    </row>
    <row r="41" spans="1:7" ht="15.75" hidden="1" thickBot="1" x14ac:dyDescent="0.3">
      <c r="A41" s="201" t="s">
        <v>336</v>
      </c>
      <c r="B41" s="309">
        <f>IFERROR(+GETPIVOTDATA("Unique Billed Hours",'County allocation'!$AI$3,"County",A41,"Admin","R"),0)</f>
        <v>0</v>
      </c>
    </row>
    <row r="42" spans="1:7" ht="30.75" hidden="1" thickBot="1" x14ac:dyDescent="0.3">
      <c r="A42" s="201" t="s">
        <v>337</v>
      </c>
      <c r="B42" s="309">
        <f>IFERROR(+GETPIVOTDATA("Unique Billed Hours",'County allocation'!$AI$3,"County",A42,"Admin","R"),0)</f>
        <v>0</v>
      </c>
      <c r="C42" s="9">
        <f>IF(F59&gt;0,1,0)</f>
        <v>0</v>
      </c>
      <c r="D42" s="20" t="str">
        <f>+A5</f>
        <v>Allegany</v>
      </c>
      <c r="E42" s="19">
        <f>IFERROR(SUMIF(A:A,D42,B:B),0)</f>
        <v>0</v>
      </c>
      <c r="F42" s="652" t="s">
        <v>31</v>
      </c>
      <c r="G42" s="652" t="s">
        <v>32</v>
      </c>
    </row>
    <row r="43" spans="1:7" ht="15.75" hidden="1" thickBot="1" x14ac:dyDescent="0.3">
      <c r="A43" s="201" t="s">
        <v>338</v>
      </c>
      <c r="B43" s="309">
        <f>IFERROR(+GETPIVOTDATA("Unique Billed Hours",'County allocation'!$AI$3,"County",A43,"Admin","R"),0)</f>
        <v>0</v>
      </c>
      <c r="C43" s="9">
        <f>C42</f>
        <v>0</v>
      </c>
      <c r="D43" s="30"/>
      <c r="E43" s="31"/>
      <c r="F43" s="680" t="s">
        <v>54</v>
      </c>
      <c r="G43" s="680" t="s">
        <v>53</v>
      </c>
    </row>
    <row r="44" spans="1:7" ht="15.75" hidden="1" thickBot="1" x14ac:dyDescent="0.3">
      <c r="A44" s="201" t="s">
        <v>339</v>
      </c>
      <c r="B44" s="309">
        <f>IFERROR(+GETPIVOTDATA("Unique Billed Hours",'County allocation'!$AI$3,"County",A44,"Admin","R"),0)</f>
        <v>6.5287175991947499E-2</v>
      </c>
      <c r="C44" s="9">
        <f t="shared" ref="C44:C59" si="2">C43</f>
        <v>0</v>
      </c>
      <c r="D44" s="32" t="s">
        <v>71</v>
      </c>
      <c r="E44" s="33"/>
      <c r="F44" s="681"/>
      <c r="G44" s="682"/>
    </row>
    <row r="45" spans="1:7" ht="15.75" hidden="1" thickBot="1" x14ac:dyDescent="0.3">
      <c r="A45" s="201" t="s">
        <v>340</v>
      </c>
      <c r="B45" s="309">
        <f>IFERROR(+GETPIVOTDATA("Unique Billed Hours",'County allocation'!$AI$3,"County",A45,"Admin","R"),0)</f>
        <v>1.1730815708073958E-3</v>
      </c>
      <c r="C45" s="9">
        <f t="shared" si="2"/>
        <v>0</v>
      </c>
      <c r="D45" s="364" t="s">
        <v>72</v>
      </c>
      <c r="E45" s="12" t="s">
        <v>57</v>
      </c>
      <c r="F45" s="683">
        <f t="shared" ref="F45:G58" si="3">+$E$42*F6</f>
        <v>0</v>
      </c>
      <c r="G45" s="683">
        <f t="shared" si="3"/>
        <v>0</v>
      </c>
    </row>
    <row r="46" spans="1:7" ht="15.75" hidden="1" thickBot="1" x14ac:dyDescent="0.3">
      <c r="A46" s="201" t="s">
        <v>367</v>
      </c>
      <c r="B46" s="309">
        <f>IFERROR(+GETPIVOTDATA("Unique Billed Hours",'County allocation'!$AI$3,"County",A46,"Admin","R"),0)</f>
        <v>4.381852820559811E-2</v>
      </c>
      <c r="C46" s="9">
        <f t="shared" si="2"/>
        <v>0</v>
      </c>
      <c r="D46" s="364" t="s">
        <v>73</v>
      </c>
      <c r="E46" s="12" t="s">
        <v>56</v>
      </c>
      <c r="F46" s="683">
        <f t="shared" si="3"/>
        <v>0</v>
      </c>
      <c r="G46" s="683">
        <f t="shared" si="3"/>
        <v>0</v>
      </c>
    </row>
    <row r="47" spans="1:7" ht="15.75" hidden="1" thickBot="1" x14ac:dyDescent="0.3">
      <c r="A47" s="201" t="s">
        <v>341</v>
      </c>
      <c r="B47" s="309">
        <f>IFERROR(+GETPIVOTDATA("Unique Billed Hours",'County allocation'!$AI$3,"County",A47,"Admin","R"),0)</f>
        <v>0</v>
      </c>
      <c r="C47" s="9">
        <f t="shared" si="2"/>
        <v>0</v>
      </c>
      <c r="D47" s="364" t="s">
        <v>74</v>
      </c>
      <c r="E47" s="12" t="s">
        <v>55</v>
      </c>
      <c r="F47" s="683">
        <f t="shared" si="3"/>
        <v>0</v>
      </c>
      <c r="G47" s="683">
        <f t="shared" si="3"/>
        <v>0</v>
      </c>
    </row>
    <row r="48" spans="1:7" ht="15.75" hidden="1" thickBot="1" x14ac:dyDescent="0.3">
      <c r="A48" s="201" t="s">
        <v>342</v>
      </c>
      <c r="B48" s="309">
        <f>IFERROR(+GETPIVOTDATA("Unique Billed Hours",'County allocation'!$AI$3,"County",A48,"Admin","R"),0)</f>
        <v>0</v>
      </c>
      <c r="C48" s="9">
        <f t="shared" si="2"/>
        <v>0</v>
      </c>
      <c r="D48" s="364" t="s">
        <v>75</v>
      </c>
      <c r="E48" s="12" t="s">
        <v>54</v>
      </c>
      <c r="F48" s="683">
        <f t="shared" si="3"/>
        <v>0</v>
      </c>
      <c r="G48" s="683">
        <f t="shared" si="3"/>
        <v>0</v>
      </c>
    </row>
    <row r="49" spans="1:7" ht="15.75" hidden="1" thickBot="1" x14ac:dyDescent="0.3">
      <c r="A49" s="201" t="s">
        <v>343</v>
      </c>
      <c r="B49" s="309">
        <f>IFERROR(+GETPIVOTDATA("Unique Billed Hours",'County allocation'!$AI$3,"County",A49,"Admin","R"),0)</f>
        <v>1.8187687434849267E-4</v>
      </c>
      <c r="C49" s="9">
        <f t="shared" si="2"/>
        <v>0</v>
      </c>
      <c r="D49" s="34" t="s">
        <v>467</v>
      </c>
      <c r="E49" s="12" t="s">
        <v>53</v>
      </c>
      <c r="F49" s="683">
        <f t="shared" si="3"/>
        <v>0</v>
      </c>
      <c r="G49" s="683">
        <f t="shared" si="3"/>
        <v>0</v>
      </c>
    </row>
    <row r="50" spans="1:7" ht="15.75" hidden="1" thickBot="1" x14ac:dyDescent="0.3">
      <c r="A50" s="201" t="s">
        <v>344</v>
      </c>
      <c r="B50" s="309">
        <f>IFERROR(+GETPIVOTDATA("Unique Billed Hours",'County allocation'!$AI$3,"County",A50,"Admin","R"),0)</f>
        <v>3.4509802126905472E-3</v>
      </c>
      <c r="C50" s="9">
        <f t="shared" si="2"/>
        <v>0</v>
      </c>
      <c r="D50" s="34" t="s">
        <v>76</v>
      </c>
      <c r="E50" s="12" t="s">
        <v>52</v>
      </c>
      <c r="F50" s="683">
        <f t="shared" si="3"/>
        <v>0</v>
      </c>
      <c r="G50" s="683">
        <f t="shared" si="3"/>
        <v>0</v>
      </c>
    </row>
    <row r="51" spans="1:7" ht="15.75" hidden="1" thickBot="1" x14ac:dyDescent="0.3">
      <c r="A51" s="201" t="s">
        <v>345</v>
      </c>
      <c r="B51" s="309">
        <f>IFERROR(+GETPIVOTDATA("Unique Billed Hours",'County allocation'!$AI$3,"County",A51,"Admin","R"),0)</f>
        <v>0</v>
      </c>
      <c r="C51" s="9">
        <f t="shared" si="2"/>
        <v>0</v>
      </c>
      <c r="D51" s="34" t="s">
        <v>468</v>
      </c>
      <c r="E51" s="12" t="s">
        <v>51</v>
      </c>
      <c r="F51" s="683">
        <f t="shared" si="3"/>
        <v>0</v>
      </c>
      <c r="G51" s="683">
        <f t="shared" si="3"/>
        <v>0</v>
      </c>
    </row>
    <row r="52" spans="1:7" ht="15.75" hidden="1" thickBot="1" x14ac:dyDescent="0.3">
      <c r="A52" s="201" t="s">
        <v>346</v>
      </c>
      <c r="B52" s="309">
        <f>IFERROR(+GETPIVOTDATA("Unique Billed Hours",'County allocation'!$AI$3,"County",A52,"Admin","R"),0)</f>
        <v>0</v>
      </c>
      <c r="C52" s="9">
        <f t="shared" si="2"/>
        <v>0</v>
      </c>
      <c r="D52" s="364" t="s">
        <v>59</v>
      </c>
      <c r="E52" s="12" t="s">
        <v>50</v>
      </c>
      <c r="F52" s="683">
        <f t="shared" si="3"/>
        <v>0</v>
      </c>
      <c r="G52" s="683">
        <f t="shared" si="3"/>
        <v>0</v>
      </c>
    </row>
    <row r="53" spans="1:7" ht="15.75" hidden="1" thickBot="1" x14ac:dyDescent="0.3">
      <c r="A53" s="201" t="s">
        <v>347</v>
      </c>
      <c r="B53" s="309">
        <f>IFERROR(+GETPIVOTDATA("Unique Billed Hours",'County allocation'!$AI$3,"County",A53,"Admin","R"),0)</f>
        <v>0</v>
      </c>
      <c r="C53" s="9">
        <f t="shared" si="2"/>
        <v>0</v>
      </c>
      <c r="D53" s="364" t="s">
        <v>25</v>
      </c>
      <c r="E53" s="12" t="s">
        <v>49</v>
      </c>
      <c r="F53" s="683">
        <f t="shared" si="3"/>
        <v>0</v>
      </c>
      <c r="G53" s="683">
        <f t="shared" si="3"/>
        <v>0</v>
      </c>
    </row>
    <row r="54" spans="1:7" ht="15.75" hidden="1" thickBot="1" x14ac:dyDescent="0.3">
      <c r="A54" s="201" t="s">
        <v>348</v>
      </c>
      <c r="B54" s="309">
        <f>IFERROR(+GETPIVOTDATA("Unique Billed Hours",'County allocation'!$AI$3,"County",A54,"Admin","R"),0)</f>
        <v>0</v>
      </c>
      <c r="C54" s="9">
        <f t="shared" si="2"/>
        <v>0</v>
      </c>
      <c r="D54" s="364" t="s">
        <v>466</v>
      </c>
      <c r="E54" s="12" t="s">
        <v>47</v>
      </c>
      <c r="F54" s="683">
        <f t="shared" si="3"/>
        <v>0</v>
      </c>
      <c r="G54" s="683">
        <f t="shared" si="3"/>
        <v>0</v>
      </c>
    </row>
    <row r="55" spans="1:7" ht="15.75" hidden="1" thickBot="1" x14ac:dyDescent="0.3">
      <c r="A55" s="201" t="s">
        <v>349</v>
      </c>
      <c r="B55" s="309">
        <f>IFERROR(+GETPIVOTDATA("Unique Billed Hours",'County allocation'!$AI$3,"County",A55,"Admin","R"),0)</f>
        <v>1.0643576138960588E-5</v>
      </c>
      <c r="C55" s="9">
        <f t="shared" si="2"/>
        <v>0</v>
      </c>
      <c r="D55" s="364" t="s">
        <v>82</v>
      </c>
      <c r="E55" s="12" t="s">
        <v>77</v>
      </c>
      <c r="F55" s="683">
        <f t="shared" si="3"/>
        <v>0</v>
      </c>
      <c r="G55" s="683">
        <f t="shared" si="3"/>
        <v>0</v>
      </c>
    </row>
    <row r="56" spans="1:7" ht="15.75" hidden="1" thickBot="1" x14ac:dyDescent="0.3">
      <c r="A56" s="201" t="s">
        <v>350</v>
      </c>
      <c r="B56" s="309">
        <f>IFERROR(+GETPIVOTDATA("Unique Billed Hours",'County allocation'!$AI$3,"County",A56,"Admin","R"),0)</f>
        <v>0</v>
      </c>
      <c r="C56" s="9">
        <f t="shared" si="2"/>
        <v>0</v>
      </c>
      <c r="D56" s="364" t="s">
        <v>84</v>
      </c>
      <c r="E56" s="12" t="s">
        <v>78</v>
      </c>
      <c r="F56" s="683">
        <f t="shared" ca="1" si="3"/>
        <v>0</v>
      </c>
      <c r="G56" s="683">
        <f t="shared" si="3"/>
        <v>0</v>
      </c>
    </row>
    <row r="57" spans="1:7" ht="15.75" hidden="1" thickBot="1" x14ac:dyDescent="0.3">
      <c r="A57" s="201" t="s">
        <v>351</v>
      </c>
      <c r="B57" s="309">
        <f>IFERROR(+GETPIVOTDATA("Unique Billed Hours",'County allocation'!$AI$3,"County",A57,"Admin","R"),0)</f>
        <v>0</v>
      </c>
      <c r="C57" s="9">
        <f t="shared" si="2"/>
        <v>0</v>
      </c>
      <c r="D57" s="364" t="s">
        <v>86</v>
      </c>
      <c r="E57" s="12" t="s">
        <v>79</v>
      </c>
      <c r="F57" s="683">
        <f t="shared" si="3"/>
        <v>0</v>
      </c>
      <c r="G57" s="683">
        <f t="shared" si="3"/>
        <v>0</v>
      </c>
    </row>
    <row r="58" spans="1:7" ht="15.75" hidden="1" thickBot="1" x14ac:dyDescent="0.3">
      <c r="A58" s="201" t="s">
        <v>352</v>
      </c>
      <c r="B58" s="309">
        <f>IFERROR(+GETPIVOTDATA("Unique Billed Hours",'County allocation'!$AI$3,"County",A58,"Admin","R"),0)</f>
        <v>0</v>
      </c>
      <c r="C58" s="9">
        <f t="shared" si="2"/>
        <v>0</v>
      </c>
      <c r="D58" s="364" t="s">
        <v>386</v>
      </c>
      <c r="E58" s="12" t="s">
        <v>81</v>
      </c>
      <c r="F58" s="683">
        <f t="shared" si="3"/>
        <v>0</v>
      </c>
      <c r="G58" s="683">
        <f t="shared" si="3"/>
        <v>0</v>
      </c>
    </row>
    <row r="59" spans="1:7" ht="15.75" hidden="1" thickBot="1" x14ac:dyDescent="0.3">
      <c r="A59" s="201" t="s">
        <v>353</v>
      </c>
      <c r="B59" s="309">
        <f>IFERROR(+GETPIVOTDATA("Unique Billed Hours",'County allocation'!$AI$3,"County",A59,"Admin","R"),0)</f>
        <v>0</v>
      </c>
      <c r="C59" s="9">
        <f t="shared" si="2"/>
        <v>0</v>
      </c>
      <c r="D59" s="35" t="s">
        <v>22</v>
      </c>
      <c r="E59" s="12" t="s">
        <v>83</v>
      </c>
      <c r="F59" s="685">
        <f>SUBTOTAL(9,F45:F58)</f>
        <v>0</v>
      </c>
      <c r="G59" s="685">
        <f>SUBTOTAL(9,G45:G58)</f>
        <v>0</v>
      </c>
    </row>
    <row r="60" spans="1:7" ht="15.75" hidden="1" thickBot="1" x14ac:dyDescent="0.3">
      <c r="A60" s="201" t="s">
        <v>354</v>
      </c>
      <c r="B60" s="309">
        <f>IFERROR(+GETPIVOTDATA("Unique Billed Hours",'County allocation'!$AI$3,"County",A60,"Admin","R"),0)</f>
        <v>0</v>
      </c>
    </row>
    <row r="61" spans="1:7" ht="30" x14ac:dyDescent="0.25">
      <c r="A61" s="201" t="s">
        <v>355</v>
      </c>
      <c r="B61" s="309">
        <f>IFERROR(+GETPIVOTDATA("Unique Billed Hours",'County allocation'!$AI$3,"County",A61,"Admin","R"),0)</f>
        <v>0</v>
      </c>
      <c r="C61" s="9">
        <f ca="1">IF(F78&gt;0,1,0)</f>
        <v>1</v>
      </c>
      <c r="D61" s="20" t="str">
        <f>+A6</f>
        <v>Bronx</v>
      </c>
      <c r="E61" s="19">
        <f>IFERROR(SUMIF(A:A,D61,B:B),0)</f>
        <v>4.8303668785223693E-2</v>
      </c>
      <c r="F61" s="652" t="s">
        <v>31</v>
      </c>
      <c r="G61" s="652" t="s">
        <v>32</v>
      </c>
    </row>
    <row r="62" spans="1:7" x14ac:dyDescent="0.25">
      <c r="A62" s="201" t="s">
        <v>361</v>
      </c>
      <c r="B62" s="309">
        <f>IFERROR(+GETPIVOTDATA("Unique Billed Hours",'County allocation'!$AI$3,"County",A62,"Admin","R"),0)</f>
        <v>0</v>
      </c>
      <c r="C62" s="9">
        <f ca="1">C61</f>
        <v>1</v>
      </c>
      <c r="D62" s="30"/>
      <c r="E62" s="31"/>
      <c r="F62" s="680" t="s">
        <v>54</v>
      </c>
      <c r="G62" s="680" t="s">
        <v>53</v>
      </c>
    </row>
    <row r="63" spans="1:7" x14ac:dyDescent="0.25">
      <c r="A63" s="201" t="s">
        <v>362</v>
      </c>
      <c r="B63" s="309">
        <f>IFERROR(+GETPIVOTDATA("Unique Billed Hours",'County allocation'!$AI$3,"County",A63,"Admin","R"),0)</f>
        <v>9.514524997131955E-3</v>
      </c>
      <c r="C63" s="9">
        <f t="shared" ref="C63:C78" ca="1" si="4">C62</f>
        <v>1</v>
      </c>
      <c r="D63" s="32" t="s">
        <v>71</v>
      </c>
      <c r="E63" s="33"/>
      <c r="F63" s="681"/>
      <c r="G63" s="682"/>
    </row>
    <row r="64" spans="1:7" x14ac:dyDescent="0.25">
      <c r="A64" s="201" t="s">
        <v>363</v>
      </c>
      <c r="B64" s="309">
        <f>IFERROR(+GETPIVOTDATA("Unique Billed Hours",'County allocation'!$AI$3,"County",A64,"Admin","R"),0)</f>
        <v>0</v>
      </c>
      <c r="C64" s="9">
        <f t="shared" ca="1" si="4"/>
        <v>1</v>
      </c>
      <c r="D64" s="364" t="s">
        <v>72</v>
      </c>
      <c r="E64" s="12" t="s">
        <v>57</v>
      </c>
      <c r="F64" s="683">
        <f t="shared" ref="F64:G77" si="5">+$E$61*F6</f>
        <v>0</v>
      </c>
      <c r="G64" s="683">
        <f t="shared" si="5"/>
        <v>0</v>
      </c>
    </row>
    <row r="65" spans="1:9" x14ac:dyDescent="0.25">
      <c r="A65" s="201" t="s">
        <v>364</v>
      </c>
      <c r="B65" s="309">
        <f>IFERROR(+GETPIVOTDATA("Unique Billed Hours",'County allocation'!$AI$3,"County",A65,"Admin","R"),0)</f>
        <v>0</v>
      </c>
      <c r="C65" s="9">
        <f t="shared" ca="1" si="4"/>
        <v>1</v>
      </c>
      <c r="D65" s="364" t="s">
        <v>73</v>
      </c>
      <c r="E65" s="12" t="s">
        <v>56</v>
      </c>
      <c r="F65" s="683">
        <f t="shared" si="5"/>
        <v>39223.808041533892</v>
      </c>
      <c r="G65" s="683">
        <f t="shared" si="5"/>
        <v>0</v>
      </c>
    </row>
    <row r="66" spans="1:9" x14ac:dyDescent="0.25">
      <c r="B66" s="309"/>
      <c r="C66" s="9">
        <f t="shared" ca="1" si="4"/>
        <v>1</v>
      </c>
      <c r="D66" s="364" t="s">
        <v>74</v>
      </c>
      <c r="E66" s="12" t="s">
        <v>55</v>
      </c>
      <c r="F66" s="683">
        <f t="shared" si="5"/>
        <v>5880.303311099874</v>
      </c>
      <c r="G66" s="683">
        <f t="shared" si="5"/>
        <v>0</v>
      </c>
    </row>
    <row r="67" spans="1:9" x14ac:dyDescent="0.25">
      <c r="A67" s="200" t="s">
        <v>1219</v>
      </c>
      <c r="B67" s="309">
        <f>SUMIF('County allocation'!AI:AI,'Schedule 4b'!A67,'County allocation'!AJ:AJ)</f>
        <v>0.61063884720154904</v>
      </c>
      <c r="C67" s="9">
        <f t="shared" ca="1" si="4"/>
        <v>1</v>
      </c>
      <c r="D67" s="364" t="s">
        <v>75</v>
      </c>
      <c r="E67" s="12" t="s">
        <v>54</v>
      </c>
      <c r="F67" s="683">
        <f t="shared" si="5"/>
        <v>12018.533941368378</v>
      </c>
      <c r="G67" s="683">
        <f t="shared" si="5"/>
        <v>0</v>
      </c>
    </row>
    <row r="68" spans="1:9" x14ac:dyDescent="0.25">
      <c r="B68" s="309" t="b">
        <f>SUM(B4:B67)=1</f>
        <v>1</v>
      </c>
      <c r="C68" s="9">
        <f t="shared" ca="1" si="4"/>
        <v>1</v>
      </c>
      <c r="D68" s="34" t="s">
        <v>467</v>
      </c>
      <c r="E68" s="12" t="s">
        <v>53</v>
      </c>
      <c r="F68" s="683">
        <f t="shared" si="5"/>
        <v>57550.311269483478</v>
      </c>
      <c r="G68" s="683">
        <f t="shared" si="5"/>
        <v>0</v>
      </c>
    </row>
    <row r="69" spans="1:9" x14ac:dyDescent="0.25">
      <c r="C69" s="9">
        <f t="shared" ca="1" si="4"/>
        <v>1</v>
      </c>
      <c r="D69" s="34" t="s">
        <v>76</v>
      </c>
      <c r="E69" s="12" t="s">
        <v>52</v>
      </c>
      <c r="F69" s="683">
        <f t="shared" si="5"/>
        <v>13158.745726082741</v>
      </c>
      <c r="G69" s="683">
        <f t="shared" si="5"/>
        <v>0</v>
      </c>
    </row>
    <row r="70" spans="1:9" x14ac:dyDescent="0.25">
      <c r="C70" s="9">
        <f t="shared" ca="1" si="4"/>
        <v>1</v>
      </c>
      <c r="D70" s="34" t="s">
        <v>468</v>
      </c>
      <c r="E70" s="12" t="s">
        <v>51</v>
      </c>
      <c r="F70" s="683">
        <f t="shared" si="5"/>
        <v>0</v>
      </c>
      <c r="G70" s="683">
        <f t="shared" si="5"/>
        <v>0</v>
      </c>
    </row>
    <row r="71" spans="1:9" x14ac:dyDescent="0.25">
      <c r="C71" s="9">
        <f t="shared" ca="1" si="4"/>
        <v>1</v>
      </c>
      <c r="D71" s="364" t="s">
        <v>59</v>
      </c>
      <c r="E71" s="12" t="s">
        <v>50</v>
      </c>
      <c r="F71" s="683">
        <f t="shared" si="5"/>
        <v>2083.6100354219661</v>
      </c>
      <c r="G71" s="683">
        <f t="shared" si="5"/>
        <v>0</v>
      </c>
    </row>
    <row r="72" spans="1:9" x14ac:dyDescent="0.25">
      <c r="C72" s="9">
        <f t="shared" ca="1" si="4"/>
        <v>1</v>
      </c>
      <c r="D72" s="364" t="s">
        <v>25</v>
      </c>
      <c r="E72" s="12" t="s">
        <v>49</v>
      </c>
      <c r="F72" s="683">
        <f t="shared" si="5"/>
        <v>6822.9752269306382</v>
      </c>
      <c r="G72" s="683">
        <f t="shared" si="5"/>
        <v>0</v>
      </c>
    </row>
    <row r="73" spans="1:9" x14ac:dyDescent="0.25">
      <c r="C73" s="9">
        <f t="shared" ca="1" si="4"/>
        <v>1</v>
      </c>
      <c r="D73" s="364" t="s">
        <v>466</v>
      </c>
      <c r="E73" s="12" t="s">
        <v>47</v>
      </c>
      <c r="F73" s="683">
        <f t="shared" si="5"/>
        <v>25456.228655338073</v>
      </c>
      <c r="G73" s="683">
        <f t="shared" si="5"/>
        <v>0</v>
      </c>
    </row>
    <row r="74" spans="1:9" x14ac:dyDescent="0.25">
      <c r="C74" s="9">
        <f t="shared" ca="1" si="4"/>
        <v>1</v>
      </c>
      <c r="D74" s="364" t="s">
        <v>82</v>
      </c>
      <c r="E74" s="12" t="s">
        <v>77</v>
      </c>
      <c r="F74" s="683">
        <f t="shared" si="5"/>
        <v>17249.637884545504</v>
      </c>
      <c r="G74" s="683">
        <f t="shared" si="5"/>
        <v>0</v>
      </c>
    </row>
    <row r="75" spans="1:9" x14ac:dyDescent="0.25">
      <c r="C75" s="9">
        <f t="shared" ca="1" si="4"/>
        <v>1</v>
      </c>
      <c r="D75" s="364" t="s">
        <v>84</v>
      </c>
      <c r="E75" s="12" t="s">
        <v>78</v>
      </c>
      <c r="F75" s="683">
        <f t="shared" ca="1" si="5"/>
        <v>1233191.6114543092</v>
      </c>
      <c r="G75" s="683">
        <f t="shared" si="5"/>
        <v>0</v>
      </c>
    </row>
    <row r="76" spans="1:9" x14ac:dyDescent="0.25">
      <c r="C76" s="9">
        <f t="shared" ca="1" si="4"/>
        <v>1</v>
      </c>
      <c r="D76" s="364" t="s">
        <v>86</v>
      </c>
      <c r="E76" s="12" t="s">
        <v>79</v>
      </c>
      <c r="F76" s="683">
        <f t="shared" si="5"/>
        <v>18995.644293995821</v>
      </c>
      <c r="G76" s="683">
        <f t="shared" si="5"/>
        <v>0</v>
      </c>
    </row>
    <row r="77" spans="1:9" x14ac:dyDescent="0.25">
      <c r="C77" s="9">
        <f t="shared" ca="1" si="4"/>
        <v>1</v>
      </c>
      <c r="D77" s="364" t="s">
        <v>386</v>
      </c>
      <c r="E77" s="12" t="s">
        <v>81</v>
      </c>
      <c r="F77" s="683">
        <f>+$E$61*F19</f>
        <v>0</v>
      </c>
      <c r="G77" s="683">
        <f t="shared" si="5"/>
        <v>0</v>
      </c>
    </row>
    <row r="78" spans="1:9" ht="15.75" thickBot="1" x14ac:dyDescent="0.3">
      <c r="C78" s="9">
        <f t="shared" ca="1" si="4"/>
        <v>1</v>
      </c>
      <c r="D78" s="35" t="s">
        <v>22</v>
      </c>
      <c r="E78" s="12" t="s">
        <v>83</v>
      </c>
      <c r="F78" s="685">
        <f ca="1">SUBTOTAL(9,F64:F77)</f>
        <v>1431631.4098401095</v>
      </c>
      <c r="G78" s="685">
        <f>SUBTOTAL(9,G64:G77)</f>
        <v>0</v>
      </c>
      <c r="H78" s="648"/>
      <c r="I78" s="648"/>
    </row>
    <row r="79" spans="1:9" ht="15.75" hidden="1" thickBot="1" x14ac:dyDescent="0.3"/>
    <row r="80" spans="1:9" ht="30.75" hidden="1" thickBot="1" x14ac:dyDescent="0.3">
      <c r="C80" s="9">
        <f>IF(F97&gt;0,1,0)</f>
        <v>0</v>
      </c>
      <c r="D80" s="20" t="str">
        <f>+A7</f>
        <v>Broome</v>
      </c>
      <c r="E80" s="19">
        <f>IFERROR(SUMIF(A:A,D80,B:B),0)</f>
        <v>0</v>
      </c>
      <c r="F80" s="652" t="s">
        <v>31</v>
      </c>
      <c r="G80" s="652" t="s">
        <v>32</v>
      </c>
    </row>
    <row r="81" spans="3:7" ht="15.75" hidden="1" thickBot="1" x14ac:dyDescent="0.3">
      <c r="C81" s="9">
        <f>C80</f>
        <v>0</v>
      </c>
      <c r="D81" s="30"/>
      <c r="E81" s="31"/>
      <c r="F81" s="680" t="s">
        <v>54</v>
      </c>
      <c r="G81" s="680" t="s">
        <v>53</v>
      </c>
    </row>
    <row r="82" spans="3:7" ht="15.75" hidden="1" thickBot="1" x14ac:dyDescent="0.3">
      <c r="C82" s="9">
        <f t="shared" ref="C82:C97" si="6">C81</f>
        <v>0</v>
      </c>
      <c r="D82" s="32" t="s">
        <v>71</v>
      </c>
      <c r="E82" s="33"/>
      <c r="F82" s="681"/>
      <c r="G82" s="682"/>
    </row>
    <row r="83" spans="3:7" ht="15.75" hidden="1" thickBot="1" x14ac:dyDescent="0.3">
      <c r="C83" s="9">
        <f t="shared" si="6"/>
        <v>0</v>
      </c>
      <c r="D83" s="364" t="s">
        <v>72</v>
      </c>
      <c r="E83" s="12" t="s">
        <v>57</v>
      </c>
      <c r="F83" s="683">
        <f t="shared" ref="F83:G96" si="7">+$E$80*F6</f>
        <v>0</v>
      </c>
      <c r="G83" s="683">
        <f t="shared" si="7"/>
        <v>0</v>
      </c>
    </row>
    <row r="84" spans="3:7" ht="15.75" hidden="1" thickBot="1" x14ac:dyDescent="0.3">
      <c r="C84" s="9">
        <f t="shared" si="6"/>
        <v>0</v>
      </c>
      <c r="D84" s="364" t="s">
        <v>73</v>
      </c>
      <c r="E84" s="12" t="s">
        <v>56</v>
      </c>
      <c r="F84" s="683">
        <f t="shared" si="7"/>
        <v>0</v>
      </c>
      <c r="G84" s="683">
        <f t="shared" si="7"/>
        <v>0</v>
      </c>
    </row>
    <row r="85" spans="3:7" ht="15.75" hidden="1" thickBot="1" x14ac:dyDescent="0.3">
      <c r="C85" s="9">
        <f t="shared" si="6"/>
        <v>0</v>
      </c>
      <c r="D85" s="364" t="s">
        <v>74</v>
      </c>
      <c r="E85" s="12" t="s">
        <v>55</v>
      </c>
      <c r="F85" s="683">
        <f t="shared" si="7"/>
        <v>0</v>
      </c>
      <c r="G85" s="683">
        <f t="shared" si="7"/>
        <v>0</v>
      </c>
    </row>
    <row r="86" spans="3:7" ht="15.75" hidden="1" thickBot="1" x14ac:dyDescent="0.3">
      <c r="C86" s="9">
        <f t="shared" si="6"/>
        <v>0</v>
      </c>
      <c r="D86" s="364" t="s">
        <v>75</v>
      </c>
      <c r="E86" s="12" t="s">
        <v>54</v>
      </c>
      <c r="F86" s="683">
        <f t="shared" si="7"/>
        <v>0</v>
      </c>
      <c r="G86" s="683">
        <f t="shared" si="7"/>
        <v>0</v>
      </c>
    </row>
    <row r="87" spans="3:7" ht="15.75" hidden="1" thickBot="1" x14ac:dyDescent="0.3">
      <c r="C87" s="9">
        <f t="shared" si="6"/>
        <v>0</v>
      </c>
      <c r="D87" s="34" t="s">
        <v>467</v>
      </c>
      <c r="E87" s="12" t="s">
        <v>53</v>
      </c>
      <c r="F87" s="683">
        <f t="shared" si="7"/>
        <v>0</v>
      </c>
      <c r="G87" s="683">
        <f t="shared" si="7"/>
        <v>0</v>
      </c>
    </row>
    <row r="88" spans="3:7" ht="15.75" hidden="1" thickBot="1" x14ac:dyDescent="0.3">
      <c r="C88" s="9">
        <f t="shared" si="6"/>
        <v>0</v>
      </c>
      <c r="D88" s="34" t="s">
        <v>76</v>
      </c>
      <c r="E88" s="12" t="s">
        <v>52</v>
      </c>
      <c r="F88" s="683">
        <f t="shared" si="7"/>
        <v>0</v>
      </c>
      <c r="G88" s="683">
        <f t="shared" si="7"/>
        <v>0</v>
      </c>
    </row>
    <row r="89" spans="3:7" ht="15.75" hidden="1" thickBot="1" x14ac:dyDescent="0.3">
      <c r="C89" s="9">
        <f t="shared" si="6"/>
        <v>0</v>
      </c>
      <c r="D89" s="34" t="s">
        <v>468</v>
      </c>
      <c r="E89" s="12" t="s">
        <v>51</v>
      </c>
      <c r="F89" s="683">
        <f t="shared" si="7"/>
        <v>0</v>
      </c>
      <c r="G89" s="683">
        <f t="shared" si="7"/>
        <v>0</v>
      </c>
    </row>
    <row r="90" spans="3:7" ht="15.75" hidden="1" thickBot="1" x14ac:dyDescent="0.3">
      <c r="C90" s="9">
        <f t="shared" si="6"/>
        <v>0</v>
      </c>
      <c r="D90" s="364" t="s">
        <v>59</v>
      </c>
      <c r="E90" s="12" t="s">
        <v>50</v>
      </c>
      <c r="F90" s="683">
        <f t="shared" si="7"/>
        <v>0</v>
      </c>
      <c r="G90" s="683">
        <f t="shared" si="7"/>
        <v>0</v>
      </c>
    </row>
    <row r="91" spans="3:7" ht="15.75" hidden="1" thickBot="1" x14ac:dyDescent="0.3">
      <c r="C91" s="9">
        <f t="shared" si="6"/>
        <v>0</v>
      </c>
      <c r="D91" s="364" t="s">
        <v>25</v>
      </c>
      <c r="E91" s="12" t="s">
        <v>49</v>
      </c>
      <c r="F91" s="683">
        <f t="shared" si="7"/>
        <v>0</v>
      </c>
      <c r="G91" s="683">
        <f t="shared" si="7"/>
        <v>0</v>
      </c>
    </row>
    <row r="92" spans="3:7" ht="15.75" hidden="1" thickBot="1" x14ac:dyDescent="0.3">
      <c r="C92" s="9">
        <f t="shared" si="6"/>
        <v>0</v>
      </c>
      <c r="D92" s="364" t="s">
        <v>466</v>
      </c>
      <c r="E92" s="12" t="s">
        <v>47</v>
      </c>
      <c r="F92" s="683">
        <f t="shared" si="7"/>
        <v>0</v>
      </c>
      <c r="G92" s="683">
        <f t="shared" si="7"/>
        <v>0</v>
      </c>
    </row>
    <row r="93" spans="3:7" ht="15.75" hidden="1" thickBot="1" x14ac:dyDescent="0.3">
      <c r="C93" s="9">
        <f t="shared" si="6"/>
        <v>0</v>
      </c>
      <c r="D93" s="364" t="s">
        <v>82</v>
      </c>
      <c r="E93" s="12" t="s">
        <v>77</v>
      </c>
      <c r="F93" s="683">
        <f t="shared" si="7"/>
        <v>0</v>
      </c>
      <c r="G93" s="683">
        <f t="shared" si="7"/>
        <v>0</v>
      </c>
    </row>
    <row r="94" spans="3:7" ht="15.75" hidden="1" thickBot="1" x14ac:dyDescent="0.3">
      <c r="C94" s="9">
        <f t="shared" si="6"/>
        <v>0</v>
      </c>
      <c r="D94" s="364" t="s">
        <v>84</v>
      </c>
      <c r="E94" s="12" t="s">
        <v>78</v>
      </c>
      <c r="F94" s="683">
        <f t="shared" ca="1" si="7"/>
        <v>0</v>
      </c>
      <c r="G94" s="683">
        <f t="shared" si="7"/>
        <v>0</v>
      </c>
    </row>
    <row r="95" spans="3:7" ht="15.75" hidden="1" thickBot="1" x14ac:dyDescent="0.3">
      <c r="C95" s="9">
        <f t="shared" si="6"/>
        <v>0</v>
      </c>
      <c r="D95" s="364" t="s">
        <v>86</v>
      </c>
      <c r="E95" s="12" t="s">
        <v>79</v>
      </c>
      <c r="F95" s="683">
        <f t="shared" si="7"/>
        <v>0</v>
      </c>
      <c r="G95" s="683">
        <f t="shared" si="7"/>
        <v>0</v>
      </c>
    </row>
    <row r="96" spans="3:7" ht="15.75" hidden="1" thickBot="1" x14ac:dyDescent="0.3">
      <c r="C96" s="9">
        <f t="shared" si="6"/>
        <v>0</v>
      </c>
      <c r="D96" s="364" t="s">
        <v>386</v>
      </c>
      <c r="E96" s="12" t="s">
        <v>81</v>
      </c>
      <c r="F96" s="683">
        <f t="shared" si="7"/>
        <v>0</v>
      </c>
      <c r="G96" s="683">
        <f t="shared" si="7"/>
        <v>0</v>
      </c>
    </row>
    <row r="97" spans="3:7" ht="15.75" hidden="1" thickBot="1" x14ac:dyDescent="0.3">
      <c r="C97" s="9">
        <f t="shared" si="6"/>
        <v>0</v>
      </c>
      <c r="D97" s="35" t="s">
        <v>22</v>
      </c>
      <c r="E97" s="12" t="s">
        <v>83</v>
      </c>
      <c r="F97" s="685">
        <f>SUBTOTAL(9,F83:F96)</f>
        <v>0</v>
      </c>
      <c r="G97" s="685">
        <f>SUBTOTAL(9,G83:G96)</f>
        <v>0</v>
      </c>
    </row>
    <row r="98" spans="3:7" ht="15.75" hidden="1" thickBot="1" x14ac:dyDescent="0.3"/>
    <row r="99" spans="3:7" ht="30.75" hidden="1" thickBot="1" x14ac:dyDescent="0.3">
      <c r="C99" s="9">
        <f>IF(F116&gt;0,1,0)</f>
        <v>0</v>
      </c>
      <c r="D99" s="20" t="str">
        <f>+A8</f>
        <v>Cattaraugus</v>
      </c>
      <c r="E99" s="19">
        <f>IFERROR(SUMIF(A:A,D99,B:B),0)</f>
        <v>0</v>
      </c>
      <c r="F99" s="652" t="s">
        <v>31</v>
      </c>
      <c r="G99" s="652" t="s">
        <v>32</v>
      </c>
    </row>
    <row r="100" spans="3:7" ht="15.75" hidden="1" thickBot="1" x14ac:dyDescent="0.3">
      <c r="C100" s="9">
        <f>C99</f>
        <v>0</v>
      </c>
      <c r="D100" s="30"/>
      <c r="E100" s="31"/>
      <c r="F100" s="680" t="s">
        <v>54</v>
      </c>
      <c r="G100" s="680" t="s">
        <v>53</v>
      </c>
    </row>
    <row r="101" spans="3:7" ht="15.75" hidden="1" thickBot="1" x14ac:dyDescent="0.3">
      <c r="C101" s="9">
        <f t="shared" ref="C101:C116" si="8">C100</f>
        <v>0</v>
      </c>
      <c r="D101" s="32" t="s">
        <v>71</v>
      </c>
      <c r="E101" s="33"/>
      <c r="F101" s="681"/>
      <c r="G101" s="682"/>
    </row>
    <row r="102" spans="3:7" ht="15.75" hidden="1" thickBot="1" x14ac:dyDescent="0.3">
      <c r="C102" s="9">
        <f t="shared" si="8"/>
        <v>0</v>
      </c>
      <c r="D102" s="364" t="s">
        <v>72</v>
      </c>
      <c r="E102" s="12" t="s">
        <v>57</v>
      </c>
      <c r="F102" s="683">
        <f t="shared" ref="F102:G115" si="9">+$E$99*F6</f>
        <v>0</v>
      </c>
      <c r="G102" s="683">
        <f t="shared" si="9"/>
        <v>0</v>
      </c>
    </row>
    <row r="103" spans="3:7" ht="15.75" hidden="1" thickBot="1" x14ac:dyDescent="0.3">
      <c r="C103" s="9">
        <f t="shared" si="8"/>
        <v>0</v>
      </c>
      <c r="D103" s="364" t="s">
        <v>73</v>
      </c>
      <c r="E103" s="12" t="s">
        <v>56</v>
      </c>
      <c r="F103" s="683">
        <f t="shared" si="9"/>
        <v>0</v>
      </c>
      <c r="G103" s="683">
        <f t="shared" si="9"/>
        <v>0</v>
      </c>
    </row>
    <row r="104" spans="3:7" ht="15.75" hidden="1" thickBot="1" x14ac:dyDescent="0.3">
      <c r="C104" s="9">
        <f t="shared" si="8"/>
        <v>0</v>
      </c>
      <c r="D104" s="364" t="s">
        <v>74</v>
      </c>
      <c r="E104" s="12" t="s">
        <v>55</v>
      </c>
      <c r="F104" s="683">
        <f t="shared" si="9"/>
        <v>0</v>
      </c>
      <c r="G104" s="683">
        <f t="shared" si="9"/>
        <v>0</v>
      </c>
    </row>
    <row r="105" spans="3:7" ht="15.75" hidden="1" thickBot="1" x14ac:dyDescent="0.3">
      <c r="C105" s="9">
        <f t="shared" si="8"/>
        <v>0</v>
      </c>
      <c r="D105" s="364" t="s">
        <v>75</v>
      </c>
      <c r="E105" s="12" t="s">
        <v>54</v>
      </c>
      <c r="F105" s="683">
        <f t="shared" si="9"/>
        <v>0</v>
      </c>
      <c r="G105" s="683">
        <f t="shared" si="9"/>
        <v>0</v>
      </c>
    </row>
    <row r="106" spans="3:7" ht="15.75" hidden="1" thickBot="1" x14ac:dyDescent="0.3">
      <c r="C106" s="9">
        <f t="shared" si="8"/>
        <v>0</v>
      </c>
      <c r="D106" s="34" t="s">
        <v>467</v>
      </c>
      <c r="E106" s="12" t="s">
        <v>53</v>
      </c>
      <c r="F106" s="683">
        <f t="shared" si="9"/>
        <v>0</v>
      </c>
      <c r="G106" s="683">
        <f t="shared" si="9"/>
        <v>0</v>
      </c>
    </row>
    <row r="107" spans="3:7" ht="15.75" hidden="1" thickBot="1" x14ac:dyDescent="0.3">
      <c r="C107" s="9">
        <f t="shared" si="8"/>
        <v>0</v>
      </c>
      <c r="D107" s="34" t="s">
        <v>76</v>
      </c>
      <c r="E107" s="12" t="s">
        <v>52</v>
      </c>
      <c r="F107" s="683">
        <f t="shared" si="9"/>
        <v>0</v>
      </c>
      <c r="G107" s="683">
        <f t="shared" si="9"/>
        <v>0</v>
      </c>
    </row>
    <row r="108" spans="3:7" ht="15.75" hidden="1" thickBot="1" x14ac:dyDescent="0.3">
      <c r="C108" s="9">
        <f t="shared" si="8"/>
        <v>0</v>
      </c>
      <c r="D108" s="34" t="s">
        <v>468</v>
      </c>
      <c r="E108" s="12" t="s">
        <v>51</v>
      </c>
      <c r="F108" s="683">
        <f t="shared" si="9"/>
        <v>0</v>
      </c>
      <c r="G108" s="683">
        <f t="shared" si="9"/>
        <v>0</v>
      </c>
    </row>
    <row r="109" spans="3:7" ht="15.75" hidden="1" thickBot="1" x14ac:dyDescent="0.3">
      <c r="C109" s="9">
        <f t="shared" si="8"/>
        <v>0</v>
      </c>
      <c r="D109" s="364" t="s">
        <v>59</v>
      </c>
      <c r="E109" s="12" t="s">
        <v>50</v>
      </c>
      <c r="F109" s="683">
        <f t="shared" si="9"/>
        <v>0</v>
      </c>
      <c r="G109" s="683">
        <f t="shared" si="9"/>
        <v>0</v>
      </c>
    </row>
    <row r="110" spans="3:7" ht="15.75" hidden="1" thickBot="1" x14ac:dyDescent="0.3">
      <c r="C110" s="9">
        <f t="shared" si="8"/>
        <v>0</v>
      </c>
      <c r="D110" s="364" t="s">
        <v>25</v>
      </c>
      <c r="E110" s="12" t="s">
        <v>49</v>
      </c>
      <c r="F110" s="683">
        <f t="shared" si="9"/>
        <v>0</v>
      </c>
      <c r="G110" s="683">
        <f t="shared" si="9"/>
        <v>0</v>
      </c>
    </row>
    <row r="111" spans="3:7" ht="15.75" hidden="1" thickBot="1" x14ac:dyDescent="0.3">
      <c r="C111" s="9">
        <f t="shared" si="8"/>
        <v>0</v>
      </c>
      <c r="D111" s="364" t="s">
        <v>466</v>
      </c>
      <c r="E111" s="12" t="s">
        <v>47</v>
      </c>
      <c r="F111" s="683">
        <f t="shared" si="9"/>
        <v>0</v>
      </c>
      <c r="G111" s="683">
        <f t="shared" si="9"/>
        <v>0</v>
      </c>
    </row>
    <row r="112" spans="3:7" ht="15.75" hidden="1" thickBot="1" x14ac:dyDescent="0.3">
      <c r="C112" s="9">
        <f t="shared" si="8"/>
        <v>0</v>
      </c>
      <c r="D112" s="364" t="s">
        <v>82</v>
      </c>
      <c r="E112" s="12" t="s">
        <v>77</v>
      </c>
      <c r="F112" s="683">
        <f t="shared" si="9"/>
        <v>0</v>
      </c>
      <c r="G112" s="683">
        <f t="shared" si="9"/>
        <v>0</v>
      </c>
    </row>
    <row r="113" spans="3:7" ht="15.75" hidden="1" thickBot="1" x14ac:dyDescent="0.3">
      <c r="C113" s="9">
        <f t="shared" si="8"/>
        <v>0</v>
      </c>
      <c r="D113" s="364" t="s">
        <v>84</v>
      </c>
      <c r="E113" s="12" t="s">
        <v>78</v>
      </c>
      <c r="F113" s="683">
        <f t="shared" ca="1" si="9"/>
        <v>0</v>
      </c>
      <c r="G113" s="683">
        <f t="shared" si="9"/>
        <v>0</v>
      </c>
    </row>
    <row r="114" spans="3:7" ht="15.75" hidden="1" thickBot="1" x14ac:dyDescent="0.3">
      <c r="C114" s="9">
        <f t="shared" si="8"/>
        <v>0</v>
      </c>
      <c r="D114" s="364" t="s">
        <v>86</v>
      </c>
      <c r="E114" s="12" t="s">
        <v>79</v>
      </c>
      <c r="F114" s="683">
        <f t="shared" si="9"/>
        <v>0</v>
      </c>
      <c r="G114" s="683">
        <f t="shared" si="9"/>
        <v>0</v>
      </c>
    </row>
    <row r="115" spans="3:7" ht="15.75" hidden="1" thickBot="1" x14ac:dyDescent="0.3">
      <c r="C115" s="9">
        <f t="shared" si="8"/>
        <v>0</v>
      </c>
      <c r="D115" s="364" t="s">
        <v>386</v>
      </c>
      <c r="E115" s="12" t="s">
        <v>81</v>
      </c>
      <c r="F115" s="683">
        <f t="shared" si="9"/>
        <v>0</v>
      </c>
      <c r="G115" s="683">
        <f t="shared" si="9"/>
        <v>0</v>
      </c>
    </row>
    <row r="116" spans="3:7" ht="15.75" hidden="1" thickBot="1" x14ac:dyDescent="0.3">
      <c r="C116" s="9">
        <f t="shared" si="8"/>
        <v>0</v>
      </c>
      <c r="D116" s="35" t="s">
        <v>22</v>
      </c>
      <c r="E116" s="12" t="s">
        <v>83</v>
      </c>
      <c r="F116" s="685">
        <f>SUBTOTAL(9,F102:F115)</f>
        <v>0</v>
      </c>
      <c r="G116" s="685">
        <f>SUBTOTAL(9,G102:G115)</f>
        <v>0</v>
      </c>
    </row>
    <row r="117" spans="3:7" ht="15.75" hidden="1" thickBot="1" x14ac:dyDescent="0.3"/>
    <row r="118" spans="3:7" ht="30.75" hidden="1" thickBot="1" x14ac:dyDescent="0.3">
      <c r="C118" s="9">
        <f>IF(F135&gt;0,1,0)</f>
        <v>0</v>
      </c>
      <c r="D118" s="20" t="str">
        <f>+A9</f>
        <v>Cayuga</v>
      </c>
      <c r="E118" s="19">
        <f>IFERROR(SUMIF(A:A,D118,B:B),0)</f>
        <v>0</v>
      </c>
      <c r="F118" s="652" t="s">
        <v>31</v>
      </c>
      <c r="G118" s="652" t="s">
        <v>32</v>
      </c>
    </row>
    <row r="119" spans="3:7" ht="15.75" hidden="1" thickBot="1" x14ac:dyDescent="0.3">
      <c r="C119" s="9">
        <f>C118</f>
        <v>0</v>
      </c>
      <c r="D119" s="30"/>
      <c r="E119" s="31"/>
      <c r="F119" s="680" t="s">
        <v>54</v>
      </c>
      <c r="G119" s="680" t="s">
        <v>53</v>
      </c>
    </row>
    <row r="120" spans="3:7" ht="15.75" hidden="1" thickBot="1" x14ac:dyDescent="0.3">
      <c r="C120" s="9">
        <f t="shared" ref="C120:C135" si="10">C119</f>
        <v>0</v>
      </c>
      <c r="D120" s="32" t="s">
        <v>71</v>
      </c>
      <c r="E120" s="33"/>
      <c r="F120" s="681"/>
      <c r="G120" s="682"/>
    </row>
    <row r="121" spans="3:7" ht="15.75" hidden="1" thickBot="1" x14ac:dyDescent="0.3">
      <c r="C121" s="9">
        <f t="shared" si="10"/>
        <v>0</v>
      </c>
      <c r="D121" s="364" t="s">
        <v>72</v>
      </c>
      <c r="E121" s="12" t="s">
        <v>57</v>
      </c>
      <c r="F121" s="683">
        <f t="shared" ref="F121:G134" si="11">+$E$118*F6</f>
        <v>0</v>
      </c>
      <c r="G121" s="683">
        <f t="shared" si="11"/>
        <v>0</v>
      </c>
    </row>
    <row r="122" spans="3:7" ht="15.75" hidden="1" thickBot="1" x14ac:dyDescent="0.3">
      <c r="C122" s="9">
        <f t="shared" si="10"/>
        <v>0</v>
      </c>
      <c r="D122" s="364" t="s">
        <v>73</v>
      </c>
      <c r="E122" s="12" t="s">
        <v>56</v>
      </c>
      <c r="F122" s="683">
        <f t="shared" si="11"/>
        <v>0</v>
      </c>
      <c r="G122" s="683">
        <f t="shared" si="11"/>
        <v>0</v>
      </c>
    </row>
    <row r="123" spans="3:7" ht="15.75" hidden="1" thickBot="1" x14ac:dyDescent="0.3">
      <c r="C123" s="9">
        <f t="shared" si="10"/>
        <v>0</v>
      </c>
      <c r="D123" s="364" t="s">
        <v>74</v>
      </c>
      <c r="E123" s="12" t="s">
        <v>55</v>
      </c>
      <c r="F123" s="683">
        <f t="shared" si="11"/>
        <v>0</v>
      </c>
      <c r="G123" s="683">
        <f t="shared" si="11"/>
        <v>0</v>
      </c>
    </row>
    <row r="124" spans="3:7" ht="15.75" hidden="1" thickBot="1" x14ac:dyDescent="0.3">
      <c r="C124" s="9">
        <f t="shared" si="10"/>
        <v>0</v>
      </c>
      <c r="D124" s="364" t="s">
        <v>75</v>
      </c>
      <c r="E124" s="12" t="s">
        <v>54</v>
      </c>
      <c r="F124" s="683">
        <f t="shared" si="11"/>
        <v>0</v>
      </c>
      <c r="G124" s="683">
        <f t="shared" si="11"/>
        <v>0</v>
      </c>
    </row>
    <row r="125" spans="3:7" ht="15.75" hidden="1" thickBot="1" x14ac:dyDescent="0.3">
      <c r="C125" s="9">
        <f t="shared" si="10"/>
        <v>0</v>
      </c>
      <c r="D125" s="34" t="s">
        <v>467</v>
      </c>
      <c r="E125" s="12" t="s">
        <v>53</v>
      </c>
      <c r="F125" s="683">
        <f t="shared" si="11"/>
        <v>0</v>
      </c>
      <c r="G125" s="683">
        <f t="shared" si="11"/>
        <v>0</v>
      </c>
    </row>
    <row r="126" spans="3:7" ht="15.75" hidden="1" thickBot="1" x14ac:dyDescent="0.3">
      <c r="C126" s="9">
        <f t="shared" si="10"/>
        <v>0</v>
      </c>
      <c r="D126" s="34" t="s">
        <v>76</v>
      </c>
      <c r="E126" s="12" t="s">
        <v>52</v>
      </c>
      <c r="F126" s="683">
        <f t="shared" si="11"/>
        <v>0</v>
      </c>
      <c r="G126" s="683">
        <f t="shared" si="11"/>
        <v>0</v>
      </c>
    </row>
    <row r="127" spans="3:7" ht="15.75" hidden="1" thickBot="1" x14ac:dyDescent="0.3">
      <c r="C127" s="9">
        <f t="shared" si="10"/>
        <v>0</v>
      </c>
      <c r="D127" s="34" t="s">
        <v>468</v>
      </c>
      <c r="E127" s="12" t="s">
        <v>51</v>
      </c>
      <c r="F127" s="683">
        <f t="shared" si="11"/>
        <v>0</v>
      </c>
      <c r="G127" s="683">
        <f t="shared" si="11"/>
        <v>0</v>
      </c>
    </row>
    <row r="128" spans="3:7" ht="15.75" hidden="1" thickBot="1" x14ac:dyDescent="0.3">
      <c r="C128" s="9">
        <f t="shared" si="10"/>
        <v>0</v>
      </c>
      <c r="D128" s="364" t="s">
        <v>59</v>
      </c>
      <c r="E128" s="12" t="s">
        <v>50</v>
      </c>
      <c r="F128" s="683">
        <f t="shared" si="11"/>
        <v>0</v>
      </c>
      <c r="G128" s="683">
        <f t="shared" si="11"/>
        <v>0</v>
      </c>
    </row>
    <row r="129" spans="3:7" ht="15.75" hidden="1" thickBot="1" x14ac:dyDescent="0.3">
      <c r="C129" s="9">
        <f t="shared" si="10"/>
        <v>0</v>
      </c>
      <c r="D129" s="364" t="s">
        <v>25</v>
      </c>
      <c r="E129" s="12" t="s">
        <v>49</v>
      </c>
      <c r="F129" s="683">
        <f t="shared" si="11"/>
        <v>0</v>
      </c>
      <c r="G129" s="683">
        <f t="shared" si="11"/>
        <v>0</v>
      </c>
    </row>
    <row r="130" spans="3:7" ht="15.75" hidden="1" thickBot="1" x14ac:dyDescent="0.3">
      <c r="C130" s="9">
        <f t="shared" si="10"/>
        <v>0</v>
      </c>
      <c r="D130" s="364" t="s">
        <v>466</v>
      </c>
      <c r="E130" s="12" t="s">
        <v>47</v>
      </c>
      <c r="F130" s="683">
        <f t="shared" si="11"/>
        <v>0</v>
      </c>
      <c r="G130" s="683">
        <f t="shared" si="11"/>
        <v>0</v>
      </c>
    </row>
    <row r="131" spans="3:7" ht="15.75" hidden="1" thickBot="1" x14ac:dyDescent="0.3">
      <c r="C131" s="9">
        <f t="shared" si="10"/>
        <v>0</v>
      </c>
      <c r="D131" s="364" t="s">
        <v>82</v>
      </c>
      <c r="E131" s="12" t="s">
        <v>77</v>
      </c>
      <c r="F131" s="683">
        <f t="shared" si="11"/>
        <v>0</v>
      </c>
      <c r="G131" s="683">
        <f t="shared" si="11"/>
        <v>0</v>
      </c>
    </row>
    <row r="132" spans="3:7" ht="15.75" hidden="1" thickBot="1" x14ac:dyDescent="0.3">
      <c r="C132" s="9">
        <f t="shared" si="10"/>
        <v>0</v>
      </c>
      <c r="D132" s="364" t="s">
        <v>84</v>
      </c>
      <c r="E132" s="12" t="s">
        <v>78</v>
      </c>
      <c r="F132" s="683">
        <f t="shared" ca="1" si="11"/>
        <v>0</v>
      </c>
      <c r="G132" s="683">
        <f t="shared" si="11"/>
        <v>0</v>
      </c>
    </row>
    <row r="133" spans="3:7" ht="15.75" hidden="1" thickBot="1" x14ac:dyDescent="0.3">
      <c r="C133" s="9">
        <f t="shared" si="10"/>
        <v>0</v>
      </c>
      <c r="D133" s="364" t="s">
        <v>86</v>
      </c>
      <c r="E133" s="12" t="s">
        <v>79</v>
      </c>
      <c r="F133" s="683">
        <f t="shared" si="11"/>
        <v>0</v>
      </c>
      <c r="G133" s="683">
        <f t="shared" si="11"/>
        <v>0</v>
      </c>
    </row>
    <row r="134" spans="3:7" ht="15.75" hidden="1" thickBot="1" x14ac:dyDescent="0.3">
      <c r="C134" s="9">
        <f t="shared" si="10"/>
        <v>0</v>
      </c>
      <c r="D134" s="364" t="s">
        <v>386</v>
      </c>
      <c r="E134" s="12" t="s">
        <v>81</v>
      </c>
      <c r="F134" s="683">
        <f t="shared" si="11"/>
        <v>0</v>
      </c>
      <c r="G134" s="683">
        <f t="shared" si="11"/>
        <v>0</v>
      </c>
    </row>
    <row r="135" spans="3:7" ht="15.75" hidden="1" thickBot="1" x14ac:dyDescent="0.3">
      <c r="C135" s="9">
        <f t="shared" si="10"/>
        <v>0</v>
      </c>
      <c r="D135" s="35" t="s">
        <v>22</v>
      </c>
      <c r="E135" s="12" t="s">
        <v>83</v>
      </c>
      <c r="F135" s="685">
        <f>SUBTOTAL(9,F121:F134)</f>
        <v>0</v>
      </c>
      <c r="G135" s="685">
        <f>SUBTOTAL(9,G121:G134)</f>
        <v>0</v>
      </c>
    </row>
    <row r="136" spans="3:7" ht="15.75" hidden="1" thickBot="1" x14ac:dyDescent="0.3"/>
    <row r="137" spans="3:7" ht="30.75" hidden="1" thickBot="1" x14ac:dyDescent="0.3">
      <c r="C137" s="9">
        <f>IF(F154&gt;0,1,0)</f>
        <v>0</v>
      </c>
      <c r="D137" s="20" t="str">
        <f>+A10</f>
        <v>Chautauqua</v>
      </c>
      <c r="E137" s="19">
        <f>IFERROR(SUMIF(A:A,D137,B:B),0)</f>
        <v>0</v>
      </c>
      <c r="F137" s="652" t="s">
        <v>31</v>
      </c>
      <c r="G137" s="652" t="s">
        <v>32</v>
      </c>
    </row>
    <row r="138" spans="3:7" ht="15.75" hidden="1" thickBot="1" x14ac:dyDescent="0.3">
      <c r="C138" s="9">
        <f>C137</f>
        <v>0</v>
      </c>
      <c r="D138" s="30"/>
      <c r="E138" s="31"/>
      <c r="F138" s="680" t="s">
        <v>54</v>
      </c>
      <c r="G138" s="680" t="s">
        <v>53</v>
      </c>
    </row>
    <row r="139" spans="3:7" ht="15.75" hidden="1" thickBot="1" x14ac:dyDescent="0.3">
      <c r="C139" s="9">
        <f t="shared" ref="C139:C154" si="12">C138</f>
        <v>0</v>
      </c>
      <c r="D139" s="32" t="s">
        <v>71</v>
      </c>
      <c r="E139" s="33"/>
      <c r="F139" s="681"/>
      <c r="G139" s="682"/>
    </row>
    <row r="140" spans="3:7" ht="15.75" hidden="1" thickBot="1" x14ac:dyDescent="0.3">
      <c r="C140" s="9">
        <f t="shared" si="12"/>
        <v>0</v>
      </c>
      <c r="D140" s="364" t="s">
        <v>72</v>
      </c>
      <c r="E140" s="12" t="s">
        <v>57</v>
      </c>
      <c r="F140" s="683">
        <f t="shared" ref="F140:G153" si="13">+$E$137*F6</f>
        <v>0</v>
      </c>
      <c r="G140" s="683">
        <f t="shared" si="13"/>
        <v>0</v>
      </c>
    </row>
    <row r="141" spans="3:7" ht="15.75" hidden="1" thickBot="1" x14ac:dyDescent="0.3">
      <c r="C141" s="9">
        <f t="shared" si="12"/>
        <v>0</v>
      </c>
      <c r="D141" s="364" t="s">
        <v>73</v>
      </c>
      <c r="E141" s="12" t="s">
        <v>56</v>
      </c>
      <c r="F141" s="683">
        <f t="shared" si="13"/>
        <v>0</v>
      </c>
      <c r="G141" s="683">
        <f t="shared" si="13"/>
        <v>0</v>
      </c>
    </row>
    <row r="142" spans="3:7" ht="15.75" hidden="1" thickBot="1" x14ac:dyDescent="0.3">
      <c r="C142" s="9">
        <f t="shared" si="12"/>
        <v>0</v>
      </c>
      <c r="D142" s="364" t="s">
        <v>74</v>
      </c>
      <c r="E142" s="12" t="s">
        <v>55</v>
      </c>
      <c r="F142" s="683">
        <f t="shared" si="13"/>
        <v>0</v>
      </c>
      <c r="G142" s="683">
        <f t="shared" si="13"/>
        <v>0</v>
      </c>
    </row>
    <row r="143" spans="3:7" ht="15.75" hidden="1" thickBot="1" x14ac:dyDescent="0.3">
      <c r="C143" s="9">
        <f t="shared" si="12"/>
        <v>0</v>
      </c>
      <c r="D143" s="364" t="s">
        <v>75</v>
      </c>
      <c r="E143" s="12" t="s">
        <v>54</v>
      </c>
      <c r="F143" s="683">
        <f t="shared" si="13"/>
        <v>0</v>
      </c>
      <c r="G143" s="683">
        <f t="shared" si="13"/>
        <v>0</v>
      </c>
    </row>
    <row r="144" spans="3:7" ht="15.75" hidden="1" thickBot="1" x14ac:dyDescent="0.3">
      <c r="C144" s="9">
        <f t="shared" si="12"/>
        <v>0</v>
      </c>
      <c r="D144" s="34" t="s">
        <v>467</v>
      </c>
      <c r="E144" s="12" t="s">
        <v>53</v>
      </c>
      <c r="F144" s="683">
        <f t="shared" si="13"/>
        <v>0</v>
      </c>
      <c r="G144" s="683">
        <f t="shared" si="13"/>
        <v>0</v>
      </c>
    </row>
    <row r="145" spans="3:7" ht="15.75" hidden="1" thickBot="1" x14ac:dyDescent="0.3">
      <c r="C145" s="9">
        <f t="shared" si="12"/>
        <v>0</v>
      </c>
      <c r="D145" s="34" t="s">
        <v>76</v>
      </c>
      <c r="E145" s="12" t="s">
        <v>52</v>
      </c>
      <c r="F145" s="683">
        <f t="shared" si="13"/>
        <v>0</v>
      </c>
      <c r="G145" s="683">
        <f t="shared" si="13"/>
        <v>0</v>
      </c>
    </row>
    <row r="146" spans="3:7" ht="15.75" hidden="1" thickBot="1" x14ac:dyDescent="0.3">
      <c r="C146" s="9">
        <f t="shared" si="12"/>
        <v>0</v>
      </c>
      <c r="D146" s="34" t="s">
        <v>468</v>
      </c>
      <c r="E146" s="12" t="s">
        <v>51</v>
      </c>
      <c r="F146" s="683">
        <f t="shared" si="13"/>
        <v>0</v>
      </c>
      <c r="G146" s="683">
        <f t="shared" si="13"/>
        <v>0</v>
      </c>
    </row>
    <row r="147" spans="3:7" ht="15.75" hidden="1" thickBot="1" x14ac:dyDescent="0.3">
      <c r="C147" s="9">
        <f t="shared" si="12"/>
        <v>0</v>
      </c>
      <c r="D147" s="364" t="s">
        <v>59</v>
      </c>
      <c r="E147" s="12" t="s">
        <v>50</v>
      </c>
      <c r="F147" s="683">
        <f t="shared" si="13"/>
        <v>0</v>
      </c>
      <c r="G147" s="683">
        <f t="shared" si="13"/>
        <v>0</v>
      </c>
    </row>
    <row r="148" spans="3:7" ht="15.75" hidden="1" thickBot="1" x14ac:dyDescent="0.3">
      <c r="C148" s="9">
        <f t="shared" si="12"/>
        <v>0</v>
      </c>
      <c r="D148" s="364" t="s">
        <v>25</v>
      </c>
      <c r="E148" s="12" t="s">
        <v>49</v>
      </c>
      <c r="F148" s="683">
        <f t="shared" si="13"/>
        <v>0</v>
      </c>
      <c r="G148" s="683">
        <f t="shared" si="13"/>
        <v>0</v>
      </c>
    </row>
    <row r="149" spans="3:7" ht="15.75" hidden="1" thickBot="1" x14ac:dyDescent="0.3">
      <c r="C149" s="9">
        <f t="shared" si="12"/>
        <v>0</v>
      </c>
      <c r="D149" s="364" t="s">
        <v>466</v>
      </c>
      <c r="E149" s="12" t="s">
        <v>47</v>
      </c>
      <c r="F149" s="683">
        <f t="shared" si="13"/>
        <v>0</v>
      </c>
      <c r="G149" s="683">
        <f t="shared" si="13"/>
        <v>0</v>
      </c>
    </row>
    <row r="150" spans="3:7" ht="15.75" hidden="1" thickBot="1" x14ac:dyDescent="0.3">
      <c r="C150" s="9">
        <f t="shared" si="12"/>
        <v>0</v>
      </c>
      <c r="D150" s="364" t="s">
        <v>82</v>
      </c>
      <c r="E150" s="12" t="s">
        <v>77</v>
      </c>
      <c r="F150" s="683">
        <f t="shared" si="13"/>
        <v>0</v>
      </c>
      <c r="G150" s="683">
        <f t="shared" si="13"/>
        <v>0</v>
      </c>
    </row>
    <row r="151" spans="3:7" ht="15.75" hidden="1" thickBot="1" x14ac:dyDescent="0.3">
      <c r="C151" s="9">
        <f t="shared" si="12"/>
        <v>0</v>
      </c>
      <c r="D151" s="364" t="s">
        <v>84</v>
      </c>
      <c r="E151" s="12" t="s">
        <v>78</v>
      </c>
      <c r="F151" s="683">
        <f t="shared" ca="1" si="13"/>
        <v>0</v>
      </c>
      <c r="G151" s="683">
        <f t="shared" si="13"/>
        <v>0</v>
      </c>
    </row>
    <row r="152" spans="3:7" ht="15.75" hidden="1" thickBot="1" x14ac:dyDescent="0.3">
      <c r="C152" s="9">
        <f t="shared" si="12"/>
        <v>0</v>
      </c>
      <c r="D152" s="364" t="s">
        <v>86</v>
      </c>
      <c r="E152" s="12" t="s">
        <v>79</v>
      </c>
      <c r="F152" s="683">
        <f t="shared" si="13"/>
        <v>0</v>
      </c>
      <c r="G152" s="683">
        <f t="shared" si="13"/>
        <v>0</v>
      </c>
    </row>
    <row r="153" spans="3:7" ht="15.75" hidden="1" thickBot="1" x14ac:dyDescent="0.3">
      <c r="C153" s="9">
        <f t="shared" si="12"/>
        <v>0</v>
      </c>
      <c r="D153" s="364" t="s">
        <v>386</v>
      </c>
      <c r="E153" s="12" t="s">
        <v>81</v>
      </c>
      <c r="F153" s="683">
        <f t="shared" si="13"/>
        <v>0</v>
      </c>
      <c r="G153" s="683">
        <f t="shared" si="13"/>
        <v>0</v>
      </c>
    </row>
    <row r="154" spans="3:7" ht="15.75" hidden="1" thickBot="1" x14ac:dyDescent="0.3">
      <c r="C154" s="9">
        <f t="shared" si="12"/>
        <v>0</v>
      </c>
      <c r="D154" s="35" t="s">
        <v>22</v>
      </c>
      <c r="E154" s="12" t="s">
        <v>83</v>
      </c>
      <c r="F154" s="685">
        <f>SUBTOTAL(9,F140:F153)</f>
        <v>0</v>
      </c>
      <c r="G154" s="685">
        <f>SUBTOTAL(9,G140:G153)</f>
        <v>0</v>
      </c>
    </row>
    <row r="155" spans="3:7" ht="15.75" hidden="1" thickBot="1" x14ac:dyDescent="0.3"/>
    <row r="156" spans="3:7" ht="30.75" hidden="1" thickBot="1" x14ac:dyDescent="0.3">
      <c r="C156" s="9">
        <f>IF(F173&gt;0,1,0)</f>
        <v>0</v>
      </c>
      <c r="D156" s="20" t="str">
        <f>A11</f>
        <v>Chemung</v>
      </c>
      <c r="E156" s="19">
        <f>IFERROR(SUMIF(A:A,D156,B:B),0)</f>
        <v>0</v>
      </c>
      <c r="F156" s="652" t="s">
        <v>31</v>
      </c>
      <c r="G156" s="652" t="s">
        <v>32</v>
      </c>
    </row>
    <row r="157" spans="3:7" ht="15.75" hidden="1" thickBot="1" x14ac:dyDescent="0.3">
      <c r="C157" s="9">
        <f>C156</f>
        <v>0</v>
      </c>
      <c r="D157" s="30"/>
      <c r="E157" s="31"/>
      <c r="F157" s="680" t="s">
        <v>54</v>
      </c>
      <c r="G157" s="680" t="s">
        <v>53</v>
      </c>
    </row>
    <row r="158" spans="3:7" ht="15.75" hidden="1" thickBot="1" x14ac:dyDescent="0.3">
      <c r="C158" s="9">
        <f t="shared" ref="C158:C173" si="14">C157</f>
        <v>0</v>
      </c>
      <c r="D158" s="32" t="s">
        <v>71</v>
      </c>
      <c r="E158" s="33"/>
      <c r="F158" s="681"/>
      <c r="G158" s="682"/>
    </row>
    <row r="159" spans="3:7" ht="15.75" hidden="1" thickBot="1" x14ac:dyDescent="0.3">
      <c r="C159" s="9">
        <f t="shared" si="14"/>
        <v>0</v>
      </c>
      <c r="D159" s="364" t="s">
        <v>72</v>
      </c>
      <c r="E159" s="12" t="s">
        <v>57</v>
      </c>
      <c r="F159" s="683">
        <f t="shared" ref="F159:G172" si="15">+$E$156*F6</f>
        <v>0</v>
      </c>
      <c r="G159" s="683">
        <f t="shared" si="15"/>
        <v>0</v>
      </c>
    </row>
    <row r="160" spans="3:7" ht="15.75" hidden="1" thickBot="1" x14ac:dyDescent="0.3">
      <c r="C160" s="9">
        <f t="shared" si="14"/>
        <v>0</v>
      </c>
      <c r="D160" s="364" t="s">
        <v>73</v>
      </c>
      <c r="E160" s="12" t="s">
        <v>56</v>
      </c>
      <c r="F160" s="683">
        <f t="shared" si="15"/>
        <v>0</v>
      </c>
      <c r="G160" s="683">
        <f t="shared" si="15"/>
        <v>0</v>
      </c>
    </row>
    <row r="161" spans="3:7" ht="15.75" hidden="1" thickBot="1" x14ac:dyDescent="0.3">
      <c r="C161" s="9">
        <f t="shared" si="14"/>
        <v>0</v>
      </c>
      <c r="D161" s="364" t="s">
        <v>74</v>
      </c>
      <c r="E161" s="12" t="s">
        <v>55</v>
      </c>
      <c r="F161" s="683">
        <f t="shared" si="15"/>
        <v>0</v>
      </c>
      <c r="G161" s="683">
        <f t="shared" si="15"/>
        <v>0</v>
      </c>
    </row>
    <row r="162" spans="3:7" ht="15.75" hidden="1" thickBot="1" x14ac:dyDescent="0.3">
      <c r="C162" s="9">
        <f t="shared" si="14"/>
        <v>0</v>
      </c>
      <c r="D162" s="364" t="s">
        <v>75</v>
      </c>
      <c r="E162" s="12" t="s">
        <v>54</v>
      </c>
      <c r="F162" s="683">
        <f t="shared" si="15"/>
        <v>0</v>
      </c>
      <c r="G162" s="683">
        <f t="shared" si="15"/>
        <v>0</v>
      </c>
    </row>
    <row r="163" spans="3:7" ht="15.75" hidden="1" thickBot="1" x14ac:dyDescent="0.3">
      <c r="C163" s="9">
        <f t="shared" si="14"/>
        <v>0</v>
      </c>
      <c r="D163" s="34" t="s">
        <v>467</v>
      </c>
      <c r="E163" s="12" t="s">
        <v>53</v>
      </c>
      <c r="F163" s="683">
        <f t="shared" si="15"/>
        <v>0</v>
      </c>
      <c r="G163" s="683">
        <f t="shared" si="15"/>
        <v>0</v>
      </c>
    </row>
    <row r="164" spans="3:7" ht="15.75" hidden="1" thickBot="1" x14ac:dyDescent="0.3">
      <c r="C164" s="9">
        <f t="shared" si="14"/>
        <v>0</v>
      </c>
      <c r="D164" s="34" t="s">
        <v>76</v>
      </c>
      <c r="E164" s="12" t="s">
        <v>52</v>
      </c>
      <c r="F164" s="683">
        <f t="shared" si="15"/>
        <v>0</v>
      </c>
      <c r="G164" s="683">
        <f t="shared" si="15"/>
        <v>0</v>
      </c>
    </row>
    <row r="165" spans="3:7" ht="15.75" hidden="1" thickBot="1" x14ac:dyDescent="0.3">
      <c r="C165" s="9">
        <f t="shared" si="14"/>
        <v>0</v>
      </c>
      <c r="D165" s="34" t="s">
        <v>468</v>
      </c>
      <c r="E165" s="12" t="s">
        <v>51</v>
      </c>
      <c r="F165" s="683">
        <f t="shared" si="15"/>
        <v>0</v>
      </c>
      <c r="G165" s="683">
        <f t="shared" si="15"/>
        <v>0</v>
      </c>
    </row>
    <row r="166" spans="3:7" ht="15.75" hidden="1" thickBot="1" x14ac:dyDescent="0.3">
      <c r="C166" s="9">
        <f t="shared" si="14"/>
        <v>0</v>
      </c>
      <c r="D166" s="364" t="s">
        <v>59</v>
      </c>
      <c r="E166" s="12" t="s">
        <v>50</v>
      </c>
      <c r="F166" s="683">
        <f t="shared" si="15"/>
        <v>0</v>
      </c>
      <c r="G166" s="683">
        <f t="shared" si="15"/>
        <v>0</v>
      </c>
    </row>
    <row r="167" spans="3:7" ht="15.75" hidden="1" thickBot="1" x14ac:dyDescent="0.3">
      <c r="C167" s="9">
        <f t="shared" si="14"/>
        <v>0</v>
      </c>
      <c r="D167" s="364" t="s">
        <v>25</v>
      </c>
      <c r="E167" s="12" t="s">
        <v>49</v>
      </c>
      <c r="F167" s="683">
        <f t="shared" si="15"/>
        <v>0</v>
      </c>
      <c r="G167" s="683">
        <f t="shared" si="15"/>
        <v>0</v>
      </c>
    </row>
    <row r="168" spans="3:7" ht="15.75" hidden="1" thickBot="1" x14ac:dyDescent="0.3">
      <c r="C168" s="9">
        <f t="shared" si="14"/>
        <v>0</v>
      </c>
      <c r="D168" s="364" t="s">
        <v>466</v>
      </c>
      <c r="E168" s="12" t="s">
        <v>47</v>
      </c>
      <c r="F168" s="683">
        <f t="shared" si="15"/>
        <v>0</v>
      </c>
      <c r="G168" s="683">
        <f t="shared" si="15"/>
        <v>0</v>
      </c>
    </row>
    <row r="169" spans="3:7" ht="15.75" hidden="1" thickBot="1" x14ac:dyDescent="0.3">
      <c r="C169" s="9">
        <f t="shared" si="14"/>
        <v>0</v>
      </c>
      <c r="D169" s="364" t="s">
        <v>82</v>
      </c>
      <c r="E169" s="12" t="s">
        <v>77</v>
      </c>
      <c r="F169" s="683">
        <f t="shared" si="15"/>
        <v>0</v>
      </c>
      <c r="G169" s="683">
        <f t="shared" si="15"/>
        <v>0</v>
      </c>
    </row>
    <row r="170" spans="3:7" ht="15.75" hidden="1" thickBot="1" x14ac:dyDescent="0.3">
      <c r="C170" s="9">
        <f t="shared" si="14"/>
        <v>0</v>
      </c>
      <c r="D170" s="364" t="s">
        <v>84</v>
      </c>
      <c r="E170" s="12" t="s">
        <v>78</v>
      </c>
      <c r="F170" s="683">
        <f t="shared" ca="1" si="15"/>
        <v>0</v>
      </c>
      <c r="G170" s="683">
        <f t="shared" si="15"/>
        <v>0</v>
      </c>
    </row>
    <row r="171" spans="3:7" ht="15.75" hidden="1" thickBot="1" x14ac:dyDescent="0.3">
      <c r="C171" s="9">
        <f t="shared" si="14"/>
        <v>0</v>
      </c>
      <c r="D171" s="364" t="s">
        <v>86</v>
      </c>
      <c r="E171" s="12" t="s">
        <v>79</v>
      </c>
      <c r="F171" s="683">
        <f t="shared" si="15"/>
        <v>0</v>
      </c>
      <c r="G171" s="683">
        <f t="shared" si="15"/>
        <v>0</v>
      </c>
    </row>
    <row r="172" spans="3:7" ht="15.75" hidden="1" thickBot="1" x14ac:dyDescent="0.3">
      <c r="C172" s="9">
        <f t="shared" si="14"/>
        <v>0</v>
      </c>
      <c r="D172" s="364" t="s">
        <v>386</v>
      </c>
      <c r="E172" s="12" t="s">
        <v>81</v>
      </c>
      <c r="F172" s="683">
        <f t="shared" si="15"/>
        <v>0</v>
      </c>
      <c r="G172" s="683">
        <f t="shared" si="15"/>
        <v>0</v>
      </c>
    </row>
    <row r="173" spans="3:7" ht="15.75" hidden="1" thickBot="1" x14ac:dyDescent="0.3">
      <c r="C173" s="9">
        <f t="shared" si="14"/>
        <v>0</v>
      </c>
      <c r="D173" s="35" t="s">
        <v>22</v>
      </c>
      <c r="E173" s="12" t="s">
        <v>83</v>
      </c>
      <c r="F173" s="685">
        <f>SUBTOTAL(9,F159:F172)</f>
        <v>0</v>
      </c>
      <c r="G173" s="685">
        <f>SUBTOTAL(9,G159:G172)</f>
        <v>0</v>
      </c>
    </row>
    <row r="174" spans="3:7" ht="15.75" hidden="1" thickBot="1" x14ac:dyDescent="0.3"/>
    <row r="175" spans="3:7" ht="30.75" hidden="1" thickBot="1" x14ac:dyDescent="0.3">
      <c r="C175" s="9">
        <f>IF(F192&gt;0,1,0)</f>
        <v>0</v>
      </c>
      <c r="D175" s="20" t="str">
        <f>A12</f>
        <v>Chenango</v>
      </c>
      <c r="E175" s="19">
        <f>IFERROR(SUMIF(A:A,D175,B:B),0)</f>
        <v>0</v>
      </c>
      <c r="F175" s="652" t="s">
        <v>31</v>
      </c>
      <c r="G175" s="652" t="s">
        <v>32</v>
      </c>
    </row>
    <row r="176" spans="3:7" ht="15.75" hidden="1" thickBot="1" x14ac:dyDescent="0.3">
      <c r="C176" s="9">
        <f>C175</f>
        <v>0</v>
      </c>
      <c r="D176" s="30"/>
      <c r="E176" s="31"/>
      <c r="F176" s="680" t="s">
        <v>54</v>
      </c>
      <c r="G176" s="680" t="s">
        <v>53</v>
      </c>
    </row>
    <row r="177" spans="3:7" ht="15.75" hidden="1" thickBot="1" x14ac:dyDescent="0.3">
      <c r="C177" s="9">
        <f t="shared" ref="C177:C192" si="16">C176</f>
        <v>0</v>
      </c>
      <c r="D177" s="32" t="s">
        <v>71</v>
      </c>
      <c r="E177" s="33"/>
      <c r="F177" s="681"/>
      <c r="G177" s="682"/>
    </row>
    <row r="178" spans="3:7" ht="15.75" hidden="1" thickBot="1" x14ac:dyDescent="0.3">
      <c r="C178" s="9">
        <f t="shared" si="16"/>
        <v>0</v>
      </c>
      <c r="D178" s="364" t="s">
        <v>72</v>
      </c>
      <c r="E178" s="12" t="s">
        <v>57</v>
      </c>
      <c r="F178" s="683">
        <f t="shared" ref="F178:G191" si="17">+$E$175*F6</f>
        <v>0</v>
      </c>
      <c r="G178" s="683">
        <f t="shared" si="17"/>
        <v>0</v>
      </c>
    </row>
    <row r="179" spans="3:7" ht="15.75" hidden="1" thickBot="1" x14ac:dyDescent="0.3">
      <c r="C179" s="9">
        <f t="shared" si="16"/>
        <v>0</v>
      </c>
      <c r="D179" s="364" t="s">
        <v>73</v>
      </c>
      <c r="E179" s="12" t="s">
        <v>56</v>
      </c>
      <c r="F179" s="683">
        <f t="shared" si="17"/>
        <v>0</v>
      </c>
      <c r="G179" s="683">
        <f t="shared" si="17"/>
        <v>0</v>
      </c>
    </row>
    <row r="180" spans="3:7" ht="15.75" hidden="1" thickBot="1" x14ac:dyDescent="0.3">
      <c r="C180" s="9">
        <f t="shared" si="16"/>
        <v>0</v>
      </c>
      <c r="D180" s="364" t="s">
        <v>74</v>
      </c>
      <c r="E180" s="12" t="s">
        <v>55</v>
      </c>
      <c r="F180" s="683">
        <f t="shared" si="17"/>
        <v>0</v>
      </c>
      <c r="G180" s="683">
        <f t="shared" si="17"/>
        <v>0</v>
      </c>
    </row>
    <row r="181" spans="3:7" ht="15.75" hidden="1" thickBot="1" x14ac:dyDescent="0.3">
      <c r="C181" s="9">
        <f t="shared" si="16"/>
        <v>0</v>
      </c>
      <c r="D181" s="364" t="s">
        <v>75</v>
      </c>
      <c r="E181" s="12" t="s">
        <v>54</v>
      </c>
      <c r="F181" s="683">
        <f t="shared" si="17"/>
        <v>0</v>
      </c>
      <c r="G181" s="683">
        <f t="shared" si="17"/>
        <v>0</v>
      </c>
    </row>
    <row r="182" spans="3:7" ht="15.75" hidden="1" thickBot="1" x14ac:dyDescent="0.3">
      <c r="C182" s="9">
        <f t="shared" si="16"/>
        <v>0</v>
      </c>
      <c r="D182" s="34" t="s">
        <v>467</v>
      </c>
      <c r="E182" s="12" t="s">
        <v>53</v>
      </c>
      <c r="F182" s="683">
        <f t="shared" si="17"/>
        <v>0</v>
      </c>
      <c r="G182" s="683">
        <f t="shared" si="17"/>
        <v>0</v>
      </c>
    </row>
    <row r="183" spans="3:7" ht="15.75" hidden="1" thickBot="1" x14ac:dyDescent="0.3">
      <c r="C183" s="9">
        <f t="shared" si="16"/>
        <v>0</v>
      </c>
      <c r="D183" s="34" t="s">
        <v>76</v>
      </c>
      <c r="E183" s="12" t="s">
        <v>52</v>
      </c>
      <c r="F183" s="683">
        <f t="shared" si="17"/>
        <v>0</v>
      </c>
      <c r="G183" s="683">
        <f t="shared" si="17"/>
        <v>0</v>
      </c>
    </row>
    <row r="184" spans="3:7" ht="15.75" hidden="1" thickBot="1" x14ac:dyDescent="0.3">
      <c r="C184" s="9">
        <f t="shared" si="16"/>
        <v>0</v>
      </c>
      <c r="D184" s="34" t="s">
        <v>468</v>
      </c>
      <c r="E184" s="12" t="s">
        <v>51</v>
      </c>
      <c r="F184" s="683">
        <f t="shared" si="17"/>
        <v>0</v>
      </c>
      <c r="G184" s="683">
        <f t="shared" si="17"/>
        <v>0</v>
      </c>
    </row>
    <row r="185" spans="3:7" ht="15.75" hidden="1" thickBot="1" x14ac:dyDescent="0.3">
      <c r="C185" s="9">
        <f t="shared" si="16"/>
        <v>0</v>
      </c>
      <c r="D185" s="364" t="s">
        <v>59</v>
      </c>
      <c r="E185" s="12" t="s">
        <v>50</v>
      </c>
      <c r="F185" s="683">
        <f t="shared" si="17"/>
        <v>0</v>
      </c>
      <c r="G185" s="683">
        <f t="shared" si="17"/>
        <v>0</v>
      </c>
    </row>
    <row r="186" spans="3:7" ht="15.75" hidden="1" thickBot="1" x14ac:dyDescent="0.3">
      <c r="C186" s="9">
        <f t="shared" si="16"/>
        <v>0</v>
      </c>
      <c r="D186" s="364" t="s">
        <v>25</v>
      </c>
      <c r="E186" s="12" t="s">
        <v>49</v>
      </c>
      <c r="F186" s="683">
        <f t="shared" si="17"/>
        <v>0</v>
      </c>
      <c r="G186" s="683">
        <f t="shared" si="17"/>
        <v>0</v>
      </c>
    </row>
    <row r="187" spans="3:7" ht="15.75" hidden="1" thickBot="1" x14ac:dyDescent="0.3">
      <c r="C187" s="9">
        <f t="shared" si="16"/>
        <v>0</v>
      </c>
      <c r="D187" s="364" t="s">
        <v>466</v>
      </c>
      <c r="E187" s="12" t="s">
        <v>47</v>
      </c>
      <c r="F187" s="683">
        <f t="shared" si="17"/>
        <v>0</v>
      </c>
      <c r="G187" s="683">
        <f t="shared" si="17"/>
        <v>0</v>
      </c>
    </row>
    <row r="188" spans="3:7" ht="15.75" hidden="1" thickBot="1" x14ac:dyDescent="0.3">
      <c r="C188" s="9">
        <f t="shared" si="16"/>
        <v>0</v>
      </c>
      <c r="D188" s="364" t="s">
        <v>82</v>
      </c>
      <c r="E188" s="12" t="s">
        <v>77</v>
      </c>
      <c r="F188" s="683">
        <f t="shared" si="17"/>
        <v>0</v>
      </c>
      <c r="G188" s="683">
        <f t="shared" si="17"/>
        <v>0</v>
      </c>
    </row>
    <row r="189" spans="3:7" ht="15.75" hidden="1" thickBot="1" x14ac:dyDescent="0.3">
      <c r="C189" s="9">
        <f t="shared" si="16"/>
        <v>0</v>
      </c>
      <c r="D189" s="364" t="s">
        <v>84</v>
      </c>
      <c r="E189" s="12" t="s">
        <v>78</v>
      </c>
      <c r="F189" s="683">
        <f t="shared" ca="1" si="17"/>
        <v>0</v>
      </c>
      <c r="G189" s="683">
        <f t="shared" si="17"/>
        <v>0</v>
      </c>
    </row>
    <row r="190" spans="3:7" ht="15.75" hidden="1" thickBot="1" x14ac:dyDescent="0.3">
      <c r="C190" s="9">
        <f t="shared" si="16"/>
        <v>0</v>
      </c>
      <c r="D190" s="364" t="s">
        <v>86</v>
      </c>
      <c r="E190" s="12" t="s">
        <v>79</v>
      </c>
      <c r="F190" s="683">
        <f t="shared" si="17"/>
        <v>0</v>
      </c>
      <c r="G190" s="683">
        <f t="shared" si="17"/>
        <v>0</v>
      </c>
    </row>
    <row r="191" spans="3:7" ht="15.75" hidden="1" thickBot="1" x14ac:dyDescent="0.3">
      <c r="C191" s="9">
        <f t="shared" si="16"/>
        <v>0</v>
      </c>
      <c r="D191" s="364" t="s">
        <v>386</v>
      </c>
      <c r="E191" s="12" t="s">
        <v>81</v>
      </c>
      <c r="F191" s="683">
        <f t="shared" si="17"/>
        <v>0</v>
      </c>
      <c r="G191" s="683">
        <f t="shared" si="17"/>
        <v>0</v>
      </c>
    </row>
    <row r="192" spans="3:7" ht="15.75" hidden="1" thickBot="1" x14ac:dyDescent="0.3">
      <c r="C192" s="9">
        <f t="shared" si="16"/>
        <v>0</v>
      </c>
      <c r="D192" s="35" t="s">
        <v>22</v>
      </c>
      <c r="E192" s="12" t="s">
        <v>83</v>
      </c>
      <c r="F192" s="685">
        <f>SUBTOTAL(9,F178:F191)</f>
        <v>0</v>
      </c>
      <c r="G192" s="685">
        <f>SUBTOTAL(9,G178:G191)</f>
        <v>0</v>
      </c>
    </row>
    <row r="193" spans="3:7" ht="15.75" hidden="1" thickBot="1" x14ac:dyDescent="0.3"/>
    <row r="194" spans="3:7" ht="30.75" hidden="1" thickBot="1" x14ac:dyDescent="0.3">
      <c r="C194" s="9">
        <f>IF(F211&gt;0,1,0)</f>
        <v>0</v>
      </c>
      <c r="D194" s="20" t="str">
        <f>+A13</f>
        <v>Clinton</v>
      </c>
      <c r="E194" s="19">
        <f>IFERROR(SUMIF(A:A,D194,B:B),0)</f>
        <v>0</v>
      </c>
      <c r="F194" s="652" t="s">
        <v>31</v>
      </c>
      <c r="G194" s="652" t="s">
        <v>32</v>
      </c>
    </row>
    <row r="195" spans="3:7" ht="15.75" hidden="1" thickBot="1" x14ac:dyDescent="0.3">
      <c r="C195" s="9">
        <f>C194</f>
        <v>0</v>
      </c>
      <c r="D195" s="30"/>
      <c r="E195" s="31"/>
      <c r="F195" s="680" t="s">
        <v>54</v>
      </c>
      <c r="G195" s="680" t="s">
        <v>53</v>
      </c>
    </row>
    <row r="196" spans="3:7" ht="15.75" hidden="1" thickBot="1" x14ac:dyDescent="0.3">
      <c r="C196" s="9">
        <f t="shared" ref="C196:C211" si="18">C195</f>
        <v>0</v>
      </c>
      <c r="D196" s="32" t="s">
        <v>71</v>
      </c>
      <c r="E196" s="33"/>
      <c r="F196" s="681"/>
      <c r="G196" s="682"/>
    </row>
    <row r="197" spans="3:7" ht="15.75" hidden="1" thickBot="1" x14ac:dyDescent="0.3">
      <c r="C197" s="9">
        <f t="shared" si="18"/>
        <v>0</v>
      </c>
      <c r="D197" s="364" t="s">
        <v>72</v>
      </c>
      <c r="E197" s="12" t="s">
        <v>57</v>
      </c>
      <c r="F197" s="683">
        <f t="shared" ref="F197:G210" si="19">+$E$194*F6</f>
        <v>0</v>
      </c>
      <c r="G197" s="683">
        <f t="shared" si="19"/>
        <v>0</v>
      </c>
    </row>
    <row r="198" spans="3:7" ht="15.75" hidden="1" thickBot="1" x14ac:dyDescent="0.3">
      <c r="C198" s="9">
        <f t="shared" si="18"/>
        <v>0</v>
      </c>
      <c r="D198" s="364" t="s">
        <v>73</v>
      </c>
      <c r="E198" s="12" t="s">
        <v>56</v>
      </c>
      <c r="F198" s="683">
        <f t="shared" si="19"/>
        <v>0</v>
      </c>
      <c r="G198" s="683">
        <f t="shared" si="19"/>
        <v>0</v>
      </c>
    </row>
    <row r="199" spans="3:7" ht="15.75" hidden="1" thickBot="1" x14ac:dyDescent="0.3">
      <c r="C199" s="9">
        <f t="shared" si="18"/>
        <v>0</v>
      </c>
      <c r="D199" s="364" t="s">
        <v>74</v>
      </c>
      <c r="E199" s="12" t="s">
        <v>55</v>
      </c>
      <c r="F199" s="683">
        <f t="shared" si="19"/>
        <v>0</v>
      </c>
      <c r="G199" s="683">
        <f t="shared" si="19"/>
        <v>0</v>
      </c>
    </row>
    <row r="200" spans="3:7" ht="15.75" hidden="1" thickBot="1" x14ac:dyDescent="0.3">
      <c r="C200" s="9">
        <f t="shared" si="18"/>
        <v>0</v>
      </c>
      <c r="D200" s="364" t="s">
        <v>75</v>
      </c>
      <c r="E200" s="12" t="s">
        <v>54</v>
      </c>
      <c r="F200" s="683">
        <f t="shared" si="19"/>
        <v>0</v>
      </c>
      <c r="G200" s="683">
        <f t="shared" si="19"/>
        <v>0</v>
      </c>
    </row>
    <row r="201" spans="3:7" ht="15.75" hidden="1" thickBot="1" x14ac:dyDescent="0.3">
      <c r="C201" s="9">
        <f t="shared" si="18"/>
        <v>0</v>
      </c>
      <c r="D201" s="34" t="s">
        <v>467</v>
      </c>
      <c r="E201" s="12" t="s">
        <v>53</v>
      </c>
      <c r="F201" s="683">
        <f t="shared" si="19"/>
        <v>0</v>
      </c>
      <c r="G201" s="683">
        <f t="shared" si="19"/>
        <v>0</v>
      </c>
    </row>
    <row r="202" spans="3:7" ht="15.75" hidden="1" thickBot="1" x14ac:dyDescent="0.3">
      <c r="C202" s="9">
        <f t="shared" si="18"/>
        <v>0</v>
      </c>
      <c r="D202" s="34" t="s">
        <v>76</v>
      </c>
      <c r="E202" s="12" t="s">
        <v>52</v>
      </c>
      <c r="F202" s="683">
        <f t="shared" si="19"/>
        <v>0</v>
      </c>
      <c r="G202" s="683">
        <f t="shared" si="19"/>
        <v>0</v>
      </c>
    </row>
    <row r="203" spans="3:7" ht="15.75" hidden="1" thickBot="1" x14ac:dyDescent="0.3">
      <c r="C203" s="9">
        <f t="shared" si="18"/>
        <v>0</v>
      </c>
      <c r="D203" s="34" t="s">
        <v>468</v>
      </c>
      <c r="E203" s="12" t="s">
        <v>51</v>
      </c>
      <c r="F203" s="683">
        <f t="shared" si="19"/>
        <v>0</v>
      </c>
      <c r="G203" s="683">
        <f t="shared" si="19"/>
        <v>0</v>
      </c>
    </row>
    <row r="204" spans="3:7" ht="15.75" hidden="1" thickBot="1" x14ac:dyDescent="0.3">
      <c r="C204" s="9">
        <f t="shared" si="18"/>
        <v>0</v>
      </c>
      <c r="D204" s="364" t="s">
        <v>59</v>
      </c>
      <c r="E204" s="12" t="s">
        <v>50</v>
      </c>
      <c r="F204" s="683">
        <f t="shared" si="19"/>
        <v>0</v>
      </c>
      <c r="G204" s="683">
        <f t="shared" si="19"/>
        <v>0</v>
      </c>
    </row>
    <row r="205" spans="3:7" ht="15.75" hidden="1" thickBot="1" x14ac:dyDescent="0.3">
      <c r="C205" s="9">
        <f t="shared" si="18"/>
        <v>0</v>
      </c>
      <c r="D205" s="364" t="s">
        <v>25</v>
      </c>
      <c r="E205" s="12" t="s">
        <v>49</v>
      </c>
      <c r="F205" s="683">
        <f t="shared" si="19"/>
        <v>0</v>
      </c>
      <c r="G205" s="683">
        <f t="shared" si="19"/>
        <v>0</v>
      </c>
    </row>
    <row r="206" spans="3:7" ht="15.75" hidden="1" thickBot="1" x14ac:dyDescent="0.3">
      <c r="C206" s="9">
        <f t="shared" si="18"/>
        <v>0</v>
      </c>
      <c r="D206" s="364" t="s">
        <v>466</v>
      </c>
      <c r="E206" s="12" t="s">
        <v>47</v>
      </c>
      <c r="F206" s="683">
        <f t="shared" si="19"/>
        <v>0</v>
      </c>
      <c r="G206" s="683">
        <f t="shared" si="19"/>
        <v>0</v>
      </c>
    </row>
    <row r="207" spans="3:7" ht="15.75" hidden="1" thickBot="1" x14ac:dyDescent="0.3">
      <c r="C207" s="9">
        <f t="shared" si="18"/>
        <v>0</v>
      </c>
      <c r="D207" s="364" t="s">
        <v>82</v>
      </c>
      <c r="E207" s="12" t="s">
        <v>77</v>
      </c>
      <c r="F207" s="683">
        <f t="shared" si="19"/>
        <v>0</v>
      </c>
      <c r="G207" s="683">
        <f t="shared" si="19"/>
        <v>0</v>
      </c>
    </row>
    <row r="208" spans="3:7" ht="15.75" hidden="1" thickBot="1" x14ac:dyDescent="0.3">
      <c r="C208" s="9">
        <f t="shared" si="18"/>
        <v>0</v>
      </c>
      <c r="D208" s="364" t="s">
        <v>84</v>
      </c>
      <c r="E208" s="12" t="s">
        <v>78</v>
      </c>
      <c r="F208" s="683">
        <f t="shared" ca="1" si="19"/>
        <v>0</v>
      </c>
      <c r="G208" s="683">
        <f t="shared" si="19"/>
        <v>0</v>
      </c>
    </row>
    <row r="209" spans="3:7" ht="15.75" hidden="1" thickBot="1" x14ac:dyDescent="0.3">
      <c r="C209" s="9">
        <f t="shared" si="18"/>
        <v>0</v>
      </c>
      <c r="D209" s="364" t="s">
        <v>86</v>
      </c>
      <c r="E209" s="12" t="s">
        <v>79</v>
      </c>
      <c r="F209" s="683">
        <f t="shared" si="19"/>
        <v>0</v>
      </c>
      <c r="G209" s="683">
        <f t="shared" si="19"/>
        <v>0</v>
      </c>
    </row>
    <row r="210" spans="3:7" ht="15.75" hidden="1" thickBot="1" x14ac:dyDescent="0.3">
      <c r="C210" s="9">
        <f t="shared" si="18"/>
        <v>0</v>
      </c>
      <c r="D210" s="364" t="s">
        <v>386</v>
      </c>
      <c r="E210" s="12" t="s">
        <v>81</v>
      </c>
      <c r="F210" s="683">
        <f t="shared" si="19"/>
        <v>0</v>
      </c>
      <c r="G210" s="683">
        <f t="shared" si="19"/>
        <v>0</v>
      </c>
    </row>
    <row r="211" spans="3:7" ht="15.75" hidden="1" thickBot="1" x14ac:dyDescent="0.3">
      <c r="C211" s="9">
        <f t="shared" si="18"/>
        <v>0</v>
      </c>
      <c r="D211" s="35" t="s">
        <v>22</v>
      </c>
      <c r="E211" s="12" t="s">
        <v>83</v>
      </c>
      <c r="F211" s="685">
        <f>SUBTOTAL(9,F197:F210)</f>
        <v>0</v>
      </c>
      <c r="G211" s="685">
        <f>SUBTOTAL(9,G197:G210)</f>
        <v>0</v>
      </c>
    </row>
    <row r="212" spans="3:7" ht="15.75" hidden="1" thickBot="1" x14ac:dyDescent="0.3"/>
    <row r="213" spans="3:7" ht="30" x14ac:dyDescent="0.25">
      <c r="C213" s="9">
        <f ca="1">IF(F230&gt;0,1,0)</f>
        <v>1</v>
      </c>
      <c r="D213" s="20" t="str">
        <f>+A14</f>
        <v>Columbia</v>
      </c>
      <c r="E213" s="19">
        <f>IFERROR(SUMIF(A:A,D213,B:B),0)</f>
        <v>8.5321957257270391E-5</v>
      </c>
      <c r="F213" s="652" t="s">
        <v>31</v>
      </c>
      <c r="G213" s="652" t="s">
        <v>32</v>
      </c>
    </row>
    <row r="214" spans="3:7" x14ac:dyDescent="0.25">
      <c r="C214" s="9">
        <f ca="1">C213</f>
        <v>1</v>
      </c>
      <c r="D214" s="30"/>
      <c r="E214" s="31"/>
      <c r="F214" s="680" t="s">
        <v>54</v>
      </c>
      <c r="G214" s="680" t="s">
        <v>53</v>
      </c>
    </row>
    <row r="215" spans="3:7" x14ac:dyDescent="0.25">
      <c r="C215" s="9">
        <f t="shared" ref="C215:C230" ca="1" si="20">C214</f>
        <v>1</v>
      </c>
      <c r="D215" s="32" t="s">
        <v>71</v>
      </c>
      <c r="E215" s="33"/>
      <c r="F215" s="681"/>
      <c r="G215" s="682"/>
    </row>
    <row r="216" spans="3:7" x14ac:dyDescent="0.25">
      <c r="C216" s="9">
        <f t="shared" ca="1" si="20"/>
        <v>1</v>
      </c>
      <c r="D216" s="364" t="s">
        <v>72</v>
      </c>
      <c r="E216" s="12" t="s">
        <v>57</v>
      </c>
      <c r="F216" s="683">
        <f t="shared" ref="F216:G229" si="21">+$E$213*F6</f>
        <v>0</v>
      </c>
      <c r="G216" s="683">
        <f t="shared" si="21"/>
        <v>0</v>
      </c>
    </row>
    <row r="217" spans="3:7" x14ac:dyDescent="0.25">
      <c r="C217" s="9">
        <f t="shared" ca="1" si="20"/>
        <v>1</v>
      </c>
      <c r="D217" s="364" t="s">
        <v>73</v>
      </c>
      <c r="E217" s="12" t="s">
        <v>56</v>
      </c>
      <c r="F217" s="683">
        <f t="shared" si="21"/>
        <v>69.283600135377071</v>
      </c>
      <c r="G217" s="683">
        <f t="shared" si="21"/>
        <v>0</v>
      </c>
    </row>
    <row r="218" spans="3:7" x14ac:dyDescent="0.25">
      <c r="C218" s="9">
        <f t="shared" ca="1" si="20"/>
        <v>1</v>
      </c>
      <c r="D218" s="364" t="s">
        <v>74</v>
      </c>
      <c r="E218" s="12" t="s">
        <v>55</v>
      </c>
      <c r="F218" s="683">
        <f t="shared" si="21"/>
        <v>10.386767721521952</v>
      </c>
      <c r="G218" s="683">
        <f t="shared" si="21"/>
        <v>0</v>
      </c>
    </row>
    <row r="219" spans="3:7" x14ac:dyDescent="0.25">
      <c r="C219" s="9">
        <f t="shared" ca="1" si="20"/>
        <v>1</v>
      </c>
      <c r="D219" s="364" t="s">
        <v>75</v>
      </c>
      <c r="E219" s="12" t="s">
        <v>54</v>
      </c>
      <c r="F219" s="683">
        <f t="shared" si="21"/>
        <v>21.229129484967284</v>
      </c>
      <c r="G219" s="683">
        <f t="shared" si="21"/>
        <v>0</v>
      </c>
    </row>
    <row r="220" spans="3:7" x14ac:dyDescent="0.25">
      <c r="C220" s="9">
        <f t="shared" ca="1" si="20"/>
        <v>1</v>
      </c>
      <c r="D220" s="34" t="s">
        <v>467</v>
      </c>
      <c r="E220" s="12" t="s">
        <v>53</v>
      </c>
      <c r="F220" s="683">
        <f t="shared" si="21"/>
        <v>101.65491197181197</v>
      </c>
      <c r="G220" s="683">
        <f t="shared" si="21"/>
        <v>0</v>
      </c>
    </row>
    <row r="221" spans="3:7" x14ac:dyDescent="0.25">
      <c r="C221" s="9">
        <f t="shared" ca="1" si="20"/>
        <v>1</v>
      </c>
      <c r="D221" s="34" t="s">
        <v>76</v>
      </c>
      <c r="E221" s="12" t="s">
        <v>52</v>
      </c>
      <c r="F221" s="683">
        <f t="shared" si="21"/>
        <v>23.243160791620227</v>
      </c>
      <c r="G221" s="683">
        <f t="shared" si="21"/>
        <v>0</v>
      </c>
    </row>
    <row r="222" spans="3:7" x14ac:dyDescent="0.25">
      <c r="C222" s="9">
        <f t="shared" ca="1" si="20"/>
        <v>1</v>
      </c>
      <c r="D222" s="34" t="s">
        <v>468</v>
      </c>
      <c r="E222" s="12" t="s">
        <v>51</v>
      </c>
      <c r="F222" s="683">
        <f t="shared" si="21"/>
        <v>0</v>
      </c>
      <c r="G222" s="683">
        <f t="shared" si="21"/>
        <v>0</v>
      </c>
    </row>
    <row r="223" spans="3:7" x14ac:dyDescent="0.25">
      <c r="C223" s="9">
        <f t="shared" ca="1" si="20"/>
        <v>1</v>
      </c>
      <c r="D223" s="364" t="s">
        <v>59</v>
      </c>
      <c r="E223" s="12" t="s">
        <v>50</v>
      </c>
      <c r="F223" s="683">
        <f t="shared" si="21"/>
        <v>3.6804178824088747</v>
      </c>
      <c r="G223" s="683">
        <f t="shared" si="21"/>
        <v>0</v>
      </c>
    </row>
    <row r="224" spans="3:7" x14ac:dyDescent="0.25">
      <c r="C224" s="9">
        <f t="shared" ca="1" si="20"/>
        <v>1</v>
      </c>
      <c r="D224" s="364" t="s">
        <v>25</v>
      </c>
      <c r="E224" s="12" t="s">
        <v>49</v>
      </c>
      <c r="F224" s="683">
        <f t="shared" si="21"/>
        <v>12.051871324061265</v>
      </c>
      <c r="G224" s="683">
        <f t="shared" si="21"/>
        <v>0</v>
      </c>
    </row>
    <row r="225" spans="3:7" x14ac:dyDescent="0.25">
      <c r="C225" s="9">
        <f t="shared" ca="1" si="20"/>
        <v>1</v>
      </c>
      <c r="D225" s="364" t="s">
        <v>466</v>
      </c>
      <c r="E225" s="12" t="s">
        <v>47</v>
      </c>
      <c r="F225" s="683">
        <f t="shared" si="21"/>
        <v>44.965016278980322</v>
      </c>
      <c r="G225" s="683">
        <f t="shared" si="21"/>
        <v>0</v>
      </c>
    </row>
    <row r="226" spans="3:7" x14ac:dyDescent="0.25">
      <c r="C226" s="9">
        <f t="shared" ca="1" si="20"/>
        <v>1</v>
      </c>
      <c r="D226" s="364" t="s">
        <v>82</v>
      </c>
      <c r="E226" s="12" t="s">
        <v>77</v>
      </c>
      <c r="F226" s="683">
        <f t="shared" si="21"/>
        <v>30.469173528674194</v>
      </c>
      <c r="G226" s="683">
        <f t="shared" si="21"/>
        <v>0</v>
      </c>
    </row>
    <row r="227" spans="3:7" x14ac:dyDescent="0.25">
      <c r="C227" s="9">
        <f t="shared" ca="1" si="20"/>
        <v>1</v>
      </c>
      <c r="D227" s="364" t="s">
        <v>84</v>
      </c>
      <c r="E227" s="12" t="s">
        <v>78</v>
      </c>
      <c r="F227" s="683">
        <f t="shared" ca="1" si="21"/>
        <v>2178.2677094439609</v>
      </c>
      <c r="G227" s="683">
        <f t="shared" si="21"/>
        <v>0</v>
      </c>
    </row>
    <row r="228" spans="3:7" x14ac:dyDescent="0.25">
      <c r="C228" s="9">
        <f t="shared" ca="1" si="20"/>
        <v>1</v>
      </c>
      <c r="D228" s="364" t="s">
        <v>86</v>
      </c>
      <c r="E228" s="12" t="s">
        <v>79</v>
      </c>
      <c r="F228" s="683">
        <f t="shared" si="21"/>
        <v>33.553259851401116</v>
      </c>
      <c r="G228" s="683">
        <f t="shared" si="21"/>
        <v>0</v>
      </c>
    </row>
    <row r="229" spans="3:7" x14ac:dyDescent="0.25">
      <c r="C229" s="9">
        <f t="shared" ca="1" si="20"/>
        <v>1</v>
      </c>
      <c r="D229" s="364" t="s">
        <v>386</v>
      </c>
      <c r="E229" s="12" t="s">
        <v>81</v>
      </c>
      <c r="F229" s="683">
        <f t="shared" si="21"/>
        <v>0</v>
      </c>
      <c r="G229" s="683">
        <f t="shared" si="21"/>
        <v>0</v>
      </c>
    </row>
    <row r="230" spans="3:7" ht="15.75" thickBot="1" x14ac:dyDescent="0.3">
      <c r="C230" s="9">
        <f t="shared" ca="1" si="20"/>
        <v>1</v>
      </c>
      <c r="D230" s="35" t="s">
        <v>22</v>
      </c>
      <c r="E230" s="12" t="s">
        <v>83</v>
      </c>
      <c r="F230" s="685">
        <f ca="1">SUBTOTAL(9,F216:F229)</f>
        <v>2528.7850184147851</v>
      </c>
      <c r="G230" s="685">
        <f>SUBTOTAL(9,G216:G229)</f>
        <v>0</v>
      </c>
    </row>
    <row r="231" spans="3:7" ht="15.75" hidden="1" thickBot="1" x14ac:dyDescent="0.3"/>
    <row r="232" spans="3:7" ht="30.75" hidden="1" thickBot="1" x14ac:dyDescent="0.3">
      <c r="C232" s="9">
        <f>IF(F249&gt;0,1,0)</f>
        <v>0</v>
      </c>
      <c r="D232" s="20" t="str">
        <f>A15</f>
        <v>Cortland</v>
      </c>
      <c r="E232" s="19">
        <f>IFERROR(SUMIF(A:A,D232,B:B),0)</f>
        <v>0</v>
      </c>
      <c r="F232" s="652" t="s">
        <v>31</v>
      </c>
      <c r="G232" s="652" t="s">
        <v>32</v>
      </c>
    </row>
    <row r="233" spans="3:7" ht="15.75" hidden="1" thickBot="1" x14ac:dyDescent="0.3">
      <c r="C233" s="9">
        <f>C232</f>
        <v>0</v>
      </c>
      <c r="D233" s="30"/>
      <c r="E233" s="31"/>
      <c r="F233" s="680" t="s">
        <v>54</v>
      </c>
      <c r="G233" s="680" t="s">
        <v>53</v>
      </c>
    </row>
    <row r="234" spans="3:7" ht="15.75" hidden="1" thickBot="1" x14ac:dyDescent="0.3">
      <c r="C234" s="9">
        <f t="shared" ref="C234:C249" si="22">C233</f>
        <v>0</v>
      </c>
      <c r="D234" s="32" t="s">
        <v>71</v>
      </c>
      <c r="E234" s="33"/>
      <c r="F234" s="681"/>
      <c r="G234" s="682"/>
    </row>
    <row r="235" spans="3:7" ht="15.75" hidden="1" thickBot="1" x14ac:dyDescent="0.3">
      <c r="C235" s="9">
        <f t="shared" si="22"/>
        <v>0</v>
      </c>
      <c r="D235" s="364" t="s">
        <v>72</v>
      </c>
      <c r="E235" s="12" t="s">
        <v>57</v>
      </c>
      <c r="F235" s="683">
        <f t="shared" ref="F235:G248" si="23">+$E$232*F6</f>
        <v>0</v>
      </c>
      <c r="G235" s="683">
        <f t="shared" si="23"/>
        <v>0</v>
      </c>
    </row>
    <row r="236" spans="3:7" ht="15.75" hidden="1" thickBot="1" x14ac:dyDescent="0.3">
      <c r="C236" s="9">
        <f t="shared" si="22"/>
        <v>0</v>
      </c>
      <c r="D236" s="364" t="s">
        <v>73</v>
      </c>
      <c r="E236" s="12" t="s">
        <v>56</v>
      </c>
      <c r="F236" s="683">
        <f t="shared" si="23"/>
        <v>0</v>
      </c>
      <c r="G236" s="683">
        <f t="shared" si="23"/>
        <v>0</v>
      </c>
    </row>
    <row r="237" spans="3:7" ht="15.75" hidden="1" thickBot="1" x14ac:dyDescent="0.3">
      <c r="C237" s="9">
        <f t="shared" si="22"/>
        <v>0</v>
      </c>
      <c r="D237" s="364" t="s">
        <v>74</v>
      </c>
      <c r="E237" s="12" t="s">
        <v>55</v>
      </c>
      <c r="F237" s="683">
        <f t="shared" si="23"/>
        <v>0</v>
      </c>
      <c r="G237" s="683">
        <f t="shared" si="23"/>
        <v>0</v>
      </c>
    </row>
    <row r="238" spans="3:7" ht="15.75" hidden="1" thickBot="1" x14ac:dyDescent="0.3">
      <c r="C238" s="9">
        <f t="shared" si="22"/>
        <v>0</v>
      </c>
      <c r="D238" s="364" t="s">
        <v>75</v>
      </c>
      <c r="E238" s="12" t="s">
        <v>54</v>
      </c>
      <c r="F238" s="683">
        <f t="shared" si="23"/>
        <v>0</v>
      </c>
      <c r="G238" s="683">
        <f t="shared" si="23"/>
        <v>0</v>
      </c>
    </row>
    <row r="239" spans="3:7" ht="15.75" hidden="1" thickBot="1" x14ac:dyDescent="0.3">
      <c r="C239" s="9">
        <f t="shared" si="22"/>
        <v>0</v>
      </c>
      <c r="D239" s="34" t="s">
        <v>467</v>
      </c>
      <c r="E239" s="12" t="s">
        <v>53</v>
      </c>
      <c r="F239" s="683">
        <f t="shared" si="23"/>
        <v>0</v>
      </c>
      <c r="G239" s="683">
        <f t="shared" si="23"/>
        <v>0</v>
      </c>
    </row>
    <row r="240" spans="3:7" ht="15.75" hidden="1" thickBot="1" x14ac:dyDescent="0.3">
      <c r="C240" s="9">
        <f t="shared" si="22"/>
        <v>0</v>
      </c>
      <c r="D240" s="34" t="s">
        <v>76</v>
      </c>
      <c r="E240" s="12" t="s">
        <v>52</v>
      </c>
      <c r="F240" s="683">
        <f t="shared" si="23"/>
        <v>0</v>
      </c>
      <c r="G240" s="683">
        <f t="shared" si="23"/>
        <v>0</v>
      </c>
    </row>
    <row r="241" spans="3:7" ht="15.75" hidden="1" thickBot="1" x14ac:dyDescent="0.3">
      <c r="C241" s="9">
        <f t="shared" si="22"/>
        <v>0</v>
      </c>
      <c r="D241" s="34" t="s">
        <v>468</v>
      </c>
      <c r="E241" s="12" t="s">
        <v>51</v>
      </c>
      <c r="F241" s="683">
        <f t="shared" si="23"/>
        <v>0</v>
      </c>
      <c r="G241" s="683">
        <f t="shared" si="23"/>
        <v>0</v>
      </c>
    </row>
    <row r="242" spans="3:7" ht="15.75" hidden="1" thickBot="1" x14ac:dyDescent="0.3">
      <c r="C242" s="9">
        <f t="shared" si="22"/>
        <v>0</v>
      </c>
      <c r="D242" s="364" t="s">
        <v>59</v>
      </c>
      <c r="E242" s="12" t="s">
        <v>50</v>
      </c>
      <c r="F242" s="683">
        <f t="shared" si="23"/>
        <v>0</v>
      </c>
      <c r="G242" s="683">
        <f t="shared" si="23"/>
        <v>0</v>
      </c>
    </row>
    <row r="243" spans="3:7" ht="15.75" hidden="1" thickBot="1" x14ac:dyDescent="0.3">
      <c r="C243" s="9">
        <f t="shared" si="22"/>
        <v>0</v>
      </c>
      <c r="D243" s="364" t="s">
        <v>25</v>
      </c>
      <c r="E243" s="12" t="s">
        <v>49</v>
      </c>
      <c r="F243" s="683">
        <f t="shared" si="23"/>
        <v>0</v>
      </c>
      <c r="G243" s="683">
        <f t="shared" si="23"/>
        <v>0</v>
      </c>
    </row>
    <row r="244" spans="3:7" ht="15.75" hidden="1" thickBot="1" x14ac:dyDescent="0.3">
      <c r="C244" s="9">
        <f t="shared" si="22"/>
        <v>0</v>
      </c>
      <c r="D244" s="364" t="s">
        <v>466</v>
      </c>
      <c r="E244" s="12" t="s">
        <v>47</v>
      </c>
      <c r="F244" s="683">
        <f t="shared" si="23"/>
        <v>0</v>
      </c>
      <c r="G244" s="683">
        <f t="shared" si="23"/>
        <v>0</v>
      </c>
    </row>
    <row r="245" spans="3:7" ht="15.75" hidden="1" thickBot="1" x14ac:dyDescent="0.3">
      <c r="C245" s="9">
        <f t="shared" si="22"/>
        <v>0</v>
      </c>
      <c r="D245" s="364" t="s">
        <v>82</v>
      </c>
      <c r="E245" s="12" t="s">
        <v>77</v>
      </c>
      <c r="F245" s="683">
        <f t="shared" si="23"/>
        <v>0</v>
      </c>
      <c r="G245" s="683">
        <f t="shared" si="23"/>
        <v>0</v>
      </c>
    </row>
    <row r="246" spans="3:7" ht="15.75" hidden="1" thickBot="1" x14ac:dyDescent="0.3">
      <c r="C246" s="9">
        <f t="shared" si="22"/>
        <v>0</v>
      </c>
      <c r="D246" s="364" t="s">
        <v>84</v>
      </c>
      <c r="E246" s="12" t="s">
        <v>78</v>
      </c>
      <c r="F246" s="683">
        <f t="shared" ca="1" si="23"/>
        <v>0</v>
      </c>
      <c r="G246" s="683">
        <f t="shared" si="23"/>
        <v>0</v>
      </c>
    </row>
    <row r="247" spans="3:7" ht="15.75" hidden="1" thickBot="1" x14ac:dyDescent="0.3">
      <c r="C247" s="9">
        <f t="shared" si="22"/>
        <v>0</v>
      </c>
      <c r="D247" s="364" t="s">
        <v>86</v>
      </c>
      <c r="E247" s="12" t="s">
        <v>79</v>
      </c>
      <c r="F247" s="683">
        <f t="shared" si="23"/>
        <v>0</v>
      </c>
      <c r="G247" s="683">
        <f t="shared" si="23"/>
        <v>0</v>
      </c>
    </row>
    <row r="248" spans="3:7" ht="15.75" hidden="1" thickBot="1" x14ac:dyDescent="0.3">
      <c r="C248" s="9">
        <f t="shared" si="22"/>
        <v>0</v>
      </c>
      <c r="D248" s="364" t="s">
        <v>386</v>
      </c>
      <c r="E248" s="12" t="s">
        <v>81</v>
      </c>
      <c r="F248" s="683">
        <f t="shared" si="23"/>
        <v>0</v>
      </c>
      <c r="G248" s="683">
        <f t="shared" si="23"/>
        <v>0</v>
      </c>
    </row>
    <row r="249" spans="3:7" ht="15.75" hidden="1" thickBot="1" x14ac:dyDescent="0.3">
      <c r="C249" s="9">
        <f t="shared" si="22"/>
        <v>0</v>
      </c>
      <c r="D249" s="35" t="s">
        <v>22</v>
      </c>
      <c r="E249" s="12" t="s">
        <v>83</v>
      </c>
      <c r="F249" s="685">
        <f>SUBTOTAL(9,F235:F248)</f>
        <v>0</v>
      </c>
      <c r="G249" s="685">
        <f>SUBTOTAL(9,G235:G248)</f>
        <v>0</v>
      </c>
    </row>
    <row r="250" spans="3:7" ht="15.75" hidden="1" thickBot="1" x14ac:dyDescent="0.3"/>
    <row r="251" spans="3:7" ht="30.75" hidden="1" thickBot="1" x14ac:dyDescent="0.3">
      <c r="C251" s="9">
        <f>IF(F268&gt;0,1,0)</f>
        <v>0</v>
      </c>
      <c r="D251" s="20" t="str">
        <f>A16</f>
        <v>Delaware</v>
      </c>
      <c r="E251" s="19">
        <f>IFERROR(SUMIF(A:A,D251,B:B),0)</f>
        <v>0</v>
      </c>
      <c r="F251" s="652" t="s">
        <v>31</v>
      </c>
      <c r="G251" s="652" t="s">
        <v>32</v>
      </c>
    </row>
    <row r="252" spans="3:7" ht="15.75" hidden="1" thickBot="1" x14ac:dyDescent="0.3">
      <c r="C252" s="9">
        <f>C251</f>
        <v>0</v>
      </c>
      <c r="D252" s="30"/>
      <c r="E252" s="31"/>
      <c r="F252" s="680" t="s">
        <v>54</v>
      </c>
      <c r="G252" s="680" t="s">
        <v>53</v>
      </c>
    </row>
    <row r="253" spans="3:7" ht="15.75" hidden="1" thickBot="1" x14ac:dyDescent="0.3">
      <c r="C253" s="9">
        <f t="shared" ref="C253:C268" si="24">C252</f>
        <v>0</v>
      </c>
      <c r="D253" s="32" t="s">
        <v>71</v>
      </c>
      <c r="E253" s="33"/>
      <c r="F253" s="681"/>
      <c r="G253" s="682"/>
    </row>
    <row r="254" spans="3:7" ht="15.75" hidden="1" thickBot="1" x14ac:dyDescent="0.3">
      <c r="C254" s="9">
        <f t="shared" si="24"/>
        <v>0</v>
      </c>
      <c r="D254" s="364" t="s">
        <v>72</v>
      </c>
      <c r="E254" s="12" t="s">
        <v>57</v>
      </c>
      <c r="F254" s="683">
        <f t="shared" ref="F254:G267" si="25">+$E$251*F6</f>
        <v>0</v>
      </c>
      <c r="G254" s="683">
        <f t="shared" si="25"/>
        <v>0</v>
      </c>
    </row>
    <row r="255" spans="3:7" ht="15.75" hidden="1" thickBot="1" x14ac:dyDescent="0.3">
      <c r="C255" s="9">
        <f t="shared" si="24"/>
        <v>0</v>
      </c>
      <c r="D255" s="364" t="s">
        <v>73</v>
      </c>
      <c r="E255" s="12" t="s">
        <v>56</v>
      </c>
      <c r="F255" s="683">
        <f t="shared" si="25"/>
        <v>0</v>
      </c>
      <c r="G255" s="683">
        <f t="shared" si="25"/>
        <v>0</v>
      </c>
    </row>
    <row r="256" spans="3:7" ht="15.75" hidden="1" thickBot="1" x14ac:dyDescent="0.3">
      <c r="C256" s="9">
        <f t="shared" si="24"/>
        <v>0</v>
      </c>
      <c r="D256" s="364" t="s">
        <v>74</v>
      </c>
      <c r="E256" s="12" t="s">
        <v>55</v>
      </c>
      <c r="F256" s="683">
        <f t="shared" si="25"/>
        <v>0</v>
      </c>
      <c r="G256" s="683">
        <f t="shared" si="25"/>
        <v>0</v>
      </c>
    </row>
    <row r="257" spans="3:7" ht="15.75" hidden="1" thickBot="1" x14ac:dyDescent="0.3">
      <c r="C257" s="9">
        <f t="shared" si="24"/>
        <v>0</v>
      </c>
      <c r="D257" s="364" t="s">
        <v>75</v>
      </c>
      <c r="E257" s="12" t="s">
        <v>54</v>
      </c>
      <c r="F257" s="683">
        <f t="shared" si="25"/>
        <v>0</v>
      </c>
      <c r="G257" s="683">
        <f t="shared" si="25"/>
        <v>0</v>
      </c>
    </row>
    <row r="258" spans="3:7" ht="15.75" hidden="1" thickBot="1" x14ac:dyDescent="0.3">
      <c r="C258" s="9">
        <f t="shared" si="24"/>
        <v>0</v>
      </c>
      <c r="D258" s="34" t="s">
        <v>467</v>
      </c>
      <c r="E258" s="12" t="s">
        <v>53</v>
      </c>
      <c r="F258" s="683">
        <f t="shared" si="25"/>
        <v>0</v>
      </c>
      <c r="G258" s="683">
        <f t="shared" si="25"/>
        <v>0</v>
      </c>
    </row>
    <row r="259" spans="3:7" ht="15.75" hidden="1" thickBot="1" x14ac:dyDescent="0.3">
      <c r="C259" s="9">
        <f t="shared" si="24"/>
        <v>0</v>
      </c>
      <c r="D259" s="34" t="s">
        <v>76</v>
      </c>
      <c r="E259" s="12" t="s">
        <v>52</v>
      </c>
      <c r="F259" s="683">
        <f t="shared" si="25"/>
        <v>0</v>
      </c>
      <c r="G259" s="683">
        <f t="shared" si="25"/>
        <v>0</v>
      </c>
    </row>
    <row r="260" spans="3:7" ht="15.75" hidden="1" thickBot="1" x14ac:dyDescent="0.3">
      <c r="C260" s="9">
        <f t="shared" si="24"/>
        <v>0</v>
      </c>
      <c r="D260" s="34" t="s">
        <v>468</v>
      </c>
      <c r="E260" s="12" t="s">
        <v>51</v>
      </c>
      <c r="F260" s="683">
        <f t="shared" si="25"/>
        <v>0</v>
      </c>
      <c r="G260" s="683">
        <f t="shared" si="25"/>
        <v>0</v>
      </c>
    </row>
    <row r="261" spans="3:7" ht="15.75" hidden="1" thickBot="1" x14ac:dyDescent="0.3">
      <c r="C261" s="9">
        <f t="shared" si="24"/>
        <v>0</v>
      </c>
      <c r="D261" s="364" t="s">
        <v>59</v>
      </c>
      <c r="E261" s="12" t="s">
        <v>50</v>
      </c>
      <c r="F261" s="683">
        <f t="shared" si="25"/>
        <v>0</v>
      </c>
      <c r="G261" s="683">
        <f t="shared" si="25"/>
        <v>0</v>
      </c>
    </row>
    <row r="262" spans="3:7" ht="15.75" hidden="1" thickBot="1" x14ac:dyDescent="0.3">
      <c r="C262" s="9">
        <f t="shared" si="24"/>
        <v>0</v>
      </c>
      <c r="D262" s="364" t="s">
        <v>25</v>
      </c>
      <c r="E262" s="12" t="s">
        <v>49</v>
      </c>
      <c r="F262" s="683">
        <f t="shared" si="25"/>
        <v>0</v>
      </c>
      <c r="G262" s="683">
        <f t="shared" si="25"/>
        <v>0</v>
      </c>
    </row>
    <row r="263" spans="3:7" ht="15.75" hidden="1" thickBot="1" x14ac:dyDescent="0.3">
      <c r="C263" s="9">
        <f t="shared" si="24"/>
        <v>0</v>
      </c>
      <c r="D263" s="364" t="s">
        <v>466</v>
      </c>
      <c r="E263" s="12" t="s">
        <v>47</v>
      </c>
      <c r="F263" s="683">
        <f t="shared" si="25"/>
        <v>0</v>
      </c>
      <c r="G263" s="683">
        <f t="shared" si="25"/>
        <v>0</v>
      </c>
    </row>
    <row r="264" spans="3:7" ht="15.75" hidden="1" thickBot="1" x14ac:dyDescent="0.3">
      <c r="C264" s="9">
        <f t="shared" si="24"/>
        <v>0</v>
      </c>
      <c r="D264" s="364" t="s">
        <v>82</v>
      </c>
      <c r="E264" s="12" t="s">
        <v>77</v>
      </c>
      <c r="F264" s="683">
        <f t="shared" si="25"/>
        <v>0</v>
      </c>
      <c r="G264" s="683">
        <f t="shared" si="25"/>
        <v>0</v>
      </c>
    </row>
    <row r="265" spans="3:7" ht="15.75" hidden="1" thickBot="1" x14ac:dyDescent="0.3">
      <c r="C265" s="9">
        <f t="shared" si="24"/>
        <v>0</v>
      </c>
      <c r="D265" s="364" t="s">
        <v>84</v>
      </c>
      <c r="E265" s="12" t="s">
        <v>78</v>
      </c>
      <c r="F265" s="683">
        <f t="shared" ca="1" si="25"/>
        <v>0</v>
      </c>
      <c r="G265" s="683">
        <f t="shared" si="25"/>
        <v>0</v>
      </c>
    </row>
    <row r="266" spans="3:7" ht="15.75" hidden="1" thickBot="1" x14ac:dyDescent="0.3">
      <c r="C266" s="9">
        <f t="shared" si="24"/>
        <v>0</v>
      </c>
      <c r="D266" s="364" t="s">
        <v>86</v>
      </c>
      <c r="E266" s="12" t="s">
        <v>79</v>
      </c>
      <c r="F266" s="683">
        <f t="shared" si="25"/>
        <v>0</v>
      </c>
      <c r="G266" s="683">
        <f t="shared" si="25"/>
        <v>0</v>
      </c>
    </row>
    <row r="267" spans="3:7" ht="15.75" hidden="1" thickBot="1" x14ac:dyDescent="0.3">
      <c r="C267" s="9">
        <f t="shared" si="24"/>
        <v>0</v>
      </c>
      <c r="D267" s="364" t="s">
        <v>386</v>
      </c>
      <c r="E267" s="12" t="s">
        <v>81</v>
      </c>
      <c r="F267" s="683">
        <f t="shared" si="25"/>
        <v>0</v>
      </c>
      <c r="G267" s="683">
        <f t="shared" si="25"/>
        <v>0</v>
      </c>
    </row>
    <row r="268" spans="3:7" ht="15.75" hidden="1" thickBot="1" x14ac:dyDescent="0.3">
      <c r="C268" s="9">
        <f t="shared" si="24"/>
        <v>0</v>
      </c>
      <c r="D268" s="35" t="s">
        <v>22</v>
      </c>
      <c r="E268" s="12" t="s">
        <v>83</v>
      </c>
      <c r="F268" s="685">
        <f>SUBTOTAL(9,F254:F267)</f>
        <v>0</v>
      </c>
      <c r="G268" s="685">
        <f>SUBTOTAL(9,G254:G267)</f>
        <v>0</v>
      </c>
    </row>
    <row r="269" spans="3:7" ht="15.75" hidden="1" thickBot="1" x14ac:dyDescent="0.3"/>
    <row r="270" spans="3:7" ht="30.75" hidden="1" thickBot="1" x14ac:dyDescent="0.3">
      <c r="C270" s="9">
        <f>IF(F287&gt;0,1,0)</f>
        <v>0</v>
      </c>
      <c r="D270" s="20" t="str">
        <f>+A17</f>
        <v>Dutchess</v>
      </c>
      <c r="E270" s="19">
        <f>IFERROR(SUMIF(A:A,D270,B:B),0)</f>
        <v>0</v>
      </c>
      <c r="F270" s="652" t="s">
        <v>31</v>
      </c>
      <c r="G270" s="652" t="s">
        <v>32</v>
      </c>
    </row>
    <row r="271" spans="3:7" ht="15.75" hidden="1" thickBot="1" x14ac:dyDescent="0.3">
      <c r="C271" s="9">
        <f>C270</f>
        <v>0</v>
      </c>
      <c r="D271" s="30"/>
      <c r="E271" s="31"/>
      <c r="F271" s="680" t="s">
        <v>54</v>
      </c>
      <c r="G271" s="680" t="s">
        <v>53</v>
      </c>
    </row>
    <row r="272" spans="3:7" ht="15.75" hidden="1" thickBot="1" x14ac:dyDescent="0.3">
      <c r="C272" s="9">
        <f t="shared" ref="C272:C287" si="26">C271</f>
        <v>0</v>
      </c>
      <c r="D272" s="32" t="s">
        <v>71</v>
      </c>
      <c r="E272" s="33"/>
      <c r="F272" s="681"/>
      <c r="G272" s="682"/>
    </row>
    <row r="273" spans="3:7" ht="15.75" hidden="1" thickBot="1" x14ac:dyDescent="0.3">
      <c r="C273" s="9">
        <f t="shared" si="26"/>
        <v>0</v>
      </c>
      <c r="D273" s="364" t="s">
        <v>72</v>
      </c>
      <c r="E273" s="12" t="s">
        <v>57</v>
      </c>
      <c r="F273" s="683">
        <f t="shared" ref="F273:G286" si="27">+$E$270*F6</f>
        <v>0</v>
      </c>
      <c r="G273" s="683">
        <f t="shared" si="27"/>
        <v>0</v>
      </c>
    </row>
    <row r="274" spans="3:7" ht="15.75" hidden="1" thickBot="1" x14ac:dyDescent="0.3">
      <c r="C274" s="9">
        <f t="shared" si="26"/>
        <v>0</v>
      </c>
      <c r="D274" s="364" t="s">
        <v>73</v>
      </c>
      <c r="E274" s="12" t="s">
        <v>56</v>
      </c>
      <c r="F274" s="683">
        <f t="shared" si="27"/>
        <v>0</v>
      </c>
      <c r="G274" s="683">
        <f t="shared" si="27"/>
        <v>0</v>
      </c>
    </row>
    <row r="275" spans="3:7" ht="15.75" hidden="1" thickBot="1" x14ac:dyDescent="0.3">
      <c r="C275" s="9">
        <f t="shared" si="26"/>
        <v>0</v>
      </c>
      <c r="D275" s="364" t="s">
        <v>74</v>
      </c>
      <c r="E275" s="12" t="s">
        <v>55</v>
      </c>
      <c r="F275" s="683">
        <f t="shared" si="27"/>
        <v>0</v>
      </c>
      <c r="G275" s="683">
        <f t="shared" si="27"/>
        <v>0</v>
      </c>
    </row>
    <row r="276" spans="3:7" ht="15.75" hidden="1" thickBot="1" x14ac:dyDescent="0.3">
      <c r="C276" s="9">
        <f t="shared" si="26"/>
        <v>0</v>
      </c>
      <c r="D276" s="364" t="s">
        <v>75</v>
      </c>
      <c r="E276" s="12" t="s">
        <v>54</v>
      </c>
      <c r="F276" s="683">
        <f t="shared" si="27"/>
        <v>0</v>
      </c>
      <c r="G276" s="683">
        <f t="shared" si="27"/>
        <v>0</v>
      </c>
    </row>
    <row r="277" spans="3:7" ht="15.75" hidden="1" thickBot="1" x14ac:dyDescent="0.3">
      <c r="C277" s="9">
        <f t="shared" si="26"/>
        <v>0</v>
      </c>
      <c r="D277" s="34" t="s">
        <v>467</v>
      </c>
      <c r="E277" s="12" t="s">
        <v>53</v>
      </c>
      <c r="F277" s="683">
        <f t="shared" si="27"/>
        <v>0</v>
      </c>
      <c r="G277" s="683">
        <f t="shared" si="27"/>
        <v>0</v>
      </c>
    </row>
    <row r="278" spans="3:7" ht="15.75" hidden="1" thickBot="1" x14ac:dyDescent="0.3">
      <c r="C278" s="9">
        <f t="shared" si="26"/>
        <v>0</v>
      </c>
      <c r="D278" s="34" t="s">
        <v>76</v>
      </c>
      <c r="E278" s="12" t="s">
        <v>52</v>
      </c>
      <c r="F278" s="683">
        <f t="shared" si="27"/>
        <v>0</v>
      </c>
      <c r="G278" s="683">
        <f t="shared" si="27"/>
        <v>0</v>
      </c>
    </row>
    <row r="279" spans="3:7" ht="15.75" hidden="1" thickBot="1" x14ac:dyDescent="0.3">
      <c r="C279" s="9">
        <f t="shared" si="26"/>
        <v>0</v>
      </c>
      <c r="D279" s="34" t="s">
        <v>468</v>
      </c>
      <c r="E279" s="12" t="s">
        <v>51</v>
      </c>
      <c r="F279" s="683">
        <f t="shared" si="27"/>
        <v>0</v>
      </c>
      <c r="G279" s="683">
        <f t="shared" si="27"/>
        <v>0</v>
      </c>
    </row>
    <row r="280" spans="3:7" ht="15.75" hidden="1" thickBot="1" x14ac:dyDescent="0.3">
      <c r="C280" s="9">
        <f t="shared" si="26"/>
        <v>0</v>
      </c>
      <c r="D280" s="364" t="s">
        <v>59</v>
      </c>
      <c r="E280" s="12" t="s">
        <v>50</v>
      </c>
      <c r="F280" s="683">
        <f t="shared" si="27"/>
        <v>0</v>
      </c>
      <c r="G280" s="683">
        <f t="shared" si="27"/>
        <v>0</v>
      </c>
    </row>
    <row r="281" spans="3:7" ht="15.75" hidden="1" thickBot="1" x14ac:dyDescent="0.3">
      <c r="C281" s="9">
        <f t="shared" si="26"/>
        <v>0</v>
      </c>
      <c r="D281" s="364" t="s">
        <v>25</v>
      </c>
      <c r="E281" s="12" t="s">
        <v>49</v>
      </c>
      <c r="F281" s="683">
        <f t="shared" si="27"/>
        <v>0</v>
      </c>
      <c r="G281" s="683">
        <f t="shared" si="27"/>
        <v>0</v>
      </c>
    </row>
    <row r="282" spans="3:7" ht="15.75" hidden="1" thickBot="1" x14ac:dyDescent="0.3">
      <c r="C282" s="9">
        <f t="shared" si="26"/>
        <v>0</v>
      </c>
      <c r="D282" s="364" t="s">
        <v>466</v>
      </c>
      <c r="E282" s="12" t="s">
        <v>47</v>
      </c>
      <c r="F282" s="683">
        <f t="shared" si="27"/>
        <v>0</v>
      </c>
      <c r="G282" s="683">
        <f t="shared" si="27"/>
        <v>0</v>
      </c>
    </row>
    <row r="283" spans="3:7" ht="15.75" hidden="1" thickBot="1" x14ac:dyDescent="0.3">
      <c r="C283" s="9">
        <f t="shared" si="26"/>
        <v>0</v>
      </c>
      <c r="D283" s="364" t="s">
        <v>82</v>
      </c>
      <c r="E283" s="12" t="s">
        <v>77</v>
      </c>
      <c r="F283" s="683">
        <f t="shared" si="27"/>
        <v>0</v>
      </c>
      <c r="G283" s="683">
        <f t="shared" si="27"/>
        <v>0</v>
      </c>
    </row>
    <row r="284" spans="3:7" ht="15.75" hidden="1" thickBot="1" x14ac:dyDescent="0.3">
      <c r="C284" s="9">
        <f t="shared" si="26"/>
        <v>0</v>
      </c>
      <c r="D284" s="364" t="s">
        <v>84</v>
      </c>
      <c r="E284" s="12" t="s">
        <v>78</v>
      </c>
      <c r="F284" s="683">
        <f t="shared" ca="1" si="27"/>
        <v>0</v>
      </c>
      <c r="G284" s="683">
        <f t="shared" si="27"/>
        <v>0</v>
      </c>
    </row>
    <row r="285" spans="3:7" ht="15.75" hidden="1" thickBot="1" x14ac:dyDescent="0.3">
      <c r="C285" s="9">
        <f t="shared" si="26"/>
        <v>0</v>
      </c>
      <c r="D285" s="364" t="s">
        <v>86</v>
      </c>
      <c r="E285" s="12" t="s">
        <v>79</v>
      </c>
      <c r="F285" s="683">
        <f t="shared" si="27"/>
        <v>0</v>
      </c>
      <c r="G285" s="683">
        <f t="shared" si="27"/>
        <v>0</v>
      </c>
    </row>
    <row r="286" spans="3:7" ht="15.75" hidden="1" thickBot="1" x14ac:dyDescent="0.3">
      <c r="C286" s="9">
        <f t="shared" si="26"/>
        <v>0</v>
      </c>
      <c r="D286" s="364" t="s">
        <v>386</v>
      </c>
      <c r="E286" s="12" t="s">
        <v>81</v>
      </c>
      <c r="F286" s="683">
        <f t="shared" si="27"/>
        <v>0</v>
      </c>
      <c r="G286" s="683">
        <f t="shared" si="27"/>
        <v>0</v>
      </c>
    </row>
    <row r="287" spans="3:7" ht="15.75" hidden="1" thickBot="1" x14ac:dyDescent="0.3">
      <c r="C287" s="9">
        <f t="shared" si="26"/>
        <v>0</v>
      </c>
      <c r="D287" s="35" t="s">
        <v>22</v>
      </c>
      <c r="E287" s="12" t="s">
        <v>83</v>
      </c>
      <c r="F287" s="685">
        <f>SUBTOTAL(9,F273:F286)</f>
        <v>0</v>
      </c>
      <c r="G287" s="685">
        <f>SUBTOTAL(9,G273:G286)</f>
        <v>0</v>
      </c>
    </row>
    <row r="288" spans="3:7" ht="15.75" hidden="1" thickBot="1" x14ac:dyDescent="0.3"/>
    <row r="289" spans="3:7" ht="30.75" hidden="1" thickBot="1" x14ac:dyDescent="0.3">
      <c r="C289" s="9">
        <f>IF(F306&gt;0,1,0)</f>
        <v>0</v>
      </c>
      <c r="D289" s="20" t="str">
        <f>+A18</f>
        <v>Erie</v>
      </c>
      <c r="E289" s="19">
        <f>IFERROR(SUMIF(A:A,D289,B:B),0)</f>
        <v>0</v>
      </c>
      <c r="F289" s="652" t="s">
        <v>31</v>
      </c>
      <c r="G289" s="652" t="s">
        <v>32</v>
      </c>
    </row>
    <row r="290" spans="3:7" ht="15.75" hidden="1" thickBot="1" x14ac:dyDescent="0.3">
      <c r="C290" s="9">
        <f>C289</f>
        <v>0</v>
      </c>
      <c r="D290" s="30"/>
      <c r="E290" s="31"/>
      <c r="F290" s="680" t="s">
        <v>54</v>
      </c>
      <c r="G290" s="680" t="s">
        <v>53</v>
      </c>
    </row>
    <row r="291" spans="3:7" ht="15.75" hidden="1" thickBot="1" x14ac:dyDescent="0.3">
      <c r="C291" s="9">
        <f t="shared" ref="C291:C306" si="28">C290</f>
        <v>0</v>
      </c>
      <c r="D291" s="32" t="s">
        <v>71</v>
      </c>
      <c r="E291" s="33"/>
      <c r="F291" s="681"/>
      <c r="G291" s="682"/>
    </row>
    <row r="292" spans="3:7" ht="15.75" hidden="1" thickBot="1" x14ac:dyDescent="0.3">
      <c r="C292" s="9">
        <f t="shared" si="28"/>
        <v>0</v>
      </c>
      <c r="D292" s="364" t="s">
        <v>72</v>
      </c>
      <c r="E292" s="12" t="s">
        <v>57</v>
      </c>
      <c r="F292" s="683">
        <f t="shared" ref="F292:G305" si="29">+$E$289*F6</f>
        <v>0</v>
      </c>
      <c r="G292" s="683">
        <f t="shared" si="29"/>
        <v>0</v>
      </c>
    </row>
    <row r="293" spans="3:7" ht="15.75" hidden="1" thickBot="1" x14ac:dyDescent="0.3">
      <c r="C293" s="9">
        <f t="shared" si="28"/>
        <v>0</v>
      </c>
      <c r="D293" s="364" t="s">
        <v>73</v>
      </c>
      <c r="E293" s="12" t="s">
        <v>56</v>
      </c>
      <c r="F293" s="683">
        <f t="shared" si="29"/>
        <v>0</v>
      </c>
      <c r="G293" s="683">
        <f t="shared" si="29"/>
        <v>0</v>
      </c>
    </row>
    <row r="294" spans="3:7" ht="15.75" hidden="1" thickBot="1" x14ac:dyDescent="0.3">
      <c r="C294" s="9">
        <f t="shared" si="28"/>
        <v>0</v>
      </c>
      <c r="D294" s="364" t="s">
        <v>74</v>
      </c>
      <c r="E294" s="12" t="s">
        <v>55</v>
      </c>
      <c r="F294" s="683">
        <f t="shared" si="29"/>
        <v>0</v>
      </c>
      <c r="G294" s="683">
        <f t="shared" si="29"/>
        <v>0</v>
      </c>
    </row>
    <row r="295" spans="3:7" ht="15.75" hidden="1" thickBot="1" x14ac:dyDescent="0.3">
      <c r="C295" s="9">
        <f t="shared" si="28"/>
        <v>0</v>
      </c>
      <c r="D295" s="364" t="s">
        <v>75</v>
      </c>
      <c r="E295" s="12" t="s">
        <v>54</v>
      </c>
      <c r="F295" s="683">
        <f t="shared" si="29"/>
        <v>0</v>
      </c>
      <c r="G295" s="683">
        <f t="shared" si="29"/>
        <v>0</v>
      </c>
    </row>
    <row r="296" spans="3:7" ht="15.75" hidden="1" thickBot="1" x14ac:dyDescent="0.3">
      <c r="C296" s="9">
        <f t="shared" si="28"/>
        <v>0</v>
      </c>
      <c r="D296" s="34" t="s">
        <v>467</v>
      </c>
      <c r="E296" s="12" t="s">
        <v>53</v>
      </c>
      <c r="F296" s="683">
        <f t="shared" si="29"/>
        <v>0</v>
      </c>
      <c r="G296" s="683">
        <f t="shared" si="29"/>
        <v>0</v>
      </c>
    </row>
    <row r="297" spans="3:7" ht="15.75" hidden="1" thickBot="1" x14ac:dyDescent="0.3">
      <c r="C297" s="9">
        <f t="shared" si="28"/>
        <v>0</v>
      </c>
      <c r="D297" s="34" t="s">
        <v>76</v>
      </c>
      <c r="E297" s="12" t="s">
        <v>52</v>
      </c>
      <c r="F297" s="683">
        <f t="shared" si="29"/>
        <v>0</v>
      </c>
      <c r="G297" s="683">
        <f t="shared" si="29"/>
        <v>0</v>
      </c>
    </row>
    <row r="298" spans="3:7" ht="15.75" hidden="1" thickBot="1" x14ac:dyDescent="0.3">
      <c r="C298" s="9">
        <f t="shared" si="28"/>
        <v>0</v>
      </c>
      <c r="D298" s="34" t="s">
        <v>468</v>
      </c>
      <c r="E298" s="12" t="s">
        <v>51</v>
      </c>
      <c r="F298" s="683">
        <f t="shared" si="29"/>
        <v>0</v>
      </c>
      <c r="G298" s="683">
        <f t="shared" si="29"/>
        <v>0</v>
      </c>
    </row>
    <row r="299" spans="3:7" ht="15.75" hidden="1" thickBot="1" x14ac:dyDescent="0.3">
      <c r="C299" s="9">
        <f t="shared" si="28"/>
        <v>0</v>
      </c>
      <c r="D299" s="364" t="s">
        <v>59</v>
      </c>
      <c r="E299" s="12" t="s">
        <v>50</v>
      </c>
      <c r="F299" s="683">
        <f t="shared" si="29"/>
        <v>0</v>
      </c>
      <c r="G299" s="683">
        <f t="shared" si="29"/>
        <v>0</v>
      </c>
    </row>
    <row r="300" spans="3:7" ht="15.75" hidden="1" thickBot="1" x14ac:dyDescent="0.3">
      <c r="C300" s="9">
        <f t="shared" si="28"/>
        <v>0</v>
      </c>
      <c r="D300" s="364" t="s">
        <v>25</v>
      </c>
      <c r="E300" s="12" t="s">
        <v>49</v>
      </c>
      <c r="F300" s="683">
        <f t="shared" si="29"/>
        <v>0</v>
      </c>
      <c r="G300" s="683">
        <f t="shared" si="29"/>
        <v>0</v>
      </c>
    </row>
    <row r="301" spans="3:7" ht="15.75" hidden="1" thickBot="1" x14ac:dyDescent="0.3">
      <c r="C301" s="9">
        <f t="shared" si="28"/>
        <v>0</v>
      </c>
      <c r="D301" s="364" t="s">
        <v>466</v>
      </c>
      <c r="E301" s="12" t="s">
        <v>47</v>
      </c>
      <c r="F301" s="683">
        <f t="shared" si="29"/>
        <v>0</v>
      </c>
      <c r="G301" s="683">
        <f t="shared" si="29"/>
        <v>0</v>
      </c>
    </row>
    <row r="302" spans="3:7" ht="15.75" hidden="1" thickBot="1" x14ac:dyDescent="0.3">
      <c r="C302" s="9">
        <f t="shared" si="28"/>
        <v>0</v>
      </c>
      <c r="D302" s="364" t="s">
        <v>82</v>
      </c>
      <c r="E302" s="12" t="s">
        <v>77</v>
      </c>
      <c r="F302" s="683">
        <f t="shared" si="29"/>
        <v>0</v>
      </c>
      <c r="G302" s="683">
        <f t="shared" si="29"/>
        <v>0</v>
      </c>
    </row>
    <row r="303" spans="3:7" ht="15.75" hidden="1" thickBot="1" x14ac:dyDescent="0.3">
      <c r="C303" s="9">
        <f t="shared" si="28"/>
        <v>0</v>
      </c>
      <c r="D303" s="364" t="s">
        <v>84</v>
      </c>
      <c r="E303" s="12" t="s">
        <v>78</v>
      </c>
      <c r="F303" s="683">
        <f t="shared" ca="1" si="29"/>
        <v>0</v>
      </c>
      <c r="G303" s="683">
        <f t="shared" si="29"/>
        <v>0</v>
      </c>
    </row>
    <row r="304" spans="3:7" ht="15.75" hidden="1" thickBot="1" x14ac:dyDescent="0.3">
      <c r="C304" s="9">
        <f t="shared" si="28"/>
        <v>0</v>
      </c>
      <c r="D304" s="364" t="s">
        <v>86</v>
      </c>
      <c r="E304" s="12" t="s">
        <v>79</v>
      </c>
      <c r="F304" s="683">
        <f t="shared" si="29"/>
        <v>0</v>
      </c>
      <c r="G304" s="683">
        <f t="shared" si="29"/>
        <v>0</v>
      </c>
    </row>
    <row r="305" spans="3:7" ht="15.75" hidden="1" thickBot="1" x14ac:dyDescent="0.3">
      <c r="C305" s="9">
        <f t="shared" si="28"/>
        <v>0</v>
      </c>
      <c r="D305" s="364" t="s">
        <v>386</v>
      </c>
      <c r="E305" s="12" t="s">
        <v>81</v>
      </c>
      <c r="F305" s="683">
        <f t="shared" si="29"/>
        <v>0</v>
      </c>
      <c r="G305" s="683">
        <f t="shared" si="29"/>
        <v>0</v>
      </c>
    </row>
    <row r="306" spans="3:7" ht="15.75" hidden="1" thickBot="1" x14ac:dyDescent="0.3">
      <c r="C306" s="9">
        <f t="shared" si="28"/>
        <v>0</v>
      </c>
      <c r="D306" s="35" t="s">
        <v>22</v>
      </c>
      <c r="E306" s="12" t="s">
        <v>83</v>
      </c>
      <c r="F306" s="685">
        <f>SUBTOTAL(9,F292:F305)</f>
        <v>0</v>
      </c>
      <c r="G306" s="685">
        <f>SUBTOTAL(9,G292:G305)</f>
        <v>0</v>
      </c>
    </row>
    <row r="307" spans="3:7" ht="15.75" hidden="1" thickBot="1" x14ac:dyDescent="0.3"/>
    <row r="308" spans="3:7" ht="30.75" hidden="1" thickBot="1" x14ac:dyDescent="0.3">
      <c r="C308" s="9">
        <f>IF(F325&gt;0,1,0)</f>
        <v>0</v>
      </c>
      <c r="D308" s="20" t="str">
        <f>+A19</f>
        <v>Essex</v>
      </c>
      <c r="E308" s="19">
        <f>IFERROR(SUMIF(A:A,D308,B:B),0)</f>
        <v>0</v>
      </c>
      <c r="F308" s="652" t="s">
        <v>31</v>
      </c>
      <c r="G308" s="652" t="s">
        <v>32</v>
      </c>
    </row>
    <row r="309" spans="3:7" ht="15.75" hidden="1" thickBot="1" x14ac:dyDescent="0.3">
      <c r="C309" s="9">
        <f>C308</f>
        <v>0</v>
      </c>
      <c r="D309" s="30"/>
      <c r="E309" s="31"/>
      <c r="F309" s="680" t="s">
        <v>54</v>
      </c>
      <c r="G309" s="680" t="s">
        <v>53</v>
      </c>
    </row>
    <row r="310" spans="3:7" ht="15.75" hidden="1" thickBot="1" x14ac:dyDescent="0.3">
      <c r="C310" s="9">
        <f t="shared" ref="C310:C325" si="30">C309</f>
        <v>0</v>
      </c>
      <c r="D310" s="32" t="s">
        <v>71</v>
      </c>
      <c r="E310" s="33"/>
      <c r="F310" s="681"/>
      <c r="G310" s="682"/>
    </row>
    <row r="311" spans="3:7" ht="15.75" hidden="1" thickBot="1" x14ac:dyDescent="0.3">
      <c r="C311" s="9">
        <f t="shared" si="30"/>
        <v>0</v>
      </c>
      <c r="D311" s="364" t="s">
        <v>72</v>
      </c>
      <c r="E311" s="12" t="s">
        <v>57</v>
      </c>
      <c r="F311" s="683">
        <f t="shared" ref="F311:G324" si="31">+$E$308*F6</f>
        <v>0</v>
      </c>
      <c r="G311" s="683">
        <f t="shared" si="31"/>
        <v>0</v>
      </c>
    </row>
    <row r="312" spans="3:7" ht="15.75" hidden="1" thickBot="1" x14ac:dyDescent="0.3">
      <c r="C312" s="9">
        <f t="shared" si="30"/>
        <v>0</v>
      </c>
      <c r="D312" s="364" t="s">
        <v>73</v>
      </c>
      <c r="E312" s="12" t="s">
        <v>56</v>
      </c>
      <c r="F312" s="683">
        <f t="shared" si="31"/>
        <v>0</v>
      </c>
      <c r="G312" s="683">
        <f t="shared" si="31"/>
        <v>0</v>
      </c>
    </row>
    <row r="313" spans="3:7" ht="15.75" hidden="1" thickBot="1" x14ac:dyDescent="0.3">
      <c r="C313" s="9">
        <f t="shared" si="30"/>
        <v>0</v>
      </c>
      <c r="D313" s="364" t="s">
        <v>74</v>
      </c>
      <c r="E313" s="12" t="s">
        <v>55</v>
      </c>
      <c r="F313" s="683">
        <f t="shared" si="31"/>
        <v>0</v>
      </c>
      <c r="G313" s="683">
        <f t="shared" si="31"/>
        <v>0</v>
      </c>
    </row>
    <row r="314" spans="3:7" ht="15.75" hidden="1" thickBot="1" x14ac:dyDescent="0.3">
      <c r="C314" s="9">
        <f t="shared" si="30"/>
        <v>0</v>
      </c>
      <c r="D314" s="364" t="s">
        <v>75</v>
      </c>
      <c r="E314" s="12" t="s">
        <v>54</v>
      </c>
      <c r="F314" s="683">
        <f t="shared" si="31"/>
        <v>0</v>
      </c>
      <c r="G314" s="683">
        <f t="shared" si="31"/>
        <v>0</v>
      </c>
    </row>
    <row r="315" spans="3:7" ht="15.75" hidden="1" thickBot="1" x14ac:dyDescent="0.3">
      <c r="C315" s="9">
        <f t="shared" si="30"/>
        <v>0</v>
      </c>
      <c r="D315" s="34" t="s">
        <v>467</v>
      </c>
      <c r="E315" s="12" t="s">
        <v>53</v>
      </c>
      <c r="F315" s="683">
        <f t="shared" si="31"/>
        <v>0</v>
      </c>
      <c r="G315" s="683">
        <f t="shared" si="31"/>
        <v>0</v>
      </c>
    </row>
    <row r="316" spans="3:7" ht="15.75" hidden="1" thickBot="1" x14ac:dyDescent="0.3">
      <c r="C316" s="9">
        <f t="shared" si="30"/>
        <v>0</v>
      </c>
      <c r="D316" s="34" t="s">
        <v>76</v>
      </c>
      <c r="E316" s="12" t="s">
        <v>52</v>
      </c>
      <c r="F316" s="683">
        <f t="shared" si="31"/>
        <v>0</v>
      </c>
      <c r="G316" s="683">
        <f t="shared" si="31"/>
        <v>0</v>
      </c>
    </row>
    <row r="317" spans="3:7" ht="15.75" hidden="1" thickBot="1" x14ac:dyDescent="0.3">
      <c r="C317" s="9">
        <f t="shared" si="30"/>
        <v>0</v>
      </c>
      <c r="D317" s="34" t="s">
        <v>468</v>
      </c>
      <c r="E317" s="12" t="s">
        <v>51</v>
      </c>
      <c r="F317" s="683">
        <f t="shared" si="31"/>
        <v>0</v>
      </c>
      <c r="G317" s="683">
        <f t="shared" si="31"/>
        <v>0</v>
      </c>
    </row>
    <row r="318" spans="3:7" ht="15.75" hidden="1" thickBot="1" x14ac:dyDescent="0.3">
      <c r="C318" s="9">
        <f t="shared" si="30"/>
        <v>0</v>
      </c>
      <c r="D318" s="364" t="s">
        <v>59</v>
      </c>
      <c r="E318" s="12" t="s">
        <v>50</v>
      </c>
      <c r="F318" s="683">
        <f t="shared" si="31"/>
        <v>0</v>
      </c>
      <c r="G318" s="683">
        <f t="shared" si="31"/>
        <v>0</v>
      </c>
    </row>
    <row r="319" spans="3:7" ht="15.75" hidden="1" thickBot="1" x14ac:dyDescent="0.3">
      <c r="C319" s="9">
        <f t="shared" si="30"/>
        <v>0</v>
      </c>
      <c r="D319" s="364" t="s">
        <v>25</v>
      </c>
      <c r="E319" s="12" t="s">
        <v>49</v>
      </c>
      <c r="F319" s="683">
        <f t="shared" si="31"/>
        <v>0</v>
      </c>
      <c r="G319" s="683">
        <f t="shared" si="31"/>
        <v>0</v>
      </c>
    </row>
    <row r="320" spans="3:7" ht="15.75" hidden="1" thickBot="1" x14ac:dyDescent="0.3">
      <c r="C320" s="9">
        <f t="shared" si="30"/>
        <v>0</v>
      </c>
      <c r="D320" s="364" t="s">
        <v>466</v>
      </c>
      <c r="E320" s="12" t="s">
        <v>47</v>
      </c>
      <c r="F320" s="683">
        <f t="shared" si="31"/>
        <v>0</v>
      </c>
      <c r="G320" s="683">
        <f t="shared" si="31"/>
        <v>0</v>
      </c>
    </row>
    <row r="321" spans="3:7" ht="15.75" hidden="1" thickBot="1" x14ac:dyDescent="0.3">
      <c r="C321" s="9">
        <f t="shared" si="30"/>
        <v>0</v>
      </c>
      <c r="D321" s="364" t="s">
        <v>82</v>
      </c>
      <c r="E321" s="12" t="s">
        <v>77</v>
      </c>
      <c r="F321" s="683">
        <f t="shared" si="31"/>
        <v>0</v>
      </c>
      <c r="G321" s="683">
        <f t="shared" si="31"/>
        <v>0</v>
      </c>
    </row>
    <row r="322" spans="3:7" ht="15.75" hidden="1" thickBot="1" x14ac:dyDescent="0.3">
      <c r="C322" s="9">
        <f t="shared" si="30"/>
        <v>0</v>
      </c>
      <c r="D322" s="364" t="s">
        <v>84</v>
      </c>
      <c r="E322" s="12" t="s">
        <v>78</v>
      </c>
      <c r="F322" s="683">
        <f t="shared" ca="1" si="31"/>
        <v>0</v>
      </c>
      <c r="G322" s="683">
        <f t="shared" si="31"/>
        <v>0</v>
      </c>
    </row>
    <row r="323" spans="3:7" ht="15.75" hidden="1" thickBot="1" x14ac:dyDescent="0.3">
      <c r="C323" s="9">
        <f t="shared" si="30"/>
        <v>0</v>
      </c>
      <c r="D323" s="364" t="s">
        <v>86</v>
      </c>
      <c r="E323" s="12" t="s">
        <v>79</v>
      </c>
      <c r="F323" s="683">
        <f t="shared" si="31"/>
        <v>0</v>
      </c>
      <c r="G323" s="683">
        <f t="shared" si="31"/>
        <v>0</v>
      </c>
    </row>
    <row r="324" spans="3:7" ht="15.75" hidden="1" thickBot="1" x14ac:dyDescent="0.3">
      <c r="C324" s="9">
        <f t="shared" si="30"/>
        <v>0</v>
      </c>
      <c r="D324" s="364" t="s">
        <v>386</v>
      </c>
      <c r="E324" s="12" t="s">
        <v>81</v>
      </c>
      <c r="F324" s="683">
        <f t="shared" si="31"/>
        <v>0</v>
      </c>
      <c r="G324" s="683">
        <f t="shared" si="31"/>
        <v>0</v>
      </c>
    </row>
    <row r="325" spans="3:7" ht="15.75" hidden="1" thickBot="1" x14ac:dyDescent="0.3">
      <c r="C325" s="9">
        <f t="shared" si="30"/>
        <v>0</v>
      </c>
      <c r="D325" s="35" t="s">
        <v>22</v>
      </c>
      <c r="E325" s="12" t="s">
        <v>83</v>
      </c>
      <c r="F325" s="685">
        <f>SUBTOTAL(9,F311:F324)</f>
        <v>0</v>
      </c>
      <c r="G325" s="685">
        <f>SUBTOTAL(9,G311:G324)</f>
        <v>0</v>
      </c>
    </row>
    <row r="326" spans="3:7" ht="15.75" hidden="1" thickBot="1" x14ac:dyDescent="0.3"/>
    <row r="327" spans="3:7" ht="30.75" hidden="1" thickBot="1" x14ac:dyDescent="0.3">
      <c r="C327" s="9">
        <f>IF(F344&gt;0,1,0)</f>
        <v>0</v>
      </c>
      <c r="D327" s="20" t="str">
        <f>+A20</f>
        <v>Franklin</v>
      </c>
      <c r="E327" s="19">
        <f>IFERROR(SUMIF(A:A,D327,B:B),0)</f>
        <v>0</v>
      </c>
      <c r="F327" s="652" t="s">
        <v>31</v>
      </c>
      <c r="G327" s="652" t="s">
        <v>32</v>
      </c>
    </row>
    <row r="328" spans="3:7" ht="15.75" hidden="1" thickBot="1" x14ac:dyDescent="0.3">
      <c r="C328" s="9">
        <f>C327</f>
        <v>0</v>
      </c>
      <c r="D328" s="30"/>
      <c r="E328" s="31"/>
      <c r="F328" s="680" t="s">
        <v>54</v>
      </c>
      <c r="G328" s="680" t="s">
        <v>53</v>
      </c>
    </row>
    <row r="329" spans="3:7" ht="15.75" hidden="1" thickBot="1" x14ac:dyDescent="0.3">
      <c r="C329" s="9">
        <f t="shared" ref="C329:C344" si="32">C328</f>
        <v>0</v>
      </c>
      <c r="D329" s="32" t="s">
        <v>71</v>
      </c>
      <c r="E329" s="33"/>
      <c r="F329" s="681"/>
      <c r="G329" s="682"/>
    </row>
    <row r="330" spans="3:7" ht="15.75" hidden="1" thickBot="1" x14ac:dyDescent="0.3">
      <c r="C330" s="9">
        <f t="shared" si="32"/>
        <v>0</v>
      </c>
      <c r="D330" s="364" t="s">
        <v>72</v>
      </c>
      <c r="E330" s="12" t="s">
        <v>57</v>
      </c>
      <c r="F330" s="683">
        <f t="shared" ref="F330:G343" si="33">+$E$327*F6</f>
        <v>0</v>
      </c>
      <c r="G330" s="683">
        <f t="shared" si="33"/>
        <v>0</v>
      </c>
    </row>
    <row r="331" spans="3:7" ht="15.75" hidden="1" thickBot="1" x14ac:dyDescent="0.3">
      <c r="C331" s="9">
        <f t="shared" si="32"/>
        <v>0</v>
      </c>
      <c r="D331" s="364" t="s">
        <v>73</v>
      </c>
      <c r="E331" s="12" t="s">
        <v>56</v>
      </c>
      <c r="F331" s="683">
        <f t="shared" si="33"/>
        <v>0</v>
      </c>
      <c r="G331" s="683">
        <f t="shared" si="33"/>
        <v>0</v>
      </c>
    </row>
    <row r="332" spans="3:7" ht="15.75" hidden="1" thickBot="1" x14ac:dyDescent="0.3">
      <c r="C332" s="9">
        <f t="shared" si="32"/>
        <v>0</v>
      </c>
      <c r="D332" s="364" t="s">
        <v>74</v>
      </c>
      <c r="E332" s="12" t="s">
        <v>55</v>
      </c>
      <c r="F332" s="683">
        <f t="shared" si="33"/>
        <v>0</v>
      </c>
      <c r="G332" s="683">
        <f t="shared" si="33"/>
        <v>0</v>
      </c>
    </row>
    <row r="333" spans="3:7" ht="15.75" hidden="1" thickBot="1" x14ac:dyDescent="0.3">
      <c r="C333" s="9">
        <f t="shared" si="32"/>
        <v>0</v>
      </c>
      <c r="D333" s="364" t="s">
        <v>75</v>
      </c>
      <c r="E333" s="12" t="s">
        <v>54</v>
      </c>
      <c r="F333" s="683">
        <f t="shared" si="33"/>
        <v>0</v>
      </c>
      <c r="G333" s="683">
        <f t="shared" si="33"/>
        <v>0</v>
      </c>
    </row>
    <row r="334" spans="3:7" ht="15.75" hidden="1" thickBot="1" x14ac:dyDescent="0.3">
      <c r="C334" s="9">
        <f t="shared" si="32"/>
        <v>0</v>
      </c>
      <c r="D334" s="34" t="s">
        <v>467</v>
      </c>
      <c r="E334" s="12" t="s">
        <v>53</v>
      </c>
      <c r="F334" s="683">
        <f t="shared" si="33"/>
        <v>0</v>
      </c>
      <c r="G334" s="683">
        <f t="shared" si="33"/>
        <v>0</v>
      </c>
    </row>
    <row r="335" spans="3:7" ht="15.75" hidden="1" thickBot="1" x14ac:dyDescent="0.3">
      <c r="C335" s="9">
        <f t="shared" si="32"/>
        <v>0</v>
      </c>
      <c r="D335" s="34" t="s">
        <v>76</v>
      </c>
      <c r="E335" s="12" t="s">
        <v>52</v>
      </c>
      <c r="F335" s="683">
        <f t="shared" si="33"/>
        <v>0</v>
      </c>
      <c r="G335" s="683">
        <f t="shared" si="33"/>
        <v>0</v>
      </c>
    </row>
    <row r="336" spans="3:7" ht="15.75" hidden="1" thickBot="1" x14ac:dyDescent="0.3">
      <c r="C336" s="9">
        <f t="shared" si="32"/>
        <v>0</v>
      </c>
      <c r="D336" s="34" t="s">
        <v>468</v>
      </c>
      <c r="E336" s="12" t="s">
        <v>51</v>
      </c>
      <c r="F336" s="683">
        <f t="shared" si="33"/>
        <v>0</v>
      </c>
      <c r="G336" s="683">
        <f t="shared" si="33"/>
        <v>0</v>
      </c>
    </row>
    <row r="337" spans="3:7" ht="15.75" hidden="1" thickBot="1" x14ac:dyDescent="0.3">
      <c r="C337" s="9">
        <f t="shared" si="32"/>
        <v>0</v>
      </c>
      <c r="D337" s="364" t="s">
        <v>59</v>
      </c>
      <c r="E337" s="12" t="s">
        <v>50</v>
      </c>
      <c r="F337" s="683">
        <f t="shared" si="33"/>
        <v>0</v>
      </c>
      <c r="G337" s="683">
        <f t="shared" si="33"/>
        <v>0</v>
      </c>
    </row>
    <row r="338" spans="3:7" ht="15.75" hidden="1" thickBot="1" x14ac:dyDescent="0.3">
      <c r="C338" s="9">
        <f t="shared" si="32"/>
        <v>0</v>
      </c>
      <c r="D338" s="364" t="s">
        <v>25</v>
      </c>
      <c r="E338" s="12" t="s">
        <v>49</v>
      </c>
      <c r="F338" s="683">
        <f t="shared" si="33"/>
        <v>0</v>
      </c>
      <c r="G338" s="683">
        <f t="shared" si="33"/>
        <v>0</v>
      </c>
    </row>
    <row r="339" spans="3:7" ht="15.75" hidden="1" thickBot="1" x14ac:dyDescent="0.3">
      <c r="C339" s="9">
        <f t="shared" si="32"/>
        <v>0</v>
      </c>
      <c r="D339" s="364" t="s">
        <v>466</v>
      </c>
      <c r="E339" s="12" t="s">
        <v>47</v>
      </c>
      <c r="F339" s="683">
        <f t="shared" si="33"/>
        <v>0</v>
      </c>
      <c r="G339" s="683">
        <f t="shared" si="33"/>
        <v>0</v>
      </c>
    </row>
    <row r="340" spans="3:7" ht="15.75" hidden="1" thickBot="1" x14ac:dyDescent="0.3">
      <c r="C340" s="9">
        <f t="shared" si="32"/>
        <v>0</v>
      </c>
      <c r="D340" s="364" t="s">
        <v>82</v>
      </c>
      <c r="E340" s="12" t="s">
        <v>77</v>
      </c>
      <c r="F340" s="683">
        <f t="shared" si="33"/>
        <v>0</v>
      </c>
      <c r="G340" s="683">
        <f t="shared" si="33"/>
        <v>0</v>
      </c>
    </row>
    <row r="341" spans="3:7" ht="15.75" hidden="1" thickBot="1" x14ac:dyDescent="0.3">
      <c r="C341" s="9">
        <f t="shared" si="32"/>
        <v>0</v>
      </c>
      <c r="D341" s="364" t="s">
        <v>84</v>
      </c>
      <c r="E341" s="12" t="s">
        <v>78</v>
      </c>
      <c r="F341" s="683">
        <f t="shared" ca="1" si="33"/>
        <v>0</v>
      </c>
      <c r="G341" s="683">
        <f t="shared" si="33"/>
        <v>0</v>
      </c>
    </row>
    <row r="342" spans="3:7" ht="15.75" hidden="1" thickBot="1" x14ac:dyDescent="0.3">
      <c r="C342" s="9">
        <f t="shared" si="32"/>
        <v>0</v>
      </c>
      <c r="D342" s="364" t="s">
        <v>86</v>
      </c>
      <c r="E342" s="12" t="s">
        <v>79</v>
      </c>
      <c r="F342" s="683">
        <f t="shared" si="33"/>
        <v>0</v>
      </c>
      <c r="G342" s="683">
        <f t="shared" si="33"/>
        <v>0</v>
      </c>
    </row>
    <row r="343" spans="3:7" ht="15.75" hidden="1" thickBot="1" x14ac:dyDescent="0.3">
      <c r="C343" s="9">
        <f t="shared" si="32"/>
        <v>0</v>
      </c>
      <c r="D343" s="364" t="s">
        <v>386</v>
      </c>
      <c r="E343" s="12" t="s">
        <v>81</v>
      </c>
      <c r="F343" s="683">
        <f t="shared" si="33"/>
        <v>0</v>
      </c>
      <c r="G343" s="683">
        <f t="shared" si="33"/>
        <v>0</v>
      </c>
    </row>
    <row r="344" spans="3:7" ht="15.75" hidden="1" thickBot="1" x14ac:dyDescent="0.3">
      <c r="C344" s="9">
        <f t="shared" si="32"/>
        <v>0</v>
      </c>
      <c r="D344" s="35" t="s">
        <v>22</v>
      </c>
      <c r="E344" s="12" t="s">
        <v>83</v>
      </c>
      <c r="F344" s="685">
        <f>SUBTOTAL(9,F330:F343)</f>
        <v>0</v>
      </c>
      <c r="G344" s="685">
        <f>SUBTOTAL(9,G330:G343)</f>
        <v>0</v>
      </c>
    </row>
    <row r="345" spans="3:7" ht="15.75" hidden="1" thickBot="1" x14ac:dyDescent="0.3"/>
    <row r="346" spans="3:7" ht="30.75" hidden="1" thickBot="1" x14ac:dyDescent="0.3">
      <c r="C346" s="9">
        <f>IF(F363&gt;0,1,0)</f>
        <v>0</v>
      </c>
      <c r="D346" s="20" t="str">
        <f>+A21</f>
        <v>Fulton</v>
      </c>
      <c r="E346" s="19">
        <f>IFERROR(SUMIF(A:A,D346,B:B),0)</f>
        <v>0</v>
      </c>
      <c r="F346" s="652" t="s">
        <v>31</v>
      </c>
      <c r="G346" s="652" t="s">
        <v>32</v>
      </c>
    </row>
    <row r="347" spans="3:7" ht="15.75" hidden="1" thickBot="1" x14ac:dyDescent="0.3">
      <c r="C347" s="9">
        <f>C346</f>
        <v>0</v>
      </c>
      <c r="D347" s="30"/>
      <c r="E347" s="31"/>
      <c r="F347" s="680" t="s">
        <v>54</v>
      </c>
      <c r="G347" s="680" t="s">
        <v>53</v>
      </c>
    </row>
    <row r="348" spans="3:7" ht="15.75" hidden="1" thickBot="1" x14ac:dyDescent="0.3">
      <c r="C348" s="9">
        <f t="shared" ref="C348:C363" si="34">C347</f>
        <v>0</v>
      </c>
      <c r="D348" s="32" t="s">
        <v>71</v>
      </c>
      <c r="E348" s="33"/>
      <c r="F348" s="681"/>
      <c r="G348" s="682"/>
    </row>
    <row r="349" spans="3:7" ht="15.75" hidden="1" thickBot="1" x14ac:dyDescent="0.3">
      <c r="C349" s="9">
        <f t="shared" si="34"/>
        <v>0</v>
      </c>
      <c r="D349" s="364" t="s">
        <v>72</v>
      </c>
      <c r="E349" s="12" t="s">
        <v>57</v>
      </c>
      <c r="F349" s="683">
        <f t="shared" ref="F349:G362" si="35">+$E$346*F6</f>
        <v>0</v>
      </c>
      <c r="G349" s="683">
        <f t="shared" si="35"/>
        <v>0</v>
      </c>
    </row>
    <row r="350" spans="3:7" ht="15.75" hidden="1" thickBot="1" x14ac:dyDescent="0.3">
      <c r="C350" s="9">
        <f t="shared" si="34"/>
        <v>0</v>
      </c>
      <c r="D350" s="364" t="s">
        <v>73</v>
      </c>
      <c r="E350" s="12" t="s">
        <v>56</v>
      </c>
      <c r="F350" s="683">
        <f t="shared" si="35"/>
        <v>0</v>
      </c>
      <c r="G350" s="683">
        <f t="shared" si="35"/>
        <v>0</v>
      </c>
    </row>
    <row r="351" spans="3:7" ht="15.75" hidden="1" thickBot="1" x14ac:dyDescent="0.3">
      <c r="C351" s="9">
        <f t="shared" si="34"/>
        <v>0</v>
      </c>
      <c r="D351" s="364" t="s">
        <v>74</v>
      </c>
      <c r="E351" s="12" t="s">
        <v>55</v>
      </c>
      <c r="F351" s="683">
        <f t="shared" si="35"/>
        <v>0</v>
      </c>
      <c r="G351" s="683">
        <f t="shared" si="35"/>
        <v>0</v>
      </c>
    </row>
    <row r="352" spans="3:7" ht="15.75" hidden="1" thickBot="1" x14ac:dyDescent="0.3">
      <c r="C352" s="9">
        <f t="shared" si="34"/>
        <v>0</v>
      </c>
      <c r="D352" s="364" t="s">
        <v>75</v>
      </c>
      <c r="E352" s="12" t="s">
        <v>54</v>
      </c>
      <c r="F352" s="683">
        <f t="shared" si="35"/>
        <v>0</v>
      </c>
      <c r="G352" s="683">
        <f t="shared" si="35"/>
        <v>0</v>
      </c>
    </row>
    <row r="353" spans="3:7" ht="15.75" hidden="1" thickBot="1" x14ac:dyDescent="0.3">
      <c r="C353" s="9">
        <f t="shared" si="34"/>
        <v>0</v>
      </c>
      <c r="D353" s="34" t="s">
        <v>467</v>
      </c>
      <c r="E353" s="12" t="s">
        <v>53</v>
      </c>
      <c r="F353" s="683">
        <f t="shared" si="35"/>
        <v>0</v>
      </c>
      <c r="G353" s="683">
        <f t="shared" si="35"/>
        <v>0</v>
      </c>
    </row>
    <row r="354" spans="3:7" ht="15.75" hidden="1" thickBot="1" x14ac:dyDescent="0.3">
      <c r="C354" s="9">
        <f t="shared" si="34"/>
        <v>0</v>
      </c>
      <c r="D354" s="34" t="s">
        <v>76</v>
      </c>
      <c r="E354" s="12" t="s">
        <v>52</v>
      </c>
      <c r="F354" s="683">
        <f t="shared" si="35"/>
        <v>0</v>
      </c>
      <c r="G354" s="683">
        <f t="shared" si="35"/>
        <v>0</v>
      </c>
    </row>
    <row r="355" spans="3:7" ht="15.75" hidden="1" thickBot="1" x14ac:dyDescent="0.3">
      <c r="C355" s="9">
        <f t="shared" si="34"/>
        <v>0</v>
      </c>
      <c r="D355" s="34" t="s">
        <v>468</v>
      </c>
      <c r="E355" s="12" t="s">
        <v>51</v>
      </c>
      <c r="F355" s="683">
        <f t="shared" si="35"/>
        <v>0</v>
      </c>
      <c r="G355" s="683">
        <f t="shared" si="35"/>
        <v>0</v>
      </c>
    </row>
    <row r="356" spans="3:7" ht="15.75" hidden="1" thickBot="1" x14ac:dyDescent="0.3">
      <c r="C356" s="9">
        <f t="shared" si="34"/>
        <v>0</v>
      </c>
      <c r="D356" s="364" t="s">
        <v>59</v>
      </c>
      <c r="E356" s="12" t="s">
        <v>50</v>
      </c>
      <c r="F356" s="683">
        <f t="shared" si="35"/>
        <v>0</v>
      </c>
      <c r="G356" s="683">
        <f t="shared" si="35"/>
        <v>0</v>
      </c>
    </row>
    <row r="357" spans="3:7" ht="15.75" hidden="1" thickBot="1" x14ac:dyDescent="0.3">
      <c r="C357" s="9">
        <f t="shared" si="34"/>
        <v>0</v>
      </c>
      <c r="D357" s="364" t="s">
        <v>25</v>
      </c>
      <c r="E357" s="12" t="s">
        <v>49</v>
      </c>
      <c r="F357" s="683">
        <f t="shared" si="35"/>
        <v>0</v>
      </c>
      <c r="G357" s="683">
        <f t="shared" si="35"/>
        <v>0</v>
      </c>
    </row>
    <row r="358" spans="3:7" ht="15.75" hidden="1" thickBot="1" x14ac:dyDescent="0.3">
      <c r="C358" s="9">
        <f t="shared" si="34"/>
        <v>0</v>
      </c>
      <c r="D358" s="364" t="s">
        <v>466</v>
      </c>
      <c r="E358" s="12" t="s">
        <v>47</v>
      </c>
      <c r="F358" s="683">
        <f t="shared" si="35"/>
        <v>0</v>
      </c>
      <c r="G358" s="683">
        <f t="shared" si="35"/>
        <v>0</v>
      </c>
    </row>
    <row r="359" spans="3:7" ht="15.75" hidden="1" thickBot="1" x14ac:dyDescent="0.3">
      <c r="C359" s="9">
        <f t="shared" si="34"/>
        <v>0</v>
      </c>
      <c r="D359" s="364" t="s">
        <v>82</v>
      </c>
      <c r="E359" s="12" t="s">
        <v>77</v>
      </c>
      <c r="F359" s="683">
        <f t="shared" si="35"/>
        <v>0</v>
      </c>
      <c r="G359" s="683">
        <f t="shared" si="35"/>
        <v>0</v>
      </c>
    </row>
    <row r="360" spans="3:7" ht="15.75" hidden="1" thickBot="1" x14ac:dyDescent="0.3">
      <c r="C360" s="9">
        <f t="shared" si="34"/>
        <v>0</v>
      </c>
      <c r="D360" s="364" t="s">
        <v>84</v>
      </c>
      <c r="E360" s="12" t="s">
        <v>78</v>
      </c>
      <c r="F360" s="683">
        <f t="shared" ca="1" si="35"/>
        <v>0</v>
      </c>
      <c r="G360" s="683">
        <f t="shared" si="35"/>
        <v>0</v>
      </c>
    </row>
    <row r="361" spans="3:7" ht="15.75" hidden="1" thickBot="1" x14ac:dyDescent="0.3">
      <c r="C361" s="9">
        <f t="shared" si="34"/>
        <v>0</v>
      </c>
      <c r="D361" s="364" t="s">
        <v>86</v>
      </c>
      <c r="E361" s="12" t="s">
        <v>79</v>
      </c>
      <c r="F361" s="683">
        <f t="shared" si="35"/>
        <v>0</v>
      </c>
      <c r="G361" s="683">
        <f t="shared" si="35"/>
        <v>0</v>
      </c>
    </row>
    <row r="362" spans="3:7" ht="15.75" hidden="1" thickBot="1" x14ac:dyDescent="0.3">
      <c r="C362" s="9">
        <f t="shared" si="34"/>
        <v>0</v>
      </c>
      <c r="D362" s="364" t="s">
        <v>386</v>
      </c>
      <c r="E362" s="12" t="s">
        <v>81</v>
      </c>
      <c r="F362" s="683">
        <f t="shared" si="35"/>
        <v>0</v>
      </c>
      <c r="G362" s="683">
        <f t="shared" si="35"/>
        <v>0</v>
      </c>
    </row>
    <row r="363" spans="3:7" ht="15.75" hidden="1" thickBot="1" x14ac:dyDescent="0.3">
      <c r="C363" s="9">
        <f t="shared" si="34"/>
        <v>0</v>
      </c>
      <c r="D363" s="35" t="s">
        <v>22</v>
      </c>
      <c r="E363" s="12" t="s">
        <v>83</v>
      </c>
      <c r="F363" s="685">
        <f>SUBTOTAL(9,F349:F362)</f>
        <v>0</v>
      </c>
      <c r="G363" s="685">
        <f>SUBTOTAL(9,G349:G362)</f>
        <v>0</v>
      </c>
    </row>
    <row r="364" spans="3:7" ht="15.75" hidden="1" thickBot="1" x14ac:dyDescent="0.3"/>
    <row r="365" spans="3:7" ht="30.75" hidden="1" thickBot="1" x14ac:dyDescent="0.3">
      <c r="C365" s="9">
        <f>IF(F382&gt;0,1,0)</f>
        <v>0</v>
      </c>
      <c r="D365" s="20" t="str">
        <f>+A22</f>
        <v>Genesee</v>
      </c>
      <c r="E365" s="19">
        <f>IFERROR(SUMIF(A:A,D365,B:B),0)</f>
        <v>0</v>
      </c>
      <c r="F365" s="652" t="s">
        <v>31</v>
      </c>
      <c r="G365" s="653" t="s">
        <v>397</v>
      </c>
    </row>
    <row r="366" spans="3:7" ht="15.75" hidden="1" thickBot="1" x14ac:dyDescent="0.3">
      <c r="C366" s="9">
        <f>C365</f>
        <v>0</v>
      </c>
      <c r="D366" s="30"/>
      <c r="E366" s="31"/>
      <c r="F366" s="690" t="s">
        <v>57</v>
      </c>
      <c r="G366" s="690" t="s">
        <v>56</v>
      </c>
    </row>
    <row r="367" spans="3:7" ht="15.75" hidden="1" thickBot="1" x14ac:dyDescent="0.3">
      <c r="C367" s="9">
        <f t="shared" ref="C367:C382" si="36">C366</f>
        <v>0</v>
      </c>
      <c r="D367" s="32" t="s">
        <v>71</v>
      </c>
      <c r="E367" s="33"/>
      <c r="F367" s="681"/>
      <c r="G367" s="682"/>
    </row>
    <row r="368" spans="3:7" ht="15.75" hidden="1" thickBot="1" x14ac:dyDescent="0.3">
      <c r="C368" s="9">
        <f t="shared" si="36"/>
        <v>0</v>
      </c>
      <c r="D368" s="364" t="s">
        <v>72</v>
      </c>
      <c r="E368" s="12" t="s">
        <v>57</v>
      </c>
      <c r="F368" s="683">
        <f t="shared" ref="F368:G381" si="37">+$E$365*F6</f>
        <v>0</v>
      </c>
      <c r="G368" s="683">
        <f t="shared" si="37"/>
        <v>0</v>
      </c>
    </row>
    <row r="369" spans="3:7" ht="15.75" hidden="1" thickBot="1" x14ac:dyDescent="0.3">
      <c r="C369" s="9">
        <f t="shared" si="36"/>
        <v>0</v>
      </c>
      <c r="D369" s="364" t="s">
        <v>73</v>
      </c>
      <c r="E369" s="12" t="s">
        <v>56</v>
      </c>
      <c r="F369" s="683">
        <f t="shared" si="37"/>
        <v>0</v>
      </c>
      <c r="G369" s="683">
        <f t="shared" si="37"/>
        <v>0</v>
      </c>
    </row>
    <row r="370" spans="3:7" ht="15.75" hidden="1" thickBot="1" x14ac:dyDescent="0.3">
      <c r="C370" s="9">
        <f t="shared" si="36"/>
        <v>0</v>
      </c>
      <c r="D370" s="364" t="s">
        <v>74</v>
      </c>
      <c r="E370" s="12" t="s">
        <v>55</v>
      </c>
      <c r="F370" s="683">
        <f t="shared" si="37"/>
        <v>0</v>
      </c>
      <c r="G370" s="683">
        <f t="shared" si="37"/>
        <v>0</v>
      </c>
    </row>
    <row r="371" spans="3:7" ht="15.75" hidden="1" thickBot="1" x14ac:dyDescent="0.3">
      <c r="C371" s="9">
        <f t="shared" si="36"/>
        <v>0</v>
      </c>
      <c r="D371" s="364" t="s">
        <v>75</v>
      </c>
      <c r="E371" s="12" t="s">
        <v>54</v>
      </c>
      <c r="F371" s="683">
        <f t="shared" si="37"/>
        <v>0</v>
      </c>
      <c r="G371" s="683">
        <f t="shared" si="37"/>
        <v>0</v>
      </c>
    </row>
    <row r="372" spans="3:7" ht="15.75" hidden="1" thickBot="1" x14ac:dyDescent="0.3">
      <c r="C372" s="9">
        <f t="shared" si="36"/>
        <v>0</v>
      </c>
      <c r="D372" s="34" t="s">
        <v>467</v>
      </c>
      <c r="E372" s="12" t="s">
        <v>53</v>
      </c>
      <c r="F372" s="683">
        <f t="shared" si="37"/>
        <v>0</v>
      </c>
      <c r="G372" s="683">
        <f t="shared" si="37"/>
        <v>0</v>
      </c>
    </row>
    <row r="373" spans="3:7" ht="15.75" hidden="1" thickBot="1" x14ac:dyDescent="0.3">
      <c r="C373" s="9">
        <f t="shared" si="36"/>
        <v>0</v>
      </c>
      <c r="D373" s="34" t="s">
        <v>76</v>
      </c>
      <c r="E373" s="12" t="s">
        <v>52</v>
      </c>
      <c r="F373" s="683">
        <f t="shared" si="37"/>
        <v>0</v>
      </c>
      <c r="G373" s="683">
        <f t="shared" si="37"/>
        <v>0</v>
      </c>
    </row>
    <row r="374" spans="3:7" ht="15.75" hidden="1" thickBot="1" x14ac:dyDescent="0.3">
      <c r="C374" s="9">
        <f t="shared" si="36"/>
        <v>0</v>
      </c>
      <c r="D374" s="34" t="s">
        <v>468</v>
      </c>
      <c r="E374" s="12" t="s">
        <v>51</v>
      </c>
      <c r="F374" s="683">
        <f t="shared" si="37"/>
        <v>0</v>
      </c>
      <c r="G374" s="683">
        <f t="shared" si="37"/>
        <v>0</v>
      </c>
    </row>
    <row r="375" spans="3:7" ht="15.75" hidden="1" thickBot="1" x14ac:dyDescent="0.3">
      <c r="C375" s="9">
        <f t="shared" si="36"/>
        <v>0</v>
      </c>
      <c r="D375" s="364" t="s">
        <v>59</v>
      </c>
      <c r="E375" s="12" t="s">
        <v>50</v>
      </c>
      <c r="F375" s="683">
        <f t="shared" si="37"/>
        <v>0</v>
      </c>
      <c r="G375" s="683">
        <f t="shared" si="37"/>
        <v>0</v>
      </c>
    </row>
    <row r="376" spans="3:7" ht="15.75" hidden="1" thickBot="1" x14ac:dyDescent="0.3">
      <c r="C376" s="9">
        <f t="shared" si="36"/>
        <v>0</v>
      </c>
      <c r="D376" s="364" t="s">
        <v>25</v>
      </c>
      <c r="E376" s="12" t="s">
        <v>49</v>
      </c>
      <c r="F376" s="683">
        <f t="shared" si="37"/>
        <v>0</v>
      </c>
      <c r="G376" s="683">
        <f t="shared" si="37"/>
        <v>0</v>
      </c>
    </row>
    <row r="377" spans="3:7" ht="15.75" hidden="1" thickBot="1" x14ac:dyDescent="0.3">
      <c r="C377" s="9">
        <f t="shared" si="36"/>
        <v>0</v>
      </c>
      <c r="D377" s="364" t="s">
        <v>466</v>
      </c>
      <c r="E377" s="12" t="s">
        <v>47</v>
      </c>
      <c r="F377" s="683">
        <f t="shared" si="37"/>
        <v>0</v>
      </c>
      <c r="G377" s="683">
        <f t="shared" si="37"/>
        <v>0</v>
      </c>
    </row>
    <row r="378" spans="3:7" ht="15.75" hidden="1" thickBot="1" x14ac:dyDescent="0.3">
      <c r="C378" s="9">
        <f t="shared" si="36"/>
        <v>0</v>
      </c>
      <c r="D378" s="364" t="s">
        <v>82</v>
      </c>
      <c r="E378" s="12" t="s">
        <v>77</v>
      </c>
      <c r="F378" s="683">
        <f t="shared" si="37"/>
        <v>0</v>
      </c>
      <c r="G378" s="683">
        <f t="shared" si="37"/>
        <v>0</v>
      </c>
    </row>
    <row r="379" spans="3:7" ht="15.75" hidden="1" thickBot="1" x14ac:dyDescent="0.3">
      <c r="C379" s="9">
        <f t="shared" si="36"/>
        <v>0</v>
      </c>
      <c r="D379" s="364" t="s">
        <v>84</v>
      </c>
      <c r="E379" s="12" t="s">
        <v>78</v>
      </c>
      <c r="F379" s="683">
        <f t="shared" ca="1" si="37"/>
        <v>0</v>
      </c>
      <c r="G379" s="683">
        <f t="shared" si="37"/>
        <v>0</v>
      </c>
    </row>
    <row r="380" spans="3:7" ht="15.75" hidden="1" thickBot="1" x14ac:dyDescent="0.3">
      <c r="C380" s="9">
        <f t="shared" si="36"/>
        <v>0</v>
      </c>
      <c r="D380" s="364" t="s">
        <v>86</v>
      </c>
      <c r="E380" s="12" t="s">
        <v>79</v>
      </c>
      <c r="F380" s="683">
        <f t="shared" si="37"/>
        <v>0</v>
      </c>
      <c r="G380" s="683">
        <f t="shared" si="37"/>
        <v>0</v>
      </c>
    </row>
    <row r="381" spans="3:7" ht="15.75" hidden="1" thickBot="1" x14ac:dyDescent="0.3">
      <c r="C381" s="9">
        <f t="shared" si="36"/>
        <v>0</v>
      </c>
      <c r="D381" s="364" t="s">
        <v>386</v>
      </c>
      <c r="E381" s="12" t="s">
        <v>81</v>
      </c>
      <c r="F381" s="683">
        <f t="shared" si="37"/>
        <v>0</v>
      </c>
      <c r="G381" s="683">
        <f t="shared" si="37"/>
        <v>0</v>
      </c>
    </row>
    <row r="382" spans="3:7" ht="15.75" hidden="1" thickBot="1" x14ac:dyDescent="0.3">
      <c r="C382" s="9">
        <f t="shared" si="36"/>
        <v>0</v>
      </c>
      <c r="D382" s="35" t="s">
        <v>22</v>
      </c>
      <c r="E382" s="12" t="s">
        <v>83</v>
      </c>
      <c r="F382" s="685">
        <f>SUBTOTAL(9,F368:F381)</f>
        <v>0</v>
      </c>
      <c r="G382" s="685">
        <f>SUBTOTAL(9,G368:G381)</f>
        <v>0</v>
      </c>
    </row>
    <row r="383" spans="3:7" ht="15.75" hidden="1" thickBot="1" x14ac:dyDescent="0.3"/>
    <row r="384" spans="3:7" ht="30.75" hidden="1" thickBot="1" x14ac:dyDescent="0.3">
      <c r="C384" s="9">
        <f>IF(F401&gt;0,1,0)</f>
        <v>0</v>
      </c>
      <c r="D384" s="20" t="str">
        <f>A23</f>
        <v>Greene</v>
      </c>
      <c r="E384" s="19">
        <f>IFERROR(SUMIF(A:A,D384,B:B),0)</f>
        <v>0</v>
      </c>
      <c r="F384" s="652" t="s">
        <v>31</v>
      </c>
      <c r="G384" s="653" t="s">
        <v>397</v>
      </c>
    </row>
    <row r="385" spans="3:7" ht="15.75" hidden="1" thickBot="1" x14ac:dyDescent="0.3">
      <c r="C385" s="9">
        <f>C384</f>
        <v>0</v>
      </c>
      <c r="D385" s="30"/>
      <c r="E385" s="31"/>
      <c r="F385" s="690" t="s">
        <v>57</v>
      </c>
      <c r="G385" s="690" t="s">
        <v>56</v>
      </c>
    </row>
    <row r="386" spans="3:7" ht="15.75" hidden="1" thickBot="1" x14ac:dyDescent="0.3">
      <c r="C386" s="9">
        <f t="shared" ref="C386:C401" si="38">C385</f>
        <v>0</v>
      </c>
      <c r="D386" s="32" t="s">
        <v>71</v>
      </c>
      <c r="E386" s="33"/>
      <c r="F386" s="681"/>
      <c r="G386" s="682"/>
    </row>
    <row r="387" spans="3:7" ht="15.75" hidden="1" thickBot="1" x14ac:dyDescent="0.3">
      <c r="C387" s="9">
        <f t="shared" si="38"/>
        <v>0</v>
      </c>
      <c r="D387" s="364" t="s">
        <v>72</v>
      </c>
      <c r="E387" s="12" t="s">
        <v>57</v>
      </c>
      <c r="F387" s="683">
        <f t="shared" ref="F387:G387" si="39">+$E$365*F25</f>
        <v>0</v>
      </c>
      <c r="G387" s="683">
        <f t="shared" si="39"/>
        <v>0</v>
      </c>
    </row>
    <row r="388" spans="3:7" ht="15.75" hidden="1" thickBot="1" x14ac:dyDescent="0.3">
      <c r="C388" s="9">
        <f t="shared" si="38"/>
        <v>0</v>
      </c>
      <c r="D388" s="364" t="s">
        <v>73</v>
      </c>
      <c r="E388" s="12" t="s">
        <v>56</v>
      </c>
      <c r="F388" s="683">
        <f t="shared" ref="F388:G388" si="40">+$E$365*F26</f>
        <v>0</v>
      </c>
      <c r="G388" s="683">
        <f t="shared" si="40"/>
        <v>0</v>
      </c>
    </row>
    <row r="389" spans="3:7" ht="15.75" hidden="1" thickBot="1" x14ac:dyDescent="0.3">
      <c r="C389" s="9">
        <f t="shared" si="38"/>
        <v>0</v>
      </c>
      <c r="D389" s="364" t="s">
        <v>74</v>
      </c>
      <c r="E389" s="12" t="s">
        <v>55</v>
      </c>
      <c r="F389" s="683">
        <f t="shared" ref="F389:G389" si="41">+$E$365*F27</f>
        <v>0</v>
      </c>
      <c r="G389" s="683">
        <f t="shared" si="41"/>
        <v>0</v>
      </c>
    </row>
    <row r="390" spans="3:7" ht="15.75" hidden="1" thickBot="1" x14ac:dyDescent="0.3">
      <c r="C390" s="9">
        <f t="shared" si="38"/>
        <v>0</v>
      </c>
      <c r="D390" s="364" t="s">
        <v>75</v>
      </c>
      <c r="E390" s="12" t="s">
        <v>54</v>
      </c>
      <c r="F390" s="683">
        <f t="shared" ref="F390:G390" si="42">+$E$365*F28</f>
        <v>0</v>
      </c>
      <c r="G390" s="683">
        <f t="shared" si="42"/>
        <v>0</v>
      </c>
    </row>
    <row r="391" spans="3:7" ht="15.75" hidden="1" thickBot="1" x14ac:dyDescent="0.3">
      <c r="C391" s="9">
        <f t="shared" si="38"/>
        <v>0</v>
      </c>
      <c r="D391" s="34" t="s">
        <v>467</v>
      </c>
      <c r="E391" s="12" t="s">
        <v>53</v>
      </c>
      <c r="F391" s="683">
        <f t="shared" ref="F391:G391" si="43">+$E$365*F29</f>
        <v>0</v>
      </c>
      <c r="G391" s="683">
        <f t="shared" si="43"/>
        <v>0</v>
      </c>
    </row>
    <row r="392" spans="3:7" ht="15.75" hidden="1" thickBot="1" x14ac:dyDescent="0.3">
      <c r="C392" s="9">
        <f t="shared" si="38"/>
        <v>0</v>
      </c>
      <c r="D392" s="34" t="s">
        <v>76</v>
      </c>
      <c r="E392" s="12" t="s">
        <v>52</v>
      </c>
      <c r="F392" s="683">
        <f t="shared" ref="F392:G392" si="44">+$E$365*F30</f>
        <v>0</v>
      </c>
      <c r="G392" s="683">
        <f t="shared" si="44"/>
        <v>0</v>
      </c>
    </row>
    <row r="393" spans="3:7" ht="15.75" hidden="1" thickBot="1" x14ac:dyDescent="0.3">
      <c r="C393" s="9">
        <f t="shared" si="38"/>
        <v>0</v>
      </c>
      <c r="D393" s="34" t="s">
        <v>468</v>
      </c>
      <c r="E393" s="12" t="s">
        <v>51</v>
      </c>
      <c r="F393" s="683">
        <f t="shared" ref="F393:G393" si="45">+$E$365*F31</f>
        <v>0</v>
      </c>
      <c r="G393" s="683">
        <f t="shared" si="45"/>
        <v>0</v>
      </c>
    </row>
    <row r="394" spans="3:7" ht="15.75" hidden="1" thickBot="1" x14ac:dyDescent="0.3">
      <c r="C394" s="9">
        <f t="shared" si="38"/>
        <v>0</v>
      </c>
      <c r="D394" s="364" t="s">
        <v>59</v>
      </c>
      <c r="E394" s="12" t="s">
        <v>50</v>
      </c>
      <c r="F394" s="683">
        <f t="shared" ref="F394:G394" si="46">+$E$365*F32</f>
        <v>0</v>
      </c>
      <c r="G394" s="683">
        <f t="shared" si="46"/>
        <v>0</v>
      </c>
    </row>
    <row r="395" spans="3:7" ht="15.75" hidden="1" thickBot="1" x14ac:dyDescent="0.3">
      <c r="C395" s="9">
        <f t="shared" si="38"/>
        <v>0</v>
      </c>
      <c r="D395" s="364" t="s">
        <v>25</v>
      </c>
      <c r="E395" s="12" t="s">
        <v>49</v>
      </c>
      <c r="F395" s="683">
        <f t="shared" ref="F395:G395" si="47">+$E$365*F33</f>
        <v>0</v>
      </c>
      <c r="G395" s="683">
        <f t="shared" si="47"/>
        <v>0</v>
      </c>
    </row>
    <row r="396" spans="3:7" ht="15.75" hidden="1" thickBot="1" x14ac:dyDescent="0.3">
      <c r="C396" s="9">
        <f t="shared" si="38"/>
        <v>0</v>
      </c>
      <c r="D396" s="364" t="s">
        <v>466</v>
      </c>
      <c r="E396" s="12" t="s">
        <v>47</v>
      </c>
      <c r="F396" s="683">
        <f t="shared" ref="F396:G396" si="48">+$E$365*F34</f>
        <v>0</v>
      </c>
      <c r="G396" s="683">
        <f t="shared" si="48"/>
        <v>0</v>
      </c>
    </row>
    <row r="397" spans="3:7" ht="15.75" hidden="1" thickBot="1" x14ac:dyDescent="0.3">
      <c r="C397" s="9">
        <f t="shared" si="38"/>
        <v>0</v>
      </c>
      <c r="D397" s="364" t="s">
        <v>82</v>
      </c>
      <c r="E397" s="12" t="s">
        <v>77</v>
      </c>
      <c r="F397" s="683">
        <f t="shared" ref="F397:G397" si="49">+$E$365*F35</f>
        <v>0</v>
      </c>
      <c r="G397" s="683">
        <f t="shared" si="49"/>
        <v>0</v>
      </c>
    </row>
    <row r="398" spans="3:7" ht="15.75" hidden="1" thickBot="1" x14ac:dyDescent="0.3">
      <c r="C398" s="9">
        <f t="shared" si="38"/>
        <v>0</v>
      </c>
      <c r="D398" s="364" t="s">
        <v>84</v>
      </c>
      <c r="E398" s="12" t="s">
        <v>78</v>
      </c>
      <c r="F398" s="683">
        <f t="shared" ref="F398:G398" si="50">+$E$365*F36</f>
        <v>0</v>
      </c>
      <c r="G398" s="683">
        <f t="shared" si="50"/>
        <v>0</v>
      </c>
    </row>
    <row r="399" spans="3:7" ht="15.75" hidden="1" thickBot="1" x14ac:dyDescent="0.3">
      <c r="C399" s="9">
        <f t="shared" si="38"/>
        <v>0</v>
      </c>
      <c r="D399" s="364" t="s">
        <v>86</v>
      </c>
      <c r="E399" s="12" t="s">
        <v>79</v>
      </c>
      <c r="F399" s="683">
        <f t="shared" ref="F399:G399" ca="1" si="51">+$E$365*F37</f>
        <v>0</v>
      </c>
      <c r="G399" s="683">
        <f t="shared" si="51"/>
        <v>0</v>
      </c>
    </row>
    <row r="400" spans="3:7" ht="15.75" hidden="1" thickBot="1" x14ac:dyDescent="0.3">
      <c r="C400" s="9">
        <f t="shared" si="38"/>
        <v>0</v>
      </c>
      <c r="D400" s="364" t="s">
        <v>386</v>
      </c>
      <c r="E400" s="12" t="s">
        <v>81</v>
      </c>
      <c r="F400" s="683">
        <f t="shared" ref="F400:G400" si="52">+$E$365*F38</f>
        <v>0</v>
      </c>
      <c r="G400" s="683">
        <f t="shared" si="52"/>
        <v>0</v>
      </c>
    </row>
    <row r="401" spans="3:7" ht="15.75" hidden="1" thickBot="1" x14ac:dyDescent="0.3">
      <c r="C401" s="9">
        <f t="shared" si="38"/>
        <v>0</v>
      </c>
      <c r="D401" s="35" t="s">
        <v>22</v>
      </c>
      <c r="E401" s="12" t="s">
        <v>83</v>
      </c>
      <c r="F401" s="685">
        <f>SUBTOTAL(9,F387:F400)</f>
        <v>0</v>
      </c>
      <c r="G401" s="685">
        <f>SUBTOTAL(9,G387:G400)</f>
        <v>0</v>
      </c>
    </row>
    <row r="402" spans="3:7" ht="15.75" hidden="1" thickBot="1" x14ac:dyDescent="0.3"/>
    <row r="403" spans="3:7" ht="30.75" hidden="1" thickBot="1" x14ac:dyDescent="0.3">
      <c r="C403" s="9">
        <f>IF(F420&gt;0,1,0)</f>
        <v>0</v>
      </c>
      <c r="D403" s="20" t="str">
        <f>A24</f>
        <v>Hamilton</v>
      </c>
      <c r="E403" s="19">
        <f>IFERROR(SUMIF(A:A,D403,B:B),0)</f>
        <v>0</v>
      </c>
      <c r="F403" s="652" t="s">
        <v>31</v>
      </c>
      <c r="G403" s="652" t="s">
        <v>32</v>
      </c>
    </row>
    <row r="404" spans="3:7" ht="15.75" hidden="1" thickBot="1" x14ac:dyDescent="0.3">
      <c r="C404" s="9">
        <f>C403</f>
        <v>0</v>
      </c>
      <c r="D404" s="30"/>
      <c r="E404" s="31"/>
      <c r="F404" s="680" t="s">
        <v>54</v>
      </c>
      <c r="G404" s="680" t="s">
        <v>53</v>
      </c>
    </row>
    <row r="405" spans="3:7" ht="15.75" hidden="1" thickBot="1" x14ac:dyDescent="0.3">
      <c r="C405" s="9">
        <f t="shared" ref="C405:C420" si="53">C404</f>
        <v>0</v>
      </c>
      <c r="D405" s="32" t="s">
        <v>71</v>
      </c>
      <c r="E405" s="33"/>
      <c r="F405" s="681"/>
      <c r="G405" s="682"/>
    </row>
    <row r="406" spans="3:7" ht="15.75" hidden="1" thickBot="1" x14ac:dyDescent="0.3">
      <c r="C406" s="9">
        <f t="shared" si="53"/>
        <v>0</v>
      </c>
      <c r="D406" s="364" t="s">
        <v>72</v>
      </c>
      <c r="E406" s="12" t="s">
        <v>57</v>
      </c>
      <c r="F406" s="683">
        <f t="shared" ref="F406:G406" si="54">+$E403*F$6</f>
        <v>0</v>
      </c>
      <c r="G406" s="683">
        <f t="shared" si="54"/>
        <v>0</v>
      </c>
    </row>
    <row r="407" spans="3:7" ht="15.75" hidden="1" thickBot="1" x14ac:dyDescent="0.3">
      <c r="C407" s="9">
        <f t="shared" si="53"/>
        <v>0</v>
      </c>
      <c r="D407" s="364" t="s">
        <v>73</v>
      </c>
      <c r="E407" s="12" t="s">
        <v>56</v>
      </c>
      <c r="F407" s="683">
        <f t="shared" ref="F407:G407" si="55">+$E403*F$7</f>
        <v>0</v>
      </c>
      <c r="G407" s="683">
        <f t="shared" si="55"/>
        <v>0</v>
      </c>
    </row>
    <row r="408" spans="3:7" ht="15.75" hidden="1" thickBot="1" x14ac:dyDescent="0.3">
      <c r="C408" s="9">
        <f t="shared" si="53"/>
        <v>0</v>
      </c>
      <c r="D408" s="364" t="s">
        <v>74</v>
      </c>
      <c r="E408" s="12" t="s">
        <v>55</v>
      </c>
      <c r="F408" s="683">
        <f t="shared" ref="F408:G408" si="56">+$E403*F$8</f>
        <v>0</v>
      </c>
      <c r="G408" s="683">
        <f t="shared" si="56"/>
        <v>0</v>
      </c>
    </row>
    <row r="409" spans="3:7" ht="15.75" hidden="1" thickBot="1" x14ac:dyDescent="0.3">
      <c r="C409" s="9">
        <f t="shared" si="53"/>
        <v>0</v>
      </c>
      <c r="D409" s="364" t="s">
        <v>75</v>
      </c>
      <c r="E409" s="12" t="s">
        <v>54</v>
      </c>
      <c r="F409" s="683">
        <f t="shared" ref="F409:G409" si="57">+$E403*F$9</f>
        <v>0</v>
      </c>
      <c r="G409" s="683">
        <f t="shared" si="57"/>
        <v>0</v>
      </c>
    </row>
    <row r="410" spans="3:7" ht="15.75" hidden="1" thickBot="1" x14ac:dyDescent="0.3">
      <c r="C410" s="9">
        <f t="shared" si="53"/>
        <v>0</v>
      </c>
      <c r="D410" s="34" t="s">
        <v>467</v>
      </c>
      <c r="E410" s="12" t="s">
        <v>53</v>
      </c>
      <c r="F410" s="683">
        <f t="shared" ref="F410:G410" si="58">+$E403*F$10</f>
        <v>0</v>
      </c>
      <c r="G410" s="683">
        <f t="shared" si="58"/>
        <v>0</v>
      </c>
    </row>
    <row r="411" spans="3:7" ht="15.75" hidden="1" thickBot="1" x14ac:dyDescent="0.3">
      <c r="C411" s="9">
        <f t="shared" si="53"/>
        <v>0</v>
      </c>
      <c r="D411" s="34" t="s">
        <v>76</v>
      </c>
      <c r="E411" s="12" t="s">
        <v>52</v>
      </c>
      <c r="F411" s="683">
        <f>+$E403*F$11</f>
        <v>0</v>
      </c>
      <c r="G411" s="683">
        <f>+$E403*G$11</f>
        <v>0</v>
      </c>
    </row>
    <row r="412" spans="3:7" ht="15.75" hidden="1" thickBot="1" x14ac:dyDescent="0.3">
      <c r="C412" s="9">
        <f t="shared" si="53"/>
        <v>0</v>
      </c>
      <c r="D412" s="34" t="s">
        <v>468</v>
      </c>
      <c r="E412" s="12" t="s">
        <v>51</v>
      </c>
      <c r="F412" s="683">
        <f>+$E403*F$12</f>
        <v>0</v>
      </c>
      <c r="G412" s="683">
        <f>+$E403*G$12</f>
        <v>0</v>
      </c>
    </row>
    <row r="413" spans="3:7" ht="15.75" hidden="1" thickBot="1" x14ac:dyDescent="0.3">
      <c r="C413" s="9">
        <f t="shared" si="53"/>
        <v>0</v>
      </c>
      <c r="D413" s="364" t="s">
        <v>59</v>
      </c>
      <c r="E413" s="12" t="s">
        <v>50</v>
      </c>
      <c r="F413" s="683">
        <f>+$E403*F$13</f>
        <v>0</v>
      </c>
      <c r="G413" s="683">
        <f>+$E403*G$13</f>
        <v>0</v>
      </c>
    </row>
    <row r="414" spans="3:7" ht="15.75" hidden="1" thickBot="1" x14ac:dyDescent="0.3">
      <c r="C414" s="9">
        <f t="shared" si="53"/>
        <v>0</v>
      </c>
      <c r="D414" s="364" t="s">
        <v>25</v>
      </c>
      <c r="E414" s="12" t="s">
        <v>49</v>
      </c>
      <c r="F414" s="683">
        <f>+$E403*F$14</f>
        <v>0</v>
      </c>
      <c r="G414" s="683">
        <f>+$E403*G$14</f>
        <v>0</v>
      </c>
    </row>
    <row r="415" spans="3:7" ht="15.75" hidden="1" thickBot="1" x14ac:dyDescent="0.3">
      <c r="C415" s="9">
        <f t="shared" si="53"/>
        <v>0</v>
      </c>
      <c r="D415" s="364" t="s">
        <v>466</v>
      </c>
      <c r="E415" s="12" t="s">
        <v>47</v>
      </c>
      <c r="F415" s="683">
        <f>+$E403*F$15</f>
        <v>0</v>
      </c>
      <c r="G415" s="683">
        <f>+$E403*G$15</f>
        <v>0</v>
      </c>
    </row>
    <row r="416" spans="3:7" ht="15.75" hidden="1" thickBot="1" x14ac:dyDescent="0.3">
      <c r="C416" s="9">
        <f t="shared" si="53"/>
        <v>0</v>
      </c>
      <c r="D416" s="364" t="s">
        <v>82</v>
      </c>
      <c r="E416" s="12" t="s">
        <v>77</v>
      </c>
      <c r="F416" s="683">
        <f>+$E403*F$16</f>
        <v>0</v>
      </c>
      <c r="G416" s="683">
        <f>+$E403*G$16</f>
        <v>0</v>
      </c>
    </row>
    <row r="417" spans="3:7" ht="15.75" hidden="1" thickBot="1" x14ac:dyDescent="0.3">
      <c r="C417" s="9">
        <f t="shared" si="53"/>
        <v>0</v>
      </c>
      <c r="D417" s="364" t="s">
        <v>84</v>
      </c>
      <c r="E417" s="12" t="s">
        <v>78</v>
      </c>
      <c r="F417" s="683">
        <f ca="1">+$E403*F$17</f>
        <v>0</v>
      </c>
      <c r="G417" s="683">
        <f>+$E403*G$17</f>
        <v>0</v>
      </c>
    </row>
    <row r="418" spans="3:7" ht="15.75" hidden="1" thickBot="1" x14ac:dyDescent="0.3">
      <c r="C418" s="9">
        <f t="shared" si="53"/>
        <v>0</v>
      </c>
      <c r="D418" s="364" t="s">
        <v>86</v>
      </c>
      <c r="E418" s="12" t="s">
        <v>79</v>
      </c>
      <c r="F418" s="683">
        <f>+$E403*F$18</f>
        <v>0</v>
      </c>
      <c r="G418" s="683">
        <f>+$E403*G$18</f>
        <v>0</v>
      </c>
    </row>
    <row r="419" spans="3:7" ht="15.75" hidden="1" thickBot="1" x14ac:dyDescent="0.3">
      <c r="C419" s="9">
        <f t="shared" si="53"/>
        <v>0</v>
      </c>
      <c r="D419" s="364" t="s">
        <v>386</v>
      </c>
      <c r="E419" s="12" t="s">
        <v>81</v>
      </c>
      <c r="F419" s="683">
        <f>+$E403*F19</f>
        <v>0</v>
      </c>
      <c r="G419" s="683">
        <f>+$E403*G19</f>
        <v>0</v>
      </c>
    </row>
    <row r="420" spans="3:7" ht="15.75" hidden="1" thickBot="1" x14ac:dyDescent="0.3">
      <c r="C420" s="9">
        <f t="shared" si="53"/>
        <v>0</v>
      </c>
      <c r="D420" s="35" t="s">
        <v>22</v>
      </c>
      <c r="E420" s="12" t="s">
        <v>83</v>
      </c>
      <c r="F420" s="685">
        <f>SUBTOTAL(9,F406:F419)</f>
        <v>0</v>
      </c>
      <c r="G420" s="685">
        <f>SUBTOTAL(9,G406:G419)</f>
        <v>0</v>
      </c>
    </row>
    <row r="421" spans="3:7" ht="15.75" hidden="1" thickBot="1" x14ac:dyDescent="0.3">
      <c r="D421" s="326"/>
      <c r="E421" s="327"/>
      <c r="F421" s="686"/>
      <c r="G421" s="686"/>
    </row>
    <row r="422" spans="3:7" ht="15.75" hidden="1" thickBot="1" x14ac:dyDescent="0.3">
      <c r="D422" s="326"/>
      <c r="E422" s="327"/>
      <c r="F422" s="686"/>
      <c r="G422" s="686"/>
    </row>
    <row r="423" spans="3:7" ht="30.75" hidden="1" thickBot="1" x14ac:dyDescent="0.3">
      <c r="C423" s="9">
        <f>IF(F440&gt;0,1,0)</f>
        <v>0</v>
      </c>
      <c r="D423" s="20" t="str">
        <f>+A25</f>
        <v>Herkimer</v>
      </c>
      <c r="E423" s="19">
        <f>IFERROR(SUMIF(A:A,D423,B:B),0)</f>
        <v>0</v>
      </c>
      <c r="F423" s="652" t="s">
        <v>31</v>
      </c>
      <c r="G423" s="652" t="s">
        <v>32</v>
      </c>
    </row>
    <row r="424" spans="3:7" ht="15.75" hidden="1" thickBot="1" x14ac:dyDescent="0.3">
      <c r="C424" s="9">
        <f>C423</f>
        <v>0</v>
      </c>
      <c r="D424" s="30"/>
      <c r="E424" s="31"/>
      <c r="F424" s="680" t="s">
        <v>54</v>
      </c>
      <c r="G424" s="680" t="s">
        <v>53</v>
      </c>
    </row>
    <row r="425" spans="3:7" ht="15.75" hidden="1" thickBot="1" x14ac:dyDescent="0.3">
      <c r="C425" s="9">
        <f t="shared" ref="C425:C440" si="59">C424</f>
        <v>0</v>
      </c>
      <c r="D425" s="32" t="s">
        <v>71</v>
      </c>
      <c r="E425" s="33"/>
      <c r="F425" s="681"/>
      <c r="G425" s="682"/>
    </row>
    <row r="426" spans="3:7" ht="15.75" hidden="1" thickBot="1" x14ac:dyDescent="0.3">
      <c r="C426" s="9">
        <f t="shared" si="59"/>
        <v>0</v>
      </c>
      <c r="D426" s="364" t="s">
        <v>72</v>
      </c>
      <c r="E426" s="12" t="s">
        <v>57</v>
      </c>
      <c r="F426" s="683">
        <f t="shared" ref="F426:G426" si="60">+$E423*F$6</f>
        <v>0</v>
      </c>
      <c r="G426" s="683">
        <f t="shared" si="60"/>
        <v>0</v>
      </c>
    </row>
    <row r="427" spans="3:7" ht="15.75" hidden="1" thickBot="1" x14ac:dyDescent="0.3">
      <c r="C427" s="9">
        <f t="shared" si="59"/>
        <v>0</v>
      </c>
      <c r="D427" s="364" t="s">
        <v>73</v>
      </c>
      <c r="E427" s="12" t="s">
        <v>56</v>
      </c>
      <c r="F427" s="683">
        <f t="shared" ref="F427:G427" si="61">+$E423*F$7</f>
        <v>0</v>
      </c>
      <c r="G427" s="683">
        <f t="shared" si="61"/>
        <v>0</v>
      </c>
    </row>
    <row r="428" spans="3:7" ht="15.75" hidden="1" thickBot="1" x14ac:dyDescent="0.3">
      <c r="C428" s="9">
        <f t="shared" si="59"/>
        <v>0</v>
      </c>
      <c r="D428" s="364" t="s">
        <v>74</v>
      </c>
      <c r="E428" s="12" t="s">
        <v>55</v>
      </c>
      <c r="F428" s="683">
        <f t="shared" ref="F428:G428" si="62">+$E423*F$8</f>
        <v>0</v>
      </c>
      <c r="G428" s="683">
        <f t="shared" si="62"/>
        <v>0</v>
      </c>
    </row>
    <row r="429" spans="3:7" ht="15.75" hidden="1" thickBot="1" x14ac:dyDescent="0.3">
      <c r="C429" s="9">
        <f t="shared" si="59"/>
        <v>0</v>
      </c>
      <c r="D429" s="364" t="s">
        <v>75</v>
      </c>
      <c r="E429" s="12" t="s">
        <v>54</v>
      </c>
      <c r="F429" s="683">
        <f t="shared" ref="F429:G429" si="63">+$E423*F$9</f>
        <v>0</v>
      </c>
      <c r="G429" s="683">
        <f t="shared" si="63"/>
        <v>0</v>
      </c>
    </row>
    <row r="430" spans="3:7" ht="15.75" hidden="1" thickBot="1" x14ac:dyDescent="0.3">
      <c r="C430" s="9">
        <f t="shared" si="59"/>
        <v>0</v>
      </c>
      <c r="D430" s="34" t="s">
        <v>467</v>
      </c>
      <c r="E430" s="12" t="s">
        <v>53</v>
      </c>
      <c r="F430" s="683">
        <f t="shared" ref="F430:G430" si="64">+$E423*F$10</f>
        <v>0</v>
      </c>
      <c r="G430" s="683">
        <f t="shared" si="64"/>
        <v>0</v>
      </c>
    </row>
    <row r="431" spans="3:7" ht="15.75" hidden="1" thickBot="1" x14ac:dyDescent="0.3">
      <c r="C431" s="9">
        <f t="shared" si="59"/>
        <v>0</v>
      </c>
      <c r="D431" s="34" t="s">
        <v>76</v>
      </c>
      <c r="E431" s="12" t="s">
        <v>52</v>
      </c>
      <c r="F431" s="683">
        <f>+$E423*F$11</f>
        <v>0</v>
      </c>
      <c r="G431" s="683">
        <f>+$E423*G$11</f>
        <v>0</v>
      </c>
    </row>
    <row r="432" spans="3:7" ht="15.75" hidden="1" thickBot="1" x14ac:dyDescent="0.3">
      <c r="C432" s="9">
        <f t="shared" si="59"/>
        <v>0</v>
      </c>
      <c r="D432" s="34" t="s">
        <v>468</v>
      </c>
      <c r="E432" s="12" t="s">
        <v>51</v>
      </c>
      <c r="F432" s="683">
        <f>+$E423*F$12</f>
        <v>0</v>
      </c>
      <c r="G432" s="683">
        <f>+$E423*G$12</f>
        <v>0</v>
      </c>
    </row>
    <row r="433" spans="3:7" ht="15.75" hidden="1" thickBot="1" x14ac:dyDescent="0.3">
      <c r="C433" s="9">
        <f t="shared" si="59"/>
        <v>0</v>
      </c>
      <c r="D433" s="364" t="s">
        <v>59</v>
      </c>
      <c r="E433" s="12" t="s">
        <v>50</v>
      </c>
      <c r="F433" s="683">
        <f>+$E423*F$13</f>
        <v>0</v>
      </c>
      <c r="G433" s="683">
        <f>+$E423*G$13</f>
        <v>0</v>
      </c>
    </row>
    <row r="434" spans="3:7" ht="15.75" hidden="1" thickBot="1" x14ac:dyDescent="0.3">
      <c r="C434" s="9">
        <f t="shared" si="59"/>
        <v>0</v>
      </c>
      <c r="D434" s="364" t="s">
        <v>25</v>
      </c>
      <c r="E434" s="12" t="s">
        <v>49</v>
      </c>
      <c r="F434" s="683">
        <f>+$E423*F$14</f>
        <v>0</v>
      </c>
      <c r="G434" s="683">
        <f>+$E423*G$14</f>
        <v>0</v>
      </c>
    </row>
    <row r="435" spans="3:7" ht="15.75" hidden="1" thickBot="1" x14ac:dyDescent="0.3">
      <c r="C435" s="9">
        <f t="shared" si="59"/>
        <v>0</v>
      </c>
      <c r="D435" s="364" t="s">
        <v>466</v>
      </c>
      <c r="E435" s="12" t="s">
        <v>47</v>
      </c>
      <c r="F435" s="683">
        <f>+$E423*F$15</f>
        <v>0</v>
      </c>
      <c r="G435" s="683">
        <f>+$E423*G$15</f>
        <v>0</v>
      </c>
    </row>
    <row r="436" spans="3:7" ht="15.75" hidden="1" thickBot="1" x14ac:dyDescent="0.3">
      <c r="C436" s="9">
        <f t="shared" si="59"/>
        <v>0</v>
      </c>
      <c r="D436" s="364" t="s">
        <v>82</v>
      </c>
      <c r="E436" s="12" t="s">
        <v>77</v>
      </c>
      <c r="F436" s="683">
        <f>+$E423*F$16</f>
        <v>0</v>
      </c>
      <c r="G436" s="683">
        <f>+$E423*G$16</f>
        <v>0</v>
      </c>
    </row>
    <row r="437" spans="3:7" ht="15.75" hidden="1" thickBot="1" x14ac:dyDescent="0.3">
      <c r="C437" s="9">
        <f t="shared" si="59"/>
        <v>0</v>
      </c>
      <c r="D437" s="364" t="s">
        <v>84</v>
      </c>
      <c r="E437" s="12" t="s">
        <v>78</v>
      </c>
      <c r="F437" s="683">
        <f ca="1">+$E423*F$17</f>
        <v>0</v>
      </c>
      <c r="G437" s="683">
        <f>+$E423*G$17</f>
        <v>0</v>
      </c>
    </row>
    <row r="438" spans="3:7" ht="15.75" hidden="1" thickBot="1" x14ac:dyDescent="0.3">
      <c r="C438" s="9">
        <f t="shared" si="59"/>
        <v>0</v>
      </c>
      <c r="D438" s="364" t="s">
        <v>86</v>
      </c>
      <c r="E438" s="12" t="s">
        <v>79</v>
      </c>
      <c r="F438" s="683">
        <f>+$E423*F$18</f>
        <v>0</v>
      </c>
      <c r="G438" s="683">
        <f>+$E423*G$18</f>
        <v>0</v>
      </c>
    </row>
    <row r="439" spans="3:7" ht="15.75" hidden="1" thickBot="1" x14ac:dyDescent="0.3">
      <c r="C439" s="9">
        <f t="shared" si="59"/>
        <v>0</v>
      </c>
      <c r="D439" s="364" t="s">
        <v>386</v>
      </c>
      <c r="E439" s="12" t="s">
        <v>81</v>
      </c>
      <c r="F439" s="683">
        <f>+$E423*F19</f>
        <v>0</v>
      </c>
      <c r="G439" s="683">
        <f>+$E423*G19</f>
        <v>0</v>
      </c>
    </row>
    <row r="440" spans="3:7" ht="15.75" hidden="1" thickBot="1" x14ac:dyDescent="0.3">
      <c r="C440" s="9">
        <f t="shared" si="59"/>
        <v>0</v>
      </c>
      <c r="D440" s="35" t="s">
        <v>22</v>
      </c>
      <c r="E440" s="12" t="s">
        <v>83</v>
      </c>
      <c r="F440" s="685">
        <f>SUBTOTAL(9,F426:F439)</f>
        <v>0</v>
      </c>
      <c r="G440" s="685">
        <f>SUBTOTAL(9,G426:G439)</f>
        <v>0</v>
      </c>
    </row>
    <row r="441" spans="3:7" ht="15.75" hidden="1" thickBot="1" x14ac:dyDescent="0.3">
      <c r="D441" s="326"/>
      <c r="E441" s="327"/>
      <c r="F441" s="686"/>
      <c r="G441" s="686"/>
    </row>
    <row r="442" spans="3:7" ht="30.75" hidden="1" thickBot="1" x14ac:dyDescent="0.3">
      <c r="C442" s="9">
        <f>IF(F459&gt;0,1,0)</f>
        <v>0</v>
      </c>
      <c r="D442" s="20" t="str">
        <f>+A26</f>
        <v>Jefferson</v>
      </c>
      <c r="E442" s="19">
        <f>IFERROR(SUMIF(A:A,D442,B:B),0)</f>
        <v>0</v>
      </c>
      <c r="F442" s="652" t="s">
        <v>31</v>
      </c>
      <c r="G442" s="652" t="s">
        <v>32</v>
      </c>
    </row>
    <row r="443" spans="3:7" ht="15.75" hidden="1" thickBot="1" x14ac:dyDescent="0.3">
      <c r="C443" s="9">
        <f>C442</f>
        <v>0</v>
      </c>
      <c r="D443" s="30"/>
      <c r="E443" s="31"/>
      <c r="F443" s="680" t="s">
        <v>54</v>
      </c>
      <c r="G443" s="680" t="s">
        <v>53</v>
      </c>
    </row>
    <row r="444" spans="3:7" ht="15.75" hidden="1" thickBot="1" x14ac:dyDescent="0.3">
      <c r="C444" s="9">
        <f t="shared" ref="C444:C459" si="65">C443</f>
        <v>0</v>
      </c>
      <c r="D444" s="32" t="s">
        <v>71</v>
      </c>
      <c r="E444" s="33"/>
      <c r="F444" s="681"/>
      <c r="G444" s="682"/>
    </row>
    <row r="445" spans="3:7" ht="15.75" hidden="1" thickBot="1" x14ac:dyDescent="0.3">
      <c r="C445" s="9">
        <f t="shared" si="65"/>
        <v>0</v>
      </c>
      <c r="D445" s="364" t="s">
        <v>72</v>
      </c>
      <c r="E445" s="12" t="s">
        <v>57</v>
      </c>
      <c r="F445" s="683">
        <f t="shared" ref="F445:G445" si="66">+$E442*F$6</f>
        <v>0</v>
      </c>
      <c r="G445" s="683">
        <f t="shared" si="66"/>
        <v>0</v>
      </c>
    </row>
    <row r="446" spans="3:7" ht="15.75" hidden="1" thickBot="1" x14ac:dyDescent="0.3">
      <c r="C446" s="9">
        <f t="shared" si="65"/>
        <v>0</v>
      </c>
      <c r="D446" s="364" t="s">
        <v>73</v>
      </c>
      <c r="E446" s="12" t="s">
        <v>56</v>
      </c>
      <c r="F446" s="683">
        <f t="shared" ref="F446:G446" si="67">+$E442*F$7</f>
        <v>0</v>
      </c>
      <c r="G446" s="683">
        <f t="shared" si="67"/>
        <v>0</v>
      </c>
    </row>
    <row r="447" spans="3:7" ht="15.75" hidden="1" thickBot="1" x14ac:dyDescent="0.3">
      <c r="C447" s="9">
        <f t="shared" si="65"/>
        <v>0</v>
      </c>
      <c r="D447" s="364" t="s">
        <v>74</v>
      </c>
      <c r="E447" s="12" t="s">
        <v>55</v>
      </c>
      <c r="F447" s="683">
        <f t="shared" ref="F447:G447" si="68">+$E442*F$8</f>
        <v>0</v>
      </c>
      <c r="G447" s="683">
        <f t="shared" si="68"/>
        <v>0</v>
      </c>
    </row>
    <row r="448" spans="3:7" ht="15.75" hidden="1" thickBot="1" x14ac:dyDescent="0.3">
      <c r="C448" s="9">
        <f t="shared" si="65"/>
        <v>0</v>
      </c>
      <c r="D448" s="364" t="s">
        <v>75</v>
      </c>
      <c r="E448" s="12" t="s">
        <v>54</v>
      </c>
      <c r="F448" s="683">
        <f t="shared" ref="F448:G448" si="69">+$E442*F$9</f>
        <v>0</v>
      </c>
      <c r="G448" s="683">
        <f t="shared" si="69"/>
        <v>0</v>
      </c>
    </row>
    <row r="449" spans="3:7" ht="15.75" hidden="1" thickBot="1" x14ac:dyDescent="0.3">
      <c r="C449" s="9">
        <f t="shared" si="65"/>
        <v>0</v>
      </c>
      <c r="D449" s="34" t="s">
        <v>467</v>
      </c>
      <c r="E449" s="12" t="s">
        <v>53</v>
      </c>
      <c r="F449" s="683">
        <f t="shared" ref="F449:G449" si="70">+$E442*F$10</f>
        <v>0</v>
      </c>
      <c r="G449" s="683">
        <f t="shared" si="70"/>
        <v>0</v>
      </c>
    </row>
    <row r="450" spans="3:7" ht="15.75" hidden="1" thickBot="1" x14ac:dyDescent="0.3">
      <c r="C450" s="9">
        <f t="shared" si="65"/>
        <v>0</v>
      </c>
      <c r="D450" s="34" t="s">
        <v>76</v>
      </c>
      <c r="E450" s="12" t="s">
        <v>52</v>
      </c>
      <c r="F450" s="683">
        <f>+$E442*F$11</f>
        <v>0</v>
      </c>
      <c r="G450" s="683">
        <f>+$E442*G$11</f>
        <v>0</v>
      </c>
    </row>
    <row r="451" spans="3:7" ht="15.75" hidden="1" thickBot="1" x14ac:dyDescent="0.3">
      <c r="C451" s="9">
        <f t="shared" si="65"/>
        <v>0</v>
      </c>
      <c r="D451" s="34" t="s">
        <v>468</v>
      </c>
      <c r="E451" s="12" t="s">
        <v>51</v>
      </c>
      <c r="F451" s="683">
        <f>+$E442*F$12</f>
        <v>0</v>
      </c>
      <c r="G451" s="683">
        <f>+$E442*G$12</f>
        <v>0</v>
      </c>
    </row>
    <row r="452" spans="3:7" ht="15.75" hidden="1" thickBot="1" x14ac:dyDescent="0.3">
      <c r="C452" s="9">
        <f t="shared" si="65"/>
        <v>0</v>
      </c>
      <c r="D452" s="364" t="s">
        <v>59</v>
      </c>
      <c r="E452" s="12" t="s">
        <v>50</v>
      </c>
      <c r="F452" s="683">
        <f>+$E442*F$13</f>
        <v>0</v>
      </c>
      <c r="G452" s="683">
        <f>+$E442*G$13</f>
        <v>0</v>
      </c>
    </row>
    <row r="453" spans="3:7" ht="15.75" hidden="1" thickBot="1" x14ac:dyDescent="0.3">
      <c r="C453" s="9">
        <f t="shared" si="65"/>
        <v>0</v>
      </c>
      <c r="D453" s="364" t="s">
        <v>25</v>
      </c>
      <c r="E453" s="12" t="s">
        <v>49</v>
      </c>
      <c r="F453" s="683">
        <f>+$E442*F$14</f>
        <v>0</v>
      </c>
      <c r="G453" s="683">
        <f>+$E442*G$14</f>
        <v>0</v>
      </c>
    </row>
    <row r="454" spans="3:7" ht="15.75" hidden="1" thickBot="1" x14ac:dyDescent="0.3">
      <c r="C454" s="9">
        <f t="shared" si="65"/>
        <v>0</v>
      </c>
      <c r="D454" s="364" t="s">
        <v>466</v>
      </c>
      <c r="E454" s="12" t="s">
        <v>47</v>
      </c>
      <c r="F454" s="683">
        <f>+$E442*F$15</f>
        <v>0</v>
      </c>
      <c r="G454" s="683">
        <f>+$E442*G$15</f>
        <v>0</v>
      </c>
    </row>
    <row r="455" spans="3:7" ht="15.75" hidden="1" thickBot="1" x14ac:dyDescent="0.3">
      <c r="C455" s="9">
        <f t="shared" si="65"/>
        <v>0</v>
      </c>
      <c r="D455" s="364" t="s">
        <v>82</v>
      </c>
      <c r="E455" s="12" t="s">
        <v>77</v>
      </c>
      <c r="F455" s="683">
        <f>+$E442*F$16</f>
        <v>0</v>
      </c>
      <c r="G455" s="683">
        <f>+$E442*G$16</f>
        <v>0</v>
      </c>
    </row>
    <row r="456" spans="3:7" ht="15.75" hidden="1" thickBot="1" x14ac:dyDescent="0.3">
      <c r="C456" s="9">
        <f t="shared" si="65"/>
        <v>0</v>
      </c>
      <c r="D456" s="364" t="s">
        <v>84</v>
      </c>
      <c r="E456" s="12" t="s">
        <v>78</v>
      </c>
      <c r="F456" s="683">
        <f ca="1">+$E442*F$17</f>
        <v>0</v>
      </c>
      <c r="G456" s="683">
        <f>+$E442*G$17</f>
        <v>0</v>
      </c>
    </row>
    <row r="457" spans="3:7" ht="15.75" hidden="1" thickBot="1" x14ac:dyDescent="0.3">
      <c r="C457" s="9">
        <f t="shared" si="65"/>
        <v>0</v>
      </c>
      <c r="D457" s="364" t="s">
        <v>86</v>
      </c>
      <c r="E457" s="12" t="s">
        <v>79</v>
      </c>
      <c r="F457" s="683">
        <f>+$E442*F$18</f>
        <v>0</v>
      </c>
      <c r="G457" s="683">
        <f>+$E442*G$18</f>
        <v>0</v>
      </c>
    </row>
    <row r="458" spans="3:7" ht="15.75" hidden="1" thickBot="1" x14ac:dyDescent="0.3">
      <c r="C458" s="9">
        <f t="shared" si="65"/>
        <v>0</v>
      </c>
      <c r="D458" s="364" t="s">
        <v>386</v>
      </c>
      <c r="E458" s="12" t="s">
        <v>81</v>
      </c>
      <c r="F458" s="683">
        <f>+$E442*F19</f>
        <v>0</v>
      </c>
      <c r="G458" s="683">
        <f>+$E442*G19</f>
        <v>0</v>
      </c>
    </row>
    <row r="459" spans="3:7" ht="15.75" hidden="1" thickBot="1" x14ac:dyDescent="0.3">
      <c r="C459" s="9">
        <f t="shared" si="65"/>
        <v>0</v>
      </c>
      <c r="D459" s="35" t="s">
        <v>22</v>
      </c>
      <c r="E459" s="12" t="s">
        <v>83</v>
      </c>
      <c r="F459" s="685">
        <f>SUBTOTAL(9,F445:F458)</f>
        <v>0</v>
      </c>
      <c r="G459" s="685">
        <f>SUBTOTAL(9,G445:G458)</f>
        <v>0</v>
      </c>
    </row>
    <row r="460" spans="3:7" ht="15.75" hidden="1" thickBot="1" x14ac:dyDescent="0.3">
      <c r="D460" s="326"/>
      <c r="E460" s="327"/>
      <c r="F460" s="686"/>
      <c r="G460" s="686"/>
    </row>
    <row r="461" spans="3:7" ht="15.75" hidden="1" thickBot="1" x14ac:dyDescent="0.3">
      <c r="D461" s="326"/>
      <c r="E461" s="327"/>
      <c r="F461" s="686"/>
      <c r="G461" s="686"/>
    </row>
    <row r="462" spans="3:7" ht="30" x14ac:dyDescent="0.25">
      <c r="C462" s="9">
        <f ca="1">IF(F479&gt;0,1,0)</f>
        <v>1</v>
      </c>
      <c r="D462" s="20" t="str">
        <f>+A27</f>
        <v>Kings</v>
      </c>
      <c r="E462" s="19">
        <f>IFERROR(SUMIF(A:A,D462,B:B),0)</f>
        <v>0.11968971791368295</v>
      </c>
      <c r="F462" s="652" t="s">
        <v>31</v>
      </c>
      <c r="G462" s="652" t="s">
        <v>32</v>
      </c>
    </row>
    <row r="463" spans="3:7" x14ac:dyDescent="0.25">
      <c r="C463" s="9">
        <f ca="1">C462</f>
        <v>1</v>
      </c>
      <c r="D463" s="30"/>
      <c r="E463" s="31"/>
      <c r="F463" s="680" t="s">
        <v>54</v>
      </c>
      <c r="G463" s="680" t="s">
        <v>53</v>
      </c>
    </row>
    <row r="464" spans="3:7" x14ac:dyDescent="0.25">
      <c r="C464" s="9">
        <f t="shared" ref="C464:C479" ca="1" si="71">C463</f>
        <v>1</v>
      </c>
      <c r="D464" s="32" t="s">
        <v>71</v>
      </c>
      <c r="E464" s="33"/>
      <c r="F464" s="681"/>
      <c r="G464" s="682"/>
    </row>
    <row r="465" spans="3:7" x14ac:dyDescent="0.25">
      <c r="C465" s="9">
        <f t="shared" ca="1" si="71"/>
        <v>1</v>
      </c>
      <c r="D465" s="364" t="s">
        <v>72</v>
      </c>
      <c r="E465" s="12" t="s">
        <v>57</v>
      </c>
      <c r="F465" s="683">
        <f t="shared" ref="F465:G465" si="72">+$E462*F$6</f>
        <v>0</v>
      </c>
      <c r="G465" s="683">
        <f t="shared" si="72"/>
        <v>0</v>
      </c>
    </row>
    <row r="466" spans="3:7" x14ac:dyDescent="0.25">
      <c r="C466" s="9">
        <f t="shared" ca="1" si="71"/>
        <v>1</v>
      </c>
      <c r="D466" s="364" t="s">
        <v>73</v>
      </c>
      <c r="E466" s="12" t="s">
        <v>56</v>
      </c>
      <c r="F466" s="683">
        <f t="shared" ref="F466:G466" si="73">+$E462*F$7</f>
        <v>97191.096205673006</v>
      </c>
      <c r="G466" s="683">
        <f t="shared" si="73"/>
        <v>0</v>
      </c>
    </row>
    <row r="467" spans="3:7" x14ac:dyDescent="0.25">
      <c r="C467" s="9">
        <f t="shared" ca="1" si="71"/>
        <v>1</v>
      </c>
      <c r="D467" s="364" t="s">
        <v>74</v>
      </c>
      <c r="E467" s="12" t="s">
        <v>55</v>
      </c>
      <c r="F467" s="683">
        <f t="shared" ref="F467:G467" si="74">+$E462*F$8</f>
        <v>14570.567044955784</v>
      </c>
      <c r="G467" s="683">
        <f t="shared" si="74"/>
        <v>0</v>
      </c>
    </row>
    <row r="468" spans="3:7" x14ac:dyDescent="0.25">
      <c r="C468" s="9">
        <f t="shared" ca="1" si="71"/>
        <v>1</v>
      </c>
      <c r="D468" s="364" t="s">
        <v>75</v>
      </c>
      <c r="E468" s="12" t="s">
        <v>54</v>
      </c>
      <c r="F468" s="683">
        <f t="shared" ref="F468:G468" si="75">+$E462*F$9</f>
        <v>29780.241819197952</v>
      </c>
      <c r="G468" s="683">
        <f t="shared" si="75"/>
        <v>0</v>
      </c>
    </row>
    <row r="469" spans="3:7" x14ac:dyDescent="0.25">
      <c r="C469" s="9">
        <f t="shared" ca="1" si="71"/>
        <v>1</v>
      </c>
      <c r="D469" s="34" t="s">
        <v>467</v>
      </c>
      <c r="E469" s="12" t="s">
        <v>53</v>
      </c>
      <c r="F469" s="683">
        <f t="shared" ref="F469:G469" si="76">+$E462*F$10</f>
        <v>142601.60138801407</v>
      </c>
      <c r="G469" s="683">
        <f t="shared" si="76"/>
        <v>0</v>
      </c>
    </row>
    <row r="470" spans="3:7" x14ac:dyDescent="0.25">
      <c r="C470" s="9">
        <f t="shared" ca="1" si="71"/>
        <v>1</v>
      </c>
      <c r="D470" s="34" t="s">
        <v>76</v>
      </c>
      <c r="E470" s="12" t="s">
        <v>52</v>
      </c>
      <c r="F470" s="683">
        <f>+$E462*F$11</f>
        <v>32605.526736605021</v>
      </c>
      <c r="G470" s="683">
        <f>+$E462*G$11</f>
        <v>0</v>
      </c>
    </row>
    <row r="471" spans="3:7" x14ac:dyDescent="0.25">
      <c r="C471" s="9">
        <f t="shared" ca="1" si="71"/>
        <v>1</v>
      </c>
      <c r="D471" s="34" t="s">
        <v>468</v>
      </c>
      <c r="E471" s="12" t="s">
        <v>51</v>
      </c>
      <c r="F471" s="683">
        <f>+$E462*F$12</f>
        <v>0</v>
      </c>
      <c r="G471" s="683">
        <f>+$E462*G$12</f>
        <v>0</v>
      </c>
    </row>
    <row r="472" spans="3:7" x14ac:dyDescent="0.25">
      <c r="C472" s="9">
        <f t="shared" ca="1" si="71"/>
        <v>1</v>
      </c>
      <c r="D472" s="364" t="s">
        <v>59</v>
      </c>
      <c r="E472" s="12" t="s">
        <v>50</v>
      </c>
      <c r="F472" s="683">
        <f>+$E462*F$13</f>
        <v>5162.8934955363593</v>
      </c>
      <c r="G472" s="683">
        <f>+$E462*G$13</f>
        <v>0</v>
      </c>
    </row>
    <row r="473" spans="3:7" x14ac:dyDescent="0.25">
      <c r="C473" s="9">
        <f t="shared" ca="1" si="71"/>
        <v>1</v>
      </c>
      <c r="D473" s="364" t="s">
        <v>25</v>
      </c>
      <c r="E473" s="12" t="s">
        <v>49</v>
      </c>
      <c r="F473" s="683">
        <f>+$E462*F$14</f>
        <v>16906.375867109888</v>
      </c>
      <c r="G473" s="683">
        <f>+$E462*G$14</f>
        <v>0</v>
      </c>
    </row>
    <row r="474" spans="3:7" x14ac:dyDescent="0.25">
      <c r="C474" s="9">
        <f t="shared" ca="1" si="71"/>
        <v>1</v>
      </c>
      <c r="D474" s="364" t="s">
        <v>466</v>
      </c>
      <c r="E474" s="12" t="s">
        <v>47</v>
      </c>
      <c r="F474" s="683">
        <f>+$E462*F$15</f>
        <v>63076.96503242982</v>
      </c>
      <c r="G474" s="683">
        <f>+$E462*G$15</f>
        <v>0</v>
      </c>
    </row>
    <row r="475" spans="3:7" x14ac:dyDescent="0.25">
      <c r="C475" s="9">
        <f t="shared" ca="1" si="71"/>
        <v>1</v>
      </c>
      <c r="D475" s="364" t="s">
        <v>82</v>
      </c>
      <c r="E475" s="12" t="s">
        <v>77</v>
      </c>
      <c r="F475" s="683">
        <f>+$E462*F$16</f>
        <v>42742.183863806262</v>
      </c>
      <c r="G475" s="683">
        <f>+$E462*G$16</f>
        <v>0</v>
      </c>
    </row>
    <row r="476" spans="3:7" x14ac:dyDescent="0.25">
      <c r="C476" s="9">
        <f t="shared" ca="1" si="71"/>
        <v>1</v>
      </c>
      <c r="D476" s="364" t="s">
        <v>84</v>
      </c>
      <c r="E476" s="12" t="s">
        <v>78</v>
      </c>
      <c r="F476" s="683">
        <f ca="1">+$E462*F$17</f>
        <v>3055675.8900607144</v>
      </c>
      <c r="G476" s="683">
        <f>+$E462*G$17</f>
        <v>0</v>
      </c>
    </row>
    <row r="477" spans="3:7" x14ac:dyDescent="0.25">
      <c r="C477" s="9">
        <f t="shared" ca="1" si="71"/>
        <v>1</v>
      </c>
      <c r="D477" s="364" t="s">
        <v>86</v>
      </c>
      <c r="E477" s="12" t="s">
        <v>79</v>
      </c>
      <c r="F477" s="683">
        <f>+$E462*F$18</f>
        <v>47068.542914332837</v>
      </c>
      <c r="G477" s="683">
        <f>+$E462*G$18</f>
        <v>0</v>
      </c>
    </row>
    <row r="478" spans="3:7" x14ac:dyDescent="0.25">
      <c r="C478" s="9">
        <f t="shared" ca="1" si="71"/>
        <v>1</v>
      </c>
      <c r="D478" s="364" t="s">
        <v>386</v>
      </c>
      <c r="E478" s="12" t="s">
        <v>81</v>
      </c>
      <c r="F478" s="683">
        <f>+$E462*F19</f>
        <v>0</v>
      </c>
      <c r="G478" s="683">
        <f>+$E462*G19</f>
        <v>0</v>
      </c>
    </row>
    <row r="479" spans="3:7" ht="15.75" thickBot="1" x14ac:dyDescent="0.3">
      <c r="C479" s="9">
        <f t="shared" ca="1" si="71"/>
        <v>1</v>
      </c>
      <c r="D479" s="35" t="s">
        <v>22</v>
      </c>
      <c r="E479" s="12" t="s">
        <v>83</v>
      </c>
      <c r="F479" s="685">
        <f ca="1">SUBTOTAL(9,F465:F478)</f>
        <v>3547381.8844283754</v>
      </c>
      <c r="G479" s="685">
        <f>SUBTOTAL(9,G465:G478)</f>
        <v>0</v>
      </c>
    </row>
    <row r="480" spans="3:7" ht="15.75" hidden="1" thickBot="1" x14ac:dyDescent="0.3">
      <c r="D480" s="326"/>
      <c r="E480" s="327"/>
      <c r="F480" s="686"/>
      <c r="G480" s="686"/>
    </row>
    <row r="481" spans="3:7" ht="15.75" hidden="1" thickBot="1" x14ac:dyDescent="0.3">
      <c r="D481" s="326"/>
      <c r="E481" s="327"/>
      <c r="F481" s="686"/>
      <c r="G481" s="686"/>
    </row>
    <row r="482" spans="3:7" ht="30.75" hidden="1" thickBot="1" x14ac:dyDescent="0.3">
      <c r="C482" s="9">
        <f>IF(F499&gt;0,1,0)</f>
        <v>0</v>
      </c>
      <c r="D482" s="20" t="str">
        <f>+A28</f>
        <v>Lewis</v>
      </c>
      <c r="E482" s="19">
        <f>IFERROR(SUMIF(A:A,D482,B:B),0)</f>
        <v>0</v>
      </c>
      <c r="F482" s="652" t="s">
        <v>31</v>
      </c>
      <c r="G482" s="652" t="s">
        <v>32</v>
      </c>
    </row>
    <row r="483" spans="3:7" ht="15.75" hidden="1" thickBot="1" x14ac:dyDescent="0.3">
      <c r="C483" s="9">
        <f>C482</f>
        <v>0</v>
      </c>
      <c r="D483" s="30"/>
      <c r="E483" s="31"/>
      <c r="F483" s="680" t="s">
        <v>54</v>
      </c>
      <c r="G483" s="680" t="s">
        <v>53</v>
      </c>
    </row>
    <row r="484" spans="3:7" ht="15.75" hidden="1" thickBot="1" x14ac:dyDescent="0.3">
      <c r="C484" s="9">
        <f t="shared" ref="C484:C499" si="77">C483</f>
        <v>0</v>
      </c>
      <c r="D484" s="32" t="s">
        <v>71</v>
      </c>
      <c r="E484" s="33"/>
      <c r="F484" s="681"/>
      <c r="G484" s="682"/>
    </row>
    <row r="485" spans="3:7" ht="15.75" hidden="1" thickBot="1" x14ac:dyDescent="0.3">
      <c r="C485" s="9">
        <f t="shared" si="77"/>
        <v>0</v>
      </c>
      <c r="D485" s="364" t="s">
        <v>72</v>
      </c>
      <c r="E485" s="12" t="s">
        <v>57</v>
      </c>
      <c r="F485" s="683">
        <f t="shared" ref="F485:G485" si="78">+$E482*F$6</f>
        <v>0</v>
      </c>
      <c r="G485" s="683">
        <f t="shared" si="78"/>
        <v>0</v>
      </c>
    </row>
    <row r="486" spans="3:7" ht="15.75" hidden="1" thickBot="1" x14ac:dyDescent="0.3">
      <c r="C486" s="9">
        <f t="shared" si="77"/>
        <v>0</v>
      </c>
      <c r="D486" s="364" t="s">
        <v>73</v>
      </c>
      <c r="E486" s="12" t="s">
        <v>56</v>
      </c>
      <c r="F486" s="683">
        <f t="shared" ref="F486:G486" si="79">+$E482*F$7</f>
        <v>0</v>
      </c>
      <c r="G486" s="683">
        <f t="shared" si="79"/>
        <v>0</v>
      </c>
    </row>
    <row r="487" spans="3:7" ht="15.75" hidden="1" thickBot="1" x14ac:dyDescent="0.3">
      <c r="C487" s="9">
        <f t="shared" si="77"/>
        <v>0</v>
      </c>
      <c r="D487" s="364" t="s">
        <v>74</v>
      </c>
      <c r="E487" s="12" t="s">
        <v>55</v>
      </c>
      <c r="F487" s="683">
        <f t="shared" ref="F487:G487" si="80">+$E482*F$8</f>
        <v>0</v>
      </c>
      <c r="G487" s="683">
        <f t="shared" si="80"/>
        <v>0</v>
      </c>
    </row>
    <row r="488" spans="3:7" ht="15.75" hidden="1" thickBot="1" x14ac:dyDescent="0.3">
      <c r="C488" s="9">
        <f t="shared" si="77"/>
        <v>0</v>
      </c>
      <c r="D488" s="364" t="s">
        <v>75</v>
      </c>
      <c r="E488" s="12" t="s">
        <v>54</v>
      </c>
      <c r="F488" s="683">
        <f t="shared" ref="F488:G488" si="81">+$E482*F$9</f>
        <v>0</v>
      </c>
      <c r="G488" s="683">
        <f t="shared" si="81"/>
        <v>0</v>
      </c>
    </row>
    <row r="489" spans="3:7" ht="15.75" hidden="1" thickBot="1" x14ac:dyDescent="0.3">
      <c r="C489" s="9">
        <f t="shared" si="77"/>
        <v>0</v>
      </c>
      <c r="D489" s="34" t="s">
        <v>467</v>
      </c>
      <c r="E489" s="12" t="s">
        <v>53</v>
      </c>
      <c r="F489" s="683">
        <f t="shared" ref="F489:G489" si="82">+$E482*F$10</f>
        <v>0</v>
      </c>
      <c r="G489" s="683">
        <f t="shared" si="82"/>
        <v>0</v>
      </c>
    </row>
    <row r="490" spans="3:7" ht="15.75" hidden="1" thickBot="1" x14ac:dyDescent="0.3">
      <c r="C490" s="9">
        <f t="shared" si="77"/>
        <v>0</v>
      </c>
      <c r="D490" s="34" t="s">
        <v>76</v>
      </c>
      <c r="E490" s="12" t="s">
        <v>52</v>
      </c>
      <c r="F490" s="683">
        <f>+$E482*F$11</f>
        <v>0</v>
      </c>
      <c r="G490" s="683">
        <f>+$E482*G$11</f>
        <v>0</v>
      </c>
    </row>
    <row r="491" spans="3:7" ht="15.75" hidden="1" thickBot="1" x14ac:dyDescent="0.3">
      <c r="C491" s="9">
        <f t="shared" si="77"/>
        <v>0</v>
      </c>
      <c r="D491" s="34" t="s">
        <v>468</v>
      </c>
      <c r="E491" s="12" t="s">
        <v>51</v>
      </c>
      <c r="F491" s="683">
        <f>+$E482*F$12</f>
        <v>0</v>
      </c>
      <c r="G491" s="683">
        <f>+$E482*G$12</f>
        <v>0</v>
      </c>
    </row>
    <row r="492" spans="3:7" ht="15.75" hidden="1" thickBot="1" x14ac:dyDescent="0.3">
      <c r="C492" s="9">
        <f t="shared" si="77"/>
        <v>0</v>
      </c>
      <c r="D492" s="364" t="s">
        <v>59</v>
      </c>
      <c r="E492" s="12" t="s">
        <v>50</v>
      </c>
      <c r="F492" s="683">
        <f>+$E482*F$13</f>
        <v>0</v>
      </c>
      <c r="G492" s="683">
        <f>+$E482*G$13</f>
        <v>0</v>
      </c>
    </row>
    <row r="493" spans="3:7" ht="15.75" hidden="1" thickBot="1" x14ac:dyDescent="0.3">
      <c r="C493" s="9">
        <f t="shared" si="77"/>
        <v>0</v>
      </c>
      <c r="D493" s="364" t="s">
        <v>25</v>
      </c>
      <c r="E493" s="12" t="s">
        <v>49</v>
      </c>
      <c r="F493" s="683">
        <f>+$E482*F$14</f>
        <v>0</v>
      </c>
      <c r="G493" s="683">
        <f>+$E482*G$14</f>
        <v>0</v>
      </c>
    </row>
    <row r="494" spans="3:7" ht="15.75" hidden="1" thickBot="1" x14ac:dyDescent="0.3">
      <c r="C494" s="9">
        <f t="shared" si="77"/>
        <v>0</v>
      </c>
      <c r="D494" s="364" t="s">
        <v>466</v>
      </c>
      <c r="E494" s="12" t="s">
        <v>47</v>
      </c>
      <c r="F494" s="683">
        <f>+$E482*F$15</f>
        <v>0</v>
      </c>
      <c r="G494" s="683">
        <f>+$E482*G$15</f>
        <v>0</v>
      </c>
    </row>
    <row r="495" spans="3:7" ht="15.75" hidden="1" thickBot="1" x14ac:dyDescent="0.3">
      <c r="C495" s="9">
        <f t="shared" si="77"/>
        <v>0</v>
      </c>
      <c r="D495" s="364" t="s">
        <v>82</v>
      </c>
      <c r="E495" s="12" t="s">
        <v>77</v>
      </c>
      <c r="F495" s="683">
        <f>+$E482*F$16</f>
        <v>0</v>
      </c>
      <c r="G495" s="683">
        <f>+$E482*G$16</f>
        <v>0</v>
      </c>
    </row>
    <row r="496" spans="3:7" ht="15.75" hidden="1" thickBot="1" x14ac:dyDescent="0.3">
      <c r="C496" s="9">
        <f t="shared" si="77"/>
        <v>0</v>
      </c>
      <c r="D496" s="364" t="s">
        <v>84</v>
      </c>
      <c r="E496" s="12" t="s">
        <v>78</v>
      </c>
      <c r="F496" s="683">
        <f ca="1">+$E482*F$17</f>
        <v>0</v>
      </c>
      <c r="G496" s="683">
        <f>+$E482*G$17</f>
        <v>0</v>
      </c>
    </row>
    <row r="497" spans="3:7" ht="15.75" hidden="1" thickBot="1" x14ac:dyDescent="0.3">
      <c r="C497" s="9">
        <f t="shared" si="77"/>
        <v>0</v>
      </c>
      <c r="D497" s="364" t="s">
        <v>86</v>
      </c>
      <c r="E497" s="12" t="s">
        <v>79</v>
      </c>
      <c r="F497" s="683">
        <f>+$E$482*F18</f>
        <v>0</v>
      </c>
      <c r="G497" s="683">
        <f>+$E$482*G18</f>
        <v>0</v>
      </c>
    </row>
    <row r="498" spans="3:7" ht="15.75" hidden="1" thickBot="1" x14ac:dyDescent="0.3">
      <c r="C498" s="9">
        <f t="shared" si="77"/>
        <v>0</v>
      </c>
      <c r="D498" s="364" t="s">
        <v>386</v>
      </c>
      <c r="E498" s="12" t="s">
        <v>81</v>
      </c>
      <c r="F498" s="683">
        <f>+$E$482*F19</f>
        <v>0</v>
      </c>
      <c r="G498" s="683">
        <f>+$E$482*G19</f>
        <v>0</v>
      </c>
    </row>
    <row r="499" spans="3:7" ht="15.75" hidden="1" thickBot="1" x14ac:dyDescent="0.3">
      <c r="C499" s="9">
        <f t="shared" si="77"/>
        <v>0</v>
      </c>
      <c r="D499" s="35" t="s">
        <v>22</v>
      </c>
      <c r="E499" s="12" t="s">
        <v>83</v>
      </c>
      <c r="F499" s="685">
        <f>SUBTOTAL(9,F485:F498)</f>
        <v>0</v>
      </c>
      <c r="G499" s="685">
        <f>SUBTOTAL(9,G485:G498)</f>
        <v>0</v>
      </c>
    </row>
    <row r="500" spans="3:7" ht="15.75" hidden="1" thickBot="1" x14ac:dyDescent="0.3">
      <c r="D500" s="326"/>
      <c r="E500" s="327"/>
      <c r="F500" s="686"/>
      <c r="G500" s="686"/>
    </row>
    <row r="501" spans="3:7" ht="15.75" hidden="1" thickBot="1" x14ac:dyDescent="0.3">
      <c r="D501" s="326"/>
      <c r="E501" s="327"/>
      <c r="F501" s="686"/>
      <c r="G501" s="686"/>
    </row>
    <row r="502" spans="3:7" ht="30.75" hidden="1" thickBot="1" x14ac:dyDescent="0.3">
      <c r="C502" s="9">
        <f>IF(F519&gt;0,1,0)</f>
        <v>0</v>
      </c>
      <c r="D502" s="20" t="str">
        <f>+A29</f>
        <v>Livingston</v>
      </c>
      <c r="E502" s="19">
        <f>IFERROR(SUMIF(A:A,D502,B:B),0)</f>
        <v>0</v>
      </c>
      <c r="F502" s="652" t="s">
        <v>31</v>
      </c>
      <c r="G502" s="652" t="s">
        <v>32</v>
      </c>
    </row>
    <row r="503" spans="3:7" ht="15.75" hidden="1" thickBot="1" x14ac:dyDescent="0.3">
      <c r="C503" s="9">
        <f>C502</f>
        <v>0</v>
      </c>
      <c r="D503" s="30"/>
      <c r="E503" s="31"/>
      <c r="F503" s="680" t="s">
        <v>54</v>
      </c>
      <c r="G503" s="680" t="s">
        <v>53</v>
      </c>
    </row>
    <row r="504" spans="3:7" ht="15.75" hidden="1" thickBot="1" x14ac:dyDescent="0.3">
      <c r="C504" s="9">
        <f t="shared" ref="C504:C519" si="83">C503</f>
        <v>0</v>
      </c>
      <c r="D504" s="32" t="s">
        <v>71</v>
      </c>
      <c r="E504" s="33"/>
      <c r="F504" s="681"/>
      <c r="G504" s="682"/>
    </row>
    <row r="505" spans="3:7" ht="15.75" hidden="1" thickBot="1" x14ac:dyDescent="0.3">
      <c r="C505" s="9">
        <f t="shared" si="83"/>
        <v>0</v>
      </c>
      <c r="D505" s="364" t="s">
        <v>72</v>
      </c>
      <c r="E505" s="12" t="s">
        <v>57</v>
      </c>
      <c r="F505" s="683">
        <f t="shared" ref="F505:G505" si="84">+$E502*F$6</f>
        <v>0</v>
      </c>
      <c r="G505" s="683">
        <f t="shared" si="84"/>
        <v>0</v>
      </c>
    </row>
    <row r="506" spans="3:7" ht="15.75" hidden="1" thickBot="1" x14ac:dyDescent="0.3">
      <c r="C506" s="9">
        <f t="shared" si="83"/>
        <v>0</v>
      </c>
      <c r="D506" s="364" t="s">
        <v>73</v>
      </c>
      <c r="E506" s="12" t="s">
        <v>56</v>
      </c>
      <c r="F506" s="683">
        <f t="shared" ref="F506:G506" si="85">+$E502*F$7</f>
        <v>0</v>
      </c>
      <c r="G506" s="683">
        <f t="shared" si="85"/>
        <v>0</v>
      </c>
    </row>
    <row r="507" spans="3:7" ht="15.75" hidden="1" thickBot="1" x14ac:dyDescent="0.3">
      <c r="C507" s="9">
        <f t="shared" si="83"/>
        <v>0</v>
      </c>
      <c r="D507" s="364" t="s">
        <v>74</v>
      </c>
      <c r="E507" s="12" t="s">
        <v>55</v>
      </c>
      <c r="F507" s="683">
        <f t="shared" ref="F507:G507" si="86">+$E502*F$8</f>
        <v>0</v>
      </c>
      <c r="G507" s="683">
        <f t="shared" si="86"/>
        <v>0</v>
      </c>
    </row>
    <row r="508" spans="3:7" ht="15.75" hidden="1" thickBot="1" x14ac:dyDescent="0.3">
      <c r="C508" s="9">
        <f t="shared" si="83"/>
        <v>0</v>
      </c>
      <c r="D508" s="364" t="s">
        <v>75</v>
      </c>
      <c r="E508" s="12" t="s">
        <v>54</v>
      </c>
      <c r="F508" s="683">
        <f t="shared" ref="F508:G508" si="87">+$E502*F$9</f>
        <v>0</v>
      </c>
      <c r="G508" s="683">
        <f t="shared" si="87"/>
        <v>0</v>
      </c>
    </row>
    <row r="509" spans="3:7" ht="15.75" hidden="1" thickBot="1" x14ac:dyDescent="0.3">
      <c r="C509" s="9">
        <f t="shared" si="83"/>
        <v>0</v>
      </c>
      <c r="D509" s="34" t="s">
        <v>467</v>
      </c>
      <c r="E509" s="12" t="s">
        <v>53</v>
      </c>
      <c r="F509" s="683">
        <f t="shared" ref="F509:G509" si="88">+$E502*F$10</f>
        <v>0</v>
      </c>
      <c r="G509" s="683">
        <f t="shared" si="88"/>
        <v>0</v>
      </c>
    </row>
    <row r="510" spans="3:7" ht="15.75" hidden="1" thickBot="1" x14ac:dyDescent="0.3">
      <c r="C510" s="9">
        <f t="shared" si="83"/>
        <v>0</v>
      </c>
      <c r="D510" s="34" t="s">
        <v>76</v>
      </c>
      <c r="E510" s="12" t="s">
        <v>52</v>
      </c>
      <c r="F510" s="683">
        <f>+$E502*F$11</f>
        <v>0</v>
      </c>
      <c r="G510" s="683">
        <f>+$E502*G$11</f>
        <v>0</v>
      </c>
    </row>
    <row r="511" spans="3:7" ht="15.75" hidden="1" thickBot="1" x14ac:dyDescent="0.3">
      <c r="C511" s="9">
        <f t="shared" si="83"/>
        <v>0</v>
      </c>
      <c r="D511" s="34" t="s">
        <v>468</v>
      </c>
      <c r="E511" s="12" t="s">
        <v>51</v>
      </c>
      <c r="F511" s="683">
        <f>+$E502*F$12</f>
        <v>0</v>
      </c>
      <c r="G511" s="683">
        <f>+$E502*G$12</f>
        <v>0</v>
      </c>
    </row>
    <row r="512" spans="3:7" ht="15.75" hidden="1" thickBot="1" x14ac:dyDescent="0.3">
      <c r="C512" s="9">
        <f t="shared" si="83"/>
        <v>0</v>
      </c>
      <c r="D512" s="364" t="s">
        <v>59</v>
      </c>
      <c r="E512" s="12" t="s">
        <v>50</v>
      </c>
      <c r="F512" s="683">
        <f>+$E502*F$13</f>
        <v>0</v>
      </c>
      <c r="G512" s="683">
        <f>+$E502*G$13</f>
        <v>0</v>
      </c>
    </row>
    <row r="513" spans="3:7" ht="15.75" hidden="1" thickBot="1" x14ac:dyDescent="0.3">
      <c r="C513" s="9">
        <f t="shared" si="83"/>
        <v>0</v>
      </c>
      <c r="D513" s="364" t="s">
        <v>25</v>
      </c>
      <c r="E513" s="12" t="s">
        <v>49</v>
      </c>
      <c r="F513" s="683">
        <f>+$E502*F$14</f>
        <v>0</v>
      </c>
      <c r="G513" s="683">
        <f>+$E502*G$14</f>
        <v>0</v>
      </c>
    </row>
    <row r="514" spans="3:7" ht="15.75" hidden="1" thickBot="1" x14ac:dyDescent="0.3">
      <c r="C514" s="9">
        <f t="shared" si="83"/>
        <v>0</v>
      </c>
      <c r="D514" s="364" t="s">
        <v>466</v>
      </c>
      <c r="E514" s="12" t="s">
        <v>47</v>
      </c>
      <c r="F514" s="683">
        <f>+$E502*F$15</f>
        <v>0</v>
      </c>
      <c r="G514" s="683">
        <f>+$E502*G$15</f>
        <v>0</v>
      </c>
    </row>
    <row r="515" spans="3:7" ht="15.75" hidden="1" thickBot="1" x14ac:dyDescent="0.3">
      <c r="C515" s="9">
        <f t="shared" si="83"/>
        <v>0</v>
      </c>
      <c r="D515" s="364" t="s">
        <v>82</v>
      </c>
      <c r="E515" s="12" t="s">
        <v>77</v>
      </c>
      <c r="F515" s="683">
        <f>+$E502*F$16</f>
        <v>0</v>
      </c>
      <c r="G515" s="683">
        <f>+$E502*G$16</f>
        <v>0</v>
      </c>
    </row>
    <row r="516" spans="3:7" ht="15.75" hidden="1" thickBot="1" x14ac:dyDescent="0.3">
      <c r="C516" s="9">
        <f t="shared" si="83"/>
        <v>0</v>
      </c>
      <c r="D516" s="364" t="s">
        <v>84</v>
      </c>
      <c r="E516" s="12" t="s">
        <v>78</v>
      </c>
      <c r="F516" s="683">
        <f ca="1">+$E502*F$17</f>
        <v>0</v>
      </c>
      <c r="G516" s="683">
        <f>+$E502*G$17</f>
        <v>0</v>
      </c>
    </row>
    <row r="517" spans="3:7" ht="15.75" hidden="1" thickBot="1" x14ac:dyDescent="0.3">
      <c r="C517" s="9">
        <f t="shared" si="83"/>
        <v>0</v>
      </c>
      <c r="D517" s="364" t="s">
        <v>86</v>
      </c>
      <c r="E517" s="12" t="s">
        <v>79</v>
      </c>
      <c r="F517" s="683">
        <f>+$E$502*F18</f>
        <v>0</v>
      </c>
      <c r="G517" s="683">
        <f>+$E$502*G18</f>
        <v>0</v>
      </c>
    </row>
    <row r="518" spans="3:7" ht="15.75" hidden="1" thickBot="1" x14ac:dyDescent="0.3">
      <c r="C518" s="9">
        <f t="shared" si="83"/>
        <v>0</v>
      </c>
      <c r="D518" s="364" t="s">
        <v>386</v>
      </c>
      <c r="E518" s="12" t="s">
        <v>81</v>
      </c>
      <c r="F518" s="683">
        <f>+$E$502*F19</f>
        <v>0</v>
      </c>
      <c r="G518" s="683">
        <f>+$E$502*G19</f>
        <v>0</v>
      </c>
    </row>
    <row r="519" spans="3:7" ht="15.75" hidden="1" thickBot="1" x14ac:dyDescent="0.3">
      <c r="C519" s="9">
        <f t="shared" si="83"/>
        <v>0</v>
      </c>
      <c r="D519" s="35" t="s">
        <v>22</v>
      </c>
      <c r="E519" s="12" t="s">
        <v>83</v>
      </c>
      <c r="F519" s="685">
        <f>SUBTOTAL(9,F505:F518)</f>
        <v>0</v>
      </c>
      <c r="G519" s="685">
        <f>SUBTOTAL(9,G505:G518)</f>
        <v>0</v>
      </c>
    </row>
    <row r="520" spans="3:7" ht="15.75" hidden="1" thickBot="1" x14ac:dyDescent="0.3">
      <c r="D520" s="326"/>
      <c r="E520" s="327"/>
      <c r="F520" s="686"/>
      <c r="G520" s="686"/>
    </row>
    <row r="521" spans="3:7" ht="30.75" hidden="1" thickBot="1" x14ac:dyDescent="0.3">
      <c r="C521" s="9">
        <f>IF(F538&gt;0,1,0)</f>
        <v>0</v>
      </c>
      <c r="D521" s="20" t="str">
        <f>+A30</f>
        <v>Madison</v>
      </c>
      <c r="E521" s="19">
        <f>IFERROR(SUMIF(A:A,D521,B:B),0)</f>
        <v>0</v>
      </c>
      <c r="F521" s="652" t="s">
        <v>31</v>
      </c>
      <c r="G521" s="652" t="s">
        <v>32</v>
      </c>
    </row>
    <row r="522" spans="3:7" ht="15.75" hidden="1" thickBot="1" x14ac:dyDescent="0.3">
      <c r="C522" s="9">
        <f>C521</f>
        <v>0</v>
      </c>
      <c r="D522" s="30"/>
      <c r="E522" s="31"/>
      <c r="F522" s="680" t="s">
        <v>54</v>
      </c>
      <c r="G522" s="680" t="s">
        <v>53</v>
      </c>
    </row>
    <row r="523" spans="3:7" ht="15.75" hidden="1" thickBot="1" x14ac:dyDescent="0.3">
      <c r="C523" s="9">
        <f t="shared" ref="C523:C538" si="89">C522</f>
        <v>0</v>
      </c>
      <c r="D523" s="32" t="s">
        <v>71</v>
      </c>
      <c r="E523" s="33"/>
      <c r="F523" s="681"/>
      <c r="G523" s="682"/>
    </row>
    <row r="524" spans="3:7" ht="15.75" hidden="1" thickBot="1" x14ac:dyDescent="0.3">
      <c r="C524" s="9">
        <f t="shared" si="89"/>
        <v>0</v>
      </c>
      <c r="D524" s="364" t="s">
        <v>72</v>
      </c>
      <c r="E524" s="12" t="s">
        <v>57</v>
      </c>
      <c r="F524" s="683">
        <f t="shared" ref="F524:G524" si="90">+$E521*F$6</f>
        <v>0</v>
      </c>
      <c r="G524" s="683">
        <f t="shared" si="90"/>
        <v>0</v>
      </c>
    </row>
    <row r="525" spans="3:7" ht="15.75" hidden="1" thickBot="1" x14ac:dyDescent="0.3">
      <c r="C525" s="9">
        <f t="shared" si="89"/>
        <v>0</v>
      </c>
      <c r="D525" s="364" t="s">
        <v>73</v>
      </c>
      <c r="E525" s="12" t="s">
        <v>56</v>
      </c>
      <c r="F525" s="683">
        <f t="shared" ref="F525:G525" si="91">+$E521*F$7</f>
        <v>0</v>
      </c>
      <c r="G525" s="683">
        <f t="shared" si="91"/>
        <v>0</v>
      </c>
    </row>
    <row r="526" spans="3:7" ht="15.75" hidden="1" thickBot="1" x14ac:dyDescent="0.3">
      <c r="C526" s="9">
        <f t="shared" si="89"/>
        <v>0</v>
      </c>
      <c r="D526" s="364" t="s">
        <v>74</v>
      </c>
      <c r="E526" s="12" t="s">
        <v>55</v>
      </c>
      <c r="F526" s="683">
        <f t="shared" ref="F526:G526" si="92">+$E521*F$8</f>
        <v>0</v>
      </c>
      <c r="G526" s="683">
        <f t="shared" si="92"/>
        <v>0</v>
      </c>
    </row>
    <row r="527" spans="3:7" ht="15.75" hidden="1" thickBot="1" x14ac:dyDescent="0.3">
      <c r="C527" s="9">
        <f t="shared" si="89"/>
        <v>0</v>
      </c>
      <c r="D527" s="364" t="s">
        <v>75</v>
      </c>
      <c r="E527" s="12" t="s">
        <v>54</v>
      </c>
      <c r="F527" s="683">
        <f t="shared" ref="F527:G527" si="93">+$E521*F$9</f>
        <v>0</v>
      </c>
      <c r="G527" s="683">
        <f t="shared" si="93"/>
        <v>0</v>
      </c>
    </row>
    <row r="528" spans="3:7" ht="15.75" hidden="1" thickBot="1" x14ac:dyDescent="0.3">
      <c r="C528" s="9">
        <f t="shared" si="89"/>
        <v>0</v>
      </c>
      <c r="D528" s="34" t="s">
        <v>467</v>
      </c>
      <c r="E528" s="12" t="s">
        <v>53</v>
      </c>
      <c r="F528" s="683">
        <f t="shared" ref="F528:G528" si="94">+$E521*F$10</f>
        <v>0</v>
      </c>
      <c r="G528" s="683">
        <f t="shared" si="94"/>
        <v>0</v>
      </c>
    </row>
    <row r="529" spans="3:7" ht="15.75" hidden="1" thickBot="1" x14ac:dyDescent="0.3">
      <c r="C529" s="9">
        <f t="shared" si="89"/>
        <v>0</v>
      </c>
      <c r="D529" s="34" t="s">
        <v>76</v>
      </c>
      <c r="E529" s="12" t="s">
        <v>52</v>
      </c>
      <c r="F529" s="683">
        <f>+$E521*F$11</f>
        <v>0</v>
      </c>
      <c r="G529" s="683">
        <f>+$E521*G$11</f>
        <v>0</v>
      </c>
    </row>
    <row r="530" spans="3:7" ht="15.75" hidden="1" thickBot="1" x14ac:dyDescent="0.3">
      <c r="C530" s="9">
        <f t="shared" si="89"/>
        <v>0</v>
      </c>
      <c r="D530" s="34" t="s">
        <v>468</v>
      </c>
      <c r="E530" s="12" t="s">
        <v>51</v>
      </c>
      <c r="F530" s="683">
        <f>+$E521*F$12</f>
        <v>0</v>
      </c>
      <c r="G530" s="683">
        <f>+$E521*G$12</f>
        <v>0</v>
      </c>
    </row>
    <row r="531" spans="3:7" ht="15.75" hidden="1" thickBot="1" x14ac:dyDescent="0.3">
      <c r="C531" s="9">
        <f t="shared" si="89"/>
        <v>0</v>
      </c>
      <c r="D531" s="364" t="s">
        <v>59</v>
      </c>
      <c r="E531" s="12" t="s">
        <v>50</v>
      </c>
      <c r="F531" s="683">
        <f>+$E521*F$13</f>
        <v>0</v>
      </c>
      <c r="G531" s="683">
        <f>+$E521*G$13</f>
        <v>0</v>
      </c>
    </row>
    <row r="532" spans="3:7" ht="15.75" hidden="1" thickBot="1" x14ac:dyDescent="0.3">
      <c r="C532" s="9">
        <f t="shared" si="89"/>
        <v>0</v>
      </c>
      <c r="D532" s="364" t="s">
        <v>25</v>
      </c>
      <c r="E532" s="12" t="s">
        <v>49</v>
      </c>
      <c r="F532" s="683">
        <f>+$E521*F$14</f>
        <v>0</v>
      </c>
      <c r="G532" s="683">
        <f>+$E521*G$14</f>
        <v>0</v>
      </c>
    </row>
    <row r="533" spans="3:7" ht="15.75" hidden="1" thickBot="1" x14ac:dyDescent="0.3">
      <c r="C533" s="9">
        <f t="shared" si="89"/>
        <v>0</v>
      </c>
      <c r="D533" s="364" t="s">
        <v>466</v>
      </c>
      <c r="E533" s="12" t="s">
        <v>47</v>
      </c>
      <c r="F533" s="683">
        <f>+$E521*F$15</f>
        <v>0</v>
      </c>
      <c r="G533" s="683">
        <f>+$E521*G$15</f>
        <v>0</v>
      </c>
    </row>
    <row r="534" spans="3:7" ht="15.75" hidden="1" thickBot="1" x14ac:dyDescent="0.3">
      <c r="C534" s="9">
        <f t="shared" si="89"/>
        <v>0</v>
      </c>
      <c r="D534" s="364" t="s">
        <v>82</v>
      </c>
      <c r="E534" s="12" t="s">
        <v>77</v>
      </c>
      <c r="F534" s="683">
        <f>+$E521*F$16</f>
        <v>0</v>
      </c>
      <c r="G534" s="683">
        <f>+$E521*G$16</f>
        <v>0</v>
      </c>
    </row>
    <row r="535" spans="3:7" ht="15.75" hidden="1" thickBot="1" x14ac:dyDescent="0.3">
      <c r="C535" s="9">
        <f t="shared" si="89"/>
        <v>0</v>
      </c>
      <c r="D535" s="364" t="s">
        <v>84</v>
      </c>
      <c r="E535" s="12" t="s">
        <v>78</v>
      </c>
      <c r="F535" s="683">
        <f ca="1">+$E521*F$17</f>
        <v>0</v>
      </c>
      <c r="G535" s="683">
        <f>+$E521*G$17</f>
        <v>0</v>
      </c>
    </row>
    <row r="536" spans="3:7" ht="15.75" hidden="1" thickBot="1" x14ac:dyDescent="0.3">
      <c r="C536" s="9">
        <f t="shared" si="89"/>
        <v>0</v>
      </c>
      <c r="D536" s="364" t="s">
        <v>86</v>
      </c>
      <c r="E536" s="12" t="s">
        <v>79</v>
      </c>
      <c r="F536" s="683">
        <f>+$E$521*F18</f>
        <v>0</v>
      </c>
      <c r="G536" s="683">
        <f>+$E$521*G18</f>
        <v>0</v>
      </c>
    </row>
    <row r="537" spans="3:7" ht="15.75" hidden="1" thickBot="1" x14ac:dyDescent="0.3">
      <c r="C537" s="9">
        <f t="shared" si="89"/>
        <v>0</v>
      </c>
      <c r="D537" s="364" t="s">
        <v>386</v>
      </c>
      <c r="E537" s="12" t="s">
        <v>81</v>
      </c>
      <c r="F537" s="683">
        <f>+$E$521*F19</f>
        <v>0</v>
      </c>
      <c r="G537" s="683">
        <f>+$E$521*G19</f>
        <v>0</v>
      </c>
    </row>
    <row r="538" spans="3:7" ht="15.75" hidden="1" thickBot="1" x14ac:dyDescent="0.3">
      <c r="C538" s="9">
        <f t="shared" si="89"/>
        <v>0</v>
      </c>
      <c r="D538" s="35" t="s">
        <v>22</v>
      </c>
      <c r="E538" s="12" t="s">
        <v>83</v>
      </c>
      <c r="F538" s="685">
        <f>SUBTOTAL(9,F524:F537)</f>
        <v>0</v>
      </c>
      <c r="G538" s="685">
        <f>SUBTOTAL(9,G524:G537)</f>
        <v>0</v>
      </c>
    </row>
    <row r="539" spans="3:7" ht="15.75" hidden="1" thickBot="1" x14ac:dyDescent="0.3">
      <c r="D539" s="326"/>
      <c r="E539" s="327"/>
      <c r="F539" s="686"/>
      <c r="G539" s="686"/>
    </row>
    <row r="540" spans="3:7" ht="15.75" hidden="1" thickBot="1" x14ac:dyDescent="0.3">
      <c r="D540" s="326"/>
      <c r="E540" s="327"/>
      <c r="F540" s="686"/>
      <c r="G540" s="686"/>
    </row>
    <row r="541" spans="3:7" ht="30.75" hidden="1" thickBot="1" x14ac:dyDescent="0.3">
      <c r="C541" s="9">
        <f>IF(F558&gt;0,1,0)</f>
        <v>0</v>
      </c>
      <c r="D541" s="20" t="str">
        <f>+A31</f>
        <v>Monroe</v>
      </c>
      <c r="E541" s="19">
        <f>IFERROR(SUMIF(A:A,D541,B:B),0)</f>
        <v>0</v>
      </c>
      <c r="F541" s="652" t="s">
        <v>31</v>
      </c>
      <c r="G541" s="652" t="s">
        <v>32</v>
      </c>
    </row>
    <row r="542" spans="3:7" ht="15.75" hidden="1" thickBot="1" x14ac:dyDescent="0.3">
      <c r="C542" s="9">
        <f>C541</f>
        <v>0</v>
      </c>
      <c r="D542" s="30"/>
      <c r="E542" s="31"/>
      <c r="F542" s="680" t="s">
        <v>54</v>
      </c>
      <c r="G542" s="680" t="s">
        <v>53</v>
      </c>
    </row>
    <row r="543" spans="3:7" ht="15.75" hidden="1" thickBot="1" x14ac:dyDescent="0.3">
      <c r="C543" s="9">
        <f t="shared" ref="C543:C558" si="95">C542</f>
        <v>0</v>
      </c>
      <c r="D543" s="32" t="s">
        <v>71</v>
      </c>
      <c r="E543" s="33"/>
      <c r="F543" s="681"/>
      <c r="G543" s="682"/>
    </row>
    <row r="544" spans="3:7" ht="15.75" hidden="1" thickBot="1" x14ac:dyDescent="0.3">
      <c r="C544" s="9">
        <f t="shared" si="95"/>
        <v>0</v>
      </c>
      <c r="D544" s="364" t="s">
        <v>72</v>
      </c>
      <c r="E544" s="12" t="s">
        <v>57</v>
      </c>
      <c r="F544" s="683">
        <f t="shared" ref="F544:G544" si="96">+$E541*F$6</f>
        <v>0</v>
      </c>
      <c r="G544" s="683">
        <f t="shared" si="96"/>
        <v>0</v>
      </c>
    </row>
    <row r="545" spans="3:7" ht="15.75" hidden="1" thickBot="1" x14ac:dyDescent="0.3">
      <c r="C545" s="9">
        <f t="shared" si="95"/>
        <v>0</v>
      </c>
      <c r="D545" s="364" t="s">
        <v>73</v>
      </c>
      <c r="E545" s="12" t="s">
        <v>56</v>
      </c>
      <c r="F545" s="683">
        <f t="shared" ref="F545:G545" si="97">+$E541*F$7</f>
        <v>0</v>
      </c>
      <c r="G545" s="683">
        <f t="shared" si="97"/>
        <v>0</v>
      </c>
    </row>
    <row r="546" spans="3:7" ht="15.75" hidden="1" thickBot="1" x14ac:dyDescent="0.3">
      <c r="C546" s="9">
        <f t="shared" si="95"/>
        <v>0</v>
      </c>
      <c r="D546" s="364" t="s">
        <v>74</v>
      </c>
      <c r="E546" s="12" t="s">
        <v>55</v>
      </c>
      <c r="F546" s="683">
        <f t="shared" ref="F546:G546" si="98">+$E541*F$8</f>
        <v>0</v>
      </c>
      <c r="G546" s="683">
        <f t="shared" si="98"/>
        <v>0</v>
      </c>
    </row>
    <row r="547" spans="3:7" ht="15.75" hidden="1" thickBot="1" x14ac:dyDescent="0.3">
      <c r="C547" s="9">
        <f t="shared" si="95"/>
        <v>0</v>
      </c>
      <c r="D547" s="364" t="s">
        <v>75</v>
      </c>
      <c r="E547" s="12" t="s">
        <v>54</v>
      </c>
      <c r="F547" s="683">
        <f t="shared" ref="F547:G547" si="99">+$E541*F$9</f>
        <v>0</v>
      </c>
      <c r="G547" s="683">
        <f t="shared" si="99"/>
        <v>0</v>
      </c>
    </row>
    <row r="548" spans="3:7" ht="15.75" hidden="1" thickBot="1" x14ac:dyDescent="0.3">
      <c r="C548" s="9">
        <f t="shared" si="95"/>
        <v>0</v>
      </c>
      <c r="D548" s="34" t="s">
        <v>467</v>
      </c>
      <c r="E548" s="12" t="s">
        <v>53</v>
      </c>
      <c r="F548" s="683">
        <f t="shared" ref="F548:G548" si="100">+$E541*F$10</f>
        <v>0</v>
      </c>
      <c r="G548" s="683">
        <f t="shared" si="100"/>
        <v>0</v>
      </c>
    </row>
    <row r="549" spans="3:7" ht="15.75" hidden="1" thickBot="1" x14ac:dyDescent="0.3">
      <c r="C549" s="9">
        <f t="shared" si="95"/>
        <v>0</v>
      </c>
      <c r="D549" s="34" t="s">
        <v>76</v>
      </c>
      <c r="E549" s="12" t="s">
        <v>52</v>
      </c>
      <c r="F549" s="683">
        <f>+$E541*F$11</f>
        <v>0</v>
      </c>
      <c r="G549" s="683">
        <f>+$E541*G$11</f>
        <v>0</v>
      </c>
    </row>
    <row r="550" spans="3:7" ht="15.75" hidden="1" thickBot="1" x14ac:dyDescent="0.3">
      <c r="C550" s="9">
        <f t="shared" si="95"/>
        <v>0</v>
      </c>
      <c r="D550" s="34" t="s">
        <v>468</v>
      </c>
      <c r="E550" s="12" t="s">
        <v>51</v>
      </c>
      <c r="F550" s="683">
        <f>+$E541*F$12</f>
        <v>0</v>
      </c>
      <c r="G550" s="683">
        <f>+$E541*G$12</f>
        <v>0</v>
      </c>
    </row>
    <row r="551" spans="3:7" ht="15.75" hidden="1" thickBot="1" x14ac:dyDescent="0.3">
      <c r="C551" s="9">
        <f t="shared" si="95"/>
        <v>0</v>
      </c>
      <c r="D551" s="364" t="s">
        <v>59</v>
      </c>
      <c r="E551" s="12" t="s">
        <v>50</v>
      </c>
      <c r="F551" s="683">
        <f>+$E541*F$13</f>
        <v>0</v>
      </c>
      <c r="G551" s="683">
        <f>+$E541*G$13</f>
        <v>0</v>
      </c>
    </row>
    <row r="552" spans="3:7" ht="15.75" hidden="1" thickBot="1" x14ac:dyDescent="0.3">
      <c r="C552" s="9">
        <f t="shared" si="95"/>
        <v>0</v>
      </c>
      <c r="D552" s="364" t="s">
        <v>25</v>
      </c>
      <c r="E552" s="12" t="s">
        <v>49</v>
      </c>
      <c r="F552" s="683">
        <f>+$E541*F$14</f>
        <v>0</v>
      </c>
      <c r="G552" s="683">
        <f>+$E541*G$14</f>
        <v>0</v>
      </c>
    </row>
    <row r="553" spans="3:7" ht="15.75" hidden="1" thickBot="1" x14ac:dyDescent="0.3">
      <c r="C553" s="9">
        <f t="shared" si="95"/>
        <v>0</v>
      </c>
      <c r="D553" s="364" t="s">
        <v>466</v>
      </c>
      <c r="E553" s="12" t="s">
        <v>47</v>
      </c>
      <c r="F553" s="683">
        <f>+$E541*F$15</f>
        <v>0</v>
      </c>
      <c r="G553" s="683">
        <f>+$E541*G$15</f>
        <v>0</v>
      </c>
    </row>
    <row r="554" spans="3:7" ht="15.75" hidden="1" thickBot="1" x14ac:dyDescent="0.3">
      <c r="C554" s="9">
        <f t="shared" si="95"/>
        <v>0</v>
      </c>
      <c r="D554" s="364" t="s">
        <v>82</v>
      </c>
      <c r="E554" s="12" t="s">
        <v>77</v>
      </c>
      <c r="F554" s="683">
        <f>+$E541*F$16</f>
        <v>0</v>
      </c>
      <c r="G554" s="683">
        <f>+$E541*G$16</f>
        <v>0</v>
      </c>
    </row>
    <row r="555" spans="3:7" ht="15.75" hidden="1" thickBot="1" x14ac:dyDescent="0.3">
      <c r="C555" s="9">
        <f t="shared" si="95"/>
        <v>0</v>
      </c>
      <c r="D555" s="364" t="s">
        <v>84</v>
      </c>
      <c r="E555" s="12" t="s">
        <v>78</v>
      </c>
      <c r="F555" s="683">
        <f ca="1">+$E541*F$17</f>
        <v>0</v>
      </c>
      <c r="G555" s="683">
        <f>+$E541*G$17</f>
        <v>0</v>
      </c>
    </row>
    <row r="556" spans="3:7" ht="15.75" hidden="1" thickBot="1" x14ac:dyDescent="0.3">
      <c r="C556" s="9">
        <f t="shared" si="95"/>
        <v>0</v>
      </c>
      <c r="D556" s="364" t="s">
        <v>86</v>
      </c>
      <c r="E556" s="12" t="s">
        <v>79</v>
      </c>
      <c r="F556" s="683">
        <f>+$E$541*F$18</f>
        <v>0</v>
      </c>
      <c r="G556" s="683">
        <f>+$E$541*G$18</f>
        <v>0</v>
      </c>
    </row>
    <row r="557" spans="3:7" ht="15.75" hidden="1" thickBot="1" x14ac:dyDescent="0.3">
      <c r="C557" s="9">
        <f t="shared" si="95"/>
        <v>0</v>
      </c>
      <c r="D557" s="364" t="s">
        <v>386</v>
      </c>
      <c r="E557" s="12" t="s">
        <v>81</v>
      </c>
      <c r="F557" s="683">
        <f>+$E$541*F19</f>
        <v>0</v>
      </c>
      <c r="G557" s="683">
        <f>+$E$541*G19</f>
        <v>0</v>
      </c>
    </row>
    <row r="558" spans="3:7" ht="15.75" hidden="1" thickBot="1" x14ac:dyDescent="0.3">
      <c r="C558" s="9">
        <f t="shared" si="95"/>
        <v>0</v>
      </c>
      <c r="D558" s="35" t="s">
        <v>22</v>
      </c>
      <c r="E558" s="12" t="s">
        <v>83</v>
      </c>
      <c r="F558" s="685">
        <f>SUBTOTAL(9,F544:F557)</f>
        <v>0</v>
      </c>
      <c r="G558" s="685">
        <f>SUBTOTAL(9,G544:G557)</f>
        <v>0</v>
      </c>
    </row>
    <row r="559" spans="3:7" ht="15.75" hidden="1" thickBot="1" x14ac:dyDescent="0.3">
      <c r="D559" s="326"/>
      <c r="E559" s="327"/>
      <c r="F559" s="686"/>
      <c r="G559" s="686"/>
    </row>
    <row r="560" spans="3:7" ht="15.75" hidden="1" thickBot="1" x14ac:dyDescent="0.3">
      <c r="D560" s="326"/>
      <c r="E560" s="327"/>
      <c r="F560" s="686"/>
      <c r="G560" s="686"/>
    </row>
    <row r="561" spans="3:7" ht="30" x14ac:dyDescent="0.25">
      <c r="C561" s="9">
        <f ca="1">IF(F578&gt;0,1,0)</f>
        <v>1</v>
      </c>
      <c r="D561" s="20" t="str">
        <f>+A32</f>
        <v>Montgomery</v>
      </c>
      <c r="E561" s="19">
        <f>IFERROR(SUMIF(A:A,D561,B:B),0)</f>
        <v>1.3302736692244878E-4</v>
      </c>
      <c r="F561" s="652" t="s">
        <v>31</v>
      </c>
      <c r="G561" s="652" t="s">
        <v>32</v>
      </c>
    </row>
    <row r="562" spans="3:7" x14ac:dyDescent="0.25">
      <c r="C562" s="9">
        <f ca="1">C561</f>
        <v>1</v>
      </c>
      <c r="D562" s="30"/>
      <c r="E562" s="31"/>
      <c r="F562" s="680" t="s">
        <v>54</v>
      </c>
      <c r="G562" s="680" t="s">
        <v>53</v>
      </c>
    </row>
    <row r="563" spans="3:7" x14ac:dyDescent="0.25">
      <c r="C563" s="9">
        <f t="shared" ref="C563:C578" ca="1" si="101">C562</f>
        <v>1</v>
      </c>
      <c r="D563" s="32" t="s">
        <v>71</v>
      </c>
      <c r="E563" s="33"/>
      <c r="F563" s="681"/>
      <c r="G563" s="682"/>
    </row>
    <row r="564" spans="3:7" x14ac:dyDescent="0.25">
      <c r="C564" s="9">
        <f t="shared" ca="1" si="101"/>
        <v>1</v>
      </c>
      <c r="D564" s="364" t="s">
        <v>72</v>
      </c>
      <c r="E564" s="12" t="s">
        <v>57</v>
      </c>
      <c r="F564" s="683">
        <f t="shared" ref="F564:G564" si="102">+$E561*F$6</f>
        <v>0</v>
      </c>
      <c r="G564" s="683">
        <f t="shared" si="102"/>
        <v>0</v>
      </c>
    </row>
    <row r="565" spans="3:7" x14ac:dyDescent="0.25">
      <c r="C565" s="9">
        <f t="shared" ca="1" si="101"/>
        <v>1</v>
      </c>
      <c r="D565" s="364" t="s">
        <v>73</v>
      </c>
      <c r="E565" s="12" t="s">
        <v>56</v>
      </c>
      <c r="F565" s="683">
        <f t="shared" ref="F565:G565" si="103">+$E561*F$7</f>
        <v>108.02160654995602</v>
      </c>
      <c r="G565" s="683">
        <f t="shared" si="103"/>
        <v>0</v>
      </c>
    </row>
    <row r="566" spans="3:7" x14ac:dyDescent="0.25">
      <c r="C566" s="9">
        <f t="shared" ca="1" si="101"/>
        <v>1</v>
      </c>
      <c r="D566" s="364" t="s">
        <v>74</v>
      </c>
      <c r="E566" s="12" t="s">
        <v>55</v>
      </c>
      <c r="F566" s="683">
        <f t="shared" ref="F566:G566" si="104">+$E561*F$8</f>
        <v>16.194241262689854</v>
      </c>
      <c r="G566" s="683">
        <f t="shared" si="104"/>
        <v>0</v>
      </c>
    </row>
    <row r="567" spans="3:7" x14ac:dyDescent="0.25">
      <c r="C567" s="9">
        <f t="shared" ca="1" si="101"/>
        <v>1</v>
      </c>
      <c r="D567" s="364" t="s">
        <v>75</v>
      </c>
      <c r="E567" s="12" t="s">
        <v>54</v>
      </c>
      <c r="F567" s="683">
        <f t="shared" ref="F567:G567" si="105">+$E561*F$9</f>
        <v>33.098809359536553</v>
      </c>
      <c r="G567" s="683">
        <f t="shared" si="105"/>
        <v>0</v>
      </c>
    </row>
    <row r="568" spans="3:7" x14ac:dyDescent="0.25">
      <c r="C568" s="9">
        <f t="shared" ca="1" si="101"/>
        <v>1</v>
      </c>
      <c r="D568" s="34" t="s">
        <v>467</v>
      </c>
      <c r="E568" s="12" t="s">
        <v>53</v>
      </c>
      <c r="F568" s="683">
        <f t="shared" ref="F568:G568" si="106">+$E561*F$10</f>
        <v>158.49244097352394</v>
      </c>
      <c r="G568" s="683">
        <f t="shared" si="106"/>
        <v>0</v>
      </c>
    </row>
    <row r="569" spans="3:7" x14ac:dyDescent="0.25">
      <c r="C569" s="9">
        <f t="shared" ca="1" si="101"/>
        <v>1</v>
      </c>
      <c r="D569" s="34" t="s">
        <v>76</v>
      </c>
      <c r="E569" s="12" t="s">
        <v>52</v>
      </c>
      <c r="F569" s="683">
        <f>+$E561*F$11</f>
        <v>36.238930498759366</v>
      </c>
      <c r="G569" s="683">
        <f>+$E561*G$11</f>
        <v>0</v>
      </c>
    </row>
    <row r="570" spans="3:7" x14ac:dyDescent="0.25">
      <c r="C570" s="9">
        <f t="shared" ca="1" si="101"/>
        <v>1</v>
      </c>
      <c r="D570" s="34" t="s">
        <v>468</v>
      </c>
      <c r="E570" s="12" t="s">
        <v>51</v>
      </c>
      <c r="F570" s="683">
        <f>+$E561*F$12</f>
        <v>0</v>
      </c>
      <c r="G570" s="683">
        <f>+$E561*G$12</f>
        <v>0</v>
      </c>
    </row>
    <row r="571" spans="3:7" x14ac:dyDescent="0.25">
      <c r="C571" s="9">
        <f t="shared" ca="1" si="101"/>
        <v>1</v>
      </c>
      <c r="D571" s="364" t="s">
        <v>59</v>
      </c>
      <c r="E571" s="12" t="s">
        <v>50</v>
      </c>
      <c r="F571" s="683">
        <f>+$E561*F$13</f>
        <v>5.7382216232437422</v>
      </c>
      <c r="G571" s="683">
        <f>+$E561*G$13</f>
        <v>0</v>
      </c>
    </row>
    <row r="572" spans="3:7" x14ac:dyDescent="0.25">
      <c r="C572" s="9">
        <f t="shared" ca="1" si="101"/>
        <v>1</v>
      </c>
      <c r="D572" s="364" t="s">
        <v>25</v>
      </c>
      <c r="E572" s="12" t="s">
        <v>49</v>
      </c>
      <c r="F572" s="683">
        <f>+$E561*F$14</f>
        <v>18.790341434548179</v>
      </c>
      <c r="G572" s="683">
        <f>+$E561*G$14</f>
        <v>0</v>
      </c>
    </row>
    <row r="573" spans="3:7" x14ac:dyDescent="0.25">
      <c r="C573" s="9">
        <f t="shared" ca="1" si="101"/>
        <v>1</v>
      </c>
      <c r="D573" s="364" t="s">
        <v>466</v>
      </c>
      <c r="E573" s="12" t="s">
        <v>47</v>
      </c>
      <c r="F573" s="683">
        <f>+$E561*F$15</f>
        <v>70.105959960360607</v>
      </c>
      <c r="G573" s="683">
        <f>+$E561*G$15</f>
        <v>0</v>
      </c>
    </row>
    <row r="574" spans="3:7" x14ac:dyDescent="0.25">
      <c r="C574" s="9">
        <f t="shared" ca="1" si="101"/>
        <v>1</v>
      </c>
      <c r="D574" s="364" t="s">
        <v>82</v>
      </c>
      <c r="E574" s="12" t="s">
        <v>77</v>
      </c>
      <c r="F574" s="683">
        <f>+$E561*F$16</f>
        <v>47.505168155027576</v>
      </c>
      <c r="G574" s="683">
        <f>+$E561*G$16</f>
        <v>0</v>
      </c>
    </row>
    <row r="575" spans="3:7" x14ac:dyDescent="0.25">
      <c r="C575" s="9">
        <f t="shared" ca="1" si="101"/>
        <v>1</v>
      </c>
      <c r="D575" s="364" t="s">
        <v>84</v>
      </c>
      <c r="E575" s="12" t="s">
        <v>78</v>
      </c>
      <c r="F575" s="683">
        <f ca="1">+$E561*F$17</f>
        <v>3396.1857786007622</v>
      </c>
      <c r="G575" s="683">
        <f>+$E561*G$17</f>
        <v>0</v>
      </c>
    </row>
    <row r="576" spans="3:7" x14ac:dyDescent="0.25">
      <c r="C576" s="9">
        <f t="shared" ca="1" si="101"/>
        <v>1</v>
      </c>
      <c r="D576" s="364" t="s">
        <v>86</v>
      </c>
      <c r="E576" s="12" t="s">
        <v>79</v>
      </c>
      <c r="F576" s="683">
        <f>+$E$561*F$18</f>
        <v>52.313635940603845</v>
      </c>
      <c r="G576" s="683">
        <f>+$E$561*G$18</f>
        <v>0</v>
      </c>
    </row>
    <row r="577" spans="3:7" x14ac:dyDescent="0.25">
      <c r="C577" s="9">
        <f t="shared" ca="1" si="101"/>
        <v>1</v>
      </c>
      <c r="D577" s="364" t="s">
        <v>386</v>
      </c>
      <c r="E577" s="12" t="s">
        <v>81</v>
      </c>
      <c r="F577" s="683">
        <f>+$E$561*F19</f>
        <v>0</v>
      </c>
      <c r="G577" s="683">
        <f>+$E$561*G19</f>
        <v>0</v>
      </c>
    </row>
    <row r="578" spans="3:7" ht="15.75" thickBot="1" x14ac:dyDescent="0.3">
      <c r="C578" s="9">
        <f t="shared" ca="1" si="101"/>
        <v>1</v>
      </c>
      <c r="D578" s="35" t="s">
        <v>22</v>
      </c>
      <c r="E578" s="12" t="s">
        <v>83</v>
      </c>
      <c r="F578" s="685">
        <f ca="1">SUBTOTAL(9,F564:F577)</f>
        <v>3942.685134359012</v>
      </c>
      <c r="G578" s="685">
        <f>SUBTOTAL(9,G564:G577)</f>
        <v>0</v>
      </c>
    </row>
    <row r="579" spans="3:7" ht="15.75" hidden="1" thickBot="1" x14ac:dyDescent="0.3">
      <c r="D579" s="326"/>
      <c r="E579" s="327"/>
      <c r="F579" s="686"/>
      <c r="G579" s="686"/>
    </row>
    <row r="580" spans="3:7" ht="15.75" hidden="1" thickBot="1" x14ac:dyDescent="0.3">
      <c r="D580" s="326"/>
      <c r="E580" s="327"/>
      <c r="F580" s="686"/>
      <c r="G580" s="686"/>
    </row>
    <row r="581" spans="3:7" ht="30" x14ac:dyDescent="0.25">
      <c r="C581" s="9">
        <f ca="1">IF(F598&gt;0,1,0)</f>
        <v>1</v>
      </c>
      <c r="D581" s="20" t="str">
        <f>+A33</f>
        <v>Nassau</v>
      </c>
      <c r="E581" s="19">
        <f>IFERROR(SUMIF(A:A,D581,B:B),0)</f>
        <v>3.5280473312550277E-2</v>
      </c>
      <c r="F581" s="652" t="s">
        <v>31</v>
      </c>
      <c r="G581" s="652" t="s">
        <v>32</v>
      </c>
    </row>
    <row r="582" spans="3:7" x14ac:dyDescent="0.25">
      <c r="C582" s="9">
        <f ca="1">C581</f>
        <v>1</v>
      </c>
      <c r="D582" s="30"/>
      <c r="E582" s="31"/>
      <c r="F582" s="680" t="s">
        <v>54</v>
      </c>
      <c r="G582" s="680" t="s">
        <v>53</v>
      </c>
    </row>
    <row r="583" spans="3:7" x14ac:dyDescent="0.25">
      <c r="C583" s="9">
        <f t="shared" ref="C583:C598" ca="1" si="107">C582</f>
        <v>1</v>
      </c>
      <c r="D583" s="32" t="s">
        <v>71</v>
      </c>
      <c r="E583" s="33"/>
      <c r="F583" s="681"/>
      <c r="G583" s="682"/>
    </row>
    <row r="584" spans="3:7" x14ac:dyDescent="0.25">
      <c r="C584" s="9">
        <f t="shared" ca="1" si="107"/>
        <v>1</v>
      </c>
      <c r="D584" s="364" t="s">
        <v>72</v>
      </c>
      <c r="E584" s="12" t="s">
        <v>57</v>
      </c>
      <c r="F584" s="683">
        <f t="shared" ref="F584:G584" si="108">+$E581*F$6</f>
        <v>0</v>
      </c>
      <c r="G584" s="683">
        <f t="shared" si="108"/>
        <v>0</v>
      </c>
    </row>
    <row r="585" spans="3:7" x14ac:dyDescent="0.25">
      <c r="C585" s="9">
        <f t="shared" ca="1" si="107"/>
        <v>1</v>
      </c>
      <c r="D585" s="364" t="s">
        <v>73</v>
      </c>
      <c r="E585" s="12" t="s">
        <v>56</v>
      </c>
      <c r="F585" s="683">
        <f t="shared" ref="F585:G585" si="109">+$E581*F$7</f>
        <v>28648.64196918418</v>
      </c>
      <c r="G585" s="683">
        <f t="shared" si="109"/>
        <v>0</v>
      </c>
    </row>
    <row r="586" spans="3:7" x14ac:dyDescent="0.25">
      <c r="C586" s="9">
        <f t="shared" ca="1" si="107"/>
        <v>1</v>
      </c>
      <c r="D586" s="364" t="s">
        <v>74</v>
      </c>
      <c r="E586" s="12" t="s">
        <v>55</v>
      </c>
      <c r="F586" s="683">
        <f t="shared" ref="F586:G586" si="110">+$E581*F$8</f>
        <v>4294.9094603849844</v>
      </c>
      <c r="G586" s="683">
        <f t="shared" si="110"/>
        <v>0</v>
      </c>
    </row>
    <row r="587" spans="3:7" x14ac:dyDescent="0.25">
      <c r="C587" s="9">
        <f t="shared" ca="1" si="107"/>
        <v>1</v>
      </c>
      <c r="D587" s="364" t="s">
        <v>75</v>
      </c>
      <c r="E587" s="12" t="s">
        <v>54</v>
      </c>
      <c r="F587" s="683">
        <f t="shared" ref="F587:G587" si="111">+$E581*F$9</f>
        <v>8778.2062240401956</v>
      </c>
      <c r="G587" s="683">
        <f t="shared" si="111"/>
        <v>0</v>
      </c>
    </row>
    <row r="588" spans="3:7" x14ac:dyDescent="0.25">
      <c r="C588" s="9">
        <f t="shared" ca="1" si="107"/>
        <v>1</v>
      </c>
      <c r="D588" s="34" t="s">
        <v>467</v>
      </c>
      <c r="E588" s="12" t="s">
        <v>53</v>
      </c>
      <c r="F588" s="683">
        <f t="shared" ref="F588:G588" si="112">+$E581*F$10</f>
        <v>42034.120221797362</v>
      </c>
      <c r="G588" s="683">
        <f t="shared" si="112"/>
        <v>0</v>
      </c>
    </row>
    <row r="589" spans="3:7" x14ac:dyDescent="0.25">
      <c r="C589" s="9">
        <f t="shared" ca="1" si="107"/>
        <v>1</v>
      </c>
      <c r="D589" s="34" t="s">
        <v>76</v>
      </c>
      <c r="E589" s="12" t="s">
        <v>52</v>
      </c>
      <c r="F589" s="683">
        <f>+$E581*F$11</f>
        <v>9611.0044866346125</v>
      </c>
      <c r="G589" s="683">
        <f>+$E581*G$11</f>
        <v>0</v>
      </c>
    </row>
    <row r="590" spans="3:7" x14ac:dyDescent="0.25">
      <c r="C590" s="9">
        <f t="shared" ca="1" si="107"/>
        <v>1</v>
      </c>
      <c r="D590" s="34" t="s">
        <v>468</v>
      </c>
      <c r="E590" s="12" t="s">
        <v>51</v>
      </c>
      <c r="F590" s="683">
        <f>+$E581*F$12</f>
        <v>0</v>
      </c>
      <c r="G590" s="683">
        <f>+$E581*G$12</f>
        <v>0</v>
      </c>
    </row>
    <row r="591" spans="3:7" x14ac:dyDescent="0.25">
      <c r="C591" s="9">
        <f t="shared" ca="1" si="107"/>
        <v>1</v>
      </c>
      <c r="D591" s="364" t="s">
        <v>59</v>
      </c>
      <c r="E591" s="12" t="s">
        <v>50</v>
      </c>
      <c r="F591" s="683">
        <f>+$E581*F$13</f>
        <v>1521.8460646399985</v>
      </c>
      <c r="G591" s="683">
        <f>+$E581*G$13</f>
        <v>0</v>
      </c>
    </row>
    <row r="592" spans="3:7" x14ac:dyDescent="0.25">
      <c r="C592" s="9">
        <f t="shared" ca="1" si="107"/>
        <v>1</v>
      </c>
      <c r="D592" s="364" t="s">
        <v>25</v>
      </c>
      <c r="E592" s="12" t="s">
        <v>49</v>
      </c>
      <c r="F592" s="683">
        <f>+$E581*F$14</f>
        <v>4983.4267553514428</v>
      </c>
      <c r="G592" s="683">
        <f>+$E581*G$14</f>
        <v>0</v>
      </c>
    </row>
    <row r="593" spans="3:7" x14ac:dyDescent="0.25">
      <c r="C593" s="9">
        <f t="shared" ca="1" si="107"/>
        <v>1</v>
      </c>
      <c r="D593" s="364" t="s">
        <v>466</v>
      </c>
      <c r="E593" s="12" t="s">
        <v>47</v>
      </c>
      <c r="F593" s="683">
        <f>+$E581*F$15</f>
        <v>18592.952011702426</v>
      </c>
      <c r="G593" s="683">
        <f>+$E581*G$15</f>
        <v>0</v>
      </c>
    </row>
    <row r="594" spans="3:7" x14ac:dyDescent="0.25">
      <c r="C594" s="9">
        <f t="shared" ca="1" si="107"/>
        <v>1</v>
      </c>
      <c r="D594" s="364" t="s">
        <v>82</v>
      </c>
      <c r="E594" s="12" t="s">
        <v>77</v>
      </c>
      <c r="F594" s="683">
        <f>+$E581*F$16</f>
        <v>12598.94754046156</v>
      </c>
      <c r="G594" s="683">
        <f>+$E581*G$16</f>
        <v>0</v>
      </c>
    </row>
    <row r="595" spans="3:7" x14ac:dyDescent="0.25">
      <c r="C595" s="9">
        <f t="shared" ca="1" si="107"/>
        <v>1</v>
      </c>
      <c r="D595" s="364" t="s">
        <v>84</v>
      </c>
      <c r="E595" s="12" t="s">
        <v>78</v>
      </c>
      <c r="F595" s="683">
        <f ca="1">+$E581*F$17</f>
        <v>900709.71483813645</v>
      </c>
      <c r="G595" s="683">
        <f>+$E581*G$17</f>
        <v>0</v>
      </c>
    </row>
    <row r="596" spans="3:7" x14ac:dyDescent="0.25">
      <c r="C596" s="9">
        <f t="shared" ca="1" si="107"/>
        <v>1</v>
      </c>
      <c r="D596" s="364" t="s">
        <v>86</v>
      </c>
      <c r="E596" s="12" t="s">
        <v>79</v>
      </c>
      <c r="F596" s="683">
        <f>+$E$581*F18</f>
        <v>13874.211595580233</v>
      </c>
      <c r="G596" s="683">
        <f>+$E$581*G18</f>
        <v>0</v>
      </c>
    </row>
    <row r="597" spans="3:7" x14ac:dyDescent="0.25">
      <c r="C597" s="9">
        <f t="shared" ca="1" si="107"/>
        <v>1</v>
      </c>
      <c r="D597" s="364" t="s">
        <v>386</v>
      </c>
      <c r="E597" s="12" t="s">
        <v>81</v>
      </c>
      <c r="F597" s="683">
        <f>+$E$581*F19</f>
        <v>0</v>
      </c>
      <c r="G597" s="683">
        <f>+$E$581*G19</f>
        <v>0</v>
      </c>
    </row>
    <row r="598" spans="3:7" ht="15.75" thickBot="1" x14ac:dyDescent="0.3">
      <c r="C598" s="9">
        <f t="shared" ca="1" si="107"/>
        <v>1</v>
      </c>
      <c r="D598" s="35" t="s">
        <v>22</v>
      </c>
      <c r="E598" s="12" t="s">
        <v>83</v>
      </c>
      <c r="F598" s="685">
        <f ca="1">SUBTOTAL(9,F584:F597)</f>
        <v>1045647.9811679134</v>
      </c>
      <c r="G598" s="685">
        <f>SUBTOTAL(9,G584:G597)</f>
        <v>0</v>
      </c>
    </row>
    <row r="599" spans="3:7" ht="15.75" hidden="1" thickBot="1" x14ac:dyDescent="0.3">
      <c r="D599" s="326"/>
      <c r="E599" s="327"/>
      <c r="F599" s="686"/>
      <c r="G599" s="686"/>
    </row>
    <row r="600" spans="3:7" ht="30" x14ac:dyDescent="0.25">
      <c r="C600" s="9">
        <f ca="1">IF(F617&gt;0,1,0)</f>
        <v>1</v>
      </c>
      <c r="D600" s="20" t="str">
        <f>+A34</f>
        <v>New York</v>
      </c>
      <c r="E600" s="19">
        <f>IFERROR(SUMIF(A:A,D600,B:B),0)</f>
        <v>5.4433987275344702E-2</v>
      </c>
      <c r="F600" s="652" t="s">
        <v>31</v>
      </c>
      <c r="G600" s="652" t="s">
        <v>32</v>
      </c>
    </row>
    <row r="601" spans="3:7" x14ac:dyDescent="0.25">
      <c r="C601" s="9">
        <f ca="1">C600</f>
        <v>1</v>
      </c>
      <c r="D601" s="30"/>
      <c r="E601" s="31"/>
      <c r="F601" s="680" t="s">
        <v>54</v>
      </c>
      <c r="G601" s="680" t="s">
        <v>53</v>
      </c>
    </row>
    <row r="602" spans="3:7" x14ac:dyDescent="0.25">
      <c r="C602" s="9">
        <f t="shared" ref="C602:C617" ca="1" si="113">C601</f>
        <v>1</v>
      </c>
      <c r="D602" s="32" t="s">
        <v>71</v>
      </c>
      <c r="E602" s="33"/>
      <c r="F602" s="681"/>
      <c r="G602" s="682"/>
    </row>
    <row r="603" spans="3:7" x14ac:dyDescent="0.25">
      <c r="C603" s="9">
        <f t="shared" ca="1" si="113"/>
        <v>1</v>
      </c>
      <c r="D603" s="364" t="s">
        <v>72</v>
      </c>
      <c r="E603" s="12" t="s">
        <v>57</v>
      </c>
      <c r="F603" s="683">
        <f t="shared" ref="F603:G603" si="114">+$E600*F$6</f>
        <v>0</v>
      </c>
      <c r="G603" s="683">
        <f t="shared" si="114"/>
        <v>0</v>
      </c>
    </row>
    <row r="604" spans="3:7" x14ac:dyDescent="0.25">
      <c r="C604" s="9">
        <f t="shared" ca="1" si="113"/>
        <v>1</v>
      </c>
      <c r="D604" s="364" t="s">
        <v>73</v>
      </c>
      <c r="E604" s="12" t="s">
        <v>56</v>
      </c>
      <c r="F604" s="683">
        <f t="shared" ref="F604:G604" si="115">+$E600*F$7</f>
        <v>44201.782628911991</v>
      </c>
      <c r="G604" s="683">
        <f t="shared" si="115"/>
        <v>0</v>
      </c>
    </row>
    <row r="605" spans="3:7" x14ac:dyDescent="0.25">
      <c r="C605" s="9">
        <f t="shared" ca="1" si="113"/>
        <v>1</v>
      </c>
      <c r="D605" s="364" t="s">
        <v>74</v>
      </c>
      <c r="E605" s="12" t="s">
        <v>55</v>
      </c>
      <c r="F605" s="683">
        <f t="shared" ref="F605:G605" si="116">+$E600*F$8</f>
        <v>6626.584763878107</v>
      </c>
      <c r="G605" s="683">
        <f t="shared" si="116"/>
        <v>0</v>
      </c>
    </row>
    <row r="606" spans="3:7" x14ac:dyDescent="0.25">
      <c r="C606" s="9">
        <f t="shared" ca="1" si="113"/>
        <v>1</v>
      </c>
      <c r="D606" s="364" t="s">
        <v>75</v>
      </c>
      <c r="E606" s="12" t="s">
        <v>54</v>
      </c>
      <c r="F606" s="683">
        <f t="shared" ref="F606:G606" si="117">+$E600*F$9</f>
        <v>13543.830936354725</v>
      </c>
      <c r="G606" s="683">
        <f t="shared" si="117"/>
        <v>0</v>
      </c>
    </row>
    <row r="607" spans="3:7" x14ac:dyDescent="0.25">
      <c r="C607" s="9">
        <f t="shared" ca="1" si="113"/>
        <v>1</v>
      </c>
      <c r="D607" s="34" t="s">
        <v>467</v>
      </c>
      <c r="E607" s="12" t="s">
        <v>53</v>
      </c>
      <c r="F607" s="683">
        <f t="shared" ref="F607:G607" si="118">+$E600*F$10</f>
        <v>64854.140277922226</v>
      </c>
      <c r="G607" s="683">
        <f t="shared" si="118"/>
        <v>0</v>
      </c>
    </row>
    <row r="608" spans="3:7" x14ac:dyDescent="0.25">
      <c r="C608" s="9">
        <f t="shared" ca="1" si="113"/>
        <v>1</v>
      </c>
      <c r="D608" s="34" t="s">
        <v>76</v>
      </c>
      <c r="E608" s="12" t="s">
        <v>52</v>
      </c>
      <c r="F608" s="683">
        <f>+$E600*F$11</f>
        <v>14828.749356450511</v>
      </c>
      <c r="G608" s="683">
        <f>+$E600*G$11</f>
        <v>0</v>
      </c>
    </row>
    <row r="609" spans="3:7" x14ac:dyDescent="0.25">
      <c r="C609" s="9">
        <f t="shared" ca="1" si="113"/>
        <v>1</v>
      </c>
      <c r="D609" s="34" t="s">
        <v>468</v>
      </c>
      <c r="E609" s="12" t="s">
        <v>51</v>
      </c>
      <c r="F609" s="683">
        <f>+$E600*F$12</f>
        <v>0</v>
      </c>
      <c r="G609" s="683">
        <f>+$E600*G$12</f>
        <v>0</v>
      </c>
    </row>
    <row r="610" spans="3:7" x14ac:dyDescent="0.25">
      <c r="C610" s="9">
        <f t="shared" ca="1" si="113"/>
        <v>1</v>
      </c>
      <c r="D610" s="364" t="s">
        <v>59</v>
      </c>
      <c r="E610" s="12" t="s">
        <v>50</v>
      </c>
      <c r="F610" s="683">
        <f>+$E600*F$13</f>
        <v>2348.04529360377</v>
      </c>
      <c r="G610" s="683">
        <f>+$E600*G$13</f>
        <v>0</v>
      </c>
    </row>
    <row r="611" spans="3:7" x14ac:dyDescent="0.25">
      <c r="C611" s="9">
        <f t="shared" ca="1" si="113"/>
        <v>1</v>
      </c>
      <c r="D611" s="364" t="s">
        <v>25</v>
      </c>
      <c r="E611" s="12" t="s">
        <v>49</v>
      </c>
      <c r="F611" s="683">
        <f>+$E600*F$14</f>
        <v>7688.8931218480848</v>
      </c>
      <c r="G611" s="683">
        <f>+$E600*G$14</f>
        <v>0</v>
      </c>
    </row>
    <row r="612" spans="3:7" x14ac:dyDescent="0.25">
      <c r="C612" s="9">
        <f t="shared" ca="1" si="113"/>
        <v>1</v>
      </c>
      <c r="D612" s="364" t="s">
        <v>466</v>
      </c>
      <c r="E612" s="12" t="s">
        <v>47</v>
      </c>
      <c r="F612" s="683">
        <f>+$E600*F$15</f>
        <v>28686.931273568702</v>
      </c>
      <c r="G612" s="683">
        <f>+$E600*G$15</f>
        <v>0</v>
      </c>
    </row>
    <row r="613" spans="3:7" x14ac:dyDescent="0.25">
      <c r="C613" s="9">
        <f t="shared" ca="1" si="113"/>
        <v>1</v>
      </c>
      <c r="D613" s="364" t="s">
        <v>82</v>
      </c>
      <c r="E613" s="12" t="s">
        <v>77</v>
      </c>
      <c r="F613" s="683">
        <f>+$E600*F$16</f>
        <v>19438.825098082158</v>
      </c>
      <c r="G613" s="683">
        <f>+$E600*G$16</f>
        <v>0</v>
      </c>
    </row>
    <row r="614" spans="3:7" x14ac:dyDescent="0.25">
      <c r="C614" s="9">
        <f t="shared" ca="1" si="113"/>
        <v>1</v>
      </c>
      <c r="D614" s="364" t="s">
        <v>84</v>
      </c>
      <c r="E614" s="12" t="s">
        <v>78</v>
      </c>
      <c r="F614" s="683">
        <f ca="1">+$E600*F$17</f>
        <v>1389698.5089153373</v>
      </c>
      <c r="G614" s="683">
        <f>+$E600*G$17</f>
        <v>0</v>
      </c>
    </row>
    <row r="615" spans="3:7" x14ac:dyDescent="0.25">
      <c r="C615" s="9">
        <f t="shared" ca="1" si="113"/>
        <v>1</v>
      </c>
      <c r="D615" s="364" t="s">
        <v>86</v>
      </c>
      <c r="E615" s="12" t="s">
        <v>79</v>
      </c>
      <c r="F615" s="683">
        <f>+$E$600*F18</f>
        <v>21406.420791429624</v>
      </c>
      <c r="G615" s="683">
        <f>+$E$600*G18</f>
        <v>0</v>
      </c>
    </row>
    <row r="616" spans="3:7" x14ac:dyDescent="0.25">
      <c r="C616" s="9">
        <f t="shared" ca="1" si="113"/>
        <v>1</v>
      </c>
      <c r="D616" s="364" t="s">
        <v>386</v>
      </c>
      <c r="E616" s="12" t="s">
        <v>81</v>
      </c>
      <c r="F616" s="683">
        <f>+$E$600*F19</f>
        <v>0</v>
      </c>
      <c r="G616" s="683">
        <f>+$E$600*G19</f>
        <v>0</v>
      </c>
    </row>
    <row r="617" spans="3:7" ht="15.75" thickBot="1" x14ac:dyDescent="0.3">
      <c r="C617" s="9">
        <f t="shared" ca="1" si="113"/>
        <v>1</v>
      </c>
      <c r="D617" s="35" t="s">
        <v>22</v>
      </c>
      <c r="E617" s="12" t="s">
        <v>83</v>
      </c>
      <c r="F617" s="685">
        <f ca="1">SUBTOTAL(9,F603:F616)</f>
        <v>1613322.7124573872</v>
      </c>
      <c r="G617" s="685">
        <f>SUBTOTAL(9,G603:G616)</f>
        <v>0</v>
      </c>
    </row>
    <row r="618" spans="3:7" ht="15.75" hidden="1" thickBot="1" x14ac:dyDescent="0.3">
      <c r="D618" s="326"/>
      <c r="E618" s="327"/>
      <c r="F618" s="686"/>
      <c r="G618" s="686"/>
    </row>
    <row r="619" spans="3:7" ht="15.75" hidden="1" thickBot="1" x14ac:dyDescent="0.3">
      <c r="D619" s="326"/>
      <c r="E619" s="327"/>
      <c r="F619" s="686"/>
      <c r="G619" s="686"/>
    </row>
    <row r="620" spans="3:7" ht="30.75" hidden="1" thickBot="1" x14ac:dyDescent="0.3">
      <c r="C620" s="9">
        <f>IF(F637&gt;0,1,0)</f>
        <v>0</v>
      </c>
      <c r="D620" s="20" t="str">
        <f>+A35</f>
        <v>Niagara</v>
      </c>
      <c r="E620" s="19">
        <f>IFERROR(SUMIF(A:A,D620,B:B),0)</f>
        <v>0</v>
      </c>
      <c r="F620" s="652" t="s">
        <v>31</v>
      </c>
      <c r="G620" s="652" t="s">
        <v>32</v>
      </c>
    </row>
    <row r="621" spans="3:7" ht="15.75" hidden="1" thickBot="1" x14ac:dyDescent="0.3">
      <c r="C621" s="9">
        <f>C620</f>
        <v>0</v>
      </c>
      <c r="D621" s="30"/>
      <c r="E621" s="31"/>
      <c r="F621" s="680" t="s">
        <v>54</v>
      </c>
      <c r="G621" s="680" t="s">
        <v>53</v>
      </c>
    </row>
    <row r="622" spans="3:7" ht="15.75" hidden="1" thickBot="1" x14ac:dyDescent="0.3">
      <c r="C622" s="9">
        <f t="shared" ref="C622:C637" si="119">C621</f>
        <v>0</v>
      </c>
      <c r="D622" s="32" t="s">
        <v>71</v>
      </c>
      <c r="E622" s="33"/>
      <c r="F622" s="681"/>
      <c r="G622" s="682"/>
    </row>
    <row r="623" spans="3:7" ht="15.75" hidden="1" thickBot="1" x14ac:dyDescent="0.3">
      <c r="C623" s="9">
        <f t="shared" si="119"/>
        <v>0</v>
      </c>
      <c r="D623" s="364" t="s">
        <v>72</v>
      </c>
      <c r="E623" s="12" t="s">
        <v>57</v>
      </c>
      <c r="F623" s="683">
        <f t="shared" ref="F623:G623" si="120">+$E620*F$6</f>
        <v>0</v>
      </c>
      <c r="G623" s="683">
        <f t="shared" si="120"/>
        <v>0</v>
      </c>
    </row>
    <row r="624" spans="3:7" ht="15.75" hidden="1" thickBot="1" x14ac:dyDescent="0.3">
      <c r="C624" s="9">
        <f t="shared" si="119"/>
        <v>0</v>
      </c>
      <c r="D624" s="364" t="s">
        <v>73</v>
      </c>
      <c r="E624" s="12" t="s">
        <v>56</v>
      </c>
      <c r="F624" s="683">
        <f t="shared" ref="F624:G624" si="121">+$E620*F$7</f>
        <v>0</v>
      </c>
      <c r="G624" s="683">
        <f t="shared" si="121"/>
        <v>0</v>
      </c>
    </row>
    <row r="625" spans="3:7" ht="15.75" hidden="1" thickBot="1" x14ac:dyDescent="0.3">
      <c r="C625" s="9">
        <f t="shared" si="119"/>
        <v>0</v>
      </c>
      <c r="D625" s="364" t="s">
        <v>74</v>
      </c>
      <c r="E625" s="12" t="s">
        <v>55</v>
      </c>
      <c r="F625" s="683">
        <f t="shared" ref="F625:G625" si="122">+$E620*F$8</f>
        <v>0</v>
      </c>
      <c r="G625" s="683">
        <f t="shared" si="122"/>
        <v>0</v>
      </c>
    </row>
    <row r="626" spans="3:7" ht="15.75" hidden="1" thickBot="1" x14ac:dyDescent="0.3">
      <c r="C626" s="9">
        <f t="shared" si="119"/>
        <v>0</v>
      </c>
      <c r="D626" s="364" t="s">
        <v>75</v>
      </c>
      <c r="E626" s="12" t="s">
        <v>54</v>
      </c>
      <c r="F626" s="683">
        <f t="shared" ref="F626:G626" si="123">+$E620*F$9</f>
        <v>0</v>
      </c>
      <c r="G626" s="683">
        <f t="shared" si="123"/>
        <v>0</v>
      </c>
    </row>
    <row r="627" spans="3:7" ht="15.75" hidden="1" thickBot="1" x14ac:dyDescent="0.3">
      <c r="C627" s="9">
        <f t="shared" si="119"/>
        <v>0</v>
      </c>
      <c r="D627" s="34" t="s">
        <v>467</v>
      </c>
      <c r="E627" s="12" t="s">
        <v>53</v>
      </c>
      <c r="F627" s="683">
        <f t="shared" ref="F627:G627" si="124">+$E620*F$10</f>
        <v>0</v>
      </c>
      <c r="G627" s="683">
        <f t="shared" si="124"/>
        <v>0</v>
      </c>
    </row>
    <row r="628" spans="3:7" ht="15.75" hidden="1" thickBot="1" x14ac:dyDescent="0.3">
      <c r="C628" s="9">
        <f t="shared" si="119"/>
        <v>0</v>
      </c>
      <c r="D628" s="34" t="s">
        <v>76</v>
      </c>
      <c r="E628" s="12" t="s">
        <v>52</v>
      </c>
      <c r="F628" s="683">
        <f>+$E620*F$11</f>
        <v>0</v>
      </c>
      <c r="G628" s="683">
        <f>+$E620*G$11</f>
        <v>0</v>
      </c>
    </row>
    <row r="629" spans="3:7" ht="15.75" hidden="1" thickBot="1" x14ac:dyDescent="0.3">
      <c r="C629" s="9">
        <f t="shared" si="119"/>
        <v>0</v>
      </c>
      <c r="D629" s="34" t="s">
        <v>468</v>
      </c>
      <c r="E629" s="12" t="s">
        <v>51</v>
      </c>
      <c r="F629" s="683">
        <f>+$E620*F$12</f>
        <v>0</v>
      </c>
      <c r="G629" s="683">
        <f>+$E620*G$12</f>
        <v>0</v>
      </c>
    </row>
    <row r="630" spans="3:7" ht="15.75" hidden="1" thickBot="1" x14ac:dyDescent="0.3">
      <c r="C630" s="9">
        <f t="shared" si="119"/>
        <v>0</v>
      </c>
      <c r="D630" s="364" t="s">
        <v>59</v>
      </c>
      <c r="E630" s="12" t="s">
        <v>50</v>
      </c>
      <c r="F630" s="683">
        <f>+$E620*F$13</f>
        <v>0</v>
      </c>
      <c r="G630" s="683">
        <f>+$E620*G$13</f>
        <v>0</v>
      </c>
    </row>
    <row r="631" spans="3:7" ht="15.75" hidden="1" thickBot="1" x14ac:dyDescent="0.3">
      <c r="C631" s="9">
        <f t="shared" si="119"/>
        <v>0</v>
      </c>
      <c r="D631" s="364" t="s">
        <v>25</v>
      </c>
      <c r="E631" s="12" t="s">
        <v>49</v>
      </c>
      <c r="F631" s="683">
        <f>+$E620*F$14</f>
        <v>0</v>
      </c>
      <c r="G631" s="683">
        <f>+$E620*G$14</f>
        <v>0</v>
      </c>
    </row>
    <row r="632" spans="3:7" ht="15.75" hidden="1" thickBot="1" x14ac:dyDescent="0.3">
      <c r="C632" s="9">
        <f t="shared" si="119"/>
        <v>0</v>
      </c>
      <c r="D632" s="364" t="s">
        <v>466</v>
      </c>
      <c r="E632" s="12" t="s">
        <v>47</v>
      </c>
      <c r="F632" s="683">
        <f>+$E620*F$15</f>
        <v>0</v>
      </c>
      <c r="G632" s="683">
        <f>+$E620*G$15</f>
        <v>0</v>
      </c>
    </row>
    <row r="633" spans="3:7" ht="15.75" hidden="1" thickBot="1" x14ac:dyDescent="0.3">
      <c r="C633" s="9">
        <f t="shared" si="119"/>
        <v>0</v>
      </c>
      <c r="D633" s="364" t="s">
        <v>82</v>
      </c>
      <c r="E633" s="12" t="s">
        <v>77</v>
      </c>
      <c r="F633" s="683">
        <f>+$E620*F$16</f>
        <v>0</v>
      </c>
      <c r="G633" s="683">
        <f>+$E620*G$16</f>
        <v>0</v>
      </c>
    </row>
    <row r="634" spans="3:7" ht="15.75" hidden="1" thickBot="1" x14ac:dyDescent="0.3">
      <c r="C634" s="9">
        <f t="shared" si="119"/>
        <v>0</v>
      </c>
      <c r="D634" s="364" t="s">
        <v>84</v>
      </c>
      <c r="E634" s="12" t="s">
        <v>78</v>
      </c>
      <c r="F634" s="683">
        <f ca="1">+$E620*F$17</f>
        <v>0</v>
      </c>
      <c r="G634" s="683">
        <f>+$E620*G$17</f>
        <v>0</v>
      </c>
    </row>
    <row r="635" spans="3:7" ht="15.75" hidden="1" thickBot="1" x14ac:dyDescent="0.3">
      <c r="C635" s="9">
        <f t="shared" si="119"/>
        <v>0</v>
      </c>
      <c r="D635" s="364" t="s">
        <v>86</v>
      </c>
      <c r="E635" s="12" t="s">
        <v>79</v>
      </c>
      <c r="F635" s="683">
        <f>+$E$620*F18</f>
        <v>0</v>
      </c>
      <c r="G635" s="683">
        <f>+$E$620*G18</f>
        <v>0</v>
      </c>
    </row>
    <row r="636" spans="3:7" ht="15.75" hidden="1" thickBot="1" x14ac:dyDescent="0.3">
      <c r="C636" s="9">
        <f t="shared" si="119"/>
        <v>0</v>
      </c>
      <c r="D636" s="364" t="s">
        <v>386</v>
      </c>
      <c r="E636" s="12" t="s">
        <v>81</v>
      </c>
      <c r="F636" s="683">
        <f>+$E$620*F19</f>
        <v>0</v>
      </c>
      <c r="G636" s="683">
        <f>+$E$620*G19</f>
        <v>0</v>
      </c>
    </row>
    <row r="637" spans="3:7" ht="15.75" hidden="1" thickBot="1" x14ac:dyDescent="0.3">
      <c r="C637" s="9">
        <f t="shared" si="119"/>
        <v>0</v>
      </c>
      <c r="D637" s="35" t="s">
        <v>22</v>
      </c>
      <c r="E637" s="12" t="s">
        <v>83</v>
      </c>
      <c r="F637" s="685">
        <f>SUBTOTAL(9,F623:F636)</f>
        <v>0</v>
      </c>
      <c r="G637" s="685">
        <f>SUBTOTAL(9,G623:G636)</f>
        <v>0</v>
      </c>
    </row>
    <row r="638" spans="3:7" ht="15.75" hidden="1" thickBot="1" x14ac:dyDescent="0.3">
      <c r="D638" s="326"/>
      <c r="E638" s="327"/>
      <c r="F638" s="686"/>
      <c r="G638" s="686"/>
    </row>
    <row r="639" spans="3:7" ht="15.75" hidden="1" thickBot="1" x14ac:dyDescent="0.3">
      <c r="D639" s="326"/>
      <c r="E639" s="327"/>
      <c r="F639" s="686"/>
      <c r="G639" s="686"/>
    </row>
    <row r="640" spans="3:7" ht="30.75" hidden="1" thickBot="1" x14ac:dyDescent="0.3">
      <c r="C640" s="9">
        <f>IF(F657&gt;0,1,0)</f>
        <v>0</v>
      </c>
      <c r="D640" s="20" t="str">
        <f>+A36</f>
        <v>Oneida</v>
      </c>
      <c r="E640" s="19">
        <f>IFERROR(SUMIF(A:A,D640,B:B),0)</f>
        <v>0</v>
      </c>
      <c r="F640" s="652" t="s">
        <v>31</v>
      </c>
      <c r="G640" s="652" t="s">
        <v>32</v>
      </c>
    </row>
    <row r="641" spans="3:7" ht="15.75" hidden="1" thickBot="1" x14ac:dyDescent="0.3">
      <c r="C641" s="9">
        <f>C640</f>
        <v>0</v>
      </c>
      <c r="D641" s="30"/>
      <c r="E641" s="31"/>
      <c r="F641" s="680" t="s">
        <v>54</v>
      </c>
      <c r="G641" s="680" t="s">
        <v>53</v>
      </c>
    </row>
    <row r="642" spans="3:7" ht="15.75" hidden="1" thickBot="1" x14ac:dyDescent="0.3">
      <c r="C642" s="9">
        <f t="shared" ref="C642:C657" si="125">C641</f>
        <v>0</v>
      </c>
      <c r="D642" s="32" t="s">
        <v>71</v>
      </c>
      <c r="E642" s="33"/>
      <c r="F642" s="681"/>
      <c r="G642" s="682"/>
    </row>
    <row r="643" spans="3:7" ht="15.75" hidden="1" thickBot="1" x14ac:dyDescent="0.3">
      <c r="C643" s="9">
        <f t="shared" si="125"/>
        <v>0</v>
      </c>
      <c r="D643" s="364" t="s">
        <v>72</v>
      </c>
      <c r="E643" s="12" t="s">
        <v>57</v>
      </c>
      <c r="F643" s="683">
        <f t="shared" ref="F643:G643" si="126">+$E640*F$6</f>
        <v>0</v>
      </c>
      <c r="G643" s="683">
        <f t="shared" si="126"/>
        <v>0</v>
      </c>
    </row>
    <row r="644" spans="3:7" ht="15.75" hidden="1" thickBot="1" x14ac:dyDescent="0.3">
      <c r="C644" s="9">
        <f t="shared" si="125"/>
        <v>0</v>
      </c>
      <c r="D644" s="364" t="s">
        <v>73</v>
      </c>
      <c r="E644" s="12" t="s">
        <v>56</v>
      </c>
      <c r="F644" s="683">
        <f t="shared" ref="F644:G644" si="127">+$E640*F$7</f>
        <v>0</v>
      </c>
      <c r="G644" s="683">
        <f t="shared" si="127"/>
        <v>0</v>
      </c>
    </row>
    <row r="645" spans="3:7" ht="15.75" hidden="1" thickBot="1" x14ac:dyDescent="0.3">
      <c r="C645" s="9">
        <f t="shared" si="125"/>
        <v>0</v>
      </c>
      <c r="D645" s="364" t="s">
        <v>74</v>
      </c>
      <c r="E645" s="12" t="s">
        <v>55</v>
      </c>
      <c r="F645" s="683">
        <f t="shared" ref="F645:G645" si="128">+$E640*F$8</f>
        <v>0</v>
      </c>
      <c r="G645" s="683">
        <f t="shared" si="128"/>
        <v>0</v>
      </c>
    </row>
    <row r="646" spans="3:7" ht="15.75" hidden="1" thickBot="1" x14ac:dyDescent="0.3">
      <c r="C646" s="9">
        <f t="shared" si="125"/>
        <v>0</v>
      </c>
      <c r="D646" s="364" t="s">
        <v>75</v>
      </c>
      <c r="E646" s="12" t="s">
        <v>54</v>
      </c>
      <c r="F646" s="683">
        <f t="shared" ref="F646:G646" si="129">+$E640*F$9</f>
        <v>0</v>
      </c>
      <c r="G646" s="683">
        <f t="shared" si="129"/>
        <v>0</v>
      </c>
    </row>
    <row r="647" spans="3:7" ht="15.75" hidden="1" thickBot="1" x14ac:dyDescent="0.3">
      <c r="C647" s="9">
        <f t="shared" si="125"/>
        <v>0</v>
      </c>
      <c r="D647" s="34" t="s">
        <v>467</v>
      </c>
      <c r="E647" s="12" t="s">
        <v>53</v>
      </c>
      <c r="F647" s="683">
        <f t="shared" ref="F647:G647" si="130">+$E640*F$10</f>
        <v>0</v>
      </c>
      <c r="G647" s="683">
        <f t="shared" si="130"/>
        <v>0</v>
      </c>
    </row>
    <row r="648" spans="3:7" ht="15.75" hidden="1" thickBot="1" x14ac:dyDescent="0.3">
      <c r="C648" s="9">
        <f t="shared" si="125"/>
        <v>0</v>
      </c>
      <c r="D648" s="34" t="s">
        <v>76</v>
      </c>
      <c r="E648" s="12" t="s">
        <v>52</v>
      </c>
      <c r="F648" s="683">
        <f>+$E640*F$11</f>
        <v>0</v>
      </c>
      <c r="G648" s="683">
        <f>+$E640*G$11</f>
        <v>0</v>
      </c>
    </row>
    <row r="649" spans="3:7" ht="15.75" hidden="1" thickBot="1" x14ac:dyDescent="0.3">
      <c r="C649" s="9">
        <f t="shared" si="125"/>
        <v>0</v>
      </c>
      <c r="D649" s="34" t="s">
        <v>468</v>
      </c>
      <c r="E649" s="12" t="s">
        <v>51</v>
      </c>
      <c r="F649" s="683">
        <f>+$E640*F$12</f>
        <v>0</v>
      </c>
      <c r="G649" s="683">
        <f>+$E640*G$12</f>
        <v>0</v>
      </c>
    </row>
    <row r="650" spans="3:7" ht="15.75" hidden="1" thickBot="1" x14ac:dyDescent="0.3">
      <c r="C650" s="9">
        <f t="shared" si="125"/>
        <v>0</v>
      </c>
      <c r="D650" s="364" t="s">
        <v>59</v>
      </c>
      <c r="E650" s="12" t="s">
        <v>50</v>
      </c>
      <c r="F650" s="683">
        <f>+$E640*F$13</f>
        <v>0</v>
      </c>
      <c r="G650" s="683">
        <f>+$E640*G$13</f>
        <v>0</v>
      </c>
    </row>
    <row r="651" spans="3:7" ht="15.75" hidden="1" thickBot="1" x14ac:dyDescent="0.3">
      <c r="C651" s="9">
        <f t="shared" si="125"/>
        <v>0</v>
      </c>
      <c r="D651" s="364" t="s">
        <v>25</v>
      </c>
      <c r="E651" s="12" t="s">
        <v>49</v>
      </c>
      <c r="F651" s="683">
        <f>+$E640*F$14</f>
        <v>0</v>
      </c>
      <c r="G651" s="683">
        <f>+$E640*G$14</f>
        <v>0</v>
      </c>
    </row>
    <row r="652" spans="3:7" ht="15.75" hidden="1" thickBot="1" x14ac:dyDescent="0.3">
      <c r="C652" s="9">
        <f t="shared" si="125"/>
        <v>0</v>
      </c>
      <c r="D652" s="364" t="s">
        <v>466</v>
      </c>
      <c r="E652" s="12" t="s">
        <v>47</v>
      </c>
      <c r="F652" s="683">
        <f>+$E640*F$15</f>
        <v>0</v>
      </c>
      <c r="G652" s="683">
        <f>+$E640*G$15</f>
        <v>0</v>
      </c>
    </row>
    <row r="653" spans="3:7" ht="15.75" hidden="1" thickBot="1" x14ac:dyDescent="0.3">
      <c r="C653" s="9">
        <f t="shared" si="125"/>
        <v>0</v>
      </c>
      <c r="D653" s="364" t="s">
        <v>82</v>
      </c>
      <c r="E653" s="12" t="s">
        <v>77</v>
      </c>
      <c r="F653" s="683">
        <f>+$E640*F$16</f>
        <v>0</v>
      </c>
      <c r="G653" s="683">
        <f>+$E640*G$16</f>
        <v>0</v>
      </c>
    </row>
    <row r="654" spans="3:7" ht="15.75" hidden="1" thickBot="1" x14ac:dyDescent="0.3">
      <c r="C654" s="9">
        <f t="shared" si="125"/>
        <v>0</v>
      </c>
      <c r="D654" s="364" t="s">
        <v>84</v>
      </c>
      <c r="E654" s="12" t="s">
        <v>78</v>
      </c>
      <c r="F654" s="683">
        <f ca="1">+$E640*F$17</f>
        <v>0</v>
      </c>
      <c r="G654" s="683">
        <f>+$E640*G$17</f>
        <v>0</v>
      </c>
    </row>
    <row r="655" spans="3:7" ht="15.75" hidden="1" thickBot="1" x14ac:dyDescent="0.3">
      <c r="C655" s="9">
        <f t="shared" si="125"/>
        <v>0</v>
      </c>
      <c r="D655" s="364" t="s">
        <v>86</v>
      </c>
      <c r="E655" s="12" t="s">
        <v>79</v>
      </c>
      <c r="F655" s="683">
        <f>+$E$640*F18</f>
        <v>0</v>
      </c>
      <c r="G655" s="683">
        <f>+$E$640*G18</f>
        <v>0</v>
      </c>
    </row>
    <row r="656" spans="3:7" ht="15.75" hidden="1" thickBot="1" x14ac:dyDescent="0.3">
      <c r="C656" s="9">
        <f t="shared" si="125"/>
        <v>0</v>
      </c>
      <c r="D656" s="364" t="s">
        <v>386</v>
      </c>
      <c r="E656" s="12" t="s">
        <v>81</v>
      </c>
      <c r="F656" s="683">
        <f>+$E$640*F19</f>
        <v>0</v>
      </c>
      <c r="G656" s="683">
        <f>+$E$640*G19</f>
        <v>0</v>
      </c>
    </row>
    <row r="657" spans="3:7" ht="15.75" hidden="1" thickBot="1" x14ac:dyDescent="0.3">
      <c r="C657" s="9">
        <f t="shared" si="125"/>
        <v>0</v>
      </c>
      <c r="D657" s="35" t="s">
        <v>22</v>
      </c>
      <c r="E657" s="12" t="s">
        <v>83</v>
      </c>
      <c r="F657" s="685">
        <f>SUBTOTAL(9,F643:F656)</f>
        <v>0</v>
      </c>
      <c r="G657" s="685">
        <f>SUBTOTAL(9,G643:G656)</f>
        <v>0</v>
      </c>
    </row>
    <row r="658" spans="3:7" ht="15.75" hidden="1" thickBot="1" x14ac:dyDescent="0.3">
      <c r="D658" s="326"/>
      <c r="E658" s="327"/>
      <c r="F658" s="686"/>
      <c r="G658" s="686"/>
    </row>
    <row r="659" spans="3:7" ht="15.75" hidden="1" thickBot="1" x14ac:dyDescent="0.3">
      <c r="D659" s="326"/>
      <c r="E659" s="327"/>
      <c r="F659" s="686"/>
      <c r="G659" s="686"/>
    </row>
    <row r="660" spans="3:7" ht="30.75" hidden="1" thickBot="1" x14ac:dyDescent="0.3">
      <c r="C660" s="9">
        <f>IF(F677&gt;0,1,0)</f>
        <v>0</v>
      </c>
      <c r="D660" s="20" t="str">
        <f>A37</f>
        <v>Onondaga</v>
      </c>
      <c r="E660" s="19">
        <f>IFERROR(SUMIF(A:A,D660,B:B),0)</f>
        <v>0</v>
      </c>
      <c r="F660" s="652" t="s">
        <v>31</v>
      </c>
      <c r="G660" s="652" t="s">
        <v>32</v>
      </c>
    </row>
    <row r="661" spans="3:7" ht="15.75" hidden="1" thickBot="1" x14ac:dyDescent="0.3">
      <c r="C661" s="9">
        <f>C660</f>
        <v>0</v>
      </c>
      <c r="D661" s="30"/>
      <c r="E661" s="31"/>
      <c r="F661" s="680" t="s">
        <v>54</v>
      </c>
      <c r="G661" s="680" t="s">
        <v>53</v>
      </c>
    </row>
    <row r="662" spans="3:7" ht="15.75" hidden="1" thickBot="1" x14ac:dyDescent="0.3">
      <c r="C662" s="9">
        <f t="shared" ref="C662:C677" si="131">C661</f>
        <v>0</v>
      </c>
      <c r="D662" s="32" t="s">
        <v>71</v>
      </c>
      <c r="E662" s="33"/>
      <c r="F662" s="681"/>
      <c r="G662" s="682"/>
    </row>
    <row r="663" spans="3:7" ht="15.75" hidden="1" thickBot="1" x14ac:dyDescent="0.3">
      <c r="C663" s="9">
        <f t="shared" si="131"/>
        <v>0</v>
      </c>
      <c r="D663" s="364" t="s">
        <v>72</v>
      </c>
      <c r="E663" s="12" t="s">
        <v>57</v>
      </c>
      <c r="F663" s="683">
        <f t="shared" ref="F663:G663" si="132">+$E660*F$6</f>
        <v>0</v>
      </c>
      <c r="G663" s="683">
        <f t="shared" si="132"/>
        <v>0</v>
      </c>
    </row>
    <row r="664" spans="3:7" ht="15.75" hidden="1" thickBot="1" x14ac:dyDescent="0.3">
      <c r="C664" s="9">
        <f t="shared" si="131"/>
        <v>0</v>
      </c>
      <c r="D664" s="364" t="s">
        <v>73</v>
      </c>
      <c r="E664" s="12" t="s">
        <v>56</v>
      </c>
      <c r="F664" s="683">
        <f t="shared" ref="F664:G664" si="133">+$E660*F$7</f>
        <v>0</v>
      </c>
      <c r="G664" s="683">
        <f t="shared" si="133"/>
        <v>0</v>
      </c>
    </row>
    <row r="665" spans="3:7" ht="15.75" hidden="1" thickBot="1" x14ac:dyDescent="0.3">
      <c r="C665" s="9">
        <f t="shared" si="131"/>
        <v>0</v>
      </c>
      <c r="D665" s="364" t="s">
        <v>74</v>
      </c>
      <c r="E665" s="12" t="s">
        <v>55</v>
      </c>
      <c r="F665" s="683">
        <f t="shared" ref="F665:G665" si="134">+$E660*F$8</f>
        <v>0</v>
      </c>
      <c r="G665" s="683">
        <f t="shared" si="134"/>
        <v>0</v>
      </c>
    </row>
    <row r="666" spans="3:7" ht="15.75" hidden="1" thickBot="1" x14ac:dyDescent="0.3">
      <c r="C666" s="9">
        <f t="shared" si="131"/>
        <v>0</v>
      </c>
      <c r="D666" s="364" t="s">
        <v>75</v>
      </c>
      <c r="E666" s="12" t="s">
        <v>54</v>
      </c>
      <c r="F666" s="683">
        <f t="shared" ref="F666:G666" si="135">+$E660*F$9</f>
        <v>0</v>
      </c>
      <c r="G666" s="683">
        <f t="shared" si="135"/>
        <v>0</v>
      </c>
    </row>
    <row r="667" spans="3:7" ht="15.75" hidden="1" thickBot="1" x14ac:dyDescent="0.3">
      <c r="C667" s="9">
        <f t="shared" si="131"/>
        <v>0</v>
      </c>
      <c r="D667" s="34" t="s">
        <v>467</v>
      </c>
      <c r="E667" s="12" t="s">
        <v>53</v>
      </c>
      <c r="F667" s="683">
        <f t="shared" ref="F667:G667" si="136">+$E660*F$10</f>
        <v>0</v>
      </c>
      <c r="G667" s="683">
        <f t="shared" si="136"/>
        <v>0</v>
      </c>
    </row>
    <row r="668" spans="3:7" ht="15.75" hidden="1" thickBot="1" x14ac:dyDescent="0.3">
      <c r="C668" s="9">
        <f t="shared" si="131"/>
        <v>0</v>
      </c>
      <c r="D668" s="34" t="s">
        <v>76</v>
      </c>
      <c r="E668" s="12" t="s">
        <v>52</v>
      </c>
      <c r="F668" s="683">
        <f>+$E660*F$11</f>
        <v>0</v>
      </c>
      <c r="G668" s="683">
        <f>+$E660*G$11</f>
        <v>0</v>
      </c>
    </row>
    <row r="669" spans="3:7" ht="15.75" hidden="1" thickBot="1" x14ac:dyDescent="0.3">
      <c r="C669" s="9">
        <f t="shared" si="131"/>
        <v>0</v>
      </c>
      <c r="D669" s="34" t="s">
        <v>468</v>
      </c>
      <c r="E669" s="12" t="s">
        <v>51</v>
      </c>
      <c r="F669" s="683">
        <f>+$E660*F$12</f>
        <v>0</v>
      </c>
      <c r="G669" s="683">
        <f>+$E660*G$12</f>
        <v>0</v>
      </c>
    </row>
    <row r="670" spans="3:7" ht="15.75" hidden="1" thickBot="1" x14ac:dyDescent="0.3">
      <c r="C670" s="9">
        <f t="shared" si="131"/>
        <v>0</v>
      </c>
      <c r="D670" s="364" t="s">
        <v>59</v>
      </c>
      <c r="E670" s="12" t="s">
        <v>50</v>
      </c>
      <c r="F670" s="683">
        <f>+$E660*F$13</f>
        <v>0</v>
      </c>
      <c r="G670" s="683">
        <f>+$E660*G$13</f>
        <v>0</v>
      </c>
    </row>
    <row r="671" spans="3:7" ht="15.75" hidden="1" thickBot="1" x14ac:dyDescent="0.3">
      <c r="C671" s="9">
        <f t="shared" si="131"/>
        <v>0</v>
      </c>
      <c r="D671" s="364" t="s">
        <v>25</v>
      </c>
      <c r="E671" s="12" t="s">
        <v>49</v>
      </c>
      <c r="F671" s="683">
        <f>+$E660*F$14</f>
        <v>0</v>
      </c>
      <c r="G671" s="683">
        <f>+$E660*G$14</f>
        <v>0</v>
      </c>
    </row>
    <row r="672" spans="3:7" ht="15.75" hidden="1" thickBot="1" x14ac:dyDescent="0.3">
      <c r="C672" s="9">
        <f t="shared" si="131"/>
        <v>0</v>
      </c>
      <c r="D672" s="364" t="s">
        <v>466</v>
      </c>
      <c r="E672" s="12" t="s">
        <v>47</v>
      </c>
      <c r="F672" s="683">
        <f>+$E660*F$15</f>
        <v>0</v>
      </c>
      <c r="G672" s="683">
        <f>+$E660*G$15</f>
        <v>0</v>
      </c>
    </row>
    <row r="673" spans="3:7" ht="15.75" hidden="1" thickBot="1" x14ac:dyDescent="0.3">
      <c r="C673" s="9">
        <f t="shared" si="131"/>
        <v>0</v>
      </c>
      <c r="D673" s="364" t="s">
        <v>82</v>
      </c>
      <c r="E673" s="12" t="s">
        <v>77</v>
      </c>
      <c r="F673" s="683">
        <f>+$E660*F$16</f>
        <v>0</v>
      </c>
      <c r="G673" s="683">
        <f>+$E660*G$16</f>
        <v>0</v>
      </c>
    </row>
    <row r="674" spans="3:7" ht="15.75" hidden="1" thickBot="1" x14ac:dyDescent="0.3">
      <c r="C674" s="9">
        <f t="shared" si="131"/>
        <v>0</v>
      </c>
      <c r="D674" s="364" t="s">
        <v>84</v>
      </c>
      <c r="E674" s="12" t="s">
        <v>78</v>
      </c>
      <c r="F674" s="683">
        <f ca="1">+$E660*F$17</f>
        <v>0</v>
      </c>
      <c r="G674" s="683">
        <f>+$E660*G$17</f>
        <v>0</v>
      </c>
    </row>
    <row r="675" spans="3:7" ht="15.75" hidden="1" thickBot="1" x14ac:dyDescent="0.3">
      <c r="C675" s="9">
        <f t="shared" si="131"/>
        <v>0</v>
      </c>
      <c r="D675" s="364" t="s">
        <v>86</v>
      </c>
      <c r="E675" s="12" t="s">
        <v>79</v>
      </c>
      <c r="F675" s="683">
        <f>+$E$660*F18</f>
        <v>0</v>
      </c>
      <c r="G675" s="683">
        <f>+$E$660*G18</f>
        <v>0</v>
      </c>
    </row>
    <row r="676" spans="3:7" ht="15.75" hidden="1" thickBot="1" x14ac:dyDescent="0.3">
      <c r="C676" s="9">
        <f t="shared" si="131"/>
        <v>0</v>
      </c>
      <c r="D676" s="364" t="s">
        <v>386</v>
      </c>
      <c r="E676" s="12" t="s">
        <v>81</v>
      </c>
      <c r="F676" s="683">
        <f>+$E$660*F19</f>
        <v>0</v>
      </c>
      <c r="G676" s="683">
        <f>+$E$660*G19</f>
        <v>0</v>
      </c>
    </row>
    <row r="677" spans="3:7" ht="15.75" hidden="1" thickBot="1" x14ac:dyDescent="0.3">
      <c r="C677" s="9">
        <f t="shared" si="131"/>
        <v>0</v>
      </c>
      <c r="D677" s="35" t="s">
        <v>22</v>
      </c>
      <c r="E677" s="12" t="s">
        <v>83</v>
      </c>
      <c r="F677" s="685">
        <f>SUBTOTAL(9,F663:F676)</f>
        <v>0</v>
      </c>
      <c r="G677" s="685">
        <f>SUBTOTAL(9,G663:G676)</f>
        <v>0</v>
      </c>
    </row>
    <row r="678" spans="3:7" ht="15.75" hidden="1" thickBot="1" x14ac:dyDescent="0.3">
      <c r="D678" s="326"/>
      <c r="E678" s="327"/>
      <c r="F678" s="686"/>
      <c r="G678" s="686"/>
    </row>
    <row r="679" spans="3:7" ht="30.75" hidden="1" thickBot="1" x14ac:dyDescent="0.3">
      <c r="C679" s="9">
        <f>IF(F696&gt;0,1,0)</f>
        <v>0</v>
      </c>
      <c r="D679" s="20" t="str">
        <f>+A38</f>
        <v>Ontario</v>
      </c>
      <c r="E679" s="19">
        <f>IFERROR(SUMIF(A:A,D679,B:B),0)</f>
        <v>0</v>
      </c>
      <c r="F679" s="652" t="s">
        <v>31</v>
      </c>
      <c r="G679" s="652" t="s">
        <v>32</v>
      </c>
    </row>
    <row r="680" spans="3:7" ht="15.75" hidden="1" thickBot="1" x14ac:dyDescent="0.3">
      <c r="C680" s="9">
        <f>C679</f>
        <v>0</v>
      </c>
      <c r="D680" s="30"/>
      <c r="E680" s="31"/>
      <c r="F680" s="680" t="s">
        <v>54</v>
      </c>
      <c r="G680" s="680" t="s">
        <v>53</v>
      </c>
    </row>
    <row r="681" spans="3:7" ht="15.75" hidden="1" thickBot="1" x14ac:dyDescent="0.3">
      <c r="C681" s="9">
        <f t="shared" ref="C681:C696" si="137">C680</f>
        <v>0</v>
      </c>
      <c r="D681" s="32" t="s">
        <v>71</v>
      </c>
      <c r="E681" s="33"/>
      <c r="F681" s="681"/>
      <c r="G681" s="682"/>
    </row>
    <row r="682" spans="3:7" ht="15.75" hidden="1" thickBot="1" x14ac:dyDescent="0.3">
      <c r="C682" s="9">
        <f t="shared" si="137"/>
        <v>0</v>
      </c>
      <c r="D682" s="364" t="s">
        <v>72</v>
      </c>
      <c r="E682" s="12" t="s">
        <v>57</v>
      </c>
      <c r="F682" s="683">
        <f t="shared" ref="F682:G682" si="138">+$E679*F$6</f>
        <v>0</v>
      </c>
      <c r="G682" s="683">
        <f t="shared" si="138"/>
        <v>0</v>
      </c>
    </row>
    <row r="683" spans="3:7" ht="15.75" hidden="1" thickBot="1" x14ac:dyDescent="0.3">
      <c r="C683" s="9">
        <f t="shared" si="137"/>
        <v>0</v>
      </c>
      <c r="D683" s="364" t="s">
        <v>73</v>
      </c>
      <c r="E683" s="12" t="s">
        <v>56</v>
      </c>
      <c r="F683" s="683">
        <f t="shared" ref="F683:G683" si="139">+$E679*F$7</f>
        <v>0</v>
      </c>
      <c r="G683" s="683">
        <f t="shared" si="139"/>
        <v>0</v>
      </c>
    </row>
    <row r="684" spans="3:7" ht="15.75" hidden="1" thickBot="1" x14ac:dyDescent="0.3">
      <c r="C684" s="9">
        <f t="shared" si="137"/>
        <v>0</v>
      </c>
      <c r="D684" s="364" t="s">
        <v>74</v>
      </c>
      <c r="E684" s="12" t="s">
        <v>55</v>
      </c>
      <c r="F684" s="683">
        <f t="shared" ref="F684:G684" si="140">+$E679*F$8</f>
        <v>0</v>
      </c>
      <c r="G684" s="683">
        <f t="shared" si="140"/>
        <v>0</v>
      </c>
    </row>
    <row r="685" spans="3:7" ht="15.75" hidden="1" thickBot="1" x14ac:dyDescent="0.3">
      <c r="C685" s="9">
        <f t="shared" si="137"/>
        <v>0</v>
      </c>
      <c r="D685" s="364" t="s">
        <v>75</v>
      </c>
      <c r="E685" s="12" t="s">
        <v>54</v>
      </c>
      <c r="F685" s="683">
        <f t="shared" ref="F685:G685" si="141">+$E679*F$9</f>
        <v>0</v>
      </c>
      <c r="G685" s="683">
        <f t="shared" si="141"/>
        <v>0</v>
      </c>
    </row>
    <row r="686" spans="3:7" ht="15.75" hidden="1" thickBot="1" x14ac:dyDescent="0.3">
      <c r="C686" s="9">
        <f t="shared" si="137"/>
        <v>0</v>
      </c>
      <c r="D686" s="34" t="s">
        <v>467</v>
      </c>
      <c r="E686" s="12" t="s">
        <v>53</v>
      </c>
      <c r="F686" s="683">
        <f t="shared" ref="F686:G686" si="142">+$E679*F$10</f>
        <v>0</v>
      </c>
      <c r="G686" s="683">
        <f t="shared" si="142"/>
        <v>0</v>
      </c>
    </row>
    <row r="687" spans="3:7" ht="15.75" hidden="1" thickBot="1" x14ac:dyDescent="0.3">
      <c r="C687" s="9">
        <f t="shared" si="137"/>
        <v>0</v>
      </c>
      <c r="D687" s="34" t="s">
        <v>76</v>
      </c>
      <c r="E687" s="12" t="s">
        <v>52</v>
      </c>
      <c r="F687" s="683">
        <f>+$E679*F$11</f>
        <v>0</v>
      </c>
      <c r="G687" s="683">
        <f>+$E679*G$11</f>
        <v>0</v>
      </c>
    </row>
    <row r="688" spans="3:7" ht="15.75" hidden="1" thickBot="1" x14ac:dyDescent="0.3">
      <c r="C688" s="9">
        <f t="shared" si="137"/>
        <v>0</v>
      </c>
      <c r="D688" s="34" t="s">
        <v>468</v>
      </c>
      <c r="E688" s="12" t="s">
        <v>51</v>
      </c>
      <c r="F688" s="683">
        <f>+$E679*F$12</f>
        <v>0</v>
      </c>
      <c r="G688" s="683">
        <f>+$E679*G$12</f>
        <v>0</v>
      </c>
    </row>
    <row r="689" spans="3:7" ht="15.75" hidden="1" thickBot="1" x14ac:dyDescent="0.3">
      <c r="C689" s="9">
        <f t="shared" si="137"/>
        <v>0</v>
      </c>
      <c r="D689" s="364" t="s">
        <v>59</v>
      </c>
      <c r="E689" s="12" t="s">
        <v>50</v>
      </c>
      <c r="F689" s="683">
        <f>+$E679*F$13</f>
        <v>0</v>
      </c>
      <c r="G689" s="683">
        <f>+$E679*G$13</f>
        <v>0</v>
      </c>
    </row>
    <row r="690" spans="3:7" ht="15.75" hidden="1" thickBot="1" x14ac:dyDescent="0.3">
      <c r="C690" s="9">
        <f t="shared" si="137"/>
        <v>0</v>
      </c>
      <c r="D690" s="364" t="s">
        <v>25</v>
      </c>
      <c r="E690" s="12" t="s">
        <v>49</v>
      </c>
      <c r="F690" s="683">
        <f>+$E679*F$14</f>
        <v>0</v>
      </c>
      <c r="G690" s="683">
        <f>+$E679*G$14</f>
        <v>0</v>
      </c>
    </row>
    <row r="691" spans="3:7" ht="15.75" hidden="1" thickBot="1" x14ac:dyDescent="0.3">
      <c r="C691" s="9">
        <f t="shared" si="137"/>
        <v>0</v>
      </c>
      <c r="D691" s="364" t="s">
        <v>466</v>
      </c>
      <c r="E691" s="12" t="s">
        <v>47</v>
      </c>
      <c r="F691" s="683">
        <f>+$E679*F$15</f>
        <v>0</v>
      </c>
      <c r="G691" s="683">
        <f>+$E679*G$15</f>
        <v>0</v>
      </c>
    </row>
    <row r="692" spans="3:7" ht="15.75" hidden="1" thickBot="1" x14ac:dyDescent="0.3">
      <c r="C692" s="9">
        <f t="shared" si="137"/>
        <v>0</v>
      </c>
      <c r="D692" s="364" t="s">
        <v>82</v>
      </c>
      <c r="E692" s="12" t="s">
        <v>77</v>
      </c>
      <c r="F692" s="683">
        <f>+$E679*F$16</f>
        <v>0</v>
      </c>
      <c r="G692" s="683">
        <f>+$E679*G$16</f>
        <v>0</v>
      </c>
    </row>
    <row r="693" spans="3:7" ht="15.75" hidden="1" thickBot="1" x14ac:dyDescent="0.3">
      <c r="C693" s="9">
        <f t="shared" si="137"/>
        <v>0</v>
      </c>
      <c r="D693" s="364" t="s">
        <v>84</v>
      </c>
      <c r="E693" s="12" t="s">
        <v>78</v>
      </c>
      <c r="F693" s="683">
        <f ca="1">+$E679*F$17</f>
        <v>0</v>
      </c>
      <c r="G693" s="683">
        <f>+$E679*G$17</f>
        <v>0</v>
      </c>
    </row>
    <row r="694" spans="3:7" ht="15.75" hidden="1" thickBot="1" x14ac:dyDescent="0.3">
      <c r="C694" s="9">
        <f t="shared" si="137"/>
        <v>0</v>
      </c>
      <c r="D694" s="364" t="s">
        <v>86</v>
      </c>
      <c r="E694" s="12" t="s">
        <v>79</v>
      </c>
      <c r="F694" s="683">
        <f>+$E$679*F18</f>
        <v>0</v>
      </c>
      <c r="G694" s="683">
        <f>+$E$679*G18</f>
        <v>0</v>
      </c>
    </row>
    <row r="695" spans="3:7" ht="15.75" hidden="1" thickBot="1" x14ac:dyDescent="0.3">
      <c r="C695" s="9">
        <f t="shared" si="137"/>
        <v>0</v>
      </c>
      <c r="D695" s="364" t="s">
        <v>386</v>
      </c>
      <c r="E695" s="12" t="s">
        <v>81</v>
      </c>
      <c r="F695" s="683">
        <f>+$E$679*F19</f>
        <v>0</v>
      </c>
      <c r="G695" s="683">
        <f>+$E$679*G19</f>
        <v>0</v>
      </c>
    </row>
    <row r="696" spans="3:7" ht="15.75" hidden="1" thickBot="1" x14ac:dyDescent="0.3">
      <c r="C696" s="9">
        <f t="shared" si="137"/>
        <v>0</v>
      </c>
      <c r="D696" s="35" t="s">
        <v>22</v>
      </c>
      <c r="E696" s="12" t="s">
        <v>83</v>
      </c>
      <c r="F696" s="685">
        <f>SUBTOTAL(9,F682:F695)</f>
        <v>0</v>
      </c>
      <c r="G696" s="685">
        <f>SUBTOTAL(9,G682:G695)</f>
        <v>0</v>
      </c>
    </row>
    <row r="697" spans="3:7" ht="15.75" hidden="1" thickBot="1" x14ac:dyDescent="0.3">
      <c r="D697" s="326"/>
      <c r="E697" s="327"/>
      <c r="F697" s="686"/>
      <c r="G697" s="686"/>
    </row>
    <row r="698" spans="3:7" ht="15.75" hidden="1" thickBot="1" x14ac:dyDescent="0.3">
      <c r="D698" s="326"/>
      <c r="E698" s="327"/>
      <c r="F698" s="686"/>
      <c r="G698" s="686"/>
    </row>
    <row r="699" spans="3:7" ht="30" x14ac:dyDescent="0.25">
      <c r="C699" s="9">
        <f ca="1">IF(F716&gt;0,1,0)</f>
        <v>1</v>
      </c>
      <c r="D699" s="20" t="str">
        <f>+A39</f>
        <v>Orange</v>
      </c>
      <c r="E699" s="19">
        <f>IFERROR(SUMIF(A:A,D699,B:B),0)</f>
        <v>1.4561244229196897E-6</v>
      </c>
      <c r="F699" s="652" t="s">
        <v>31</v>
      </c>
      <c r="G699" s="652" t="s">
        <v>32</v>
      </c>
    </row>
    <row r="700" spans="3:7" x14ac:dyDescent="0.25">
      <c r="C700" s="9">
        <f ca="1">C699</f>
        <v>1</v>
      </c>
      <c r="D700" s="30"/>
      <c r="E700" s="31"/>
      <c r="F700" s="680" t="s">
        <v>54</v>
      </c>
      <c r="G700" s="680" t="s">
        <v>53</v>
      </c>
    </row>
    <row r="701" spans="3:7" x14ac:dyDescent="0.25">
      <c r="C701" s="9">
        <f t="shared" ref="C701:C716" ca="1" si="143">C700</f>
        <v>1</v>
      </c>
      <c r="D701" s="32" t="s">
        <v>71</v>
      </c>
      <c r="E701" s="33"/>
      <c r="F701" s="681"/>
      <c r="G701" s="682"/>
    </row>
    <row r="702" spans="3:7" x14ac:dyDescent="0.25">
      <c r="C702" s="9">
        <f t="shared" ca="1" si="143"/>
        <v>1</v>
      </c>
      <c r="D702" s="364" t="s">
        <v>72</v>
      </c>
      <c r="E702" s="12" t="s">
        <v>57</v>
      </c>
      <c r="F702" s="683">
        <f t="shared" ref="F702:G702" si="144">+$E699*F$6</f>
        <v>0</v>
      </c>
      <c r="G702" s="683">
        <f t="shared" si="144"/>
        <v>0</v>
      </c>
    </row>
    <row r="703" spans="3:7" x14ac:dyDescent="0.25">
      <c r="C703" s="9">
        <f t="shared" ca="1" si="143"/>
        <v>1</v>
      </c>
      <c r="D703" s="364" t="s">
        <v>73</v>
      </c>
      <c r="E703" s="12" t="s">
        <v>56</v>
      </c>
      <c r="F703" s="683">
        <f t="shared" ref="F703:G703" si="145">+$E699*F$7</f>
        <v>1.182410079514765</v>
      </c>
      <c r="G703" s="683">
        <f t="shared" si="145"/>
        <v>0</v>
      </c>
    </row>
    <row r="704" spans="3:7" x14ac:dyDescent="0.25">
      <c r="C704" s="9">
        <f t="shared" ca="1" si="143"/>
        <v>1</v>
      </c>
      <c r="D704" s="364" t="s">
        <v>74</v>
      </c>
      <c r="E704" s="12" t="s">
        <v>55</v>
      </c>
      <c r="F704" s="683">
        <f t="shared" ref="F704:G704" si="146">+$E699*F$8</f>
        <v>0.17726300052983424</v>
      </c>
      <c r="G704" s="683">
        <f t="shared" si="146"/>
        <v>0</v>
      </c>
    </row>
    <row r="705" spans="3:7" x14ac:dyDescent="0.25">
      <c r="C705" s="9">
        <f t="shared" ca="1" si="143"/>
        <v>1</v>
      </c>
      <c r="D705" s="364" t="s">
        <v>75</v>
      </c>
      <c r="E705" s="12" t="s">
        <v>54</v>
      </c>
      <c r="F705" s="683">
        <f t="shared" ref="F705:G705" si="147">+$E699*F$9</f>
        <v>0.36230127524121331</v>
      </c>
      <c r="G705" s="683">
        <f t="shared" si="147"/>
        <v>0</v>
      </c>
    </row>
    <row r="706" spans="3:7" x14ac:dyDescent="0.25">
      <c r="C706" s="9">
        <f t="shared" ca="1" si="143"/>
        <v>1</v>
      </c>
      <c r="D706" s="34" t="s">
        <v>467</v>
      </c>
      <c r="E706" s="12" t="s">
        <v>53</v>
      </c>
      <c r="F706" s="683">
        <f t="shared" ref="F706:G706" si="148">+$E699*F$10</f>
        <v>1.7348664375522562</v>
      </c>
      <c r="G706" s="683">
        <f t="shared" si="148"/>
        <v>0</v>
      </c>
    </row>
    <row r="707" spans="3:7" x14ac:dyDescent="0.25">
      <c r="C707" s="9">
        <f t="shared" ca="1" si="143"/>
        <v>1</v>
      </c>
      <c r="D707" s="34" t="s">
        <v>76</v>
      </c>
      <c r="E707" s="12" t="s">
        <v>52</v>
      </c>
      <c r="F707" s="683">
        <f>+$E699*F$11</f>
        <v>0.39667320327023547</v>
      </c>
      <c r="G707" s="683">
        <f>+$E699*G$11</f>
        <v>0</v>
      </c>
    </row>
    <row r="708" spans="3:7" x14ac:dyDescent="0.25">
      <c r="C708" s="9">
        <f t="shared" ca="1" si="143"/>
        <v>1</v>
      </c>
      <c r="D708" s="34" t="s">
        <v>468</v>
      </c>
      <c r="E708" s="12" t="s">
        <v>51</v>
      </c>
      <c r="F708" s="683">
        <f>+$E699*F$12</f>
        <v>0</v>
      </c>
      <c r="G708" s="683">
        <f>+$E699*G$12</f>
        <v>0</v>
      </c>
    </row>
    <row r="709" spans="3:7" x14ac:dyDescent="0.25">
      <c r="C709" s="9">
        <f t="shared" ca="1" si="143"/>
        <v>1</v>
      </c>
      <c r="D709" s="364" t="s">
        <v>59</v>
      </c>
      <c r="E709" s="12" t="s">
        <v>50</v>
      </c>
      <c r="F709" s="683">
        <f>+$E699*F$13</f>
        <v>6.2810869996413138E-2</v>
      </c>
      <c r="G709" s="683">
        <f>+$E699*G$13</f>
        <v>0</v>
      </c>
    </row>
    <row r="710" spans="3:7" x14ac:dyDescent="0.25">
      <c r="C710" s="9">
        <f t="shared" ca="1" si="143"/>
        <v>1</v>
      </c>
      <c r="D710" s="364" t="s">
        <v>25</v>
      </c>
      <c r="E710" s="12" t="s">
        <v>49</v>
      </c>
      <c r="F710" s="683">
        <f>+$E699*F$14</f>
        <v>0.20568004697707157</v>
      </c>
      <c r="G710" s="683">
        <f>+$E699*G$14</f>
        <v>0</v>
      </c>
    </row>
    <row r="711" spans="3:7" x14ac:dyDescent="0.25">
      <c r="C711" s="9">
        <f t="shared" ca="1" si="143"/>
        <v>1</v>
      </c>
      <c r="D711" s="364" t="s">
        <v>466</v>
      </c>
      <c r="E711" s="12" t="s">
        <v>47</v>
      </c>
      <c r="F711" s="683">
        <f>+$E699*F$15</f>
        <v>0.76738345539096853</v>
      </c>
      <c r="G711" s="683">
        <f>+$E699*G$15</f>
        <v>0</v>
      </c>
    </row>
    <row r="712" spans="3:7" x14ac:dyDescent="0.25">
      <c r="C712" s="9">
        <f t="shared" ca="1" si="143"/>
        <v>1</v>
      </c>
      <c r="D712" s="364" t="s">
        <v>82</v>
      </c>
      <c r="E712" s="12" t="s">
        <v>77</v>
      </c>
      <c r="F712" s="683">
        <f>+$E699*F$16</f>
        <v>0.51999402202532141</v>
      </c>
      <c r="G712" s="683">
        <f>+$E699*G$16</f>
        <v>0</v>
      </c>
    </row>
    <row r="713" spans="3:7" x14ac:dyDescent="0.25">
      <c r="C713" s="9">
        <f t="shared" ca="1" si="143"/>
        <v>1</v>
      </c>
      <c r="D713" s="364" t="s">
        <v>84</v>
      </c>
      <c r="E713" s="12" t="s">
        <v>78</v>
      </c>
      <c r="F713" s="683">
        <f ca="1">+$E699*F$17</f>
        <v>37.174824785309369</v>
      </c>
      <c r="G713" s="683">
        <f>+$E699*G$17</f>
        <v>0</v>
      </c>
    </row>
    <row r="714" spans="3:7" x14ac:dyDescent="0.25">
      <c r="C714" s="9">
        <f t="shared" ca="1" si="143"/>
        <v>1</v>
      </c>
      <c r="D714" s="364" t="s">
        <v>86</v>
      </c>
      <c r="E714" s="12" t="s">
        <v>79</v>
      </c>
      <c r="F714" s="683">
        <f>+$E$699*F18</f>
        <v>0.57262775853671144</v>
      </c>
      <c r="G714" s="683">
        <f>+$E$699*G18</f>
        <v>0</v>
      </c>
    </row>
    <row r="715" spans="3:7" x14ac:dyDescent="0.25">
      <c r="C715" s="9">
        <f t="shared" ca="1" si="143"/>
        <v>1</v>
      </c>
      <c r="D715" s="364" t="s">
        <v>386</v>
      </c>
      <c r="E715" s="12" t="s">
        <v>81</v>
      </c>
      <c r="F715" s="683">
        <f>+$E$699*F19</f>
        <v>0</v>
      </c>
      <c r="G715" s="683">
        <f>+$E$699*G19</f>
        <v>0</v>
      </c>
    </row>
    <row r="716" spans="3:7" ht="15.75" thickBot="1" x14ac:dyDescent="0.3">
      <c r="C716" s="9">
        <f t="shared" ca="1" si="143"/>
        <v>1</v>
      </c>
      <c r="D716" s="35" t="s">
        <v>22</v>
      </c>
      <c r="E716" s="12" t="s">
        <v>83</v>
      </c>
      <c r="F716" s="685">
        <f ca="1">SUBTOTAL(9,F702:F715)</f>
        <v>43.156834934344161</v>
      </c>
      <c r="G716" s="685">
        <f>SUBTOTAL(9,G702:G715)</f>
        <v>0</v>
      </c>
    </row>
    <row r="717" spans="3:7" ht="15.75" hidden="1" thickBot="1" x14ac:dyDescent="0.3">
      <c r="D717" s="326"/>
      <c r="E717" s="327"/>
      <c r="F717" s="686"/>
      <c r="G717" s="686"/>
    </row>
    <row r="718" spans="3:7" ht="30.75" hidden="1" thickBot="1" x14ac:dyDescent="0.3">
      <c r="C718" s="9">
        <f>IF(F735&gt;0,1,0)</f>
        <v>0</v>
      </c>
      <c r="D718" s="20" t="str">
        <f>A40</f>
        <v>Orleans</v>
      </c>
      <c r="E718" s="19">
        <f>IFERROR(SUMIF(A:A,D718,B:B),0)</f>
        <v>0</v>
      </c>
      <c r="F718" s="652" t="s">
        <v>31</v>
      </c>
      <c r="G718" s="652" t="s">
        <v>32</v>
      </c>
    </row>
    <row r="719" spans="3:7" ht="15.75" hidden="1" thickBot="1" x14ac:dyDescent="0.3">
      <c r="C719" s="9">
        <f>C718</f>
        <v>0</v>
      </c>
      <c r="D719" s="30"/>
      <c r="E719" s="31"/>
      <c r="F719" s="680" t="s">
        <v>54</v>
      </c>
      <c r="G719" s="680" t="s">
        <v>53</v>
      </c>
    </row>
    <row r="720" spans="3:7" ht="15.75" hidden="1" thickBot="1" x14ac:dyDescent="0.3">
      <c r="C720" s="9">
        <f t="shared" ref="C720:C735" si="149">C719</f>
        <v>0</v>
      </c>
      <c r="D720" s="32" t="s">
        <v>71</v>
      </c>
      <c r="E720" s="33"/>
      <c r="F720" s="681"/>
      <c r="G720" s="682"/>
    </row>
    <row r="721" spans="3:7" ht="15.75" hidden="1" thickBot="1" x14ac:dyDescent="0.3">
      <c r="C721" s="9">
        <f t="shared" si="149"/>
        <v>0</v>
      </c>
      <c r="D721" s="364" t="s">
        <v>72</v>
      </c>
      <c r="E721" s="12" t="s">
        <v>57</v>
      </c>
      <c r="F721" s="683">
        <f t="shared" ref="F721:G721" si="150">+$E718*F$6</f>
        <v>0</v>
      </c>
      <c r="G721" s="683">
        <f t="shared" si="150"/>
        <v>0</v>
      </c>
    </row>
    <row r="722" spans="3:7" ht="15.75" hidden="1" thickBot="1" x14ac:dyDescent="0.3">
      <c r="C722" s="9">
        <f t="shared" si="149"/>
        <v>0</v>
      </c>
      <c r="D722" s="364" t="s">
        <v>73</v>
      </c>
      <c r="E722" s="12" t="s">
        <v>56</v>
      </c>
      <c r="F722" s="683">
        <f t="shared" ref="F722:G722" si="151">+$E718*F$7</f>
        <v>0</v>
      </c>
      <c r="G722" s="683">
        <f t="shared" si="151"/>
        <v>0</v>
      </c>
    </row>
    <row r="723" spans="3:7" ht="15.75" hidden="1" thickBot="1" x14ac:dyDescent="0.3">
      <c r="C723" s="9">
        <f t="shared" si="149"/>
        <v>0</v>
      </c>
      <c r="D723" s="364" t="s">
        <v>74</v>
      </c>
      <c r="E723" s="12" t="s">
        <v>55</v>
      </c>
      <c r="F723" s="683">
        <f t="shared" ref="F723:G723" si="152">+$E718*F$8</f>
        <v>0</v>
      </c>
      <c r="G723" s="683">
        <f t="shared" si="152"/>
        <v>0</v>
      </c>
    </row>
    <row r="724" spans="3:7" ht="15.75" hidden="1" thickBot="1" x14ac:dyDescent="0.3">
      <c r="C724" s="9">
        <f t="shared" si="149"/>
        <v>0</v>
      </c>
      <c r="D724" s="364" t="s">
        <v>75</v>
      </c>
      <c r="E724" s="12" t="s">
        <v>54</v>
      </c>
      <c r="F724" s="683">
        <f t="shared" ref="F724:G724" si="153">+$E718*F$9</f>
        <v>0</v>
      </c>
      <c r="G724" s="683">
        <f t="shared" si="153"/>
        <v>0</v>
      </c>
    </row>
    <row r="725" spans="3:7" ht="15.75" hidden="1" thickBot="1" x14ac:dyDescent="0.3">
      <c r="C725" s="9">
        <f t="shared" si="149"/>
        <v>0</v>
      </c>
      <c r="D725" s="34" t="s">
        <v>467</v>
      </c>
      <c r="E725" s="12" t="s">
        <v>53</v>
      </c>
      <c r="F725" s="683">
        <f t="shared" ref="F725:G725" si="154">+$E718*F$10</f>
        <v>0</v>
      </c>
      <c r="G725" s="683">
        <f t="shared" si="154"/>
        <v>0</v>
      </c>
    </row>
    <row r="726" spans="3:7" ht="15.75" hidden="1" thickBot="1" x14ac:dyDescent="0.3">
      <c r="C726" s="9">
        <f t="shared" si="149"/>
        <v>0</v>
      </c>
      <c r="D726" s="34" t="s">
        <v>76</v>
      </c>
      <c r="E726" s="12" t="s">
        <v>52</v>
      </c>
      <c r="F726" s="683">
        <f>+$E718*F$11</f>
        <v>0</v>
      </c>
      <c r="G726" s="683">
        <f>+$E718*G$11</f>
        <v>0</v>
      </c>
    </row>
    <row r="727" spans="3:7" ht="15.75" hidden="1" thickBot="1" x14ac:dyDescent="0.3">
      <c r="C727" s="9">
        <f t="shared" si="149"/>
        <v>0</v>
      </c>
      <c r="D727" s="34" t="s">
        <v>468</v>
      </c>
      <c r="E727" s="12" t="s">
        <v>51</v>
      </c>
      <c r="F727" s="683">
        <f>+$E718*F$12</f>
        <v>0</v>
      </c>
      <c r="G727" s="683">
        <f>+$E718*G$12</f>
        <v>0</v>
      </c>
    </row>
    <row r="728" spans="3:7" ht="15.75" hidden="1" thickBot="1" x14ac:dyDescent="0.3">
      <c r="C728" s="9">
        <f t="shared" si="149"/>
        <v>0</v>
      </c>
      <c r="D728" s="364" t="s">
        <v>59</v>
      </c>
      <c r="E728" s="12" t="s">
        <v>50</v>
      </c>
      <c r="F728" s="683">
        <f>+$E718*F$13</f>
        <v>0</v>
      </c>
      <c r="G728" s="683">
        <f>+$E718*G$13</f>
        <v>0</v>
      </c>
    </row>
    <row r="729" spans="3:7" ht="15.75" hidden="1" thickBot="1" x14ac:dyDescent="0.3">
      <c r="C729" s="9">
        <f t="shared" si="149"/>
        <v>0</v>
      </c>
      <c r="D729" s="364" t="s">
        <v>25</v>
      </c>
      <c r="E729" s="12" t="s">
        <v>49</v>
      </c>
      <c r="F729" s="683">
        <f>+$E718*F$14</f>
        <v>0</v>
      </c>
      <c r="G729" s="683">
        <f>+$E718*G$14</f>
        <v>0</v>
      </c>
    </row>
    <row r="730" spans="3:7" ht="15.75" hidden="1" thickBot="1" x14ac:dyDescent="0.3">
      <c r="C730" s="9">
        <f t="shared" si="149"/>
        <v>0</v>
      </c>
      <c r="D730" s="364" t="s">
        <v>466</v>
      </c>
      <c r="E730" s="12" t="s">
        <v>47</v>
      </c>
      <c r="F730" s="683">
        <f>+$E718*F$15</f>
        <v>0</v>
      </c>
      <c r="G730" s="683">
        <f>+$E718*G$15</f>
        <v>0</v>
      </c>
    </row>
    <row r="731" spans="3:7" ht="15.75" hidden="1" thickBot="1" x14ac:dyDescent="0.3">
      <c r="C731" s="9">
        <f t="shared" si="149"/>
        <v>0</v>
      </c>
      <c r="D731" s="364" t="s">
        <v>82</v>
      </c>
      <c r="E731" s="12" t="s">
        <v>77</v>
      </c>
      <c r="F731" s="683">
        <f>+$E718*F$16</f>
        <v>0</v>
      </c>
      <c r="G731" s="683">
        <f>+$E718*G$16</f>
        <v>0</v>
      </c>
    </row>
    <row r="732" spans="3:7" ht="15.75" hidden="1" thickBot="1" x14ac:dyDescent="0.3">
      <c r="C732" s="9">
        <f t="shared" si="149"/>
        <v>0</v>
      </c>
      <c r="D732" s="364" t="s">
        <v>84</v>
      </c>
      <c r="E732" s="12" t="s">
        <v>78</v>
      </c>
      <c r="F732" s="683">
        <f ca="1">+$E718*F$17</f>
        <v>0</v>
      </c>
      <c r="G732" s="683">
        <f>+$E718*G$17</f>
        <v>0</v>
      </c>
    </row>
    <row r="733" spans="3:7" ht="15.75" hidden="1" thickBot="1" x14ac:dyDescent="0.3">
      <c r="C733" s="9">
        <f t="shared" si="149"/>
        <v>0</v>
      </c>
      <c r="D733" s="364" t="s">
        <v>86</v>
      </c>
      <c r="E733" s="12" t="s">
        <v>79</v>
      </c>
      <c r="F733" s="683">
        <f>+$E$718*F18</f>
        <v>0</v>
      </c>
      <c r="G733" s="683">
        <f>+$E$718*G18</f>
        <v>0</v>
      </c>
    </row>
    <row r="734" spans="3:7" ht="15.75" hidden="1" thickBot="1" x14ac:dyDescent="0.3">
      <c r="C734" s="9">
        <f t="shared" si="149"/>
        <v>0</v>
      </c>
      <c r="D734" s="364" t="s">
        <v>386</v>
      </c>
      <c r="E734" s="12" t="s">
        <v>81</v>
      </c>
      <c r="F734" s="683">
        <f>+$E$718*F19</f>
        <v>0</v>
      </c>
      <c r="G734" s="683">
        <f>+$E$718*G19</f>
        <v>0</v>
      </c>
    </row>
    <row r="735" spans="3:7" ht="15.75" hidden="1" thickBot="1" x14ac:dyDescent="0.3">
      <c r="C735" s="9">
        <f t="shared" si="149"/>
        <v>0</v>
      </c>
      <c r="D735" s="35" t="s">
        <v>22</v>
      </c>
      <c r="E735" s="12" t="s">
        <v>83</v>
      </c>
      <c r="F735" s="685">
        <f>SUBTOTAL(9,F721:F734)</f>
        <v>0</v>
      </c>
      <c r="G735" s="685">
        <f>SUBTOTAL(9,G721:G734)</f>
        <v>0</v>
      </c>
    </row>
    <row r="736" spans="3:7" ht="15.75" hidden="1" thickBot="1" x14ac:dyDescent="0.3">
      <c r="D736" s="326"/>
      <c r="E736" s="327"/>
      <c r="F736" s="686"/>
      <c r="G736" s="686"/>
    </row>
    <row r="737" spans="3:7" ht="15.75" hidden="1" thickBot="1" x14ac:dyDescent="0.3">
      <c r="D737" s="326"/>
      <c r="E737" s="327"/>
      <c r="F737" s="686"/>
      <c r="G737" s="686"/>
    </row>
    <row r="738" spans="3:7" ht="30.75" hidden="1" thickBot="1" x14ac:dyDescent="0.3">
      <c r="C738" s="9">
        <f>IF(F755&gt;0,1,0)</f>
        <v>0</v>
      </c>
      <c r="D738" s="20" t="str">
        <f>A41</f>
        <v>Oswego</v>
      </c>
      <c r="E738" s="19">
        <f>IFERROR(SUMIF(A:A,D738,B:B),0)</f>
        <v>0</v>
      </c>
      <c r="F738" s="652" t="s">
        <v>31</v>
      </c>
      <c r="G738" s="652" t="s">
        <v>32</v>
      </c>
    </row>
    <row r="739" spans="3:7" ht="15.75" hidden="1" thickBot="1" x14ac:dyDescent="0.3">
      <c r="C739" s="9">
        <f>C738</f>
        <v>0</v>
      </c>
      <c r="D739" s="30"/>
      <c r="E739" s="31"/>
      <c r="F739" s="680" t="s">
        <v>54</v>
      </c>
      <c r="G739" s="680" t="s">
        <v>53</v>
      </c>
    </row>
    <row r="740" spans="3:7" ht="15.75" hidden="1" thickBot="1" x14ac:dyDescent="0.3">
      <c r="C740" s="9">
        <f t="shared" ref="C740:C755" si="155">C739</f>
        <v>0</v>
      </c>
      <c r="D740" s="32" t="s">
        <v>71</v>
      </c>
      <c r="E740" s="33"/>
      <c r="F740" s="681"/>
      <c r="G740" s="682"/>
    </row>
    <row r="741" spans="3:7" ht="15.75" hidden="1" thickBot="1" x14ac:dyDescent="0.3">
      <c r="C741" s="9">
        <f t="shared" si="155"/>
        <v>0</v>
      </c>
      <c r="D741" s="364" t="s">
        <v>72</v>
      </c>
      <c r="E741" s="12" t="s">
        <v>57</v>
      </c>
      <c r="F741" s="683">
        <f t="shared" ref="F741:G741" si="156">+$E738*F$6</f>
        <v>0</v>
      </c>
      <c r="G741" s="683">
        <f t="shared" si="156"/>
        <v>0</v>
      </c>
    </row>
    <row r="742" spans="3:7" ht="15.75" hidden="1" thickBot="1" x14ac:dyDescent="0.3">
      <c r="C742" s="9">
        <f t="shared" si="155"/>
        <v>0</v>
      </c>
      <c r="D742" s="364" t="s">
        <v>73</v>
      </c>
      <c r="E742" s="12" t="s">
        <v>56</v>
      </c>
      <c r="F742" s="683">
        <f t="shared" ref="F742:G742" si="157">+$E738*F$7</f>
        <v>0</v>
      </c>
      <c r="G742" s="683">
        <f t="shared" si="157"/>
        <v>0</v>
      </c>
    </row>
    <row r="743" spans="3:7" ht="15.75" hidden="1" thickBot="1" x14ac:dyDescent="0.3">
      <c r="C743" s="9">
        <f t="shared" si="155"/>
        <v>0</v>
      </c>
      <c r="D743" s="364" t="s">
        <v>74</v>
      </c>
      <c r="E743" s="12" t="s">
        <v>55</v>
      </c>
      <c r="F743" s="683">
        <f t="shared" ref="F743:G743" si="158">+$E738*F$8</f>
        <v>0</v>
      </c>
      <c r="G743" s="683">
        <f t="shared" si="158"/>
        <v>0</v>
      </c>
    </row>
    <row r="744" spans="3:7" ht="15.75" hidden="1" thickBot="1" x14ac:dyDescent="0.3">
      <c r="C744" s="9">
        <f t="shared" si="155"/>
        <v>0</v>
      </c>
      <c r="D744" s="364" t="s">
        <v>75</v>
      </c>
      <c r="E744" s="12" t="s">
        <v>54</v>
      </c>
      <c r="F744" s="683">
        <f t="shared" ref="F744:G744" si="159">+$E738*F$9</f>
        <v>0</v>
      </c>
      <c r="G744" s="683">
        <f t="shared" si="159"/>
        <v>0</v>
      </c>
    </row>
    <row r="745" spans="3:7" ht="15.75" hidden="1" thickBot="1" x14ac:dyDescent="0.3">
      <c r="C745" s="9">
        <f t="shared" si="155"/>
        <v>0</v>
      </c>
      <c r="D745" s="34" t="s">
        <v>467</v>
      </c>
      <c r="E745" s="12" t="s">
        <v>53</v>
      </c>
      <c r="F745" s="683">
        <f t="shared" ref="F745:G745" si="160">+$E738*F$10</f>
        <v>0</v>
      </c>
      <c r="G745" s="683">
        <f t="shared" si="160"/>
        <v>0</v>
      </c>
    </row>
    <row r="746" spans="3:7" ht="15.75" hidden="1" thickBot="1" x14ac:dyDescent="0.3">
      <c r="C746" s="9">
        <f t="shared" si="155"/>
        <v>0</v>
      </c>
      <c r="D746" s="34" t="s">
        <v>76</v>
      </c>
      <c r="E746" s="12" t="s">
        <v>52</v>
      </c>
      <c r="F746" s="683">
        <f>+$E738*F$11</f>
        <v>0</v>
      </c>
      <c r="G746" s="683">
        <f>+$E738*G$11</f>
        <v>0</v>
      </c>
    </row>
    <row r="747" spans="3:7" ht="15.75" hidden="1" thickBot="1" x14ac:dyDescent="0.3">
      <c r="C747" s="9">
        <f t="shared" si="155"/>
        <v>0</v>
      </c>
      <c r="D747" s="34" t="s">
        <v>468</v>
      </c>
      <c r="E747" s="12" t="s">
        <v>51</v>
      </c>
      <c r="F747" s="683">
        <f>+$E738*F$12</f>
        <v>0</v>
      </c>
      <c r="G747" s="683">
        <f>+$E738*G$12</f>
        <v>0</v>
      </c>
    </row>
    <row r="748" spans="3:7" ht="15.75" hidden="1" thickBot="1" x14ac:dyDescent="0.3">
      <c r="C748" s="9">
        <f t="shared" si="155"/>
        <v>0</v>
      </c>
      <c r="D748" s="364" t="s">
        <v>59</v>
      </c>
      <c r="E748" s="12" t="s">
        <v>50</v>
      </c>
      <c r="F748" s="683">
        <f>+$E738*F$13</f>
        <v>0</v>
      </c>
      <c r="G748" s="683">
        <f>+$E738*G$13</f>
        <v>0</v>
      </c>
    </row>
    <row r="749" spans="3:7" ht="15.75" hidden="1" thickBot="1" x14ac:dyDescent="0.3">
      <c r="C749" s="9">
        <f t="shared" si="155"/>
        <v>0</v>
      </c>
      <c r="D749" s="364" t="s">
        <v>25</v>
      </c>
      <c r="E749" s="12" t="s">
        <v>49</v>
      </c>
      <c r="F749" s="683">
        <f>+$E738*F$14</f>
        <v>0</v>
      </c>
      <c r="G749" s="683">
        <f>+$E738*G$14</f>
        <v>0</v>
      </c>
    </row>
    <row r="750" spans="3:7" ht="15.75" hidden="1" thickBot="1" x14ac:dyDescent="0.3">
      <c r="C750" s="9">
        <f t="shared" si="155"/>
        <v>0</v>
      </c>
      <c r="D750" s="364" t="s">
        <v>466</v>
      </c>
      <c r="E750" s="12" t="s">
        <v>47</v>
      </c>
      <c r="F750" s="683">
        <f>+$E738*F$15</f>
        <v>0</v>
      </c>
      <c r="G750" s="683">
        <f>+$E738*G$15</f>
        <v>0</v>
      </c>
    </row>
    <row r="751" spans="3:7" ht="15.75" hidden="1" thickBot="1" x14ac:dyDescent="0.3">
      <c r="C751" s="9">
        <f t="shared" si="155"/>
        <v>0</v>
      </c>
      <c r="D751" s="364" t="s">
        <v>82</v>
      </c>
      <c r="E751" s="12" t="s">
        <v>77</v>
      </c>
      <c r="F751" s="683">
        <f>+$E738*F$16</f>
        <v>0</v>
      </c>
      <c r="G751" s="683">
        <f>+$E738*G$16</f>
        <v>0</v>
      </c>
    </row>
    <row r="752" spans="3:7" ht="15.75" hidden="1" thickBot="1" x14ac:dyDescent="0.3">
      <c r="C752" s="9">
        <f t="shared" si="155"/>
        <v>0</v>
      </c>
      <c r="D752" s="364" t="s">
        <v>84</v>
      </c>
      <c r="E752" s="12" t="s">
        <v>78</v>
      </c>
      <c r="F752" s="683">
        <f ca="1">+$E738*F$17</f>
        <v>0</v>
      </c>
      <c r="G752" s="683">
        <f>+$E738*G$17</f>
        <v>0</v>
      </c>
    </row>
    <row r="753" spans="3:7" ht="15.75" hidden="1" thickBot="1" x14ac:dyDescent="0.3">
      <c r="C753" s="9">
        <f t="shared" si="155"/>
        <v>0</v>
      </c>
      <c r="D753" s="364" t="s">
        <v>86</v>
      </c>
      <c r="E753" s="12" t="s">
        <v>79</v>
      </c>
      <c r="F753" s="683">
        <f>+$E$738*F18</f>
        <v>0</v>
      </c>
      <c r="G753" s="683">
        <f>+$E$738*G18</f>
        <v>0</v>
      </c>
    </row>
    <row r="754" spans="3:7" ht="15.75" hidden="1" thickBot="1" x14ac:dyDescent="0.3">
      <c r="C754" s="9">
        <f t="shared" si="155"/>
        <v>0</v>
      </c>
      <c r="D754" s="364" t="s">
        <v>386</v>
      </c>
      <c r="E754" s="12" t="s">
        <v>81</v>
      </c>
      <c r="F754" s="683">
        <f>+$E$738*F19</f>
        <v>0</v>
      </c>
      <c r="G754" s="683">
        <f>+$E$738*G19</f>
        <v>0</v>
      </c>
    </row>
    <row r="755" spans="3:7" ht="15.75" hidden="1" thickBot="1" x14ac:dyDescent="0.3">
      <c r="C755" s="9">
        <f t="shared" si="155"/>
        <v>0</v>
      </c>
      <c r="D755" s="35" t="s">
        <v>22</v>
      </c>
      <c r="E755" s="12" t="s">
        <v>83</v>
      </c>
      <c r="F755" s="685">
        <f>SUBTOTAL(9,F741:F754)</f>
        <v>0</v>
      </c>
      <c r="G755" s="685">
        <f>SUBTOTAL(9,G741:G754)</f>
        <v>0</v>
      </c>
    </row>
    <row r="756" spans="3:7" ht="15.75" hidden="1" thickBot="1" x14ac:dyDescent="0.3">
      <c r="D756" s="326"/>
      <c r="E756" s="327"/>
      <c r="F756" s="686"/>
      <c r="G756" s="686"/>
    </row>
    <row r="757" spans="3:7" ht="30.75" hidden="1" thickBot="1" x14ac:dyDescent="0.3">
      <c r="C757" s="9">
        <f>IF(F774&gt;0,1,0)</f>
        <v>0</v>
      </c>
      <c r="D757" s="20" t="str">
        <f>+A42</f>
        <v>Otsego</v>
      </c>
      <c r="E757" s="19">
        <f>IFERROR(SUMIF(A:A,D757,B:B),0)</f>
        <v>0</v>
      </c>
      <c r="F757" s="652" t="s">
        <v>31</v>
      </c>
      <c r="G757" s="652" t="s">
        <v>32</v>
      </c>
    </row>
    <row r="758" spans="3:7" ht="15.75" hidden="1" thickBot="1" x14ac:dyDescent="0.3">
      <c r="C758" s="9">
        <f>C757</f>
        <v>0</v>
      </c>
      <c r="D758" s="30"/>
      <c r="E758" s="31"/>
      <c r="F758" s="680" t="s">
        <v>54</v>
      </c>
      <c r="G758" s="680" t="s">
        <v>53</v>
      </c>
    </row>
    <row r="759" spans="3:7" ht="15.75" hidden="1" thickBot="1" x14ac:dyDescent="0.3">
      <c r="C759" s="9">
        <f t="shared" ref="C759:C774" si="161">C758</f>
        <v>0</v>
      </c>
      <c r="D759" s="32" t="s">
        <v>71</v>
      </c>
      <c r="E759" s="33"/>
      <c r="F759" s="681"/>
      <c r="G759" s="682"/>
    </row>
    <row r="760" spans="3:7" ht="15.75" hidden="1" thickBot="1" x14ac:dyDescent="0.3">
      <c r="C760" s="9">
        <f t="shared" si="161"/>
        <v>0</v>
      </c>
      <c r="D760" s="364" t="s">
        <v>72</v>
      </c>
      <c r="E760" s="12" t="s">
        <v>57</v>
      </c>
      <c r="F760" s="683">
        <f t="shared" ref="F760:G760" si="162">+$E757*F$6</f>
        <v>0</v>
      </c>
      <c r="G760" s="683">
        <f t="shared" si="162"/>
        <v>0</v>
      </c>
    </row>
    <row r="761" spans="3:7" ht="15.75" hidden="1" thickBot="1" x14ac:dyDescent="0.3">
      <c r="C761" s="9">
        <f t="shared" si="161"/>
        <v>0</v>
      </c>
      <c r="D761" s="364" t="s">
        <v>73</v>
      </c>
      <c r="E761" s="12" t="s">
        <v>56</v>
      </c>
      <c r="F761" s="683">
        <f t="shared" ref="F761:G761" si="163">+$E757*F$7</f>
        <v>0</v>
      </c>
      <c r="G761" s="683">
        <f t="shared" si="163"/>
        <v>0</v>
      </c>
    </row>
    <row r="762" spans="3:7" ht="15.75" hidden="1" thickBot="1" x14ac:dyDescent="0.3">
      <c r="C762" s="9">
        <f t="shared" si="161"/>
        <v>0</v>
      </c>
      <c r="D762" s="364" t="s">
        <v>74</v>
      </c>
      <c r="E762" s="12" t="s">
        <v>55</v>
      </c>
      <c r="F762" s="683">
        <f t="shared" ref="F762:G762" si="164">+$E757*F$8</f>
        <v>0</v>
      </c>
      <c r="G762" s="683">
        <f t="shared" si="164"/>
        <v>0</v>
      </c>
    </row>
    <row r="763" spans="3:7" ht="15.75" hidden="1" thickBot="1" x14ac:dyDescent="0.3">
      <c r="C763" s="9">
        <f t="shared" si="161"/>
        <v>0</v>
      </c>
      <c r="D763" s="364" t="s">
        <v>75</v>
      </c>
      <c r="E763" s="12" t="s">
        <v>54</v>
      </c>
      <c r="F763" s="683">
        <f t="shared" ref="F763:G763" si="165">+$E757*F$9</f>
        <v>0</v>
      </c>
      <c r="G763" s="683">
        <f t="shared" si="165"/>
        <v>0</v>
      </c>
    </row>
    <row r="764" spans="3:7" ht="15.75" hidden="1" thickBot="1" x14ac:dyDescent="0.3">
      <c r="C764" s="9">
        <f t="shared" si="161"/>
        <v>0</v>
      </c>
      <c r="D764" s="34" t="s">
        <v>467</v>
      </c>
      <c r="E764" s="12" t="s">
        <v>53</v>
      </c>
      <c r="F764" s="683">
        <f t="shared" ref="F764:G764" si="166">+$E757*F$10</f>
        <v>0</v>
      </c>
      <c r="G764" s="683">
        <f t="shared" si="166"/>
        <v>0</v>
      </c>
    </row>
    <row r="765" spans="3:7" ht="15.75" hidden="1" thickBot="1" x14ac:dyDescent="0.3">
      <c r="C765" s="9">
        <f t="shared" si="161"/>
        <v>0</v>
      </c>
      <c r="D765" s="34" t="s">
        <v>76</v>
      </c>
      <c r="E765" s="12" t="s">
        <v>52</v>
      </c>
      <c r="F765" s="683">
        <f>+$E757*F$11</f>
        <v>0</v>
      </c>
      <c r="G765" s="683">
        <f>+$E757*G$11</f>
        <v>0</v>
      </c>
    </row>
    <row r="766" spans="3:7" ht="15.75" hidden="1" thickBot="1" x14ac:dyDescent="0.3">
      <c r="C766" s="9">
        <f t="shared" si="161"/>
        <v>0</v>
      </c>
      <c r="D766" s="34" t="s">
        <v>468</v>
      </c>
      <c r="E766" s="12" t="s">
        <v>51</v>
      </c>
      <c r="F766" s="683">
        <f>+$E757*F$12</f>
        <v>0</v>
      </c>
      <c r="G766" s="683">
        <f>+$E757*G$12</f>
        <v>0</v>
      </c>
    </row>
    <row r="767" spans="3:7" ht="15.75" hidden="1" thickBot="1" x14ac:dyDescent="0.3">
      <c r="C767" s="9">
        <f t="shared" si="161"/>
        <v>0</v>
      </c>
      <c r="D767" s="364" t="s">
        <v>59</v>
      </c>
      <c r="E767" s="12" t="s">
        <v>50</v>
      </c>
      <c r="F767" s="683">
        <f>+$E757*F$13</f>
        <v>0</v>
      </c>
      <c r="G767" s="683">
        <f>+$E757*G$13</f>
        <v>0</v>
      </c>
    </row>
    <row r="768" spans="3:7" ht="15.75" hidden="1" thickBot="1" x14ac:dyDescent="0.3">
      <c r="C768" s="9">
        <f t="shared" si="161"/>
        <v>0</v>
      </c>
      <c r="D768" s="364" t="s">
        <v>25</v>
      </c>
      <c r="E768" s="12" t="s">
        <v>49</v>
      </c>
      <c r="F768" s="683">
        <f>+$E757*F$14</f>
        <v>0</v>
      </c>
      <c r="G768" s="683">
        <f>+$E757*G$14</f>
        <v>0</v>
      </c>
    </row>
    <row r="769" spans="3:7" ht="15.75" hidden="1" thickBot="1" x14ac:dyDescent="0.3">
      <c r="C769" s="9">
        <f t="shared" si="161"/>
        <v>0</v>
      </c>
      <c r="D769" s="364" t="s">
        <v>466</v>
      </c>
      <c r="E769" s="12" t="s">
        <v>47</v>
      </c>
      <c r="F769" s="683">
        <f>+$E757*F$15</f>
        <v>0</v>
      </c>
      <c r="G769" s="683">
        <f>+$E757*G$15</f>
        <v>0</v>
      </c>
    </row>
    <row r="770" spans="3:7" ht="15.75" hidden="1" thickBot="1" x14ac:dyDescent="0.3">
      <c r="C770" s="9">
        <f t="shared" si="161"/>
        <v>0</v>
      </c>
      <c r="D770" s="364" t="s">
        <v>82</v>
      </c>
      <c r="E770" s="12" t="s">
        <v>77</v>
      </c>
      <c r="F770" s="683">
        <f>+$E757*F$16</f>
        <v>0</v>
      </c>
      <c r="G770" s="683">
        <f>+$E757*G$16</f>
        <v>0</v>
      </c>
    </row>
    <row r="771" spans="3:7" ht="15.75" hidden="1" thickBot="1" x14ac:dyDescent="0.3">
      <c r="C771" s="9">
        <f t="shared" si="161"/>
        <v>0</v>
      </c>
      <c r="D771" s="364" t="s">
        <v>84</v>
      </c>
      <c r="E771" s="12" t="s">
        <v>78</v>
      </c>
      <c r="F771" s="683">
        <f ca="1">+$E757*F$17</f>
        <v>0</v>
      </c>
      <c r="G771" s="683">
        <f>+$E757*G$17</f>
        <v>0</v>
      </c>
    </row>
    <row r="772" spans="3:7" ht="15.75" hidden="1" thickBot="1" x14ac:dyDescent="0.3">
      <c r="C772" s="9">
        <f t="shared" si="161"/>
        <v>0</v>
      </c>
      <c r="D772" s="364" t="s">
        <v>86</v>
      </c>
      <c r="E772" s="12" t="s">
        <v>79</v>
      </c>
      <c r="F772" s="683">
        <f>+$E$757*F18</f>
        <v>0</v>
      </c>
      <c r="G772" s="683">
        <f>+$E$757*G18</f>
        <v>0</v>
      </c>
    </row>
    <row r="773" spans="3:7" ht="15.75" hidden="1" thickBot="1" x14ac:dyDescent="0.3">
      <c r="C773" s="9">
        <f t="shared" si="161"/>
        <v>0</v>
      </c>
      <c r="D773" s="364" t="s">
        <v>386</v>
      </c>
      <c r="E773" s="12" t="s">
        <v>81</v>
      </c>
      <c r="F773" s="683">
        <f>+$E$757*F19</f>
        <v>0</v>
      </c>
      <c r="G773" s="683">
        <f>+$E$757*G19</f>
        <v>0</v>
      </c>
    </row>
    <row r="774" spans="3:7" ht="15.75" hidden="1" thickBot="1" x14ac:dyDescent="0.3">
      <c r="C774" s="9">
        <f t="shared" si="161"/>
        <v>0</v>
      </c>
      <c r="D774" s="35" t="s">
        <v>22</v>
      </c>
      <c r="E774" s="12" t="s">
        <v>83</v>
      </c>
      <c r="F774" s="685">
        <f>SUBTOTAL(9,F760:F773)</f>
        <v>0</v>
      </c>
      <c r="G774" s="685">
        <f>SUBTOTAL(9,G760:G773)</f>
        <v>0</v>
      </c>
    </row>
    <row r="775" spans="3:7" ht="15.75" hidden="1" thickBot="1" x14ac:dyDescent="0.3">
      <c r="D775" s="326"/>
      <c r="E775" s="327"/>
      <c r="F775" s="686"/>
      <c r="G775" s="686"/>
    </row>
    <row r="776" spans="3:7" ht="15.75" hidden="1" thickBot="1" x14ac:dyDescent="0.3">
      <c r="D776" s="326"/>
      <c r="E776" s="327"/>
      <c r="F776" s="686"/>
      <c r="G776" s="686"/>
    </row>
    <row r="777" spans="3:7" ht="30.75" hidden="1" thickBot="1" x14ac:dyDescent="0.3">
      <c r="C777" s="9">
        <f>IF(F794&gt;0,1,0)</f>
        <v>0</v>
      </c>
      <c r="D777" s="20" t="str">
        <f>+A43</f>
        <v>Putnam</v>
      </c>
      <c r="E777" s="19">
        <f>IFERROR(SUMIF(A:A,D777,B:B),0)</f>
        <v>0</v>
      </c>
      <c r="F777" s="652" t="s">
        <v>31</v>
      </c>
      <c r="G777" s="652" t="s">
        <v>32</v>
      </c>
    </row>
    <row r="778" spans="3:7" ht="15.75" hidden="1" thickBot="1" x14ac:dyDescent="0.3">
      <c r="C778" s="9">
        <f>C777</f>
        <v>0</v>
      </c>
      <c r="D778" s="30"/>
      <c r="E778" s="31"/>
      <c r="F778" s="680" t="s">
        <v>54</v>
      </c>
      <c r="G778" s="680" t="s">
        <v>53</v>
      </c>
    </row>
    <row r="779" spans="3:7" ht="15.75" hidden="1" thickBot="1" x14ac:dyDescent="0.3">
      <c r="C779" s="9">
        <f t="shared" ref="C779:C794" si="167">C778</f>
        <v>0</v>
      </c>
      <c r="D779" s="32" t="s">
        <v>71</v>
      </c>
      <c r="E779" s="33"/>
      <c r="F779" s="681"/>
      <c r="G779" s="682"/>
    </row>
    <row r="780" spans="3:7" ht="15.75" hidden="1" thickBot="1" x14ac:dyDescent="0.3">
      <c r="C780" s="9">
        <f t="shared" si="167"/>
        <v>0</v>
      </c>
      <c r="D780" s="364" t="s">
        <v>72</v>
      </c>
      <c r="E780" s="12" t="s">
        <v>57</v>
      </c>
      <c r="F780" s="683">
        <f t="shared" ref="F780:G780" si="168">+$E777*F$6</f>
        <v>0</v>
      </c>
      <c r="G780" s="683">
        <f t="shared" si="168"/>
        <v>0</v>
      </c>
    </row>
    <row r="781" spans="3:7" ht="15.75" hidden="1" thickBot="1" x14ac:dyDescent="0.3">
      <c r="C781" s="9">
        <f t="shared" si="167"/>
        <v>0</v>
      </c>
      <c r="D781" s="364" t="s">
        <v>73</v>
      </c>
      <c r="E781" s="12" t="s">
        <v>56</v>
      </c>
      <c r="F781" s="683">
        <f t="shared" ref="F781:G781" si="169">+$E777*F$7</f>
        <v>0</v>
      </c>
      <c r="G781" s="683">
        <f t="shared" si="169"/>
        <v>0</v>
      </c>
    </row>
    <row r="782" spans="3:7" ht="15.75" hidden="1" thickBot="1" x14ac:dyDescent="0.3">
      <c r="C782" s="9">
        <f t="shared" si="167"/>
        <v>0</v>
      </c>
      <c r="D782" s="364" t="s">
        <v>74</v>
      </c>
      <c r="E782" s="12" t="s">
        <v>55</v>
      </c>
      <c r="F782" s="683">
        <f t="shared" ref="F782:G782" si="170">+$E777*F$8</f>
        <v>0</v>
      </c>
      <c r="G782" s="683">
        <f t="shared" si="170"/>
        <v>0</v>
      </c>
    </row>
    <row r="783" spans="3:7" ht="15.75" hidden="1" thickBot="1" x14ac:dyDescent="0.3">
      <c r="C783" s="9">
        <f t="shared" si="167"/>
        <v>0</v>
      </c>
      <c r="D783" s="364" t="s">
        <v>75</v>
      </c>
      <c r="E783" s="12" t="s">
        <v>54</v>
      </c>
      <c r="F783" s="683">
        <f t="shared" ref="F783:G783" si="171">+$E777*F$9</f>
        <v>0</v>
      </c>
      <c r="G783" s="683">
        <f t="shared" si="171"/>
        <v>0</v>
      </c>
    </row>
    <row r="784" spans="3:7" ht="15.75" hidden="1" thickBot="1" x14ac:dyDescent="0.3">
      <c r="C784" s="9">
        <f t="shared" si="167"/>
        <v>0</v>
      </c>
      <c r="D784" s="34" t="s">
        <v>467</v>
      </c>
      <c r="E784" s="12" t="s">
        <v>53</v>
      </c>
      <c r="F784" s="683">
        <f t="shared" ref="F784:G784" si="172">+$E777*F$10</f>
        <v>0</v>
      </c>
      <c r="G784" s="683">
        <f t="shared" si="172"/>
        <v>0</v>
      </c>
    </row>
    <row r="785" spans="3:7" ht="15.75" hidden="1" thickBot="1" x14ac:dyDescent="0.3">
      <c r="C785" s="9">
        <f t="shared" si="167"/>
        <v>0</v>
      </c>
      <c r="D785" s="34" t="s">
        <v>76</v>
      </c>
      <c r="E785" s="12" t="s">
        <v>52</v>
      </c>
      <c r="F785" s="683">
        <f>+$E777*F$11</f>
        <v>0</v>
      </c>
      <c r="G785" s="683">
        <f>+$E777*G$11</f>
        <v>0</v>
      </c>
    </row>
    <row r="786" spans="3:7" ht="15.75" hidden="1" thickBot="1" x14ac:dyDescent="0.3">
      <c r="C786" s="9">
        <f t="shared" si="167"/>
        <v>0</v>
      </c>
      <c r="D786" s="34" t="s">
        <v>468</v>
      </c>
      <c r="E786" s="12" t="s">
        <v>51</v>
      </c>
      <c r="F786" s="683">
        <f>+$E777*F$12</f>
        <v>0</v>
      </c>
      <c r="G786" s="683">
        <f>+$E777*G$12</f>
        <v>0</v>
      </c>
    </row>
    <row r="787" spans="3:7" ht="15.75" hidden="1" thickBot="1" x14ac:dyDescent="0.3">
      <c r="C787" s="9">
        <f t="shared" si="167"/>
        <v>0</v>
      </c>
      <c r="D787" s="364" t="s">
        <v>59</v>
      </c>
      <c r="E787" s="12" t="s">
        <v>50</v>
      </c>
      <c r="F787" s="683">
        <f>+$E777*F$13</f>
        <v>0</v>
      </c>
      <c r="G787" s="683">
        <f>+$E777*G$13</f>
        <v>0</v>
      </c>
    </row>
    <row r="788" spans="3:7" ht="15.75" hidden="1" thickBot="1" x14ac:dyDescent="0.3">
      <c r="C788" s="9">
        <f t="shared" si="167"/>
        <v>0</v>
      </c>
      <c r="D788" s="364" t="s">
        <v>25</v>
      </c>
      <c r="E788" s="12" t="s">
        <v>49</v>
      </c>
      <c r="F788" s="683">
        <f>+$E777*F$14</f>
        <v>0</v>
      </c>
      <c r="G788" s="683">
        <f>+$E777*G$14</f>
        <v>0</v>
      </c>
    </row>
    <row r="789" spans="3:7" ht="15.75" hidden="1" thickBot="1" x14ac:dyDescent="0.3">
      <c r="C789" s="9">
        <f t="shared" si="167"/>
        <v>0</v>
      </c>
      <c r="D789" s="364" t="s">
        <v>466</v>
      </c>
      <c r="E789" s="12" t="s">
        <v>47</v>
      </c>
      <c r="F789" s="683">
        <f>+$E777*F$15</f>
        <v>0</v>
      </c>
      <c r="G789" s="683">
        <f>+$E777*G$15</f>
        <v>0</v>
      </c>
    </row>
    <row r="790" spans="3:7" ht="15.75" hidden="1" thickBot="1" x14ac:dyDescent="0.3">
      <c r="C790" s="9">
        <f t="shared" si="167"/>
        <v>0</v>
      </c>
      <c r="D790" s="364" t="s">
        <v>82</v>
      </c>
      <c r="E790" s="12" t="s">
        <v>77</v>
      </c>
      <c r="F790" s="683">
        <f>+$E777*F$16</f>
        <v>0</v>
      </c>
      <c r="G790" s="683">
        <f>+$E777*G$16</f>
        <v>0</v>
      </c>
    </row>
    <row r="791" spans="3:7" ht="15.75" hidden="1" thickBot="1" x14ac:dyDescent="0.3">
      <c r="C791" s="9">
        <f t="shared" si="167"/>
        <v>0</v>
      </c>
      <c r="D791" s="364" t="s">
        <v>84</v>
      </c>
      <c r="E791" s="12" t="s">
        <v>78</v>
      </c>
      <c r="F791" s="683">
        <f ca="1">+$E777*F$17</f>
        <v>0</v>
      </c>
      <c r="G791" s="683">
        <f>+$E777*G$17</f>
        <v>0</v>
      </c>
    </row>
    <row r="792" spans="3:7" ht="15.75" hidden="1" thickBot="1" x14ac:dyDescent="0.3">
      <c r="C792" s="9">
        <f t="shared" si="167"/>
        <v>0</v>
      </c>
      <c r="D792" s="364" t="s">
        <v>86</v>
      </c>
      <c r="E792" s="12" t="s">
        <v>79</v>
      </c>
      <c r="F792" s="683">
        <f>+$E$777*F18</f>
        <v>0</v>
      </c>
      <c r="G792" s="683">
        <f>+$E$777*G18</f>
        <v>0</v>
      </c>
    </row>
    <row r="793" spans="3:7" ht="15.75" hidden="1" thickBot="1" x14ac:dyDescent="0.3">
      <c r="C793" s="9">
        <f t="shared" si="167"/>
        <v>0</v>
      </c>
      <c r="D793" s="364" t="s">
        <v>386</v>
      </c>
      <c r="E793" s="12" t="s">
        <v>81</v>
      </c>
      <c r="F793" s="683">
        <f>+$E$777*F19</f>
        <v>0</v>
      </c>
      <c r="G793" s="683">
        <f>+$E$777*G19</f>
        <v>0</v>
      </c>
    </row>
    <row r="794" spans="3:7" ht="15.75" hidden="1" thickBot="1" x14ac:dyDescent="0.3">
      <c r="C794" s="9">
        <f t="shared" si="167"/>
        <v>0</v>
      </c>
      <c r="D794" s="35" t="s">
        <v>22</v>
      </c>
      <c r="E794" s="12" t="s">
        <v>83</v>
      </c>
      <c r="F794" s="685">
        <f>SUBTOTAL(9,F780:F793)</f>
        <v>0</v>
      </c>
      <c r="G794" s="685">
        <f>SUBTOTAL(9,G780:G793)</f>
        <v>0</v>
      </c>
    </row>
    <row r="795" spans="3:7" ht="15.75" hidden="1" thickBot="1" x14ac:dyDescent="0.3">
      <c r="D795" s="326"/>
      <c r="E795" s="327"/>
      <c r="F795" s="686"/>
      <c r="G795" s="686"/>
    </row>
    <row r="796" spans="3:7" ht="15.75" hidden="1" thickBot="1" x14ac:dyDescent="0.3">
      <c r="D796" s="326"/>
      <c r="E796" s="327"/>
      <c r="F796" s="686"/>
      <c r="G796" s="686"/>
    </row>
    <row r="797" spans="3:7" ht="30" x14ac:dyDescent="0.25">
      <c r="C797" s="9">
        <f ca="1">IF(F814&gt;0,1,0)</f>
        <v>1</v>
      </c>
      <c r="D797" s="20" t="str">
        <f>+A44</f>
        <v>Queens</v>
      </c>
      <c r="E797" s="19">
        <f>IFERROR(SUMIF(A:A,D797,B:B),0)</f>
        <v>6.5287175991947499E-2</v>
      </c>
      <c r="F797" s="652" t="s">
        <v>31</v>
      </c>
      <c r="G797" s="652" t="s">
        <v>32</v>
      </c>
    </row>
    <row r="798" spans="3:7" x14ac:dyDescent="0.25">
      <c r="C798" s="9">
        <f ca="1">C797</f>
        <v>1</v>
      </c>
      <c r="D798" s="30"/>
      <c r="E798" s="31"/>
      <c r="F798" s="680" t="s">
        <v>54</v>
      </c>
      <c r="G798" s="680" t="s">
        <v>53</v>
      </c>
    </row>
    <row r="799" spans="3:7" x14ac:dyDescent="0.25">
      <c r="C799" s="9">
        <f t="shared" ref="C799:C814" ca="1" si="173">C798</f>
        <v>1</v>
      </c>
      <c r="D799" s="32" t="s">
        <v>71</v>
      </c>
      <c r="E799" s="33"/>
      <c r="F799" s="681"/>
      <c r="G799" s="682"/>
    </row>
    <row r="800" spans="3:7" x14ac:dyDescent="0.25">
      <c r="C800" s="9">
        <f t="shared" ca="1" si="173"/>
        <v>1</v>
      </c>
      <c r="D800" s="364" t="s">
        <v>72</v>
      </c>
      <c r="E800" s="12" t="s">
        <v>57</v>
      </c>
      <c r="F800" s="683">
        <f t="shared" ref="F800:G800" si="174">+$E797*F$6</f>
        <v>0</v>
      </c>
      <c r="G800" s="683">
        <f t="shared" si="174"/>
        <v>0</v>
      </c>
    </row>
    <row r="801" spans="3:7" x14ac:dyDescent="0.25">
      <c r="C801" s="9">
        <f t="shared" ca="1" si="173"/>
        <v>1</v>
      </c>
      <c r="D801" s="364" t="s">
        <v>73</v>
      </c>
      <c r="E801" s="12" t="s">
        <v>56</v>
      </c>
      <c r="F801" s="683">
        <f t="shared" ref="F801:G801" si="175">+$E797*F$7</f>
        <v>53014.848003954357</v>
      </c>
      <c r="G801" s="683">
        <f t="shared" si="175"/>
        <v>0</v>
      </c>
    </row>
    <row r="802" spans="3:7" x14ac:dyDescent="0.25">
      <c r="C802" s="9">
        <f t="shared" ca="1" si="173"/>
        <v>1</v>
      </c>
      <c r="D802" s="364" t="s">
        <v>74</v>
      </c>
      <c r="E802" s="12" t="s">
        <v>55</v>
      </c>
      <c r="F802" s="683">
        <f t="shared" ref="F802:G802" si="176">+$E797*F$8</f>
        <v>7947.8103177795956</v>
      </c>
      <c r="G802" s="683">
        <f t="shared" si="176"/>
        <v>0</v>
      </c>
    </row>
    <row r="803" spans="3:7" x14ac:dyDescent="0.25">
      <c r="C803" s="9">
        <f t="shared" ca="1" si="173"/>
        <v>1</v>
      </c>
      <c r="D803" s="364" t="s">
        <v>75</v>
      </c>
      <c r="E803" s="12" t="s">
        <v>54</v>
      </c>
      <c r="F803" s="683">
        <f t="shared" ref="F803:G803" si="177">+$E797*F$9</f>
        <v>16244.234865144272</v>
      </c>
      <c r="G803" s="683">
        <f t="shared" si="177"/>
        <v>0</v>
      </c>
    </row>
    <row r="804" spans="3:7" x14ac:dyDescent="0.25">
      <c r="C804" s="9">
        <f t="shared" ca="1" si="173"/>
        <v>1</v>
      </c>
      <c r="D804" s="34" t="s">
        <v>467</v>
      </c>
      <c r="E804" s="12" t="s">
        <v>53</v>
      </c>
      <c r="F804" s="683">
        <f t="shared" ref="F804:G804" si="178">+$E797*F$10</f>
        <v>77784.925963874222</v>
      </c>
      <c r="G804" s="683">
        <f t="shared" si="178"/>
        <v>0</v>
      </c>
    </row>
    <row r="805" spans="3:7" x14ac:dyDescent="0.25">
      <c r="C805" s="9">
        <f t="shared" ca="1" si="173"/>
        <v>1</v>
      </c>
      <c r="D805" s="34" t="s">
        <v>76</v>
      </c>
      <c r="E805" s="12" t="s">
        <v>52</v>
      </c>
      <c r="F805" s="683">
        <f>+$E797*F$11</f>
        <v>17785.343632425134</v>
      </c>
      <c r="G805" s="683">
        <f>+$E797*G$11</f>
        <v>0</v>
      </c>
    </row>
    <row r="806" spans="3:7" x14ac:dyDescent="0.25">
      <c r="C806" s="9">
        <f t="shared" ca="1" si="173"/>
        <v>1</v>
      </c>
      <c r="D806" s="34" t="s">
        <v>468</v>
      </c>
      <c r="E806" s="12" t="s">
        <v>51</v>
      </c>
      <c r="F806" s="683">
        <f>+$E797*F$12</f>
        <v>0</v>
      </c>
      <c r="G806" s="683">
        <f>+$E797*G$12</f>
        <v>0</v>
      </c>
    </row>
    <row r="807" spans="3:7" x14ac:dyDescent="0.25">
      <c r="C807" s="9">
        <f t="shared" ca="1" si="173"/>
        <v>1</v>
      </c>
      <c r="D807" s="364" t="s">
        <v>59</v>
      </c>
      <c r="E807" s="12" t="s">
        <v>50</v>
      </c>
      <c r="F807" s="683">
        <f>+$E797*F$13</f>
        <v>2816.204617625131</v>
      </c>
      <c r="G807" s="683">
        <f>+$E797*G$13</f>
        <v>0</v>
      </c>
    </row>
    <row r="808" spans="3:7" x14ac:dyDescent="0.25">
      <c r="C808" s="9">
        <f t="shared" ca="1" si="173"/>
        <v>1</v>
      </c>
      <c r="D808" s="364" t="s">
        <v>25</v>
      </c>
      <c r="E808" s="12" t="s">
        <v>49</v>
      </c>
      <c r="F808" s="683">
        <f>+$E797*F$14</f>
        <v>9221.9244548477127</v>
      </c>
      <c r="G808" s="683">
        <f>+$E797*G$14</f>
        <v>0</v>
      </c>
    </row>
    <row r="809" spans="3:7" x14ac:dyDescent="0.25">
      <c r="C809" s="9">
        <f t="shared" ca="1" si="173"/>
        <v>1</v>
      </c>
      <c r="D809" s="364" t="s">
        <v>466</v>
      </c>
      <c r="E809" s="12" t="s">
        <v>47</v>
      </c>
      <c r="F809" s="683">
        <f>+$E797*F$15</f>
        <v>34406.605587290636</v>
      </c>
      <c r="G809" s="683">
        <f>+$E797*G$15</f>
        <v>0</v>
      </c>
    </row>
    <row r="810" spans="3:7" x14ac:dyDescent="0.25">
      <c r="C810" s="9">
        <f t="shared" ca="1" si="173"/>
        <v>1</v>
      </c>
      <c r="D810" s="364" t="s">
        <v>82</v>
      </c>
      <c r="E810" s="12" t="s">
        <v>77</v>
      </c>
      <c r="F810" s="683">
        <f>+$E797*F$16</f>
        <v>23314.588160437845</v>
      </c>
      <c r="G810" s="683">
        <f>+$E797*G$16</f>
        <v>0</v>
      </c>
    </row>
    <row r="811" spans="3:7" x14ac:dyDescent="0.25">
      <c r="C811" s="9">
        <f t="shared" ca="1" si="173"/>
        <v>1</v>
      </c>
      <c r="D811" s="364" t="s">
        <v>84</v>
      </c>
      <c r="E811" s="12" t="s">
        <v>78</v>
      </c>
      <c r="F811" s="683">
        <f ca="1">+$E797*F$17</f>
        <v>1666780.180337765</v>
      </c>
      <c r="G811" s="683">
        <f>+$E797*G$17</f>
        <v>0</v>
      </c>
    </row>
    <row r="812" spans="3:7" x14ac:dyDescent="0.25">
      <c r="C812" s="9">
        <f t="shared" ca="1" si="173"/>
        <v>1</v>
      </c>
      <c r="D812" s="364" t="s">
        <v>86</v>
      </c>
      <c r="E812" s="12" t="s">
        <v>79</v>
      </c>
      <c r="F812" s="683">
        <f>+$E$797*F18</f>
        <v>25674.488155688756</v>
      </c>
      <c r="G812" s="683">
        <f>+$E$797*G18</f>
        <v>0</v>
      </c>
    </row>
    <row r="813" spans="3:7" x14ac:dyDescent="0.25">
      <c r="C813" s="9">
        <f t="shared" ca="1" si="173"/>
        <v>1</v>
      </c>
      <c r="D813" s="364" t="s">
        <v>386</v>
      </c>
      <c r="E813" s="12" t="s">
        <v>81</v>
      </c>
      <c r="F813" s="683">
        <f>+$E$797*F19</f>
        <v>0</v>
      </c>
      <c r="G813" s="683">
        <f>+$E$797*G19</f>
        <v>0</v>
      </c>
    </row>
    <row r="814" spans="3:7" ht="15.75" thickBot="1" x14ac:dyDescent="0.3">
      <c r="C814" s="9">
        <f t="shared" ca="1" si="173"/>
        <v>1</v>
      </c>
      <c r="D814" s="35" t="s">
        <v>22</v>
      </c>
      <c r="E814" s="12" t="s">
        <v>83</v>
      </c>
      <c r="F814" s="685">
        <f ca="1">SUBTOTAL(9,F800:F813)</f>
        <v>1934991.1540968327</v>
      </c>
      <c r="G814" s="685">
        <f>SUBTOTAL(9,G800:G813)</f>
        <v>0</v>
      </c>
    </row>
    <row r="815" spans="3:7" ht="15.75" hidden="1" thickBot="1" x14ac:dyDescent="0.3">
      <c r="D815" s="326"/>
      <c r="E815" s="327"/>
      <c r="F815" s="686"/>
      <c r="G815" s="686"/>
    </row>
    <row r="816" spans="3:7" ht="15.75" hidden="1" thickBot="1" x14ac:dyDescent="0.3">
      <c r="D816" s="326"/>
      <c r="E816" s="327"/>
      <c r="F816" s="686"/>
      <c r="G816" s="686"/>
    </row>
    <row r="817" spans="3:7" ht="30" x14ac:dyDescent="0.25">
      <c r="C817" s="9">
        <f ca="1">IF(F834&gt;0,1,0)</f>
        <v>1</v>
      </c>
      <c r="D817" s="20" t="str">
        <f>+A45</f>
        <v>Rensselaer</v>
      </c>
      <c r="E817" s="19">
        <f>IFERROR(SUMIF(A:A,D817,B:B),0)</f>
        <v>1.1730815708073958E-3</v>
      </c>
      <c r="F817" s="652" t="s">
        <v>31</v>
      </c>
      <c r="G817" s="652" t="s">
        <v>32</v>
      </c>
    </row>
    <row r="818" spans="3:7" x14ac:dyDescent="0.25">
      <c r="C818" s="9">
        <f ca="1">C817</f>
        <v>1</v>
      </c>
      <c r="D818" s="30"/>
      <c r="E818" s="31"/>
      <c r="F818" s="680" t="s">
        <v>54</v>
      </c>
      <c r="G818" s="680" t="s">
        <v>53</v>
      </c>
    </row>
    <row r="819" spans="3:7" x14ac:dyDescent="0.25">
      <c r="C819" s="9">
        <f t="shared" ref="C819:C834" ca="1" si="179">C818</f>
        <v>1</v>
      </c>
      <c r="D819" s="32" t="s">
        <v>71</v>
      </c>
      <c r="E819" s="33"/>
      <c r="F819" s="681"/>
      <c r="G819" s="682"/>
    </row>
    <row r="820" spans="3:7" x14ac:dyDescent="0.25">
      <c r="C820" s="9">
        <f t="shared" ca="1" si="179"/>
        <v>1</v>
      </c>
      <c r="D820" s="364" t="s">
        <v>72</v>
      </c>
      <c r="E820" s="12" t="s">
        <v>57</v>
      </c>
      <c r="F820" s="683">
        <f t="shared" ref="F820:G820" si="180">+$E817*F$6</f>
        <v>0</v>
      </c>
      <c r="G820" s="683">
        <f t="shared" si="180"/>
        <v>0</v>
      </c>
    </row>
    <row r="821" spans="3:7" x14ac:dyDescent="0.25">
      <c r="C821" s="9">
        <f t="shared" ca="1" si="179"/>
        <v>1</v>
      </c>
      <c r="D821" s="364" t="s">
        <v>73</v>
      </c>
      <c r="E821" s="12" t="s">
        <v>56</v>
      </c>
      <c r="F821" s="683">
        <f t="shared" ref="F821:G821" si="181">+$E817*F$7</f>
        <v>952.57208215384742</v>
      </c>
      <c r="G821" s="683">
        <f t="shared" si="181"/>
        <v>0</v>
      </c>
    </row>
    <row r="822" spans="3:7" x14ac:dyDescent="0.25">
      <c r="C822" s="9">
        <f t="shared" ca="1" si="179"/>
        <v>1</v>
      </c>
      <c r="D822" s="364" t="s">
        <v>74</v>
      </c>
      <c r="E822" s="12" t="s">
        <v>55</v>
      </c>
      <c r="F822" s="683">
        <f t="shared" ref="F822:G822" si="182">+$E817*F$8</f>
        <v>142.80644966493978</v>
      </c>
      <c r="G822" s="683">
        <f t="shared" si="182"/>
        <v>0</v>
      </c>
    </row>
    <row r="823" spans="3:7" x14ac:dyDescent="0.25">
      <c r="C823" s="9">
        <f t="shared" ca="1" si="179"/>
        <v>1</v>
      </c>
      <c r="D823" s="364" t="s">
        <v>75</v>
      </c>
      <c r="E823" s="12" t="s">
        <v>54</v>
      </c>
      <c r="F823" s="683">
        <f t="shared" ref="F823:G823" si="183">+$E817*F$9</f>
        <v>291.87680831099271</v>
      </c>
      <c r="G823" s="683">
        <f t="shared" si="183"/>
        <v>0</v>
      </c>
    </row>
    <row r="824" spans="3:7" x14ac:dyDescent="0.25">
      <c r="C824" s="9">
        <f t="shared" ca="1" si="179"/>
        <v>1</v>
      </c>
      <c r="D824" s="34" t="s">
        <v>467</v>
      </c>
      <c r="E824" s="12" t="s">
        <v>53</v>
      </c>
      <c r="F824" s="683">
        <f t="shared" ref="F824:G824" si="184">+$E817*F$10</f>
        <v>1397.6414471670987</v>
      </c>
      <c r="G824" s="683">
        <f t="shared" si="184"/>
        <v>0</v>
      </c>
    </row>
    <row r="825" spans="3:7" x14ac:dyDescent="0.25">
      <c r="C825" s="9">
        <f t="shared" ca="1" si="179"/>
        <v>1</v>
      </c>
      <c r="D825" s="34" t="s">
        <v>76</v>
      </c>
      <c r="E825" s="12" t="s">
        <v>52</v>
      </c>
      <c r="F825" s="683">
        <f>+$E817*F$11</f>
        <v>319.567488234564</v>
      </c>
      <c r="G825" s="683">
        <f>+$E817*G$11</f>
        <v>0</v>
      </c>
    </row>
    <row r="826" spans="3:7" x14ac:dyDescent="0.25">
      <c r="C826" s="9">
        <f t="shared" ca="1" si="179"/>
        <v>1</v>
      </c>
      <c r="D826" s="34" t="s">
        <v>468</v>
      </c>
      <c r="E826" s="12" t="s">
        <v>51</v>
      </c>
      <c r="F826" s="683">
        <f>+$E817*F$12</f>
        <v>0</v>
      </c>
      <c r="G826" s="683">
        <f>+$E817*G$12</f>
        <v>0</v>
      </c>
    </row>
    <row r="827" spans="3:7" x14ac:dyDescent="0.25">
      <c r="C827" s="9">
        <f t="shared" ca="1" si="179"/>
        <v>1</v>
      </c>
      <c r="D827" s="364" t="s">
        <v>59</v>
      </c>
      <c r="E827" s="12" t="s">
        <v>50</v>
      </c>
      <c r="F827" s="683">
        <f>+$E817*F$13</f>
        <v>50.601633266634167</v>
      </c>
      <c r="G827" s="683">
        <f>+$E817*G$13</f>
        <v>0</v>
      </c>
    </row>
    <row r="828" spans="3:7" x14ac:dyDescent="0.25">
      <c r="C828" s="9">
        <f t="shared" ca="1" si="179"/>
        <v>1</v>
      </c>
      <c r="D828" s="364" t="s">
        <v>25</v>
      </c>
      <c r="E828" s="12" t="s">
        <v>49</v>
      </c>
      <c r="F828" s="683">
        <f>+$E817*F$14</f>
        <v>165.69976355990937</v>
      </c>
      <c r="G828" s="683">
        <f>+$E817*G$14</f>
        <v>0</v>
      </c>
    </row>
    <row r="829" spans="3:7" x14ac:dyDescent="0.25">
      <c r="C829" s="9">
        <f t="shared" ca="1" si="179"/>
        <v>1</v>
      </c>
      <c r="D829" s="364" t="s">
        <v>466</v>
      </c>
      <c r="E829" s="12" t="s">
        <v>47</v>
      </c>
      <c r="F829" s="683">
        <f>+$E817*F$15</f>
        <v>618.21872849068598</v>
      </c>
      <c r="G829" s="683">
        <f>+$E817*G$15</f>
        <v>0</v>
      </c>
    </row>
    <row r="830" spans="3:7" x14ac:dyDescent="0.25">
      <c r="C830" s="9">
        <f t="shared" ca="1" si="179"/>
        <v>1</v>
      </c>
      <c r="D830" s="364" t="s">
        <v>82</v>
      </c>
      <c r="E830" s="12" t="s">
        <v>77</v>
      </c>
      <c r="F830" s="683">
        <f>+$E817*F$16</f>
        <v>418.91708879163758</v>
      </c>
      <c r="G830" s="683">
        <f>+$E817*G$16</f>
        <v>0</v>
      </c>
    </row>
    <row r="831" spans="3:7" x14ac:dyDescent="0.25">
      <c r="C831" s="9">
        <f t="shared" ca="1" si="179"/>
        <v>1</v>
      </c>
      <c r="D831" s="364" t="s">
        <v>84</v>
      </c>
      <c r="E831" s="12" t="s">
        <v>78</v>
      </c>
      <c r="F831" s="683">
        <f ca="1">+$E817*F$17</f>
        <v>29948.7469389459</v>
      </c>
      <c r="G831" s="683">
        <f>+$E817*G$17</f>
        <v>0</v>
      </c>
    </row>
    <row r="832" spans="3:7" x14ac:dyDescent="0.25">
      <c r="C832" s="9">
        <f t="shared" ca="1" si="179"/>
        <v>1</v>
      </c>
      <c r="D832" s="364" t="s">
        <v>86</v>
      </c>
      <c r="E832" s="12" t="s">
        <v>79</v>
      </c>
      <c r="F832" s="683">
        <f>+$E$817*F18</f>
        <v>461.31982947257546</v>
      </c>
      <c r="G832" s="683">
        <f>+$E$817*G18</f>
        <v>0</v>
      </c>
    </row>
    <row r="833" spans="3:7" x14ac:dyDescent="0.25">
      <c r="C833" s="9">
        <f t="shared" ca="1" si="179"/>
        <v>1</v>
      </c>
      <c r="D833" s="364" t="s">
        <v>386</v>
      </c>
      <c r="E833" s="12" t="s">
        <v>81</v>
      </c>
      <c r="F833" s="683">
        <f>+$E$817*F19</f>
        <v>0</v>
      </c>
      <c r="G833" s="683">
        <f>+$E$817*G19</f>
        <v>0</v>
      </c>
    </row>
    <row r="834" spans="3:7" ht="15.75" thickBot="1" x14ac:dyDescent="0.3">
      <c r="C834" s="9">
        <f t="shared" ca="1" si="179"/>
        <v>1</v>
      </c>
      <c r="D834" s="35" t="s">
        <v>22</v>
      </c>
      <c r="E834" s="12" t="s">
        <v>83</v>
      </c>
      <c r="F834" s="685">
        <f ca="1">SUBTOTAL(9,F820:F833)</f>
        <v>34767.968258058783</v>
      </c>
      <c r="G834" s="685">
        <f>SUBTOTAL(9,G820:G833)</f>
        <v>0</v>
      </c>
    </row>
    <row r="835" spans="3:7" ht="15.75" hidden="1" thickBot="1" x14ac:dyDescent="0.3">
      <c r="D835" s="326"/>
      <c r="E835" s="327"/>
      <c r="F835" s="686"/>
      <c r="G835" s="686"/>
    </row>
    <row r="836" spans="3:7" ht="30" x14ac:dyDescent="0.25">
      <c r="C836" s="9">
        <f ca="1">IF(F853&gt;0,1,0)</f>
        <v>1</v>
      </c>
      <c r="D836" s="20" t="str">
        <f>+A46</f>
        <v>Richmond</v>
      </c>
      <c r="E836" s="19">
        <f>IFERROR(SUMIF(A:A,D836,B:B),0)</f>
        <v>4.381852820559811E-2</v>
      </c>
      <c r="F836" s="652" t="s">
        <v>31</v>
      </c>
      <c r="G836" s="652" t="s">
        <v>32</v>
      </c>
    </row>
    <row r="837" spans="3:7" x14ac:dyDescent="0.25">
      <c r="C837" s="9">
        <f ca="1">C836</f>
        <v>1</v>
      </c>
      <c r="D837" s="30"/>
      <c r="E837" s="31"/>
      <c r="F837" s="680" t="s">
        <v>54</v>
      </c>
      <c r="G837" s="680" t="s">
        <v>53</v>
      </c>
    </row>
    <row r="838" spans="3:7" x14ac:dyDescent="0.25">
      <c r="C838" s="9">
        <f t="shared" ref="C838:C853" ca="1" si="185">C837</f>
        <v>1</v>
      </c>
      <c r="D838" s="32" t="s">
        <v>71</v>
      </c>
      <c r="E838" s="33"/>
      <c r="F838" s="681"/>
      <c r="G838" s="682"/>
    </row>
    <row r="839" spans="3:7" x14ac:dyDescent="0.25">
      <c r="C839" s="9">
        <f t="shared" ca="1" si="185"/>
        <v>1</v>
      </c>
      <c r="D839" s="364" t="s">
        <v>72</v>
      </c>
      <c r="E839" s="12" t="s">
        <v>57</v>
      </c>
      <c r="F839" s="683">
        <f t="shared" ref="F839:G839" si="186">+$E836*F$6</f>
        <v>0</v>
      </c>
      <c r="G839" s="683">
        <f t="shared" si="186"/>
        <v>0</v>
      </c>
    </row>
    <row r="840" spans="3:7" x14ac:dyDescent="0.25">
      <c r="C840" s="9">
        <f t="shared" ca="1" si="185"/>
        <v>1</v>
      </c>
      <c r="D840" s="364" t="s">
        <v>73</v>
      </c>
      <c r="E840" s="12" t="s">
        <v>56</v>
      </c>
      <c r="F840" s="683">
        <f t="shared" ref="F840:G840" si="187">+$E836*F$7</f>
        <v>35581.759775660888</v>
      </c>
      <c r="G840" s="683">
        <f t="shared" si="187"/>
        <v>0</v>
      </c>
    </row>
    <row r="841" spans="3:7" x14ac:dyDescent="0.25">
      <c r="C841" s="9">
        <f t="shared" ca="1" si="185"/>
        <v>1</v>
      </c>
      <c r="D841" s="364" t="s">
        <v>74</v>
      </c>
      <c r="E841" s="12" t="s">
        <v>55</v>
      </c>
      <c r="F841" s="683">
        <f t="shared" ref="F841:G841" si="188">+$E836*F$8</f>
        <v>5334.2995050869313</v>
      </c>
      <c r="G841" s="683">
        <f t="shared" si="188"/>
        <v>0</v>
      </c>
    </row>
    <row r="842" spans="3:7" x14ac:dyDescent="0.25">
      <c r="C842" s="9">
        <f t="shared" ca="1" si="185"/>
        <v>1</v>
      </c>
      <c r="D842" s="364" t="s">
        <v>75</v>
      </c>
      <c r="E842" s="12" t="s">
        <v>54</v>
      </c>
      <c r="F842" s="683">
        <f t="shared" ref="F842:G842" si="189">+$E836*F$9</f>
        <v>10902.577003858729</v>
      </c>
      <c r="G842" s="683">
        <f t="shared" si="189"/>
        <v>0</v>
      </c>
    </row>
    <row r="843" spans="3:7" x14ac:dyDescent="0.25">
      <c r="C843" s="9">
        <f t="shared" ca="1" si="185"/>
        <v>1</v>
      </c>
      <c r="D843" s="34" t="s">
        <v>467</v>
      </c>
      <c r="E843" s="12" t="s">
        <v>53</v>
      </c>
      <c r="F843" s="683">
        <f t="shared" ref="F843:G843" si="190">+$E836*F$10</f>
        <v>52206.592191072516</v>
      </c>
      <c r="G843" s="683">
        <f t="shared" si="190"/>
        <v>0</v>
      </c>
    </row>
    <row r="844" spans="3:7" x14ac:dyDescent="0.25">
      <c r="C844" s="9">
        <f t="shared" ca="1" si="185"/>
        <v>1</v>
      </c>
      <c r="D844" s="34" t="s">
        <v>76</v>
      </c>
      <c r="E844" s="12" t="s">
        <v>52</v>
      </c>
      <c r="F844" s="683">
        <f>+$E836*F$11</f>
        <v>11936.916703209794</v>
      </c>
      <c r="G844" s="683">
        <f>+$E836*G$11</f>
        <v>0</v>
      </c>
    </row>
    <row r="845" spans="3:7" x14ac:dyDescent="0.25">
      <c r="C845" s="9">
        <f t="shared" ca="1" si="185"/>
        <v>1</v>
      </c>
      <c r="D845" s="34" t="s">
        <v>468</v>
      </c>
      <c r="E845" s="12" t="s">
        <v>51</v>
      </c>
      <c r="F845" s="683">
        <f>+$E836*F$12</f>
        <v>0</v>
      </c>
      <c r="G845" s="683">
        <f>+$E836*G$12</f>
        <v>0</v>
      </c>
    </row>
    <row r="846" spans="3:7" x14ac:dyDescent="0.25">
      <c r="C846" s="9">
        <f t="shared" ca="1" si="185"/>
        <v>1</v>
      </c>
      <c r="D846" s="364" t="s">
        <v>59</v>
      </c>
      <c r="E846" s="12" t="s">
        <v>50</v>
      </c>
      <c r="F846" s="683">
        <f>+$E836*F$13</f>
        <v>1890.1405918577764</v>
      </c>
      <c r="G846" s="683">
        <f>+$E836*G$13</f>
        <v>0</v>
      </c>
    </row>
    <row r="847" spans="3:7" x14ac:dyDescent="0.25">
      <c r="C847" s="9">
        <f t="shared" ca="1" si="185"/>
        <v>1</v>
      </c>
      <c r="D847" s="364" t="s">
        <v>25</v>
      </c>
      <c r="E847" s="12" t="s">
        <v>49</v>
      </c>
      <c r="F847" s="683">
        <f>+$E836*F$14</f>
        <v>6189.4415050894531</v>
      </c>
      <c r="G847" s="683">
        <f>+$E836*G$14</f>
        <v>0</v>
      </c>
    </row>
    <row r="848" spans="3:7" x14ac:dyDescent="0.25">
      <c r="C848" s="9">
        <f t="shared" ca="1" si="185"/>
        <v>1</v>
      </c>
      <c r="D848" s="364" t="s">
        <v>466</v>
      </c>
      <c r="E848" s="12" t="s">
        <v>47</v>
      </c>
      <c r="F848" s="683">
        <f>+$E836*F$15</f>
        <v>23092.541444456674</v>
      </c>
      <c r="G848" s="683">
        <f>+$E836*G$15</f>
        <v>0</v>
      </c>
    </row>
    <row r="849" spans="3:7" x14ac:dyDescent="0.25">
      <c r="C849" s="9">
        <f t="shared" ca="1" si="185"/>
        <v>1</v>
      </c>
      <c r="D849" s="364" t="s">
        <v>82</v>
      </c>
      <c r="E849" s="12" t="s">
        <v>77</v>
      </c>
      <c r="F849" s="683">
        <f>+$E836*F$16</f>
        <v>15647.957250227129</v>
      </c>
      <c r="G849" s="683">
        <f>+$E836*G$16</f>
        <v>0</v>
      </c>
    </row>
    <row r="850" spans="3:7" x14ac:dyDescent="0.25">
      <c r="C850" s="9">
        <f t="shared" ca="1" si="185"/>
        <v>1</v>
      </c>
      <c r="D850" s="364" t="s">
        <v>84</v>
      </c>
      <c r="E850" s="12" t="s">
        <v>78</v>
      </c>
      <c r="F850" s="683">
        <f ca="1">+$E836*F$17</f>
        <v>1118686.0701965494</v>
      </c>
      <c r="G850" s="683">
        <f>+$E836*G$17</f>
        <v>0</v>
      </c>
    </row>
    <row r="851" spans="3:7" x14ac:dyDescent="0.25">
      <c r="C851" s="9">
        <f t="shared" ca="1" si="185"/>
        <v>1</v>
      </c>
      <c r="D851" s="364" t="s">
        <v>86</v>
      </c>
      <c r="E851" s="12" t="s">
        <v>79</v>
      </c>
      <c r="F851" s="683">
        <f>+$E$836*F18</f>
        <v>17231.841725748742</v>
      </c>
      <c r="G851" s="683">
        <f>+$E$836*G18</f>
        <v>0</v>
      </c>
    </row>
    <row r="852" spans="3:7" x14ac:dyDescent="0.25">
      <c r="C852" s="9">
        <f t="shared" ca="1" si="185"/>
        <v>1</v>
      </c>
      <c r="D852" s="364" t="s">
        <v>386</v>
      </c>
      <c r="E852" s="12" t="s">
        <v>81</v>
      </c>
      <c r="F852" s="683">
        <f>+$E$836*F19</f>
        <v>0</v>
      </c>
      <c r="G852" s="683">
        <f>+$E$836*G19</f>
        <v>0</v>
      </c>
    </row>
    <row r="853" spans="3:7" ht="15.75" thickBot="1" x14ac:dyDescent="0.3">
      <c r="C853" s="9">
        <f t="shared" ca="1" si="185"/>
        <v>1</v>
      </c>
      <c r="D853" s="35" t="s">
        <v>22</v>
      </c>
      <c r="E853" s="12" t="s">
        <v>83</v>
      </c>
      <c r="F853" s="685">
        <f ca="1">SUBTOTAL(9,F839:F852)</f>
        <v>1298700.1378928181</v>
      </c>
      <c r="G853" s="685">
        <f>SUBTOTAL(9,G839:G852)</f>
        <v>0</v>
      </c>
    </row>
    <row r="854" spans="3:7" ht="15.75" hidden="1" thickBot="1" x14ac:dyDescent="0.3">
      <c r="D854" s="326"/>
      <c r="E854" s="327"/>
      <c r="F854" s="686"/>
      <c r="G854" s="686"/>
    </row>
    <row r="855" spans="3:7" ht="30.75" hidden="1" thickBot="1" x14ac:dyDescent="0.3">
      <c r="C855" s="9">
        <f>IF(F872&gt;0,1,0)</f>
        <v>0</v>
      </c>
      <c r="D855" s="20" t="str">
        <f>+A47</f>
        <v>Rockland</v>
      </c>
      <c r="E855" s="19">
        <f>IFERROR(SUMIF(A:A,D855,B:B),0)</f>
        <v>0</v>
      </c>
      <c r="F855" s="652" t="s">
        <v>31</v>
      </c>
      <c r="G855" s="652" t="s">
        <v>32</v>
      </c>
    </row>
    <row r="856" spans="3:7" ht="15.75" hidden="1" thickBot="1" x14ac:dyDescent="0.3">
      <c r="C856" s="9">
        <f>C855</f>
        <v>0</v>
      </c>
      <c r="D856" s="30"/>
      <c r="E856" s="31"/>
      <c r="F856" s="680" t="s">
        <v>54</v>
      </c>
      <c r="G856" s="680" t="s">
        <v>53</v>
      </c>
    </row>
    <row r="857" spans="3:7" ht="15.75" hidden="1" thickBot="1" x14ac:dyDescent="0.3">
      <c r="C857" s="9">
        <f t="shared" ref="C857:C872" si="191">C856</f>
        <v>0</v>
      </c>
      <c r="D857" s="32" t="s">
        <v>71</v>
      </c>
      <c r="E857" s="33"/>
      <c r="F857" s="681"/>
      <c r="G857" s="682"/>
    </row>
    <row r="858" spans="3:7" ht="15.75" hidden="1" thickBot="1" x14ac:dyDescent="0.3">
      <c r="C858" s="9">
        <f t="shared" si="191"/>
        <v>0</v>
      </c>
      <c r="D858" s="364" t="s">
        <v>72</v>
      </c>
      <c r="E858" s="12" t="s">
        <v>57</v>
      </c>
      <c r="F858" s="683">
        <f t="shared" ref="F858:G858" si="192">+$E855*F$6</f>
        <v>0</v>
      </c>
      <c r="G858" s="683">
        <f t="shared" si="192"/>
        <v>0</v>
      </c>
    </row>
    <row r="859" spans="3:7" ht="15.75" hidden="1" thickBot="1" x14ac:dyDescent="0.3">
      <c r="C859" s="9">
        <f t="shared" si="191"/>
        <v>0</v>
      </c>
      <c r="D859" s="364" t="s">
        <v>73</v>
      </c>
      <c r="E859" s="12" t="s">
        <v>56</v>
      </c>
      <c r="F859" s="683">
        <f t="shared" ref="F859:G859" si="193">+$E855*F$7</f>
        <v>0</v>
      </c>
      <c r="G859" s="683">
        <f t="shared" si="193"/>
        <v>0</v>
      </c>
    </row>
    <row r="860" spans="3:7" ht="15.75" hidden="1" thickBot="1" x14ac:dyDescent="0.3">
      <c r="C860" s="9">
        <f t="shared" si="191"/>
        <v>0</v>
      </c>
      <c r="D860" s="364" t="s">
        <v>74</v>
      </c>
      <c r="E860" s="12" t="s">
        <v>55</v>
      </c>
      <c r="F860" s="683">
        <f t="shared" ref="F860:G860" si="194">+$E855*F$8</f>
        <v>0</v>
      </c>
      <c r="G860" s="683">
        <f t="shared" si="194"/>
        <v>0</v>
      </c>
    </row>
    <row r="861" spans="3:7" ht="15.75" hidden="1" thickBot="1" x14ac:dyDescent="0.3">
      <c r="C861" s="9">
        <f t="shared" si="191"/>
        <v>0</v>
      </c>
      <c r="D861" s="364" t="s">
        <v>75</v>
      </c>
      <c r="E861" s="12" t="s">
        <v>54</v>
      </c>
      <c r="F861" s="683">
        <f t="shared" ref="F861:G861" si="195">+$E855*F$9</f>
        <v>0</v>
      </c>
      <c r="G861" s="683">
        <f t="shared" si="195"/>
        <v>0</v>
      </c>
    </row>
    <row r="862" spans="3:7" ht="15.75" hidden="1" thickBot="1" x14ac:dyDescent="0.3">
      <c r="C862" s="9">
        <f t="shared" si="191"/>
        <v>0</v>
      </c>
      <c r="D862" s="34" t="s">
        <v>467</v>
      </c>
      <c r="E862" s="12" t="s">
        <v>53</v>
      </c>
      <c r="F862" s="683">
        <f t="shared" ref="F862:G862" si="196">+$E855*F$10</f>
        <v>0</v>
      </c>
      <c r="G862" s="683">
        <f t="shared" si="196"/>
        <v>0</v>
      </c>
    </row>
    <row r="863" spans="3:7" ht="15.75" hidden="1" thickBot="1" x14ac:dyDescent="0.3">
      <c r="C863" s="9">
        <f t="shared" si="191"/>
        <v>0</v>
      </c>
      <c r="D863" s="34" t="s">
        <v>76</v>
      </c>
      <c r="E863" s="12" t="s">
        <v>52</v>
      </c>
      <c r="F863" s="683">
        <f>+$E855*F$11</f>
        <v>0</v>
      </c>
      <c r="G863" s="683">
        <f>+$E855*G$11</f>
        <v>0</v>
      </c>
    </row>
    <row r="864" spans="3:7" ht="15.75" hidden="1" thickBot="1" x14ac:dyDescent="0.3">
      <c r="C864" s="9">
        <f t="shared" si="191"/>
        <v>0</v>
      </c>
      <c r="D864" s="34" t="s">
        <v>468</v>
      </c>
      <c r="E864" s="12" t="s">
        <v>51</v>
      </c>
      <c r="F864" s="683">
        <f>+$E855*F$12</f>
        <v>0</v>
      </c>
      <c r="G864" s="683">
        <f>+$E855*G$12</f>
        <v>0</v>
      </c>
    </row>
    <row r="865" spans="3:7" ht="15.75" hidden="1" thickBot="1" x14ac:dyDescent="0.3">
      <c r="C865" s="9">
        <f t="shared" si="191"/>
        <v>0</v>
      </c>
      <c r="D865" s="364" t="s">
        <v>59</v>
      </c>
      <c r="E865" s="12" t="s">
        <v>50</v>
      </c>
      <c r="F865" s="683">
        <f>+$E855*F$13</f>
        <v>0</v>
      </c>
      <c r="G865" s="683">
        <f>+$E855*G$13</f>
        <v>0</v>
      </c>
    </row>
    <row r="866" spans="3:7" ht="15.75" hidden="1" thickBot="1" x14ac:dyDescent="0.3">
      <c r="C866" s="9">
        <f t="shared" si="191"/>
        <v>0</v>
      </c>
      <c r="D866" s="364" t="s">
        <v>25</v>
      </c>
      <c r="E866" s="12" t="s">
        <v>49</v>
      </c>
      <c r="F866" s="683">
        <f>+$E855*F$14</f>
        <v>0</v>
      </c>
      <c r="G866" s="683">
        <f>+$E855*G$14</f>
        <v>0</v>
      </c>
    </row>
    <row r="867" spans="3:7" ht="15.75" hidden="1" thickBot="1" x14ac:dyDescent="0.3">
      <c r="C867" s="9">
        <f t="shared" si="191"/>
        <v>0</v>
      </c>
      <c r="D867" s="364" t="s">
        <v>466</v>
      </c>
      <c r="E867" s="12" t="s">
        <v>47</v>
      </c>
      <c r="F867" s="683">
        <f>+$E855*F$15</f>
        <v>0</v>
      </c>
      <c r="G867" s="683">
        <f>+$E855*G$15</f>
        <v>0</v>
      </c>
    </row>
    <row r="868" spans="3:7" ht="15.75" hidden="1" thickBot="1" x14ac:dyDescent="0.3">
      <c r="C868" s="9">
        <f t="shared" si="191"/>
        <v>0</v>
      </c>
      <c r="D868" s="364" t="s">
        <v>82</v>
      </c>
      <c r="E868" s="12" t="s">
        <v>77</v>
      </c>
      <c r="F868" s="683">
        <f>+$E855*F$16</f>
        <v>0</v>
      </c>
      <c r="G868" s="683">
        <f>+$E855*G$16</f>
        <v>0</v>
      </c>
    </row>
    <row r="869" spans="3:7" ht="15.75" hidden="1" thickBot="1" x14ac:dyDescent="0.3">
      <c r="C869" s="9">
        <f t="shared" si="191"/>
        <v>0</v>
      </c>
      <c r="D869" s="364" t="s">
        <v>84</v>
      </c>
      <c r="E869" s="12" t="s">
        <v>78</v>
      </c>
      <c r="F869" s="683">
        <f ca="1">+$E855*F$17</f>
        <v>0</v>
      </c>
      <c r="G869" s="683">
        <f>+$E855*G$17</f>
        <v>0</v>
      </c>
    </row>
    <row r="870" spans="3:7" ht="15.75" hidden="1" thickBot="1" x14ac:dyDescent="0.3">
      <c r="C870" s="9">
        <f t="shared" si="191"/>
        <v>0</v>
      </c>
      <c r="D870" s="364" t="s">
        <v>86</v>
      </c>
      <c r="E870" s="12" t="s">
        <v>79</v>
      </c>
      <c r="F870" s="683">
        <f>+$E$855*F18</f>
        <v>0</v>
      </c>
      <c r="G870" s="683">
        <f>+$E$855*G18</f>
        <v>0</v>
      </c>
    </row>
    <row r="871" spans="3:7" ht="15.75" hidden="1" thickBot="1" x14ac:dyDescent="0.3">
      <c r="C871" s="9">
        <f t="shared" si="191"/>
        <v>0</v>
      </c>
      <c r="D871" s="364" t="s">
        <v>386</v>
      </c>
      <c r="E871" s="12" t="s">
        <v>81</v>
      </c>
      <c r="F871" s="683">
        <f>+$E$855*F19</f>
        <v>0</v>
      </c>
      <c r="G871" s="683">
        <f>+$E$855*G19</f>
        <v>0</v>
      </c>
    </row>
    <row r="872" spans="3:7" ht="15.75" hidden="1" thickBot="1" x14ac:dyDescent="0.3">
      <c r="C872" s="9">
        <f t="shared" si="191"/>
        <v>0</v>
      </c>
      <c r="D872" s="35" t="s">
        <v>22</v>
      </c>
      <c r="E872" s="12" t="s">
        <v>83</v>
      </c>
      <c r="F872" s="685">
        <f>SUBTOTAL(9,F858:F871)</f>
        <v>0</v>
      </c>
      <c r="G872" s="685">
        <f>SUBTOTAL(9,G858:G871)</f>
        <v>0</v>
      </c>
    </row>
    <row r="873" spans="3:7" ht="15.75" hidden="1" thickBot="1" x14ac:dyDescent="0.3">
      <c r="D873" s="326"/>
      <c r="E873" s="327"/>
      <c r="F873" s="686"/>
      <c r="G873" s="686"/>
    </row>
    <row r="874" spans="3:7" ht="30.75" hidden="1" thickBot="1" x14ac:dyDescent="0.3">
      <c r="C874" s="9">
        <f>IF(F891&gt;0,1,0)</f>
        <v>0</v>
      </c>
      <c r="D874" s="20" t="str">
        <f>+A48</f>
        <v>Saint Lawrence</v>
      </c>
      <c r="E874" s="19">
        <f>IFERROR(SUMIF(A:A,D874,B:B),0)</f>
        <v>0</v>
      </c>
      <c r="F874" s="652" t="s">
        <v>31</v>
      </c>
      <c r="G874" s="652" t="s">
        <v>32</v>
      </c>
    </row>
    <row r="875" spans="3:7" ht="15.75" hidden="1" thickBot="1" x14ac:dyDescent="0.3">
      <c r="C875" s="9">
        <f>C874</f>
        <v>0</v>
      </c>
      <c r="D875" s="30"/>
      <c r="E875" s="31"/>
      <c r="F875" s="680" t="s">
        <v>54</v>
      </c>
      <c r="G875" s="680" t="s">
        <v>53</v>
      </c>
    </row>
    <row r="876" spans="3:7" ht="15.75" hidden="1" thickBot="1" x14ac:dyDescent="0.3">
      <c r="C876" s="9">
        <f t="shared" ref="C876:C891" si="197">C875</f>
        <v>0</v>
      </c>
      <c r="D876" s="32" t="s">
        <v>71</v>
      </c>
      <c r="E876" s="33"/>
      <c r="F876" s="681"/>
      <c r="G876" s="682"/>
    </row>
    <row r="877" spans="3:7" ht="15.75" hidden="1" thickBot="1" x14ac:dyDescent="0.3">
      <c r="C877" s="9">
        <f t="shared" si="197"/>
        <v>0</v>
      </c>
      <c r="D877" s="364" t="s">
        <v>72</v>
      </c>
      <c r="E877" s="12" t="s">
        <v>57</v>
      </c>
      <c r="F877" s="683">
        <f t="shared" ref="F877:G877" si="198">+$E874*F$6</f>
        <v>0</v>
      </c>
      <c r="G877" s="683">
        <f t="shared" si="198"/>
        <v>0</v>
      </c>
    </row>
    <row r="878" spans="3:7" ht="15.75" hidden="1" thickBot="1" x14ac:dyDescent="0.3">
      <c r="C878" s="9">
        <f t="shared" si="197"/>
        <v>0</v>
      </c>
      <c r="D878" s="364" t="s">
        <v>73</v>
      </c>
      <c r="E878" s="12" t="s">
        <v>56</v>
      </c>
      <c r="F878" s="683">
        <f t="shared" ref="F878:G878" si="199">+$E874*F$7</f>
        <v>0</v>
      </c>
      <c r="G878" s="683">
        <f t="shared" si="199"/>
        <v>0</v>
      </c>
    </row>
    <row r="879" spans="3:7" ht="15.75" hidden="1" thickBot="1" x14ac:dyDescent="0.3">
      <c r="C879" s="9">
        <f t="shared" si="197"/>
        <v>0</v>
      </c>
      <c r="D879" s="364" t="s">
        <v>74</v>
      </c>
      <c r="E879" s="12" t="s">
        <v>55</v>
      </c>
      <c r="F879" s="683">
        <f t="shared" ref="F879:G879" si="200">+$E874*F$8</f>
        <v>0</v>
      </c>
      <c r="G879" s="683">
        <f t="shared" si="200"/>
        <v>0</v>
      </c>
    </row>
    <row r="880" spans="3:7" ht="15.75" hidden="1" thickBot="1" x14ac:dyDescent="0.3">
      <c r="C880" s="9">
        <f t="shared" si="197"/>
        <v>0</v>
      </c>
      <c r="D880" s="364" t="s">
        <v>75</v>
      </c>
      <c r="E880" s="12" t="s">
        <v>54</v>
      </c>
      <c r="F880" s="683">
        <f t="shared" ref="F880:G880" si="201">+$E874*F$9</f>
        <v>0</v>
      </c>
      <c r="G880" s="683">
        <f t="shared" si="201"/>
        <v>0</v>
      </c>
    </row>
    <row r="881" spans="3:7" ht="15.75" hidden="1" thickBot="1" x14ac:dyDescent="0.3">
      <c r="C881" s="9">
        <f t="shared" si="197"/>
        <v>0</v>
      </c>
      <c r="D881" s="34" t="s">
        <v>467</v>
      </c>
      <c r="E881" s="12" t="s">
        <v>53</v>
      </c>
      <c r="F881" s="683">
        <f t="shared" ref="F881:G881" si="202">+$E874*F$10</f>
        <v>0</v>
      </c>
      <c r="G881" s="683">
        <f t="shared" si="202"/>
        <v>0</v>
      </c>
    </row>
    <row r="882" spans="3:7" ht="15.75" hidden="1" thickBot="1" x14ac:dyDescent="0.3">
      <c r="C882" s="9">
        <f t="shared" si="197"/>
        <v>0</v>
      </c>
      <c r="D882" s="34" t="s">
        <v>76</v>
      </c>
      <c r="E882" s="12" t="s">
        <v>52</v>
      </c>
      <c r="F882" s="683">
        <f>+$E874*F$11</f>
        <v>0</v>
      </c>
      <c r="G882" s="683">
        <f>+$E874*G$11</f>
        <v>0</v>
      </c>
    </row>
    <row r="883" spans="3:7" ht="15.75" hidden="1" thickBot="1" x14ac:dyDescent="0.3">
      <c r="C883" s="9">
        <f t="shared" si="197"/>
        <v>0</v>
      </c>
      <c r="D883" s="34" t="s">
        <v>468</v>
      </c>
      <c r="E883" s="12" t="s">
        <v>51</v>
      </c>
      <c r="F883" s="683">
        <f>+$E874*F$12</f>
        <v>0</v>
      </c>
      <c r="G883" s="683">
        <f>+$E874*G$12</f>
        <v>0</v>
      </c>
    </row>
    <row r="884" spans="3:7" ht="15.75" hidden="1" thickBot="1" x14ac:dyDescent="0.3">
      <c r="C884" s="9">
        <f t="shared" si="197"/>
        <v>0</v>
      </c>
      <c r="D884" s="364" t="s">
        <v>59</v>
      </c>
      <c r="E884" s="12" t="s">
        <v>50</v>
      </c>
      <c r="F884" s="683">
        <f>+$E874*F$13</f>
        <v>0</v>
      </c>
      <c r="G884" s="683">
        <f>+$E874*G$13</f>
        <v>0</v>
      </c>
    </row>
    <row r="885" spans="3:7" ht="15.75" hidden="1" thickBot="1" x14ac:dyDescent="0.3">
      <c r="C885" s="9">
        <f t="shared" si="197"/>
        <v>0</v>
      </c>
      <c r="D885" s="364" t="s">
        <v>25</v>
      </c>
      <c r="E885" s="12" t="s">
        <v>49</v>
      </c>
      <c r="F885" s="683">
        <f>+$E874*F$14</f>
        <v>0</v>
      </c>
      <c r="G885" s="683">
        <f>+$E874*G$14</f>
        <v>0</v>
      </c>
    </row>
    <row r="886" spans="3:7" ht="15.75" hidden="1" thickBot="1" x14ac:dyDescent="0.3">
      <c r="C886" s="9">
        <f t="shared" si="197"/>
        <v>0</v>
      </c>
      <c r="D886" s="364" t="s">
        <v>466</v>
      </c>
      <c r="E886" s="12" t="s">
        <v>47</v>
      </c>
      <c r="F886" s="683">
        <f>+$E874*F$15</f>
        <v>0</v>
      </c>
      <c r="G886" s="683">
        <f>+$E874*G$15</f>
        <v>0</v>
      </c>
    </row>
    <row r="887" spans="3:7" ht="15.75" hidden="1" thickBot="1" x14ac:dyDescent="0.3">
      <c r="C887" s="9">
        <f t="shared" si="197"/>
        <v>0</v>
      </c>
      <c r="D887" s="364" t="s">
        <v>82</v>
      </c>
      <c r="E887" s="12" t="s">
        <v>77</v>
      </c>
      <c r="F887" s="683">
        <f>+$E874*F$16</f>
        <v>0</v>
      </c>
      <c r="G887" s="683">
        <f>+$E874*G$16</f>
        <v>0</v>
      </c>
    </row>
    <row r="888" spans="3:7" ht="15.75" hidden="1" thickBot="1" x14ac:dyDescent="0.3">
      <c r="C888" s="9">
        <f t="shared" si="197"/>
        <v>0</v>
      </c>
      <c r="D888" s="364" t="s">
        <v>84</v>
      </c>
      <c r="E888" s="12" t="s">
        <v>78</v>
      </c>
      <c r="F888" s="683">
        <f ca="1">+$E874*F$17</f>
        <v>0</v>
      </c>
      <c r="G888" s="683">
        <f>+$E874*G$17</f>
        <v>0</v>
      </c>
    </row>
    <row r="889" spans="3:7" ht="15.75" hidden="1" thickBot="1" x14ac:dyDescent="0.3">
      <c r="C889" s="9">
        <f t="shared" si="197"/>
        <v>0</v>
      </c>
      <c r="D889" s="364" t="s">
        <v>86</v>
      </c>
      <c r="E889" s="12" t="s">
        <v>79</v>
      </c>
      <c r="F889" s="683">
        <f ca="1">+$E$855*F37</f>
        <v>0</v>
      </c>
      <c r="G889" s="683">
        <f>+$E$855*G37</f>
        <v>0</v>
      </c>
    </row>
    <row r="890" spans="3:7" ht="15.75" hidden="1" thickBot="1" x14ac:dyDescent="0.3">
      <c r="C890" s="9">
        <f t="shared" si="197"/>
        <v>0</v>
      </c>
      <c r="D890" s="364" t="s">
        <v>386</v>
      </c>
      <c r="E890" s="12" t="s">
        <v>81</v>
      </c>
      <c r="F890" s="683">
        <f>+$E$855*F38</f>
        <v>0</v>
      </c>
      <c r="G890" s="683">
        <f>+$E$855*G38</f>
        <v>0</v>
      </c>
    </row>
    <row r="891" spans="3:7" ht="15.75" hidden="1" thickBot="1" x14ac:dyDescent="0.3">
      <c r="C891" s="9">
        <f t="shared" si="197"/>
        <v>0</v>
      </c>
      <c r="D891" s="35" t="s">
        <v>22</v>
      </c>
      <c r="E891" s="12" t="s">
        <v>83</v>
      </c>
      <c r="F891" s="685">
        <f>SUBTOTAL(9,F877:F890)</f>
        <v>0</v>
      </c>
      <c r="G891" s="685">
        <f>SUBTOTAL(9,G877:G890)</f>
        <v>0</v>
      </c>
    </row>
    <row r="892" spans="3:7" ht="15.75" hidden="1" thickBot="1" x14ac:dyDescent="0.3">
      <c r="D892" s="326"/>
      <c r="E892" s="327"/>
      <c r="F892" s="686"/>
      <c r="G892" s="686"/>
    </row>
    <row r="893" spans="3:7" ht="15.75" hidden="1" thickBot="1" x14ac:dyDescent="0.3">
      <c r="D893" s="326"/>
      <c r="E893" s="327"/>
      <c r="F893" s="686"/>
      <c r="G893" s="686"/>
    </row>
    <row r="894" spans="3:7" ht="30" x14ac:dyDescent="0.25">
      <c r="C894" s="9">
        <f ca="1">IF(F911&gt;0,1,0)</f>
        <v>1</v>
      </c>
      <c r="D894" s="20" t="str">
        <f>A49</f>
        <v>Saratoga</v>
      </c>
      <c r="E894" s="19">
        <f>IFERROR(SUMIF(A:A,D894,B:B),0)</f>
        <v>1.8187687434849267E-4</v>
      </c>
      <c r="F894" s="652" t="s">
        <v>31</v>
      </c>
      <c r="G894" s="652" t="s">
        <v>32</v>
      </c>
    </row>
    <row r="895" spans="3:7" x14ac:dyDescent="0.25">
      <c r="C895" s="9">
        <f ca="1">C894</f>
        <v>1</v>
      </c>
      <c r="D895" s="30"/>
      <c r="E895" s="31"/>
      <c r="F895" s="680" t="s">
        <v>54</v>
      </c>
      <c r="G895" s="680" t="s">
        <v>53</v>
      </c>
    </row>
    <row r="896" spans="3:7" x14ac:dyDescent="0.25">
      <c r="C896" s="9">
        <f t="shared" ref="C896:C911" ca="1" si="203">C895</f>
        <v>1</v>
      </c>
      <c r="D896" s="32" t="s">
        <v>71</v>
      </c>
      <c r="E896" s="33"/>
      <c r="F896" s="681"/>
      <c r="G896" s="682"/>
    </row>
    <row r="897" spans="3:7" x14ac:dyDescent="0.25">
      <c r="C897" s="9">
        <f t="shared" ca="1" si="203"/>
        <v>1</v>
      </c>
      <c r="D897" s="364" t="s">
        <v>72</v>
      </c>
      <c r="E897" s="12" t="s">
        <v>57</v>
      </c>
      <c r="F897" s="683">
        <f t="shared" ref="F897:G897" si="204">+$E894*F$6</f>
        <v>0</v>
      </c>
      <c r="G897" s="683">
        <f t="shared" si="204"/>
        <v>0</v>
      </c>
    </row>
    <row r="898" spans="3:7" x14ac:dyDescent="0.25">
      <c r="C898" s="9">
        <f t="shared" ca="1" si="203"/>
        <v>1</v>
      </c>
      <c r="D898" s="364" t="s">
        <v>73</v>
      </c>
      <c r="E898" s="12" t="s">
        <v>56</v>
      </c>
      <c r="F898" s="683">
        <f t="shared" ref="F898:G898" si="205">+$E894*F$7</f>
        <v>147.68864945558232</v>
      </c>
      <c r="G898" s="683">
        <f t="shared" si="205"/>
        <v>0</v>
      </c>
    </row>
    <row r="899" spans="3:7" x14ac:dyDescent="0.25">
      <c r="C899" s="9">
        <f t="shared" ca="1" si="203"/>
        <v>1</v>
      </c>
      <c r="D899" s="364" t="s">
        <v>74</v>
      </c>
      <c r="E899" s="12" t="s">
        <v>55</v>
      </c>
      <c r="F899" s="683">
        <f t="shared" ref="F899:G899" si="206">+$E894*F$8</f>
        <v>22.140992875702626</v>
      </c>
      <c r="G899" s="683">
        <f t="shared" si="206"/>
        <v>0</v>
      </c>
    </row>
    <row r="900" spans="3:7" x14ac:dyDescent="0.25">
      <c r="C900" s="9">
        <f t="shared" ca="1" si="203"/>
        <v>1</v>
      </c>
      <c r="D900" s="364" t="s">
        <v>75</v>
      </c>
      <c r="E900" s="12" t="s">
        <v>54</v>
      </c>
      <c r="F900" s="683">
        <f t="shared" ref="F900:G900" si="207">+$E894*F$9</f>
        <v>45.253154521795359</v>
      </c>
      <c r="G900" s="683">
        <f t="shared" si="207"/>
        <v>0</v>
      </c>
    </row>
    <row r="901" spans="3:7" x14ac:dyDescent="0.25">
      <c r="C901" s="9">
        <f t="shared" ca="1" si="203"/>
        <v>1</v>
      </c>
      <c r="D901" s="34" t="s">
        <v>467</v>
      </c>
      <c r="E901" s="12" t="s">
        <v>53</v>
      </c>
      <c r="F901" s="683">
        <f t="shared" ref="F901:G901" si="208">+$E894*F$10</f>
        <v>216.69307931902705</v>
      </c>
      <c r="G901" s="683">
        <f t="shared" si="208"/>
        <v>0</v>
      </c>
    </row>
    <row r="902" spans="3:7" x14ac:dyDescent="0.25">
      <c r="C902" s="9">
        <f t="shared" ca="1" si="203"/>
        <v>1</v>
      </c>
      <c r="D902" s="34" t="s">
        <v>76</v>
      </c>
      <c r="E902" s="12" t="s">
        <v>52</v>
      </c>
      <c r="F902" s="683">
        <f>+$E894*F$11</f>
        <v>49.546372008467984</v>
      </c>
      <c r="G902" s="683">
        <f>+$E894*G$11</f>
        <v>0</v>
      </c>
    </row>
    <row r="903" spans="3:7" x14ac:dyDescent="0.25">
      <c r="C903" s="9">
        <f t="shared" ca="1" si="203"/>
        <v>1</v>
      </c>
      <c r="D903" s="34" t="s">
        <v>468</v>
      </c>
      <c r="E903" s="12" t="s">
        <v>51</v>
      </c>
      <c r="F903" s="683">
        <f>+$E894*F$12</f>
        <v>0</v>
      </c>
      <c r="G903" s="683">
        <f>+$E894*G$12</f>
        <v>0</v>
      </c>
    </row>
    <row r="904" spans="3:7" x14ac:dyDescent="0.25">
      <c r="C904" s="9">
        <f t="shared" ca="1" si="203"/>
        <v>1</v>
      </c>
      <c r="D904" s="364" t="s">
        <v>59</v>
      </c>
      <c r="E904" s="12" t="s">
        <v>50</v>
      </c>
      <c r="F904" s="683">
        <f>+$E894*F$13</f>
        <v>7.8453767619329362</v>
      </c>
      <c r="G904" s="683">
        <f>+$E894*G$13</f>
        <v>0</v>
      </c>
    </row>
    <row r="905" spans="3:7" x14ac:dyDescent="0.25">
      <c r="C905" s="9">
        <f t="shared" ca="1" si="203"/>
        <v>1</v>
      </c>
      <c r="D905" s="364" t="s">
        <v>25</v>
      </c>
      <c r="E905" s="12" t="s">
        <v>49</v>
      </c>
      <c r="F905" s="683">
        <f>+$E894*F$14</f>
        <v>25.69041729623137</v>
      </c>
      <c r="G905" s="683">
        <f>+$E894*G$14</f>
        <v>0</v>
      </c>
    </row>
    <row r="906" spans="3:7" x14ac:dyDescent="0.25">
      <c r="C906" s="9">
        <f t="shared" ca="1" si="203"/>
        <v>1</v>
      </c>
      <c r="D906" s="364" t="s">
        <v>466</v>
      </c>
      <c r="E906" s="12" t="s">
        <v>47</v>
      </c>
      <c r="F906" s="683">
        <f>+$E894*F$15</f>
        <v>95.849847785262398</v>
      </c>
      <c r="G906" s="683">
        <f>+$E894*G$15</f>
        <v>0</v>
      </c>
    </row>
    <row r="907" spans="3:7" x14ac:dyDescent="0.25">
      <c r="C907" s="9">
        <f t="shared" ca="1" si="203"/>
        <v>1</v>
      </c>
      <c r="D907" s="364" t="s">
        <v>82</v>
      </c>
      <c r="E907" s="12" t="s">
        <v>77</v>
      </c>
      <c r="F907" s="683">
        <f>+$E894*F$16</f>
        <v>64.949729512972297</v>
      </c>
      <c r="G907" s="683">
        <f>+$E894*G$16</f>
        <v>0</v>
      </c>
    </row>
    <row r="908" spans="3:7" x14ac:dyDescent="0.25">
      <c r="C908" s="9">
        <f t="shared" ca="1" si="203"/>
        <v>1</v>
      </c>
      <c r="D908" s="364" t="s">
        <v>84</v>
      </c>
      <c r="E908" s="12" t="s">
        <v>78</v>
      </c>
      <c r="F908" s="683">
        <f ca="1">+$E894*F$17</f>
        <v>4643.312638660308</v>
      </c>
      <c r="G908" s="683">
        <f>+$E894*G$17</f>
        <v>0</v>
      </c>
    </row>
    <row r="909" spans="3:7" x14ac:dyDescent="0.25">
      <c r="C909" s="9">
        <f t="shared" ca="1" si="203"/>
        <v>1</v>
      </c>
      <c r="D909" s="364" t="s">
        <v>86</v>
      </c>
      <c r="E909" s="12" t="s">
        <v>79</v>
      </c>
      <c r="F909" s="683">
        <f>+$E$894*F18</f>
        <v>71.523933840085434</v>
      </c>
      <c r="G909" s="683">
        <f>+$E$894*G18</f>
        <v>0</v>
      </c>
    </row>
    <row r="910" spans="3:7" x14ac:dyDescent="0.25">
      <c r="C910" s="9">
        <f t="shared" ca="1" si="203"/>
        <v>1</v>
      </c>
      <c r="D910" s="364" t="s">
        <v>386</v>
      </c>
      <c r="E910" s="12" t="s">
        <v>81</v>
      </c>
      <c r="F910" s="683">
        <f>+$E$894*F19</f>
        <v>0</v>
      </c>
      <c r="G910" s="683">
        <f>+$E$894*G19</f>
        <v>0</v>
      </c>
    </row>
    <row r="911" spans="3:7" ht="15.75" thickBot="1" x14ac:dyDescent="0.3">
      <c r="C911" s="9">
        <f t="shared" ca="1" si="203"/>
        <v>1</v>
      </c>
      <c r="D911" s="35" t="s">
        <v>22</v>
      </c>
      <c r="E911" s="12" t="s">
        <v>83</v>
      </c>
      <c r="F911" s="685">
        <f ca="1">SUBTOTAL(9,F897:F910)</f>
        <v>5390.4941920373676</v>
      </c>
      <c r="G911" s="685">
        <f>SUBTOTAL(9,G897:G910)</f>
        <v>0</v>
      </c>
    </row>
    <row r="912" spans="3:7" ht="15.75" hidden="1" thickBot="1" x14ac:dyDescent="0.3">
      <c r="D912" s="326"/>
      <c r="E912" s="327"/>
      <c r="F912" s="686"/>
      <c r="G912" s="686"/>
    </row>
    <row r="913" spans="3:7" ht="15.75" hidden="1" thickBot="1" x14ac:dyDescent="0.3">
      <c r="D913" s="326"/>
      <c r="E913" s="327"/>
      <c r="F913" s="686"/>
      <c r="G913" s="686"/>
    </row>
    <row r="914" spans="3:7" ht="30" x14ac:dyDescent="0.25">
      <c r="C914" s="9">
        <f ca="1">IF(F931&gt;0,1,0)</f>
        <v>1</v>
      </c>
      <c r="D914" s="20" t="str">
        <f>+A50</f>
        <v>Schenectady</v>
      </c>
      <c r="E914" s="19">
        <f>IFERROR(SUMIF(A:A,D914,B:B),0)</f>
        <v>3.4509802126905472E-3</v>
      </c>
      <c r="F914" s="652" t="s">
        <v>31</v>
      </c>
      <c r="G914" s="652" t="s">
        <v>32</v>
      </c>
    </row>
    <row r="915" spans="3:7" x14ac:dyDescent="0.25">
      <c r="C915" s="9">
        <f ca="1">C914</f>
        <v>1</v>
      </c>
      <c r="D915" s="30"/>
      <c r="E915" s="31"/>
      <c r="F915" s="680" t="s">
        <v>54</v>
      </c>
      <c r="G915" s="680" t="s">
        <v>53</v>
      </c>
    </row>
    <row r="916" spans="3:7" x14ac:dyDescent="0.25">
      <c r="C916" s="9">
        <f t="shared" ref="C916:C931" ca="1" si="209">C915</f>
        <v>1</v>
      </c>
      <c r="D916" s="32" t="s">
        <v>71</v>
      </c>
      <c r="E916" s="33"/>
      <c r="F916" s="681"/>
      <c r="G916" s="682"/>
    </row>
    <row r="917" spans="3:7" x14ac:dyDescent="0.25">
      <c r="C917" s="9">
        <f t="shared" ca="1" si="209"/>
        <v>1</v>
      </c>
      <c r="D917" s="364" t="s">
        <v>72</v>
      </c>
      <c r="E917" s="12" t="s">
        <v>57</v>
      </c>
      <c r="F917" s="683">
        <f t="shared" ref="F917:G917" si="210">+$E914*F$6</f>
        <v>0</v>
      </c>
      <c r="G917" s="683">
        <f t="shared" si="210"/>
        <v>0</v>
      </c>
    </row>
    <row r="918" spans="3:7" x14ac:dyDescent="0.25">
      <c r="C918" s="9">
        <f t="shared" ca="1" si="209"/>
        <v>1</v>
      </c>
      <c r="D918" s="364" t="s">
        <v>73</v>
      </c>
      <c r="E918" s="12" t="s">
        <v>56</v>
      </c>
      <c r="F918" s="683">
        <f t="shared" ref="F918:G918" si="211">+$E914*F$7</f>
        <v>2802.2837358290521</v>
      </c>
      <c r="G918" s="683">
        <f t="shared" si="211"/>
        <v>0</v>
      </c>
    </row>
    <row r="919" spans="3:7" x14ac:dyDescent="0.25">
      <c r="C919" s="9">
        <f t="shared" ca="1" si="209"/>
        <v>1</v>
      </c>
      <c r="D919" s="364" t="s">
        <v>74</v>
      </c>
      <c r="E919" s="12" t="s">
        <v>55</v>
      </c>
      <c r="F919" s="683">
        <f t="shared" ref="F919:G919" si="212">+$E914*F$8</f>
        <v>420.10909070807543</v>
      </c>
      <c r="G919" s="683">
        <f t="shared" si="212"/>
        <v>0</v>
      </c>
    </row>
    <row r="920" spans="3:7" x14ac:dyDescent="0.25">
      <c r="C920" s="9">
        <f t="shared" ca="1" si="209"/>
        <v>1</v>
      </c>
      <c r="D920" s="364" t="s">
        <v>75</v>
      </c>
      <c r="E920" s="12" t="s">
        <v>54</v>
      </c>
      <c r="F920" s="683">
        <f t="shared" ref="F920:G920" si="213">+$E914*F$9</f>
        <v>858.64539610083648</v>
      </c>
      <c r="G920" s="683">
        <f t="shared" si="213"/>
        <v>0</v>
      </c>
    </row>
    <row r="921" spans="3:7" x14ac:dyDescent="0.25">
      <c r="C921" s="9">
        <f t="shared" ca="1" si="209"/>
        <v>1</v>
      </c>
      <c r="D921" s="34" t="s">
        <v>467</v>
      </c>
      <c r="E921" s="12" t="s">
        <v>53</v>
      </c>
      <c r="F921" s="683">
        <f t="shared" ref="F921:G921" si="214">+$E914*F$10</f>
        <v>4111.5921506550958</v>
      </c>
      <c r="G921" s="683">
        <f t="shared" si="214"/>
        <v>0</v>
      </c>
    </row>
    <row r="922" spans="3:7" x14ac:dyDescent="0.25">
      <c r="C922" s="9">
        <f t="shared" ca="1" si="209"/>
        <v>1</v>
      </c>
      <c r="D922" s="34" t="s">
        <v>76</v>
      </c>
      <c r="E922" s="12" t="s">
        <v>52</v>
      </c>
      <c r="F922" s="683">
        <f>+$E914*F$11</f>
        <v>940.10604715038016</v>
      </c>
      <c r="G922" s="683">
        <f>+$E914*G$11</f>
        <v>0</v>
      </c>
    </row>
    <row r="923" spans="3:7" x14ac:dyDescent="0.25">
      <c r="C923" s="9">
        <f t="shared" ca="1" si="209"/>
        <v>1</v>
      </c>
      <c r="D923" s="34" t="s">
        <v>468</v>
      </c>
      <c r="E923" s="12" t="s">
        <v>51</v>
      </c>
      <c r="F923" s="683">
        <f>+$E914*F$12</f>
        <v>0</v>
      </c>
      <c r="G923" s="683">
        <f>+$E914*G$12</f>
        <v>0</v>
      </c>
    </row>
    <row r="924" spans="3:7" x14ac:dyDescent="0.25">
      <c r="C924" s="9">
        <f t="shared" ca="1" si="209"/>
        <v>1</v>
      </c>
      <c r="D924" s="364" t="s">
        <v>59</v>
      </c>
      <c r="E924" s="12" t="s">
        <v>50</v>
      </c>
      <c r="F924" s="683">
        <f>+$E914*F$13</f>
        <v>148.86026639459445</v>
      </c>
      <c r="G924" s="683">
        <f>+$E914*G$13</f>
        <v>0</v>
      </c>
    </row>
    <row r="925" spans="3:7" x14ac:dyDescent="0.25">
      <c r="C925" s="9">
        <f t="shared" ca="1" si="209"/>
        <v>1</v>
      </c>
      <c r="D925" s="364" t="s">
        <v>25</v>
      </c>
      <c r="E925" s="12" t="s">
        <v>49</v>
      </c>
      <c r="F925" s="683">
        <f>+$E914*F$14</f>
        <v>487.45681419168397</v>
      </c>
      <c r="G925" s="683">
        <f>+$E914*G$14</f>
        <v>0</v>
      </c>
    </row>
    <row r="926" spans="3:7" x14ac:dyDescent="0.25">
      <c r="C926" s="9">
        <f t="shared" ca="1" si="209"/>
        <v>1</v>
      </c>
      <c r="D926" s="364" t="s">
        <v>466</v>
      </c>
      <c r="E926" s="12" t="s">
        <v>47</v>
      </c>
      <c r="F926" s="683">
        <f>+$E914*F$15</f>
        <v>1818.680518241943</v>
      </c>
      <c r="G926" s="683">
        <f>+$E914*G$15</f>
        <v>0</v>
      </c>
    </row>
    <row r="927" spans="3:7" x14ac:dyDescent="0.25">
      <c r="C927" s="9">
        <f t="shared" ca="1" si="209"/>
        <v>1</v>
      </c>
      <c r="D927" s="364" t="s">
        <v>82</v>
      </c>
      <c r="E927" s="12" t="s">
        <v>77</v>
      </c>
      <c r="F927" s="683">
        <f>+$E914*F$16</f>
        <v>1232.3734513899635</v>
      </c>
      <c r="G927" s="683">
        <f>+$E914*G$16</f>
        <v>0</v>
      </c>
    </row>
    <row r="928" spans="3:7" x14ac:dyDescent="0.25">
      <c r="C928" s="9">
        <f t="shared" ca="1" si="209"/>
        <v>1</v>
      </c>
      <c r="D928" s="364" t="s">
        <v>84</v>
      </c>
      <c r="E928" s="12" t="s">
        <v>78</v>
      </c>
      <c r="F928" s="683">
        <f ca="1">+$E914*F$17</f>
        <v>88103.449626307352</v>
      </c>
      <c r="G928" s="683">
        <f>+$E914*G$17</f>
        <v>0</v>
      </c>
    </row>
    <row r="929" spans="3:7" x14ac:dyDescent="0.25">
      <c r="C929" s="9">
        <f t="shared" ca="1" si="209"/>
        <v>1</v>
      </c>
      <c r="D929" s="364" t="s">
        <v>86</v>
      </c>
      <c r="E929" s="12" t="s">
        <v>79</v>
      </c>
      <c r="F929" s="683">
        <f>+$E$914*F18</f>
        <v>1357.1141537377553</v>
      </c>
      <c r="G929" s="683">
        <f>+$E$914*G18</f>
        <v>0</v>
      </c>
    </row>
    <row r="930" spans="3:7" x14ac:dyDescent="0.25">
      <c r="C930" s="9">
        <f t="shared" ca="1" si="209"/>
        <v>1</v>
      </c>
      <c r="D930" s="364" t="s">
        <v>386</v>
      </c>
      <c r="E930" s="12" t="s">
        <v>81</v>
      </c>
      <c r="F930" s="683">
        <f>+$E$914*F19</f>
        <v>0</v>
      </c>
      <c r="G930" s="683">
        <f>+$E$914*G19</f>
        <v>0</v>
      </c>
    </row>
    <row r="931" spans="3:7" ht="15.75" thickBot="1" x14ac:dyDescent="0.3">
      <c r="C931" s="9">
        <f t="shared" ca="1" si="209"/>
        <v>1</v>
      </c>
      <c r="D931" s="35" t="s">
        <v>22</v>
      </c>
      <c r="E931" s="12" t="s">
        <v>83</v>
      </c>
      <c r="F931" s="685">
        <f ca="1">SUBTOTAL(9,F917:F930)</f>
        <v>102280.67125070674</v>
      </c>
      <c r="G931" s="685">
        <f>SUBTOTAL(9,G917:G930)</f>
        <v>0</v>
      </c>
    </row>
    <row r="932" spans="3:7" ht="15.75" hidden="1" thickBot="1" x14ac:dyDescent="0.3">
      <c r="D932" s="326"/>
      <c r="E932" s="327"/>
      <c r="F932" s="686"/>
      <c r="G932" s="686"/>
    </row>
    <row r="933" spans="3:7" ht="30.75" hidden="1" thickBot="1" x14ac:dyDescent="0.3">
      <c r="C933" s="9">
        <f>IF(F950&gt;0,1,0)</f>
        <v>0</v>
      </c>
      <c r="D933" s="20" t="str">
        <f>+A51</f>
        <v>Schoharie</v>
      </c>
      <c r="E933" s="19">
        <f>IFERROR(SUMIF(A:A,D933,B:B),0)</f>
        <v>0</v>
      </c>
      <c r="F933" s="652" t="s">
        <v>31</v>
      </c>
      <c r="G933" s="652" t="s">
        <v>32</v>
      </c>
    </row>
    <row r="934" spans="3:7" ht="15.75" hidden="1" thickBot="1" x14ac:dyDescent="0.3">
      <c r="C934" s="9">
        <f>C933</f>
        <v>0</v>
      </c>
      <c r="D934" s="30"/>
      <c r="E934" s="31"/>
      <c r="F934" s="680" t="s">
        <v>54</v>
      </c>
      <c r="G934" s="680" t="s">
        <v>53</v>
      </c>
    </row>
    <row r="935" spans="3:7" ht="15.75" hidden="1" thickBot="1" x14ac:dyDescent="0.3">
      <c r="C935" s="9">
        <f t="shared" ref="C935:C950" si="215">C934</f>
        <v>0</v>
      </c>
      <c r="D935" s="32" t="s">
        <v>71</v>
      </c>
      <c r="E935" s="12"/>
      <c r="F935" s="681"/>
      <c r="G935" s="682"/>
    </row>
    <row r="936" spans="3:7" ht="15.75" hidden="1" thickBot="1" x14ac:dyDescent="0.3">
      <c r="C936" s="9">
        <f t="shared" si="215"/>
        <v>0</v>
      </c>
      <c r="D936" s="364" t="s">
        <v>72</v>
      </c>
      <c r="E936" s="12" t="s">
        <v>57</v>
      </c>
      <c r="F936" s="683">
        <f t="shared" ref="F936:G936" si="216">+$E933*F$6</f>
        <v>0</v>
      </c>
      <c r="G936" s="683">
        <f t="shared" si="216"/>
        <v>0</v>
      </c>
    </row>
    <row r="937" spans="3:7" ht="15.75" hidden="1" thickBot="1" x14ac:dyDescent="0.3">
      <c r="C937" s="9">
        <f t="shared" si="215"/>
        <v>0</v>
      </c>
      <c r="D937" s="364" t="s">
        <v>73</v>
      </c>
      <c r="E937" s="12" t="s">
        <v>56</v>
      </c>
      <c r="F937" s="683">
        <f t="shared" ref="F937:G937" si="217">+$E933*F$7</f>
        <v>0</v>
      </c>
      <c r="G937" s="683">
        <f t="shared" si="217"/>
        <v>0</v>
      </c>
    </row>
    <row r="938" spans="3:7" ht="15.75" hidden="1" thickBot="1" x14ac:dyDescent="0.3">
      <c r="C938" s="9">
        <f t="shared" si="215"/>
        <v>0</v>
      </c>
      <c r="D938" s="364" t="s">
        <v>74</v>
      </c>
      <c r="E938" s="12" t="s">
        <v>55</v>
      </c>
      <c r="F938" s="683">
        <f t="shared" ref="F938:G938" si="218">+$E933*F$8</f>
        <v>0</v>
      </c>
      <c r="G938" s="683">
        <f t="shared" si="218"/>
        <v>0</v>
      </c>
    </row>
    <row r="939" spans="3:7" ht="15.75" hidden="1" thickBot="1" x14ac:dyDescent="0.3">
      <c r="C939" s="9">
        <f t="shared" si="215"/>
        <v>0</v>
      </c>
      <c r="D939" s="364" t="s">
        <v>75</v>
      </c>
      <c r="E939" s="12" t="s">
        <v>54</v>
      </c>
      <c r="F939" s="683">
        <f t="shared" ref="F939:G939" si="219">+$E933*F$9</f>
        <v>0</v>
      </c>
      <c r="G939" s="683">
        <f t="shared" si="219"/>
        <v>0</v>
      </c>
    </row>
    <row r="940" spans="3:7" ht="15.75" hidden="1" thickBot="1" x14ac:dyDescent="0.3">
      <c r="C940" s="9">
        <f t="shared" si="215"/>
        <v>0</v>
      </c>
      <c r="D940" s="34" t="s">
        <v>467</v>
      </c>
      <c r="E940" s="12" t="s">
        <v>53</v>
      </c>
      <c r="F940" s="683">
        <f t="shared" ref="F940:G940" si="220">+$E933*F$10</f>
        <v>0</v>
      </c>
      <c r="G940" s="683">
        <f t="shared" si="220"/>
        <v>0</v>
      </c>
    </row>
    <row r="941" spans="3:7" ht="15.75" hidden="1" thickBot="1" x14ac:dyDescent="0.3">
      <c r="C941" s="9">
        <f t="shared" si="215"/>
        <v>0</v>
      </c>
      <c r="D941" s="34" t="s">
        <v>76</v>
      </c>
      <c r="E941" s="12" t="s">
        <v>52</v>
      </c>
      <c r="F941" s="683">
        <f>+$E933*F$11</f>
        <v>0</v>
      </c>
      <c r="G941" s="683">
        <f>+$E933*G$11</f>
        <v>0</v>
      </c>
    </row>
    <row r="942" spans="3:7" ht="15.75" hidden="1" thickBot="1" x14ac:dyDescent="0.3">
      <c r="C942" s="9">
        <f t="shared" si="215"/>
        <v>0</v>
      </c>
      <c r="D942" s="34" t="s">
        <v>468</v>
      </c>
      <c r="E942" s="12" t="s">
        <v>51</v>
      </c>
      <c r="F942" s="683">
        <f>+$E933*F$12</f>
        <v>0</v>
      </c>
      <c r="G942" s="683">
        <f>+$E933*G$12</f>
        <v>0</v>
      </c>
    </row>
    <row r="943" spans="3:7" ht="15.75" hidden="1" thickBot="1" x14ac:dyDescent="0.3">
      <c r="C943" s="9">
        <f t="shared" si="215"/>
        <v>0</v>
      </c>
      <c r="D943" s="364" t="s">
        <v>59</v>
      </c>
      <c r="E943" s="12" t="s">
        <v>50</v>
      </c>
      <c r="F943" s="683">
        <f>+$E933*F$13</f>
        <v>0</v>
      </c>
      <c r="G943" s="683">
        <f>+$E933*G$13</f>
        <v>0</v>
      </c>
    </row>
    <row r="944" spans="3:7" ht="15.75" hidden="1" thickBot="1" x14ac:dyDescent="0.3">
      <c r="C944" s="9">
        <f t="shared" si="215"/>
        <v>0</v>
      </c>
      <c r="D944" s="364" t="s">
        <v>25</v>
      </c>
      <c r="E944" s="12" t="s">
        <v>49</v>
      </c>
      <c r="F944" s="683">
        <f>+$E933*F$14</f>
        <v>0</v>
      </c>
      <c r="G944" s="683">
        <f>+$E933*G$14</f>
        <v>0</v>
      </c>
    </row>
    <row r="945" spans="3:7" ht="15.75" hidden="1" thickBot="1" x14ac:dyDescent="0.3">
      <c r="C945" s="9">
        <f t="shared" si="215"/>
        <v>0</v>
      </c>
      <c r="D945" s="364" t="s">
        <v>466</v>
      </c>
      <c r="E945" s="12" t="s">
        <v>47</v>
      </c>
      <c r="F945" s="683">
        <f>+$E933*F$15</f>
        <v>0</v>
      </c>
      <c r="G945" s="683">
        <f>+$E933*G$15</f>
        <v>0</v>
      </c>
    </row>
    <row r="946" spans="3:7" ht="15.75" hidden="1" thickBot="1" x14ac:dyDescent="0.3">
      <c r="C946" s="9">
        <f t="shared" si="215"/>
        <v>0</v>
      </c>
      <c r="D946" s="364" t="s">
        <v>82</v>
      </c>
      <c r="E946" s="12" t="s">
        <v>77</v>
      </c>
      <c r="F946" s="683">
        <f>+$E933*F$16</f>
        <v>0</v>
      </c>
      <c r="G946" s="683">
        <f>+$E933*G$16</f>
        <v>0</v>
      </c>
    </row>
    <row r="947" spans="3:7" ht="15.75" hidden="1" thickBot="1" x14ac:dyDescent="0.3">
      <c r="C947" s="9">
        <f t="shared" si="215"/>
        <v>0</v>
      </c>
      <c r="D947" s="364" t="s">
        <v>84</v>
      </c>
      <c r="E947" s="12" t="s">
        <v>78</v>
      </c>
      <c r="F947" s="683">
        <f ca="1">+$E933*F$17</f>
        <v>0</v>
      </c>
      <c r="G947" s="683">
        <f>+$E933*G$17</f>
        <v>0</v>
      </c>
    </row>
    <row r="948" spans="3:7" ht="15.75" hidden="1" thickBot="1" x14ac:dyDescent="0.3">
      <c r="C948" s="9">
        <f t="shared" si="215"/>
        <v>0</v>
      </c>
      <c r="D948" s="364" t="s">
        <v>86</v>
      </c>
      <c r="E948" s="12" t="s">
        <v>79</v>
      </c>
      <c r="F948" s="683">
        <f>+$E$933*F18</f>
        <v>0</v>
      </c>
      <c r="G948" s="683">
        <f>+$E$933*G18</f>
        <v>0</v>
      </c>
    </row>
    <row r="949" spans="3:7" ht="15.75" hidden="1" thickBot="1" x14ac:dyDescent="0.3">
      <c r="C949" s="9">
        <f t="shared" si="215"/>
        <v>0</v>
      </c>
      <c r="D949" s="364" t="s">
        <v>386</v>
      </c>
      <c r="E949" s="12" t="s">
        <v>81</v>
      </c>
      <c r="F949" s="683">
        <f>+$E$933*F19</f>
        <v>0</v>
      </c>
      <c r="G949" s="683">
        <f>+$E$933*G19</f>
        <v>0</v>
      </c>
    </row>
    <row r="950" spans="3:7" ht="15.75" hidden="1" thickBot="1" x14ac:dyDescent="0.3">
      <c r="C950" s="9">
        <f t="shared" si="215"/>
        <v>0</v>
      </c>
      <c r="D950" s="35" t="s">
        <v>22</v>
      </c>
      <c r="E950" s="12" t="s">
        <v>83</v>
      </c>
      <c r="F950" s="685">
        <f>SUBTOTAL(9,F936:F949)</f>
        <v>0</v>
      </c>
      <c r="G950" s="685">
        <f>SUBTOTAL(9,G936:G949)</f>
        <v>0</v>
      </c>
    </row>
    <row r="951" spans="3:7" ht="15.75" hidden="1" thickBot="1" x14ac:dyDescent="0.3">
      <c r="D951" s="326"/>
      <c r="E951" s="327"/>
      <c r="F951" s="686"/>
      <c r="G951" s="686"/>
    </row>
    <row r="952" spans="3:7" ht="15.75" hidden="1" thickBot="1" x14ac:dyDescent="0.3">
      <c r="D952" s="326"/>
      <c r="E952" s="327"/>
      <c r="F952" s="686"/>
      <c r="G952" s="686"/>
    </row>
    <row r="953" spans="3:7" ht="30.75" hidden="1" thickBot="1" x14ac:dyDescent="0.3">
      <c r="C953" s="9">
        <f>IF(F970&gt;0,1,0)</f>
        <v>0</v>
      </c>
      <c r="D953" s="20" t="str">
        <f>+A52</f>
        <v>Schuyler</v>
      </c>
      <c r="E953" s="19">
        <f>IFERROR(SUMIF(A:A,D953,B:B),0)</f>
        <v>0</v>
      </c>
      <c r="F953" s="652" t="s">
        <v>31</v>
      </c>
      <c r="G953" s="652" t="s">
        <v>32</v>
      </c>
    </row>
    <row r="954" spans="3:7" ht="15.75" hidden="1" thickBot="1" x14ac:dyDescent="0.3">
      <c r="C954" s="9">
        <f>C953</f>
        <v>0</v>
      </c>
      <c r="D954" s="30"/>
      <c r="E954" s="31"/>
      <c r="F954" s="680" t="s">
        <v>54</v>
      </c>
      <c r="G954" s="680" t="s">
        <v>53</v>
      </c>
    </row>
    <row r="955" spans="3:7" ht="15.75" hidden="1" thickBot="1" x14ac:dyDescent="0.3">
      <c r="C955" s="9">
        <f t="shared" ref="C955:C970" si="221">C954</f>
        <v>0</v>
      </c>
      <c r="D955" s="32" t="s">
        <v>71</v>
      </c>
      <c r="E955" s="33"/>
      <c r="F955" s="681"/>
      <c r="G955" s="682"/>
    </row>
    <row r="956" spans="3:7" ht="15.75" hidden="1" thickBot="1" x14ac:dyDescent="0.3">
      <c r="C956" s="9">
        <f t="shared" si="221"/>
        <v>0</v>
      </c>
      <c r="D956" s="364" t="s">
        <v>72</v>
      </c>
      <c r="E956" s="12" t="s">
        <v>57</v>
      </c>
      <c r="F956" s="683">
        <f t="shared" ref="F956:G956" si="222">+$E953*F$6</f>
        <v>0</v>
      </c>
      <c r="G956" s="683">
        <f t="shared" si="222"/>
        <v>0</v>
      </c>
    </row>
    <row r="957" spans="3:7" ht="15.75" hidden="1" thickBot="1" x14ac:dyDescent="0.3">
      <c r="C957" s="9">
        <f t="shared" si="221"/>
        <v>0</v>
      </c>
      <c r="D957" s="364" t="s">
        <v>73</v>
      </c>
      <c r="E957" s="12" t="s">
        <v>56</v>
      </c>
      <c r="F957" s="683">
        <f t="shared" ref="F957:G957" si="223">+$E953*F$7</f>
        <v>0</v>
      </c>
      <c r="G957" s="683">
        <f t="shared" si="223"/>
        <v>0</v>
      </c>
    </row>
    <row r="958" spans="3:7" ht="15.75" hidden="1" thickBot="1" x14ac:dyDescent="0.3">
      <c r="C958" s="9">
        <f t="shared" si="221"/>
        <v>0</v>
      </c>
      <c r="D958" s="364" t="s">
        <v>74</v>
      </c>
      <c r="E958" s="12" t="s">
        <v>55</v>
      </c>
      <c r="F958" s="683">
        <f t="shared" ref="F958:G958" si="224">+$E953*F$8</f>
        <v>0</v>
      </c>
      <c r="G958" s="683">
        <f t="shared" si="224"/>
        <v>0</v>
      </c>
    </row>
    <row r="959" spans="3:7" ht="15.75" hidden="1" thickBot="1" x14ac:dyDescent="0.3">
      <c r="C959" s="9">
        <f t="shared" si="221"/>
        <v>0</v>
      </c>
      <c r="D959" s="364" t="s">
        <v>75</v>
      </c>
      <c r="E959" s="12" t="s">
        <v>54</v>
      </c>
      <c r="F959" s="683">
        <f t="shared" ref="F959:G959" si="225">+$E953*F$9</f>
        <v>0</v>
      </c>
      <c r="G959" s="683">
        <f t="shared" si="225"/>
        <v>0</v>
      </c>
    </row>
    <row r="960" spans="3:7" ht="15.75" hidden="1" thickBot="1" x14ac:dyDescent="0.3">
      <c r="C960" s="9">
        <f t="shared" si="221"/>
        <v>0</v>
      </c>
      <c r="D960" s="34" t="s">
        <v>467</v>
      </c>
      <c r="E960" s="12" t="s">
        <v>53</v>
      </c>
      <c r="F960" s="683">
        <f t="shared" ref="F960:G960" si="226">+$E953*F$10</f>
        <v>0</v>
      </c>
      <c r="G960" s="683">
        <f t="shared" si="226"/>
        <v>0</v>
      </c>
    </row>
    <row r="961" spans="3:7" ht="15.75" hidden="1" thickBot="1" x14ac:dyDescent="0.3">
      <c r="C961" s="9">
        <f t="shared" si="221"/>
        <v>0</v>
      </c>
      <c r="D961" s="34" t="s">
        <v>76</v>
      </c>
      <c r="E961" s="12" t="s">
        <v>52</v>
      </c>
      <c r="F961" s="683">
        <f>+$E953*F$11</f>
        <v>0</v>
      </c>
      <c r="G961" s="683">
        <f>+$E953*G$11</f>
        <v>0</v>
      </c>
    </row>
    <row r="962" spans="3:7" ht="15.75" hidden="1" thickBot="1" x14ac:dyDescent="0.3">
      <c r="C962" s="9">
        <f t="shared" si="221"/>
        <v>0</v>
      </c>
      <c r="D962" s="34" t="s">
        <v>468</v>
      </c>
      <c r="E962" s="12" t="s">
        <v>51</v>
      </c>
      <c r="F962" s="683">
        <f>+$E953*F$12</f>
        <v>0</v>
      </c>
      <c r="G962" s="683">
        <f>+$E953*G$12</f>
        <v>0</v>
      </c>
    </row>
    <row r="963" spans="3:7" ht="15.75" hidden="1" thickBot="1" x14ac:dyDescent="0.3">
      <c r="C963" s="9">
        <f t="shared" si="221"/>
        <v>0</v>
      </c>
      <c r="D963" s="364" t="s">
        <v>59</v>
      </c>
      <c r="E963" s="12" t="s">
        <v>50</v>
      </c>
      <c r="F963" s="683">
        <f>+$E953*F$13</f>
        <v>0</v>
      </c>
      <c r="G963" s="683">
        <f>+$E953*G$13</f>
        <v>0</v>
      </c>
    </row>
    <row r="964" spans="3:7" ht="15.75" hidden="1" thickBot="1" x14ac:dyDescent="0.3">
      <c r="C964" s="9">
        <f t="shared" si="221"/>
        <v>0</v>
      </c>
      <c r="D964" s="364" t="s">
        <v>25</v>
      </c>
      <c r="E964" s="12" t="s">
        <v>49</v>
      </c>
      <c r="F964" s="683">
        <f>+$E953*F$14</f>
        <v>0</v>
      </c>
      <c r="G964" s="683">
        <f>+$E953*G$14</f>
        <v>0</v>
      </c>
    </row>
    <row r="965" spans="3:7" ht="15.75" hidden="1" thickBot="1" x14ac:dyDescent="0.3">
      <c r="C965" s="9">
        <f t="shared" si="221"/>
        <v>0</v>
      </c>
      <c r="D965" s="364" t="s">
        <v>466</v>
      </c>
      <c r="E965" s="12" t="s">
        <v>47</v>
      </c>
      <c r="F965" s="683">
        <f>+$E953*F$15</f>
        <v>0</v>
      </c>
      <c r="G965" s="683">
        <f>+$E953*G$15</f>
        <v>0</v>
      </c>
    </row>
    <row r="966" spans="3:7" ht="15.75" hidden="1" thickBot="1" x14ac:dyDescent="0.3">
      <c r="C966" s="9">
        <f t="shared" si="221"/>
        <v>0</v>
      </c>
      <c r="D966" s="364" t="s">
        <v>82</v>
      </c>
      <c r="E966" s="12" t="s">
        <v>77</v>
      </c>
      <c r="F966" s="683">
        <f>+$E953*F$16</f>
        <v>0</v>
      </c>
      <c r="G966" s="683">
        <f>+$E953*G$16</f>
        <v>0</v>
      </c>
    </row>
    <row r="967" spans="3:7" ht="15.75" hidden="1" thickBot="1" x14ac:dyDescent="0.3">
      <c r="C967" s="9">
        <f t="shared" si="221"/>
        <v>0</v>
      </c>
      <c r="D967" s="364" t="s">
        <v>84</v>
      </c>
      <c r="E967" s="12" t="s">
        <v>78</v>
      </c>
      <c r="F967" s="683">
        <f ca="1">+$E953*F$17</f>
        <v>0</v>
      </c>
      <c r="G967" s="683">
        <f>+$E953*G$17</f>
        <v>0</v>
      </c>
    </row>
    <row r="968" spans="3:7" ht="15.75" hidden="1" thickBot="1" x14ac:dyDescent="0.3">
      <c r="C968" s="9">
        <f t="shared" si="221"/>
        <v>0</v>
      </c>
      <c r="D968" s="364" t="s">
        <v>86</v>
      </c>
      <c r="E968" s="12" t="s">
        <v>79</v>
      </c>
      <c r="F968" s="683">
        <f>+$E$953*F18</f>
        <v>0</v>
      </c>
      <c r="G968" s="683">
        <f>+$E$953*G18</f>
        <v>0</v>
      </c>
    </row>
    <row r="969" spans="3:7" ht="15.75" hidden="1" thickBot="1" x14ac:dyDescent="0.3">
      <c r="C969" s="9">
        <f t="shared" si="221"/>
        <v>0</v>
      </c>
      <c r="D969" s="364" t="s">
        <v>386</v>
      </c>
      <c r="E969" s="12" t="s">
        <v>81</v>
      </c>
      <c r="F969" s="683">
        <f>+$E$953*F19</f>
        <v>0</v>
      </c>
      <c r="G969" s="683">
        <f>+$E$953*G19</f>
        <v>0</v>
      </c>
    </row>
    <row r="970" spans="3:7" ht="15.75" hidden="1" thickBot="1" x14ac:dyDescent="0.3">
      <c r="C970" s="9">
        <f t="shared" si="221"/>
        <v>0</v>
      </c>
      <c r="D970" s="35" t="s">
        <v>22</v>
      </c>
      <c r="E970" s="12" t="s">
        <v>83</v>
      </c>
      <c r="F970" s="685">
        <f>SUBTOTAL(9,F956:F969)</f>
        <v>0</v>
      </c>
      <c r="G970" s="685">
        <f>SUBTOTAL(9,G956:G969)</f>
        <v>0</v>
      </c>
    </row>
    <row r="971" spans="3:7" ht="15.75" hidden="1" thickBot="1" x14ac:dyDescent="0.3">
      <c r="D971" s="326"/>
      <c r="E971" s="327"/>
      <c r="F971" s="686"/>
      <c r="G971" s="686"/>
    </row>
    <row r="972" spans="3:7" ht="15.75" hidden="1" thickBot="1" x14ac:dyDescent="0.3">
      <c r="D972" s="326"/>
      <c r="E972" s="327"/>
      <c r="F972" s="686"/>
      <c r="G972" s="686"/>
    </row>
    <row r="973" spans="3:7" ht="30.75" hidden="1" thickBot="1" x14ac:dyDescent="0.3">
      <c r="C973" s="9">
        <f>IF(F990&gt;0,1,0)</f>
        <v>0</v>
      </c>
      <c r="D973" s="20" t="str">
        <f>+A53</f>
        <v>Seneca</v>
      </c>
      <c r="E973" s="19">
        <f>IFERROR(SUMIF(A:A,D973,B:B),0)</f>
        <v>0</v>
      </c>
      <c r="F973" s="652" t="s">
        <v>31</v>
      </c>
      <c r="G973" s="652" t="s">
        <v>32</v>
      </c>
    </row>
    <row r="974" spans="3:7" ht="15.75" hidden="1" thickBot="1" x14ac:dyDescent="0.3">
      <c r="C974" s="9">
        <f>C973</f>
        <v>0</v>
      </c>
      <c r="D974" s="30"/>
      <c r="E974" s="31"/>
      <c r="F974" s="680" t="s">
        <v>54</v>
      </c>
      <c r="G974" s="680" t="s">
        <v>53</v>
      </c>
    </row>
    <row r="975" spans="3:7" ht="15.75" hidden="1" thickBot="1" x14ac:dyDescent="0.3">
      <c r="C975" s="9">
        <f t="shared" ref="C975:C990" si="227">C974</f>
        <v>0</v>
      </c>
      <c r="D975" s="32" t="s">
        <v>71</v>
      </c>
      <c r="E975" s="33"/>
      <c r="F975" s="681"/>
      <c r="G975" s="682"/>
    </row>
    <row r="976" spans="3:7" ht="15.75" hidden="1" thickBot="1" x14ac:dyDescent="0.3">
      <c r="C976" s="9">
        <f t="shared" si="227"/>
        <v>0</v>
      </c>
      <c r="D976" s="364" t="s">
        <v>72</v>
      </c>
      <c r="E976" s="12" t="s">
        <v>57</v>
      </c>
      <c r="F976" s="683">
        <f t="shared" ref="F976:G976" si="228">+$E973*F$6</f>
        <v>0</v>
      </c>
      <c r="G976" s="683">
        <f t="shared" si="228"/>
        <v>0</v>
      </c>
    </row>
    <row r="977" spans="3:7" ht="15.75" hidden="1" thickBot="1" x14ac:dyDescent="0.3">
      <c r="C977" s="9">
        <f t="shared" si="227"/>
        <v>0</v>
      </c>
      <c r="D977" s="364" t="s">
        <v>73</v>
      </c>
      <c r="E977" s="12" t="s">
        <v>56</v>
      </c>
      <c r="F977" s="683">
        <f t="shared" ref="F977:G977" si="229">+$E973*F$7</f>
        <v>0</v>
      </c>
      <c r="G977" s="683">
        <f t="shared" si="229"/>
        <v>0</v>
      </c>
    </row>
    <row r="978" spans="3:7" ht="15.75" hidden="1" thickBot="1" x14ac:dyDescent="0.3">
      <c r="C978" s="9">
        <f t="shared" si="227"/>
        <v>0</v>
      </c>
      <c r="D978" s="364" t="s">
        <v>74</v>
      </c>
      <c r="E978" s="12" t="s">
        <v>55</v>
      </c>
      <c r="F978" s="683">
        <f t="shared" ref="F978:G978" si="230">+$E973*F$8</f>
        <v>0</v>
      </c>
      <c r="G978" s="683">
        <f t="shared" si="230"/>
        <v>0</v>
      </c>
    </row>
    <row r="979" spans="3:7" ht="15.75" hidden="1" thickBot="1" x14ac:dyDescent="0.3">
      <c r="C979" s="9">
        <f t="shared" si="227"/>
        <v>0</v>
      </c>
      <c r="D979" s="364" t="s">
        <v>75</v>
      </c>
      <c r="E979" s="12" t="s">
        <v>54</v>
      </c>
      <c r="F979" s="683">
        <f t="shared" ref="F979:G979" si="231">+$E973*F$9</f>
        <v>0</v>
      </c>
      <c r="G979" s="683">
        <f t="shared" si="231"/>
        <v>0</v>
      </c>
    </row>
    <row r="980" spans="3:7" ht="15.75" hidden="1" thickBot="1" x14ac:dyDescent="0.3">
      <c r="C980" s="9">
        <f t="shared" si="227"/>
        <v>0</v>
      </c>
      <c r="D980" s="34" t="s">
        <v>467</v>
      </c>
      <c r="E980" s="12" t="s">
        <v>53</v>
      </c>
      <c r="F980" s="683">
        <f t="shared" ref="F980:G980" si="232">+$E973*F$10</f>
        <v>0</v>
      </c>
      <c r="G980" s="683">
        <f t="shared" si="232"/>
        <v>0</v>
      </c>
    </row>
    <row r="981" spans="3:7" ht="15.75" hidden="1" thickBot="1" x14ac:dyDescent="0.3">
      <c r="C981" s="9">
        <f t="shared" si="227"/>
        <v>0</v>
      </c>
      <c r="D981" s="34" t="s">
        <v>76</v>
      </c>
      <c r="E981" s="12" t="s">
        <v>52</v>
      </c>
      <c r="F981" s="683">
        <f>+$E973*F$11</f>
        <v>0</v>
      </c>
      <c r="G981" s="683">
        <f>+$E973*G$11</f>
        <v>0</v>
      </c>
    </row>
    <row r="982" spans="3:7" ht="15.75" hidden="1" thickBot="1" x14ac:dyDescent="0.3">
      <c r="C982" s="9">
        <f t="shared" si="227"/>
        <v>0</v>
      </c>
      <c r="D982" s="34" t="s">
        <v>468</v>
      </c>
      <c r="E982" s="12" t="s">
        <v>51</v>
      </c>
      <c r="F982" s="683">
        <f>+$E973*F$12</f>
        <v>0</v>
      </c>
      <c r="G982" s="683">
        <f>+$E973*G$12</f>
        <v>0</v>
      </c>
    </row>
    <row r="983" spans="3:7" ht="15.75" hidden="1" thickBot="1" x14ac:dyDescent="0.3">
      <c r="C983" s="9">
        <f t="shared" si="227"/>
        <v>0</v>
      </c>
      <c r="D983" s="364" t="s">
        <v>59</v>
      </c>
      <c r="E983" s="12" t="s">
        <v>50</v>
      </c>
      <c r="F983" s="683">
        <f>+$E973*F$13</f>
        <v>0</v>
      </c>
      <c r="G983" s="683">
        <f>+$E973*G$13</f>
        <v>0</v>
      </c>
    </row>
    <row r="984" spans="3:7" ht="15.75" hidden="1" thickBot="1" x14ac:dyDescent="0.3">
      <c r="C984" s="9">
        <f t="shared" si="227"/>
        <v>0</v>
      </c>
      <c r="D984" s="364" t="s">
        <v>25</v>
      </c>
      <c r="E984" s="12" t="s">
        <v>49</v>
      </c>
      <c r="F984" s="683">
        <f>+$E973*F$14</f>
        <v>0</v>
      </c>
      <c r="G984" s="683">
        <f>+$E973*G$14</f>
        <v>0</v>
      </c>
    </row>
    <row r="985" spans="3:7" ht="15.75" hidden="1" thickBot="1" x14ac:dyDescent="0.3">
      <c r="C985" s="9">
        <f t="shared" si="227"/>
        <v>0</v>
      </c>
      <c r="D985" s="364" t="s">
        <v>466</v>
      </c>
      <c r="E985" s="12" t="s">
        <v>47</v>
      </c>
      <c r="F985" s="683">
        <f>+$E973*F$15</f>
        <v>0</v>
      </c>
      <c r="G985" s="683">
        <f>+$E973*G$15</f>
        <v>0</v>
      </c>
    </row>
    <row r="986" spans="3:7" ht="15.75" hidden="1" thickBot="1" x14ac:dyDescent="0.3">
      <c r="C986" s="9">
        <f t="shared" si="227"/>
        <v>0</v>
      </c>
      <c r="D986" s="364" t="s">
        <v>82</v>
      </c>
      <c r="E986" s="12" t="s">
        <v>77</v>
      </c>
      <c r="F986" s="683">
        <f>+$E973*F$16</f>
        <v>0</v>
      </c>
      <c r="G986" s="683">
        <f>+$E973*G$16</f>
        <v>0</v>
      </c>
    </row>
    <row r="987" spans="3:7" ht="15.75" hidden="1" thickBot="1" x14ac:dyDescent="0.3">
      <c r="C987" s="9">
        <f t="shared" si="227"/>
        <v>0</v>
      </c>
      <c r="D987" s="364" t="s">
        <v>84</v>
      </c>
      <c r="E987" s="12" t="s">
        <v>78</v>
      </c>
      <c r="F987" s="683">
        <f ca="1">+$E973*F$17</f>
        <v>0</v>
      </c>
      <c r="G987" s="683">
        <f>+$E973*G$17</f>
        <v>0</v>
      </c>
    </row>
    <row r="988" spans="3:7" ht="15.75" hidden="1" thickBot="1" x14ac:dyDescent="0.3">
      <c r="C988" s="9">
        <f t="shared" si="227"/>
        <v>0</v>
      </c>
      <c r="D988" s="364" t="s">
        <v>86</v>
      </c>
      <c r="E988" s="12" t="s">
        <v>79</v>
      </c>
      <c r="F988" s="683">
        <f>+$E$973*F18</f>
        <v>0</v>
      </c>
      <c r="G988" s="683">
        <f>+$E$973*G18</f>
        <v>0</v>
      </c>
    </row>
    <row r="989" spans="3:7" ht="15.75" hidden="1" thickBot="1" x14ac:dyDescent="0.3">
      <c r="C989" s="9">
        <f t="shared" si="227"/>
        <v>0</v>
      </c>
      <c r="D989" s="364" t="s">
        <v>386</v>
      </c>
      <c r="E989" s="12" t="s">
        <v>81</v>
      </c>
      <c r="F989" s="683">
        <f>+$E$973*F19</f>
        <v>0</v>
      </c>
      <c r="G989" s="683">
        <f>+$E$973*G19</f>
        <v>0</v>
      </c>
    </row>
    <row r="990" spans="3:7" ht="15.75" hidden="1" thickBot="1" x14ac:dyDescent="0.3">
      <c r="C990" s="9">
        <f t="shared" si="227"/>
        <v>0</v>
      </c>
      <c r="D990" s="35" t="s">
        <v>22</v>
      </c>
      <c r="E990" s="12" t="s">
        <v>83</v>
      </c>
      <c r="F990" s="685">
        <f>SUBTOTAL(9,F976:F989)</f>
        <v>0</v>
      </c>
      <c r="G990" s="685">
        <f>SUBTOTAL(9,G976:G989)</f>
        <v>0</v>
      </c>
    </row>
    <row r="991" spans="3:7" ht="15.75" hidden="1" thickBot="1" x14ac:dyDescent="0.3">
      <c r="D991" s="326"/>
      <c r="E991" s="327"/>
      <c r="F991" s="686"/>
      <c r="G991" s="686"/>
    </row>
    <row r="992" spans="3:7" ht="15.75" hidden="1" thickBot="1" x14ac:dyDescent="0.3">
      <c r="D992" s="326"/>
      <c r="E992" s="327"/>
      <c r="F992" s="686"/>
      <c r="G992" s="686"/>
    </row>
    <row r="993" spans="3:7" ht="30.75" hidden="1" thickBot="1" x14ac:dyDescent="0.3">
      <c r="C993" s="9">
        <f>IF(F1010&gt;0,1,0)</f>
        <v>0</v>
      </c>
      <c r="D993" s="20" t="str">
        <f>+A54</f>
        <v>Steuben</v>
      </c>
      <c r="E993" s="19">
        <f>IFERROR(SUMIF(A:A,D993,B:B),0)</f>
        <v>0</v>
      </c>
      <c r="F993" s="652" t="s">
        <v>31</v>
      </c>
      <c r="G993" s="652" t="s">
        <v>32</v>
      </c>
    </row>
    <row r="994" spans="3:7" ht="15.75" hidden="1" thickBot="1" x14ac:dyDescent="0.3">
      <c r="C994" s="9">
        <f>C993</f>
        <v>0</v>
      </c>
      <c r="D994" s="30"/>
      <c r="E994" s="31"/>
      <c r="F994" s="680" t="s">
        <v>54</v>
      </c>
      <c r="G994" s="680" t="s">
        <v>53</v>
      </c>
    </row>
    <row r="995" spans="3:7" ht="15.75" hidden="1" thickBot="1" x14ac:dyDescent="0.3">
      <c r="C995" s="9">
        <f t="shared" ref="C995:C1010" si="233">C994</f>
        <v>0</v>
      </c>
      <c r="D995" s="32" t="s">
        <v>71</v>
      </c>
      <c r="E995" s="33"/>
      <c r="F995" s="681"/>
      <c r="G995" s="682"/>
    </row>
    <row r="996" spans="3:7" ht="15.75" hidden="1" thickBot="1" x14ac:dyDescent="0.3">
      <c r="C996" s="9">
        <f t="shared" si="233"/>
        <v>0</v>
      </c>
      <c r="D996" s="364" t="s">
        <v>72</v>
      </c>
      <c r="E996" s="12" t="s">
        <v>57</v>
      </c>
      <c r="F996" s="683">
        <f t="shared" ref="F996:G996" si="234">+$E993*F$6</f>
        <v>0</v>
      </c>
      <c r="G996" s="683">
        <f t="shared" si="234"/>
        <v>0</v>
      </c>
    </row>
    <row r="997" spans="3:7" ht="15.75" hidden="1" thickBot="1" x14ac:dyDescent="0.3">
      <c r="C997" s="9">
        <f t="shared" si="233"/>
        <v>0</v>
      </c>
      <c r="D997" s="364" t="s">
        <v>73</v>
      </c>
      <c r="E997" s="12" t="s">
        <v>56</v>
      </c>
      <c r="F997" s="683">
        <f t="shared" ref="F997:G997" si="235">+$E993*F$7</f>
        <v>0</v>
      </c>
      <c r="G997" s="683">
        <f t="shared" si="235"/>
        <v>0</v>
      </c>
    </row>
    <row r="998" spans="3:7" ht="15.75" hidden="1" thickBot="1" x14ac:dyDescent="0.3">
      <c r="C998" s="9">
        <f t="shared" si="233"/>
        <v>0</v>
      </c>
      <c r="D998" s="364" t="s">
        <v>74</v>
      </c>
      <c r="E998" s="12" t="s">
        <v>55</v>
      </c>
      <c r="F998" s="683">
        <f t="shared" ref="F998:G998" si="236">+$E993*F$8</f>
        <v>0</v>
      </c>
      <c r="G998" s="683">
        <f t="shared" si="236"/>
        <v>0</v>
      </c>
    </row>
    <row r="999" spans="3:7" ht="15.75" hidden="1" thickBot="1" x14ac:dyDescent="0.3">
      <c r="C999" s="9">
        <f t="shared" si="233"/>
        <v>0</v>
      </c>
      <c r="D999" s="364" t="s">
        <v>75</v>
      </c>
      <c r="E999" s="12" t="s">
        <v>54</v>
      </c>
      <c r="F999" s="683">
        <f t="shared" ref="F999:G999" si="237">+$E993*F$9</f>
        <v>0</v>
      </c>
      <c r="G999" s="683">
        <f t="shared" si="237"/>
        <v>0</v>
      </c>
    </row>
    <row r="1000" spans="3:7" ht="15.75" hidden="1" thickBot="1" x14ac:dyDescent="0.3">
      <c r="C1000" s="9">
        <f t="shared" si="233"/>
        <v>0</v>
      </c>
      <c r="D1000" s="34" t="s">
        <v>467</v>
      </c>
      <c r="E1000" s="12" t="s">
        <v>53</v>
      </c>
      <c r="F1000" s="683">
        <f t="shared" ref="F1000:G1000" si="238">+$E993*F$10</f>
        <v>0</v>
      </c>
      <c r="G1000" s="683">
        <f t="shared" si="238"/>
        <v>0</v>
      </c>
    </row>
    <row r="1001" spans="3:7" ht="15.75" hidden="1" thickBot="1" x14ac:dyDescent="0.3">
      <c r="C1001" s="9">
        <f t="shared" si="233"/>
        <v>0</v>
      </c>
      <c r="D1001" s="34" t="s">
        <v>76</v>
      </c>
      <c r="E1001" s="12" t="s">
        <v>52</v>
      </c>
      <c r="F1001" s="683">
        <f>+$E993*F$11</f>
        <v>0</v>
      </c>
      <c r="G1001" s="683">
        <f>+$E993*G$11</f>
        <v>0</v>
      </c>
    </row>
    <row r="1002" spans="3:7" ht="15.75" hidden="1" thickBot="1" x14ac:dyDescent="0.3">
      <c r="C1002" s="9">
        <f t="shared" si="233"/>
        <v>0</v>
      </c>
      <c r="D1002" s="34" t="s">
        <v>468</v>
      </c>
      <c r="E1002" s="12" t="s">
        <v>51</v>
      </c>
      <c r="F1002" s="683">
        <f>+$E993*F$12</f>
        <v>0</v>
      </c>
      <c r="G1002" s="683">
        <f>+$E993*G$12</f>
        <v>0</v>
      </c>
    </row>
    <row r="1003" spans="3:7" ht="15.75" hidden="1" thickBot="1" x14ac:dyDescent="0.3">
      <c r="C1003" s="9">
        <f t="shared" si="233"/>
        <v>0</v>
      </c>
      <c r="D1003" s="364" t="s">
        <v>59</v>
      </c>
      <c r="E1003" s="12" t="s">
        <v>50</v>
      </c>
      <c r="F1003" s="683">
        <f>+$E993*F$13</f>
        <v>0</v>
      </c>
      <c r="G1003" s="683">
        <f>+$E993*G$13</f>
        <v>0</v>
      </c>
    </row>
    <row r="1004" spans="3:7" ht="15.75" hidden="1" thickBot="1" x14ac:dyDescent="0.3">
      <c r="C1004" s="9">
        <f t="shared" si="233"/>
        <v>0</v>
      </c>
      <c r="D1004" s="364" t="s">
        <v>25</v>
      </c>
      <c r="E1004" s="12" t="s">
        <v>49</v>
      </c>
      <c r="F1004" s="683">
        <f>+$E993*F$14</f>
        <v>0</v>
      </c>
      <c r="G1004" s="683">
        <f>+$E993*G$14</f>
        <v>0</v>
      </c>
    </row>
    <row r="1005" spans="3:7" ht="15.75" hidden="1" thickBot="1" x14ac:dyDescent="0.3">
      <c r="C1005" s="9">
        <f t="shared" si="233"/>
        <v>0</v>
      </c>
      <c r="D1005" s="364" t="s">
        <v>466</v>
      </c>
      <c r="E1005" s="12" t="s">
        <v>47</v>
      </c>
      <c r="F1005" s="683">
        <f>+$E993*F$15</f>
        <v>0</v>
      </c>
      <c r="G1005" s="683">
        <f>+$E993*G$15</f>
        <v>0</v>
      </c>
    </row>
    <row r="1006" spans="3:7" ht="15.75" hidden="1" thickBot="1" x14ac:dyDescent="0.3">
      <c r="C1006" s="9">
        <f t="shared" si="233"/>
        <v>0</v>
      </c>
      <c r="D1006" s="364" t="s">
        <v>82</v>
      </c>
      <c r="E1006" s="12" t="s">
        <v>77</v>
      </c>
      <c r="F1006" s="683">
        <f>+$E993*F$16</f>
        <v>0</v>
      </c>
      <c r="G1006" s="683">
        <f>+$E993*G$16</f>
        <v>0</v>
      </c>
    </row>
    <row r="1007" spans="3:7" ht="15.75" hidden="1" thickBot="1" x14ac:dyDescent="0.3">
      <c r="C1007" s="9">
        <f t="shared" si="233"/>
        <v>0</v>
      </c>
      <c r="D1007" s="364" t="s">
        <v>84</v>
      </c>
      <c r="E1007" s="12" t="s">
        <v>78</v>
      </c>
      <c r="F1007" s="683">
        <f ca="1">+$E993*F$17</f>
        <v>0</v>
      </c>
      <c r="G1007" s="683">
        <f>+$E993*G$17</f>
        <v>0</v>
      </c>
    </row>
    <row r="1008" spans="3:7" ht="15.75" hidden="1" thickBot="1" x14ac:dyDescent="0.3">
      <c r="C1008" s="9">
        <f t="shared" si="233"/>
        <v>0</v>
      </c>
      <c r="D1008" s="364" t="s">
        <v>86</v>
      </c>
      <c r="E1008" s="12" t="s">
        <v>79</v>
      </c>
      <c r="F1008" s="683">
        <f>+$E$993*F18</f>
        <v>0</v>
      </c>
      <c r="G1008" s="683">
        <f>+$E$993*G18</f>
        <v>0</v>
      </c>
    </row>
    <row r="1009" spans="3:7" ht="15.75" hidden="1" thickBot="1" x14ac:dyDescent="0.3">
      <c r="C1009" s="9">
        <f t="shared" si="233"/>
        <v>0</v>
      </c>
      <c r="D1009" s="364" t="s">
        <v>386</v>
      </c>
      <c r="E1009" s="12" t="s">
        <v>81</v>
      </c>
      <c r="F1009" s="683">
        <f>+$E$993*F19</f>
        <v>0</v>
      </c>
      <c r="G1009" s="683">
        <f>+$E$993*G19</f>
        <v>0</v>
      </c>
    </row>
    <row r="1010" spans="3:7" ht="15.75" hidden="1" thickBot="1" x14ac:dyDescent="0.3">
      <c r="C1010" s="9">
        <f t="shared" si="233"/>
        <v>0</v>
      </c>
      <c r="D1010" s="35" t="s">
        <v>22</v>
      </c>
      <c r="E1010" s="12" t="s">
        <v>83</v>
      </c>
      <c r="F1010" s="685">
        <f>SUBTOTAL(9,F996:F1009)</f>
        <v>0</v>
      </c>
      <c r="G1010" s="685">
        <f>SUBTOTAL(9,G996:G1009)</f>
        <v>0</v>
      </c>
    </row>
    <row r="1011" spans="3:7" ht="15.75" hidden="1" thickBot="1" x14ac:dyDescent="0.3">
      <c r="D1011" s="326"/>
      <c r="E1011" s="327"/>
      <c r="F1011" s="686"/>
      <c r="G1011" s="686"/>
    </row>
    <row r="1012" spans="3:7" ht="30" x14ac:dyDescent="0.25">
      <c r="C1012" s="9">
        <f ca="1">IF(F1029&gt;0,1,0)</f>
        <v>1</v>
      </c>
      <c r="D1012" s="20" t="str">
        <f>+A55</f>
        <v>Suffolk</v>
      </c>
      <c r="E1012" s="19">
        <f>IFERROR(SUMIF(A:A,D1012,B:B),0)</f>
        <v>1.0643576138960588E-5</v>
      </c>
      <c r="F1012" s="652" t="s">
        <v>31</v>
      </c>
      <c r="G1012" s="652" t="s">
        <v>32</v>
      </c>
    </row>
    <row r="1013" spans="3:7" x14ac:dyDescent="0.25">
      <c r="C1013" s="9">
        <f ca="1">C1012</f>
        <v>1</v>
      </c>
      <c r="D1013" s="30"/>
      <c r="E1013" s="31"/>
      <c r="F1013" s="680" t="s">
        <v>54</v>
      </c>
      <c r="G1013" s="680" t="s">
        <v>53</v>
      </c>
    </row>
    <row r="1014" spans="3:7" x14ac:dyDescent="0.25">
      <c r="C1014" s="9">
        <f t="shared" ref="C1014:C1029" ca="1" si="239">C1013</f>
        <v>1</v>
      </c>
      <c r="D1014" s="32" t="s">
        <v>71</v>
      </c>
      <c r="E1014" s="33"/>
      <c r="F1014" s="681"/>
      <c r="G1014" s="682"/>
    </row>
    <row r="1015" spans="3:7" x14ac:dyDescent="0.25">
      <c r="C1015" s="9">
        <f t="shared" ca="1" si="239"/>
        <v>1</v>
      </c>
      <c r="D1015" s="364" t="s">
        <v>72</v>
      </c>
      <c r="E1015" s="12" t="s">
        <v>57</v>
      </c>
      <c r="F1015" s="683">
        <f t="shared" ref="F1015:G1015" si="240">+$E1012*F$6</f>
        <v>0</v>
      </c>
      <c r="G1015" s="683">
        <f t="shared" si="240"/>
        <v>0</v>
      </c>
    </row>
    <row r="1016" spans="3:7" x14ac:dyDescent="0.25">
      <c r="C1016" s="9">
        <f t="shared" ca="1" si="239"/>
        <v>1</v>
      </c>
      <c r="D1016" s="364" t="s">
        <v>73</v>
      </c>
      <c r="E1016" s="12" t="s">
        <v>56</v>
      </c>
      <c r="F1016" s="683">
        <f t="shared" ref="F1016:G1016" si="241">+$E1012*F$7</f>
        <v>8.6428546288341153</v>
      </c>
      <c r="G1016" s="683">
        <f t="shared" si="241"/>
        <v>0</v>
      </c>
    </row>
    <row r="1017" spans="3:7" x14ac:dyDescent="0.25">
      <c r="C1017" s="9">
        <f t="shared" ca="1" si="239"/>
        <v>1</v>
      </c>
      <c r="D1017" s="364" t="s">
        <v>74</v>
      </c>
      <c r="E1017" s="12" t="s">
        <v>55</v>
      </c>
      <c r="F1017" s="683">
        <f t="shared" ref="F1017:G1017" si="242">+$E1012*F$8</f>
        <v>1.2957081229204548</v>
      </c>
      <c r="G1017" s="683">
        <f t="shared" si="242"/>
        <v>0</v>
      </c>
    </row>
    <row r="1018" spans="3:7" x14ac:dyDescent="0.25">
      <c r="C1018" s="9">
        <f t="shared" ca="1" si="239"/>
        <v>1</v>
      </c>
      <c r="D1018" s="364" t="s">
        <v>75</v>
      </c>
      <c r="E1018" s="12" t="s">
        <v>54</v>
      </c>
      <c r="F1018" s="683">
        <f t="shared" ref="F1018:G1018" si="243">+$E1012*F$9</f>
        <v>2.6482497975964878</v>
      </c>
      <c r="G1018" s="683">
        <f t="shared" si="243"/>
        <v>0</v>
      </c>
    </row>
    <row r="1019" spans="3:7" x14ac:dyDescent="0.25">
      <c r="C1019" s="9">
        <f t="shared" ca="1" si="239"/>
        <v>1</v>
      </c>
      <c r="D1019" s="34" t="s">
        <v>467</v>
      </c>
      <c r="E1019" s="12" t="s">
        <v>53</v>
      </c>
      <c r="F1019" s="683">
        <f t="shared" ref="F1019:G1019" si="244">+$E1012*F$10</f>
        <v>12.681047531631966</v>
      </c>
      <c r="G1019" s="683">
        <f t="shared" si="244"/>
        <v>0</v>
      </c>
    </row>
    <row r="1020" spans="3:7" x14ac:dyDescent="0.25">
      <c r="C1020" s="9">
        <f t="shared" ca="1" si="239"/>
        <v>1</v>
      </c>
      <c r="D1020" s="34" t="s">
        <v>76</v>
      </c>
      <c r="E1020" s="12" t="s">
        <v>52</v>
      </c>
      <c r="F1020" s="683">
        <f>+$E1012*F$11</f>
        <v>2.8994922239038639</v>
      </c>
      <c r="G1020" s="683">
        <f>+$E1012*G$11</f>
        <v>0</v>
      </c>
    </row>
    <row r="1021" spans="3:7" x14ac:dyDescent="0.25">
      <c r="C1021" s="9">
        <f t="shared" ca="1" si="239"/>
        <v>1</v>
      </c>
      <c r="D1021" s="34" t="s">
        <v>468</v>
      </c>
      <c r="E1021" s="12" t="s">
        <v>51</v>
      </c>
      <c r="F1021" s="683">
        <f>+$E1012*F$12</f>
        <v>0</v>
      </c>
      <c r="G1021" s="683">
        <f>+$E1012*G$12</f>
        <v>0</v>
      </c>
    </row>
    <row r="1022" spans="3:7" x14ac:dyDescent="0.25">
      <c r="C1022" s="9">
        <f t="shared" ca="1" si="239"/>
        <v>1</v>
      </c>
      <c r="D1022" s="364" t="s">
        <v>59</v>
      </c>
      <c r="E1022" s="12" t="s">
        <v>50</v>
      </c>
      <c r="F1022" s="683">
        <f>+$E1012*F$13</f>
        <v>0.45911754973568647</v>
      </c>
      <c r="G1022" s="683">
        <f>+$E1012*G$13</f>
        <v>0</v>
      </c>
    </row>
    <row r="1023" spans="3:7" x14ac:dyDescent="0.25">
      <c r="C1023" s="9">
        <f t="shared" ca="1" si="239"/>
        <v>1</v>
      </c>
      <c r="D1023" s="364" t="s">
        <v>25</v>
      </c>
      <c r="E1023" s="12" t="s">
        <v>49</v>
      </c>
      <c r="F1023" s="683">
        <f>+$E1012*F$14</f>
        <v>1.5034232005228803</v>
      </c>
      <c r="G1023" s="683">
        <f>+$E1012*G$14</f>
        <v>0</v>
      </c>
    </row>
    <row r="1024" spans="3:7" x14ac:dyDescent="0.25">
      <c r="C1024" s="9">
        <f t="shared" ca="1" si="239"/>
        <v>1</v>
      </c>
      <c r="D1024" s="364" t="s">
        <v>466</v>
      </c>
      <c r="E1024" s="12" t="s">
        <v>47</v>
      </c>
      <c r="F1024" s="683">
        <f>+$E1012*F$15</f>
        <v>5.6092076382149356</v>
      </c>
      <c r="G1024" s="683">
        <f>+$E1012*G$15</f>
        <v>0</v>
      </c>
    </row>
    <row r="1025" spans="3:7" x14ac:dyDescent="0.25">
      <c r="C1025" s="9">
        <f t="shared" ca="1" si="239"/>
        <v>1</v>
      </c>
      <c r="D1025" s="364" t="s">
        <v>82</v>
      </c>
      <c r="E1025" s="12" t="s">
        <v>77</v>
      </c>
      <c r="F1025" s="683">
        <f>+$E1012*F$16</f>
        <v>3.8009086848041354</v>
      </c>
      <c r="G1025" s="683">
        <f>+$E1012*G$16</f>
        <v>0</v>
      </c>
    </row>
    <row r="1026" spans="3:7" x14ac:dyDescent="0.25">
      <c r="C1026" s="9">
        <f t="shared" ca="1" si="239"/>
        <v>1</v>
      </c>
      <c r="D1026" s="364" t="s">
        <v>84</v>
      </c>
      <c r="E1026" s="12" t="s">
        <v>78</v>
      </c>
      <c r="F1026" s="683">
        <f ca="1">+$E1012*F$17</f>
        <v>271.73026688309466</v>
      </c>
      <c r="G1026" s="683">
        <f>+$E1012*G$17</f>
        <v>0</v>
      </c>
    </row>
    <row r="1027" spans="3:7" x14ac:dyDescent="0.25">
      <c r="C1027" s="9">
        <f t="shared" ca="1" si="239"/>
        <v>1</v>
      </c>
      <c r="D1027" s="364" t="s">
        <v>86</v>
      </c>
      <c r="E1027" s="12" t="s">
        <v>79</v>
      </c>
      <c r="F1027" s="683">
        <f>+$E$1012*F18</f>
        <v>4.1856362350183431</v>
      </c>
      <c r="G1027" s="683">
        <f>+$E$1012*G18</f>
        <v>0</v>
      </c>
    </row>
    <row r="1028" spans="3:7" x14ac:dyDescent="0.25">
      <c r="C1028" s="9">
        <f t="shared" ca="1" si="239"/>
        <v>1</v>
      </c>
      <c r="D1028" s="364" t="s">
        <v>386</v>
      </c>
      <c r="E1028" s="12" t="s">
        <v>81</v>
      </c>
      <c r="F1028" s="683">
        <f>+$E$1012*F19</f>
        <v>0</v>
      </c>
      <c r="G1028" s="683">
        <f>+$E$1012*G19</f>
        <v>0</v>
      </c>
    </row>
    <row r="1029" spans="3:7" ht="15.75" thickBot="1" x14ac:dyDescent="0.3">
      <c r="C1029" s="9">
        <f t="shared" ca="1" si="239"/>
        <v>1</v>
      </c>
      <c r="D1029" s="35" t="s">
        <v>22</v>
      </c>
      <c r="E1029" s="12" t="s">
        <v>83</v>
      </c>
      <c r="F1029" s="685">
        <f ca="1">SUBTOTAL(9,F1015:F1028)</f>
        <v>315.45591249627756</v>
      </c>
      <c r="G1029" s="685">
        <f>SUBTOTAL(9,G1015:G1028)</f>
        <v>0</v>
      </c>
    </row>
    <row r="1030" spans="3:7" ht="15.75" hidden="1" thickBot="1" x14ac:dyDescent="0.3">
      <c r="D1030" s="326"/>
      <c r="E1030" s="327"/>
      <c r="F1030" s="686"/>
      <c r="G1030" s="686"/>
    </row>
    <row r="1031" spans="3:7" ht="15.75" hidden="1" thickBot="1" x14ac:dyDescent="0.3">
      <c r="D1031" s="326"/>
      <c r="E1031" s="327"/>
      <c r="F1031" s="686"/>
      <c r="G1031" s="686"/>
    </row>
    <row r="1032" spans="3:7" ht="30.75" hidden="1" thickBot="1" x14ac:dyDescent="0.3">
      <c r="C1032" s="9">
        <f>IF(F1049&gt;0,1,0)</f>
        <v>0</v>
      </c>
      <c r="D1032" s="20" t="str">
        <f>+A56</f>
        <v>Sullivan</v>
      </c>
      <c r="E1032" s="19">
        <f>IFERROR(SUMIF(A:A,D1032,B:B),0)</f>
        <v>0</v>
      </c>
      <c r="F1032" s="652" t="s">
        <v>31</v>
      </c>
      <c r="G1032" s="652" t="s">
        <v>32</v>
      </c>
    </row>
    <row r="1033" spans="3:7" ht="15.75" hidden="1" thickBot="1" x14ac:dyDescent="0.3">
      <c r="C1033" s="9">
        <f>C1032</f>
        <v>0</v>
      </c>
      <c r="D1033" s="30"/>
      <c r="E1033" s="31"/>
      <c r="F1033" s="680" t="s">
        <v>54</v>
      </c>
      <c r="G1033" s="680" t="s">
        <v>53</v>
      </c>
    </row>
    <row r="1034" spans="3:7" ht="15.75" hidden="1" thickBot="1" x14ac:dyDescent="0.3">
      <c r="C1034" s="9">
        <f t="shared" ref="C1034:C1049" si="245">C1033</f>
        <v>0</v>
      </c>
      <c r="D1034" s="32" t="s">
        <v>71</v>
      </c>
      <c r="E1034" s="33"/>
      <c r="F1034" s="681"/>
      <c r="G1034" s="682"/>
    </row>
    <row r="1035" spans="3:7" ht="15.75" hidden="1" thickBot="1" x14ac:dyDescent="0.3">
      <c r="C1035" s="9">
        <f t="shared" si="245"/>
        <v>0</v>
      </c>
      <c r="D1035" s="364" t="s">
        <v>72</v>
      </c>
      <c r="E1035" s="12" t="s">
        <v>57</v>
      </c>
      <c r="F1035" s="683">
        <f t="shared" ref="F1035:G1035" si="246">+$E1032*F$6</f>
        <v>0</v>
      </c>
      <c r="G1035" s="683">
        <f t="shared" si="246"/>
        <v>0</v>
      </c>
    </row>
    <row r="1036" spans="3:7" ht="15.75" hidden="1" thickBot="1" x14ac:dyDescent="0.3">
      <c r="C1036" s="9">
        <f t="shared" si="245"/>
        <v>0</v>
      </c>
      <c r="D1036" s="364" t="s">
        <v>73</v>
      </c>
      <c r="E1036" s="12" t="s">
        <v>56</v>
      </c>
      <c r="F1036" s="683">
        <f t="shared" ref="F1036:G1036" si="247">+$E1032*F$7</f>
        <v>0</v>
      </c>
      <c r="G1036" s="683">
        <f t="shared" si="247"/>
        <v>0</v>
      </c>
    </row>
    <row r="1037" spans="3:7" ht="15.75" hidden="1" thickBot="1" x14ac:dyDescent="0.3">
      <c r="C1037" s="9">
        <f t="shared" si="245"/>
        <v>0</v>
      </c>
      <c r="D1037" s="364" t="s">
        <v>74</v>
      </c>
      <c r="E1037" s="12" t="s">
        <v>55</v>
      </c>
      <c r="F1037" s="683">
        <f t="shared" ref="F1037:G1037" si="248">+$E1032*F$8</f>
        <v>0</v>
      </c>
      <c r="G1037" s="683">
        <f t="shared" si="248"/>
        <v>0</v>
      </c>
    </row>
    <row r="1038" spans="3:7" ht="15.75" hidden="1" thickBot="1" x14ac:dyDescent="0.3">
      <c r="C1038" s="9">
        <f t="shared" si="245"/>
        <v>0</v>
      </c>
      <c r="D1038" s="364" t="s">
        <v>75</v>
      </c>
      <c r="E1038" s="12" t="s">
        <v>54</v>
      </c>
      <c r="F1038" s="683">
        <f t="shared" ref="F1038:G1038" si="249">+$E1032*F$9</f>
        <v>0</v>
      </c>
      <c r="G1038" s="683">
        <f t="shared" si="249"/>
        <v>0</v>
      </c>
    </row>
    <row r="1039" spans="3:7" ht="15.75" hidden="1" thickBot="1" x14ac:dyDescent="0.3">
      <c r="C1039" s="9">
        <f t="shared" si="245"/>
        <v>0</v>
      </c>
      <c r="D1039" s="34" t="s">
        <v>467</v>
      </c>
      <c r="E1039" s="12" t="s">
        <v>53</v>
      </c>
      <c r="F1039" s="683">
        <f t="shared" ref="F1039:G1039" si="250">+$E1032*F$10</f>
        <v>0</v>
      </c>
      <c r="G1039" s="683">
        <f t="shared" si="250"/>
        <v>0</v>
      </c>
    </row>
    <row r="1040" spans="3:7" ht="15.75" hidden="1" thickBot="1" x14ac:dyDescent="0.3">
      <c r="C1040" s="9">
        <f t="shared" si="245"/>
        <v>0</v>
      </c>
      <c r="D1040" s="34" t="s">
        <v>76</v>
      </c>
      <c r="E1040" s="12" t="s">
        <v>52</v>
      </c>
      <c r="F1040" s="683">
        <f>+$E1032*F$11</f>
        <v>0</v>
      </c>
      <c r="G1040" s="683">
        <f>+$E1032*G$11</f>
        <v>0</v>
      </c>
    </row>
    <row r="1041" spans="3:7" ht="15.75" hidden="1" thickBot="1" x14ac:dyDescent="0.3">
      <c r="C1041" s="9">
        <f t="shared" si="245"/>
        <v>0</v>
      </c>
      <c r="D1041" s="34" t="s">
        <v>468</v>
      </c>
      <c r="E1041" s="12" t="s">
        <v>51</v>
      </c>
      <c r="F1041" s="683">
        <f>+$E1032*F$12</f>
        <v>0</v>
      </c>
      <c r="G1041" s="683">
        <f>+$E1032*G$12</f>
        <v>0</v>
      </c>
    </row>
    <row r="1042" spans="3:7" ht="15.75" hidden="1" thickBot="1" x14ac:dyDescent="0.3">
      <c r="C1042" s="9">
        <f t="shared" si="245"/>
        <v>0</v>
      </c>
      <c r="D1042" s="364" t="s">
        <v>59</v>
      </c>
      <c r="E1042" s="12" t="s">
        <v>50</v>
      </c>
      <c r="F1042" s="683">
        <f>+$E1032*F$13</f>
        <v>0</v>
      </c>
      <c r="G1042" s="683">
        <f>+$E1032*G$13</f>
        <v>0</v>
      </c>
    </row>
    <row r="1043" spans="3:7" ht="15.75" hidden="1" thickBot="1" x14ac:dyDescent="0.3">
      <c r="C1043" s="9">
        <f t="shared" si="245"/>
        <v>0</v>
      </c>
      <c r="D1043" s="364" t="s">
        <v>25</v>
      </c>
      <c r="E1043" s="12" t="s">
        <v>49</v>
      </c>
      <c r="F1043" s="683">
        <f>+$E1032*F$14</f>
        <v>0</v>
      </c>
      <c r="G1043" s="683">
        <f>+$E1032*G$14</f>
        <v>0</v>
      </c>
    </row>
    <row r="1044" spans="3:7" ht="15.75" hidden="1" thickBot="1" x14ac:dyDescent="0.3">
      <c r="C1044" s="9">
        <f t="shared" si="245"/>
        <v>0</v>
      </c>
      <c r="D1044" s="364" t="s">
        <v>466</v>
      </c>
      <c r="E1044" s="12" t="s">
        <v>47</v>
      </c>
      <c r="F1044" s="683">
        <f>+$E1032*F$15</f>
        <v>0</v>
      </c>
      <c r="G1044" s="683">
        <f>+$E1032*G$15</f>
        <v>0</v>
      </c>
    </row>
    <row r="1045" spans="3:7" ht="15.75" hidden="1" thickBot="1" x14ac:dyDescent="0.3">
      <c r="C1045" s="9">
        <f t="shared" si="245"/>
        <v>0</v>
      </c>
      <c r="D1045" s="364" t="s">
        <v>82</v>
      </c>
      <c r="E1045" s="12" t="s">
        <v>77</v>
      </c>
      <c r="F1045" s="683">
        <f>+$E1032*F$16</f>
        <v>0</v>
      </c>
      <c r="G1045" s="683">
        <f>+$E1032*G$16</f>
        <v>0</v>
      </c>
    </row>
    <row r="1046" spans="3:7" ht="15.75" hidden="1" thickBot="1" x14ac:dyDescent="0.3">
      <c r="C1046" s="9">
        <f t="shared" si="245"/>
        <v>0</v>
      </c>
      <c r="D1046" s="364" t="s">
        <v>84</v>
      </c>
      <c r="E1046" s="12" t="s">
        <v>78</v>
      </c>
      <c r="F1046" s="683">
        <f ca="1">+$E1032*F$17</f>
        <v>0</v>
      </c>
      <c r="G1046" s="683">
        <f>+$E1032*G$17</f>
        <v>0</v>
      </c>
    </row>
    <row r="1047" spans="3:7" ht="15.75" hidden="1" thickBot="1" x14ac:dyDescent="0.3">
      <c r="C1047" s="9">
        <f t="shared" si="245"/>
        <v>0</v>
      </c>
      <c r="D1047" s="364" t="s">
        <v>86</v>
      </c>
      <c r="E1047" s="12" t="s">
        <v>79</v>
      </c>
      <c r="F1047" s="683">
        <f>+$E$1032*F18</f>
        <v>0</v>
      </c>
      <c r="G1047" s="683">
        <f>+$E$1032*G18</f>
        <v>0</v>
      </c>
    </row>
    <row r="1048" spans="3:7" ht="15.75" hidden="1" thickBot="1" x14ac:dyDescent="0.3">
      <c r="C1048" s="9">
        <f t="shared" si="245"/>
        <v>0</v>
      </c>
      <c r="D1048" s="364" t="s">
        <v>386</v>
      </c>
      <c r="E1048" s="12" t="s">
        <v>81</v>
      </c>
      <c r="F1048" s="683">
        <f>+$E$1032*F19</f>
        <v>0</v>
      </c>
      <c r="G1048" s="683">
        <f>+$E$1032*G19</f>
        <v>0</v>
      </c>
    </row>
    <row r="1049" spans="3:7" ht="15.75" hidden="1" thickBot="1" x14ac:dyDescent="0.3">
      <c r="C1049" s="9">
        <f t="shared" si="245"/>
        <v>0</v>
      </c>
      <c r="D1049" s="35" t="s">
        <v>22</v>
      </c>
      <c r="E1049" s="12" t="s">
        <v>83</v>
      </c>
      <c r="F1049" s="685">
        <f>SUBTOTAL(9,F1035:F1048)</f>
        <v>0</v>
      </c>
      <c r="G1049" s="685">
        <f>SUBTOTAL(9,G1035:G1048)</f>
        <v>0</v>
      </c>
    </row>
    <row r="1050" spans="3:7" ht="15.75" hidden="1" thickBot="1" x14ac:dyDescent="0.3">
      <c r="D1050" s="326"/>
      <c r="E1050" s="327"/>
      <c r="F1050" s="686"/>
      <c r="G1050" s="686"/>
    </row>
    <row r="1051" spans="3:7" ht="15.75" hidden="1" thickBot="1" x14ac:dyDescent="0.3">
      <c r="E1051" s="10" t="s">
        <v>68</v>
      </c>
      <c r="F1051" s="648">
        <f ca="1">SUBTOTAL(9,F23:F420)</f>
        <v>1671167.2568810536</v>
      </c>
      <c r="G1051" s="648">
        <f>SUBTOTAL(9,G23:G420)</f>
        <v>0</v>
      </c>
    </row>
    <row r="1052" spans="3:7" ht="30.75" hidden="1" thickBot="1" x14ac:dyDescent="0.3">
      <c r="C1052" s="9">
        <f>IF(F1069&gt;0,1,0)</f>
        <v>0</v>
      </c>
      <c r="D1052" s="20" t="str">
        <f>+A57</f>
        <v>Tioga</v>
      </c>
      <c r="E1052" s="19">
        <f>IFERROR(SUMIF(A:A,D1052,B:B),0)</f>
        <v>0</v>
      </c>
      <c r="F1052" s="652" t="s">
        <v>31</v>
      </c>
      <c r="G1052" s="652" t="s">
        <v>32</v>
      </c>
    </row>
    <row r="1053" spans="3:7" ht="15.75" hidden="1" thickBot="1" x14ac:dyDescent="0.3">
      <c r="C1053" s="9">
        <f>C1052</f>
        <v>0</v>
      </c>
      <c r="D1053" s="30"/>
      <c r="E1053" s="31"/>
      <c r="F1053" s="680" t="s">
        <v>54</v>
      </c>
      <c r="G1053" s="680" t="s">
        <v>53</v>
      </c>
    </row>
    <row r="1054" spans="3:7" ht="15.75" hidden="1" thickBot="1" x14ac:dyDescent="0.3">
      <c r="C1054" s="9">
        <f t="shared" ref="C1054:C1069" si="251">C1053</f>
        <v>0</v>
      </c>
      <c r="D1054" s="32" t="s">
        <v>71</v>
      </c>
      <c r="E1054" s="33"/>
      <c r="F1054" s="681"/>
      <c r="G1054" s="682"/>
    </row>
    <row r="1055" spans="3:7" ht="15.75" hidden="1" thickBot="1" x14ac:dyDescent="0.3">
      <c r="C1055" s="9">
        <f t="shared" si="251"/>
        <v>0</v>
      </c>
      <c r="D1055" s="364" t="s">
        <v>72</v>
      </c>
      <c r="E1055" s="12" t="s">
        <v>57</v>
      </c>
      <c r="F1055" s="683">
        <f t="shared" ref="F1055:G1055" si="252">+$E1052*F$6</f>
        <v>0</v>
      </c>
      <c r="G1055" s="683">
        <f t="shared" si="252"/>
        <v>0</v>
      </c>
    </row>
    <row r="1056" spans="3:7" ht="15.75" hidden="1" thickBot="1" x14ac:dyDescent="0.3">
      <c r="C1056" s="9">
        <f t="shared" si="251"/>
        <v>0</v>
      </c>
      <c r="D1056" s="364" t="s">
        <v>73</v>
      </c>
      <c r="E1056" s="12" t="s">
        <v>56</v>
      </c>
      <c r="F1056" s="683">
        <f t="shared" ref="F1056:G1056" si="253">+$E1052*F$7</f>
        <v>0</v>
      </c>
      <c r="G1056" s="683">
        <f t="shared" si="253"/>
        <v>0</v>
      </c>
    </row>
    <row r="1057" spans="3:7" ht="15.75" hidden="1" thickBot="1" x14ac:dyDescent="0.3">
      <c r="C1057" s="9">
        <f t="shared" si="251"/>
        <v>0</v>
      </c>
      <c r="D1057" s="364" t="s">
        <v>74</v>
      </c>
      <c r="E1057" s="12" t="s">
        <v>55</v>
      </c>
      <c r="F1057" s="683">
        <f t="shared" ref="F1057:G1057" si="254">+$E1052*F$8</f>
        <v>0</v>
      </c>
      <c r="G1057" s="683">
        <f t="shared" si="254"/>
        <v>0</v>
      </c>
    </row>
    <row r="1058" spans="3:7" ht="15.75" hidden="1" thickBot="1" x14ac:dyDescent="0.3">
      <c r="C1058" s="9">
        <f t="shared" si="251"/>
        <v>0</v>
      </c>
      <c r="D1058" s="364" t="s">
        <v>75</v>
      </c>
      <c r="E1058" s="12" t="s">
        <v>54</v>
      </c>
      <c r="F1058" s="683">
        <f t="shared" ref="F1058:G1058" si="255">+$E1052*F$9</f>
        <v>0</v>
      </c>
      <c r="G1058" s="683">
        <f t="shared" si="255"/>
        <v>0</v>
      </c>
    </row>
    <row r="1059" spans="3:7" ht="15.75" hidden="1" thickBot="1" x14ac:dyDescent="0.3">
      <c r="C1059" s="9">
        <f t="shared" si="251"/>
        <v>0</v>
      </c>
      <c r="D1059" s="34" t="s">
        <v>467</v>
      </c>
      <c r="E1059" s="12" t="s">
        <v>53</v>
      </c>
      <c r="F1059" s="683">
        <f t="shared" ref="F1059:G1059" si="256">+$E1052*F$10</f>
        <v>0</v>
      </c>
      <c r="G1059" s="683">
        <f t="shared" si="256"/>
        <v>0</v>
      </c>
    </row>
    <row r="1060" spans="3:7" ht="15.75" hidden="1" thickBot="1" x14ac:dyDescent="0.3">
      <c r="C1060" s="9">
        <f t="shared" si="251"/>
        <v>0</v>
      </c>
      <c r="D1060" s="34" t="s">
        <v>76</v>
      </c>
      <c r="E1060" s="12" t="s">
        <v>52</v>
      </c>
      <c r="F1060" s="683">
        <f>+$E1052*F$11</f>
        <v>0</v>
      </c>
      <c r="G1060" s="683">
        <f>+$E1052*G$11</f>
        <v>0</v>
      </c>
    </row>
    <row r="1061" spans="3:7" ht="15.75" hidden="1" thickBot="1" x14ac:dyDescent="0.3">
      <c r="C1061" s="9">
        <f t="shared" si="251"/>
        <v>0</v>
      </c>
      <c r="D1061" s="34" t="s">
        <v>468</v>
      </c>
      <c r="E1061" s="12" t="s">
        <v>51</v>
      </c>
      <c r="F1061" s="683">
        <f>+$E1052*F$12</f>
        <v>0</v>
      </c>
      <c r="G1061" s="683">
        <f>+$E1052*G$12</f>
        <v>0</v>
      </c>
    </row>
    <row r="1062" spans="3:7" ht="15.75" hidden="1" thickBot="1" x14ac:dyDescent="0.3">
      <c r="C1062" s="9">
        <f t="shared" si="251"/>
        <v>0</v>
      </c>
      <c r="D1062" s="364" t="s">
        <v>59</v>
      </c>
      <c r="E1062" s="12" t="s">
        <v>50</v>
      </c>
      <c r="F1062" s="683">
        <f>+$E1052*F$13</f>
        <v>0</v>
      </c>
      <c r="G1062" s="683">
        <f>+$E1052*G$13</f>
        <v>0</v>
      </c>
    </row>
    <row r="1063" spans="3:7" ht="15.75" hidden="1" thickBot="1" x14ac:dyDescent="0.3">
      <c r="C1063" s="9">
        <f t="shared" si="251"/>
        <v>0</v>
      </c>
      <c r="D1063" s="364" t="s">
        <v>25</v>
      </c>
      <c r="E1063" s="12" t="s">
        <v>49</v>
      </c>
      <c r="F1063" s="683">
        <f>+$E1052*F$14</f>
        <v>0</v>
      </c>
      <c r="G1063" s="683">
        <f>+$E1052*G$14</f>
        <v>0</v>
      </c>
    </row>
    <row r="1064" spans="3:7" ht="15.75" hidden="1" thickBot="1" x14ac:dyDescent="0.3">
      <c r="C1064" s="9">
        <f t="shared" si="251"/>
        <v>0</v>
      </c>
      <c r="D1064" s="364" t="s">
        <v>466</v>
      </c>
      <c r="E1064" s="12" t="s">
        <v>47</v>
      </c>
      <c r="F1064" s="683">
        <f>+$E1052*F$15</f>
        <v>0</v>
      </c>
      <c r="G1064" s="683">
        <f>+$E1052*G$15</f>
        <v>0</v>
      </c>
    </row>
    <row r="1065" spans="3:7" ht="15.75" hidden="1" thickBot="1" x14ac:dyDescent="0.3">
      <c r="C1065" s="9">
        <f t="shared" si="251"/>
        <v>0</v>
      </c>
      <c r="D1065" s="364" t="s">
        <v>82</v>
      </c>
      <c r="E1065" s="12" t="s">
        <v>77</v>
      </c>
      <c r="F1065" s="683">
        <f>+$E1052*F$16</f>
        <v>0</v>
      </c>
      <c r="G1065" s="683">
        <f>+$E1052*G$16</f>
        <v>0</v>
      </c>
    </row>
    <row r="1066" spans="3:7" ht="15.75" hidden="1" thickBot="1" x14ac:dyDescent="0.3">
      <c r="C1066" s="9">
        <f t="shared" si="251"/>
        <v>0</v>
      </c>
      <c r="D1066" s="364" t="s">
        <v>84</v>
      </c>
      <c r="E1066" s="12" t="s">
        <v>78</v>
      </c>
      <c r="F1066" s="683">
        <f ca="1">+$E1052*F$17</f>
        <v>0</v>
      </c>
      <c r="G1066" s="683">
        <f>+$E1052*G$17</f>
        <v>0</v>
      </c>
    </row>
    <row r="1067" spans="3:7" ht="15.75" hidden="1" thickBot="1" x14ac:dyDescent="0.3">
      <c r="C1067" s="9">
        <f t="shared" si="251"/>
        <v>0</v>
      </c>
      <c r="D1067" s="364" t="s">
        <v>86</v>
      </c>
      <c r="E1067" s="12" t="s">
        <v>79</v>
      </c>
      <c r="F1067" s="683">
        <f>+$E$1052*F18</f>
        <v>0</v>
      </c>
      <c r="G1067" s="683">
        <f>+$E$1052*G18</f>
        <v>0</v>
      </c>
    </row>
    <row r="1068" spans="3:7" ht="15.75" hidden="1" thickBot="1" x14ac:dyDescent="0.3">
      <c r="C1068" s="9">
        <f t="shared" si="251"/>
        <v>0</v>
      </c>
      <c r="D1068" s="364" t="s">
        <v>386</v>
      </c>
      <c r="E1068" s="12" t="s">
        <v>81</v>
      </c>
      <c r="F1068" s="683">
        <f>+$E$1052*F19</f>
        <v>0</v>
      </c>
      <c r="G1068" s="683">
        <f>+$E$1052*G19</f>
        <v>0</v>
      </c>
    </row>
    <row r="1069" spans="3:7" ht="15.75" hidden="1" thickBot="1" x14ac:dyDescent="0.3">
      <c r="C1069" s="9">
        <f t="shared" si="251"/>
        <v>0</v>
      </c>
      <c r="D1069" s="35" t="s">
        <v>22</v>
      </c>
      <c r="E1069" s="12" t="s">
        <v>83</v>
      </c>
      <c r="F1069" s="685">
        <f>SUBTOTAL(9,F1055:F1068)</f>
        <v>0</v>
      </c>
      <c r="G1069" s="685">
        <f>SUBTOTAL(9,G1055:G1068)</f>
        <v>0</v>
      </c>
    </row>
    <row r="1070" spans="3:7" ht="15.75" hidden="1" thickBot="1" x14ac:dyDescent="0.3">
      <c r="D1070" s="326"/>
      <c r="E1070" s="327"/>
      <c r="F1070" s="686"/>
      <c r="G1070" s="686"/>
    </row>
    <row r="1071" spans="3:7" ht="15.75" hidden="1" thickBot="1" x14ac:dyDescent="0.3">
      <c r="D1071" s="326"/>
      <c r="E1071" s="327"/>
      <c r="F1071" s="686"/>
      <c r="G1071" s="686"/>
    </row>
    <row r="1072" spans="3:7" ht="30.75" hidden="1" thickBot="1" x14ac:dyDescent="0.3">
      <c r="C1072" s="9">
        <f>IF(F1089&gt;0,1,0)</f>
        <v>0</v>
      </c>
      <c r="D1072" s="20" t="str">
        <f>+A58</f>
        <v>Tompkins</v>
      </c>
      <c r="E1072" s="19">
        <f>IFERROR(SUMIF(A:A,D1072,B:B),0)</f>
        <v>0</v>
      </c>
      <c r="F1072" s="652" t="s">
        <v>31</v>
      </c>
      <c r="G1072" s="652" t="s">
        <v>32</v>
      </c>
    </row>
    <row r="1073" spans="3:7" ht="15.75" hidden="1" thickBot="1" x14ac:dyDescent="0.3">
      <c r="C1073" s="9">
        <f>C1072</f>
        <v>0</v>
      </c>
      <c r="D1073" s="30"/>
      <c r="E1073" s="31"/>
      <c r="F1073" s="680" t="s">
        <v>54</v>
      </c>
      <c r="G1073" s="680" t="s">
        <v>53</v>
      </c>
    </row>
    <row r="1074" spans="3:7" ht="15.75" hidden="1" thickBot="1" x14ac:dyDescent="0.3">
      <c r="C1074" s="9">
        <f t="shared" ref="C1074:C1089" si="257">C1073</f>
        <v>0</v>
      </c>
      <c r="D1074" s="32" t="s">
        <v>71</v>
      </c>
      <c r="E1074" s="33"/>
      <c r="F1074" s="681"/>
      <c r="G1074" s="682"/>
    </row>
    <row r="1075" spans="3:7" ht="15.75" hidden="1" thickBot="1" x14ac:dyDescent="0.3">
      <c r="C1075" s="9">
        <f t="shared" si="257"/>
        <v>0</v>
      </c>
      <c r="D1075" s="364" t="s">
        <v>72</v>
      </c>
      <c r="E1075" s="12" t="s">
        <v>57</v>
      </c>
      <c r="F1075" s="683">
        <f t="shared" ref="F1075:G1075" si="258">+$E1072*F$6</f>
        <v>0</v>
      </c>
      <c r="G1075" s="683">
        <f t="shared" si="258"/>
        <v>0</v>
      </c>
    </row>
    <row r="1076" spans="3:7" ht="15.75" hidden="1" thickBot="1" x14ac:dyDescent="0.3">
      <c r="C1076" s="9">
        <f t="shared" si="257"/>
        <v>0</v>
      </c>
      <c r="D1076" s="364" t="s">
        <v>73</v>
      </c>
      <c r="E1076" s="12" t="s">
        <v>56</v>
      </c>
      <c r="F1076" s="683">
        <f t="shared" ref="F1076:G1076" si="259">+$E1072*F$7</f>
        <v>0</v>
      </c>
      <c r="G1076" s="683">
        <f t="shared" si="259"/>
        <v>0</v>
      </c>
    </row>
    <row r="1077" spans="3:7" ht="15.75" hidden="1" thickBot="1" x14ac:dyDescent="0.3">
      <c r="C1077" s="9">
        <f t="shared" si="257"/>
        <v>0</v>
      </c>
      <c r="D1077" s="364" t="s">
        <v>74</v>
      </c>
      <c r="E1077" s="12" t="s">
        <v>55</v>
      </c>
      <c r="F1077" s="683">
        <f t="shared" ref="F1077:G1077" si="260">+$E1072*F$8</f>
        <v>0</v>
      </c>
      <c r="G1077" s="683">
        <f t="shared" si="260"/>
        <v>0</v>
      </c>
    </row>
    <row r="1078" spans="3:7" ht="15.75" hidden="1" thickBot="1" x14ac:dyDescent="0.3">
      <c r="C1078" s="9">
        <f t="shared" si="257"/>
        <v>0</v>
      </c>
      <c r="D1078" s="364" t="s">
        <v>75</v>
      </c>
      <c r="E1078" s="12" t="s">
        <v>54</v>
      </c>
      <c r="F1078" s="683">
        <f t="shared" ref="F1078:G1078" si="261">+$E1072*F$9</f>
        <v>0</v>
      </c>
      <c r="G1078" s="683">
        <f t="shared" si="261"/>
        <v>0</v>
      </c>
    </row>
    <row r="1079" spans="3:7" ht="15.75" hidden="1" thickBot="1" x14ac:dyDescent="0.3">
      <c r="C1079" s="9">
        <f t="shared" si="257"/>
        <v>0</v>
      </c>
      <c r="D1079" s="34" t="s">
        <v>467</v>
      </c>
      <c r="E1079" s="12" t="s">
        <v>53</v>
      </c>
      <c r="F1079" s="683">
        <f t="shared" ref="F1079:G1079" si="262">+$E1072*F$10</f>
        <v>0</v>
      </c>
      <c r="G1079" s="683">
        <f t="shared" si="262"/>
        <v>0</v>
      </c>
    </row>
    <row r="1080" spans="3:7" ht="15.75" hidden="1" thickBot="1" x14ac:dyDescent="0.3">
      <c r="C1080" s="9">
        <f t="shared" si="257"/>
        <v>0</v>
      </c>
      <c r="D1080" s="34" t="s">
        <v>76</v>
      </c>
      <c r="E1080" s="12" t="s">
        <v>52</v>
      </c>
      <c r="F1080" s="683">
        <f>+$E1072*F$11</f>
        <v>0</v>
      </c>
      <c r="G1080" s="683">
        <f>+$E1072*G$11</f>
        <v>0</v>
      </c>
    </row>
    <row r="1081" spans="3:7" ht="15.75" hidden="1" thickBot="1" x14ac:dyDescent="0.3">
      <c r="C1081" s="9">
        <f t="shared" si="257"/>
        <v>0</v>
      </c>
      <c r="D1081" s="34" t="s">
        <v>468</v>
      </c>
      <c r="E1081" s="12" t="s">
        <v>51</v>
      </c>
      <c r="F1081" s="683">
        <f>+$E1072*F$12</f>
        <v>0</v>
      </c>
      <c r="G1081" s="683">
        <f>+$E1072*G$12</f>
        <v>0</v>
      </c>
    </row>
    <row r="1082" spans="3:7" ht="15.75" hidden="1" thickBot="1" x14ac:dyDescent="0.3">
      <c r="C1082" s="9">
        <f t="shared" si="257"/>
        <v>0</v>
      </c>
      <c r="D1082" s="364" t="s">
        <v>59</v>
      </c>
      <c r="E1082" s="12" t="s">
        <v>50</v>
      </c>
      <c r="F1082" s="683">
        <f>+$E1072*F$13</f>
        <v>0</v>
      </c>
      <c r="G1082" s="683">
        <f>+$E1072*G$13</f>
        <v>0</v>
      </c>
    </row>
    <row r="1083" spans="3:7" ht="15.75" hidden="1" thickBot="1" x14ac:dyDescent="0.3">
      <c r="C1083" s="9">
        <f t="shared" si="257"/>
        <v>0</v>
      </c>
      <c r="D1083" s="364" t="s">
        <v>25</v>
      </c>
      <c r="E1083" s="12" t="s">
        <v>49</v>
      </c>
      <c r="F1083" s="683">
        <f>+$E1072*F$14</f>
        <v>0</v>
      </c>
      <c r="G1083" s="683">
        <f>+$E1072*G$14</f>
        <v>0</v>
      </c>
    </row>
    <row r="1084" spans="3:7" ht="15.75" hidden="1" thickBot="1" x14ac:dyDescent="0.3">
      <c r="C1084" s="9">
        <f t="shared" si="257"/>
        <v>0</v>
      </c>
      <c r="D1084" s="364" t="s">
        <v>466</v>
      </c>
      <c r="E1084" s="12" t="s">
        <v>47</v>
      </c>
      <c r="F1084" s="683">
        <f>+$E1072*F$15</f>
        <v>0</v>
      </c>
      <c r="G1084" s="683">
        <f>+$E1072*G$15</f>
        <v>0</v>
      </c>
    </row>
    <row r="1085" spans="3:7" ht="15.75" hidden="1" thickBot="1" x14ac:dyDescent="0.3">
      <c r="C1085" s="9">
        <f t="shared" si="257"/>
        <v>0</v>
      </c>
      <c r="D1085" s="364" t="s">
        <v>82</v>
      </c>
      <c r="E1085" s="12" t="s">
        <v>77</v>
      </c>
      <c r="F1085" s="683">
        <f>+$E1072*F$16</f>
        <v>0</v>
      </c>
      <c r="G1085" s="683">
        <f>+$E1072*G$16</f>
        <v>0</v>
      </c>
    </row>
    <row r="1086" spans="3:7" ht="15.75" hidden="1" thickBot="1" x14ac:dyDescent="0.3">
      <c r="C1086" s="9">
        <f t="shared" si="257"/>
        <v>0</v>
      </c>
      <c r="D1086" s="364" t="s">
        <v>84</v>
      </c>
      <c r="E1086" s="12" t="s">
        <v>78</v>
      </c>
      <c r="F1086" s="683">
        <f ca="1">+$E1072*F$17</f>
        <v>0</v>
      </c>
      <c r="G1086" s="683">
        <f>+$E1072*G$17</f>
        <v>0</v>
      </c>
    </row>
    <row r="1087" spans="3:7" ht="15.75" hidden="1" thickBot="1" x14ac:dyDescent="0.3">
      <c r="C1087" s="9">
        <f t="shared" si="257"/>
        <v>0</v>
      </c>
      <c r="D1087" s="364" t="s">
        <v>86</v>
      </c>
      <c r="E1087" s="12" t="s">
        <v>79</v>
      </c>
      <c r="F1087" s="683">
        <f>+$E$1072*F18</f>
        <v>0</v>
      </c>
      <c r="G1087" s="683">
        <f>+$E$1072*G18</f>
        <v>0</v>
      </c>
    </row>
    <row r="1088" spans="3:7" ht="15.75" hidden="1" thickBot="1" x14ac:dyDescent="0.3">
      <c r="C1088" s="9">
        <f t="shared" si="257"/>
        <v>0</v>
      </c>
      <c r="D1088" s="364" t="s">
        <v>386</v>
      </c>
      <c r="E1088" s="12" t="s">
        <v>81</v>
      </c>
      <c r="F1088" s="683"/>
      <c r="G1088" s="683"/>
    </row>
    <row r="1089" spans="3:7" ht="15.75" hidden="1" thickBot="1" x14ac:dyDescent="0.3">
      <c r="C1089" s="9">
        <f t="shared" si="257"/>
        <v>0</v>
      </c>
      <c r="D1089" s="35" t="s">
        <v>22</v>
      </c>
      <c r="E1089" s="12" t="s">
        <v>83</v>
      </c>
      <c r="F1089" s="685">
        <f>SUBTOTAL(9,F1075:F1088)</f>
        <v>0</v>
      </c>
      <c r="G1089" s="685">
        <f>SUBTOTAL(9,G1075:G1088)</f>
        <v>0</v>
      </c>
    </row>
    <row r="1090" spans="3:7" ht="15.75" hidden="1" thickBot="1" x14ac:dyDescent="0.3">
      <c r="D1090" s="326"/>
      <c r="E1090" s="327"/>
      <c r="F1090" s="686"/>
      <c r="G1090" s="686"/>
    </row>
    <row r="1091" spans="3:7" ht="30.75" hidden="1" thickBot="1" x14ac:dyDescent="0.3">
      <c r="C1091" s="9">
        <f>IF(F1108&gt;0,1,0)</f>
        <v>0</v>
      </c>
      <c r="D1091" s="20" t="str">
        <f>+A59</f>
        <v>Ulster</v>
      </c>
      <c r="E1091" s="19">
        <f>IFERROR(SUMIF(A:A,D1091,B:B),0)</f>
        <v>0</v>
      </c>
      <c r="F1091" s="652" t="s">
        <v>31</v>
      </c>
      <c r="G1091" s="652" t="s">
        <v>32</v>
      </c>
    </row>
    <row r="1092" spans="3:7" ht="15.75" hidden="1" thickBot="1" x14ac:dyDescent="0.3">
      <c r="C1092" s="9">
        <f>C1091</f>
        <v>0</v>
      </c>
      <c r="D1092" s="30"/>
      <c r="E1092" s="31"/>
      <c r="F1092" s="680" t="s">
        <v>54</v>
      </c>
      <c r="G1092" s="680" t="s">
        <v>53</v>
      </c>
    </row>
    <row r="1093" spans="3:7" ht="15.75" hidden="1" thickBot="1" x14ac:dyDescent="0.3">
      <c r="C1093" s="9">
        <f t="shared" ref="C1093:C1108" si="263">C1092</f>
        <v>0</v>
      </c>
      <c r="D1093" s="32" t="s">
        <v>71</v>
      </c>
      <c r="E1093" s="33"/>
      <c r="F1093" s="681"/>
      <c r="G1093" s="682"/>
    </row>
    <row r="1094" spans="3:7" ht="15.75" hidden="1" thickBot="1" x14ac:dyDescent="0.3">
      <c r="C1094" s="9">
        <f t="shared" si="263"/>
        <v>0</v>
      </c>
      <c r="D1094" s="364" t="s">
        <v>72</v>
      </c>
      <c r="E1094" s="12" t="s">
        <v>57</v>
      </c>
      <c r="F1094" s="683">
        <f t="shared" ref="F1094:G1094" si="264">+$E1091*F$6</f>
        <v>0</v>
      </c>
      <c r="G1094" s="683">
        <f t="shared" si="264"/>
        <v>0</v>
      </c>
    </row>
    <row r="1095" spans="3:7" ht="15.75" hidden="1" thickBot="1" x14ac:dyDescent="0.3">
      <c r="C1095" s="9">
        <f t="shared" si="263"/>
        <v>0</v>
      </c>
      <c r="D1095" s="364" t="s">
        <v>73</v>
      </c>
      <c r="E1095" s="12" t="s">
        <v>56</v>
      </c>
      <c r="F1095" s="683">
        <f t="shared" ref="F1095:G1095" si="265">+$E1091*F$7</f>
        <v>0</v>
      </c>
      <c r="G1095" s="683">
        <f t="shared" si="265"/>
        <v>0</v>
      </c>
    </row>
    <row r="1096" spans="3:7" ht="15.75" hidden="1" thickBot="1" x14ac:dyDescent="0.3">
      <c r="C1096" s="9">
        <f t="shared" si="263"/>
        <v>0</v>
      </c>
      <c r="D1096" s="364" t="s">
        <v>74</v>
      </c>
      <c r="E1096" s="12" t="s">
        <v>55</v>
      </c>
      <c r="F1096" s="683">
        <f t="shared" ref="F1096:G1096" si="266">+$E1091*F$8</f>
        <v>0</v>
      </c>
      <c r="G1096" s="683">
        <f t="shared" si="266"/>
        <v>0</v>
      </c>
    </row>
    <row r="1097" spans="3:7" ht="15.75" hidden="1" thickBot="1" x14ac:dyDescent="0.3">
      <c r="C1097" s="9">
        <f t="shared" si="263"/>
        <v>0</v>
      </c>
      <c r="D1097" s="364" t="s">
        <v>75</v>
      </c>
      <c r="E1097" s="12" t="s">
        <v>54</v>
      </c>
      <c r="F1097" s="683">
        <f t="shared" ref="F1097:G1097" si="267">+$E1091*F$9</f>
        <v>0</v>
      </c>
      <c r="G1097" s="683">
        <f t="shared" si="267"/>
        <v>0</v>
      </c>
    </row>
    <row r="1098" spans="3:7" ht="15.75" hidden="1" thickBot="1" x14ac:dyDescent="0.3">
      <c r="C1098" s="9">
        <f t="shared" si="263"/>
        <v>0</v>
      </c>
      <c r="D1098" s="34" t="s">
        <v>467</v>
      </c>
      <c r="E1098" s="12" t="s">
        <v>53</v>
      </c>
      <c r="F1098" s="683">
        <f t="shared" ref="F1098:G1098" si="268">+$E1091*F$10</f>
        <v>0</v>
      </c>
      <c r="G1098" s="683">
        <f t="shared" si="268"/>
        <v>0</v>
      </c>
    </row>
    <row r="1099" spans="3:7" ht="15.75" hidden="1" thickBot="1" x14ac:dyDescent="0.3">
      <c r="C1099" s="9">
        <f t="shared" si="263"/>
        <v>0</v>
      </c>
      <c r="D1099" s="34" t="s">
        <v>76</v>
      </c>
      <c r="E1099" s="12" t="s">
        <v>52</v>
      </c>
      <c r="F1099" s="683">
        <f>+$E1091*F$11</f>
        <v>0</v>
      </c>
      <c r="G1099" s="683">
        <f>+$E1091*G$11</f>
        <v>0</v>
      </c>
    </row>
    <row r="1100" spans="3:7" ht="15.75" hidden="1" thickBot="1" x14ac:dyDescent="0.3">
      <c r="C1100" s="9">
        <f t="shared" si="263"/>
        <v>0</v>
      </c>
      <c r="D1100" s="34" t="s">
        <v>468</v>
      </c>
      <c r="E1100" s="12" t="s">
        <v>51</v>
      </c>
      <c r="F1100" s="683">
        <f>+$E1091*F$12</f>
        <v>0</v>
      </c>
      <c r="G1100" s="683">
        <f>+$E1091*G$12</f>
        <v>0</v>
      </c>
    </row>
    <row r="1101" spans="3:7" ht="15.75" hidden="1" thickBot="1" x14ac:dyDescent="0.3">
      <c r="C1101" s="9">
        <f t="shared" si="263"/>
        <v>0</v>
      </c>
      <c r="D1101" s="364" t="s">
        <v>59</v>
      </c>
      <c r="E1101" s="12" t="s">
        <v>50</v>
      </c>
      <c r="F1101" s="683">
        <f>+$E1091*F$13</f>
        <v>0</v>
      </c>
      <c r="G1101" s="683">
        <f>+$E1091*G$13</f>
        <v>0</v>
      </c>
    </row>
    <row r="1102" spans="3:7" ht="15.75" hidden="1" thickBot="1" x14ac:dyDescent="0.3">
      <c r="C1102" s="9">
        <f t="shared" si="263"/>
        <v>0</v>
      </c>
      <c r="D1102" s="364" t="s">
        <v>25</v>
      </c>
      <c r="E1102" s="12" t="s">
        <v>49</v>
      </c>
      <c r="F1102" s="683">
        <f>+$E1091*F$14</f>
        <v>0</v>
      </c>
      <c r="G1102" s="683">
        <f>+$E1091*G$14</f>
        <v>0</v>
      </c>
    </row>
    <row r="1103" spans="3:7" ht="15.75" hidden="1" thickBot="1" x14ac:dyDescent="0.3">
      <c r="C1103" s="9">
        <f t="shared" si="263"/>
        <v>0</v>
      </c>
      <c r="D1103" s="364" t="s">
        <v>466</v>
      </c>
      <c r="E1103" s="12" t="s">
        <v>47</v>
      </c>
      <c r="F1103" s="683">
        <f>+$E1091*F$15</f>
        <v>0</v>
      </c>
      <c r="G1103" s="683">
        <f>+$E1091*G$15</f>
        <v>0</v>
      </c>
    </row>
    <row r="1104" spans="3:7" ht="15.75" hidden="1" thickBot="1" x14ac:dyDescent="0.3">
      <c r="C1104" s="9">
        <f t="shared" si="263"/>
        <v>0</v>
      </c>
      <c r="D1104" s="364" t="s">
        <v>82</v>
      </c>
      <c r="E1104" s="12" t="s">
        <v>77</v>
      </c>
      <c r="F1104" s="683">
        <f>+$E1091*F$16</f>
        <v>0</v>
      </c>
      <c r="G1104" s="683">
        <f>+$E1091*G$16</f>
        <v>0</v>
      </c>
    </row>
    <row r="1105" spans="3:7" ht="15.75" hidden="1" thickBot="1" x14ac:dyDescent="0.3">
      <c r="C1105" s="9">
        <f t="shared" si="263"/>
        <v>0</v>
      </c>
      <c r="D1105" s="364" t="s">
        <v>84</v>
      </c>
      <c r="E1105" s="12" t="s">
        <v>78</v>
      </c>
      <c r="F1105" s="683">
        <f ca="1">+$E1091*F$17</f>
        <v>0</v>
      </c>
      <c r="G1105" s="683">
        <f>+$E1091*G$17</f>
        <v>0</v>
      </c>
    </row>
    <row r="1106" spans="3:7" ht="15.75" hidden="1" thickBot="1" x14ac:dyDescent="0.3">
      <c r="C1106" s="9">
        <f t="shared" si="263"/>
        <v>0</v>
      </c>
      <c r="D1106" s="364" t="s">
        <v>86</v>
      </c>
      <c r="E1106" s="12" t="s">
        <v>79</v>
      </c>
      <c r="F1106" s="683">
        <f>+$E$1091*F18</f>
        <v>0</v>
      </c>
      <c r="G1106" s="683">
        <f>+$E$1091*G18</f>
        <v>0</v>
      </c>
    </row>
    <row r="1107" spans="3:7" ht="15.75" hidden="1" thickBot="1" x14ac:dyDescent="0.3">
      <c r="C1107" s="9">
        <f t="shared" si="263"/>
        <v>0</v>
      </c>
      <c r="D1107" s="364" t="s">
        <v>386</v>
      </c>
      <c r="E1107" s="12" t="s">
        <v>81</v>
      </c>
      <c r="F1107" s="683">
        <f>+$E$1091*F19</f>
        <v>0</v>
      </c>
      <c r="G1107" s="683">
        <f>+$E$1091*G19</f>
        <v>0</v>
      </c>
    </row>
    <row r="1108" spans="3:7" ht="15.75" hidden="1" thickBot="1" x14ac:dyDescent="0.3">
      <c r="C1108" s="9">
        <f t="shared" si="263"/>
        <v>0</v>
      </c>
      <c r="D1108" s="35" t="s">
        <v>22</v>
      </c>
      <c r="E1108" s="12" t="s">
        <v>83</v>
      </c>
      <c r="F1108" s="685">
        <f>SUBTOTAL(9,F1094:F1107)</f>
        <v>0</v>
      </c>
      <c r="G1108" s="685">
        <f>SUBTOTAL(9,G1094:G1107)</f>
        <v>0</v>
      </c>
    </row>
    <row r="1109" spans="3:7" ht="15.75" hidden="1" thickBot="1" x14ac:dyDescent="0.3">
      <c r="D1109" s="326"/>
      <c r="E1109" s="327"/>
      <c r="F1109" s="686"/>
      <c r="G1109" s="686"/>
    </row>
    <row r="1110" spans="3:7" ht="15.75" hidden="1" thickBot="1" x14ac:dyDescent="0.3">
      <c r="D1110" s="326"/>
      <c r="E1110" s="327"/>
      <c r="F1110" s="686"/>
      <c r="G1110" s="686"/>
    </row>
    <row r="1111" spans="3:7" ht="30.75" hidden="1" thickBot="1" x14ac:dyDescent="0.3">
      <c r="C1111" s="9">
        <f>IF(F1128&gt;0,1,0)</f>
        <v>0</v>
      </c>
      <c r="D1111" s="20" t="str">
        <f>+A60</f>
        <v>Warren</v>
      </c>
      <c r="E1111" s="19">
        <f>IFERROR(SUMIF(A:A,D1111,B:B),0)</f>
        <v>0</v>
      </c>
      <c r="F1111" s="652" t="s">
        <v>31</v>
      </c>
      <c r="G1111" s="652" t="s">
        <v>32</v>
      </c>
    </row>
    <row r="1112" spans="3:7" ht="15.75" hidden="1" thickBot="1" x14ac:dyDescent="0.3">
      <c r="C1112" s="9">
        <f>C1111</f>
        <v>0</v>
      </c>
      <c r="D1112" s="30"/>
      <c r="E1112" s="31"/>
      <c r="F1112" s="680" t="s">
        <v>54</v>
      </c>
      <c r="G1112" s="680" t="s">
        <v>53</v>
      </c>
    </row>
    <row r="1113" spans="3:7" ht="15.75" hidden="1" thickBot="1" x14ac:dyDescent="0.3">
      <c r="C1113" s="9">
        <f t="shared" ref="C1113:C1128" si="269">C1112</f>
        <v>0</v>
      </c>
      <c r="D1113" s="32" t="s">
        <v>71</v>
      </c>
      <c r="E1113" s="33"/>
      <c r="F1113" s="681"/>
      <c r="G1113" s="682"/>
    </row>
    <row r="1114" spans="3:7" ht="15.75" hidden="1" thickBot="1" x14ac:dyDescent="0.3">
      <c r="C1114" s="9">
        <f t="shared" si="269"/>
        <v>0</v>
      </c>
      <c r="D1114" s="364" t="s">
        <v>72</v>
      </c>
      <c r="E1114" s="12" t="s">
        <v>57</v>
      </c>
      <c r="F1114" s="683">
        <f t="shared" ref="F1114:G1114" si="270">+$E1111*F$6</f>
        <v>0</v>
      </c>
      <c r="G1114" s="683">
        <f t="shared" si="270"/>
        <v>0</v>
      </c>
    </row>
    <row r="1115" spans="3:7" ht="15.75" hidden="1" thickBot="1" x14ac:dyDescent="0.3">
      <c r="C1115" s="9">
        <f t="shared" si="269"/>
        <v>0</v>
      </c>
      <c r="D1115" s="364" t="s">
        <v>73</v>
      </c>
      <c r="E1115" s="12" t="s">
        <v>56</v>
      </c>
      <c r="F1115" s="683">
        <f t="shared" ref="F1115:G1115" si="271">+$E1111*F$7</f>
        <v>0</v>
      </c>
      <c r="G1115" s="683">
        <f t="shared" si="271"/>
        <v>0</v>
      </c>
    </row>
    <row r="1116" spans="3:7" ht="15.75" hidden="1" thickBot="1" x14ac:dyDescent="0.3">
      <c r="C1116" s="9">
        <f t="shared" si="269"/>
        <v>0</v>
      </c>
      <c r="D1116" s="364" t="s">
        <v>74</v>
      </c>
      <c r="E1116" s="12" t="s">
        <v>55</v>
      </c>
      <c r="F1116" s="683">
        <f t="shared" ref="F1116:G1116" si="272">+$E1111*F$8</f>
        <v>0</v>
      </c>
      <c r="G1116" s="683">
        <f t="shared" si="272"/>
        <v>0</v>
      </c>
    </row>
    <row r="1117" spans="3:7" ht="15.75" hidden="1" thickBot="1" x14ac:dyDescent="0.3">
      <c r="C1117" s="9">
        <f t="shared" si="269"/>
        <v>0</v>
      </c>
      <c r="D1117" s="364" t="s">
        <v>75</v>
      </c>
      <c r="E1117" s="12" t="s">
        <v>54</v>
      </c>
      <c r="F1117" s="683">
        <f t="shared" ref="F1117:G1117" si="273">+$E1111*F$9</f>
        <v>0</v>
      </c>
      <c r="G1117" s="683">
        <f t="shared" si="273"/>
        <v>0</v>
      </c>
    </row>
    <row r="1118" spans="3:7" ht="15.75" hidden="1" thickBot="1" x14ac:dyDescent="0.3">
      <c r="C1118" s="9">
        <f t="shared" si="269"/>
        <v>0</v>
      </c>
      <c r="D1118" s="34" t="s">
        <v>467</v>
      </c>
      <c r="E1118" s="12" t="s">
        <v>53</v>
      </c>
      <c r="F1118" s="683">
        <f t="shared" ref="F1118:G1118" si="274">+$E1111*F$10</f>
        <v>0</v>
      </c>
      <c r="G1118" s="683">
        <f t="shared" si="274"/>
        <v>0</v>
      </c>
    </row>
    <row r="1119" spans="3:7" ht="15.75" hidden="1" thickBot="1" x14ac:dyDescent="0.3">
      <c r="C1119" s="9">
        <f t="shared" si="269"/>
        <v>0</v>
      </c>
      <c r="D1119" s="34" t="s">
        <v>76</v>
      </c>
      <c r="E1119" s="12" t="s">
        <v>52</v>
      </c>
      <c r="F1119" s="683">
        <f>+$E1111*F$11</f>
        <v>0</v>
      </c>
      <c r="G1119" s="683">
        <f>+$E1111*G$11</f>
        <v>0</v>
      </c>
    </row>
    <row r="1120" spans="3:7" ht="15.75" hidden="1" thickBot="1" x14ac:dyDescent="0.3">
      <c r="C1120" s="9">
        <f t="shared" si="269"/>
        <v>0</v>
      </c>
      <c r="D1120" s="34" t="s">
        <v>468</v>
      </c>
      <c r="E1120" s="12" t="s">
        <v>51</v>
      </c>
      <c r="F1120" s="683">
        <f>+$E1111*F$12</f>
        <v>0</v>
      </c>
      <c r="G1120" s="683">
        <f>+$E1111*G$12</f>
        <v>0</v>
      </c>
    </row>
    <row r="1121" spans="3:7" ht="15.75" hidden="1" thickBot="1" x14ac:dyDescent="0.3">
      <c r="C1121" s="9">
        <f t="shared" si="269"/>
        <v>0</v>
      </c>
      <c r="D1121" s="364" t="s">
        <v>59</v>
      </c>
      <c r="E1121" s="12" t="s">
        <v>50</v>
      </c>
      <c r="F1121" s="683">
        <f>+$E1111*F$13</f>
        <v>0</v>
      </c>
      <c r="G1121" s="683">
        <f>+$E1111*G$13</f>
        <v>0</v>
      </c>
    </row>
    <row r="1122" spans="3:7" ht="15.75" hidden="1" thickBot="1" x14ac:dyDescent="0.3">
      <c r="C1122" s="9">
        <f t="shared" si="269"/>
        <v>0</v>
      </c>
      <c r="D1122" s="364" t="s">
        <v>25</v>
      </c>
      <c r="E1122" s="12" t="s">
        <v>49</v>
      </c>
      <c r="F1122" s="683">
        <f>+$E1111*F$14</f>
        <v>0</v>
      </c>
      <c r="G1122" s="683">
        <f>+$E1111*G$14</f>
        <v>0</v>
      </c>
    </row>
    <row r="1123" spans="3:7" ht="15.75" hidden="1" thickBot="1" x14ac:dyDescent="0.3">
      <c r="C1123" s="9">
        <f t="shared" si="269"/>
        <v>0</v>
      </c>
      <c r="D1123" s="364" t="s">
        <v>466</v>
      </c>
      <c r="E1123" s="12" t="s">
        <v>47</v>
      </c>
      <c r="F1123" s="683">
        <f>+$E1111*F$15</f>
        <v>0</v>
      </c>
      <c r="G1123" s="683">
        <f>+$E1111*G$15</f>
        <v>0</v>
      </c>
    </row>
    <row r="1124" spans="3:7" ht="15.75" hidden="1" thickBot="1" x14ac:dyDescent="0.3">
      <c r="C1124" s="9">
        <f t="shared" si="269"/>
        <v>0</v>
      </c>
      <c r="D1124" s="364" t="s">
        <v>82</v>
      </c>
      <c r="E1124" s="12" t="s">
        <v>77</v>
      </c>
      <c r="F1124" s="683">
        <f>+$E1111*F$16</f>
        <v>0</v>
      </c>
      <c r="G1124" s="683">
        <f>+$E1111*G$16</f>
        <v>0</v>
      </c>
    </row>
    <row r="1125" spans="3:7" ht="15.75" hidden="1" thickBot="1" x14ac:dyDescent="0.3">
      <c r="C1125" s="9">
        <f t="shared" si="269"/>
        <v>0</v>
      </c>
      <c r="D1125" s="364" t="s">
        <v>84</v>
      </c>
      <c r="E1125" s="12" t="s">
        <v>78</v>
      </c>
      <c r="F1125" s="683">
        <f ca="1">+$E1111*F$17</f>
        <v>0</v>
      </c>
      <c r="G1125" s="683">
        <f>+$E1111*G$17</f>
        <v>0</v>
      </c>
    </row>
    <row r="1126" spans="3:7" ht="14.1" hidden="1" customHeight="1" x14ac:dyDescent="0.25">
      <c r="C1126" s="9">
        <f t="shared" si="269"/>
        <v>0</v>
      </c>
      <c r="D1126" s="364" t="s">
        <v>86</v>
      </c>
      <c r="E1126" s="12" t="s">
        <v>79</v>
      </c>
      <c r="F1126" s="683">
        <f>+$E$1111*F18</f>
        <v>0</v>
      </c>
      <c r="G1126" s="683">
        <f>+$E$1111*G18</f>
        <v>0</v>
      </c>
    </row>
    <row r="1127" spans="3:7" ht="14.1" hidden="1" customHeight="1" x14ac:dyDescent="0.25">
      <c r="C1127" s="9">
        <f t="shared" si="269"/>
        <v>0</v>
      </c>
      <c r="D1127" s="364" t="s">
        <v>386</v>
      </c>
      <c r="E1127" s="12" t="s">
        <v>81</v>
      </c>
      <c r="F1127" s="683">
        <f>+$E$1111*F19</f>
        <v>0</v>
      </c>
      <c r="G1127" s="683">
        <f>+$E$1111*G19</f>
        <v>0</v>
      </c>
    </row>
    <row r="1128" spans="3:7" ht="15.75" hidden="1" thickBot="1" x14ac:dyDescent="0.3">
      <c r="C1128" s="9">
        <f t="shared" si="269"/>
        <v>0</v>
      </c>
      <c r="D1128" s="35" t="s">
        <v>22</v>
      </c>
      <c r="E1128" s="12" t="s">
        <v>83</v>
      </c>
      <c r="F1128" s="685">
        <f>SUBTOTAL(9,F1114:F1127)</f>
        <v>0</v>
      </c>
      <c r="G1128" s="685">
        <f>SUBTOTAL(9,G1114:G1127)</f>
        <v>0</v>
      </c>
    </row>
    <row r="1129" spans="3:7" ht="15.75" hidden="1" thickBot="1" x14ac:dyDescent="0.3">
      <c r="D1129" s="326"/>
      <c r="E1129" s="327"/>
      <c r="F1129" s="686"/>
      <c r="G1129" s="686"/>
    </row>
    <row r="1130" spans="3:7" ht="15.75" hidden="1" thickBot="1" x14ac:dyDescent="0.3">
      <c r="D1130" s="326"/>
      <c r="E1130" s="327"/>
      <c r="F1130" s="686"/>
      <c r="G1130" s="686"/>
    </row>
    <row r="1131" spans="3:7" ht="30.75" hidden="1" thickBot="1" x14ac:dyDescent="0.3">
      <c r="C1131" s="9">
        <f>IF(F1148&gt;0,1,0)</f>
        <v>0</v>
      </c>
      <c r="D1131" s="20" t="str">
        <f>+A61</f>
        <v>Washington</v>
      </c>
      <c r="E1131" s="19">
        <f>IFERROR(SUMIF(A:A,D1131,B:B),0)</f>
        <v>0</v>
      </c>
      <c r="F1131" s="652" t="s">
        <v>31</v>
      </c>
      <c r="G1131" s="652" t="s">
        <v>32</v>
      </c>
    </row>
    <row r="1132" spans="3:7" ht="15.75" hidden="1" thickBot="1" x14ac:dyDescent="0.3">
      <c r="C1132" s="9">
        <f>C1131</f>
        <v>0</v>
      </c>
      <c r="D1132" s="30"/>
      <c r="E1132" s="31"/>
      <c r="F1132" s="680" t="s">
        <v>54</v>
      </c>
      <c r="G1132" s="680" t="s">
        <v>53</v>
      </c>
    </row>
    <row r="1133" spans="3:7" ht="15.75" hidden="1" thickBot="1" x14ac:dyDescent="0.3">
      <c r="C1133" s="9">
        <f t="shared" ref="C1133:C1148" si="275">C1132</f>
        <v>0</v>
      </c>
      <c r="D1133" s="32" t="s">
        <v>71</v>
      </c>
      <c r="E1133" s="33"/>
      <c r="F1133" s="681"/>
      <c r="G1133" s="682"/>
    </row>
    <row r="1134" spans="3:7" ht="15.75" hidden="1" thickBot="1" x14ac:dyDescent="0.3">
      <c r="C1134" s="9">
        <f t="shared" si="275"/>
        <v>0</v>
      </c>
      <c r="D1134" s="364" t="s">
        <v>72</v>
      </c>
      <c r="E1134" s="12" t="s">
        <v>57</v>
      </c>
      <c r="F1134" s="683">
        <f t="shared" ref="F1134:G1134" si="276">+$E1131*F$6</f>
        <v>0</v>
      </c>
      <c r="G1134" s="683">
        <f t="shared" si="276"/>
        <v>0</v>
      </c>
    </row>
    <row r="1135" spans="3:7" ht="15.75" hidden="1" thickBot="1" x14ac:dyDescent="0.3">
      <c r="C1135" s="9">
        <f t="shared" si="275"/>
        <v>0</v>
      </c>
      <c r="D1135" s="364" t="s">
        <v>73</v>
      </c>
      <c r="E1135" s="12" t="s">
        <v>56</v>
      </c>
      <c r="F1135" s="683">
        <f t="shared" ref="F1135:G1135" si="277">+$E1131*F$7</f>
        <v>0</v>
      </c>
      <c r="G1135" s="683">
        <f t="shared" si="277"/>
        <v>0</v>
      </c>
    </row>
    <row r="1136" spans="3:7" ht="15.75" hidden="1" thickBot="1" x14ac:dyDescent="0.3">
      <c r="C1136" s="9">
        <f t="shared" si="275"/>
        <v>0</v>
      </c>
      <c r="D1136" s="364" t="s">
        <v>74</v>
      </c>
      <c r="E1136" s="12" t="s">
        <v>55</v>
      </c>
      <c r="F1136" s="683">
        <f t="shared" ref="F1136:G1136" si="278">+$E1131*F$8</f>
        <v>0</v>
      </c>
      <c r="G1136" s="683">
        <f t="shared" si="278"/>
        <v>0</v>
      </c>
    </row>
    <row r="1137" spans="3:7" ht="15.75" hidden="1" thickBot="1" x14ac:dyDescent="0.3">
      <c r="C1137" s="9">
        <f t="shared" si="275"/>
        <v>0</v>
      </c>
      <c r="D1137" s="364" t="s">
        <v>75</v>
      </c>
      <c r="E1137" s="12" t="s">
        <v>54</v>
      </c>
      <c r="F1137" s="683">
        <f t="shared" ref="F1137:G1137" si="279">+$E1131*F$9</f>
        <v>0</v>
      </c>
      <c r="G1137" s="683">
        <f t="shared" si="279"/>
        <v>0</v>
      </c>
    </row>
    <row r="1138" spans="3:7" ht="15.75" hidden="1" thickBot="1" x14ac:dyDescent="0.3">
      <c r="C1138" s="9">
        <f t="shared" si="275"/>
        <v>0</v>
      </c>
      <c r="D1138" s="34" t="s">
        <v>467</v>
      </c>
      <c r="E1138" s="12" t="s">
        <v>53</v>
      </c>
      <c r="F1138" s="683">
        <f t="shared" ref="F1138:G1138" si="280">+$E1131*F$10</f>
        <v>0</v>
      </c>
      <c r="G1138" s="683">
        <f t="shared" si="280"/>
        <v>0</v>
      </c>
    </row>
    <row r="1139" spans="3:7" ht="15.75" hidden="1" thickBot="1" x14ac:dyDescent="0.3">
      <c r="C1139" s="9">
        <f t="shared" si="275"/>
        <v>0</v>
      </c>
      <c r="D1139" s="34" t="s">
        <v>76</v>
      </c>
      <c r="E1139" s="12" t="s">
        <v>52</v>
      </c>
      <c r="F1139" s="683">
        <f>+$E1131*F$11</f>
        <v>0</v>
      </c>
      <c r="G1139" s="683">
        <f>+$E1131*G$11</f>
        <v>0</v>
      </c>
    </row>
    <row r="1140" spans="3:7" ht="15.75" hidden="1" thickBot="1" x14ac:dyDescent="0.3">
      <c r="C1140" s="9">
        <f t="shared" si="275"/>
        <v>0</v>
      </c>
      <c r="D1140" s="34" t="s">
        <v>468</v>
      </c>
      <c r="E1140" s="12" t="s">
        <v>51</v>
      </c>
      <c r="F1140" s="683">
        <f>+$E1131*F$12</f>
        <v>0</v>
      </c>
      <c r="G1140" s="683">
        <f>+$E1131*G$12</f>
        <v>0</v>
      </c>
    </row>
    <row r="1141" spans="3:7" ht="15.75" hidden="1" thickBot="1" x14ac:dyDescent="0.3">
      <c r="C1141" s="9">
        <f t="shared" si="275"/>
        <v>0</v>
      </c>
      <c r="D1141" s="364" t="s">
        <v>59</v>
      </c>
      <c r="E1141" s="12" t="s">
        <v>50</v>
      </c>
      <c r="F1141" s="683">
        <f>+$E1131*F$13</f>
        <v>0</v>
      </c>
      <c r="G1141" s="683">
        <f>+$E1131*G$13</f>
        <v>0</v>
      </c>
    </row>
    <row r="1142" spans="3:7" ht="15.75" hidden="1" thickBot="1" x14ac:dyDescent="0.3">
      <c r="C1142" s="9">
        <f t="shared" si="275"/>
        <v>0</v>
      </c>
      <c r="D1142" s="364" t="s">
        <v>25</v>
      </c>
      <c r="E1142" s="12" t="s">
        <v>49</v>
      </c>
      <c r="F1142" s="683">
        <f>+$E1131*F$14</f>
        <v>0</v>
      </c>
      <c r="G1142" s="683">
        <f>+$E1131*G$14</f>
        <v>0</v>
      </c>
    </row>
    <row r="1143" spans="3:7" ht="15.75" hidden="1" thickBot="1" x14ac:dyDescent="0.3">
      <c r="C1143" s="9">
        <f t="shared" si="275"/>
        <v>0</v>
      </c>
      <c r="D1143" s="364" t="s">
        <v>466</v>
      </c>
      <c r="E1143" s="12" t="s">
        <v>47</v>
      </c>
      <c r="F1143" s="683">
        <f>+$E1131*F$15</f>
        <v>0</v>
      </c>
      <c r="G1143" s="683">
        <f>+$E1131*G$15</f>
        <v>0</v>
      </c>
    </row>
    <row r="1144" spans="3:7" ht="15.75" hidden="1" thickBot="1" x14ac:dyDescent="0.3">
      <c r="C1144" s="9">
        <f t="shared" si="275"/>
        <v>0</v>
      </c>
      <c r="D1144" s="364" t="s">
        <v>82</v>
      </c>
      <c r="E1144" s="12" t="s">
        <v>77</v>
      </c>
      <c r="F1144" s="683">
        <f>+$E1131*F$16</f>
        <v>0</v>
      </c>
      <c r="G1144" s="683">
        <f>+$E1131*G$16</f>
        <v>0</v>
      </c>
    </row>
    <row r="1145" spans="3:7" ht="15.75" hidden="1" thickBot="1" x14ac:dyDescent="0.3">
      <c r="C1145" s="9">
        <f t="shared" si="275"/>
        <v>0</v>
      </c>
      <c r="D1145" s="364" t="s">
        <v>84</v>
      </c>
      <c r="E1145" s="12" t="s">
        <v>78</v>
      </c>
      <c r="F1145" s="683">
        <f ca="1">+$E1131*F$17</f>
        <v>0</v>
      </c>
      <c r="G1145" s="683">
        <f>+$E1131*G$17</f>
        <v>0</v>
      </c>
    </row>
    <row r="1146" spans="3:7" ht="15.75" hidden="1" thickBot="1" x14ac:dyDescent="0.3">
      <c r="C1146" s="9">
        <f t="shared" si="275"/>
        <v>0</v>
      </c>
      <c r="D1146" s="364" t="s">
        <v>86</v>
      </c>
      <c r="E1146" s="12" t="s">
        <v>79</v>
      </c>
      <c r="F1146" s="683">
        <f>+$E$1131*F18</f>
        <v>0</v>
      </c>
      <c r="G1146" s="683">
        <f>+$E$1131*G18</f>
        <v>0</v>
      </c>
    </row>
    <row r="1147" spans="3:7" ht="15.75" hidden="1" thickBot="1" x14ac:dyDescent="0.3">
      <c r="C1147" s="9">
        <f t="shared" si="275"/>
        <v>0</v>
      </c>
      <c r="D1147" s="364" t="s">
        <v>386</v>
      </c>
      <c r="E1147" s="12" t="s">
        <v>81</v>
      </c>
      <c r="F1147" s="683">
        <f>+$E$1131*F19</f>
        <v>0</v>
      </c>
      <c r="G1147" s="683">
        <f>+$E$1131*G19</f>
        <v>0</v>
      </c>
    </row>
    <row r="1148" spans="3:7" ht="15.75" hidden="1" thickBot="1" x14ac:dyDescent="0.3">
      <c r="C1148" s="9">
        <f t="shared" si="275"/>
        <v>0</v>
      </c>
      <c r="D1148" s="35" t="s">
        <v>22</v>
      </c>
      <c r="E1148" s="12" t="s">
        <v>83</v>
      </c>
      <c r="F1148" s="685">
        <f>SUBTOTAL(9,F1134:F1147)</f>
        <v>0</v>
      </c>
      <c r="G1148" s="685">
        <f>SUBTOTAL(9,G1134:G1147)</f>
        <v>0</v>
      </c>
    </row>
    <row r="1149" spans="3:7" ht="15.75" hidden="1" thickBot="1" x14ac:dyDescent="0.3">
      <c r="D1149" s="326"/>
      <c r="E1149" s="327"/>
      <c r="F1149" s="686"/>
      <c r="G1149" s="686"/>
    </row>
    <row r="1150" spans="3:7" ht="15.75" hidden="1" thickBot="1" x14ac:dyDescent="0.3">
      <c r="D1150" s="326"/>
      <c r="E1150" s="327"/>
      <c r="F1150" s="686"/>
      <c r="G1150" s="686"/>
    </row>
    <row r="1151" spans="3:7" ht="30.75" hidden="1" thickBot="1" x14ac:dyDescent="0.3">
      <c r="C1151" s="9">
        <f>IF(F1168&gt;0,1,0)</f>
        <v>0</v>
      </c>
      <c r="D1151" s="20" t="str">
        <f>+A62</f>
        <v>Wayne</v>
      </c>
      <c r="E1151" s="19">
        <f>IFERROR(SUMIF(A:A,D1151,B:B),0)</f>
        <v>0</v>
      </c>
      <c r="F1151" s="652" t="s">
        <v>31</v>
      </c>
      <c r="G1151" s="652" t="s">
        <v>32</v>
      </c>
    </row>
    <row r="1152" spans="3:7" ht="15.75" hidden="1" thickBot="1" x14ac:dyDescent="0.3">
      <c r="C1152" s="9">
        <f>C1151</f>
        <v>0</v>
      </c>
      <c r="D1152" s="30"/>
      <c r="E1152" s="31"/>
      <c r="F1152" s="680" t="s">
        <v>54</v>
      </c>
      <c r="G1152" s="680" t="s">
        <v>53</v>
      </c>
    </row>
    <row r="1153" spans="3:7" ht="15.75" hidden="1" thickBot="1" x14ac:dyDescent="0.3">
      <c r="C1153" s="9">
        <f t="shared" ref="C1153:C1168" si="281">C1152</f>
        <v>0</v>
      </c>
      <c r="D1153" s="32" t="s">
        <v>71</v>
      </c>
      <c r="E1153" s="33"/>
      <c r="F1153" s="681"/>
      <c r="G1153" s="682"/>
    </row>
    <row r="1154" spans="3:7" ht="15.75" hidden="1" thickBot="1" x14ac:dyDescent="0.3">
      <c r="C1154" s="9">
        <f t="shared" si="281"/>
        <v>0</v>
      </c>
      <c r="D1154" s="364" t="s">
        <v>72</v>
      </c>
      <c r="E1154" s="12" t="s">
        <v>57</v>
      </c>
      <c r="F1154" s="683">
        <f t="shared" ref="F1154:G1154" si="282">+$E1151*F$6</f>
        <v>0</v>
      </c>
      <c r="G1154" s="683">
        <f t="shared" si="282"/>
        <v>0</v>
      </c>
    </row>
    <row r="1155" spans="3:7" ht="15.75" hidden="1" thickBot="1" x14ac:dyDescent="0.3">
      <c r="C1155" s="9">
        <f t="shared" si="281"/>
        <v>0</v>
      </c>
      <c r="D1155" s="364" t="s">
        <v>73</v>
      </c>
      <c r="E1155" s="12" t="s">
        <v>56</v>
      </c>
      <c r="F1155" s="683">
        <f t="shared" ref="F1155:G1155" si="283">+$E1151*F$7</f>
        <v>0</v>
      </c>
      <c r="G1155" s="683">
        <f t="shared" si="283"/>
        <v>0</v>
      </c>
    </row>
    <row r="1156" spans="3:7" ht="15.75" hidden="1" thickBot="1" x14ac:dyDescent="0.3">
      <c r="C1156" s="9">
        <f t="shared" si="281"/>
        <v>0</v>
      </c>
      <c r="D1156" s="364" t="s">
        <v>74</v>
      </c>
      <c r="E1156" s="12" t="s">
        <v>55</v>
      </c>
      <c r="F1156" s="683">
        <f t="shared" ref="F1156:G1156" si="284">+$E1151*F$8</f>
        <v>0</v>
      </c>
      <c r="G1156" s="683">
        <f t="shared" si="284"/>
        <v>0</v>
      </c>
    </row>
    <row r="1157" spans="3:7" ht="15.75" hidden="1" thickBot="1" x14ac:dyDescent="0.3">
      <c r="C1157" s="9">
        <f t="shared" si="281"/>
        <v>0</v>
      </c>
      <c r="D1157" s="364" t="s">
        <v>75</v>
      </c>
      <c r="E1157" s="12" t="s">
        <v>54</v>
      </c>
      <c r="F1157" s="683">
        <f t="shared" ref="F1157:G1157" si="285">+$E1151*F$9</f>
        <v>0</v>
      </c>
      <c r="G1157" s="683">
        <f t="shared" si="285"/>
        <v>0</v>
      </c>
    </row>
    <row r="1158" spans="3:7" ht="15.75" hidden="1" thickBot="1" x14ac:dyDescent="0.3">
      <c r="C1158" s="9">
        <f t="shared" si="281"/>
        <v>0</v>
      </c>
      <c r="D1158" s="34" t="s">
        <v>467</v>
      </c>
      <c r="E1158" s="12" t="s">
        <v>53</v>
      </c>
      <c r="F1158" s="683">
        <f t="shared" ref="F1158:G1158" si="286">+$E1151*F$10</f>
        <v>0</v>
      </c>
      <c r="G1158" s="683">
        <f t="shared" si="286"/>
        <v>0</v>
      </c>
    </row>
    <row r="1159" spans="3:7" ht="15.75" hidden="1" thickBot="1" x14ac:dyDescent="0.3">
      <c r="C1159" s="9">
        <f t="shared" si="281"/>
        <v>0</v>
      </c>
      <c r="D1159" s="34" t="s">
        <v>76</v>
      </c>
      <c r="E1159" s="12" t="s">
        <v>52</v>
      </c>
      <c r="F1159" s="683">
        <f>+$E1151*F$11</f>
        <v>0</v>
      </c>
      <c r="G1159" s="683">
        <f>+$E1151*G$11</f>
        <v>0</v>
      </c>
    </row>
    <row r="1160" spans="3:7" ht="15.75" hidden="1" thickBot="1" x14ac:dyDescent="0.3">
      <c r="C1160" s="9">
        <f t="shared" si="281"/>
        <v>0</v>
      </c>
      <c r="D1160" s="34" t="s">
        <v>468</v>
      </c>
      <c r="E1160" s="12" t="s">
        <v>51</v>
      </c>
      <c r="F1160" s="683">
        <f>+$E1151*F$12</f>
        <v>0</v>
      </c>
      <c r="G1160" s="683">
        <f>+$E1151*G$12</f>
        <v>0</v>
      </c>
    </row>
    <row r="1161" spans="3:7" ht="15.75" hidden="1" thickBot="1" x14ac:dyDescent="0.3">
      <c r="C1161" s="9">
        <f t="shared" si="281"/>
        <v>0</v>
      </c>
      <c r="D1161" s="364" t="s">
        <v>59</v>
      </c>
      <c r="E1161" s="12" t="s">
        <v>50</v>
      </c>
      <c r="F1161" s="683">
        <f>+$E1151*F$13</f>
        <v>0</v>
      </c>
      <c r="G1161" s="683">
        <f>+$E1151*G$13</f>
        <v>0</v>
      </c>
    </row>
    <row r="1162" spans="3:7" ht="15.75" hidden="1" thickBot="1" x14ac:dyDescent="0.3">
      <c r="C1162" s="9">
        <f t="shared" si="281"/>
        <v>0</v>
      </c>
      <c r="D1162" s="364" t="s">
        <v>25</v>
      </c>
      <c r="E1162" s="12" t="s">
        <v>49</v>
      </c>
      <c r="F1162" s="683">
        <f>+$E1151*F$14</f>
        <v>0</v>
      </c>
      <c r="G1162" s="683">
        <f>+$E1151*G$14</f>
        <v>0</v>
      </c>
    </row>
    <row r="1163" spans="3:7" ht="15.75" hidden="1" thickBot="1" x14ac:dyDescent="0.3">
      <c r="C1163" s="9">
        <f t="shared" si="281"/>
        <v>0</v>
      </c>
      <c r="D1163" s="364" t="s">
        <v>466</v>
      </c>
      <c r="E1163" s="12" t="s">
        <v>47</v>
      </c>
      <c r="F1163" s="683">
        <f>+$E1151*F$15</f>
        <v>0</v>
      </c>
      <c r="G1163" s="683">
        <f>+$E1151*G$15</f>
        <v>0</v>
      </c>
    </row>
    <row r="1164" spans="3:7" ht="15.75" hidden="1" thickBot="1" x14ac:dyDescent="0.3">
      <c r="C1164" s="9">
        <f t="shared" si="281"/>
        <v>0</v>
      </c>
      <c r="D1164" s="364" t="s">
        <v>82</v>
      </c>
      <c r="E1164" s="12" t="s">
        <v>77</v>
      </c>
      <c r="F1164" s="683">
        <f>+$E1151*F$16</f>
        <v>0</v>
      </c>
      <c r="G1164" s="683">
        <f>+$E1151*G$16</f>
        <v>0</v>
      </c>
    </row>
    <row r="1165" spans="3:7" ht="15.75" hidden="1" thickBot="1" x14ac:dyDescent="0.3">
      <c r="C1165" s="9">
        <f t="shared" si="281"/>
        <v>0</v>
      </c>
      <c r="D1165" s="364" t="s">
        <v>84</v>
      </c>
      <c r="E1165" s="12" t="s">
        <v>78</v>
      </c>
      <c r="F1165" s="683">
        <f ca="1">+$E1151*F$17</f>
        <v>0</v>
      </c>
      <c r="G1165" s="683">
        <f>+$E1151*G$17</f>
        <v>0</v>
      </c>
    </row>
    <row r="1166" spans="3:7" ht="15.75" hidden="1" thickBot="1" x14ac:dyDescent="0.3">
      <c r="C1166" s="9">
        <f t="shared" si="281"/>
        <v>0</v>
      </c>
      <c r="D1166" s="364" t="s">
        <v>86</v>
      </c>
      <c r="E1166" s="12" t="s">
        <v>79</v>
      </c>
      <c r="F1166" s="683">
        <f>+$E$1151*F18</f>
        <v>0</v>
      </c>
      <c r="G1166" s="683">
        <f>+$E$1151*G18</f>
        <v>0</v>
      </c>
    </row>
    <row r="1167" spans="3:7" ht="15.75" hidden="1" thickBot="1" x14ac:dyDescent="0.3">
      <c r="C1167" s="9">
        <f t="shared" si="281"/>
        <v>0</v>
      </c>
      <c r="D1167" s="364" t="s">
        <v>386</v>
      </c>
      <c r="E1167" s="12" t="s">
        <v>81</v>
      </c>
      <c r="F1167" s="683">
        <f>+$E$1151*F19</f>
        <v>0</v>
      </c>
      <c r="G1167" s="683">
        <f>+$E$1151*G19</f>
        <v>0</v>
      </c>
    </row>
    <row r="1168" spans="3:7" ht="15.75" hidden="1" thickBot="1" x14ac:dyDescent="0.3">
      <c r="C1168" s="9">
        <f t="shared" si="281"/>
        <v>0</v>
      </c>
      <c r="D1168" s="35" t="s">
        <v>22</v>
      </c>
      <c r="E1168" s="12" t="s">
        <v>83</v>
      </c>
      <c r="F1168" s="685">
        <f>SUBTOTAL(9,F1154:F1167)</f>
        <v>0</v>
      </c>
      <c r="G1168" s="685">
        <f>SUBTOTAL(9,G1154:G1167)</f>
        <v>0</v>
      </c>
    </row>
    <row r="1169" spans="3:7" ht="15.75" hidden="1" thickBot="1" x14ac:dyDescent="0.3">
      <c r="D1169" s="326"/>
      <c r="E1169" s="327"/>
      <c r="F1169" s="686"/>
      <c r="G1169" s="686"/>
    </row>
    <row r="1170" spans="3:7" ht="30" x14ac:dyDescent="0.25">
      <c r="C1170" s="9">
        <f ca="1">IF(F1187&gt;0,1,0)</f>
        <v>1</v>
      </c>
      <c r="D1170" s="20" t="str">
        <f>+A63</f>
        <v>Westchester</v>
      </c>
      <c r="E1170" s="19">
        <f>IFERROR(SUMIF(A:A,D1170,B:B),0)</f>
        <v>9.514524997131955E-3</v>
      </c>
      <c r="F1170" s="652" t="s">
        <v>31</v>
      </c>
      <c r="G1170" s="652" t="s">
        <v>32</v>
      </c>
    </row>
    <row r="1171" spans="3:7" x14ac:dyDescent="0.25">
      <c r="C1171" s="9">
        <f ca="1">C1170</f>
        <v>1</v>
      </c>
      <c r="D1171" s="30"/>
      <c r="E1171" s="31"/>
      <c r="F1171" s="680" t="s">
        <v>54</v>
      </c>
      <c r="G1171" s="680" t="s">
        <v>53</v>
      </c>
    </row>
    <row r="1172" spans="3:7" x14ac:dyDescent="0.25">
      <c r="C1172" s="9">
        <f t="shared" ref="C1172:C1187" ca="1" si="287">C1171</f>
        <v>1</v>
      </c>
      <c r="D1172" s="32" t="s">
        <v>71</v>
      </c>
      <c r="E1172" s="33"/>
      <c r="F1172" s="681"/>
      <c r="G1172" s="682"/>
    </row>
    <row r="1173" spans="3:7" x14ac:dyDescent="0.25">
      <c r="C1173" s="9">
        <f t="shared" ca="1" si="287"/>
        <v>1</v>
      </c>
      <c r="D1173" s="364" t="s">
        <v>72</v>
      </c>
      <c r="E1173" s="12" t="s">
        <v>57</v>
      </c>
      <c r="F1173" s="683">
        <f t="shared" ref="F1173:G1173" si="288">+$E1170*F$6</f>
        <v>0</v>
      </c>
      <c r="G1173" s="683">
        <f t="shared" si="288"/>
        <v>0</v>
      </c>
    </row>
    <row r="1174" spans="3:7" x14ac:dyDescent="0.25">
      <c r="C1174" s="9">
        <f t="shared" ca="1" si="287"/>
        <v>1</v>
      </c>
      <c r="D1174" s="364" t="s">
        <v>73</v>
      </c>
      <c r="E1174" s="12" t="s">
        <v>56</v>
      </c>
      <c r="F1174" s="683">
        <f t="shared" ref="F1174:G1174" si="289">+$E1170*F$7</f>
        <v>7726.0363752751191</v>
      </c>
      <c r="G1174" s="683">
        <f t="shared" si="289"/>
        <v>0</v>
      </c>
    </row>
    <row r="1175" spans="3:7" x14ac:dyDescent="0.25">
      <c r="C1175" s="9">
        <f t="shared" ca="1" si="287"/>
        <v>1</v>
      </c>
      <c r="D1175" s="364" t="s">
        <v>74</v>
      </c>
      <c r="E1175" s="12" t="s">
        <v>55</v>
      </c>
      <c r="F1175" s="683">
        <f t="shared" ref="F1175:G1175" si="290">+$E1170*F$8</f>
        <v>1158.2617687477268</v>
      </c>
      <c r="G1175" s="683">
        <f t="shared" si="290"/>
        <v>0</v>
      </c>
    </row>
    <row r="1176" spans="3:7" x14ac:dyDescent="0.25">
      <c r="C1176" s="9">
        <f t="shared" ca="1" si="287"/>
        <v>1</v>
      </c>
      <c r="D1176" s="364" t="s">
        <v>75</v>
      </c>
      <c r="E1176" s="12" t="s">
        <v>54</v>
      </c>
      <c r="F1176" s="683">
        <f t="shared" ref="F1176:G1176" si="291">+$E1170*F$9</f>
        <v>2367.3282897511222</v>
      </c>
      <c r="G1176" s="683">
        <f t="shared" si="291"/>
        <v>0</v>
      </c>
    </row>
    <row r="1177" spans="3:7" x14ac:dyDescent="0.25">
      <c r="C1177" s="9">
        <f t="shared" ca="1" si="287"/>
        <v>1</v>
      </c>
      <c r="D1177" s="34" t="s">
        <v>467</v>
      </c>
      <c r="E1177" s="12" t="s">
        <v>53</v>
      </c>
      <c r="F1177" s="683">
        <f t="shared" ref="F1177:G1177" si="292">+$E1170*F$10</f>
        <v>11335.865141028949</v>
      </c>
      <c r="G1177" s="683">
        <f t="shared" si="292"/>
        <v>0</v>
      </c>
    </row>
    <row r="1178" spans="3:7" x14ac:dyDescent="0.25">
      <c r="C1178" s="9">
        <f t="shared" ca="1" si="287"/>
        <v>1</v>
      </c>
      <c r="D1178" s="34" t="s">
        <v>76</v>
      </c>
      <c r="E1178" s="12" t="s">
        <v>52</v>
      </c>
      <c r="F1178" s="683">
        <f>+$E1170*F$11</f>
        <v>2591.9193777681858</v>
      </c>
      <c r="G1178" s="683">
        <f>+$E1170*G$11</f>
        <v>0</v>
      </c>
    </row>
    <row r="1179" spans="3:7" x14ac:dyDescent="0.25">
      <c r="C1179" s="9">
        <f t="shared" ca="1" si="287"/>
        <v>1</v>
      </c>
      <c r="D1179" s="34" t="s">
        <v>468</v>
      </c>
      <c r="E1179" s="12" t="s">
        <v>51</v>
      </c>
      <c r="F1179" s="683">
        <f>+$E1170*F$12</f>
        <v>0</v>
      </c>
      <c r="G1179" s="683">
        <f>+$E1170*G$12</f>
        <v>0</v>
      </c>
    </row>
    <row r="1180" spans="3:7" x14ac:dyDescent="0.25">
      <c r="C1180" s="9">
        <f t="shared" ca="1" si="287"/>
        <v>1</v>
      </c>
      <c r="D1180" s="364" t="s">
        <v>59</v>
      </c>
      <c r="E1180" s="12" t="s">
        <v>50</v>
      </c>
      <c r="F1180" s="683">
        <f>+$E1170*F$13</f>
        <v>410.4151975379915</v>
      </c>
      <c r="G1180" s="683">
        <f>+$E1170*G$13</f>
        <v>0</v>
      </c>
    </row>
    <row r="1181" spans="3:7" x14ac:dyDescent="0.25">
      <c r="C1181" s="9">
        <f t="shared" ca="1" si="287"/>
        <v>1</v>
      </c>
      <c r="D1181" s="364" t="s">
        <v>25</v>
      </c>
      <c r="E1181" s="12" t="s">
        <v>49</v>
      </c>
      <c r="F1181" s="683">
        <f>+$E1170*F$14</f>
        <v>1343.9428098120395</v>
      </c>
      <c r="G1181" s="683">
        <f>+$E1170*G$14</f>
        <v>0</v>
      </c>
    </row>
    <row r="1182" spans="3:7" x14ac:dyDescent="0.25">
      <c r="C1182" s="9">
        <f t="shared" ca="1" si="287"/>
        <v>1</v>
      </c>
      <c r="D1182" s="364" t="s">
        <v>466</v>
      </c>
      <c r="E1182" s="12" t="s">
        <v>47</v>
      </c>
      <c r="F1182" s="683">
        <f>+$E1170*F$15</f>
        <v>5014.1931237325007</v>
      </c>
      <c r="G1182" s="683">
        <f>+$E1170*G$15</f>
        <v>0</v>
      </c>
    </row>
    <row r="1183" spans="3:7" x14ac:dyDescent="0.25">
      <c r="C1183" s="9">
        <f t="shared" ca="1" si="287"/>
        <v>1</v>
      </c>
      <c r="D1183" s="364" t="s">
        <v>82</v>
      </c>
      <c r="E1183" s="12" t="s">
        <v>77</v>
      </c>
      <c r="F1183" s="683">
        <f>+$E1170*F$16</f>
        <v>3397.7152247737395</v>
      </c>
      <c r="G1183" s="683">
        <f>+$E1170*G$16</f>
        <v>0</v>
      </c>
    </row>
    <row r="1184" spans="3:7" x14ac:dyDescent="0.25">
      <c r="C1184" s="9">
        <f t="shared" ca="1" si="287"/>
        <v>1</v>
      </c>
      <c r="D1184" s="364" t="s">
        <v>84</v>
      </c>
      <c r="E1184" s="12" t="s">
        <v>78</v>
      </c>
      <c r="F1184" s="683">
        <f ca="1">+$E1170*F$17</f>
        <v>242905.61583646643</v>
      </c>
      <c r="G1184" s="683">
        <f>+$E1170*G$17</f>
        <v>0</v>
      </c>
    </row>
    <row r="1185" spans="3:7" x14ac:dyDescent="0.25">
      <c r="C1185" s="9">
        <f t="shared" ca="1" si="287"/>
        <v>1</v>
      </c>
      <c r="D1185" s="364" t="s">
        <v>86</v>
      </c>
      <c r="E1185" s="12" t="s">
        <v>79</v>
      </c>
      <c r="F1185" s="683">
        <f>+$E$1170*F18</f>
        <v>3741.631578244378</v>
      </c>
      <c r="G1185" s="683">
        <f>+$E$1170*G18</f>
        <v>0</v>
      </c>
    </row>
    <row r="1186" spans="3:7" x14ac:dyDescent="0.25">
      <c r="C1186" s="9">
        <f t="shared" ca="1" si="287"/>
        <v>1</v>
      </c>
      <c r="D1186" s="364" t="s">
        <v>386</v>
      </c>
      <c r="E1186" s="12" t="s">
        <v>81</v>
      </c>
      <c r="F1186" s="683">
        <f>+$E$1170*F19</f>
        <v>0</v>
      </c>
      <c r="G1186" s="683">
        <f>+$E$1170*G19</f>
        <v>0</v>
      </c>
    </row>
    <row r="1187" spans="3:7" ht="15.75" thickBot="1" x14ac:dyDescent="0.3">
      <c r="C1187" s="9">
        <f t="shared" ca="1" si="287"/>
        <v>1</v>
      </c>
      <c r="D1187" s="35" t="s">
        <v>22</v>
      </c>
      <c r="E1187" s="12" t="s">
        <v>83</v>
      </c>
      <c r="F1187" s="685">
        <f ca="1">SUBTOTAL(9,F1173:F1186)</f>
        <v>281992.92472313822</v>
      </c>
      <c r="G1187" s="685">
        <f>SUBTOTAL(9,G1173:G1186)</f>
        <v>0</v>
      </c>
    </row>
    <row r="1188" spans="3:7" hidden="1" x14ac:dyDescent="0.25">
      <c r="D1188" s="326"/>
      <c r="E1188" s="327"/>
      <c r="F1188" s="686"/>
      <c r="G1188" s="686"/>
    </row>
    <row r="1189" spans="3:7" hidden="1" x14ac:dyDescent="0.25">
      <c r="D1189" s="326"/>
      <c r="E1189" s="327"/>
      <c r="F1189" s="686"/>
      <c r="G1189" s="686"/>
    </row>
    <row r="1190" spans="3:7" ht="30" hidden="1" x14ac:dyDescent="0.25">
      <c r="C1190" s="9">
        <f>IF(F1207&gt;0,1,0)</f>
        <v>0</v>
      </c>
      <c r="D1190" s="20" t="str">
        <f>+A64</f>
        <v>Wyoming</v>
      </c>
      <c r="E1190" s="19">
        <f>IFERROR(SUMIF(A:A,D1190,B:B),0)</f>
        <v>0</v>
      </c>
      <c r="F1190" s="652" t="s">
        <v>31</v>
      </c>
      <c r="G1190" s="652" t="s">
        <v>32</v>
      </c>
    </row>
    <row r="1191" spans="3:7" hidden="1" x14ac:dyDescent="0.25">
      <c r="C1191" s="9">
        <f>C1190</f>
        <v>0</v>
      </c>
      <c r="D1191" s="30"/>
      <c r="E1191" s="31"/>
      <c r="F1191" s="680" t="s">
        <v>54</v>
      </c>
      <c r="G1191" s="680" t="s">
        <v>53</v>
      </c>
    </row>
    <row r="1192" spans="3:7" hidden="1" x14ac:dyDescent="0.25">
      <c r="C1192" s="9">
        <f t="shared" ref="C1192:C1207" si="293">C1191</f>
        <v>0</v>
      </c>
      <c r="D1192" s="32" t="s">
        <v>71</v>
      </c>
      <c r="E1192" s="33"/>
      <c r="F1192" s="681"/>
      <c r="G1192" s="682"/>
    </row>
    <row r="1193" spans="3:7" hidden="1" x14ac:dyDescent="0.25">
      <c r="C1193" s="9">
        <f t="shared" si="293"/>
        <v>0</v>
      </c>
      <c r="D1193" s="364" t="s">
        <v>72</v>
      </c>
      <c r="E1193" s="12" t="s">
        <v>57</v>
      </c>
      <c r="F1193" s="683">
        <f t="shared" ref="F1193:G1193" si="294">+$E1190*F$6</f>
        <v>0</v>
      </c>
      <c r="G1193" s="683">
        <f t="shared" si="294"/>
        <v>0</v>
      </c>
    </row>
    <row r="1194" spans="3:7" hidden="1" x14ac:dyDescent="0.25">
      <c r="C1194" s="9">
        <f t="shared" si="293"/>
        <v>0</v>
      </c>
      <c r="D1194" s="364" t="s">
        <v>73</v>
      </c>
      <c r="E1194" s="12" t="s">
        <v>56</v>
      </c>
      <c r="F1194" s="683">
        <f t="shared" ref="F1194:G1194" si="295">+$E1190*F$7</f>
        <v>0</v>
      </c>
      <c r="G1194" s="683">
        <f t="shared" si="295"/>
        <v>0</v>
      </c>
    </row>
    <row r="1195" spans="3:7" hidden="1" x14ac:dyDescent="0.25">
      <c r="C1195" s="9">
        <f t="shared" si="293"/>
        <v>0</v>
      </c>
      <c r="D1195" s="364" t="s">
        <v>74</v>
      </c>
      <c r="E1195" s="12" t="s">
        <v>55</v>
      </c>
      <c r="F1195" s="683">
        <f t="shared" ref="F1195:G1195" si="296">+$E1190*F$8</f>
        <v>0</v>
      </c>
      <c r="G1195" s="683">
        <f t="shared" si="296"/>
        <v>0</v>
      </c>
    </row>
    <row r="1196" spans="3:7" hidden="1" x14ac:dyDescent="0.25">
      <c r="C1196" s="9">
        <f t="shared" si="293"/>
        <v>0</v>
      </c>
      <c r="D1196" s="364" t="s">
        <v>75</v>
      </c>
      <c r="E1196" s="12" t="s">
        <v>54</v>
      </c>
      <c r="F1196" s="683">
        <f t="shared" ref="F1196:G1196" si="297">+$E1190*F$9</f>
        <v>0</v>
      </c>
      <c r="G1196" s="683">
        <f t="shared" si="297"/>
        <v>0</v>
      </c>
    </row>
    <row r="1197" spans="3:7" hidden="1" x14ac:dyDescent="0.25">
      <c r="C1197" s="9">
        <f t="shared" si="293"/>
        <v>0</v>
      </c>
      <c r="D1197" s="34" t="s">
        <v>467</v>
      </c>
      <c r="E1197" s="12" t="s">
        <v>53</v>
      </c>
      <c r="F1197" s="683">
        <f t="shared" ref="F1197:G1197" si="298">+$E1190*F$10</f>
        <v>0</v>
      </c>
      <c r="G1197" s="683">
        <f t="shared" si="298"/>
        <v>0</v>
      </c>
    </row>
    <row r="1198" spans="3:7" hidden="1" x14ac:dyDescent="0.25">
      <c r="C1198" s="9">
        <f t="shared" si="293"/>
        <v>0</v>
      </c>
      <c r="D1198" s="34" t="s">
        <v>76</v>
      </c>
      <c r="E1198" s="12" t="s">
        <v>52</v>
      </c>
      <c r="F1198" s="683">
        <f>+$E1190*F$11</f>
        <v>0</v>
      </c>
      <c r="G1198" s="683">
        <f>+$E1190*G$11</f>
        <v>0</v>
      </c>
    </row>
    <row r="1199" spans="3:7" hidden="1" x14ac:dyDescent="0.25">
      <c r="C1199" s="9">
        <f t="shared" si="293"/>
        <v>0</v>
      </c>
      <c r="D1199" s="34" t="s">
        <v>468</v>
      </c>
      <c r="E1199" s="12" t="s">
        <v>51</v>
      </c>
      <c r="F1199" s="683">
        <f>+$E1190*F$12</f>
        <v>0</v>
      </c>
      <c r="G1199" s="683">
        <f>+$E1190*G$12</f>
        <v>0</v>
      </c>
    </row>
    <row r="1200" spans="3:7" hidden="1" x14ac:dyDescent="0.25">
      <c r="C1200" s="9">
        <f t="shared" si="293"/>
        <v>0</v>
      </c>
      <c r="D1200" s="364" t="s">
        <v>59</v>
      </c>
      <c r="E1200" s="12" t="s">
        <v>50</v>
      </c>
      <c r="F1200" s="683">
        <f>+$E1190*F$13</f>
        <v>0</v>
      </c>
      <c r="G1200" s="683">
        <f>+$E1190*G$13</f>
        <v>0</v>
      </c>
    </row>
    <row r="1201" spans="3:7" hidden="1" x14ac:dyDescent="0.25">
      <c r="C1201" s="9">
        <f t="shared" si="293"/>
        <v>0</v>
      </c>
      <c r="D1201" s="364" t="s">
        <v>25</v>
      </c>
      <c r="E1201" s="12" t="s">
        <v>49</v>
      </c>
      <c r="F1201" s="683">
        <f>+$E1190*F$14</f>
        <v>0</v>
      </c>
      <c r="G1201" s="683">
        <f>+$E1190*G$14</f>
        <v>0</v>
      </c>
    </row>
    <row r="1202" spans="3:7" hidden="1" x14ac:dyDescent="0.25">
      <c r="C1202" s="9">
        <f t="shared" si="293"/>
        <v>0</v>
      </c>
      <c r="D1202" s="364" t="s">
        <v>466</v>
      </c>
      <c r="E1202" s="12" t="s">
        <v>47</v>
      </c>
      <c r="F1202" s="683">
        <f>+$E1190*F$15</f>
        <v>0</v>
      </c>
      <c r="G1202" s="683">
        <f>+$E1190*G$15</f>
        <v>0</v>
      </c>
    </row>
    <row r="1203" spans="3:7" hidden="1" x14ac:dyDescent="0.25">
      <c r="C1203" s="9">
        <f t="shared" si="293"/>
        <v>0</v>
      </c>
      <c r="D1203" s="364" t="s">
        <v>82</v>
      </c>
      <c r="E1203" s="12" t="s">
        <v>77</v>
      </c>
      <c r="F1203" s="683">
        <f>+$E1190*F$16</f>
        <v>0</v>
      </c>
      <c r="G1203" s="683">
        <f>+$E1190*G$16</f>
        <v>0</v>
      </c>
    </row>
    <row r="1204" spans="3:7" hidden="1" x14ac:dyDescent="0.25">
      <c r="C1204" s="9">
        <f t="shared" si="293"/>
        <v>0</v>
      </c>
      <c r="D1204" s="364" t="s">
        <v>84</v>
      </c>
      <c r="E1204" s="12" t="s">
        <v>78</v>
      </c>
      <c r="F1204" s="683">
        <f ca="1">+$E1190*F$17</f>
        <v>0</v>
      </c>
      <c r="G1204" s="683">
        <f>+$E1190*G$17</f>
        <v>0</v>
      </c>
    </row>
    <row r="1205" spans="3:7" hidden="1" x14ac:dyDescent="0.25">
      <c r="C1205" s="9">
        <f t="shared" si="293"/>
        <v>0</v>
      </c>
      <c r="D1205" s="364" t="s">
        <v>86</v>
      </c>
      <c r="E1205" s="12" t="s">
        <v>79</v>
      </c>
      <c r="F1205" s="683">
        <f>+$E$1190*F18</f>
        <v>0</v>
      </c>
      <c r="G1205" s="683">
        <f>+$E$1190*G18</f>
        <v>0</v>
      </c>
    </row>
    <row r="1206" spans="3:7" hidden="1" x14ac:dyDescent="0.25">
      <c r="C1206" s="9">
        <f t="shared" si="293"/>
        <v>0</v>
      </c>
      <c r="D1206" s="364" t="s">
        <v>386</v>
      </c>
      <c r="E1206" s="12" t="s">
        <v>81</v>
      </c>
      <c r="F1206" s="683">
        <f>+$E$1190*F19</f>
        <v>0</v>
      </c>
      <c r="G1206" s="683">
        <f>+$E$1190*G19</f>
        <v>0</v>
      </c>
    </row>
    <row r="1207" spans="3:7" ht="15.75" hidden="1" thickBot="1" x14ac:dyDescent="0.3">
      <c r="C1207" s="9">
        <f t="shared" si="293"/>
        <v>0</v>
      </c>
      <c r="D1207" s="35" t="s">
        <v>22</v>
      </c>
      <c r="E1207" s="12" t="s">
        <v>83</v>
      </c>
      <c r="F1207" s="685">
        <f>SUBTOTAL(9,F1193:F1206)</f>
        <v>0</v>
      </c>
      <c r="G1207" s="685">
        <f>SUBTOTAL(9,G1193:G1206)</f>
        <v>0</v>
      </c>
    </row>
    <row r="1208" spans="3:7" hidden="1" x14ac:dyDescent="0.25">
      <c r="D1208" s="326"/>
      <c r="E1208" s="327"/>
      <c r="F1208" s="686"/>
      <c r="G1208" s="686"/>
    </row>
    <row r="1209" spans="3:7" ht="30" hidden="1" x14ac:dyDescent="0.25">
      <c r="C1209" s="9">
        <f>IF(F1226&gt;0,1,0)</f>
        <v>0</v>
      </c>
      <c r="D1209" s="20" t="str">
        <f>+A65</f>
        <v>Yates</v>
      </c>
      <c r="E1209" s="19">
        <f>IFERROR(SUMIF(A:A,D1209,B:B),0)</f>
        <v>0</v>
      </c>
      <c r="F1209" s="652" t="s">
        <v>31</v>
      </c>
      <c r="G1209" s="652" t="s">
        <v>32</v>
      </c>
    </row>
    <row r="1210" spans="3:7" hidden="1" x14ac:dyDescent="0.25">
      <c r="C1210" s="9">
        <f>C1209</f>
        <v>0</v>
      </c>
      <c r="D1210" s="30"/>
      <c r="E1210" s="31"/>
      <c r="F1210" s="680" t="s">
        <v>54</v>
      </c>
      <c r="G1210" s="680" t="s">
        <v>53</v>
      </c>
    </row>
    <row r="1211" spans="3:7" hidden="1" x14ac:dyDescent="0.25">
      <c r="C1211" s="9">
        <f t="shared" ref="C1211:C1226" si="299">C1210</f>
        <v>0</v>
      </c>
      <c r="D1211" s="32" t="s">
        <v>71</v>
      </c>
      <c r="E1211" s="33"/>
      <c r="F1211" s="681"/>
      <c r="G1211" s="682"/>
    </row>
    <row r="1212" spans="3:7" hidden="1" x14ac:dyDescent="0.25">
      <c r="C1212" s="9">
        <f t="shared" si="299"/>
        <v>0</v>
      </c>
      <c r="D1212" s="364" t="s">
        <v>72</v>
      </c>
      <c r="E1212" s="12" t="s">
        <v>57</v>
      </c>
      <c r="F1212" s="683">
        <f t="shared" ref="F1212:G1212" si="300">+$E1209*F$6</f>
        <v>0</v>
      </c>
      <c r="G1212" s="683">
        <f t="shared" si="300"/>
        <v>0</v>
      </c>
    </row>
    <row r="1213" spans="3:7" hidden="1" x14ac:dyDescent="0.25">
      <c r="C1213" s="9">
        <f t="shared" si="299"/>
        <v>0</v>
      </c>
      <c r="D1213" s="364" t="s">
        <v>73</v>
      </c>
      <c r="E1213" s="12" t="s">
        <v>56</v>
      </c>
      <c r="F1213" s="683">
        <f t="shared" ref="F1213:G1213" si="301">+$E1209*F$7</f>
        <v>0</v>
      </c>
      <c r="G1213" s="683">
        <f t="shared" si="301"/>
        <v>0</v>
      </c>
    </row>
    <row r="1214" spans="3:7" hidden="1" x14ac:dyDescent="0.25">
      <c r="C1214" s="9">
        <f t="shared" si="299"/>
        <v>0</v>
      </c>
      <c r="D1214" s="364" t="s">
        <v>74</v>
      </c>
      <c r="E1214" s="12" t="s">
        <v>55</v>
      </c>
      <c r="F1214" s="683">
        <f t="shared" ref="F1214:G1214" si="302">+$E1209*F$8</f>
        <v>0</v>
      </c>
      <c r="G1214" s="683">
        <f t="shared" si="302"/>
        <v>0</v>
      </c>
    </row>
    <row r="1215" spans="3:7" hidden="1" x14ac:dyDescent="0.25">
      <c r="C1215" s="9">
        <f t="shared" si="299"/>
        <v>0</v>
      </c>
      <c r="D1215" s="364" t="s">
        <v>75</v>
      </c>
      <c r="E1215" s="12" t="s">
        <v>54</v>
      </c>
      <c r="F1215" s="683">
        <f t="shared" ref="F1215:G1215" si="303">+$E1209*F$9</f>
        <v>0</v>
      </c>
      <c r="G1215" s="683">
        <f t="shared" si="303"/>
        <v>0</v>
      </c>
    </row>
    <row r="1216" spans="3:7" hidden="1" x14ac:dyDescent="0.25">
      <c r="C1216" s="9">
        <f t="shared" si="299"/>
        <v>0</v>
      </c>
      <c r="D1216" s="34" t="s">
        <v>467</v>
      </c>
      <c r="E1216" s="12" t="s">
        <v>53</v>
      </c>
      <c r="F1216" s="683">
        <f t="shared" ref="F1216:G1216" si="304">+$E1209*F$10</f>
        <v>0</v>
      </c>
      <c r="G1216" s="683">
        <f t="shared" si="304"/>
        <v>0</v>
      </c>
    </row>
    <row r="1217" spans="3:7" hidden="1" x14ac:dyDescent="0.25">
      <c r="C1217" s="9">
        <f t="shared" si="299"/>
        <v>0</v>
      </c>
      <c r="D1217" s="34" t="s">
        <v>76</v>
      </c>
      <c r="E1217" s="12" t="s">
        <v>52</v>
      </c>
      <c r="F1217" s="683">
        <f>+$E1209*F$11</f>
        <v>0</v>
      </c>
      <c r="G1217" s="683">
        <f>+$E1209*G$11</f>
        <v>0</v>
      </c>
    </row>
    <row r="1218" spans="3:7" hidden="1" x14ac:dyDescent="0.25">
      <c r="C1218" s="9">
        <f t="shared" si="299"/>
        <v>0</v>
      </c>
      <c r="D1218" s="34" t="s">
        <v>468</v>
      </c>
      <c r="E1218" s="12" t="s">
        <v>51</v>
      </c>
      <c r="F1218" s="683">
        <f>+$E1209*F$12</f>
        <v>0</v>
      </c>
      <c r="G1218" s="683">
        <f>+$E1209*G$12</f>
        <v>0</v>
      </c>
    </row>
    <row r="1219" spans="3:7" hidden="1" x14ac:dyDescent="0.25">
      <c r="C1219" s="9">
        <f t="shared" si="299"/>
        <v>0</v>
      </c>
      <c r="D1219" s="364" t="s">
        <v>59</v>
      </c>
      <c r="E1219" s="12" t="s">
        <v>50</v>
      </c>
      <c r="F1219" s="683">
        <f>+$E1209*F$13</f>
        <v>0</v>
      </c>
      <c r="G1219" s="683">
        <f>+$E1209*G$13</f>
        <v>0</v>
      </c>
    </row>
    <row r="1220" spans="3:7" hidden="1" x14ac:dyDescent="0.25">
      <c r="C1220" s="9">
        <f t="shared" si="299"/>
        <v>0</v>
      </c>
      <c r="D1220" s="364" t="s">
        <v>25</v>
      </c>
      <c r="E1220" s="12" t="s">
        <v>49</v>
      </c>
      <c r="F1220" s="683">
        <f>+$E1209*F$14</f>
        <v>0</v>
      </c>
      <c r="G1220" s="683">
        <f>+$E1209*G$14</f>
        <v>0</v>
      </c>
    </row>
    <row r="1221" spans="3:7" hidden="1" x14ac:dyDescent="0.25">
      <c r="C1221" s="9">
        <f t="shared" si="299"/>
        <v>0</v>
      </c>
      <c r="D1221" s="364" t="s">
        <v>466</v>
      </c>
      <c r="E1221" s="12" t="s">
        <v>47</v>
      </c>
      <c r="F1221" s="683">
        <f>+$E1209*F$15</f>
        <v>0</v>
      </c>
      <c r="G1221" s="683">
        <f>+$E1209*G$15</f>
        <v>0</v>
      </c>
    </row>
    <row r="1222" spans="3:7" hidden="1" x14ac:dyDescent="0.25">
      <c r="C1222" s="9">
        <f t="shared" si="299"/>
        <v>0</v>
      </c>
      <c r="D1222" s="364" t="s">
        <v>82</v>
      </c>
      <c r="E1222" s="12" t="s">
        <v>77</v>
      </c>
      <c r="F1222" s="683">
        <f>+$E1209*F$16</f>
        <v>0</v>
      </c>
      <c r="G1222" s="683">
        <f>+$E1209*G$16</f>
        <v>0</v>
      </c>
    </row>
    <row r="1223" spans="3:7" hidden="1" x14ac:dyDescent="0.25">
      <c r="C1223" s="9">
        <f t="shared" si="299"/>
        <v>0</v>
      </c>
      <c r="D1223" s="364" t="s">
        <v>84</v>
      </c>
      <c r="E1223" s="12" t="s">
        <v>78</v>
      </c>
      <c r="F1223" s="683">
        <f ca="1">+$E1209*F$17</f>
        <v>0</v>
      </c>
      <c r="G1223" s="683">
        <f>+$E1209*G$17</f>
        <v>0</v>
      </c>
    </row>
    <row r="1224" spans="3:7" hidden="1" x14ac:dyDescent="0.25">
      <c r="C1224" s="9">
        <f t="shared" si="299"/>
        <v>0</v>
      </c>
      <c r="D1224" s="364" t="s">
        <v>86</v>
      </c>
      <c r="E1224" s="12" t="s">
        <v>79</v>
      </c>
      <c r="F1224" s="683">
        <f>+$E$1209*F18</f>
        <v>0</v>
      </c>
      <c r="G1224" s="683">
        <f>+$E$1209*G18</f>
        <v>0</v>
      </c>
    </row>
    <row r="1225" spans="3:7" hidden="1" x14ac:dyDescent="0.25">
      <c r="C1225" s="9">
        <f t="shared" si="299"/>
        <v>0</v>
      </c>
      <c r="D1225" s="364" t="s">
        <v>386</v>
      </c>
      <c r="E1225" s="12" t="s">
        <v>81</v>
      </c>
      <c r="F1225" s="683">
        <f>+$E$1209*F19</f>
        <v>0</v>
      </c>
      <c r="G1225" s="683">
        <f>+$E$1209*G19</f>
        <v>0</v>
      </c>
    </row>
    <row r="1226" spans="3:7" ht="15.75" hidden="1" thickBot="1" x14ac:dyDescent="0.3">
      <c r="C1226" s="9">
        <f t="shared" si="299"/>
        <v>0</v>
      </c>
      <c r="D1226" s="35" t="s">
        <v>22</v>
      </c>
      <c r="E1226" s="12" t="s">
        <v>83</v>
      </c>
      <c r="F1226" s="685">
        <f>SUBTOTAL(9,F1212:F1225)</f>
        <v>0</v>
      </c>
      <c r="G1226" s="685">
        <f>SUBTOTAL(9,G1212:G1225)</f>
        <v>0</v>
      </c>
    </row>
    <row r="1227" spans="3:7" hidden="1" x14ac:dyDescent="0.25">
      <c r="D1227" s="326"/>
      <c r="E1227" s="327"/>
      <c r="F1227" s="686"/>
      <c r="G1227" s="686"/>
    </row>
    <row r="1228" spans="3:7" hidden="1" x14ac:dyDescent="0.25">
      <c r="D1228" s="326"/>
      <c r="E1228" s="327"/>
      <c r="F1228" s="686"/>
      <c r="G1228" s="686"/>
    </row>
    <row r="1229" spans="3:7" ht="30" hidden="1" x14ac:dyDescent="0.25">
      <c r="C1229" s="9">
        <f>IF(F1246&gt;0,1,0)</f>
        <v>0</v>
      </c>
      <c r="D1229" s="20" t="str">
        <f>+A52</f>
        <v>Schuyler</v>
      </c>
      <c r="E1229" s="19">
        <f>IFERROR(SUMIF(A:A,D1229,B:B),0)</f>
        <v>0</v>
      </c>
      <c r="F1229" s="652" t="s">
        <v>31</v>
      </c>
      <c r="G1229" s="652" t="s">
        <v>32</v>
      </c>
    </row>
    <row r="1230" spans="3:7" hidden="1" x14ac:dyDescent="0.25">
      <c r="C1230" s="9">
        <f>C1229</f>
        <v>0</v>
      </c>
      <c r="D1230" s="30"/>
      <c r="E1230" s="31"/>
      <c r="F1230" s="680" t="s">
        <v>54</v>
      </c>
      <c r="G1230" s="680" t="s">
        <v>53</v>
      </c>
    </row>
    <row r="1231" spans="3:7" hidden="1" x14ac:dyDescent="0.25">
      <c r="C1231" s="9">
        <f t="shared" ref="C1231:C1246" si="305">C1230</f>
        <v>0</v>
      </c>
      <c r="D1231" s="32" t="s">
        <v>71</v>
      </c>
      <c r="E1231" s="33"/>
      <c r="F1231" s="681"/>
      <c r="G1231" s="682"/>
    </row>
    <row r="1232" spans="3:7" hidden="1" x14ac:dyDescent="0.25">
      <c r="C1232" s="9">
        <f t="shared" si="305"/>
        <v>0</v>
      </c>
      <c r="D1232" s="364" t="s">
        <v>72</v>
      </c>
      <c r="E1232" s="12" t="s">
        <v>57</v>
      </c>
      <c r="F1232" s="683">
        <f t="shared" ref="F1232:G1232" si="306">+$E1229*F$6</f>
        <v>0</v>
      </c>
      <c r="G1232" s="683">
        <f t="shared" si="306"/>
        <v>0</v>
      </c>
    </row>
    <row r="1233" spans="3:7" hidden="1" x14ac:dyDescent="0.25">
      <c r="C1233" s="9">
        <f t="shared" si="305"/>
        <v>0</v>
      </c>
      <c r="D1233" s="364" t="s">
        <v>73</v>
      </c>
      <c r="E1233" s="12" t="s">
        <v>56</v>
      </c>
      <c r="F1233" s="683">
        <f t="shared" ref="F1233:G1233" si="307">+$E1229*F$7</f>
        <v>0</v>
      </c>
      <c r="G1233" s="683">
        <f t="shared" si="307"/>
        <v>0</v>
      </c>
    </row>
    <row r="1234" spans="3:7" hidden="1" x14ac:dyDescent="0.25">
      <c r="C1234" s="9">
        <f t="shared" si="305"/>
        <v>0</v>
      </c>
      <c r="D1234" s="364" t="s">
        <v>74</v>
      </c>
      <c r="E1234" s="12" t="s">
        <v>55</v>
      </c>
      <c r="F1234" s="683">
        <f t="shared" ref="F1234:G1234" si="308">+$E1229*F$8</f>
        <v>0</v>
      </c>
      <c r="G1234" s="683">
        <f t="shared" si="308"/>
        <v>0</v>
      </c>
    </row>
    <row r="1235" spans="3:7" hidden="1" x14ac:dyDescent="0.25">
      <c r="C1235" s="9">
        <f t="shared" si="305"/>
        <v>0</v>
      </c>
      <c r="D1235" s="364" t="s">
        <v>75</v>
      </c>
      <c r="E1235" s="12" t="s">
        <v>54</v>
      </c>
      <c r="F1235" s="683">
        <f t="shared" ref="F1235:G1235" si="309">+$E1229*F$9</f>
        <v>0</v>
      </c>
      <c r="G1235" s="683">
        <f t="shared" si="309"/>
        <v>0</v>
      </c>
    </row>
    <row r="1236" spans="3:7" hidden="1" x14ac:dyDescent="0.25">
      <c r="C1236" s="9">
        <f t="shared" si="305"/>
        <v>0</v>
      </c>
      <c r="D1236" s="34" t="s">
        <v>467</v>
      </c>
      <c r="E1236" s="12" t="s">
        <v>53</v>
      </c>
      <c r="F1236" s="683">
        <f t="shared" ref="F1236:G1236" si="310">+$E1229*F$10</f>
        <v>0</v>
      </c>
      <c r="G1236" s="683">
        <f t="shared" si="310"/>
        <v>0</v>
      </c>
    </row>
    <row r="1237" spans="3:7" hidden="1" x14ac:dyDescent="0.25">
      <c r="C1237" s="9">
        <f t="shared" si="305"/>
        <v>0</v>
      </c>
      <c r="D1237" s="34" t="s">
        <v>76</v>
      </c>
      <c r="E1237" s="12" t="s">
        <v>52</v>
      </c>
      <c r="F1237" s="683">
        <f>+$E1229*F$11</f>
        <v>0</v>
      </c>
      <c r="G1237" s="683">
        <f>+$E1229*G$11</f>
        <v>0</v>
      </c>
    </row>
    <row r="1238" spans="3:7" hidden="1" x14ac:dyDescent="0.25">
      <c r="C1238" s="9">
        <f t="shared" si="305"/>
        <v>0</v>
      </c>
      <c r="D1238" s="34" t="s">
        <v>468</v>
      </c>
      <c r="E1238" s="12" t="s">
        <v>51</v>
      </c>
      <c r="F1238" s="683">
        <f>+$E1229*F$12</f>
        <v>0</v>
      </c>
      <c r="G1238" s="683">
        <f>+$E1229*G$12</f>
        <v>0</v>
      </c>
    </row>
    <row r="1239" spans="3:7" hidden="1" x14ac:dyDescent="0.25">
      <c r="C1239" s="9">
        <f t="shared" si="305"/>
        <v>0</v>
      </c>
      <c r="D1239" s="364" t="s">
        <v>59</v>
      </c>
      <c r="E1239" s="12" t="s">
        <v>50</v>
      </c>
      <c r="F1239" s="683">
        <f>+$E1229*F$13</f>
        <v>0</v>
      </c>
      <c r="G1239" s="683">
        <f>+$E1229*G$13</f>
        <v>0</v>
      </c>
    </row>
    <row r="1240" spans="3:7" hidden="1" x14ac:dyDescent="0.25">
      <c r="C1240" s="9">
        <f t="shared" si="305"/>
        <v>0</v>
      </c>
      <c r="D1240" s="364" t="s">
        <v>25</v>
      </c>
      <c r="E1240" s="12" t="s">
        <v>49</v>
      </c>
      <c r="F1240" s="683">
        <f>+$E1229*F$14</f>
        <v>0</v>
      </c>
      <c r="G1240" s="683">
        <f>+$E1229*G$14</f>
        <v>0</v>
      </c>
    </row>
    <row r="1241" spans="3:7" hidden="1" x14ac:dyDescent="0.25">
      <c r="C1241" s="9">
        <f t="shared" si="305"/>
        <v>0</v>
      </c>
      <c r="D1241" s="364" t="s">
        <v>466</v>
      </c>
      <c r="E1241" s="12" t="s">
        <v>47</v>
      </c>
      <c r="F1241" s="683">
        <f>+$E1229*F$15</f>
        <v>0</v>
      </c>
      <c r="G1241" s="683">
        <f>+$E1229*G$15</f>
        <v>0</v>
      </c>
    </row>
    <row r="1242" spans="3:7" hidden="1" x14ac:dyDescent="0.25">
      <c r="C1242" s="9">
        <f t="shared" si="305"/>
        <v>0</v>
      </c>
      <c r="D1242" s="364" t="s">
        <v>82</v>
      </c>
      <c r="E1242" s="12" t="s">
        <v>77</v>
      </c>
      <c r="F1242" s="683">
        <f>+$E1229*F$16</f>
        <v>0</v>
      </c>
      <c r="G1242" s="683">
        <f>+$E1229*G$16</f>
        <v>0</v>
      </c>
    </row>
    <row r="1243" spans="3:7" hidden="1" x14ac:dyDescent="0.25">
      <c r="C1243" s="9">
        <f t="shared" si="305"/>
        <v>0</v>
      </c>
      <c r="D1243" s="364" t="s">
        <v>84</v>
      </c>
      <c r="E1243" s="12" t="s">
        <v>78</v>
      </c>
      <c r="F1243" s="683">
        <f ca="1">+$E1229*F$17</f>
        <v>0</v>
      </c>
      <c r="G1243" s="683">
        <f>+$E1229*G$17</f>
        <v>0</v>
      </c>
    </row>
    <row r="1244" spans="3:7" hidden="1" x14ac:dyDescent="0.25">
      <c r="C1244" s="9">
        <f t="shared" si="305"/>
        <v>0</v>
      </c>
      <c r="D1244" s="364" t="s">
        <v>86</v>
      </c>
      <c r="E1244" s="12" t="s">
        <v>79</v>
      </c>
      <c r="F1244" s="683">
        <f>+$E$1229*F18</f>
        <v>0</v>
      </c>
      <c r="G1244" s="683">
        <f>+$E$1229*G18</f>
        <v>0</v>
      </c>
    </row>
    <row r="1245" spans="3:7" hidden="1" x14ac:dyDescent="0.25">
      <c r="C1245" s="9">
        <f t="shared" si="305"/>
        <v>0</v>
      </c>
      <c r="D1245" s="364" t="s">
        <v>386</v>
      </c>
      <c r="E1245" s="12" t="s">
        <v>81</v>
      </c>
      <c r="F1245" s="683">
        <f>+$E$1229*F19</f>
        <v>0</v>
      </c>
      <c r="G1245" s="683">
        <f>+$E$1229*G19</f>
        <v>0</v>
      </c>
    </row>
    <row r="1246" spans="3:7" ht="15.75" hidden="1" thickBot="1" x14ac:dyDescent="0.3">
      <c r="C1246" s="9">
        <f t="shared" si="305"/>
        <v>0</v>
      </c>
      <c r="D1246" s="35" t="s">
        <v>22</v>
      </c>
      <c r="E1246" s="12" t="s">
        <v>83</v>
      </c>
      <c r="F1246" s="685">
        <f>SUBTOTAL(9,F1232:F1245)</f>
        <v>0</v>
      </c>
      <c r="G1246" s="685">
        <f>SUBTOTAL(9,G1232:G1245)</f>
        <v>0</v>
      </c>
    </row>
    <row r="1247" spans="3:7" hidden="1" x14ac:dyDescent="0.25">
      <c r="D1247" s="326"/>
      <c r="E1247" s="327"/>
      <c r="F1247" s="686"/>
      <c r="G1247" s="686"/>
    </row>
    <row r="1248" spans="3:7" ht="30" hidden="1" x14ac:dyDescent="0.25">
      <c r="C1248" s="9">
        <f>IF(F1265&gt;0,1,0)</f>
        <v>0</v>
      </c>
      <c r="D1248" s="20" t="str">
        <f>+A53</f>
        <v>Seneca</v>
      </c>
      <c r="E1248" s="19">
        <f>IFERROR(SUMIF(A:A,D1248,B:B),0)</f>
        <v>0</v>
      </c>
      <c r="F1248" s="652" t="s">
        <v>31</v>
      </c>
      <c r="G1248" s="652" t="s">
        <v>32</v>
      </c>
    </row>
    <row r="1249" spans="3:7" hidden="1" x14ac:dyDescent="0.25">
      <c r="C1249" s="9">
        <f>C1248</f>
        <v>0</v>
      </c>
      <c r="D1249" s="30"/>
      <c r="E1249" s="31"/>
      <c r="F1249" s="680" t="s">
        <v>54</v>
      </c>
      <c r="G1249" s="680" t="s">
        <v>53</v>
      </c>
    </row>
    <row r="1250" spans="3:7" hidden="1" x14ac:dyDescent="0.25">
      <c r="C1250" s="9">
        <f t="shared" ref="C1250:C1265" si="311">C1249</f>
        <v>0</v>
      </c>
      <c r="D1250" s="32" t="s">
        <v>71</v>
      </c>
      <c r="E1250" s="33"/>
      <c r="F1250" s="681"/>
      <c r="G1250" s="682"/>
    </row>
    <row r="1251" spans="3:7" hidden="1" x14ac:dyDescent="0.25">
      <c r="C1251" s="9">
        <f t="shared" si="311"/>
        <v>0</v>
      </c>
      <c r="D1251" s="364" t="s">
        <v>72</v>
      </c>
      <c r="E1251" s="12" t="s">
        <v>57</v>
      </c>
      <c r="F1251" s="683">
        <f t="shared" ref="F1251:G1251" si="312">+$E1248*F$6</f>
        <v>0</v>
      </c>
      <c r="G1251" s="683">
        <f t="shared" si="312"/>
        <v>0</v>
      </c>
    </row>
    <row r="1252" spans="3:7" hidden="1" x14ac:dyDescent="0.25">
      <c r="C1252" s="9">
        <f t="shared" si="311"/>
        <v>0</v>
      </c>
      <c r="D1252" s="364" t="s">
        <v>73</v>
      </c>
      <c r="E1252" s="12" t="s">
        <v>56</v>
      </c>
      <c r="F1252" s="683">
        <f t="shared" ref="F1252:G1252" si="313">+$E1248*F$7</f>
        <v>0</v>
      </c>
      <c r="G1252" s="683">
        <f t="shared" si="313"/>
        <v>0</v>
      </c>
    </row>
    <row r="1253" spans="3:7" hidden="1" x14ac:dyDescent="0.25">
      <c r="C1253" s="9">
        <f t="shared" si="311"/>
        <v>0</v>
      </c>
      <c r="D1253" s="364" t="s">
        <v>74</v>
      </c>
      <c r="E1253" s="12" t="s">
        <v>55</v>
      </c>
      <c r="F1253" s="683">
        <f t="shared" ref="F1253:G1253" si="314">+$E1248*F$8</f>
        <v>0</v>
      </c>
      <c r="G1253" s="683">
        <f t="shared" si="314"/>
        <v>0</v>
      </c>
    </row>
    <row r="1254" spans="3:7" hidden="1" x14ac:dyDescent="0.25">
      <c r="C1254" s="9">
        <f t="shared" si="311"/>
        <v>0</v>
      </c>
      <c r="D1254" s="364" t="s">
        <v>75</v>
      </c>
      <c r="E1254" s="12" t="s">
        <v>54</v>
      </c>
      <c r="F1254" s="683">
        <f t="shared" ref="F1254:G1254" si="315">+$E1248*F$9</f>
        <v>0</v>
      </c>
      <c r="G1254" s="683">
        <f t="shared" si="315"/>
        <v>0</v>
      </c>
    </row>
    <row r="1255" spans="3:7" hidden="1" x14ac:dyDescent="0.25">
      <c r="C1255" s="9">
        <f t="shared" si="311"/>
        <v>0</v>
      </c>
      <c r="D1255" s="34" t="s">
        <v>467</v>
      </c>
      <c r="E1255" s="12" t="s">
        <v>53</v>
      </c>
      <c r="F1255" s="683">
        <f t="shared" ref="F1255:G1255" si="316">+$E1248*F$10</f>
        <v>0</v>
      </c>
      <c r="G1255" s="683">
        <f t="shared" si="316"/>
        <v>0</v>
      </c>
    </row>
    <row r="1256" spans="3:7" hidden="1" x14ac:dyDescent="0.25">
      <c r="C1256" s="9">
        <f t="shared" si="311"/>
        <v>0</v>
      </c>
      <c r="D1256" s="34" t="s">
        <v>76</v>
      </c>
      <c r="E1256" s="12" t="s">
        <v>52</v>
      </c>
      <c r="F1256" s="683">
        <f>+$E1248*F$11</f>
        <v>0</v>
      </c>
      <c r="G1256" s="683">
        <f>+$E1248*G$11</f>
        <v>0</v>
      </c>
    </row>
    <row r="1257" spans="3:7" hidden="1" x14ac:dyDescent="0.25">
      <c r="C1257" s="9">
        <f t="shared" si="311"/>
        <v>0</v>
      </c>
      <c r="D1257" s="34" t="s">
        <v>468</v>
      </c>
      <c r="E1257" s="12" t="s">
        <v>51</v>
      </c>
      <c r="F1257" s="683">
        <f>+$E1248*F$12</f>
        <v>0</v>
      </c>
      <c r="G1257" s="683">
        <f>+$E1248*G$12</f>
        <v>0</v>
      </c>
    </row>
    <row r="1258" spans="3:7" hidden="1" x14ac:dyDescent="0.25">
      <c r="C1258" s="9">
        <f t="shared" si="311"/>
        <v>0</v>
      </c>
      <c r="D1258" s="364" t="s">
        <v>59</v>
      </c>
      <c r="E1258" s="12" t="s">
        <v>50</v>
      </c>
      <c r="F1258" s="683">
        <f>+$E1248*F$13</f>
        <v>0</v>
      </c>
      <c r="G1258" s="683">
        <f>+$E1248*G$13</f>
        <v>0</v>
      </c>
    </row>
    <row r="1259" spans="3:7" hidden="1" x14ac:dyDescent="0.25">
      <c r="C1259" s="9">
        <f t="shared" si="311"/>
        <v>0</v>
      </c>
      <c r="D1259" s="364" t="s">
        <v>25</v>
      </c>
      <c r="E1259" s="12" t="s">
        <v>49</v>
      </c>
      <c r="F1259" s="683">
        <f>+$E1248*F$14</f>
        <v>0</v>
      </c>
      <c r="G1259" s="683">
        <f>+$E1248*G$14</f>
        <v>0</v>
      </c>
    </row>
    <row r="1260" spans="3:7" hidden="1" x14ac:dyDescent="0.25">
      <c r="C1260" s="9">
        <f t="shared" si="311"/>
        <v>0</v>
      </c>
      <c r="D1260" s="364" t="s">
        <v>466</v>
      </c>
      <c r="E1260" s="12" t="s">
        <v>47</v>
      </c>
      <c r="F1260" s="683">
        <f>+$E1248*F$15</f>
        <v>0</v>
      </c>
      <c r="G1260" s="683">
        <f>+$E1248*G$15</f>
        <v>0</v>
      </c>
    </row>
    <row r="1261" spans="3:7" hidden="1" x14ac:dyDescent="0.25">
      <c r="C1261" s="9">
        <f t="shared" si="311"/>
        <v>0</v>
      </c>
      <c r="D1261" s="364" t="s">
        <v>82</v>
      </c>
      <c r="E1261" s="12" t="s">
        <v>77</v>
      </c>
      <c r="F1261" s="683">
        <f>+$E1248*F$16</f>
        <v>0</v>
      </c>
      <c r="G1261" s="683">
        <f>+$E1248*G$16</f>
        <v>0</v>
      </c>
    </row>
    <row r="1262" spans="3:7" hidden="1" x14ac:dyDescent="0.25">
      <c r="C1262" s="9">
        <f t="shared" si="311"/>
        <v>0</v>
      </c>
      <c r="D1262" s="364" t="s">
        <v>84</v>
      </c>
      <c r="E1262" s="12" t="s">
        <v>78</v>
      </c>
      <c r="F1262" s="683">
        <f ca="1">+$E1248*F$17</f>
        <v>0</v>
      </c>
      <c r="G1262" s="683">
        <f>+$E1248*G$17</f>
        <v>0</v>
      </c>
    </row>
    <row r="1263" spans="3:7" hidden="1" x14ac:dyDescent="0.25">
      <c r="C1263" s="9">
        <f t="shared" si="311"/>
        <v>0</v>
      </c>
      <c r="D1263" s="364" t="s">
        <v>86</v>
      </c>
      <c r="E1263" s="12" t="s">
        <v>79</v>
      </c>
      <c r="F1263" s="683">
        <f>+$E$1248*F18</f>
        <v>0</v>
      </c>
      <c r="G1263" s="683">
        <f>+$E$1248*G18</f>
        <v>0</v>
      </c>
    </row>
    <row r="1264" spans="3:7" hidden="1" x14ac:dyDescent="0.25">
      <c r="C1264" s="9">
        <f t="shared" si="311"/>
        <v>0</v>
      </c>
      <c r="D1264" s="364" t="s">
        <v>386</v>
      </c>
      <c r="E1264" s="12" t="s">
        <v>81</v>
      </c>
      <c r="F1264" s="683">
        <f>+$E$1248*F19</f>
        <v>0</v>
      </c>
      <c r="G1264" s="683">
        <f>+$E$1248*G19</f>
        <v>0</v>
      </c>
    </row>
    <row r="1265" spans="3:7" ht="15.75" hidden="1" thickBot="1" x14ac:dyDescent="0.3">
      <c r="C1265" s="9">
        <f t="shared" si="311"/>
        <v>0</v>
      </c>
      <c r="D1265" s="35" t="s">
        <v>22</v>
      </c>
      <c r="E1265" s="12" t="s">
        <v>83</v>
      </c>
      <c r="F1265" s="685">
        <f>SUBTOTAL(9,F1251:F1264)</f>
        <v>0</v>
      </c>
      <c r="G1265" s="685">
        <f>SUBTOTAL(9,G1251:G1264)</f>
        <v>0</v>
      </c>
    </row>
    <row r="1266" spans="3:7" hidden="1" x14ac:dyDescent="0.25">
      <c r="C1266" s="9">
        <f t="shared" ref="C1266:C1270" si="317">C1265</f>
        <v>0</v>
      </c>
      <c r="D1266" s="326"/>
      <c r="E1266" s="333"/>
      <c r="F1266" s="686"/>
      <c r="G1266" s="686"/>
    </row>
    <row r="1267" spans="3:7" x14ac:dyDescent="0.25">
      <c r="C1267" s="9">
        <v>1</v>
      </c>
      <c r="D1267" s="326" t="s">
        <v>379</v>
      </c>
      <c r="E1267" s="334">
        <f>SUM(E23:E1265)</f>
        <v>0.38936115279845096</v>
      </c>
      <c r="F1267" s="686"/>
      <c r="G1267" s="686"/>
    </row>
    <row r="1268" spans="3:7" x14ac:dyDescent="0.25">
      <c r="C1268" s="9">
        <v>1</v>
      </c>
      <c r="D1268" s="326"/>
      <c r="E1268" s="333"/>
      <c r="F1268" s="686"/>
      <c r="G1268" s="686"/>
    </row>
    <row r="1269" spans="3:7" x14ac:dyDescent="0.25">
      <c r="C1269" s="9">
        <f t="shared" si="317"/>
        <v>1</v>
      </c>
      <c r="E1269" s="10" t="s">
        <v>68</v>
      </c>
      <c r="F1269" s="648">
        <f ca="1">SUBTOTAL(9,F23:F1267)</f>
        <v>11539944.483230112</v>
      </c>
      <c r="G1269" s="648">
        <f>SUBTOTAL(9,G23:G1267)</f>
        <v>0</v>
      </c>
    </row>
    <row r="1270" spans="3:7" x14ac:dyDescent="0.25">
      <c r="C1270" s="9">
        <f t="shared" si="317"/>
        <v>1</v>
      </c>
      <c r="E1270" s="29" t="s">
        <v>69</v>
      </c>
      <c r="F1270" s="687">
        <f ca="1">+F1269-F20</f>
        <v>-18098206.11368794</v>
      </c>
      <c r="G1270" s="687">
        <f>+G1269-G20</f>
        <v>0</v>
      </c>
    </row>
  </sheetData>
  <autoFilter ref="A1:I1270" xr:uid="{00000000-0009-0000-0000-000009000000}">
    <filterColumn colId="2">
      <filters>
        <filter val="1"/>
      </filters>
    </filterColumn>
  </autoFilter>
  <customSheetViews>
    <customSheetView guid="{DE5AAEC6-B417-4CB5-A2E1-8776196B56AA}" scale="80" showPageBreaks="1" fitToPage="1" printArea="1">
      <selection activeCell="D276" sqref="D276"/>
      <pageMargins left="0.7" right="0.7" top="0.75" bottom="0.75" header="0.3" footer="0.3"/>
      <pageSetup paperSize="17" scale="81" orientation="landscape" r:id="rId1"/>
    </customSheetView>
    <customSheetView guid="{3ACE1F12-3844-4D90-9B24-992DA32A7B7A}" scale="80" fitToPage="1">
      <selection activeCell="D276" sqref="D276"/>
      <pageMargins left="0.7" right="0.7" top="0.75" bottom="0.75" header="0.3" footer="0.3"/>
      <pageSetup paperSize="17" scale="81" orientation="landscape" r:id="rId2"/>
    </customSheetView>
  </customSheetViews>
  <phoneticPr fontId="100" type="noConversion"/>
  <conditionalFormatting sqref="E1267">
    <cfRule type="cellIs" dxfId="770" priority="4" operator="lessThan">
      <formula>1</formula>
    </cfRule>
    <cfRule type="cellIs" dxfId="769" priority="5" operator="greaterThan">
      <formula>1</formula>
    </cfRule>
    <cfRule type="cellIs" dxfId="768" priority="6" operator="equal">
      <formula>1</formula>
    </cfRule>
  </conditionalFormatting>
  <conditionalFormatting sqref="F1270:G1270">
    <cfRule type="cellIs" dxfId="767" priority="1" operator="lessThan">
      <formula>0</formula>
    </cfRule>
    <cfRule type="cellIs" dxfId="766" priority="2" operator="greaterThan">
      <formula>0</formula>
    </cfRule>
    <cfRule type="cellIs" dxfId="765" priority="3" operator="equal">
      <formula>0</formula>
    </cfRule>
  </conditionalFormatting>
  <pageMargins left="0.7" right="0.7" top="0.75" bottom="0.75" header="0.3" footer="0.3"/>
  <pageSetup paperSize="17" scale="53" orientation="landscape"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 filterMode="1">
    <tabColor rgb="FF92D050"/>
    <pageSetUpPr fitToPage="1"/>
  </sheetPr>
  <dimension ref="A1:I1233"/>
  <sheetViews>
    <sheetView workbookViewId="0"/>
  </sheetViews>
  <sheetFormatPr defaultColWidth="9.28515625" defaultRowHeight="15" x14ac:dyDescent="0.25"/>
  <cols>
    <col min="1" max="1" width="16.28515625" style="119" bestFit="1" customWidth="1"/>
    <col min="2" max="2" width="15.7109375" style="310" bestFit="1" customWidth="1"/>
    <col min="3" max="3" width="8.85546875" style="9" customWidth="1"/>
    <col min="4" max="4" width="55.7109375" style="9" customWidth="1"/>
    <col min="5" max="5" width="10" style="10" bestFit="1" customWidth="1"/>
    <col min="6" max="7" width="17.7109375" style="648" customWidth="1"/>
    <col min="8" max="8" width="14.7109375" style="648" bestFit="1" customWidth="1"/>
    <col min="9" max="9" width="13" style="9" bestFit="1" customWidth="1"/>
    <col min="10" max="16384" width="9.28515625" style="9"/>
  </cols>
  <sheetData>
    <row r="1" spans="1:9" x14ac:dyDescent="0.25">
      <c r="A1" s="289" t="s">
        <v>15</v>
      </c>
      <c r="B1" s="62"/>
      <c r="C1" s="36">
        <v>1</v>
      </c>
      <c r="D1" s="42" t="s">
        <v>65</v>
      </c>
      <c r="E1" s="366"/>
      <c r="F1" s="586"/>
      <c r="G1" s="586"/>
    </row>
    <row r="2" spans="1:9" ht="15.75" thickBot="1" x14ac:dyDescent="0.3">
      <c r="A2" s="62"/>
      <c r="B2" s="62"/>
      <c r="C2" s="36">
        <v>1</v>
      </c>
      <c r="D2" s="41" t="s">
        <v>66</v>
      </c>
      <c r="E2" s="367"/>
      <c r="F2" s="586"/>
      <c r="G2" s="586"/>
    </row>
    <row r="3" spans="1:9" ht="30" x14ac:dyDescent="0.25">
      <c r="A3" s="121"/>
      <c r="B3" s="121"/>
      <c r="C3" s="36">
        <v>1</v>
      </c>
      <c r="D3" s="39" t="s">
        <v>90</v>
      </c>
      <c r="E3" s="365">
        <f>+(IFERROR(GETPIVOTDATA("Unique Billed Hours",'HHA-CDPAP'!$A$3,"HHA/CDPAP","CDPAP"),0))</f>
        <v>0.35046017298789561</v>
      </c>
      <c r="F3" s="652" t="s">
        <v>31</v>
      </c>
      <c r="G3" s="652" t="s">
        <v>32</v>
      </c>
    </row>
    <row r="4" spans="1:9" x14ac:dyDescent="0.25">
      <c r="A4" s="553" t="s">
        <v>303</v>
      </c>
      <c r="B4" s="309">
        <f>IFERROR(+GETPIVOTDATA("Unique Billed Hours",'County allocation'!$S$3,"County",A4,"HHA/CDPAP","CDPAP"),0)</f>
        <v>2.8863005701790602E-2</v>
      </c>
      <c r="C4" s="9">
        <v>1</v>
      </c>
      <c r="D4" s="30"/>
      <c r="E4" s="31"/>
      <c r="F4" s="680" t="s">
        <v>54</v>
      </c>
      <c r="G4" s="680" t="s">
        <v>53</v>
      </c>
    </row>
    <row r="5" spans="1:9" x14ac:dyDescent="0.25">
      <c r="A5" s="553" t="s">
        <v>304</v>
      </c>
      <c r="B5" s="309">
        <f>IFERROR(+GETPIVOTDATA("Unique Billed Hours",'County allocation'!$S$3,"County",A5,"HHA/CDPAP","CDPAP"),0)</f>
        <v>6.0503815062404201E-4</v>
      </c>
      <c r="C5" s="9">
        <v>1</v>
      </c>
      <c r="D5" s="32" t="s">
        <v>71</v>
      </c>
      <c r="E5" s="33"/>
      <c r="F5" s="681"/>
      <c r="G5" s="682"/>
    </row>
    <row r="6" spans="1:9" x14ac:dyDescent="0.25">
      <c r="A6" s="553" t="s">
        <v>305</v>
      </c>
      <c r="B6" s="309">
        <f>IFERROR(+GETPIVOTDATA("Unique Billed Hours",'County allocation'!$S$3,"County",A6,"HHA/CDPAP","CDPAP"),0)</f>
        <v>0.10098052035465671</v>
      </c>
      <c r="C6" s="9">
        <v>1</v>
      </c>
      <c r="D6" s="368" t="s">
        <v>72</v>
      </c>
      <c r="E6" s="12" t="s">
        <v>57</v>
      </c>
      <c r="F6" s="683">
        <f>SUMIFS('TB Tagging'!$B:$B,'TB Tagging'!$D:$D,$D6,'TB Tagging'!$E:$E,F$3)*$E$3</f>
        <v>0</v>
      </c>
      <c r="G6" s="682"/>
    </row>
    <row r="7" spans="1:9" x14ac:dyDescent="0.25">
      <c r="A7" s="553" t="s">
        <v>306</v>
      </c>
      <c r="B7" s="309">
        <f>IFERROR(+GETPIVOTDATA("Unique Billed Hours",'County allocation'!$S$3,"County",A7,"HHA/CDPAP","CDPAP"),0)</f>
        <v>1.3044882123262387E-2</v>
      </c>
      <c r="C7" s="9">
        <v>1</v>
      </c>
      <c r="D7" s="368" t="s">
        <v>73</v>
      </c>
      <c r="E7" s="12" t="s">
        <v>56</v>
      </c>
      <c r="F7" s="683">
        <f>SUMIFS('TB Tagging'!$B:$B,'TB Tagging'!$D:$D,$D7,'TB Tagging'!$E:$E,F$3)*$E$3</f>
        <v>438129.52704787743</v>
      </c>
      <c r="G7" s="682"/>
    </row>
    <row r="8" spans="1:9" x14ac:dyDescent="0.25">
      <c r="A8" s="553" t="s">
        <v>307</v>
      </c>
      <c r="B8" s="309">
        <f>IFERROR(+GETPIVOTDATA("Unique Billed Hours",'County allocation'!$S$3,"County",A8,"HHA/CDPAP","CDPAP"),0)</f>
        <v>2.4245220368889499E-3</v>
      </c>
      <c r="C8" s="9">
        <v>1</v>
      </c>
      <c r="D8" s="368" t="s">
        <v>74</v>
      </c>
      <c r="E8" s="12" t="s">
        <v>55</v>
      </c>
      <c r="F8" s="683">
        <f>SUMIFS('TB Tagging'!$B:$B,'TB Tagging'!$D:$D,$D8,'TB Tagging'!$E:$E,F$3)*$E$3</f>
        <v>65682.92670263398</v>
      </c>
      <c r="G8" s="682"/>
    </row>
    <row r="9" spans="1:9" x14ac:dyDescent="0.25">
      <c r="A9" s="553" t="s">
        <v>308</v>
      </c>
      <c r="B9" s="309">
        <f>IFERROR(+GETPIVOTDATA("Unique Billed Hours",'County allocation'!$S$3,"County",A9,"HHA/CDPAP","CDPAP"),0)</f>
        <v>2.2764753186393966E-3</v>
      </c>
      <c r="C9" s="9">
        <v>1</v>
      </c>
      <c r="D9" s="368" t="s">
        <v>75</v>
      </c>
      <c r="E9" s="12" t="s">
        <v>54</v>
      </c>
      <c r="F9" s="683">
        <f>SUMIFS('TB Tagging'!$B:$B,'TB Tagging'!$D:$D,$D9,'TB Tagging'!$E:$E,F$3)*$E$3</f>
        <v>134246.8988723582</v>
      </c>
      <c r="G9" s="682"/>
    </row>
    <row r="10" spans="1:9" x14ac:dyDescent="0.25">
      <c r="A10" s="553" t="s">
        <v>309</v>
      </c>
      <c r="B10" s="309">
        <f>IFERROR(+GETPIVOTDATA("Unique Billed Hours",'County allocation'!$S$3,"County",A10,"HHA/CDPAP","CDPAP"),0)</f>
        <v>4.8428754605175017E-3</v>
      </c>
      <c r="C10" s="9">
        <v>1</v>
      </c>
      <c r="D10" s="34" t="s">
        <v>467</v>
      </c>
      <c r="E10" s="12" t="s">
        <v>53</v>
      </c>
      <c r="F10" s="683">
        <f>SUMIFS('TB Tagging'!$B:$B,'TB Tagging'!$D:$D,$D10,'TB Tagging'!$E:$E,F$3)*$E$3</f>
        <v>642836.37711201923</v>
      </c>
      <c r="G10" s="682"/>
    </row>
    <row r="11" spans="1:9" x14ac:dyDescent="0.25">
      <c r="A11" s="553" t="s">
        <v>310</v>
      </c>
      <c r="B11" s="309">
        <f>IFERROR(+GETPIVOTDATA("Unique Billed Hours",'County allocation'!$S$3,"County",A11,"HHA/CDPAP","CDPAP"),0)</f>
        <v>4.5517940222924687E-3</v>
      </c>
      <c r="C11" s="9">
        <v>1</v>
      </c>
      <c r="D11" s="34" t="s">
        <v>76</v>
      </c>
      <c r="E11" s="12" t="s">
        <v>52</v>
      </c>
      <c r="F11" s="683">
        <f>SUMIFS('TB Tagging'!$B:$B,'TB Tagging'!$D:$D,$D11,'TB Tagging'!$E:$E,F$3)*$E$3</f>
        <v>146983.05262475109</v>
      </c>
      <c r="G11" s="682"/>
    </row>
    <row r="12" spans="1:9" x14ac:dyDescent="0.25">
      <c r="A12" s="553" t="s">
        <v>360</v>
      </c>
      <c r="B12" s="309">
        <f>IFERROR(+GETPIVOTDATA("Unique Billed Hours",'County allocation'!$S$3,"County",A12,"HHA/CDPAP","CDPAP"),0)</f>
        <v>2.3404746812160262E-3</v>
      </c>
      <c r="C12" s="9">
        <v>1</v>
      </c>
      <c r="D12" s="34" t="s">
        <v>468</v>
      </c>
      <c r="E12" s="12" t="s">
        <v>51</v>
      </c>
      <c r="F12" s="683">
        <f>SUMIFS('TB Tagging'!$B:$B,'TB Tagging'!$D:$D,$D12,'TB Tagging'!$E:$E,F$3)*$E$3</f>
        <v>0</v>
      </c>
      <c r="G12" s="682"/>
    </row>
    <row r="13" spans="1:9" x14ac:dyDescent="0.25">
      <c r="A13" s="553" t="s">
        <v>311</v>
      </c>
      <c r="B13" s="309">
        <f>IFERROR(+GETPIVOTDATA("Unique Billed Hours",'County allocation'!$S$3,"County",A13,"HHA/CDPAP","CDPAP"),0)</f>
        <v>1.9496030722264293E-3</v>
      </c>
      <c r="C13" s="9">
        <v>1</v>
      </c>
      <c r="D13" s="368" t="s">
        <v>59</v>
      </c>
      <c r="E13" s="12" t="s">
        <v>50</v>
      </c>
      <c r="F13" s="683">
        <f>SUMIFS('TB Tagging'!$B:$B,'TB Tagging'!$D:$D,$D13,'TB Tagging'!$E:$E,F$3)*$E$3</f>
        <v>23273.902381048305</v>
      </c>
      <c r="G13" s="682"/>
    </row>
    <row r="14" spans="1:9" x14ac:dyDescent="0.25">
      <c r="A14" s="553" t="s">
        <v>312</v>
      </c>
      <c r="B14" s="309">
        <f>IFERROR(+GETPIVOTDATA("Unique Billed Hours",'County allocation'!$S$3,"County",A14,"HHA/CDPAP","CDPAP"),0)</f>
        <v>5.0344880099186158E-4</v>
      </c>
      <c r="C14" s="9">
        <v>1</v>
      </c>
      <c r="D14" s="368" t="s">
        <v>25</v>
      </c>
      <c r="E14" s="12" t="s">
        <v>49</v>
      </c>
      <c r="F14" s="683">
        <f>SUMIFS('TB Tagging'!$B:$B,'TB Tagging'!$D:$D,$D14,'TB Tagging'!$E:$E,F$3)*$E$3</f>
        <v>76212.562178284701</v>
      </c>
      <c r="G14" s="682"/>
    </row>
    <row r="15" spans="1:9" x14ac:dyDescent="0.25">
      <c r="A15" s="553" t="s">
        <v>313</v>
      </c>
      <c r="B15" s="309">
        <f>IFERROR(+GETPIVOTDATA("Unique Billed Hours",'County allocation'!$S$3,"County",A15,"HHA/CDPAP","CDPAP"),0)</f>
        <v>1.1321975588355585E-3</v>
      </c>
      <c r="C15" s="9">
        <v>1</v>
      </c>
      <c r="D15" s="368" t="s">
        <v>466</v>
      </c>
      <c r="E15" s="12" t="s">
        <v>47</v>
      </c>
      <c r="F15" s="683">
        <f>SUMIFS('TB Tagging'!$B:$B,'TB Tagging'!$D:$D,$D15,'TB Tagging'!$E:$E,F$3)*$E$3</f>
        <v>284345.80878470314</v>
      </c>
      <c r="G15" s="682"/>
    </row>
    <row r="16" spans="1:9" x14ac:dyDescent="0.25">
      <c r="A16" s="553" t="s">
        <v>314</v>
      </c>
      <c r="B16" s="309">
        <f>IFERROR(+GETPIVOTDATA("Unique Billed Hours",'County allocation'!$S$3,"County",A16,"HHA/CDPAP","CDPAP"),0)</f>
        <v>1.0651138896287298E-3</v>
      </c>
      <c r="C16" s="9">
        <v>1</v>
      </c>
      <c r="D16" s="368" t="s">
        <v>82</v>
      </c>
      <c r="E16" s="12" t="s">
        <v>77</v>
      </c>
      <c r="F16" s="683">
        <f>SUMIFS('TB Tagging'!$B:$B,'TB Tagging'!$D:$D,$D16,'TB Tagging'!$E:$E,F$3)*$E$3</f>
        <v>192678.2754010114</v>
      </c>
      <c r="G16" s="682"/>
      <c r="I16" s="15"/>
    </row>
    <row r="17" spans="1:9" x14ac:dyDescent="0.25">
      <c r="A17" s="553" t="s">
        <v>315</v>
      </c>
      <c r="B17" s="309">
        <f>IFERROR(+GETPIVOTDATA("Unique Billed Hours",'County allocation'!$S$3,"County",A17,"HHA/CDPAP","CDPAP"),0)</f>
        <v>8.4414902213022138E-3</v>
      </c>
      <c r="C17" s="9">
        <v>1</v>
      </c>
      <c r="D17" s="368" t="s">
        <v>84</v>
      </c>
      <c r="E17" s="12" t="s">
        <v>78</v>
      </c>
      <c r="F17" s="683">
        <f ca="1">SUMIFS('TB Tagging'!$B:$B,'TB Tagging'!$D:$D,$D17,'TB Tagging'!$E:$E,F$3)*$E$3</f>
        <v>13774737.448076636</v>
      </c>
      <c r="G17" s="682"/>
    </row>
    <row r="18" spans="1:9" x14ac:dyDescent="0.25">
      <c r="A18" s="553" t="s">
        <v>316</v>
      </c>
      <c r="B18" s="309">
        <f>IFERROR(+GETPIVOTDATA("Unique Billed Hours",'County allocation'!$S$3,"County",A18,"HHA/CDPAP","CDPAP"),0)</f>
        <v>2.6305537197862446E-2</v>
      </c>
      <c r="C18" s="9">
        <v>1</v>
      </c>
      <c r="D18" s="368" t="s">
        <v>86</v>
      </c>
      <c r="E18" s="12" t="s">
        <v>79</v>
      </c>
      <c r="F18" s="688">
        <v>0</v>
      </c>
      <c r="G18" s="684">
        <v>0</v>
      </c>
    </row>
    <row r="19" spans="1:9" x14ac:dyDescent="0.25">
      <c r="A19" s="553" t="s">
        <v>317</v>
      </c>
      <c r="B19" s="309">
        <f>IFERROR(+GETPIVOTDATA("Unique Billed Hours",'County allocation'!$S$3,"County",A19,"HHA/CDPAP","CDPAP"),0)</f>
        <v>2.022791098305527E-4</v>
      </c>
      <c r="C19" s="9">
        <v>1</v>
      </c>
      <c r="D19" s="368" t="s">
        <v>386</v>
      </c>
      <c r="E19" s="12" t="s">
        <v>81</v>
      </c>
      <c r="F19" s="683"/>
      <c r="G19" s="683">
        <f>SUMIFS('TB Tagging'!$B:$B,'TB Tagging'!$D:$D,$D19,'TB Tagging'!$E:$E,F$3)*$E$3</f>
        <v>0</v>
      </c>
    </row>
    <row r="20" spans="1:9" ht="15.75" thickBot="1" x14ac:dyDescent="0.3">
      <c r="A20" s="553" t="s">
        <v>318</v>
      </c>
      <c r="B20" s="309">
        <f>IFERROR(+GETPIVOTDATA("Unique Billed Hours",'County allocation'!$S$3,"County",A20,"HHA/CDPAP","CDPAP"),0)</f>
        <v>9.3602280587727475E-4</v>
      </c>
      <c r="C20" s="9">
        <v>1</v>
      </c>
      <c r="D20" s="35" t="s">
        <v>22</v>
      </c>
      <c r="E20" s="12" t="s">
        <v>83</v>
      </c>
      <c r="F20" s="685">
        <f ca="1">SUBTOTAL(9,F6:F19)</f>
        <v>15779126.779181322</v>
      </c>
      <c r="G20" s="685">
        <f>SUBTOTAL(9,G6:G19)</f>
        <v>0</v>
      </c>
      <c r="H20" s="685">
        <f ca="1">G20+F20</f>
        <v>15779126.779181322</v>
      </c>
      <c r="I20" s="44"/>
    </row>
    <row r="21" spans="1:9" ht="15.75" thickBot="1" x14ac:dyDescent="0.3">
      <c r="A21" s="201" t="s">
        <v>319</v>
      </c>
      <c r="B21" s="309">
        <f>IFERROR(+GETPIVOTDATA("Unique Billed Hours",'County allocation'!$S$3,"County",A21,"HHA/CDPAP","CDPAP"),0)</f>
        <v>4.1658701551888161E-3</v>
      </c>
      <c r="C21" s="9">
        <v>1</v>
      </c>
    </row>
    <row r="22" spans="1:9" ht="15.75" hidden="1" thickBot="1" x14ac:dyDescent="0.3">
      <c r="A22" s="201" t="s">
        <v>320</v>
      </c>
      <c r="B22" s="309">
        <f>IFERROR(+GETPIVOTDATA("Unique Billed Hours",'County allocation'!$S$3,"County",A22,"HHA/CDPAP","CDPAP"),0)</f>
        <v>1.7283040715096493E-3</v>
      </c>
      <c r="H22" s="9"/>
    </row>
    <row r="23" spans="1:9" ht="30" x14ac:dyDescent="0.25">
      <c r="A23" s="201" t="s">
        <v>321</v>
      </c>
      <c r="B23" s="309">
        <f>IFERROR(+GETPIVOTDATA("Unique Billed Hours",'County allocation'!$S$3,"County",A23,"HHA/CDPAP","CDPAP"),0)</f>
        <v>1.8330419841601578E-3</v>
      </c>
      <c r="C23" s="9">
        <f ca="1">IF(F40&gt;0,1,0)</f>
        <v>1</v>
      </c>
      <c r="D23" s="20" t="str">
        <f>+A4</f>
        <v>Albany</v>
      </c>
      <c r="E23" s="19">
        <f>IFERROR(SUMIF(A:A,D23,B:B),0)</f>
        <v>2.8863005701790602E-2</v>
      </c>
      <c r="F23" s="652" t="s">
        <v>31</v>
      </c>
      <c r="G23" s="652" t="s">
        <v>32</v>
      </c>
      <c r="H23" s="9"/>
    </row>
    <row r="24" spans="1:9" x14ac:dyDescent="0.25">
      <c r="A24" s="201" t="s">
        <v>322</v>
      </c>
      <c r="B24" s="309">
        <f>IFERROR(+GETPIVOTDATA("Unique Billed Hours",'County allocation'!$S$3,"County",A24,"HHA/CDPAP","CDPAP"),0)</f>
        <v>1.0782221928070756E-4</v>
      </c>
      <c r="C24" s="9">
        <f ca="1">C23</f>
        <v>1</v>
      </c>
      <c r="D24" s="30"/>
      <c r="E24" s="31"/>
      <c r="F24" s="680" t="s">
        <v>54</v>
      </c>
      <c r="G24" s="680" t="s">
        <v>53</v>
      </c>
      <c r="H24" s="9"/>
    </row>
    <row r="25" spans="1:9" x14ac:dyDescent="0.25">
      <c r="A25" s="201" t="s">
        <v>323</v>
      </c>
      <c r="B25" s="309">
        <f>IFERROR(+GETPIVOTDATA("Unique Billed Hours",'County allocation'!$S$3,"County",A25,"HHA/CDPAP","CDPAP"),0)</f>
        <v>1.6613489150790787E-3</v>
      </c>
      <c r="C25" s="9">
        <f t="shared" ref="C25:C40" ca="1" si="0">C24</f>
        <v>1</v>
      </c>
      <c r="D25" s="32" t="s">
        <v>71</v>
      </c>
      <c r="E25" s="33"/>
      <c r="F25" s="681"/>
      <c r="G25" s="682"/>
      <c r="H25" s="9"/>
    </row>
    <row r="26" spans="1:9" x14ac:dyDescent="0.25">
      <c r="A26" s="201" t="s">
        <v>324</v>
      </c>
      <c r="B26" s="309">
        <f>IFERROR(+GETPIVOTDATA("Unique Billed Hours",'County allocation'!$S$3,"County",A26,"HHA/CDPAP","CDPAP"),0)</f>
        <v>6.5581997416250632E-3</v>
      </c>
      <c r="C26" s="9">
        <f t="shared" ca="1" si="0"/>
        <v>1</v>
      </c>
      <c r="D26" s="368" t="s">
        <v>72</v>
      </c>
      <c r="E26" s="12" t="s">
        <v>57</v>
      </c>
      <c r="F26" s="683">
        <f t="shared" ref="F26:G39" si="1">+$E$23*F6</f>
        <v>0</v>
      </c>
      <c r="G26" s="683">
        <f t="shared" si="1"/>
        <v>0</v>
      </c>
      <c r="H26" s="9"/>
    </row>
    <row r="27" spans="1:9" x14ac:dyDescent="0.25">
      <c r="A27" s="201" t="s">
        <v>365</v>
      </c>
      <c r="B27" s="309">
        <f>IFERROR(+GETPIVOTDATA("Unique Billed Hours",'County allocation'!$S$3,"County",A27,"HHA/CDPAP","CDPAP"),0)</f>
        <v>0.19849003913535318</v>
      </c>
      <c r="C27" s="9">
        <f t="shared" ca="1" si="0"/>
        <v>1</v>
      </c>
      <c r="D27" s="368" t="s">
        <v>73</v>
      </c>
      <c r="E27" s="12" t="s">
        <v>56</v>
      </c>
      <c r="F27" s="683">
        <f t="shared" si="1"/>
        <v>12645.735037305705</v>
      </c>
      <c r="G27" s="683">
        <f t="shared" si="1"/>
        <v>0</v>
      </c>
      <c r="H27" s="9"/>
    </row>
    <row r="28" spans="1:9" x14ac:dyDescent="0.25">
      <c r="A28" s="201" t="s">
        <v>325</v>
      </c>
      <c r="B28" s="309">
        <f>IFERROR(+GETPIVOTDATA("Unique Billed Hours",'County allocation'!$S$3,"County",A28,"HHA/CDPAP","CDPAP"),0)</f>
        <v>1.5695907928306577E-3</v>
      </c>
      <c r="C28" s="9">
        <f t="shared" ca="1" si="0"/>
        <v>1</v>
      </c>
      <c r="D28" s="368" t="s">
        <v>74</v>
      </c>
      <c r="E28" s="12" t="s">
        <v>55</v>
      </c>
      <c r="F28" s="683">
        <f t="shared" si="1"/>
        <v>1895.8066879284188</v>
      </c>
      <c r="G28" s="683">
        <f t="shared" si="1"/>
        <v>0</v>
      </c>
      <c r="H28" s="9"/>
    </row>
    <row r="29" spans="1:9" x14ac:dyDescent="0.25">
      <c r="A29" s="201" t="s">
        <v>326</v>
      </c>
      <c r="B29" s="309">
        <f>IFERROR(+GETPIVOTDATA("Unique Billed Hours",'County allocation'!$S$3,"County",A29,"HHA/CDPAP","CDPAP"),0)</f>
        <v>1.1180611534471463E-3</v>
      </c>
      <c r="C29" s="9">
        <f t="shared" ca="1" si="0"/>
        <v>1</v>
      </c>
      <c r="D29" s="368" t="s">
        <v>75</v>
      </c>
      <c r="E29" s="12" t="s">
        <v>54</v>
      </c>
      <c r="F29" s="683">
        <f t="shared" si="1"/>
        <v>3874.7690076005811</v>
      </c>
      <c r="G29" s="683">
        <f t="shared" si="1"/>
        <v>0</v>
      </c>
      <c r="H29" s="9"/>
    </row>
    <row r="30" spans="1:9" x14ac:dyDescent="0.25">
      <c r="A30" s="201" t="s">
        <v>327</v>
      </c>
      <c r="B30" s="309">
        <f>IFERROR(+GETPIVOTDATA("Unique Billed Hours",'County allocation'!$S$3,"County",A30,"HHA/CDPAP","CDPAP"),0)</f>
        <v>1.9127199054402991E-3</v>
      </c>
      <c r="C30" s="9">
        <f t="shared" ca="1" si="0"/>
        <v>1</v>
      </c>
      <c r="D30" s="34" t="s">
        <v>467</v>
      </c>
      <c r="E30" s="12" t="s">
        <v>53</v>
      </c>
      <c r="F30" s="683">
        <f t="shared" si="1"/>
        <v>18554.190017902623</v>
      </c>
      <c r="G30" s="683">
        <f t="shared" si="1"/>
        <v>0</v>
      </c>
      <c r="H30" s="9"/>
    </row>
    <row r="31" spans="1:9" x14ac:dyDescent="0.25">
      <c r="A31" s="201" t="s">
        <v>285</v>
      </c>
      <c r="B31" s="309">
        <f>IFERROR(+GETPIVOTDATA("Unique Billed Hours",'County allocation'!$S$3,"County",A31,"HHA/CDPAP","CDPAP"),0)</f>
        <v>3.1956436739103963E-2</v>
      </c>
      <c r="C31" s="9">
        <f t="shared" ca="1" si="0"/>
        <v>1</v>
      </c>
      <c r="D31" s="34" t="s">
        <v>76</v>
      </c>
      <c r="E31" s="12" t="s">
        <v>53</v>
      </c>
      <c r="F31" s="683">
        <f t="shared" si="1"/>
        <v>4242.3726859747785</v>
      </c>
      <c r="G31" s="683">
        <f t="shared" si="1"/>
        <v>0</v>
      </c>
      <c r="H31" s="9"/>
    </row>
    <row r="32" spans="1:9" x14ac:dyDescent="0.25">
      <c r="A32" s="201" t="s">
        <v>328</v>
      </c>
      <c r="B32" s="309">
        <f>IFERROR(+GETPIVOTDATA("Unique Billed Hours",'County allocation'!$S$3,"County",A32,"HHA/CDPAP","CDPAP"),0)</f>
        <v>5.4683471425666123E-3</v>
      </c>
      <c r="C32" s="9">
        <f t="shared" ca="1" si="0"/>
        <v>1</v>
      </c>
      <c r="D32" s="34" t="s">
        <v>468</v>
      </c>
      <c r="E32" s="12" t="s">
        <v>52</v>
      </c>
      <c r="F32" s="683">
        <f t="shared" si="1"/>
        <v>0</v>
      </c>
      <c r="G32" s="683">
        <f t="shared" si="1"/>
        <v>0</v>
      </c>
      <c r="H32" s="9"/>
    </row>
    <row r="33" spans="1:7" s="9" customFormat="1" x14ac:dyDescent="0.25">
      <c r="A33" s="201" t="s">
        <v>329</v>
      </c>
      <c r="B33" s="309">
        <f>IFERROR(+GETPIVOTDATA("Unique Billed Hours",'County allocation'!$S$3,"County",A33,"HHA/CDPAP","CDPAP"),0)</f>
        <v>5.1693236147688171E-2</v>
      </c>
      <c r="C33" s="9">
        <f t="shared" ca="1" si="0"/>
        <v>1</v>
      </c>
      <c r="D33" s="368" t="s">
        <v>59</v>
      </c>
      <c r="E33" s="12" t="s">
        <v>51</v>
      </c>
      <c r="F33" s="683">
        <f t="shared" si="1"/>
        <v>671.75477712711506</v>
      </c>
      <c r="G33" s="683">
        <f t="shared" si="1"/>
        <v>0</v>
      </c>
    </row>
    <row r="34" spans="1:7" s="9" customFormat="1" x14ac:dyDescent="0.25">
      <c r="A34" s="201" t="s">
        <v>366</v>
      </c>
      <c r="B34" s="309">
        <f>IFERROR(+GETPIVOTDATA("Unique Billed Hours",'County allocation'!$S$3,"County",A34,"HHA/CDPAP","CDPAP"),0)</f>
        <v>6.8695669215824678E-2</v>
      </c>
      <c r="C34" s="9">
        <f t="shared" ca="1" si="0"/>
        <v>1</v>
      </c>
      <c r="D34" s="368" t="s">
        <v>25</v>
      </c>
      <c r="E34" s="12" t="s">
        <v>50</v>
      </c>
      <c r="F34" s="683">
        <f t="shared" si="1"/>
        <v>2199.7236166999023</v>
      </c>
      <c r="G34" s="683">
        <f t="shared" si="1"/>
        <v>0</v>
      </c>
    </row>
    <row r="35" spans="1:7" s="9" customFormat="1" x14ac:dyDescent="0.25">
      <c r="A35" s="201" t="s">
        <v>330</v>
      </c>
      <c r="B35" s="309">
        <f>IFERROR(+GETPIVOTDATA("Unique Billed Hours",'County allocation'!$S$3,"County",A35,"HHA/CDPAP","CDPAP"),0)</f>
        <v>5.8328093760351305E-3</v>
      </c>
      <c r="C35" s="9">
        <f t="shared" ca="1" si="0"/>
        <v>1</v>
      </c>
      <c r="D35" s="368" t="s">
        <v>80</v>
      </c>
      <c r="E35" s="12" t="s">
        <v>49</v>
      </c>
      <c r="F35" s="683">
        <f t="shared" si="1"/>
        <v>8207.0747002331464</v>
      </c>
      <c r="G35" s="683">
        <f t="shared" si="1"/>
        <v>0</v>
      </c>
    </row>
    <row r="36" spans="1:7" s="9" customFormat="1" x14ac:dyDescent="0.25">
      <c r="A36" s="201" t="s">
        <v>331</v>
      </c>
      <c r="B36" s="309">
        <f>IFERROR(+GETPIVOTDATA("Unique Billed Hours",'County allocation'!$S$3,"County",A36,"HHA/CDPAP","CDPAP"),0)</f>
        <v>7.1008449393757042E-3</v>
      </c>
      <c r="C36" s="9">
        <f t="shared" ca="1" si="0"/>
        <v>1</v>
      </c>
      <c r="D36" s="368" t="s">
        <v>82</v>
      </c>
      <c r="E36" s="12" t="s">
        <v>47</v>
      </c>
      <c r="F36" s="683">
        <f t="shared" si="1"/>
        <v>5561.2741615105715</v>
      </c>
      <c r="G36" s="683">
        <f t="shared" si="1"/>
        <v>0</v>
      </c>
    </row>
    <row r="37" spans="1:7" s="9" customFormat="1" x14ac:dyDescent="0.25">
      <c r="A37" s="201" t="s">
        <v>332</v>
      </c>
      <c r="B37" s="309">
        <f>IFERROR(+GETPIVOTDATA("Unique Billed Hours",'County allocation'!$S$3,"County",A37,"HHA/CDPAP","CDPAP"),0)</f>
        <v>2.2146992270920353E-2</v>
      </c>
      <c r="C37" s="9">
        <f t="shared" ca="1" si="0"/>
        <v>1</v>
      </c>
      <c r="D37" s="368" t="s">
        <v>84</v>
      </c>
      <c r="E37" s="12" t="s">
        <v>77</v>
      </c>
      <c r="F37" s="683">
        <f t="shared" ca="1" si="1"/>
        <v>397580.32550450444</v>
      </c>
      <c r="G37" s="683">
        <f t="shared" si="1"/>
        <v>0</v>
      </c>
    </row>
    <row r="38" spans="1:7" s="9" customFormat="1" x14ac:dyDescent="0.25">
      <c r="A38" s="201" t="s">
        <v>333</v>
      </c>
      <c r="B38" s="309">
        <f>IFERROR(+GETPIVOTDATA("Unique Billed Hours",'County allocation'!$S$3,"County",A38,"HHA/CDPAP","CDPAP"),0)</f>
        <v>3.0558410502578128E-3</v>
      </c>
      <c r="C38" s="9">
        <f t="shared" ca="1" si="0"/>
        <v>1</v>
      </c>
      <c r="D38" s="368" t="s">
        <v>86</v>
      </c>
      <c r="E38" s="12" t="s">
        <v>78</v>
      </c>
      <c r="F38" s="683">
        <f t="shared" si="1"/>
        <v>0</v>
      </c>
      <c r="G38" s="683">
        <f t="shared" si="1"/>
        <v>0</v>
      </c>
    </row>
    <row r="39" spans="1:7" s="9" customFormat="1" x14ac:dyDescent="0.25">
      <c r="A39" s="201" t="s">
        <v>334</v>
      </c>
      <c r="B39" s="309">
        <f>IFERROR(+GETPIVOTDATA("Unique Billed Hours",'County allocation'!$S$3,"County",A39,"HHA/CDPAP","CDPAP"),0)</f>
        <v>1.2293981971585183E-2</v>
      </c>
      <c r="C39" s="9">
        <f t="shared" ca="1" si="0"/>
        <v>1</v>
      </c>
      <c r="D39" s="368" t="s">
        <v>386</v>
      </c>
      <c r="E39" s="12" t="s">
        <v>79</v>
      </c>
      <c r="F39" s="683">
        <f t="shared" si="1"/>
        <v>0</v>
      </c>
      <c r="G39" s="683">
        <f t="shared" si="1"/>
        <v>0</v>
      </c>
    </row>
    <row r="40" spans="1:7" s="9" customFormat="1" ht="15.75" thickBot="1" x14ac:dyDescent="0.3">
      <c r="A40" s="201" t="s">
        <v>335</v>
      </c>
      <c r="B40" s="309">
        <f>IFERROR(+GETPIVOTDATA("Unique Billed Hours",'County allocation'!$S$3,"County",A40,"HHA/CDPAP","CDPAP"),0)</f>
        <v>1.1805826190968058E-3</v>
      </c>
      <c r="C40" s="9">
        <f t="shared" ca="1" si="0"/>
        <v>1</v>
      </c>
      <c r="D40" s="35" t="s">
        <v>22</v>
      </c>
      <c r="E40" s="12" t="s">
        <v>81</v>
      </c>
      <c r="F40" s="685">
        <f ca="1">SUBTOTAL(9,F26:F39)</f>
        <v>455433.02619678725</v>
      </c>
      <c r="G40" s="685">
        <f>SUBTOTAL(9,G26:G39)</f>
        <v>0</v>
      </c>
    </row>
    <row r="41" spans="1:7" s="9" customFormat="1" ht="15.75" hidden="1" thickBot="1" x14ac:dyDescent="0.3">
      <c r="A41" s="201" t="s">
        <v>336</v>
      </c>
      <c r="B41" s="309">
        <f>IFERROR(+GETPIVOTDATA("Unique Billed Hours",'County allocation'!$S$3,"County",A41,"HHA/CDPAP","CDPAP"),0)</f>
        <v>3.9130855242887541E-3</v>
      </c>
      <c r="E41" s="12" t="s">
        <v>83</v>
      </c>
      <c r="F41" s="648"/>
      <c r="G41" s="648"/>
    </row>
    <row r="42" spans="1:7" s="9" customFormat="1" ht="30" x14ac:dyDescent="0.25">
      <c r="A42" s="201" t="s">
        <v>337</v>
      </c>
      <c r="B42" s="309">
        <f>IFERROR(+GETPIVOTDATA("Unique Billed Hours",'County allocation'!$S$3,"County",A42,"HHA/CDPAP","CDPAP"),0)</f>
        <v>1.6648187600380527E-3</v>
      </c>
      <c r="C42" s="9">
        <f ca="1">IF(F59&gt;0,1,0)</f>
        <v>1</v>
      </c>
      <c r="D42" s="20" t="str">
        <f>+A5</f>
        <v>Allegany</v>
      </c>
      <c r="E42" s="19">
        <f>IFERROR(SUMIF(A:A,D42,B:B),0)</f>
        <v>6.0503815062404201E-4</v>
      </c>
      <c r="F42" s="652" t="s">
        <v>31</v>
      </c>
      <c r="G42" s="652" t="s">
        <v>32</v>
      </c>
    </row>
    <row r="43" spans="1:7" s="9" customFormat="1" x14ac:dyDescent="0.25">
      <c r="A43" s="201" t="s">
        <v>338</v>
      </c>
      <c r="B43" s="309">
        <f>IFERROR(+GETPIVOTDATA("Unique Billed Hours",'County allocation'!$S$3,"County",A43,"HHA/CDPAP","CDPAP"),0)</f>
        <v>6.9943078478575799E-4</v>
      </c>
      <c r="C43" s="9">
        <f ca="1">C42</f>
        <v>1</v>
      </c>
      <c r="D43" s="30"/>
      <c r="E43" s="31"/>
      <c r="F43" s="680" t="s">
        <v>54</v>
      </c>
      <c r="G43" s="680" t="s">
        <v>53</v>
      </c>
    </row>
    <row r="44" spans="1:7" s="9" customFormat="1" x14ac:dyDescent="0.25">
      <c r="A44" s="201" t="s">
        <v>339</v>
      </c>
      <c r="B44" s="309">
        <f>IFERROR(+GETPIVOTDATA("Unique Billed Hours",'County allocation'!$S$3,"County",A44,"HHA/CDPAP","CDPAP"),0)</f>
        <v>0.13455152735828174</v>
      </c>
      <c r="C44" s="9">
        <f t="shared" ref="C44:C59" ca="1" si="2">C43</f>
        <v>1</v>
      </c>
      <c r="D44" s="32" t="s">
        <v>71</v>
      </c>
      <c r="E44" s="33"/>
      <c r="F44" s="681"/>
      <c r="G44" s="682"/>
    </row>
    <row r="45" spans="1:7" s="9" customFormat="1" x14ac:dyDescent="0.25">
      <c r="A45" s="201" t="s">
        <v>340</v>
      </c>
      <c r="B45" s="309">
        <f>IFERROR(+GETPIVOTDATA("Unique Billed Hours",'County allocation'!$S$3,"County",A45,"HHA/CDPAP","CDPAP"),0)</f>
        <v>1.1879078473435285E-2</v>
      </c>
      <c r="C45" s="9">
        <f t="shared" ca="1" si="2"/>
        <v>1</v>
      </c>
      <c r="D45" s="368" t="s">
        <v>72</v>
      </c>
      <c r="E45" s="12" t="s">
        <v>57</v>
      </c>
      <c r="F45" s="683">
        <f t="shared" ref="F45:G58" si="3">+$E$42*F6</f>
        <v>0</v>
      </c>
      <c r="G45" s="683">
        <f t="shared" si="3"/>
        <v>0</v>
      </c>
    </row>
    <row r="46" spans="1:7" s="9" customFormat="1" x14ac:dyDescent="0.25">
      <c r="A46" s="201" t="s">
        <v>367</v>
      </c>
      <c r="B46" s="309">
        <f>IFERROR(+GETPIVOTDATA("Unique Billed Hours",'County allocation'!$S$3,"County",A46,"HHA/CDPAP","CDPAP"),0)</f>
        <v>6.7007910925224526E-2</v>
      </c>
      <c r="C46" s="9">
        <f t="shared" ca="1" si="2"/>
        <v>1</v>
      </c>
      <c r="D46" s="368" t="s">
        <v>73</v>
      </c>
      <c r="E46" s="12" t="s">
        <v>56</v>
      </c>
      <c r="F46" s="683">
        <f t="shared" si="3"/>
        <v>265.08507877883397</v>
      </c>
      <c r="G46" s="683">
        <f t="shared" si="3"/>
        <v>0</v>
      </c>
    </row>
    <row r="47" spans="1:7" s="9" customFormat="1" x14ac:dyDescent="0.25">
      <c r="A47" s="201" t="s">
        <v>341</v>
      </c>
      <c r="B47" s="309">
        <f>IFERROR(+GETPIVOTDATA("Unique Billed Hours",'County allocation'!$S$3,"County",A47,"HHA/CDPAP","CDPAP"),0)</f>
        <v>8.6451829716716073E-3</v>
      </c>
      <c r="C47" s="9">
        <f t="shared" ca="1" si="2"/>
        <v>1</v>
      </c>
      <c r="D47" s="368" t="s">
        <v>74</v>
      </c>
      <c r="E47" s="12" t="s">
        <v>55</v>
      </c>
      <c r="F47" s="683">
        <f t="shared" si="3"/>
        <v>39.740676499736168</v>
      </c>
      <c r="G47" s="683">
        <f t="shared" si="3"/>
        <v>0</v>
      </c>
    </row>
    <row r="48" spans="1:7" s="9" customFormat="1" x14ac:dyDescent="0.25">
      <c r="A48" s="201" t="s">
        <v>342</v>
      </c>
      <c r="B48" s="309">
        <f>IFERROR(+GETPIVOTDATA("Unique Billed Hours",'County allocation'!$S$3,"County",A48,"HHA/CDPAP","CDPAP"),0)</f>
        <v>2.5221917468452523E-3</v>
      </c>
      <c r="C48" s="9">
        <f t="shared" ca="1" si="2"/>
        <v>1</v>
      </c>
      <c r="D48" s="368" t="s">
        <v>75</v>
      </c>
      <c r="E48" s="12" t="s">
        <v>54</v>
      </c>
      <c r="F48" s="683">
        <f t="shared" si="3"/>
        <v>81.22449542074439</v>
      </c>
      <c r="G48" s="683">
        <f t="shared" si="3"/>
        <v>0</v>
      </c>
    </row>
    <row r="49" spans="1:8" x14ac:dyDescent="0.25">
      <c r="A49" s="201" t="s">
        <v>343</v>
      </c>
      <c r="B49" s="309">
        <f>IFERROR(+GETPIVOTDATA("Unique Billed Hours",'County allocation'!$S$3,"County",A49,"HHA/CDPAP","CDPAP"),0)</f>
        <v>6.3457038660819764E-3</v>
      </c>
      <c r="C49" s="9">
        <f t="shared" ca="1" si="2"/>
        <v>1</v>
      </c>
      <c r="D49" s="34" t="s">
        <v>467</v>
      </c>
      <c r="E49" s="12" t="s">
        <v>53</v>
      </c>
      <c r="F49" s="683">
        <f t="shared" si="3"/>
        <v>388.94053276171536</v>
      </c>
      <c r="G49" s="683">
        <f t="shared" si="3"/>
        <v>0</v>
      </c>
      <c r="H49" s="9"/>
    </row>
    <row r="50" spans="1:8" x14ac:dyDescent="0.25">
      <c r="A50" s="201" t="s">
        <v>344</v>
      </c>
      <c r="B50" s="309">
        <f>IFERROR(+GETPIVOTDATA("Unique Billed Hours",'County allocation'!$S$3,"County",A50,"HHA/CDPAP","CDPAP"),0)</f>
        <v>3.6612583135718163E-2</v>
      </c>
      <c r="C50" s="9">
        <f t="shared" ca="1" si="2"/>
        <v>1</v>
      </c>
      <c r="D50" s="34" t="s">
        <v>76</v>
      </c>
      <c r="E50" s="12" t="s">
        <v>53</v>
      </c>
      <c r="F50" s="683">
        <f t="shared" si="3"/>
        <v>88.930354333155634</v>
      </c>
      <c r="G50" s="683">
        <f t="shared" si="3"/>
        <v>0</v>
      </c>
      <c r="H50" s="9"/>
    </row>
    <row r="51" spans="1:8" x14ac:dyDescent="0.25">
      <c r="A51" s="201" t="s">
        <v>345</v>
      </c>
      <c r="B51" s="309">
        <f>IFERROR(+GETPIVOTDATA("Unique Billed Hours",'County allocation'!$S$3,"County",A51,"HHA/CDPAP","CDPAP"),0)</f>
        <v>2.3823698462762297E-3</v>
      </c>
      <c r="C51" s="9">
        <f t="shared" ca="1" si="2"/>
        <v>1</v>
      </c>
      <c r="D51" s="34" t="s">
        <v>468</v>
      </c>
      <c r="E51" s="12" t="s">
        <v>52</v>
      </c>
      <c r="F51" s="683">
        <f t="shared" si="3"/>
        <v>0</v>
      </c>
      <c r="G51" s="683">
        <f t="shared" si="3"/>
        <v>0</v>
      </c>
      <c r="H51" s="9"/>
    </row>
    <row r="52" spans="1:8" x14ac:dyDescent="0.25">
      <c r="A52" s="201" t="s">
        <v>346</v>
      </c>
      <c r="B52" s="309">
        <f>IFERROR(+GETPIVOTDATA("Unique Billed Hours",'County allocation'!$S$3,"County",A52,"HHA/CDPAP","CDPAP"),0)</f>
        <v>6.2373675956962351E-4</v>
      </c>
      <c r="C52" s="9">
        <f t="shared" ca="1" si="2"/>
        <v>1</v>
      </c>
      <c r="D52" s="368" t="s">
        <v>59</v>
      </c>
      <c r="E52" s="12" t="s">
        <v>51</v>
      </c>
      <c r="F52" s="683">
        <f t="shared" si="3"/>
        <v>14.081598854433954</v>
      </c>
      <c r="G52" s="683">
        <f t="shared" si="3"/>
        <v>0</v>
      </c>
      <c r="H52" s="9"/>
    </row>
    <row r="53" spans="1:8" x14ac:dyDescent="0.25">
      <c r="A53" s="201" t="s">
        <v>347</v>
      </c>
      <c r="B53" s="309">
        <f>IFERROR(+GETPIVOTDATA("Unique Billed Hours",'County allocation'!$S$3,"County",A53,"HHA/CDPAP","CDPAP"),0)</f>
        <v>5.0916761953535567E-4</v>
      </c>
      <c r="C53" s="9">
        <f t="shared" ca="1" si="2"/>
        <v>1</v>
      </c>
      <c r="D53" s="368" t="s">
        <v>25</v>
      </c>
      <c r="E53" s="12" t="s">
        <v>50</v>
      </c>
      <c r="F53" s="683">
        <f t="shared" si="3"/>
        <v>46.111507674669184</v>
      </c>
      <c r="G53" s="683">
        <f t="shared" si="3"/>
        <v>0</v>
      </c>
      <c r="H53" s="9"/>
    </row>
    <row r="54" spans="1:8" x14ac:dyDescent="0.25">
      <c r="A54" s="201" t="s">
        <v>348</v>
      </c>
      <c r="B54" s="309">
        <f>IFERROR(+GETPIVOTDATA("Unique Billed Hours",'County allocation'!$S$3,"County",A54,"HHA/CDPAP","CDPAP"),0)</f>
        <v>2.7722133530557608E-3</v>
      </c>
      <c r="C54" s="9">
        <f t="shared" ca="1" si="2"/>
        <v>1</v>
      </c>
      <c r="D54" s="368" t="s">
        <v>80</v>
      </c>
      <c r="E54" s="12" t="s">
        <v>49</v>
      </c>
      <c r="F54" s="683">
        <f t="shared" si="3"/>
        <v>172.04006228479426</v>
      </c>
      <c r="G54" s="683">
        <f t="shared" si="3"/>
        <v>0</v>
      </c>
      <c r="H54" s="9"/>
    </row>
    <row r="55" spans="1:8" x14ac:dyDescent="0.25">
      <c r="A55" s="201" t="s">
        <v>349</v>
      </c>
      <c r="B55" s="309">
        <f>IFERROR(+GETPIVOTDATA("Unique Billed Hours",'County allocation'!$S$3,"County",A55,"HHA/CDPAP","CDPAP"),0)</f>
        <v>4.7178453804958088E-2</v>
      </c>
      <c r="C55" s="9">
        <f t="shared" ca="1" si="2"/>
        <v>1</v>
      </c>
      <c r="D55" s="368" t="s">
        <v>82</v>
      </c>
      <c r="E55" s="12" t="s">
        <v>47</v>
      </c>
      <c r="F55" s="683">
        <f t="shared" si="3"/>
        <v>116.57770741405778</v>
      </c>
      <c r="G55" s="683">
        <f t="shared" si="3"/>
        <v>0</v>
      </c>
      <c r="H55" s="9"/>
    </row>
    <row r="56" spans="1:8" x14ac:dyDescent="0.25">
      <c r="A56" s="201" t="s">
        <v>350</v>
      </c>
      <c r="B56" s="309">
        <f>IFERROR(+GETPIVOTDATA("Unique Billed Hours",'County allocation'!$S$3,"County",A56,"HHA/CDPAP","CDPAP"),0)</f>
        <v>2.5908175693671806E-3</v>
      </c>
      <c r="C56" s="9">
        <f t="shared" ca="1" si="2"/>
        <v>1</v>
      </c>
      <c r="D56" s="368" t="s">
        <v>84</v>
      </c>
      <c r="E56" s="12" t="s">
        <v>77</v>
      </c>
      <c r="F56" s="683">
        <f t="shared" ca="1" si="3"/>
        <v>8334.2416709160243</v>
      </c>
      <c r="G56" s="683">
        <f t="shared" si="3"/>
        <v>0</v>
      </c>
      <c r="H56" s="9"/>
    </row>
    <row r="57" spans="1:8" x14ac:dyDescent="0.25">
      <c r="A57" s="201" t="s">
        <v>351</v>
      </c>
      <c r="B57" s="309">
        <f>IFERROR(+GETPIVOTDATA("Unique Billed Hours",'County allocation'!$S$3,"County",A57,"HHA/CDPAP","CDPAP"),0)</f>
        <v>1.4345881213713213E-3</v>
      </c>
      <c r="C57" s="9">
        <f t="shared" ca="1" si="2"/>
        <v>1</v>
      </c>
      <c r="D57" s="368" t="s">
        <v>86</v>
      </c>
      <c r="E57" s="12" t="s">
        <v>78</v>
      </c>
      <c r="F57" s="683">
        <f t="shared" si="3"/>
        <v>0</v>
      </c>
      <c r="G57" s="683">
        <f t="shared" si="3"/>
        <v>0</v>
      </c>
      <c r="H57" s="9"/>
    </row>
    <row r="58" spans="1:8" x14ac:dyDescent="0.25">
      <c r="A58" s="201" t="s">
        <v>352</v>
      </c>
      <c r="B58" s="309">
        <f>IFERROR(+GETPIVOTDATA("Unique Billed Hours",'County allocation'!$S$3,"County",A58,"HHA/CDPAP","CDPAP"),0)</f>
        <v>1.0364555405231305E-3</v>
      </c>
      <c r="C58" s="9">
        <f t="shared" ca="1" si="2"/>
        <v>1</v>
      </c>
      <c r="D58" s="368" t="s">
        <v>386</v>
      </c>
      <c r="E58" s="12" t="s">
        <v>79</v>
      </c>
      <c r="F58" s="683">
        <f t="shared" si="3"/>
        <v>0</v>
      </c>
      <c r="G58" s="683">
        <f t="shared" si="3"/>
        <v>0</v>
      </c>
      <c r="H58" s="9"/>
    </row>
    <row r="59" spans="1:8" ht="15.75" thickBot="1" x14ac:dyDescent="0.3">
      <c r="A59" s="201" t="s">
        <v>353</v>
      </c>
      <c r="B59" s="309">
        <f>IFERROR(+GETPIVOTDATA("Unique Billed Hours",'County allocation'!$S$3,"County",A59,"HHA/CDPAP","CDPAP"),0)</f>
        <v>8.5279793197240439E-3</v>
      </c>
      <c r="C59" s="9">
        <f t="shared" ca="1" si="2"/>
        <v>1</v>
      </c>
      <c r="D59" s="35" t="s">
        <v>22</v>
      </c>
      <c r="E59" s="12" t="s">
        <v>81</v>
      </c>
      <c r="F59" s="685">
        <f ca="1">SUBTOTAL(9,F45:F58)</f>
        <v>9546.9736849381643</v>
      </c>
      <c r="G59" s="685">
        <f>SUBTOTAL(9,G45:G58)</f>
        <v>0</v>
      </c>
      <c r="H59" s="9"/>
    </row>
    <row r="60" spans="1:8" ht="15.75" hidden="1" thickBot="1" x14ac:dyDescent="0.3">
      <c r="A60" s="201" t="s">
        <v>354</v>
      </c>
      <c r="B60" s="309">
        <f>IFERROR(+GETPIVOTDATA("Unique Billed Hours",'County allocation'!$S$3,"County",A60,"HHA/CDPAP","CDPAP"),0)</f>
        <v>1.4283552517227942E-3</v>
      </c>
      <c r="E60" s="12" t="s">
        <v>83</v>
      </c>
      <c r="H60" s="9"/>
    </row>
    <row r="61" spans="1:8" ht="30" x14ac:dyDescent="0.25">
      <c r="A61" s="201" t="s">
        <v>355</v>
      </c>
      <c r="B61" s="309">
        <f>IFERROR(+GETPIVOTDATA("Unique Billed Hours",'County allocation'!$S$3,"County",A61,"HHA/CDPAP","CDPAP"),0)</f>
        <v>2.2537928136298082E-3</v>
      </c>
      <c r="C61" s="9">
        <f ca="1">IF(F78&gt;0,1,0)</f>
        <v>1</v>
      </c>
      <c r="D61" s="20" t="str">
        <f>+A6</f>
        <v>Bronx</v>
      </c>
      <c r="E61" s="19">
        <f>IFERROR(SUMIF(A:A,D61,B:B),0)</f>
        <v>0.10098052035465671</v>
      </c>
      <c r="F61" s="652" t="s">
        <v>31</v>
      </c>
      <c r="G61" s="652" t="s">
        <v>32</v>
      </c>
    </row>
    <row r="62" spans="1:8" x14ac:dyDescent="0.25">
      <c r="A62" s="201" t="s">
        <v>361</v>
      </c>
      <c r="B62" s="309">
        <f>IFERROR(+GETPIVOTDATA("Unique Billed Hours",'County allocation'!$S$3,"County",A62,"HHA/CDPAP","CDPAP"),0)</f>
        <v>8.7420816049703603E-4</v>
      </c>
      <c r="C62" s="9">
        <f ca="1">C61</f>
        <v>1</v>
      </c>
      <c r="D62" s="30"/>
      <c r="E62" s="31"/>
      <c r="F62" s="680" t="s">
        <v>54</v>
      </c>
      <c r="G62" s="680" t="s">
        <v>53</v>
      </c>
    </row>
    <row r="63" spans="1:8" x14ac:dyDescent="0.25">
      <c r="A63" s="201" t="s">
        <v>362</v>
      </c>
      <c r="B63" s="309">
        <f>IFERROR(+GETPIVOTDATA("Unique Billed Hours",'County allocation'!$S$3,"County",A63,"HHA/CDPAP","CDPAP"),0)</f>
        <v>2.408470791134289E-2</v>
      </c>
      <c r="C63" s="9">
        <f t="shared" ref="C63:C78" ca="1" si="4">C62</f>
        <v>1</v>
      </c>
      <c r="D63" s="32" t="s">
        <v>71</v>
      </c>
      <c r="E63" s="33"/>
      <c r="F63" s="681"/>
      <c r="G63" s="682"/>
    </row>
    <row r="64" spans="1:8" x14ac:dyDescent="0.25">
      <c r="A64" s="201" t="s">
        <v>363</v>
      </c>
      <c r="B64" s="309">
        <f>IFERROR(+GETPIVOTDATA("Unique Billed Hours",'County allocation'!$S$3,"County",A64,"HHA/CDPAP","CDPAP"),0)</f>
        <v>6.0201810038197211E-4</v>
      </c>
      <c r="C64" s="9">
        <f t="shared" ca="1" si="4"/>
        <v>1</v>
      </c>
      <c r="D64" s="368" t="s">
        <v>72</v>
      </c>
      <c r="E64" s="12" t="s">
        <v>57</v>
      </c>
      <c r="F64" s="683">
        <f t="shared" ref="F64:G77" si="5">+$E$61*F6</f>
        <v>0</v>
      </c>
      <c r="G64" s="683">
        <f t="shared" si="5"/>
        <v>0</v>
      </c>
    </row>
    <row r="65" spans="1:8" x14ac:dyDescent="0.25">
      <c r="A65" s="201" t="s">
        <v>364</v>
      </c>
      <c r="B65" s="309">
        <f>IFERROR(+GETPIVOTDATA("Unique Billed Hours",'County allocation'!$S$3,"County",A65,"HHA/CDPAP","CDPAP"),0)</f>
        <v>8.2460222886133507E-4</v>
      </c>
      <c r="C65" s="9">
        <f t="shared" ca="1" si="4"/>
        <v>1</v>
      </c>
      <c r="D65" s="368" t="s">
        <v>73</v>
      </c>
      <c r="E65" s="12" t="s">
        <v>56</v>
      </c>
      <c r="F65" s="683">
        <f t="shared" si="5"/>
        <v>44242.547624034305</v>
      </c>
      <c r="G65" s="683">
        <f t="shared" si="5"/>
        <v>0</v>
      </c>
    </row>
    <row r="66" spans="1:8" x14ac:dyDescent="0.25">
      <c r="C66" s="9">
        <f t="shared" ca="1" si="4"/>
        <v>1</v>
      </c>
      <c r="D66" s="368" t="s">
        <v>74</v>
      </c>
      <c r="E66" s="12" t="s">
        <v>55</v>
      </c>
      <c r="F66" s="683">
        <f t="shared" si="5"/>
        <v>6632.6961168487551</v>
      </c>
      <c r="G66" s="683">
        <f t="shared" si="5"/>
        <v>0</v>
      </c>
    </row>
    <row r="67" spans="1:8" x14ac:dyDescent="0.25">
      <c r="C67" s="9">
        <f t="shared" ca="1" si="4"/>
        <v>1</v>
      </c>
      <c r="D67" s="368" t="s">
        <v>75</v>
      </c>
      <c r="E67" s="12" t="s">
        <v>54</v>
      </c>
      <c r="F67" s="683">
        <f t="shared" si="5"/>
        <v>13556.321704129708</v>
      </c>
      <c r="G67" s="683">
        <f t="shared" si="5"/>
        <v>0</v>
      </c>
    </row>
    <row r="68" spans="1:8" x14ac:dyDescent="0.25">
      <c r="C68" s="9">
        <f t="shared" ca="1" si="4"/>
        <v>1</v>
      </c>
      <c r="D68" s="34" t="s">
        <v>467</v>
      </c>
      <c r="E68" s="12" t="s">
        <v>53</v>
      </c>
      <c r="F68" s="683">
        <f t="shared" si="5"/>
        <v>64913.951863674032</v>
      </c>
      <c r="G68" s="683">
        <f t="shared" si="5"/>
        <v>0</v>
      </c>
    </row>
    <row r="69" spans="1:8" x14ac:dyDescent="0.25">
      <c r="C69" s="9">
        <f t="shared" ca="1" si="4"/>
        <v>1</v>
      </c>
      <c r="D69" s="34" t="s">
        <v>76</v>
      </c>
      <c r="E69" s="12" t="s">
        <v>52</v>
      </c>
      <c r="F69" s="683">
        <f t="shared" si="5"/>
        <v>14842.425137363256</v>
      </c>
      <c r="G69" s="683">
        <f t="shared" si="5"/>
        <v>0</v>
      </c>
    </row>
    <row r="70" spans="1:8" x14ac:dyDescent="0.25">
      <c r="C70" s="9">
        <f t="shared" ca="1" si="4"/>
        <v>1</v>
      </c>
      <c r="D70" s="34" t="s">
        <v>468</v>
      </c>
      <c r="E70" s="12" t="s">
        <v>51</v>
      </c>
      <c r="F70" s="683">
        <f t="shared" si="5"/>
        <v>0</v>
      </c>
      <c r="G70" s="683">
        <f t="shared" si="5"/>
        <v>0</v>
      </c>
    </row>
    <row r="71" spans="1:8" x14ac:dyDescent="0.25">
      <c r="C71" s="9">
        <f t="shared" ca="1" si="4"/>
        <v>1</v>
      </c>
      <c r="D71" s="368" t="s">
        <v>59</v>
      </c>
      <c r="E71" s="12" t="s">
        <v>50</v>
      </c>
      <c r="F71" s="683">
        <f t="shared" si="5"/>
        <v>2350.2107731217416</v>
      </c>
      <c r="G71" s="683">
        <f t="shared" si="5"/>
        <v>0</v>
      </c>
    </row>
    <row r="72" spans="1:8" x14ac:dyDescent="0.25">
      <c r="C72" s="9">
        <f t="shared" ca="1" si="4"/>
        <v>1</v>
      </c>
      <c r="D72" s="368" t="s">
        <v>25</v>
      </c>
      <c r="E72" s="12" t="s">
        <v>49</v>
      </c>
      <c r="F72" s="683">
        <f t="shared" si="5"/>
        <v>7695.9841863248184</v>
      </c>
      <c r="G72" s="683">
        <f t="shared" si="5"/>
        <v>0</v>
      </c>
    </row>
    <row r="73" spans="1:8" x14ac:dyDescent="0.25">
      <c r="C73" s="9">
        <f t="shared" ca="1" si="4"/>
        <v>1</v>
      </c>
      <c r="D73" s="368" t="s">
        <v>80</v>
      </c>
      <c r="E73" s="12" t="s">
        <v>47</v>
      </c>
      <c r="F73" s="683">
        <f t="shared" si="5"/>
        <v>28713.387731745042</v>
      </c>
      <c r="G73" s="683">
        <f t="shared" si="5"/>
        <v>0</v>
      </c>
    </row>
    <row r="74" spans="1:8" x14ac:dyDescent="0.25">
      <c r="C74" s="9">
        <f t="shared" ca="1" si="4"/>
        <v>1</v>
      </c>
      <c r="D74" s="368" t="s">
        <v>82</v>
      </c>
      <c r="E74" s="12" t="s">
        <v>77</v>
      </c>
      <c r="F74" s="683">
        <f t="shared" si="5"/>
        <v>19456.752511031984</v>
      </c>
      <c r="G74" s="683">
        <f t="shared" si="5"/>
        <v>0</v>
      </c>
    </row>
    <row r="75" spans="1:8" x14ac:dyDescent="0.25">
      <c r="C75" s="9">
        <f t="shared" ca="1" si="4"/>
        <v>1</v>
      </c>
      <c r="D75" s="368" t="s">
        <v>84</v>
      </c>
      <c r="E75" s="12" t="s">
        <v>78</v>
      </c>
      <c r="F75" s="683">
        <f t="shared" ca="1" si="5"/>
        <v>1390980.1552555547</v>
      </c>
      <c r="G75" s="683">
        <f t="shared" si="5"/>
        <v>0</v>
      </c>
    </row>
    <row r="76" spans="1:8" x14ac:dyDescent="0.25">
      <c r="C76" s="9">
        <f t="shared" ca="1" si="4"/>
        <v>1</v>
      </c>
      <c r="D76" s="368" t="s">
        <v>86</v>
      </c>
      <c r="E76" s="12" t="s">
        <v>79</v>
      </c>
      <c r="F76" s="683">
        <f t="shared" si="5"/>
        <v>0</v>
      </c>
      <c r="G76" s="683">
        <f t="shared" si="5"/>
        <v>0</v>
      </c>
    </row>
    <row r="77" spans="1:8" x14ac:dyDescent="0.25">
      <c r="C77" s="9">
        <f t="shared" ca="1" si="4"/>
        <v>1</v>
      </c>
      <c r="D77" s="368" t="s">
        <v>386</v>
      </c>
      <c r="E77" s="12" t="s">
        <v>81</v>
      </c>
      <c r="F77" s="683">
        <f t="shared" si="5"/>
        <v>0</v>
      </c>
      <c r="G77" s="683">
        <f t="shared" si="5"/>
        <v>0</v>
      </c>
    </row>
    <row r="78" spans="1:8" ht="15.75" thickBot="1" x14ac:dyDescent="0.3">
      <c r="C78" s="9">
        <f t="shared" ca="1" si="4"/>
        <v>1</v>
      </c>
      <c r="D78" s="35" t="s">
        <v>22</v>
      </c>
      <c r="E78" s="12" t="s">
        <v>83</v>
      </c>
      <c r="F78" s="685">
        <f ca="1">SUBTOTAL(9,F64:F77)</f>
        <v>1593384.4329038283</v>
      </c>
      <c r="G78" s="685">
        <f>SUBTOTAL(9,G64:G77)</f>
        <v>0</v>
      </c>
    </row>
    <row r="79" spans="1:8" ht="15.75" hidden="1" thickBot="1" x14ac:dyDescent="0.3">
      <c r="H79" s="9"/>
    </row>
    <row r="80" spans="1:8" ht="30" x14ac:dyDescent="0.25">
      <c r="C80" s="9">
        <f ca="1">IF(F97&gt;0,1,0)</f>
        <v>1</v>
      </c>
      <c r="D80" s="20" t="str">
        <f>+A7</f>
        <v>Broome</v>
      </c>
      <c r="E80" s="19">
        <f>IFERROR(SUMIF(A:A,D80,B:B),0)</f>
        <v>1.3044882123262387E-2</v>
      </c>
      <c r="F80" s="652" t="s">
        <v>31</v>
      </c>
      <c r="G80" s="652" t="s">
        <v>32</v>
      </c>
      <c r="H80" s="9"/>
    </row>
    <row r="81" spans="1:7" s="9" customFormat="1" x14ac:dyDescent="0.25">
      <c r="A81" s="119"/>
      <c r="B81" s="310"/>
      <c r="C81" s="9">
        <f ca="1">C80</f>
        <v>1</v>
      </c>
      <c r="D81" s="30"/>
      <c r="E81" s="31"/>
      <c r="F81" s="680" t="s">
        <v>54</v>
      </c>
      <c r="G81" s="680" t="s">
        <v>53</v>
      </c>
    </row>
    <row r="82" spans="1:7" s="9" customFormat="1" x14ac:dyDescent="0.25">
      <c r="A82" s="119"/>
      <c r="B82" s="310"/>
      <c r="C82" s="9">
        <f t="shared" ref="C82:C97" ca="1" si="6">C81</f>
        <v>1</v>
      </c>
      <c r="D82" s="32" t="s">
        <v>71</v>
      </c>
      <c r="E82" s="33"/>
      <c r="F82" s="681"/>
      <c r="G82" s="682"/>
    </row>
    <row r="83" spans="1:7" s="9" customFormat="1" x14ac:dyDescent="0.25">
      <c r="A83" s="119"/>
      <c r="B83" s="310"/>
      <c r="C83" s="9">
        <f t="shared" ca="1" si="6"/>
        <v>1</v>
      </c>
      <c r="D83" s="368" t="s">
        <v>72</v>
      </c>
      <c r="E83" s="12" t="s">
        <v>57</v>
      </c>
      <c r="F83" s="683">
        <f t="shared" ref="F83:G96" si="7">+$E$80*F6</f>
        <v>0</v>
      </c>
      <c r="G83" s="683">
        <f t="shared" si="7"/>
        <v>0</v>
      </c>
    </row>
    <row r="84" spans="1:7" s="9" customFormat="1" x14ac:dyDescent="0.25">
      <c r="A84" s="119"/>
      <c r="B84" s="310"/>
      <c r="C84" s="9">
        <f t="shared" ca="1" si="6"/>
        <v>1</v>
      </c>
      <c r="D84" s="368" t="s">
        <v>73</v>
      </c>
      <c r="E84" s="12" t="s">
        <v>56</v>
      </c>
      <c r="F84" s="683">
        <f t="shared" si="7"/>
        <v>5715.3480350602613</v>
      </c>
      <c r="G84" s="683">
        <f t="shared" si="7"/>
        <v>0</v>
      </c>
    </row>
    <row r="85" spans="1:7" s="9" customFormat="1" x14ac:dyDescent="0.25">
      <c r="A85" s="119"/>
      <c r="B85" s="310"/>
      <c r="C85" s="9">
        <f t="shared" ca="1" si="6"/>
        <v>1</v>
      </c>
      <c r="D85" s="368" t="s">
        <v>74</v>
      </c>
      <c r="E85" s="12" t="s">
        <v>55</v>
      </c>
      <c r="F85" s="683">
        <f t="shared" si="7"/>
        <v>856.82603634674365</v>
      </c>
      <c r="G85" s="683">
        <f t="shared" si="7"/>
        <v>0</v>
      </c>
    </row>
    <row r="86" spans="1:7" s="9" customFormat="1" x14ac:dyDescent="0.25">
      <c r="A86" s="119"/>
      <c r="B86" s="310"/>
      <c r="C86" s="9">
        <f t="shared" ca="1" si="6"/>
        <v>1</v>
      </c>
      <c r="D86" s="368" t="s">
        <v>75</v>
      </c>
      <c r="E86" s="12" t="s">
        <v>54</v>
      </c>
      <c r="F86" s="683">
        <f t="shared" si="7"/>
        <v>1751.234971203439</v>
      </c>
      <c r="G86" s="683">
        <f t="shared" si="7"/>
        <v>0</v>
      </c>
    </row>
    <row r="87" spans="1:7" s="9" customFormat="1" x14ac:dyDescent="0.25">
      <c r="A87" s="119"/>
      <c r="B87" s="310"/>
      <c r="C87" s="9">
        <f t="shared" ca="1" si="6"/>
        <v>1</v>
      </c>
      <c r="D87" s="34" t="s">
        <v>467</v>
      </c>
      <c r="E87" s="12" t="s">
        <v>53</v>
      </c>
      <c r="F87" s="683">
        <f t="shared" si="7"/>
        <v>8385.7247639713387</v>
      </c>
      <c r="G87" s="683">
        <f t="shared" si="7"/>
        <v>0</v>
      </c>
    </row>
    <row r="88" spans="1:7" s="9" customFormat="1" x14ac:dyDescent="0.25">
      <c r="A88" s="119"/>
      <c r="B88" s="310"/>
      <c r="C88" s="9">
        <f t="shared" ca="1" si="6"/>
        <v>1</v>
      </c>
      <c r="D88" s="34" t="s">
        <v>76</v>
      </c>
      <c r="E88" s="12" t="s">
        <v>52</v>
      </c>
      <c r="F88" s="683">
        <f t="shared" si="7"/>
        <v>1917.3765956071502</v>
      </c>
      <c r="G88" s="683">
        <f t="shared" si="7"/>
        <v>0</v>
      </c>
    </row>
    <row r="89" spans="1:7" s="9" customFormat="1" x14ac:dyDescent="0.25">
      <c r="A89" s="119"/>
      <c r="B89" s="310"/>
      <c r="C89" s="9">
        <f t="shared" ca="1" si="6"/>
        <v>1</v>
      </c>
      <c r="D89" s="34" t="s">
        <v>468</v>
      </c>
      <c r="E89" s="12" t="s">
        <v>51</v>
      </c>
      <c r="F89" s="683">
        <f t="shared" si="7"/>
        <v>0</v>
      </c>
      <c r="G89" s="683">
        <f t="shared" si="7"/>
        <v>0</v>
      </c>
    </row>
    <row r="90" spans="1:7" s="9" customFormat="1" x14ac:dyDescent="0.25">
      <c r="A90" s="119"/>
      <c r="B90" s="310"/>
      <c r="C90" s="9">
        <f t="shared" ca="1" si="6"/>
        <v>1</v>
      </c>
      <c r="D90" s="368" t="s">
        <v>59</v>
      </c>
      <c r="E90" s="12" t="s">
        <v>50</v>
      </c>
      <c r="F90" s="683">
        <f t="shared" si="7"/>
        <v>303.60531310909096</v>
      </c>
      <c r="G90" s="683">
        <f t="shared" si="7"/>
        <v>0</v>
      </c>
    </row>
    <row r="91" spans="1:7" s="9" customFormat="1" x14ac:dyDescent="0.25">
      <c r="A91" s="119"/>
      <c r="B91" s="310"/>
      <c r="C91" s="9">
        <f t="shared" ca="1" si="6"/>
        <v>1</v>
      </c>
      <c r="D91" s="368" t="s">
        <v>25</v>
      </c>
      <c r="E91" s="12" t="s">
        <v>49</v>
      </c>
      <c r="F91" s="683">
        <f t="shared" si="7"/>
        <v>994.18388992752921</v>
      </c>
      <c r="G91" s="683">
        <f t="shared" si="7"/>
        <v>0</v>
      </c>
    </row>
    <row r="92" spans="1:7" s="9" customFormat="1" x14ac:dyDescent="0.25">
      <c r="A92" s="119"/>
      <c r="B92" s="310"/>
      <c r="C92" s="9">
        <f t="shared" ca="1" si="6"/>
        <v>1</v>
      </c>
      <c r="D92" s="368" t="s">
        <v>80</v>
      </c>
      <c r="E92" s="12" t="s">
        <v>47</v>
      </c>
      <c r="F92" s="683">
        <f t="shared" si="7"/>
        <v>3709.2575578401588</v>
      </c>
      <c r="G92" s="683">
        <f t="shared" si="7"/>
        <v>0</v>
      </c>
    </row>
    <row r="93" spans="1:7" s="9" customFormat="1" x14ac:dyDescent="0.25">
      <c r="A93" s="119"/>
      <c r="B93" s="310"/>
      <c r="C93" s="9">
        <f t="shared" ca="1" si="6"/>
        <v>1</v>
      </c>
      <c r="D93" s="368" t="s">
        <v>82</v>
      </c>
      <c r="E93" s="12" t="s">
        <v>77</v>
      </c>
      <c r="F93" s="683">
        <f t="shared" si="7"/>
        <v>2513.4653903196804</v>
      </c>
      <c r="G93" s="683">
        <f t="shared" si="7"/>
        <v>0</v>
      </c>
    </row>
    <row r="94" spans="1:7" s="9" customFormat="1" x14ac:dyDescent="0.25">
      <c r="A94" s="119"/>
      <c r="B94" s="310"/>
      <c r="C94" s="9">
        <f t="shared" ca="1" si="6"/>
        <v>1</v>
      </c>
      <c r="D94" s="368" t="s">
        <v>84</v>
      </c>
      <c r="E94" s="12" t="s">
        <v>78</v>
      </c>
      <c r="F94" s="683">
        <f t="shared" ca="1" si="7"/>
        <v>179689.82628904787</v>
      </c>
      <c r="G94" s="683">
        <f t="shared" si="7"/>
        <v>0</v>
      </c>
    </row>
    <row r="95" spans="1:7" s="9" customFormat="1" x14ac:dyDescent="0.25">
      <c r="A95" s="119"/>
      <c r="B95" s="310"/>
      <c r="C95" s="9">
        <f t="shared" ca="1" si="6"/>
        <v>1</v>
      </c>
      <c r="D95" s="368" t="s">
        <v>86</v>
      </c>
      <c r="E95" s="12" t="s">
        <v>79</v>
      </c>
      <c r="F95" s="683">
        <f t="shared" si="7"/>
        <v>0</v>
      </c>
      <c r="G95" s="683">
        <f t="shared" si="7"/>
        <v>0</v>
      </c>
    </row>
    <row r="96" spans="1:7" s="9" customFormat="1" x14ac:dyDescent="0.25">
      <c r="A96" s="119"/>
      <c r="B96" s="310"/>
      <c r="C96" s="9">
        <f t="shared" ca="1" si="6"/>
        <v>1</v>
      </c>
      <c r="D96" s="368" t="s">
        <v>386</v>
      </c>
      <c r="E96" s="12" t="s">
        <v>81</v>
      </c>
      <c r="F96" s="683">
        <f t="shared" si="7"/>
        <v>0</v>
      </c>
      <c r="G96" s="683">
        <f t="shared" si="7"/>
        <v>0</v>
      </c>
    </row>
    <row r="97" spans="1:7" s="9" customFormat="1" ht="15.75" thickBot="1" x14ac:dyDescent="0.3">
      <c r="A97" s="119"/>
      <c r="B97" s="310"/>
      <c r="C97" s="9">
        <f t="shared" ca="1" si="6"/>
        <v>1</v>
      </c>
      <c r="D97" s="35" t="s">
        <v>22</v>
      </c>
      <c r="E97" s="12" t="s">
        <v>83</v>
      </c>
      <c r="F97" s="685">
        <f ca="1">SUBTOTAL(9,F83:F96)</f>
        <v>205836.84884243325</v>
      </c>
      <c r="G97" s="685">
        <f>SUBTOTAL(9,G83:G96)</f>
        <v>0</v>
      </c>
    </row>
    <row r="98" spans="1:7" s="9" customFormat="1" ht="15.75" hidden="1" thickBot="1" x14ac:dyDescent="0.3">
      <c r="A98" s="119"/>
      <c r="B98" s="310"/>
      <c r="E98" s="10"/>
      <c r="F98" s="648"/>
      <c r="G98" s="648"/>
    </row>
    <row r="99" spans="1:7" s="9" customFormat="1" ht="30" x14ac:dyDescent="0.25">
      <c r="A99" s="119"/>
      <c r="B99" s="310"/>
      <c r="C99" s="9">
        <f ca="1">IF(F116&gt;0,1,0)</f>
        <v>1</v>
      </c>
      <c r="D99" s="20" t="str">
        <f>+A8</f>
        <v>Cattaraugus</v>
      </c>
      <c r="E99" s="19">
        <f>IFERROR(SUMIF(A:A,D99,B:B),0)</f>
        <v>2.4245220368889499E-3</v>
      </c>
      <c r="F99" s="652" t="s">
        <v>31</v>
      </c>
      <c r="G99" s="652" t="s">
        <v>32</v>
      </c>
    </row>
    <row r="100" spans="1:7" s="9" customFormat="1" x14ac:dyDescent="0.25">
      <c r="A100" s="119"/>
      <c r="B100" s="310"/>
      <c r="C100" s="9">
        <f ca="1">C99</f>
        <v>1</v>
      </c>
      <c r="D100" s="30"/>
      <c r="E100" s="31"/>
      <c r="F100" s="680" t="s">
        <v>54</v>
      </c>
      <c r="G100" s="680" t="s">
        <v>53</v>
      </c>
    </row>
    <row r="101" spans="1:7" s="9" customFormat="1" x14ac:dyDescent="0.25">
      <c r="A101" s="119"/>
      <c r="B101" s="310"/>
      <c r="C101" s="9">
        <f t="shared" ref="C101:C116" ca="1" si="8">C100</f>
        <v>1</v>
      </c>
      <c r="D101" s="32" t="s">
        <v>71</v>
      </c>
      <c r="E101" s="33"/>
      <c r="F101" s="681"/>
      <c r="G101" s="682"/>
    </row>
    <row r="102" spans="1:7" s="9" customFormat="1" x14ac:dyDescent="0.25">
      <c r="A102" s="119"/>
      <c r="B102" s="310"/>
      <c r="C102" s="9">
        <f t="shared" ca="1" si="8"/>
        <v>1</v>
      </c>
      <c r="D102" s="368" t="s">
        <v>72</v>
      </c>
      <c r="E102" s="12" t="s">
        <v>57</v>
      </c>
      <c r="F102" s="683">
        <f t="shared" ref="F102:G115" si="9">+$E$99*F6</f>
        <v>0</v>
      </c>
      <c r="G102" s="683">
        <f t="shared" si="9"/>
        <v>0</v>
      </c>
    </row>
    <row r="103" spans="1:7" s="9" customFormat="1" x14ac:dyDescent="0.25">
      <c r="A103" s="119"/>
      <c r="B103" s="310"/>
      <c r="C103" s="9">
        <f t="shared" ca="1" si="8"/>
        <v>1</v>
      </c>
      <c r="D103" s="368" t="s">
        <v>73</v>
      </c>
      <c r="E103" s="12" t="s">
        <v>56</v>
      </c>
      <c r="F103" s="683">
        <f t="shared" si="9"/>
        <v>1062.2546933393121</v>
      </c>
      <c r="G103" s="683">
        <f t="shared" si="9"/>
        <v>0</v>
      </c>
    </row>
    <row r="104" spans="1:7" s="9" customFormat="1" x14ac:dyDescent="0.25">
      <c r="A104" s="119"/>
      <c r="B104" s="310"/>
      <c r="C104" s="9">
        <f t="shared" ca="1" si="8"/>
        <v>1</v>
      </c>
      <c r="D104" s="368" t="s">
        <v>74</v>
      </c>
      <c r="E104" s="12" t="s">
        <v>55</v>
      </c>
      <c r="F104" s="683">
        <f t="shared" si="9"/>
        <v>159.24970323789773</v>
      </c>
      <c r="G104" s="683">
        <f t="shared" si="9"/>
        <v>0</v>
      </c>
    </row>
    <row r="105" spans="1:7" s="9" customFormat="1" x14ac:dyDescent="0.25">
      <c r="A105" s="119"/>
      <c r="B105" s="310"/>
      <c r="C105" s="9">
        <f t="shared" ca="1" si="8"/>
        <v>1</v>
      </c>
      <c r="D105" s="368" t="s">
        <v>75</v>
      </c>
      <c r="E105" s="12" t="s">
        <v>54</v>
      </c>
      <c r="F105" s="683">
        <f t="shared" si="9"/>
        <v>325.48456470003475</v>
      </c>
      <c r="G105" s="683">
        <f t="shared" si="9"/>
        <v>0</v>
      </c>
    </row>
    <row r="106" spans="1:7" s="9" customFormat="1" x14ac:dyDescent="0.25">
      <c r="A106" s="119"/>
      <c r="B106" s="310"/>
      <c r="C106" s="9">
        <f t="shared" ca="1" si="8"/>
        <v>1</v>
      </c>
      <c r="D106" s="34" t="s">
        <v>467</v>
      </c>
      <c r="E106" s="12" t="s">
        <v>53</v>
      </c>
      <c r="F106" s="683">
        <f t="shared" si="9"/>
        <v>1558.570962421946</v>
      </c>
      <c r="G106" s="683">
        <f t="shared" si="9"/>
        <v>0</v>
      </c>
    </row>
    <row r="107" spans="1:7" s="9" customFormat="1" x14ac:dyDescent="0.25">
      <c r="A107" s="119"/>
      <c r="B107" s="310"/>
      <c r="C107" s="9">
        <f t="shared" ca="1" si="8"/>
        <v>1</v>
      </c>
      <c r="D107" s="34" t="s">
        <v>76</v>
      </c>
      <c r="E107" s="12" t="s">
        <v>52</v>
      </c>
      <c r="F107" s="683">
        <f t="shared" si="9"/>
        <v>356.3636501379172</v>
      </c>
      <c r="G107" s="683">
        <f t="shared" si="9"/>
        <v>0</v>
      </c>
    </row>
    <row r="108" spans="1:7" s="9" customFormat="1" x14ac:dyDescent="0.25">
      <c r="A108" s="119"/>
      <c r="B108" s="310"/>
      <c r="C108" s="9">
        <f t="shared" ca="1" si="8"/>
        <v>1</v>
      </c>
      <c r="D108" s="34" t="s">
        <v>468</v>
      </c>
      <c r="E108" s="12" t="s">
        <v>51</v>
      </c>
      <c r="F108" s="683">
        <f t="shared" si="9"/>
        <v>0</v>
      </c>
      <c r="G108" s="683">
        <f t="shared" si="9"/>
        <v>0</v>
      </c>
    </row>
    <row r="109" spans="1:7" s="9" customFormat="1" x14ac:dyDescent="0.25">
      <c r="A109" s="119"/>
      <c r="B109" s="310"/>
      <c r="C109" s="9">
        <f t="shared" ca="1" si="8"/>
        <v>1</v>
      </c>
      <c r="D109" s="368" t="s">
        <v>59</v>
      </c>
      <c r="E109" s="12" t="s">
        <v>50</v>
      </c>
      <c r="F109" s="683">
        <f t="shared" si="9"/>
        <v>56.428089207253819</v>
      </c>
      <c r="G109" s="683">
        <f t="shared" si="9"/>
        <v>0</v>
      </c>
    </row>
    <row r="110" spans="1:7" s="9" customFormat="1" x14ac:dyDescent="0.25">
      <c r="A110" s="119"/>
      <c r="B110" s="310"/>
      <c r="C110" s="9">
        <f t="shared" ca="1" si="8"/>
        <v>1</v>
      </c>
      <c r="D110" s="368" t="s">
        <v>25</v>
      </c>
      <c r="E110" s="12" t="s">
        <v>49</v>
      </c>
      <c r="F110" s="683">
        <f t="shared" si="9"/>
        <v>184.77903648902057</v>
      </c>
      <c r="G110" s="683">
        <f t="shared" si="9"/>
        <v>0</v>
      </c>
    </row>
    <row r="111" spans="1:7" s="9" customFormat="1" x14ac:dyDescent="0.25">
      <c r="A111" s="119"/>
      <c r="B111" s="310"/>
      <c r="C111" s="9">
        <f t="shared" ca="1" si="8"/>
        <v>1</v>
      </c>
      <c r="D111" s="368" t="s">
        <v>80</v>
      </c>
      <c r="E111" s="12" t="s">
        <v>47</v>
      </c>
      <c r="F111" s="683">
        <f t="shared" si="9"/>
        <v>689.40267949552435</v>
      </c>
      <c r="G111" s="683">
        <f t="shared" si="9"/>
        <v>0</v>
      </c>
    </row>
    <row r="112" spans="1:7" s="9" customFormat="1" x14ac:dyDescent="0.25">
      <c r="A112" s="119"/>
      <c r="B112" s="310"/>
      <c r="C112" s="9">
        <f t="shared" ca="1" si="8"/>
        <v>1</v>
      </c>
      <c r="D112" s="368" t="s">
        <v>82</v>
      </c>
      <c r="E112" s="12" t="s">
        <v>77</v>
      </c>
      <c r="F112" s="683">
        <f t="shared" si="9"/>
        <v>467.15272473951023</v>
      </c>
      <c r="G112" s="683">
        <f t="shared" si="9"/>
        <v>0</v>
      </c>
    </row>
    <row r="113" spans="1:7" s="9" customFormat="1" x14ac:dyDescent="0.25">
      <c r="A113" s="119"/>
      <c r="B113" s="310"/>
      <c r="C113" s="9">
        <f t="shared" ca="1" si="8"/>
        <v>1</v>
      </c>
      <c r="D113" s="368" t="s">
        <v>84</v>
      </c>
      <c r="E113" s="12" t="s">
        <v>78</v>
      </c>
      <c r="F113" s="683">
        <f t="shared" ca="1" si="9"/>
        <v>33397.154495221257</v>
      </c>
      <c r="G113" s="683">
        <f t="shared" si="9"/>
        <v>0</v>
      </c>
    </row>
    <row r="114" spans="1:7" s="9" customFormat="1" x14ac:dyDescent="0.25">
      <c r="A114" s="119"/>
      <c r="B114" s="310"/>
      <c r="C114" s="9">
        <f t="shared" ca="1" si="8"/>
        <v>1</v>
      </c>
      <c r="D114" s="368" t="s">
        <v>86</v>
      </c>
      <c r="E114" s="12" t="s">
        <v>79</v>
      </c>
      <c r="F114" s="683">
        <f t="shared" si="9"/>
        <v>0</v>
      </c>
      <c r="G114" s="683">
        <f t="shared" si="9"/>
        <v>0</v>
      </c>
    </row>
    <row r="115" spans="1:7" s="9" customFormat="1" x14ac:dyDescent="0.25">
      <c r="A115" s="119"/>
      <c r="B115" s="310"/>
      <c r="C115" s="9">
        <f t="shared" ca="1" si="8"/>
        <v>1</v>
      </c>
      <c r="D115" s="368" t="s">
        <v>386</v>
      </c>
      <c r="E115" s="12" t="s">
        <v>81</v>
      </c>
      <c r="F115" s="683">
        <f t="shared" si="9"/>
        <v>0</v>
      </c>
      <c r="G115" s="683">
        <f t="shared" si="9"/>
        <v>0</v>
      </c>
    </row>
    <row r="116" spans="1:7" s="9" customFormat="1" ht="15.75" thickBot="1" x14ac:dyDescent="0.3">
      <c r="A116" s="119"/>
      <c r="B116" s="310"/>
      <c r="C116" s="9">
        <f t="shared" ca="1" si="8"/>
        <v>1</v>
      </c>
      <c r="D116" s="35" t="s">
        <v>22</v>
      </c>
      <c r="E116" s="12" t="s">
        <v>83</v>
      </c>
      <c r="F116" s="685">
        <f ca="1">SUBTOTAL(9,F102:F115)</f>
        <v>38256.840598989671</v>
      </c>
      <c r="G116" s="685">
        <f>SUBTOTAL(9,G102:G115)</f>
        <v>0</v>
      </c>
    </row>
    <row r="117" spans="1:7" s="9" customFormat="1" ht="15.75" hidden="1" thickBot="1" x14ac:dyDescent="0.3">
      <c r="A117" s="119"/>
      <c r="B117" s="310"/>
      <c r="E117" s="10"/>
      <c r="F117" s="648"/>
      <c r="G117" s="648"/>
    </row>
    <row r="118" spans="1:7" s="9" customFormat="1" ht="30" x14ac:dyDescent="0.25">
      <c r="A118" s="119"/>
      <c r="B118" s="310"/>
      <c r="C118" s="9">
        <f ca="1">IF(F135&gt;0,1,0)</f>
        <v>1</v>
      </c>
      <c r="D118" s="20" t="str">
        <f>+A9</f>
        <v>Cayuga</v>
      </c>
      <c r="E118" s="19">
        <f>IFERROR(SUMIF(A:A,D118,B:B),0)</f>
        <v>2.2764753186393966E-3</v>
      </c>
      <c r="F118" s="652" t="s">
        <v>31</v>
      </c>
      <c r="G118" s="652" t="s">
        <v>32</v>
      </c>
    </row>
    <row r="119" spans="1:7" s="9" customFormat="1" x14ac:dyDescent="0.25">
      <c r="A119" s="119"/>
      <c r="B119" s="310"/>
      <c r="C119" s="9">
        <f ca="1">C118</f>
        <v>1</v>
      </c>
      <c r="D119" s="30"/>
      <c r="E119" s="31"/>
      <c r="F119" s="680" t="s">
        <v>54</v>
      </c>
      <c r="G119" s="680" t="s">
        <v>53</v>
      </c>
    </row>
    <row r="120" spans="1:7" s="9" customFormat="1" x14ac:dyDescent="0.25">
      <c r="A120" s="119"/>
      <c r="B120" s="310"/>
      <c r="C120" s="9">
        <f t="shared" ref="C120:C135" ca="1" si="10">C119</f>
        <v>1</v>
      </c>
      <c r="D120" s="32" t="s">
        <v>71</v>
      </c>
      <c r="E120" s="33"/>
      <c r="F120" s="681"/>
      <c r="G120" s="682"/>
    </row>
    <row r="121" spans="1:7" s="9" customFormat="1" x14ac:dyDescent="0.25">
      <c r="A121" s="119"/>
      <c r="B121" s="310"/>
      <c r="C121" s="9">
        <f t="shared" ca="1" si="10"/>
        <v>1</v>
      </c>
      <c r="D121" s="368" t="s">
        <v>72</v>
      </c>
      <c r="E121" s="12" t="s">
        <v>57</v>
      </c>
      <c r="F121" s="683">
        <f t="shared" ref="F121:G134" si="11">+$E$118*F6</f>
        <v>0</v>
      </c>
      <c r="G121" s="683">
        <f t="shared" si="11"/>
        <v>0</v>
      </c>
    </row>
    <row r="122" spans="1:7" s="9" customFormat="1" x14ac:dyDescent="0.25">
      <c r="A122" s="119"/>
      <c r="B122" s="310"/>
      <c r="C122" s="9">
        <f t="shared" ca="1" si="10"/>
        <v>1</v>
      </c>
      <c r="D122" s="368" t="s">
        <v>73</v>
      </c>
      <c r="E122" s="12" t="s">
        <v>56</v>
      </c>
      <c r="F122" s="683">
        <f t="shared" si="11"/>
        <v>997.39105469164485</v>
      </c>
      <c r="G122" s="683">
        <f t="shared" si="11"/>
        <v>0</v>
      </c>
    </row>
    <row r="123" spans="1:7" s="9" customFormat="1" x14ac:dyDescent="0.25">
      <c r="A123" s="119"/>
      <c r="B123" s="310"/>
      <c r="C123" s="9">
        <f t="shared" ca="1" si="10"/>
        <v>1</v>
      </c>
      <c r="D123" s="368" t="s">
        <v>74</v>
      </c>
      <c r="E123" s="12" t="s">
        <v>55</v>
      </c>
      <c r="F123" s="683">
        <f t="shared" si="11"/>
        <v>149.52556149454682</v>
      </c>
      <c r="G123" s="683">
        <f t="shared" si="11"/>
        <v>0</v>
      </c>
    </row>
    <row r="124" spans="1:7" s="9" customFormat="1" x14ac:dyDescent="0.25">
      <c r="A124" s="119"/>
      <c r="B124" s="310"/>
      <c r="C124" s="9">
        <f t="shared" ca="1" si="10"/>
        <v>1</v>
      </c>
      <c r="D124" s="368" t="s">
        <v>75</v>
      </c>
      <c r="E124" s="12" t="s">
        <v>54</v>
      </c>
      <c r="F124" s="683">
        <f t="shared" si="11"/>
        <v>305.60975188680248</v>
      </c>
      <c r="G124" s="683">
        <f t="shared" si="11"/>
        <v>0</v>
      </c>
    </row>
    <row r="125" spans="1:7" s="9" customFormat="1" x14ac:dyDescent="0.25">
      <c r="A125" s="119"/>
      <c r="B125" s="310"/>
      <c r="C125" s="9">
        <f t="shared" ca="1" si="10"/>
        <v>1</v>
      </c>
      <c r="D125" s="34" t="s">
        <v>467</v>
      </c>
      <c r="E125" s="12" t="s">
        <v>53</v>
      </c>
      <c r="F125" s="683">
        <f t="shared" si="11"/>
        <v>1463.4011464190792</v>
      </c>
      <c r="G125" s="683">
        <f t="shared" si="11"/>
        <v>0</v>
      </c>
    </row>
    <row r="126" spans="1:7" s="9" customFormat="1" x14ac:dyDescent="0.25">
      <c r="A126" s="119"/>
      <c r="B126" s="310"/>
      <c r="C126" s="9">
        <f t="shared" ca="1" si="10"/>
        <v>1</v>
      </c>
      <c r="D126" s="34" t="s">
        <v>76</v>
      </c>
      <c r="E126" s="12" t="s">
        <v>52</v>
      </c>
      <c r="F126" s="683">
        <f t="shared" si="11"/>
        <v>334.60329155852145</v>
      </c>
      <c r="G126" s="683">
        <f t="shared" si="11"/>
        <v>0</v>
      </c>
    </row>
    <row r="127" spans="1:7" s="9" customFormat="1" x14ac:dyDescent="0.25">
      <c r="A127" s="119"/>
      <c r="B127" s="310"/>
      <c r="C127" s="9">
        <f t="shared" ca="1" si="10"/>
        <v>1</v>
      </c>
      <c r="D127" s="34" t="s">
        <v>468</v>
      </c>
      <c r="E127" s="12" t="s">
        <v>51</v>
      </c>
      <c r="F127" s="683">
        <f t="shared" si="11"/>
        <v>0</v>
      </c>
      <c r="G127" s="683">
        <f t="shared" si="11"/>
        <v>0</v>
      </c>
    </row>
    <row r="128" spans="1:7" s="9" customFormat="1" x14ac:dyDescent="0.25">
      <c r="A128" s="119"/>
      <c r="B128" s="310"/>
      <c r="C128" s="9">
        <f t="shared" ca="1" si="10"/>
        <v>1</v>
      </c>
      <c r="D128" s="368" t="s">
        <v>59</v>
      </c>
      <c r="E128" s="12" t="s">
        <v>50</v>
      </c>
      <c r="F128" s="683">
        <f t="shared" si="11"/>
        <v>52.982464338879154</v>
      </c>
      <c r="G128" s="683">
        <f t="shared" si="11"/>
        <v>0</v>
      </c>
    </row>
    <row r="129" spans="1:7" s="9" customFormat="1" x14ac:dyDescent="0.25">
      <c r="A129" s="119"/>
      <c r="B129" s="310"/>
      <c r="C129" s="9">
        <f t="shared" ca="1" si="10"/>
        <v>1</v>
      </c>
      <c r="D129" s="368" t="s">
        <v>25</v>
      </c>
      <c r="E129" s="12" t="s">
        <v>49</v>
      </c>
      <c r="F129" s="683">
        <f t="shared" si="11"/>
        <v>173.49601676913548</v>
      </c>
      <c r="G129" s="683">
        <f t="shared" si="11"/>
        <v>0</v>
      </c>
    </row>
    <row r="130" spans="1:7" s="9" customFormat="1" x14ac:dyDescent="0.25">
      <c r="A130" s="119"/>
      <c r="B130" s="310"/>
      <c r="C130" s="9">
        <f t="shared" ca="1" si="10"/>
        <v>1</v>
      </c>
      <c r="D130" s="368" t="s">
        <v>80</v>
      </c>
      <c r="E130" s="12" t="s">
        <v>47</v>
      </c>
      <c r="F130" s="683">
        <f t="shared" si="11"/>
        <v>647.306215656934</v>
      </c>
      <c r="G130" s="683">
        <f t="shared" si="11"/>
        <v>0</v>
      </c>
    </row>
    <row r="131" spans="1:7" s="9" customFormat="1" x14ac:dyDescent="0.25">
      <c r="A131" s="119"/>
      <c r="B131" s="310"/>
      <c r="C131" s="9">
        <f t="shared" ca="1" si="10"/>
        <v>1</v>
      </c>
      <c r="D131" s="368" t="s">
        <v>82</v>
      </c>
      <c r="E131" s="12" t="s">
        <v>77</v>
      </c>
      <c r="F131" s="683">
        <f t="shared" si="11"/>
        <v>438.62733838840683</v>
      </c>
      <c r="G131" s="683">
        <f t="shared" si="11"/>
        <v>0</v>
      </c>
    </row>
    <row r="132" spans="1:7" s="9" customFormat="1" x14ac:dyDescent="0.25">
      <c r="A132" s="119"/>
      <c r="B132" s="310"/>
      <c r="C132" s="9">
        <f t="shared" ca="1" si="10"/>
        <v>1</v>
      </c>
      <c r="D132" s="368" t="s">
        <v>84</v>
      </c>
      <c r="E132" s="12" t="s">
        <v>78</v>
      </c>
      <c r="F132" s="683">
        <f t="shared" ca="1" si="11"/>
        <v>31357.849821284286</v>
      </c>
      <c r="G132" s="683">
        <f t="shared" si="11"/>
        <v>0</v>
      </c>
    </row>
    <row r="133" spans="1:7" s="9" customFormat="1" x14ac:dyDescent="0.25">
      <c r="A133" s="119"/>
      <c r="B133" s="310"/>
      <c r="C133" s="9">
        <f t="shared" ca="1" si="10"/>
        <v>1</v>
      </c>
      <c r="D133" s="368" t="s">
        <v>86</v>
      </c>
      <c r="E133" s="12" t="s">
        <v>79</v>
      </c>
      <c r="F133" s="683">
        <f t="shared" si="11"/>
        <v>0</v>
      </c>
      <c r="G133" s="683">
        <f t="shared" si="11"/>
        <v>0</v>
      </c>
    </row>
    <row r="134" spans="1:7" s="9" customFormat="1" x14ac:dyDescent="0.25">
      <c r="A134" s="119"/>
      <c r="B134" s="310"/>
      <c r="C134" s="9">
        <f t="shared" ca="1" si="10"/>
        <v>1</v>
      </c>
      <c r="D134" s="368" t="s">
        <v>386</v>
      </c>
      <c r="E134" s="12" t="s">
        <v>81</v>
      </c>
      <c r="F134" s="683">
        <f t="shared" si="11"/>
        <v>0</v>
      </c>
      <c r="G134" s="683">
        <f t="shared" si="11"/>
        <v>0</v>
      </c>
    </row>
    <row r="135" spans="1:7" s="9" customFormat="1" ht="15.75" thickBot="1" x14ac:dyDescent="0.3">
      <c r="A135" s="119"/>
      <c r="B135" s="310"/>
      <c r="C135" s="9">
        <f t="shared" ca="1" si="10"/>
        <v>1</v>
      </c>
      <c r="D135" s="35" t="s">
        <v>22</v>
      </c>
      <c r="E135" s="12" t="s">
        <v>83</v>
      </c>
      <c r="F135" s="685">
        <f ca="1">SUBTOTAL(9,F121:F134)</f>
        <v>35920.792662488238</v>
      </c>
      <c r="G135" s="685">
        <f>SUBTOTAL(9,G121:G134)</f>
        <v>0</v>
      </c>
    </row>
    <row r="136" spans="1:7" s="9" customFormat="1" ht="15.75" hidden="1" thickBot="1" x14ac:dyDescent="0.3">
      <c r="A136" s="119"/>
      <c r="B136" s="310"/>
      <c r="E136" s="10"/>
      <c r="F136" s="648"/>
      <c r="G136" s="648"/>
    </row>
    <row r="137" spans="1:7" s="9" customFormat="1" ht="30" x14ac:dyDescent="0.25">
      <c r="A137" s="119"/>
      <c r="B137" s="310"/>
      <c r="C137" s="9">
        <f ca="1">IF(F154&gt;0,1,0)</f>
        <v>1</v>
      </c>
      <c r="D137" s="20" t="str">
        <f>+A10</f>
        <v>Chautauqua</v>
      </c>
      <c r="E137" s="19">
        <f>IFERROR(SUMIF(A:A,D137,B:B),0)</f>
        <v>4.8428754605175017E-3</v>
      </c>
      <c r="F137" s="652" t="s">
        <v>31</v>
      </c>
      <c r="G137" s="652" t="s">
        <v>32</v>
      </c>
    </row>
    <row r="138" spans="1:7" s="9" customFormat="1" x14ac:dyDescent="0.25">
      <c r="A138" s="119"/>
      <c r="B138" s="310"/>
      <c r="C138" s="9">
        <f ca="1">C137</f>
        <v>1</v>
      </c>
      <c r="D138" s="30"/>
      <c r="E138" s="31"/>
      <c r="F138" s="680" t="s">
        <v>54</v>
      </c>
      <c r="G138" s="680" t="s">
        <v>53</v>
      </c>
    </row>
    <row r="139" spans="1:7" s="9" customFormat="1" x14ac:dyDescent="0.25">
      <c r="A139" s="119"/>
      <c r="B139" s="310"/>
      <c r="C139" s="9">
        <f t="shared" ref="C139:C154" ca="1" si="12">C138</f>
        <v>1</v>
      </c>
      <c r="D139" s="32" t="s">
        <v>71</v>
      </c>
      <c r="E139" s="33"/>
      <c r="F139" s="681"/>
      <c r="G139" s="682"/>
    </row>
    <row r="140" spans="1:7" s="9" customFormat="1" x14ac:dyDescent="0.25">
      <c r="A140" s="119"/>
      <c r="B140" s="310"/>
      <c r="C140" s="9">
        <f t="shared" ca="1" si="12"/>
        <v>1</v>
      </c>
      <c r="D140" s="368" t="s">
        <v>72</v>
      </c>
      <c r="E140" s="12" t="s">
        <v>57</v>
      </c>
      <c r="F140" s="683">
        <f t="shared" ref="F140:G153" si="13">+$E$137*F6</f>
        <v>0</v>
      </c>
      <c r="G140" s="683">
        <f t="shared" si="13"/>
        <v>0</v>
      </c>
    </row>
    <row r="141" spans="1:7" s="9" customFormat="1" x14ac:dyDescent="0.25">
      <c r="A141" s="119"/>
      <c r="B141" s="310"/>
      <c r="C141" s="9">
        <f t="shared" ca="1" si="12"/>
        <v>1</v>
      </c>
      <c r="D141" s="368" t="s">
        <v>73</v>
      </c>
      <c r="E141" s="12" t="s">
        <v>56</v>
      </c>
      <c r="F141" s="683">
        <f t="shared" si="13"/>
        <v>2121.8067350683045</v>
      </c>
      <c r="G141" s="683">
        <f t="shared" si="13"/>
        <v>0</v>
      </c>
    </row>
    <row r="142" spans="1:7" s="9" customFormat="1" x14ac:dyDescent="0.25">
      <c r="A142" s="119"/>
      <c r="B142" s="310"/>
      <c r="C142" s="9">
        <f t="shared" ca="1" si="12"/>
        <v>1</v>
      </c>
      <c r="D142" s="368" t="s">
        <v>74</v>
      </c>
      <c r="E142" s="12" t="s">
        <v>55</v>
      </c>
      <c r="F142" s="683">
        <f t="shared" si="13"/>
        <v>318.09423390315584</v>
      </c>
      <c r="G142" s="683">
        <f t="shared" si="13"/>
        <v>0</v>
      </c>
    </row>
    <row r="143" spans="1:7" s="9" customFormat="1" x14ac:dyDescent="0.25">
      <c r="A143" s="119"/>
      <c r="B143" s="310"/>
      <c r="C143" s="9">
        <f t="shared" ca="1" si="12"/>
        <v>1</v>
      </c>
      <c r="D143" s="368" t="s">
        <v>75</v>
      </c>
      <c r="E143" s="12" t="s">
        <v>54</v>
      </c>
      <c r="F143" s="683">
        <f t="shared" si="13"/>
        <v>650.14101219951817</v>
      </c>
      <c r="G143" s="683">
        <f t="shared" si="13"/>
        <v>0</v>
      </c>
    </row>
    <row r="144" spans="1:7" s="9" customFormat="1" x14ac:dyDescent="0.25">
      <c r="A144" s="119"/>
      <c r="B144" s="310"/>
      <c r="C144" s="9">
        <f t="shared" ca="1" si="12"/>
        <v>1</v>
      </c>
      <c r="D144" s="34" t="s">
        <v>467</v>
      </c>
      <c r="E144" s="12" t="s">
        <v>53</v>
      </c>
      <c r="F144" s="683">
        <f t="shared" si="13"/>
        <v>3113.1765158437724</v>
      </c>
      <c r="G144" s="683">
        <f t="shared" si="13"/>
        <v>0</v>
      </c>
    </row>
    <row r="145" spans="1:7" s="9" customFormat="1" x14ac:dyDescent="0.25">
      <c r="A145" s="119"/>
      <c r="B145" s="310"/>
      <c r="C145" s="9">
        <f t="shared" ca="1" si="12"/>
        <v>1</v>
      </c>
      <c r="D145" s="34" t="s">
        <v>76</v>
      </c>
      <c r="E145" s="12" t="s">
        <v>52</v>
      </c>
      <c r="F145" s="683">
        <f t="shared" si="13"/>
        <v>711.82061866835966</v>
      </c>
      <c r="G145" s="683">
        <f t="shared" si="13"/>
        <v>0</v>
      </c>
    </row>
    <row r="146" spans="1:7" s="9" customFormat="1" x14ac:dyDescent="0.25">
      <c r="A146" s="119"/>
      <c r="B146" s="310"/>
      <c r="C146" s="9">
        <f t="shared" ca="1" si="12"/>
        <v>1</v>
      </c>
      <c r="D146" s="34" t="s">
        <v>468</v>
      </c>
      <c r="E146" s="12" t="s">
        <v>51</v>
      </c>
      <c r="F146" s="683">
        <f t="shared" si="13"/>
        <v>0</v>
      </c>
      <c r="G146" s="683">
        <f t="shared" si="13"/>
        <v>0</v>
      </c>
    </row>
    <row r="147" spans="1:7" s="9" customFormat="1" x14ac:dyDescent="0.25">
      <c r="A147" s="119"/>
      <c r="B147" s="310"/>
      <c r="C147" s="9">
        <f t="shared" ca="1" si="12"/>
        <v>1</v>
      </c>
      <c r="D147" s="368" t="s">
        <v>59</v>
      </c>
      <c r="E147" s="12" t="s">
        <v>50</v>
      </c>
      <c r="F147" s="683">
        <f t="shared" si="13"/>
        <v>112.71261071165868</v>
      </c>
      <c r="G147" s="683">
        <f t="shared" si="13"/>
        <v>0</v>
      </c>
    </row>
    <row r="148" spans="1:7" s="9" customFormat="1" x14ac:dyDescent="0.25">
      <c r="A148" s="119"/>
      <c r="B148" s="310"/>
      <c r="C148" s="9">
        <f t="shared" ca="1" si="12"/>
        <v>1</v>
      </c>
      <c r="D148" s="368" t="s">
        <v>25</v>
      </c>
      <c r="E148" s="12" t="s">
        <v>49</v>
      </c>
      <c r="F148" s="683">
        <f t="shared" si="13"/>
        <v>369.08794715637924</v>
      </c>
      <c r="G148" s="683">
        <f t="shared" si="13"/>
        <v>0</v>
      </c>
    </row>
    <row r="149" spans="1:7" s="9" customFormat="1" x14ac:dyDescent="0.25">
      <c r="A149" s="119"/>
      <c r="B149" s="310"/>
      <c r="C149" s="9">
        <f t="shared" ca="1" si="12"/>
        <v>1</v>
      </c>
      <c r="D149" s="368" t="s">
        <v>80</v>
      </c>
      <c r="E149" s="12" t="s">
        <v>47</v>
      </c>
      <c r="F149" s="683">
        <f t="shared" si="13"/>
        <v>1377.0513396644408</v>
      </c>
      <c r="G149" s="683">
        <f t="shared" si="13"/>
        <v>0</v>
      </c>
    </row>
    <row r="150" spans="1:7" s="9" customFormat="1" x14ac:dyDescent="0.25">
      <c r="A150" s="119"/>
      <c r="B150" s="310"/>
      <c r="C150" s="9">
        <f t="shared" ca="1" si="12"/>
        <v>1</v>
      </c>
      <c r="D150" s="368" t="s">
        <v>82</v>
      </c>
      <c r="E150" s="12" t="s">
        <v>77</v>
      </c>
      <c r="F150" s="683">
        <f t="shared" si="13"/>
        <v>933.11689171439116</v>
      </c>
      <c r="G150" s="683">
        <f t="shared" si="13"/>
        <v>0</v>
      </c>
    </row>
    <row r="151" spans="1:7" s="9" customFormat="1" x14ac:dyDescent="0.25">
      <c r="A151" s="119"/>
      <c r="B151" s="310"/>
      <c r="C151" s="9">
        <f t="shared" ca="1" si="12"/>
        <v>1</v>
      </c>
      <c r="D151" s="368" t="s">
        <v>84</v>
      </c>
      <c r="E151" s="12" t="s">
        <v>78</v>
      </c>
      <c r="F151" s="683">
        <f t="shared" ca="1" si="13"/>
        <v>66709.337962361809</v>
      </c>
      <c r="G151" s="683">
        <f t="shared" si="13"/>
        <v>0</v>
      </c>
    </row>
    <row r="152" spans="1:7" s="9" customFormat="1" x14ac:dyDescent="0.25">
      <c r="A152" s="119"/>
      <c r="B152" s="310"/>
      <c r="C152" s="9">
        <f t="shared" ca="1" si="12"/>
        <v>1</v>
      </c>
      <c r="D152" s="368" t="s">
        <v>86</v>
      </c>
      <c r="E152" s="12" t="s">
        <v>79</v>
      </c>
      <c r="F152" s="683">
        <f t="shared" si="13"/>
        <v>0</v>
      </c>
      <c r="G152" s="683">
        <f t="shared" si="13"/>
        <v>0</v>
      </c>
    </row>
    <row r="153" spans="1:7" s="9" customFormat="1" x14ac:dyDescent="0.25">
      <c r="A153" s="119"/>
      <c r="B153" s="310"/>
      <c r="C153" s="9">
        <f t="shared" ca="1" si="12"/>
        <v>1</v>
      </c>
      <c r="D153" s="368" t="s">
        <v>386</v>
      </c>
      <c r="E153" s="12" t="s">
        <v>81</v>
      </c>
      <c r="F153" s="683">
        <f t="shared" si="13"/>
        <v>0</v>
      </c>
      <c r="G153" s="683">
        <f t="shared" si="13"/>
        <v>0</v>
      </c>
    </row>
    <row r="154" spans="1:7" s="9" customFormat="1" ht="15.75" thickBot="1" x14ac:dyDescent="0.3">
      <c r="A154" s="119"/>
      <c r="B154" s="310"/>
      <c r="C154" s="9">
        <f t="shared" ca="1" si="12"/>
        <v>1</v>
      </c>
      <c r="D154" s="35" t="s">
        <v>22</v>
      </c>
      <c r="E154" s="12" t="s">
        <v>83</v>
      </c>
      <c r="F154" s="685">
        <f ca="1">SUBTOTAL(9,F140:F153)</f>
        <v>76416.345867291791</v>
      </c>
      <c r="G154" s="685">
        <f>SUBTOTAL(9,G140:G153)</f>
        <v>0</v>
      </c>
    </row>
    <row r="155" spans="1:7" s="9" customFormat="1" ht="15.75" hidden="1" thickBot="1" x14ac:dyDescent="0.3">
      <c r="A155" s="119"/>
      <c r="B155" s="310"/>
      <c r="E155" s="10"/>
      <c r="F155" s="648"/>
      <c r="G155" s="648"/>
    </row>
    <row r="156" spans="1:7" s="9" customFormat="1" ht="30" x14ac:dyDescent="0.25">
      <c r="A156" s="119"/>
      <c r="B156" s="310"/>
      <c r="C156" s="9">
        <f ca="1">IF(F173&gt;0,1,0)</f>
        <v>1</v>
      </c>
      <c r="D156" s="20" t="str">
        <f>+A11</f>
        <v>Chemung</v>
      </c>
      <c r="E156" s="19">
        <f>IFERROR(SUMIF(A:A,D156,B:B),0)</f>
        <v>4.5517940222924687E-3</v>
      </c>
      <c r="F156" s="652" t="s">
        <v>31</v>
      </c>
      <c r="G156" s="652" t="s">
        <v>32</v>
      </c>
    </row>
    <row r="157" spans="1:7" s="9" customFormat="1" x14ac:dyDescent="0.25">
      <c r="A157" s="119"/>
      <c r="B157" s="310"/>
      <c r="C157" s="9">
        <f ca="1">C156</f>
        <v>1</v>
      </c>
      <c r="D157" s="30"/>
      <c r="E157" s="31"/>
      <c r="F157" s="680" t="s">
        <v>54</v>
      </c>
      <c r="G157" s="680" t="s">
        <v>53</v>
      </c>
    </row>
    <row r="158" spans="1:7" s="9" customFormat="1" x14ac:dyDescent="0.25">
      <c r="A158" s="119"/>
      <c r="B158" s="310"/>
      <c r="C158" s="9">
        <f t="shared" ref="C158:C173" ca="1" si="14">C157</f>
        <v>1</v>
      </c>
      <c r="D158" s="32" t="s">
        <v>71</v>
      </c>
      <c r="E158" s="33"/>
      <c r="F158" s="681"/>
      <c r="G158" s="682"/>
    </row>
    <row r="159" spans="1:7" s="9" customFormat="1" x14ac:dyDescent="0.25">
      <c r="A159" s="119"/>
      <c r="B159" s="310"/>
      <c r="C159" s="9">
        <f t="shared" ca="1" si="14"/>
        <v>1</v>
      </c>
      <c r="D159" s="368" t="s">
        <v>72</v>
      </c>
      <c r="E159" s="12" t="s">
        <v>57</v>
      </c>
      <c r="F159" s="683">
        <f t="shared" ref="F159:G172" si="15">+$E$156*F6</f>
        <v>0</v>
      </c>
      <c r="G159" s="683">
        <f t="shared" si="15"/>
        <v>0</v>
      </c>
    </row>
    <row r="160" spans="1:7" s="9" customFormat="1" x14ac:dyDescent="0.25">
      <c r="A160" s="119"/>
      <c r="B160" s="310"/>
      <c r="C160" s="9">
        <f t="shared" ca="1" si="14"/>
        <v>1</v>
      </c>
      <c r="D160" s="368" t="s">
        <v>73</v>
      </c>
      <c r="E160" s="12" t="s">
        <v>56</v>
      </c>
      <c r="F160" s="683">
        <f t="shared" si="15"/>
        <v>1994.2753622063549</v>
      </c>
      <c r="G160" s="683">
        <f t="shared" si="15"/>
        <v>0</v>
      </c>
    </row>
    <row r="161" spans="1:7" s="9" customFormat="1" x14ac:dyDescent="0.25">
      <c r="A161" s="119"/>
      <c r="B161" s="310"/>
      <c r="C161" s="9">
        <f t="shared" ca="1" si="14"/>
        <v>1</v>
      </c>
      <c r="D161" s="368" t="s">
        <v>74</v>
      </c>
      <c r="E161" s="12" t="s">
        <v>55</v>
      </c>
      <c r="F161" s="683">
        <f t="shared" si="15"/>
        <v>298.97515313172374</v>
      </c>
      <c r="G161" s="683">
        <f t="shared" si="15"/>
        <v>0</v>
      </c>
    </row>
    <row r="162" spans="1:7" s="9" customFormat="1" x14ac:dyDescent="0.25">
      <c r="A162" s="119"/>
      <c r="B162" s="310"/>
      <c r="C162" s="9">
        <f t="shared" ca="1" si="14"/>
        <v>1</v>
      </c>
      <c r="D162" s="368" t="s">
        <v>75</v>
      </c>
      <c r="E162" s="12" t="s">
        <v>54</v>
      </c>
      <c r="F162" s="683">
        <f t="shared" si="15"/>
        <v>611.06423179850162</v>
      </c>
      <c r="G162" s="683">
        <f t="shared" si="15"/>
        <v>0</v>
      </c>
    </row>
    <row r="163" spans="1:7" s="9" customFormat="1" x14ac:dyDescent="0.25">
      <c r="A163" s="119"/>
      <c r="B163" s="310"/>
      <c r="C163" s="9">
        <f t="shared" ca="1" si="14"/>
        <v>1</v>
      </c>
      <c r="D163" s="34" t="s">
        <v>467</v>
      </c>
      <c r="E163" s="12" t="s">
        <v>53</v>
      </c>
      <c r="F163" s="683">
        <f t="shared" si="15"/>
        <v>2926.0587786506362</v>
      </c>
      <c r="G163" s="683">
        <f t="shared" si="15"/>
        <v>0</v>
      </c>
    </row>
    <row r="164" spans="1:7" s="9" customFormat="1" x14ac:dyDescent="0.25">
      <c r="A164" s="119"/>
      <c r="B164" s="310"/>
      <c r="C164" s="9">
        <f t="shared" ca="1" si="14"/>
        <v>1</v>
      </c>
      <c r="D164" s="34" t="s">
        <v>76</v>
      </c>
      <c r="E164" s="12" t="s">
        <v>52</v>
      </c>
      <c r="F164" s="683">
        <f t="shared" si="15"/>
        <v>669.03658031564134</v>
      </c>
      <c r="G164" s="683">
        <f t="shared" si="15"/>
        <v>0</v>
      </c>
    </row>
    <row r="165" spans="1:7" s="9" customFormat="1" x14ac:dyDescent="0.25">
      <c r="A165" s="119"/>
      <c r="B165" s="310"/>
      <c r="C165" s="9">
        <f t="shared" ca="1" si="14"/>
        <v>1</v>
      </c>
      <c r="D165" s="34" t="s">
        <v>468</v>
      </c>
      <c r="E165" s="12" t="s">
        <v>51</v>
      </c>
      <c r="F165" s="683">
        <f t="shared" si="15"/>
        <v>0</v>
      </c>
      <c r="G165" s="683">
        <f t="shared" si="15"/>
        <v>0</v>
      </c>
    </row>
    <row r="166" spans="1:7" s="9" customFormat="1" x14ac:dyDescent="0.25">
      <c r="A166" s="119"/>
      <c r="B166" s="310"/>
      <c r="C166" s="9">
        <f t="shared" ca="1" si="14"/>
        <v>1</v>
      </c>
      <c r="D166" s="368" t="s">
        <v>59</v>
      </c>
      <c r="E166" s="12" t="s">
        <v>50</v>
      </c>
      <c r="F166" s="683">
        <f t="shared" si="15"/>
        <v>105.93800973347413</v>
      </c>
      <c r="G166" s="683">
        <f t="shared" si="15"/>
        <v>0</v>
      </c>
    </row>
    <row r="167" spans="1:7" s="9" customFormat="1" x14ac:dyDescent="0.25">
      <c r="A167" s="119"/>
      <c r="B167" s="310"/>
      <c r="C167" s="9">
        <f t="shared" ca="1" si="14"/>
        <v>1</v>
      </c>
      <c r="D167" s="368" t="s">
        <v>25</v>
      </c>
      <c r="E167" s="12" t="s">
        <v>49</v>
      </c>
      <c r="F167" s="683">
        <f t="shared" si="15"/>
        <v>346.90388494670941</v>
      </c>
      <c r="G167" s="683">
        <f t="shared" si="15"/>
        <v>0</v>
      </c>
    </row>
    <row r="168" spans="1:7" s="9" customFormat="1" x14ac:dyDescent="0.25">
      <c r="A168" s="119"/>
      <c r="B168" s="310"/>
      <c r="C168" s="9">
        <f t="shared" ca="1" si="14"/>
        <v>1</v>
      </c>
      <c r="D168" s="368" t="s">
        <v>80</v>
      </c>
      <c r="E168" s="12" t="s">
        <v>47</v>
      </c>
      <c r="F168" s="683">
        <f t="shared" si="15"/>
        <v>1294.283552690129</v>
      </c>
      <c r="G168" s="683">
        <f t="shared" si="15"/>
        <v>0</v>
      </c>
    </row>
    <row r="169" spans="1:7" s="9" customFormat="1" x14ac:dyDescent="0.25">
      <c r="A169" s="119"/>
      <c r="B169" s="310"/>
      <c r="C169" s="9">
        <f t="shared" ca="1" si="14"/>
        <v>1</v>
      </c>
      <c r="D169" s="368" t="s">
        <v>82</v>
      </c>
      <c r="E169" s="12" t="s">
        <v>77</v>
      </c>
      <c r="F169" s="683">
        <f t="shared" si="15"/>
        <v>877.03182219594567</v>
      </c>
      <c r="G169" s="683">
        <f t="shared" si="15"/>
        <v>0</v>
      </c>
    </row>
    <row r="170" spans="1:7" s="9" customFormat="1" x14ac:dyDescent="0.25">
      <c r="A170" s="119"/>
      <c r="B170" s="310"/>
      <c r="C170" s="9">
        <f t="shared" ca="1" si="14"/>
        <v>1</v>
      </c>
      <c r="D170" s="368" t="s">
        <v>84</v>
      </c>
      <c r="E170" s="12" t="s">
        <v>78</v>
      </c>
      <c r="F170" s="683">
        <f t="shared" ca="1" si="15"/>
        <v>62699.767574803445</v>
      </c>
      <c r="G170" s="683">
        <f t="shared" si="15"/>
        <v>0</v>
      </c>
    </row>
    <row r="171" spans="1:7" s="9" customFormat="1" x14ac:dyDescent="0.25">
      <c r="A171" s="119"/>
      <c r="B171" s="310"/>
      <c r="C171" s="9">
        <f t="shared" ca="1" si="14"/>
        <v>1</v>
      </c>
      <c r="D171" s="368" t="s">
        <v>86</v>
      </c>
      <c r="E171" s="12" t="s">
        <v>79</v>
      </c>
      <c r="F171" s="683">
        <f t="shared" si="15"/>
        <v>0</v>
      </c>
      <c r="G171" s="683">
        <f t="shared" si="15"/>
        <v>0</v>
      </c>
    </row>
    <row r="172" spans="1:7" s="9" customFormat="1" x14ac:dyDescent="0.25">
      <c r="A172" s="119"/>
      <c r="B172" s="310"/>
      <c r="C172" s="9">
        <f t="shared" ca="1" si="14"/>
        <v>1</v>
      </c>
      <c r="D172" s="368" t="s">
        <v>386</v>
      </c>
      <c r="E172" s="12" t="s">
        <v>81</v>
      </c>
      <c r="F172" s="683">
        <f t="shared" si="15"/>
        <v>0</v>
      </c>
      <c r="G172" s="683">
        <f t="shared" si="15"/>
        <v>0</v>
      </c>
    </row>
    <row r="173" spans="1:7" s="9" customFormat="1" ht="15.75" thickBot="1" x14ac:dyDescent="0.3">
      <c r="A173" s="119"/>
      <c r="B173" s="310"/>
      <c r="C173" s="9">
        <f t="shared" ca="1" si="14"/>
        <v>1</v>
      </c>
      <c r="D173" s="35" t="s">
        <v>22</v>
      </c>
      <c r="E173" s="12" t="s">
        <v>83</v>
      </c>
      <c r="F173" s="685">
        <f ca="1">SUBTOTAL(9,F159:F172)</f>
        <v>71823.334950472563</v>
      </c>
      <c r="G173" s="685">
        <f>SUBTOTAL(9,G159:G172)</f>
        <v>0</v>
      </c>
    </row>
    <row r="174" spans="1:7" s="9" customFormat="1" ht="15.75" hidden="1" thickBot="1" x14ac:dyDescent="0.3">
      <c r="A174" s="119"/>
      <c r="B174" s="310"/>
      <c r="E174" s="10"/>
      <c r="F174" s="648"/>
      <c r="G174" s="648"/>
    </row>
    <row r="175" spans="1:7" s="9" customFormat="1" ht="30" x14ac:dyDescent="0.25">
      <c r="A175" s="119"/>
      <c r="B175" s="310"/>
      <c r="C175" s="9">
        <f ca="1">IF(F192&gt;0,1,0)</f>
        <v>1</v>
      </c>
      <c r="D175" s="20" t="str">
        <f>+A12</f>
        <v>Chenango</v>
      </c>
      <c r="E175" s="19">
        <f>IFERROR(SUMIF(A:A,D175,B:B),0)</f>
        <v>2.3404746812160262E-3</v>
      </c>
      <c r="F175" s="652" t="s">
        <v>31</v>
      </c>
      <c r="G175" s="652" t="s">
        <v>32</v>
      </c>
    </row>
    <row r="176" spans="1:7" s="9" customFormat="1" x14ac:dyDescent="0.25">
      <c r="A176" s="119"/>
      <c r="B176" s="310"/>
      <c r="C176" s="9">
        <f ca="1">C175</f>
        <v>1</v>
      </c>
      <c r="D176" s="30"/>
      <c r="E176" s="31"/>
      <c r="F176" s="680" t="s">
        <v>54</v>
      </c>
      <c r="G176" s="680" t="s">
        <v>53</v>
      </c>
    </row>
    <row r="177" spans="1:7" s="9" customFormat="1" x14ac:dyDescent="0.25">
      <c r="A177" s="119"/>
      <c r="B177" s="310"/>
      <c r="C177" s="9">
        <f t="shared" ref="C177:C192" ca="1" si="16">C176</f>
        <v>1</v>
      </c>
      <c r="D177" s="32" t="s">
        <v>71</v>
      </c>
      <c r="E177" s="33"/>
      <c r="F177" s="681"/>
      <c r="G177" s="682"/>
    </row>
    <row r="178" spans="1:7" s="9" customFormat="1" x14ac:dyDescent="0.25">
      <c r="A178" s="119"/>
      <c r="B178" s="310"/>
      <c r="C178" s="9">
        <f t="shared" ca="1" si="16"/>
        <v>1</v>
      </c>
      <c r="D178" s="368" t="s">
        <v>72</v>
      </c>
      <c r="E178" s="12" t="s">
        <v>57</v>
      </c>
      <c r="F178" s="683">
        <f t="shared" ref="F178:G191" si="17">+$E$175*F6</f>
        <v>0</v>
      </c>
      <c r="G178" s="683">
        <f t="shared" si="17"/>
        <v>0</v>
      </c>
    </row>
    <row r="179" spans="1:7" s="9" customFormat="1" x14ac:dyDescent="0.25">
      <c r="A179" s="119"/>
      <c r="B179" s="310"/>
      <c r="C179" s="9">
        <f t="shared" ca="1" si="16"/>
        <v>1</v>
      </c>
      <c r="D179" s="368" t="s">
        <v>73</v>
      </c>
      <c r="E179" s="12" t="s">
        <v>56</v>
      </c>
      <c r="F179" s="683">
        <f t="shared" si="17"/>
        <v>1025.4310651487092</v>
      </c>
      <c r="G179" s="683">
        <f t="shared" si="17"/>
        <v>0</v>
      </c>
    </row>
    <row r="180" spans="1:7" s="9" customFormat="1" x14ac:dyDescent="0.25">
      <c r="A180" s="119"/>
      <c r="B180" s="310"/>
      <c r="C180" s="9">
        <f t="shared" ca="1" si="16"/>
        <v>1</v>
      </c>
      <c r="D180" s="368" t="s">
        <v>74</v>
      </c>
      <c r="E180" s="12" t="s">
        <v>55</v>
      </c>
      <c r="F180" s="683">
        <f t="shared" si="17"/>
        <v>153.72922693568287</v>
      </c>
      <c r="G180" s="683">
        <f t="shared" si="17"/>
        <v>0</v>
      </c>
    </row>
    <row r="181" spans="1:7" s="9" customFormat="1" x14ac:dyDescent="0.25">
      <c r="A181" s="119"/>
      <c r="B181" s="310"/>
      <c r="C181" s="9">
        <f t="shared" ca="1" si="16"/>
        <v>1</v>
      </c>
      <c r="D181" s="368" t="s">
        <v>75</v>
      </c>
      <c r="E181" s="12" t="s">
        <v>54</v>
      </c>
      <c r="F181" s="683">
        <f t="shared" si="17"/>
        <v>314.20146784252267</v>
      </c>
      <c r="G181" s="683">
        <f t="shared" si="17"/>
        <v>0</v>
      </c>
    </row>
    <row r="182" spans="1:7" s="9" customFormat="1" x14ac:dyDescent="0.25">
      <c r="A182" s="119"/>
      <c r="B182" s="310"/>
      <c r="C182" s="9">
        <f t="shared" ca="1" si="16"/>
        <v>1</v>
      </c>
      <c r="D182" s="34" t="s">
        <v>467</v>
      </c>
      <c r="E182" s="12" t="s">
        <v>53</v>
      </c>
      <c r="F182" s="683">
        <f t="shared" si="17"/>
        <v>1504.5422647953185</v>
      </c>
      <c r="G182" s="683">
        <f t="shared" si="17"/>
        <v>0</v>
      </c>
    </row>
    <row r="183" spans="1:7" s="9" customFormat="1" x14ac:dyDescent="0.25">
      <c r="A183" s="119"/>
      <c r="B183" s="310"/>
      <c r="C183" s="9">
        <f t="shared" ca="1" si="16"/>
        <v>1</v>
      </c>
      <c r="D183" s="34" t="s">
        <v>76</v>
      </c>
      <c r="E183" s="12" t="s">
        <v>52</v>
      </c>
      <c r="F183" s="683">
        <f t="shared" si="17"/>
        <v>344.0101132360727</v>
      </c>
      <c r="G183" s="683">
        <f t="shared" si="17"/>
        <v>0</v>
      </c>
    </row>
    <row r="184" spans="1:7" s="9" customFormat="1" x14ac:dyDescent="0.25">
      <c r="A184" s="119"/>
      <c r="B184" s="310"/>
      <c r="C184" s="9">
        <f t="shared" ca="1" si="16"/>
        <v>1</v>
      </c>
      <c r="D184" s="34" t="s">
        <v>468</v>
      </c>
      <c r="E184" s="12" t="s">
        <v>51</v>
      </c>
      <c r="F184" s="683">
        <f t="shared" si="17"/>
        <v>0</v>
      </c>
      <c r="G184" s="683">
        <f t="shared" si="17"/>
        <v>0</v>
      </c>
    </row>
    <row r="185" spans="1:7" s="9" customFormat="1" x14ac:dyDescent="0.25">
      <c r="A185" s="119"/>
      <c r="B185" s="310"/>
      <c r="C185" s="9">
        <f t="shared" ca="1" si="16"/>
        <v>1</v>
      </c>
      <c r="D185" s="368" t="s">
        <v>59</v>
      </c>
      <c r="E185" s="12" t="s">
        <v>50</v>
      </c>
      <c r="F185" s="683">
        <f t="shared" si="17"/>
        <v>54.471979255936944</v>
      </c>
      <c r="G185" s="683">
        <f t="shared" si="17"/>
        <v>0</v>
      </c>
    </row>
    <row r="186" spans="1:7" s="9" customFormat="1" x14ac:dyDescent="0.25">
      <c r="A186" s="119"/>
      <c r="B186" s="310"/>
      <c r="C186" s="9">
        <f t="shared" ca="1" si="16"/>
        <v>1</v>
      </c>
      <c r="D186" s="368" t="s">
        <v>25</v>
      </c>
      <c r="E186" s="12" t="s">
        <v>49</v>
      </c>
      <c r="F186" s="683">
        <f t="shared" si="17"/>
        <v>178.37357216887747</v>
      </c>
      <c r="G186" s="683">
        <f t="shared" si="17"/>
        <v>0</v>
      </c>
    </row>
    <row r="187" spans="1:7" s="9" customFormat="1" x14ac:dyDescent="0.25">
      <c r="A187" s="119"/>
      <c r="B187" s="310"/>
      <c r="C187" s="9">
        <f t="shared" ca="1" si="16"/>
        <v>1</v>
      </c>
      <c r="D187" s="368" t="s">
        <v>80</v>
      </c>
      <c r="E187" s="12" t="s">
        <v>47</v>
      </c>
      <c r="F187" s="683">
        <f t="shared" si="17"/>
        <v>665.5041661704912</v>
      </c>
      <c r="G187" s="683">
        <f t="shared" si="17"/>
        <v>0</v>
      </c>
    </row>
    <row r="188" spans="1:7" s="9" customFormat="1" x14ac:dyDescent="0.25">
      <c r="A188" s="119"/>
      <c r="B188" s="310"/>
      <c r="C188" s="9">
        <f t="shared" ca="1" si="16"/>
        <v>1</v>
      </c>
      <c r="D188" s="368" t="s">
        <v>82</v>
      </c>
      <c r="E188" s="12" t="s">
        <v>77</v>
      </c>
      <c r="F188" s="683">
        <f t="shared" si="17"/>
        <v>450.95862519643589</v>
      </c>
      <c r="G188" s="683">
        <f t="shared" si="17"/>
        <v>0</v>
      </c>
    </row>
    <row r="189" spans="1:7" s="9" customFormat="1" x14ac:dyDescent="0.25">
      <c r="A189" s="119"/>
      <c r="B189" s="310"/>
      <c r="C189" s="9">
        <f t="shared" ca="1" si="16"/>
        <v>1</v>
      </c>
      <c r="D189" s="368" t="s">
        <v>84</v>
      </c>
      <c r="E189" s="12" t="s">
        <v>78</v>
      </c>
      <c r="F189" s="683">
        <f t="shared" ca="1" si="17"/>
        <v>32239.424237621621</v>
      </c>
      <c r="G189" s="683">
        <f t="shared" si="17"/>
        <v>0</v>
      </c>
    </row>
    <row r="190" spans="1:7" s="9" customFormat="1" x14ac:dyDescent="0.25">
      <c r="A190" s="119"/>
      <c r="B190" s="310"/>
      <c r="C190" s="9">
        <f t="shared" ca="1" si="16"/>
        <v>1</v>
      </c>
      <c r="D190" s="368" t="s">
        <v>86</v>
      </c>
      <c r="E190" s="12" t="s">
        <v>79</v>
      </c>
      <c r="F190" s="683">
        <f t="shared" si="17"/>
        <v>0</v>
      </c>
      <c r="G190" s="683">
        <f t="shared" si="17"/>
        <v>0</v>
      </c>
    </row>
    <row r="191" spans="1:7" s="9" customFormat="1" x14ac:dyDescent="0.25">
      <c r="A191" s="119"/>
      <c r="B191" s="310"/>
      <c r="C191" s="9">
        <f t="shared" ca="1" si="16"/>
        <v>1</v>
      </c>
      <c r="D191" s="368" t="s">
        <v>386</v>
      </c>
      <c r="E191" s="12" t="s">
        <v>81</v>
      </c>
      <c r="F191" s="683">
        <f t="shared" si="17"/>
        <v>0</v>
      </c>
      <c r="G191" s="683">
        <f t="shared" si="17"/>
        <v>0</v>
      </c>
    </row>
    <row r="192" spans="1:7" s="9" customFormat="1" ht="15.75" thickBot="1" x14ac:dyDescent="0.3">
      <c r="A192" s="119"/>
      <c r="B192" s="310"/>
      <c r="C192" s="9">
        <f t="shared" ca="1" si="16"/>
        <v>1</v>
      </c>
      <c r="D192" s="35" t="s">
        <v>22</v>
      </c>
      <c r="E192" s="12" t="s">
        <v>83</v>
      </c>
      <c r="F192" s="685">
        <f ca="1">SUBTOTAL(9,F178:F191)</f>
        <v>36930.646718371667</v>
      </c>
      <c r="G192" s="685">
        <f>SUBTOTAL(9,G178:G191)</f>
        <v>0</v>
      </c>
    </row>
    <row r="193" spans="1:7" s="9" customFormat="1" ht="15.75" hidden="1" thickBot="1" x14ac:dyDescent="0.3">
      <c r="A193" s="119"/>
      <c r="B193" s="310"/>
      <c r="E193" s="10"/>
      <c r="F193" s="648"/>
      <c r="G193" s="648"/>
    </row>
    <row r="194" spans="1:7" s="9" customFormat="1" ht="30" x14ac:dyDescent="0.25">
      <c r="A194" s="119"/>
      <c r="B194" s="310"/>
      <c r="C194" s="9">
        <f ca="1">IF(F211&gt;0,1,0)</f>
        <v>1</v>
      </c>
      <c r="D194" s="20" t="str">
        <f>+A13</f>
        <v>Clinton</v>
      </c>
      <c r="E194" s="19">
        <f>IFERROR(SUMIF(A:A,D194,B:B),0)</f>
        <v>1.9496030722264293E-3</v>
      </c>
      <c r="F194" s="652" t="s">
        <v>31</v>
      </c>
      <c r="G194" s="652" t="s">
        <v>32</v>
      </c>
    </row>
    <row r="195" spans="1:7" s="9" customFormat="1" x14ac:dyDescent="0.25">
      <c r="A195" s="119"/>
      <c r="B195" s="310"/>
      <c r="C195" s="9">
        <f ca="1">C194</f>
        <v>1</v>
      </c>
      <c r="D195" s="30"/>
      <c r="E195" s="31"/>
      <c r="F195" s="680" t="s">
        <v>54</v>
      </c>
      <c r="G195" s="680" t="s">
        <v>53</v>
      </c>
    </row>
    <row r="196" spans="1:7" s="9" customFormat="1" x14ac:dyDescent="0.25">
      <c r="A196" s="119"/>
      <c r="B196" s="310"/>
      <c r="C196" s="9">
        <f t="shared" ref="C196:C211" ca="1" si="18">C195</f>
        <v>1</v>
      </c>
      <c r="D196" s="32" t="s">
        <v>71</v>
      </c>
      <c r="E196" s="33"/>
      <c r="F196" s="681"/>
      <c r="G196" s="682"/>
    </row>
    <row r="197" spans="1:7" s="9" customFormat="1" x14ac:dyDescent="0.25">
      <c r="A197" s="119"/>
      <c r="B197" s="310"/>
      <c r="C197" s="9">
        <f t="shared" ca="1" si="18"/>
        <v>1</v>
      </c>
      <c r="D197" s="368" t="s">
        <v>72</v>
      </c>
      <c r="E197" s="12" t="s">
        <v>57</v>
      </c>
      <c r="F197" s="683">
        <f t="shared" ref="F197:G210" si="19">+$E$194*F6</f>
        <v>0</v>
      </c>
      <c r="G197" s="683">
        <f t="shared" si="19"/>
        <v>0</v>
      </c>
    </row>
    <row r="198" spans="1:7" s="9" customFormat="1" x14ac:dyDescent="0.25">
      <c r="A198" s="119"/>
      <c r="B198" s="310"/>
      <c r="C198" s="9">
        <f t="shared" ca="1" si="18"/>
        <v>1</v>
      </c>
      <c r="D198" s="368" t="s">
        <v>73</v>
      </c>
      <c r="E198" s="12" t="s">
        <v>56</v>
      </c>
      <c r="F198" s="683">
        <f t="shared" si="19"/>
        <v>854.1786719656543</v>
      </c>
      <c r="G198" s="683">
        <f t="shared" si="19"/>
        <v>0</v>
      </c>
    </row>
    <row r="199" spans="1:7" s="9" customFormat="1" x14ac:dyDescent="0.25">
      <c r="A199" s="119"/>
      <c r="B199" s="310"/>
      <c r="C199" s="9">
        <f t="shared" ca="1" si="18"/>
        <v>1</v>
      </c>
      <c r="D199" s="368" t="s">
        <v>74</v>
      </c>
      <c r="E199" s="12" t="s">
        <v>55</v>
      </c>
      <c r="F199" s="683">
        <f t="shared" si="19"/>
        <v>128.05563569227857</v>
      </c>
      <c r="G199" s="683">
        <f t="shared" si="19"/>
        <v>0</v>
      </c>
    </row>
    <row r="200" spans="1:7" s="9" customFormat="1" x14ac:dyDescent="0.25">
      <c r="A200" s="119"/>
      <c r="B200" s="310"/>
      <c r="C200" s="9">
        <f t="shared" ca="1" si="18"/>
        <v>1</v>
      </c>
      <c r="D200" s="368" t="s">
        <v>75</v>
      </c>
      <c r="E200" s="12" t="s">
        <v>54</v>
      </c>
      <c r="F200" s="683">
        <f t="shared" si="19"/>
        <v>261.72816647842029</v>
      </c>
      <c r="G200" s="683">
        <f t="shared" si="19"/>
        <v>0</v>
      </c>
    </row>
    <row r="201" spans="1:7" s="9" customFormat="1" x14ac:dyDescent="0.25">
      <c r="A201" s="119"/>
      <c r="B201" s="310"/>
      <c r="C201" s="9">
        <f t="shared" ca="1" si="18"/>
        <v>1</v>
      </c>
      <c r="D201" s="34" t="s">
        <v>467</v>
      </c>
      <c r="E201" s="12" t="s">
        <v>53</v>
      </c>
      <c r="F201" s="683">
        <f t="shared" si="19"/>
        <v>1253.2757757565003</v>
      </c>
      <c r="G201" s="683">
        <f t="shared" si="19"/>
        <v>0</v>
      </c>
    </row>
    <row r="202" spans="1:7" s="9" customFormat="1" x14ac:dyDescent="0.25">
      <c r="A202" s="119"/>
      <c r="B202" s="310"/>
      <c r="C202" s="9">
        <f t="shared" ca="1" si="18"/>
        <v>1</v>
      </c>
      <c r="D202" s="34" t="s">
        <v>76</v>
      </c>
      <c r="E202" s="12" t="s">
        <v>52</v>
      </c>
      <c r="F202" s="683">
        <f t="shared" si="19"/>
        <v>286.55861096243365</v>
      </c>
      <c r="G202" s="683">
        <f t="shared" si="19"/>
        <v>0</v>
      </c>
    </row>
    <row r="203" spans="1:7" s="9" customFormat="1" x14ac:dyDescent="0.25">
      <c r="A203" s="119"/>
      <c r="B203" s="310"/>
      <c r="C203" s="9">
        <f t="shared" ca="1" si="18"/>
        <v>1</v>
      </c>
      <c r="D203" s="34" t="s">
        <v>468</v>
      </c>
      <c r="E203" s="12" t="s">
        <v>51</v>
      </c>
      <c r="F203" s="683">
        <f t="shared" si="19"/>
        <v>0</v>
      </c>
      <c r="G203" s="683">
        <f t="shared" si="19"/>
        <v>0</v>
      </c>
    </row>
    <row r="204" spans="1:7" s="9" customFormat="1" x14ac:dyDescent="0.25">
      <c r="A204" s="119"/>
      <c r="B204" s="310"/>
      <c r="C204" s="9">
        <f t="shared" ca="1" si="18"/>
        <v>1</v>
      </c>
      <c r="D204" s="368" t="s">
        <v>59</v>
      </c>
      <c r="E204" s="12" t="s">
        <v>50</v>
      </c>
      <c r="F204" s="683">
        <f t="shared" si="19"/>
        <v>45.374871584789787</v>
      </c>
      <c r="G204" s="683">
        <f t="shared" si="19"/>
        <v>0</v>
      </c>
    </row>
    <row r="205" spans="1:7" s="9" customFormat="1" x14ac:dyDescent="0.25">
      <c r="A205" s="119"/>
      <c r="B205" s="310"/>
      <c r="C205" s="9">
        <f t="shared" ca="1" si="18"/>
        <v>1</v>
      </c>
      <c r="D205" s="368" t="s">
        <v>25</v>
      </c>
      <c r="E205" s="12" t="s">
        <v>49</v>
      </c>
      <c r="F205" s="683">
        <f t="shared" si="19"/>
        <v>148.58424536503162</v>
      </c>
      <c r="G205" s="683">
        <f t="shared" si="19"/>
        <v>0</v>
      </c>
    </row>
    <row r="206" spans="1:7" s="9" customFormat="1" x14ac:dyDescent="0.25">
      <c r="A206" s="119"/>
      <c r="B206" s="310"/>
      <c r="C206" s="9">
        <f t="shared" ca="1" si="18"/>
        <v>1</v>
      </c>
      <c r="D206" s="368" t="s">
        <v>80</v>
      </c>
      <c r="E206" s="12" t="s">
        <v>47</v>
      </c>
      <c r="F206" s="683">
        <f t="shared" si="19"/>
        <v>554.3614623813661</v>
      </c>
      <c r="G206" s="683">
        <f t="shared" si="19"/>
        <v>0</v>
      </c>
    </row>
    <row r="207" spans="1:7" s="9" customFormat="1" x14ac:dyDescent="0.25">
      <c r="A207" s="119"/>
      <c r="B207" s="310"/>
      <c r="C207" s="9">
        <f t="shared" ca="1" si="18"/>
        <v>1</v>
      </c>
      <c r="D207" s="368" t="s">
        <v>82</v>
      </c>
      <c r="E207" s="12" t="s">
        <v>77</v>
      </c>
      <c r="F207" s="683">
        <f t="shared" si="19"/>
        <v>375.64615767310187</v>
      </c>
      <c r="G207" s="683">
        <f t="shared" si="19"/>
        <v>0</v>
      </c>
    </row>
    <row r="208" spans="1:7" s="9" customFormat="1" x14ac:dyDescent="0.25">
      <c r="A208" s="119"/>
      <c r="B208" s="310"/>
      <c r="C208" s="9">
        <f t="shared" ca="1" si="18"/>
        <v>1</v>
      </c>
      <c r="D208" s="368" t="s">
        <v>84</v>
      </c>
      <c r="E208" s="12" t="s">
        <v>78</v>
      </c>
      <c r="F208" s="683">
        <f t="shared" ca="1" si="19"/>
        <v>26855.270447882653</v>
      </c>
      <c r="G208" s="683">
        <f t="shared" si="19"/>
        <v>0</v>
      </c>
    </row>
    <row r="209" spans="1:7" s="9" customFormat="1" x14ac:dyDescent="0.25">
      <c r="A209" s="119"/>
      <c r="B209" s="310"/>
      <c r="C209" s="9">
        <f t="shared" ca="1" si="18"/>
        <v>1</v>
      </c>
      <c r="D209" s="368" t="s">
        <v>86</v>
      </c>
      <c r="E209" s="12" t="s">
        <v>79</v>
      </c>
      <c r="F209" s="683">
        <f t="shared" si="19"/>
        <v>0</v>
      </c>
      <c r="G209" s="683">
        <f t="shared" si="19"/>
        <v>0</v>
      </c>
    </row>
    <row r="210" spans="1:7" s="9" customFormat="1" x14ac:dyDescent="0.25">
      <c r="A210" s="119"/>
      <c r="B210" s="310"/>
      <c r="C210" s="9">
        <f t="shared" ca="1" si="18"/>
        <v>1</v>
      </c>
      <c r="D210" s="368" t="s">
        <v>386</v>
      </c>
      <c r="E210" s="12" t="s">
        <v>81</v>
      </c>
      <c r="F210" s="683">
        <f t="shared" si="19"/>
        <v>0</v>
      </c>
      <c r="G210" s="683">
        <f t="shared" si="19"/>
        <v>0</v>
      </c>
    </row>
    <row r="211" spans="1:7" s="9" customFormat="1" ht="15.75" thickBot="1" x14ac:dyDescent="0.3">
      <c r="A211" s="119"/>
      <c r="B211" s="310"/>
      <c r="C211" s="9">
        <f t="shared" ca="1" si="18"/>
        <v>1</v>
      </c>
      <c r="D211" s="35" t="s">
        <v>22</v>
      </c>
      <c r="E211" s="12" t="s">
        <v>83</v>
      </c>
      <c r="F211" s="685">
        <f ca="1">SUBTOTAL(9,F197:F210)</f>
        <v>30763.034045742228</v>
      </c>
      <c r="G211" s="685">
        <f>SUBTOTAL(9,G197:G210)</f>
        <v>0</v>
      </c>
    </row>
    <row r="212" spans="1:7" s="9" customFormat="1" ht="15.75" hidden="1" thickBot="1" x14ac:dyDescent="0.3">
      <c r="A212" s="119"/>
      <c r="B212" s="310"/>
      <c r="E212" s="10"/>
      <c r="F212" s="648"/>
      <c r="G212" s="648"/>
    </row>
    <row r="213" spans="1:7" s="9" customFormat="1" ht="30" x14ac:dyDescent="0.25">
      <c r="A213" s="119"/>
      <c r="B213" s="310"/>
      <c r="C213" s="9">
        <f ca="1">IF(F230&gt;0,1,0)</f>
        <v>1</v>
      </c>
      <c r="D213" s="20" t="str">
        <f>+A14</f>
        <v>Columbia</v>
      </c>
      <c r="E213" s="19">
        <f>IFERROR(SUMIF(A:A,D213,B:B),0)</f>
        <v>5.0344880099186158E-4</v>
      </c>
      <c r="F213" s="652" t="s">
        <v>31</v>
      </c>
      <c r="G213" s="652" t="s">
        <v>32</v>
      </c>
    </row>
    <row r="214" spans="1:7" s="9" customFormat="1" x14ac:dyDescent="0.25">
      <c r="A214" s="119"/>
      <c r="B214" s="310"/>
      <c r="C214" s="9">
        <f ca="1">C213</f>
        <v>1</v>
      </c>
      <c r="D214" s="30"/>
      <c r="E214" s="31"/>
      <c r="F214" s="680" t="s">
        <v>54</v>
      </c>
      <c r="G214" s="680" t="s">
        <v>53</v>
      </c>
    </row>
    <row r="215" spans="1:7" s="9" customFormat="1" x14ac:dyDescent="0.25">
      <c r="A215" s="119"/>
      <c r="B215" s="310"/>
      <c r="C215" s="9">
        <f t="shared" ref="C215:C230" ca="1" si="20">C214</f>
        <v>1</v>
      </c>
      <c r="D215" s="32" t="s">
        <v>71</v>
      </c>
      <c r="E215" s="33"/>
      <c r="F215" s="681"/>
      <c r="G215" s="682"/>
    </row>
    <row r="216" spans="1:7" s="9" customFormat="1" x14ac:dyDescent="0.25">
      <c r="A216" s="119"/>
      <c r="B216" s="310"/>
      <c r="C216" s="9">
        <f t="shared" ca="1" si="20"/>
        <v>1</v>
      </c>
      <c r="D216" s="368" t="s">
        <v>72</v>
      </c>
      <c r="E216" s="12" t="s">
        <v>57</v>
      </c>
      <c r="F216" s="683">
        <f t="shared" ref="F216:G229" si="21">+$E$213*F6</f>
        <v>0</v>
      </c>
      <c r="G216" s="683">
        <f t="shared" si="21"/>
        <v>0</v>
      </c>
    </row>
    <row r="217" spans="1:7" s="9" customFormat="1" x14ac:dyDescent="0.25">
      <c r="A217" s="119"/>
      <c r="B217" s="310"/>
      <c r="C217" s="9">
        <f t="shared" ca="1" si="20"/>
        <v>1</v>
      </c>
      <c r="D217" s="368" t="s">
        <v>73</v>
      </c>
      <c r="E217" s="12" t="s">
        <v>56</v>
      </c>
      <c r="F217" s="683">
        <f t="shared" si="21"/>
        <v>220.57578507138527</v>
      </c>
      <c r="G217" s="683">
        <f t="shared" si="21"/>
        <v>0</v>
      </c>
    </row>
    <row r="218" spans="1:7" s="9" customFormat="1" x14ac:dyDescent="0.25">
      <c r="A218" s="119"/>
      <c r="B218" s="310"/>
      <c r="C218" s="9">
        <f t="shared" ca="1" si="20"/>
        <v>1</v>
      </c>
      <c r="D218" s="368" t="s">
        <v>74</v>
      </c>
      <c r="E218" s="12" t="s">
        <v>55</v>
      </c>
      <c r="F218" s="683">
        <f t="shared" si="21"/>
        <v>33.067990694077409</v>
      </c>
      <c r="G218" s="683">
        <f t="shared" si="21"/>
        <v>0</v>
      </c>
    </row>
    <row r="219" spans="1:7" s="9" customFormat="1" x14ac:dyDescent="0.25">
      <c r="A219" s="119"/>
      <c r="B219" s="310"/>
      <c r="C219" s="9">
        <f t="shared" ca="1" si="20"/>
        <v>1</v>
      </c>
      <c r="D219" s="368" t="s">
        <v>75</v>
      </c>
      <c r="E219" s="12" t="s">
        <v>54</v>
      </c>
      <c r="F219" s="683">
        <f t="shared" si="21"/>
        <v>67.586440274164431</v>
      </c>
      <c r="G219" s="683">
        <f t="shared" si="21"/>
        <v>0</v>
      </c>
    </row>
    <row r="220" spans="1:7" s="9" customFormat="1" x14ac:dyDescent="0.25">
      <c r="A220" s="119"/>
      <c r="B220" s="310"/>
      <c r="C220" s="9">
        <f t="shared" ca="1" si="20"/>
        <v>1</v>
      </c>
      <c r="D220" s="34" t="s">
        <v>467</v>
      </c>
      <c r="E220" s="12" t="s">
        <v>53</v>
      </c>
      <c r="F220" s="683">
        <f t="shared" si="21"/>
        <v>323.63520329099822</v>
      </c>
      <c r="G220" s="683">
        <f t="shared" si="21"/>
        <v>0</v>
      </c>
    </row>
    <row r="221" spans="1:7" s="9" customFormat="1" x14ac:dyDescent="0.25">
      <c r="A221" s="119"/>
      <c r="B221" s="310"/>
      <c r="C221" s="9">
        <f t="shared" ca="1" si="20"/>
        <v>1</v>
      </c>
      <c r="D221" s="34" t="s">
        <v>76</v>
      </c>
      <c r="E221" s="12" t="s">
        <v>52</v>
      </c>
      <c r="F221" s="683">
        <f t="shared" si="21"/>
        <v>73.998441610054627</v>
      </c>
      <c r="G221" s="683">
        <f t="shared" si="21"/>
        <v>0</v>
      </c>
    </row>
    <row r="222" spans="1:7" s="9" customFormat="1" x14ac:dyDescent="0.25">
      <c r="A222" s="119"/>
      <c r="B222" s="310"/>
      <c r="C222" s="9">
        <f t="shared" ca="1" si="20"/>
        <v>1</v>
      </c>
      <c r="D222" s="34" t="s">
        <v>468</v>
      </c>
      <c r="E222" s="12" t="s">
        <v>51</v>
      </c>
      <c r="F222" s="683">
        <f t="shared" si="21"/>
        <v>0</v>
      </c>
      <c r="G222" s="683">
        <f t="shared" si="21"/>
        <v>0</v>
      </c>
    </row>
    <row r="223" spans="1:7" s="9" customFormat="1" x14ac:dyDescent="0.25">
      <c r="A223" s="119"/>
      <c r="B223" s="310"/>
      <c r="C223" s="9">
        <f t="shared" ca="1" si="20"/>
        <v>1</v>
      </c>
      <c r="D223" s="368" t="s">
        <v>59</v>
      </c>
      <c r="E223" s="12" t="s">
        <v>50</v>
      </c>
      <c r="F223" s="683">
        <f t="shared" si="21"/>
        <v>11.717218248140401</v>
      </c>
      <c r="G223" s="683">
        <f t="shared" si="21"/>
        <v>0</v>
      </c>
    </row>
    <row r="224" spans="1:7" s="9" customFormat="1" x14ac:dyDescent="0.25">
      <c r="A224" s="119"/>
      <c r="B224" s="310"/>
      <c r="C224" s="9">
        <f t="shared" ca="1" si="20"/>
        <v>1</v>
      </c>
      <c r="D224" s="368" t="s">
        <v>25</v>
      </c>
      <c r="E224" s="12" t="s">
        <v>49</v>
      </c>
      <c r="F224" s="683">
        <f t="shared" si="21"/>
        <v>38.36912304917513</v>
      </c>
      <c r="G224" s="683">
        <f t="shared" si="21"/>
        <v>0</v>
      </c>
    </row>
    <row r="225" spans="1:7" s="9" customFormat="1" x14ac:dyDescent="0.25">
      <c r="A225" s="119"/>
      <c r="B225" s="310"/>
      <c r="C225" s="9">
        <f t="shared" ca="1" si="20"/>
        <v>1</v>
      </c>
      <c r="D225" s="368" t="s">
        <v>80</v>
      </c>
      <c r="E225" s="12" t="s">
        <v>47</v>
      </c>
      <c r="F225" s="683">
        <f t="shared" si="21"/>
        <v>143.15355649971994</v>
      </c>
      <c r="G225" s="683">
        <f t="shared" si="21"/>
        <v>0</v>
      </c>
    </row>
    <row r="226" spans="1:7" s="9" customFormat="1" x14ac:dyDescent="0.25">
      <c r="A226" s="119"/>
      <c r="B226" s="310"/>
      <c r="C226" s="9">
        <f t="shared" ca="1" si="20"/>
        <v>1</v>
      </c>
      <c r="D226" s="368" t="s">
        <v>82</v>
      </c>
      <c r="E226" s="12" t="s">
        <v>77</v>
      </c>
      <c r="F226" s="683">
        <f t="shared" si="21"/>
        <v>97.003646727818889</v>
      </c>
      <c r="G226" s="683">
        <f t="shared" si="21"/>
        <v>0</v>
      </c>
    </row>
    <row r="227" spans="1:7" s="9" customFormat="1" x14ac:dyDescent="0.25">
      <c r="A227" s="119"/>
      <c r="B227" s="310"/>
      <c r="C227" s="9">
        <f t="shared" ca="1" si="20"/>
        <v>1</v>
      </c>
      <c r="D227" s="368" t="s">
        <v>84</v>
      </c>
      <c r="E227" s="12" t="s">
        <v>78</v>
      </c>
      <c r="F227" s="683">
        <f t="shared" ca="1" si="21"/>
        <v>6934.8750522118771</v>
      </c>
      <c r="G227" s="683">
        <f t="shared" si="21"/>
        <v>0</v>
      </c>
    </row>
    <row r="228" spans="1:7" s="9" customFormat="1" x14ac:dyDescent="0.25">
      <c r="A228" s="119"/>
      <c r="B228" s="310"/>
      <c r="C228" s="9">
        <f t="shared" ca="1" si="20"/>
        <v>1</v>
      </c>
      <c r="D228" s="368" t="s">
        <v>86</v>
      </c>
      <c r="E228" s="12" t="s">
        <v>79</v>
      </c>
      <c r="F228" s="683">
        <f t="shared" si="21"/>
        <v>0</v>
      </c>
      <c r="G228" s="683">
        <f t="shared" si="21"/>
        <v>0</v>
      </c>
    </row>
    <row r="229" spans="1:7" s="9" customFormat="1" x14ac:dyDescent="0.25">
      <c r="A229" s="119"/>
      <c r="B229" s="310"/>
      <c r="C229" s="9">
        <f t="shared" ca="1" si="20"/>
        <v>1</v>
      </c>
      <c r="D229" s="368" t="s">
        <v>386</v>
      </c>
      <c r="E229" s="12" t="s">
        <v>81</v>
      </c>
      <c r="F229" s="683">
        <f t="shared" si="21"/>
        <v>0</v>
      </c>
      <c r="G229" s="683">
        <f t="shared" si="21"/>
        <v>0</v>
      </c>
    </row>
    <row r="230" spans="1:7" s="9" customFormat="1" ht="15.75" thickBot="1" x14ac:dyDescent="0.3">
      <c r="A230" s="119"/>
      <c r="B230" s="310"/>
      <c r="C230" s="9">
        <f t="shared" ca="1" si="20"/>
        <v>1</v>
      </c>
      <c r="D230" s="35" t="s">
        <v>22</v>
      </c>
      <c r="E230" s="12" t="s">
        <v>83</v>
      </c>
      <c r="F230" s="685">
        <f ca="1">SUBTOTAL(9,F216:F229)</f>
        <v>7943.9824576774117</v>
      </c>
      <c r="G230" s="685">
        <f>SUBTOTAL(9,G216:G229)</f>
        <v>0</v>
      </c>
    </row>
    <row r="231" spans="1:7" s="9" customFormat="1" ht="15.75" hidden="1" thickBot="1" x14ac:dyDescent="0.3">
      <c r="A231" s="119"/>
      <c r="B231" s="310"/>
      <c r="E231" s="10"/>
      <c r="F231" s="648"/>
      <c r="G231" s="648"/>
    </row>
    <row r="232" spans="1:7" s="9" customFormat="1" ht="30" x14ac:dyDescent="0.25">
      <c r="A232" s="119"/>
      <c r="B232" s="310"/>
      <c r="C232" s="9">
        <f ca="1">IF(F249&gt;0,1,0)</f>
        <v>1</v>
      </c>
      <c r="D232" s="20" t="str">
        <f>+A15</f>
        <v>Cortland</v>
      </c>
      <c r="E232" s="19">
        <f>IFERROR(SUMIF(A:A,D232,B:B),0)</f>
        <v>1.1321975588355585E-3</v>
      </c>
      <c r="F232" s="652" t="s">
        <v>31</v>
      </c>
      <c r="G232" s="652" t="s">
        <v>32</v>
      </c>
    </row>
    <row r="233" spans="1:7" s="9" customFormat="1" x14ac:dyDescent="0.25">
      <c r="A233" s="119"/>
      <c r="B233" s="310"/>
      <c r="C233" s="9">
        <f ca="1">C232</f>
        <v>1</v>
      </c>
      <c r="D233" s="30"/>
      <c r="E233" s="31"/>
      <c r="F233" s="680" t="s">
        <v>54</v>
      </c>
      <c r="G233" s="680" t="s">
        <v>53</v>
      </c>
    </row>
    <row r="234" spans="1:7" s="9" customFormat="1" x14ac:dyDescent="0.25">
      <c r="A234" s="119"/>
      <c r="B234" s="310"/>
      <c r="C234" s="9">
        <f t="shared" ref="C234:C249" ca="1" si="22">C233</f>
        <v>1</v>
      </c>
      <c r="D234" s="32" t="s">
        <v>71</v>
      </c>
      <c r="E234" s="33"/>
      <c r="F234" s="681"/>
      <c r="G234" s="682"/>
    </row>
    <row r="235" spans="1:7" s="9" customFormat="1" x14ac:dyDescent="0.25">
      <c r="A235" s="119"/>
      <c r="B235" s="310"/>
      <c r="C235" s="9">
        <f t="shared" ca="1" si="22"/>
        <v>1</v>
      </c>
      <c r="D235" s="368" t="s">
        <v>72</v>
      </c>
      <c r="E235" s="12" t="s">
        <v>57</v>
      </c>
      <c r="F235" s="683">
        <f t="shared" ref="F235:G248" si="23">+$E$232*F6</f>
        <v>0</v>
      </c>
      <c r="G235" s="683">
        <f t="shared" si="23"/>
        <v>0</v>
      </c>
    </row>
    <row r="236" spans="1:7" s="9" customFormat="1" x14ac:dyDescent="0.25">
      <c r="A236" s="119"/>
      <c r="B236" s="310"/>
      <c r="C236" s="9">
        <f t="shared" ca="1" si="22"/>
        <v>1</v>
      </c>
      <c r="D236" s="368" t="s">
        <v>73</v>
      </c>
      <c r="E236" s="12" t="s">
        <v>56</v>
      </c>
      <c r="F236" s="683">
        <f t="shared" si="23"/>
        <v>496.04918097738465</v>
      </c>
      <c r="G236" s="683">
        <f t="shared" si="23"/>
        <v>0</v>
      </c>
    </row>
    <row r="237" spans="1:7" s="9" customFormat="1" x14ac:dyDescent="0.25">
      <c r="A237" s="119"/>
      <c r="B237" s="310"/>
      <c r="C237" s="9">
        <f t="shared" ca="1" si="22"/>
        <v>1</v>
      </c>
      <c r="D237" s="368" t="s">
        <v>74</v>
      </c>
      <c r="E237" s="12" t="s">
        <v>55</v>
      </c>
      <c r="F237" s="683">
        <f t="shared" si="23"/>
        <v>74.366049269897118</v>
      </c>
      <c r="G237" s="683">
        <f t="shared" si="23"/>
        <v>0</v>
      </c>
    </row>
    <row r="238" spans="1:7" s="9" customFormat="1" x14ac:dyDescent="0.25">
      <c r="A238" s="119"/>
      <c r="B238" s="310"/>
      <c r="C238" s="9">
        <f t="shared" ca="1" si="22"/>
        <v>1</v>
      </c>
      <c r="D238" s="368" t="s">
        <v>75</v>
      </c>
      <c r="E238" s="12" t="s">
        <v>54</v>
      </c>
      <c r="F238" s="683">
        <f t="shared" si="23"/>
        <v>151.99401118452803</v>
      </c>
      <c r="G238" s="683">
        <f t="shared" si="23"/>
        <v>0</v>
      </c>
    </row>
    <row r="239" spans="1:7" s="9" customFormat="1" x14ac:dyDescent="0.25">
      <c r="A239" s="119"/>
      <c r="B239" s="310"/>
      <c r="C239" s="9">
        <f t="shared" ca="1" si="22"/>
        <v>1</v>
      </c>
      <c r="D239" s="34" t="s">
        <v>467</v>
      </c>
      <c r="E239" s="12" t="s">
        <v>53</v>
      </c>
      <c r="F239" s="683">
        <f t="shared" si="23"/>
        <v>727.81777689692262</v>
      </c>
      <c r="G239" s="683">
        <f t="shared" si="23"/>
        <v>0</v>
      </c>
    </row>
    <row r="240" spans="1:7" s="9" customFormat="1" x14ac:dyDescent="0.25">
      <c r="A240" s="119"/>
      <c r="B240" s="310"/>
      <c r="C240" s="9">
        <f t="shared" ca="1" si="22"/>
        <v>1</v>
      </c>
      <c r="D240" s="34" t="s">
        <v>76</v>
      </c>
      <c r="E240" s="12" t="s">
        <v>52</v>
      </c>
      <c r="F240" s="683">
        <f t="shared" si="23"/>
        <v>166.4138533719416</v>
      </c>
      <c r="G240" s="683">
        <f t="shared" si="23"/>
        <v>0</v>
      </c>
    </row>
    <row r="241" spans="1:7" s="9" customFormat="1" x14ac:dyDescent="0.25">
      <c r="A241" s="119"/>
      <c r="B241" s="310"/>
      <c r="C241" s="9">
        <f t="shared" ca="1" si="22"/>
        <v>1</v>
      </c>
      <c r="D241" s="34" t="s">
        <v>468</v>
      </c>
      <c r="E241" s="12" t="s">
        <v>51</v>
      </c>
      <c r="F241" s="683">
        <f t="shared" si="23"/>
        <v>0</v>
      </c>
      <c r="G241" s="683">
        <f t="shared" si="23"/>
        <v>0</v>
      </c>
    </row>
    <row r="242" spans="1:7" s="9" customFormat="1" x14ac:dyDescent="0.25">
      <c r="A242" s="119"/>
      <c r="B242" s="310"/>
      <c r="C242" s="9">
        <f t="shared" ca="1" si="22"/>
        <v>1</v>
      </c>
      <c r="D242" s="368" t="s">
        <v>59</v>
      </c>
      <c r="E242" s="12" t="s">
        <v>50</v>
      </c>
      <c r="F242" s="683">
        <f t="shared" si="23"/>
        <v>26.350655460399985</v>
      </c>
      <c r="G242" s="683">
        <f t="shared" si="23"/>
        <v>0</v>
      </c>
    </row>
    <row r="243" spans="1:7" s="9" customFormat="1" x14ac:dyDescent="0.25">
      <c r="A243" s="119"/>
      <c r="B243" s="310"/>
      <c r="C243" s="9">
        <f t="shared" ca="1" si="22"/>
        <v>1</v>
      </c>
      <c r="D243" s="368" t="s">
        <v>25</v>
      </c>
      <c r="E243" s="12" t="s">
        <v>49</v>
      </c>
      <c r="F243" s="683">
        <f t="shared" si="23"/>
        <v>86.287676850857153</v>
      </c>
      <c r="G243" s="683">
        <f t="shared" si="23"/>
        <v>0</v>
      </c>
    </row>
    <row r="244" spans="1:7" s="9" customFormat="1" x14ac:dyDescent="0.25">
      <c r="A244" s="119"/>
      <c r="B244" s="310"/>
      <c r="C244" s="9">
        <f t="shared" ca="1" si="22"/>
        <v>1</v>
      </c>
      <c r="D244" s="368" t="s">
        <v>80</v>
      </c>
      <c r="E244" s="12" t="s">
        <v>47</v>
      </c>
      <c r="F244" s="683">
        <f t="shared" si="23"/>
        <v>321.93563057116341</v>
      </c>
      <c r="G244" s="683">
        <f t="shared" si="23"/>
        <v>0</v>
      </c>
    </row>
    <row r="245" spans="1:7" s="9" customFormat="1" x14ac:dyDescent="0.25">
      <c r="A245" s="119"/>
      <c r="B245" s="310"/>
      <c r="C245" s="9">
        <f t="shared" ca="1" si="22"/>
        <v>1</v>
      </c>
      <c r="D245" s="368" t="s">
        <v>82</v>
      </c>
      <c r="E245" s="12" t="s">
        <v>77</v>
      </c>
      <c r="F245" s="683">
        <f t="shared" si="23"/>
        <v>218.14987304967056</v>
      </c>
      <c r="G245" s="683">
        <f t="shared" si="23"/>
        <v>0</v>
      </c>
    </row>
    <row r="246" spans="1:7" s="9" customFormat="1" x14ac:dyDescent="0.25">
      <c r="A246" s="119"/>
      <c r="B246" s="310"/>
      <c r="C246" s="9">
        <f t="shared" ca="1" si="22"/>
        <v>1</v>
      </c>
      <c r="D246" s="368" t="s">
        <v>84</v>
      </c>
      <c r="E246" s="12" t="s">
        <v>78</v>
      </c>
      <c r="F246" s="683">
        <f t="shared" ca="1" si="23"/>
        <v>15595.724112313117</v>
      </c>
      <c r="G246" s="683">
        <f t="shared" si="23"/>
        <v>0</v>
      </c>
    </row>
    <row r="247" spans="1:7" s="9" customFormat="1" x14ac:dyDescent="0.25">
      <c r="A247" s="119"/>
      <c r="B247" s="310"/>
      <c r="C247" s="9">
        <f t="shared" ca="1" si="22"/>
        <v>1</v>
      </c>
      <c r="D247" s="368" t="s">
        <v>86</v>
      </c>
      <c r="E247" s="12" t="s">
        <v>79</v>
      </c>
      <c r="F247" s="683">
        <f t="shared" si="23"/>
        <v>0</v>
      </c>
      <c r="G247" s="683">
        <f t="shared" si="23"/>
        <v>0</v>
      </c>
    </row>
    <row r="248" spans="1:7" s="9" customFormat="1" x14ac:dyDescent="0.25">
      <c r="A248" s="119"/>
      <c r="B248" s="310"/>
      <c r="C248" s="9">
        <f t="shared" ca="1" si="22"/>
        <v>1</v>
      </c>
      <c r="D248" s="368" t="s">
        <v>386</v>
      </c>
      <c r="E248" s="12" t="s">
        <v>81</v>
      </c>
      <c r="F248" s="683">
        <f t="shared" si="23"/>
        <v>0</v>
      </c>
      <c r="G248" s="683">
        <f t="shared" si="23"/>
        <v>0</v>
      </c>
    </row>
    <row r="249" spans="1:7" s="9" customFormat="1" ht="15.75" thickBot="1" x14ac:dyDescent="0.3">
      <c r="A249" s="119"/>
      <c r="B249" s="310"/>
      <c r="C249" s="9">
        <f t="shared" ca="1" si="22"/>
        <v>1</v>
      </c>
      <c r="D249" s="35" t="s">
        <v>22</v>
      </c>
      <c r="E249" s="12" t="s">
        <v>83</v>
      </c>
      <c r="F249" s="685">
        <f ca="1">SUBTOTAL(9,F235:F248)</f>
        <v>17865.088819945882</v>
      </c>
      <c r="G249" s="685">
        <f>SUBTOTAL(9,G235:G248)</f>
        <v>0</v>
      </c>
    </row>
    <row r="250" spans="1:7" s="9" customFormat="1" ht="15.75" hidden="1" thickBot="1" x14ac:dyDescent="0.3">
      <c r="A250" s="119"/>
      <c r="B250" s="310"/>
      <c r="E250" s="10"/>
      <c r="F250" s="648"/>
      <c r="G250" s="648"/>
    </row>
    <row r="251" spans="1:7" s="9" customFormat="1" ht="30" x14ac:dyDescent="0.25">
      <c r="A251" s="119"/>
      <c r="B251" s="310"/>
      <c r="C251" s="9">
        <f ca="1">IF(F268&gt;0,1,0)</f>
        <v>1</v>
      </c>
      <c r="D251" s="20" t="str">
        <f>+A16</f>
        <v>Delaware</v>
      </c>
      <c r="E251" s="19">
        <f>IFERROR(SUMIF(A:A,D251,B:B),0)</f>
        <v>1.0651138896287298E-3</v>
      </c>
      <c r="F251" s="652" t="s">
        <v>31</v>
      </c>
      <c r="G251" s="652" t="s">
        <v>32</v>
      </c>
    </row>
    <row r="252" spans="1:7" s="9" customFormat="1" x14ac:dyDescent="0.25">
      <c r="A252" s="119"/>
      <c r="B252" s="310"/>
      <c r="C252" s="9">
        <f ca="1">C251</f>
        <v>1</v>
      </c>
      <c r="D252" s="30"/>
      <c r="E252" s="31"/>
      <c r="F252" s="680" t="s">
        <v>54</v>
      </c>
      <c r="G252" s="680" t="s">
        <v>53</v>
      </c>
    </row>
    <row r="253" spans="1:7" s="9" customFormat="1" x14ac:dyDescent="0.25">
      <c r="A253" s="119"/>
      <c r="B253" s="310"/>
      <c r="C253" s="9">
        <f t="shared" ref="C253:C268" ca="1" si="24">C252</f>
        <v>1</v>
      </c>
      <c r="D253" s="32" t="s">
        <v>71</v>
      </c>
      <c r="E253" s="33"/>
      <c r="F253" s="681"/>
      <c r="G253" s="682"/>
    </row>
    <row r="254" spans="1:7" s="9" customFormat="1" x14ac:dyDescent="0.25">
      <c r="A254" s="119"/>
      <c r="B254" s="310"/>
      <c r="C254" s="9">
        <f t="shared" ca="1" si="24"/>
        <v>1</v>
      </c>
      <c r="D254" s="368" t="s">
        <v>72</v>
      </c>
      <c r="E254" s="12" t="s">
        <v>57</v>
      </c>
      <c r="F254" s="683">
        <f t="shared" ref="F254:G267" si="25">+$E$251*F6</f>
        <v>0</v>
      </c>
      <c r="G254" s="683">
        <f t="shared" si="25"/>
        <v>0</v>
      </c>
    </row>
    <row r="255" spans="1:7" s="9" customFormat="1" x14ac:dyDescent="0.25">
      <c r="A255" s="119"/>
      <c r="B255" s="310"/>
      <c r="C255" s="9">
        <f t="shared" ca="1" si="24"/>
        <v>1</v>
      </c>
      <c r="D255" s="368" t="s">
        <v>73</v>
      </c>
      <c r="E255" s="12" t="s">
        <v>56</v>
      </c>
      <c r="F255" s="683">
        <f t="shared" si="25"/>
        <v>466.65784471516048</v>
      </c>
      <c r="G255" s="683">
        <f t="shared" si="25"/>
        <v>0</v>
      </c>
    </row>
    <row r="256" spans="1:7" s="9" customFormat="1" x14ac:dyDescent="0.25">
      <c r="A256" s="119"/>
      <c r="B256" s="310"/>
      <c r="C256" s="9">
        <f t="shared" ca="1" si="24"/>
        <v>1</v>
      </c>
      <c r="D256" s="368" t="s">
        <v>74</v>
      </c>
      <c r="E256" s="12" t="s">
        <v>55</v>
      </c>
      <c r="F256" s="683">
        <f t="shared" si="25"/>
        <v>69.959797542441237</v>
      </c>
      <c r="G256" s="683">
        <f t="shared" si="25"/>
        <v>0</v>
      </c>
    </row>
    <row r="257" spans="1:7" s="9" customFormat="1" x14ac:dyDescent="0.25">
      <c r="A257" s="119"/>
      <c r="B257" s="310"/>
      <c r="C257" s="9">
        <f t="shared" ca="1" si="24"/>
        <v>1</v>
      </c>
      <c r="D257" s="368" t="s">
        <v>75</v>
      </c>
      <c r="E257" s="12" t="s">
        <v>54</v>
      </c>
      <c r="F257" s="683">
        <f t="shared" si="25"/>
        <v>142.98823662853218</v>
      </c>
      <c r="G257" s="683">
        <f t="shared" si="25"/>
        <v>0</v>
      </c>
    </row>
    <row r="258" spans="1:7" s="9" customFormat="1" x14ac:dyDescent="0.25">
      <c r="A258" s="119"/>
      <c r="B258" s="310"/>
      <c r="C258" s="9">
        <f t="shared" ca="1" si="24"/>
        <v>1</v>
      </c>
      <c r="D258" s="34" t="s">
        <v>467</v>
      </c>
      <c r="E258" s="12" t="s">
        <v>53</v>
      </c>
      <c r="F258" s="683">
        <f t="shared" si="25"/>
        <v>684.69395402062378</v>
      </c>
      <c r="G258" s="683">
        <f t="shared" si="25"/>
        <v>0</v>
      </c>
    </row>
    <row r="259" spans="1:7" s="9" customFormat="1" x14ac:dyDescent="0.25">
      <c r="A259" s="119"/>
      <c r="B259" s="310"/>
      <c r="C259" s="9">
        <f t="shared" ca="1" si="24"/>
        <v>1</v>
      </c>
      <c r="D259" s="34" t="s">
        <v>76</v>
      </c>
      <c r="E259" s="12" t="s">
        <v>52</v>
      </c>
      <c r="F259" s="683">
        <f t="shared" si="25"/>
        <v>156.55369089065292</v>
      </c>
      <c r="G259" s="683">
        <f t="shared" si="25"/>
        <v>0</v>
      </c>
    </row>
    <row r="260" spans="1:7" s="9" customFormat="1" x14ac:dyDescent="0.25">
      <c r="A260" s="119"/>
      <c r="B260" s="310"/>
      <c r="C260" s="9">
        <f t="shared" ca="1" si="24"/>
        <v>1</v>
      </c>
      <c r="D260" s="34" t="s">
        <v>468</v>
      </c>
      <c r="E260" s="12" t="s">
        <v>51</v>
      </c>
      <c r="F260" s="683">
        <f t="shared" si="25"/>
        <v>0</v>
      </c>
      <c r="G260" s="683">
        <f t="shared" si="25"/>
        <v>0</v>
      </c>
    </row>
    <row r="261" spans="1:7" s="9" customFormat="1" x14ac:dyDescent="0.25">
      <c r="A261" s="119"/>
      <c r="B261" s="310"/>
      <c r="C261" s="9">
        <f t="shared" ca="1" si="24"/>
        <v>1</v>
      </c>
      <c r="D261" s="368" t="s">
        <v>59</v>
      </c>
      <c r="E261" s="12" t="s">
        <v>50</v>
      </c>
      <c r="F261" s="683">
        <f t="shared" si="25"/>
        <v>24.789356691917714</v>
      </c>
      <c r="G261" s="683">
        <f t="shared" si="25"/>
        <v>0</v>
      </c>
    </row>
    <row r="262" spans="1:7" s="9" customFormat="1" x14ac:dyDescent="0.25">
      <c r="A262" s="119"/>
      <c r="B262" s="310"/>
      <c r="C262" s="9">
        <f t="shared" ca="1" si="24"/>
        <v>1</v>
      </c>
      <c r="D262" s="368" t="s">
        <v>25</v>
      </c>
      <c r="E262" s="12" t="s">
        <v>49</v>
      </c>
      <c r="F262" s="683">
        <f t="shared" si="25"/>
        <v>81.17505854028424</v>
      </c>
      <c r="G262" s="683">
        <f t="shared" si="25"/>
        <v>0</v>
      </c>
    </row>
    <row r="263" spans="1:7" s="9" customFormat="1" x14ac:dyDescent="0.25">
      <c r="A263" s="119"/>
      <c r="B263" s="310"/>
      <c r="C263" s="9">
        <f t="shared" ca="1" si="24"/>
        <v>1</v>
      </c>
      <c r="D263" s="368" t="s">
        <v>80</v>
      </c>
      <c r="E263" s="12" t="s">
        <v>47</v>
      </c>
      <c r="F263" s="683">
        <f t="shared" si="25"/>
        <v>302.86067039430219</v>
      </c>
      <c r="G263" s="683">
        <f t="shared" si="25"/>
        <v>0</v>
      </c>
    </row>
    <row r="264" spans="1:7" s="9" customFormat="1" x14ac:dyDescent="0.25">
      <c r="A264" s="119"/>
      <c r="B264" s="310"/>
      <c r="C264" s="9">
        <f t="shared" ca="1" si="24"/>
        <v>1</v>
      </c>
      <c r="D264" s="368" t="s">
        <v>82</v>
      </c>
      <c r="E264" s="12" t="s">
        <v>77</v>
      </c>
      <c r="F264" s="683">
        <f t="shared" si="25"/>
        <v>205.22430735932684</v>
      </c>
      <c r="G264" s="683">
        <f t="shared" si="25"/>
        <v>0</v>
      </c>
    </row>
    <row r="265" spans="1:7" s="9" customFormat="1" x14ac:dyDescent="0.25">
      <c r="A265" s="119"/>
      <c r="B265" s="310"/>
      <c r="C265" s="9">
        <f t="shared" ca="1" si="24"/>
        <v>1</v>
      </c>
      <c r="D265" s="368" t="s">
        <v>84</v>
      </c>
      <c r="E265" s="12" t="s">
        <v>78</v>
      </c>
      <c r="F265" s="683">
        <f t="shared" ca="1" si="25"/>
        <v>14671.664181935428</v>
      </c>
      <c r="G265" s="683">
        <f t="shared" si="25"/>
        <v>0</v>
      </c>
    </row>
    <row r="266" spans="1:7" s="9" customFormat="1" x14ac:dyDescent="0.25">
      <c r="A266" s="119"/>
      <c r="B266" s="310"/>
      <c r="C266" s="9">
        <f t="shared" ca="1" si="24"/>
        <v>1</v>
      </c>
      <c r="D266" s="368" t="s">
        <v>86</v>
      </c>
      <c r="E266" s="12" t="s">
        <v>79</v>
      </c>
      <c r="F266" s="683">
        <f t="shared" si="25"/>
        <v>0</v>
      </c>
      <c r="G266" s="683">
        <f t="shared" si="25"/>
        <v>0</v>
      </c>
    </row>
    <row r="267" spans="1:7" s="9" customFormat="1" x14ac:dyDescent="0.25">
      <c r="A267" s="119"/>
      <c r="B267" s="310"/>
      <c r="C267" s="9">
        <f t="shared" ca="1" si="24"/>
        <v>1</v>
      </c>
      <c r="D267" s="368" t="s">
        <v>386</v>
      </c>
      <c r="E267" s="12" t="s">
        <v>81</v>
      </c>
      <c r="F267" s="683">
        <f t="shared" si="25"/>
        <v>0</v>
      </c>
      <c r="G267" s="683">
        <f t="shared" si="25"/>
        <v>0</v>
      </c>
    </row>
    <row r="268" spans="1:7" s="9" customFormat="1" ht="15.75" thickBot="1" x14ac:dyDescent="0.3">
      <c r="A268" s="119"/>
      <c r="B268" s="310"/>
      <c r="C268" s="9">
        <f t="shared" ca="1" si="24"/>
        <v>1</v>
      </c>
      <c r="D268" s="35" t="s">
        <v>22</v>
      </c>
      <c r="E268" s="12" t="s">
        <v>83</v>
      </c>
      <c r="F268" s="685">
        <f ca="1">SUBTOTAL(9,F254:F267)</f>
        <v>16806.567098718668</v>
      </c>
      <c r="G268" s="685">
        <f>SUBTOTAL(9,G254:G267)</f>
        <v>0</v>
      </c>
    </row>
    <row r="269" spans="1:7" s="9" customFormat="1" ht="15.75" hidden="1" thickBot="1" x14ac:dyDescent="0.3">
      <c r="A269" s="119"/>
      <c r="B269" s="310"/>
      <c r="E269" s="10"/>
      <c r="F269" s="648"/>
      <c r="G269" s="648"/>
    </row>
    <row r="270" spans="1:7" s="9" customFormat="1" ht="30" x14ac:dyDescent="0.25">
      <c r="A270" s="119"/>
      <c r="B270" s="310"/>
      <c r="C270" s="9">
        <f ca="1">IF(F287&gt;0,1,0)</f>
        <v>1</v>
      </c>
      <c r="D270" s="20" t="str">
        <f>+A17</f>
        <v>Dutchess</v>
      </c>
      <c r="E270" s="19">
        <f>IFERROR(SUMIF(A:A,D270,B:B),0)</f>
        <v>8.4414902213022138E-3</v>
      </c>
      <c r="F270" s="652" t="s">
        <v>31</v>
      </c>
      <c r="G270" s="652" t="s">
        <v>32</v>
      </c>
    </row>
    <row r="271" spans="1:7" s="9" customFormat="1" x14ac:dyDescent="0.25">
      <c r="A271" s="119"/>
      <c r="B271" s="310"/>
      <c r="C271" s="9">
        <f ca="1">C270</f>
        <v>1</v>
      </c>
      <c r="D271" s="30"/>
      <c r="E271" s="31"/>
      <c r="F271" s="680" t="s">
        <v>54</v>
      </c>
      <c r="G271" s="680" t="s">
        <v>53</v>
      </c>
    </row>
    <row r="272" spans="1:7" s="9" customFormat="1" x14ac:dyDescent="0.25">
      <c r="A272" s="119"/>
      <c r="B272" s="310"/>
      <c r="C272" s="9">
        <f t="shared" ref="C272:C287" ca="1" si="26">C271</f>
        <v>1</v>
      </c>
      <c r="D272" s="32" t="s">
        <v>71</v>
      </c>
      <c r="E272" s="33"/>
      <c r="F272" s="681"/>
      <c r="G272" s="682"/>
    </row>
    <row r="273" spans="1:7" s="9" customFormat="1" x14ac:dyDescent="0.25">
      <c r="A273" s="119"/>
      <c r="B273" s="310"/>
      <c r="C273" s="9">
        <f t="shared" ca="1" si="26"/>
        <v>1</v>
      </c>
      <c r="D273" s="368" t="s">
        <v>72</v>
      </c>
      <c r="E273" s="12" t="s">
        <v>57</v>
      </c>
      <c r="F273" s="683">
        <f t="shared" ref="F273:G286" si="27">+$E$270*F6</f>
        <v>0</v>
      </c>
      <c r="G273" s="683">
        <f t="shared" si="27"/>
        <v>0</v>
      </c>
    </row>
    <row r="274" spans="1:7" s="9" customFormat="1" x14ac:dyDescent="0.25">
      <c r="A274" s="119"/>
      <c r="B274" s="310"/>
      <c r="C274" s="9">
        <f t="shared" ca="1" si="26"/>
        <v>1</v>
      </c>
      <c r="D274" s="368" t="s">
        <v>73</v>
      </c>
      <c r="E274" s="12" t="s">
        <v>56</v>
      </c>
      <c r="F274" s="683">
        <f t="shared" si="27"/>
        <v>3698.4661182384211</v>
      </c>
      <c r="G274" s="683">
        <f t="shared" si="27"/>
        <v>0</v>
      </c>
    </row>
    <row r="275" spans="1:7" s="9" customFormat="1" x14ac:dyDescent="0.25">
      <c r="A275" s="119"/>
      <c r="B275" s="310"/>
      <c r="C275" s="9">
        <f t="shared" ca="1" si="26"/>
        <v>1</v>
      </c>
      <c r="D275" s="368" t="s">
        <v>74</v>
      </c>
      <c r="E275" s="12" t="s">
        <v>55</v>
      </c>
      <c r="F275" s="683">
        <f t="shared" si="27"/>
        <v>554.46178346679483</v>
      </c>
      <c r="G275" s="683">
        <f t="shared" si="27"/>
        <v>0</v>
      </c>
    </row>
    <row r="276" spans="1:7" s="9" customFormat="1" x14ac:dyDescent="0.25">
      <c r="A276" s="119"/>
      <c r="B276" s="310"/>
      <c r="C276" s="9">
        <f t="shared" ca="1" si="26"/>
        <v>1</v>
      </c>
      <c r="D276" s="368" t="s">
        <v>75</v>
      </c>
      <c r="E276" s="12" t="s">
        <v>54</v>
      </c>
      <c r="F276" s="683">
        <f t="shared" si="27"/>
        <v>1133.2438840711588</v>
      </c>
      <c r="G276" s="683">
        <f t="shared" si="27"/>
        <v>0</v>
      </c>
    </row>
    <row r="277" spans="1:7" s="9" customFormat="1" x14ac:dyDescent="0.25">
      <c r="A277" s="119"/>
      <c r="B277" s="310"/>
      <c r="C277" s="9">
        <f t="shared" ca="1" si="26"/>
        <v>1</v>
      </c>
      <c r="D277" s="34" t="s">
        <v>467</v>
      </c>
      <c r="E277" s="12" t="s">
        <v>53</v>
      </c>
      <c r="F277" s="683">
        <f t="shared" si="27"/>
        <v>5426.4969912884526</v>
      </c>
      <c r="G277" s="683">
        <f t="shared" si="27"/>
        <v>0</v>
      </c>
    </row>
    <row r="278" spans="1:7" s="9" customFormat="1" x14ac:dyDescent="0.25">
      <c r="A278" s="119"/>
      <c r="B278" s="310"/>
      <c r="C278" s="9">
        <f t="shared" ca="1" si="26"/>
        <v>1</v>
      </c>
      <c r="D278" s="34" t="s">
        <v>76</v>
      </c>
      <c r="E278" s="12" t="s">
        <v>52</v>
      </c>
      <c r="F278" s="683">
        <f t="shared" si="27"/>
        <v>1240.756001428985</v>
      </c>
      <c r="G278" s="683">
        <f t="shared" si="27"/>
        <v>0</v>
      </c>
    </row>
    <row r="279" spans="1:7" s="9" customFormat="1" x14ac:dyDescent="0.25">
      <c r="A279" s="119"/>
      <c r="B279" s="310"/>
      <c r="C279" s="9">
        <f t="shared" ca="1" si="26"/>
        <v>1</v>
      </c>
      <c r="D279" s="34" t="s">
        <v>468</v>
      </c>
      <c r="E279" s="12" t="s">
        <v>51</v>
      </c>
      <c r="F279" s="683">
        <f t="shared" si="27"/>
        <v>0</v>
      </c>
      <c r="G279" s="683">
        <f t="shared" si="27"/>
        <v>0</v>
      </c>
    </row>
    <row r="280" spans="1:7" s="9" customFormat="1" x14ac:dyDescent="0.25">
      <c r="A280" s="119"/>
      <c r="B280" s="310"/>
      <c r="C280" s="9">
        <f t="shared" ca="1" si="26"/>
        <v>1</v>
      </c>
      <c r="D280" s="368" t="s">
        <v>59</v>
      </c>
      <c r="E280" s="12" t="s">
        <v>50</v>
      </c>
      <c r="F280" s="683">
        <f t="shared" si="27"/>
        <v>196.46641936116157</v>
      </c>
      <c r="G280" s="683">
        <f t="shared" si="27"/>
        <v>0</v>
      </c>
    </row>
    <row r="281" spans="1:7" s="9" customFormat="1" x14ac:dyDescent="0.25">
      <c r="A281" s="119"/>
      <c r="B281" s="310"/>
      <c r="C281" s="9">
        <f t="shared" ca="1" si="26"/>
        <v>1</v>
      </c>
      <c r="D281" s="368" t="s">
        <v>25</v>
      </c>
      <c r="E281" s="12" t="s">
        <v>49</v>
      </c>
      <c r="F281" s="683">
        <f t="shared" si="27"/>
        <v>643.34759836837725</v>
      </c>
      <c r="G281" s="683">
        <f t="shared" si="27"/>
        <v>0</v>
      </c>
    </row>
    <row r="282" spans="1:7" s="9" customFormat="1" x14ac:dyDescent="0.25">
      <c r="A282" s="119"/>
      <c r="B282" s="310"/>
      <c r="C282" s="9">
        <f t="shared" ca="1" si="26"/>
        <v>1</v>
      </c>
      <c r="D282" s="368" t="s">
        <v>80</v>
      </c>
      <c r="E282" s="12" t="s">
        <v>47</v>
      </c>
      <c r="F282" s="683">
        <f t="shared" si="27"/>
        <v>2400.3023643243405</v>
      </c>
      <c r="G282" s="683">
        <f t="shared" si="27"/>
        <v>0</v>
      </c>
    </row>
    <row r="283" spans="1:7" s="9" customFormat="1" x14ac:dyDescent="0.25">
      <c r="A283" s="119"/>
      <c r="B283" s="310"/>
      <c r="C283" s="9">
        <f t="shared" ca="1" si="26"/>
        <v>1</v>
      </c>
      <c r="D283" s="368" t="s">
        <v>82</v>
      </c>
      <c r="E283" s="12" t="s">
        <v>77</v>
      </c>
      <c r="F283" s="683">
        <f t="shared" si="27"/>
        <v>1626.4917776550126</v>
      </c>
      <c r="G283" s="683">
        <f t="shared" si="27"/>
        <v>0</v>
      </c>
    </row>
    <row r="284" spans="1:7" s="9" customFormat="1" x14ac:dyDescent="0.25">
      <c r="A284" s="119"/>
      <c r="B284" s="310"/>
      <c r="C284" s="9">
        <f t="shared" ca="1" si="26"/>
        <v>1</v>
      </c>
      <c r="D284" s="368" t="s">
        <v>84</v>
      </c>
      <c r="E284" s="12" t="s">
        <v>78</v>
      </c>
      <c r="F284" s="683">
        <f t="shared" ca="1" si="27"/>
        <v>116279.31146894433</v>
      </c>
      <c r="G284" s="683">
        <f t="shared" si="27"/>
        <v>0</v>
      </c>
    </row>
    <row r="285" spans="1:7" s="9" customFormat="1" x14ac:dyDescent="0.25">
      <c r="A285" s="119"/>
      <c r="B285" s="310"/>
      <c r="C285" s="9">
        <f t="shared" ca="1" si="26"/>
        <v>1</v>
      </c>
      <c r="D285" s="368" t="s">
        <v>86</v>
      </c>
      <c r="E285" s="12" t="s">
        <v>79</v>
      </c>
      <c r="F285" s="683">
        <f t="shared" si="27"/>
        <v>0</v>
      </c>
      <c r="G285" s="683">
        <f t="shared" si="27"/>
        <v>0</v>
      </c>
    </row>
    <row r="286" spans="1:7" s="9" customFormat="1" x14ac:dyDescent="0.25">
      <c r="A286" s="119"/>
      <c r="B286" s="310"/>
      <c r="C286" s="9">
        <f t="shared" ca="1" si="26"/>
        <v>1</v>
      </c>
      <c r="D286" s="368" t="s">
        <v>386</v>
      </c>
      <c r="E286" s="12" t="s">
        <v>81</v>
      </c>
      <c r="F286" s="683">
        <f t="shared" si="27"/>
        <v>0</v>
      </c>
      <c r="G286" s="683">
        <f t="shared" si="27"/>
        <v>0</v>
      </c>
    </row>
    <row r="287" spans="1:7" s="9" customFormat="1" ht="15.75" thickBot="1" x14ac:dyDescent="0.3">
      <c r="A287" s="119"/>
      <c r="B287" s="310"/>
      <c r="C287" s="9">
        <f t="shared" ca="1" si="26"/>
        <v>1</v>
      </c>
      <c r="D287" s="35" t="s">
        <v>22</v>
      </c>
      <c r="E287" s="12" t="s">
        <v>83</v>
      </c>
      <c r="F287" s="685">
        <f ca="1">SUBTOTAL(9,F273:F286)</f>
        <v>133199.34440714703</v>
      </c>
      <c r="G287" s="685">
        <f>SUBTOTAL(9,G273:G286)</f>
        <v>0</v>
      </c>
    </row>
    <row r="288" spans="1:7" s="9" customFormat="1" ht="15.75" hidden="1" thickBot="1" x14ac:dyDescent="0.3">
      <c r="A288" s="119"/>
      <c r="B288" s="310"/>
      <c r="E288" s="10"/>
      <c r="F288" s="648"/>
      <c r="G288" s="648"/>
    </row>
    <row r="289" spans="1:7" s="9" customFormat="1" ht="30" x14ac:dyDescent="0.25">
      <c r="A289" s="119"/>
      <c r="B289" s="310"/>
      <c r="C289" s="9">
        <f ca="1">IF(F306&gt;0,1,0)</f>
        <v>1</v>
      </c>
      <c r="D289" s="20" t="str">
        <f>+A18</f>
        <v>Erie</v>
      </c>
      <c r="E289" s="19">
        <f>IFERROR(SUMIF(A:A,D289,B:B),0)</f>
        <v>2.6305537197862446E-2</v>
      </c>
      <c r="F289" s="652" t="s">
        <v>31</v>
      </c>
      <c r="G289" s="652" t="s">
        <v>32</v>
      </c>
    </row>
    <row r="290" spans="1:7" s="9" customFormat="1" x14ac:dyDescent="0.25">
      <c r="A290" s="119"/>
      <c r="B290" s="310"/>
      <c r="C290" s="9">
        <f ca="1">C289</f>
        <v>1</v>
      </c>
      <c r="D290" s="30"/>
      <c r="E290" s="31"/>
      <c r="F290" s="680" t="s">
        <v>54</v>
      </c>
      <c r="G290" s="680" t="s">
        <v>53</v>
      </c>
    </row>
    <row r="291" spans="1:7" s="9" customFormat="1" x14ac:dyDescent="0.25">
      <c r="A291" s="119"/>
      <c r="B291" s="310"/>
      <c r="C291" s="9">
        <f t="shared" ref="C291:C306" ca="1" si="28">C290</f>
        <v>1</v>
      </c>
      <c r="D291" s="32" t="s">
        <v>71</v>
      </c>
      <c r="E291" s="33"/>
      <c r="F291" s="681"/>
      <c r="G291" s="682"/>
    </row>
    <row r="292" spans="1:7" s="9" customFormat="1" x14ac:dyDescent="0.25">
      <c r="A292" s="119"/>
      <c r="B292" s="310"/>
      <c r="C292" s="9">
        <f t="shared" ca="1" si="28"/>
        <v>1</v>
      </c>
      <c r="D292" s="368" t="s">
        <v>72</v>
      </c>
      <c r="E292" s="12" t="s">
        <v>57</v>
      </c>
      <c r="F292" s="683">
        <f t="shared" ref="F292:G305" si="29">+$E$289*F6</f>
        <v>0</v>
      </c>
      <c r="G292" s="683">
        <f t="shared" si="29"/>
        <v>0</v>
      </c>
    </row>
    <row r="293" spans="1:7" s="9" customFormat="1" x14ac:dyDescent="0.25">
      <c r="A293" s="119"/>
      <c r="B293" s="310"/>
      <c r="C293" s="9">
        <f t="shared" ca="1" si="28"/>
        <v>1</v>
      </c>
      <c r="D293" s="368" t="s">
        <v>73</v>
      </c>
      <c r="E293" s="12" t="s">
        <v>56</v>
      </c>
      <c r="F293" s="683">
        <f t="shared" si="29"/>
        <v>11525.23257123982</v>
      </c>
      <c r="G293" s="683">
        <f t="shared" si="29"/>
        <v>0</v>
      </c>
    </row>
    <row r="294" spans="1:7" s="9" customFormat="1" x14ac:dyDescent="0.25">
      <c r="A294" s="119"/>
      <c r="B294" s="310"/>
      <c r="C294" s="9">
        <f t="shared" ca="1" si="28"/>
        <v>1</v>
      </c>
      <c r="D294" s="368" t="s">
        <v>74</v>
      </c>
      <c r="E294" s="12" t="s">
        <v>55</v>
      </c>
      <c r="F294" s="683">
        <f t="shared" si="29"/>
        <v>1727.8246716406106</v>
      </c>
      <c r="G294" s="683">
        <f t="shared" si="29"/>
        <v>0</v>
      </c>
    </row>
    <row r="295" spans="1:7" s="9" customFormat="1" x14ac:dyDescent="0.25">
      <c r="A295" s="119"/>
      <c r="B295" s="310"/>
      <c r="C295" s="9">
        <f t="shared" ca="1" si="28"/>
        <v>1</v>
      </c>
      <c r="D295" s="368" t="s">
        <v>75</v>
      </c>
      <c r="E295" s="12" t="s">
        <v>54</v>
      </c>
      <c r="F295" s="683">
        <f t="shared" si="29"/>
        <v>3531.4367919844967</v>
      </c>
      <c r="G295" s="683">
        <f t="shared" si="29"/>
        <v>0</v>
      </c>
    </row>
    <row r="296" spans="1:7" s="9" customFormat="1" x14ac:dyDescent="0.25">
      <c r="A296" s="119"/>
      <c r="B296" s="310"/>
      <c r="C296" s="9">
        <f t="shared" ca="1" si="28"/>
        <v>1</v>
      </c>
      <c r="D296" s="34" t="s">
        <v>467</v>
      </c>
      <c r="E296" s="12" t="s">
        <v>53</v>
      </c>
      <c r="F296" s="683">
        <f t="shared" si="29"/>
        <v>16910.156230259352</v>
      </c>
      <c r="G296" s="683">
        <f t="shared" si="29"/>
        <v>0</v>
      </c>
    </row>
    <row r="297" spans="1:7" s="9" customFormat="1" x14ac:dyDescent="0.25">
      <c r="A297" s="119"/>
      <c r="B297" s="310"/>
      <c r="C297" s="9">
        <f t="shared" ca="1" si="28"/>
        <v>1</v>
      </c>
      <c r="D297" s="34" t="s">
        <v>76</v>
      </c>
      <c r="E297" s="12" t="s">
        <v>52</v>
      </c>
      <c r="F297" s="683">
        <f t="shared" si="29"/>
        <v>3866.468158275763</v>
      </c>
      <c r="G297" s="683">
        <f t="shared" si="29"/>
        <v>0</v>
      </c>
    </row>
    <row r="298" spans="1:7" s="9" customFormat="1" x14ac:dyDescent="0.25">
      <c r="A298" s="119"/>
      <c r="B298" s="310"/>
      <c r="C298" s="9">
        <f t="shared" ca="1" si="28"/>
        <v>1</v>
      </c>
      <c r="D298" s="34" t="s">
        <v>468</v>
      </c>
      <c r="E298" s="12" t="s">
        <v>51</v>
      </c>
      <c r="F298" s="683">
        <f t="shared" si="29"/>
        <v>0</v>
      </c>
      <c r="G298" s="683">
        <f t="shared" si="29"/>
        <v>0</v>
      </c>
    </row>
    <row r="299" spans="1:7" s="9" customFormat="1" x14ac:dyDescent="0.25">
      <c r="A299" s="119"/>
      <c r="B299" s="310"/>
      <c r="C299" s="9">
        <f t="shared" ca="1" si="28"/>
        <v>1</v>
      </c>
      <c r="D299" s="368" t="s">
        <v>59</v>
      </c>
      <c r="E299" s="12" t="s">
        <v>50</v>
      </c>
      <c r="F299" s="683">
        <f t="shared" si="29"/>
        <v>612.23250482408548</v>
      </c>
      <c r="G299" s="683">
        <f t="shared" si="29"/>
        <v>0</v>
      </c>
    </row>
    <row r="300" spans="1:7" s="9" customFormat="1" x14ac:dyDescent="0.25">
      <c r="A300" s="119"/>
      <c r="B300" s="310"/>
      <c r="C300" s="9">
        <f t="shared" ca="1" si="28"/>
        <v>1</v>
      </c>
      <c r="D300" s="368" t="s">
        <v>25</v>
      </c>
      <c r="E300" s="12" t="s">
        <v>49</v>
      </c>
      <c r="F300" s="683">
        <f t="shared" si="29"/>
        <v>2004.8123893252728</v>
      </c>
      <c r="G300" s="683">
        <f t="shared" si="29"/>
        <v>0</v>
      </c>
    </row>
    <row r="301" spans="1:7" s="9" customFormat="1" x14ac:dyDescent="0.25">
      <c r="A301" s="119"/>
      <c r="B301" s="310"/>
      <c r="C301" s="9">
        <f t="shared" ca="1" si="28"/>
        <v>1</v>
      </c>
      <c r="D301" s="368" t="s">
        <v>80</v>
      </c>
      <c r="E301" s="12" t="s">
        <v>47</v>
      </c>
      <c r="F301" s="683">
        <f t="shared" si="29"/>
        <v>7479.8692500422903</v>
      </c>
      <c r="G301" s="683">
        <f t="shared" si="29"/>
        <v>0</v>
      </c>
    </row>
    <row r="302" spans="1:7" s="9" customFormat="1" x14ac:dyDescent="0.25">
      <c r="A302" s="119"/>
      <c r="B302" s="310"/>
      <c r="C302" s="9">
        <f t="shared" ca="1" si="28"/>
        <v>1</v>
      </c>
      <c r="D302" s="368" t="s">
        <v>82</v>
      </c>
      <c r="E302" s="12" t="s">
        <v>77</v>
      </c>
      <c r="F302" s="683">
        <f t="shared" si="29"/>
        <v>5068.5055407812897</v>
      </c>
      <c r="G302" s="683">
        <f t="shared" si="29"/>
        <v>0</v>
      </c>
    </row>
    <row r="303" spans="1:7" s="9" customFormat="1" x14ac:dyDescent="0.25">
      <c r="A303" s="119"/>
      <c r="B303" s="310"/>
      <c r="C303" s="9">
        <f t="shared" ca="1" si="28"/>
        <v>1</v>
      </c>
      <c r="D303" s="368" t="s">
        <v>84</v>
      </c>
      <c r="E303" s="12" t="s">
        <v>78</v>
      </c>
      <c r="F303" s="683">
        <f t="shared" ca="1" si="29"/>
        <v>362351.86833116878</v>
      </c>
      <c r="G303" s="683">
        <f t="shared" si="29"/>
        <v>0</v>
      </c>
    </row>
    <row r="304" spans="1:7" s="9" customFormat="1" x14ac:dyDescent="0.25">
      <c r="A304" s="119"/>
      <c r="B304" s="310"/>
      <c r="C304" s="9">
        <f t="shared" ca="1" si="28"/>
        <v>1</v>
      </c>
      <c r="D304" s="368" t="s">
        <v>86</v>
      </c>
      <c r="E304" s="12" t="s">
        <v>79</v>
      </c>
      <c r="F304" s="683">
        <f t="shared" si="29"/>
        <v>0</v>
      </c>
      <c r="G304" s="683">
        <f t="shared" si="29"/>
        <v>0</v>
      </c>
    </row>
    <row r="305" spans="1:7" s="9" customFormat="1" x14ac:dyDescent="0.25">
      <c r="A305" s="119"/>
      <c r="B305" s="310"/>
      <c r="C305" s="9">
        <f t="shared" ca="1" si="28"/>
        <v>1</v>
      </c>
      <c r="D305" s="368" t="s">
        <v>386</v>
      </c>
      <c r="E305" s="12" t="s">
        <v>81</v>
      </c>
      <c r="F305" s="683">
        <f t="shared" si="29"/>
        <v>0</v>
      </c>
      <c r="G305" s="683">
        <f t="shared" si="29"/>
        <v>0</v>
      </c>
    </row>
    <row r="306" spans="1:7" s="9" customFormat="1" ht="15.75" thickBot="1" x14ac:dyDescent="0.3">
      <c r="A306" s="119"/>
      <c r="B306" s="310"/>
      <c r="C306" s="9">
        <f t="shared" ca="1" si="28"/>
        <v>1</v>
      </c>
      <c r="D306" s="35" t="s">
        <v>22</v>
      </c>
      <c r="E306" s="12" t="s">
        <v>83</v>
      </c>
      <c r="F306" s="685">
        <f ca="1">SUBTOTAL(9,F292:F305)</f>
        <v>415078.40643954178</v>
      </c>
      <c r="G306" s="685">
        <f>SUBTOTAL(9,G292:G305)</f>
        <v>0</v>
      </c>
    </row>
    <row r="307" spans="1:7" s="9" customFormat="1" ht="15.75" hidden="1" thickBot="1" x14ac:dyDescent="0.3">
      <c r="A307" s="119"/>
      <c r="B307" s="310"/>
      <c r="E307" s="10"/>
      <c r="F307" s="648"/>
      <c r="G307" s="648"/>
    </row>
    <row r="308" spans="1:7" s="9" customFormat="1" ht="30" x14ac:dyDescent="0.25">
      <c r="A308" s="119"/>
      <c r="B308" s="310"/>
      <c r="C308" s="9">
        <f ca="1">IF(F325&gt;0,1,0)</f>
        <v>1</v>
      </c>
      <c r="D308" s="20" t="str">
        <f>+A19</f>
        <v>Essex</v>
      </c>
      <c r="E308" s="19">
        <f>IFERROR(SUMIF(A:A,D308,B:B),0)</f>
        <v>2.022791098305527E-4</v>
      </c>
      <c r="F308" s="652" t="s">
        <v>31</v>
      </c>
      <c r="G308" s="652" t="s">
        <v>32</v>
      </c>
    </row>
    <row r="309" spans="1:7" s="9" customFormat="1" x14ac:dyDescent="0.25">
      <c r="A309" s="119"/>
      <c r="B309" s="310"/>
      <c r="C309" s="9">
        <f ca="1">C308</f>
        <v>1</v>
      </c>
      <c r="D309" s="30"/>
      <c r="E309" s="31"/>
      <c r="F309" s="680" t="s">
        <v>54</v>
      </c>
      <c r="G309" s="680" t="s">
        <v>53</v>
      </c>
    </row>
    <row r="310" spans="1:7" s="9" customFormat="1" x14ac:dyDescent="0.25">
      <c r="A310" s="119"/>
      <c r="B310" s="310"/>
      <c r="C310" s="9">
        <f t="shared" ref="C310:C325" ca="1" si="30">C309</f>
        <v>1</v>
      </c>
      <c r="D310" s="32" t="s">
        <v>71</v>
      </c>
      <c r="E310" s="33"/>
      <c r="F310" s="681"/>
      <c r="G310" s="682"/>
    </row>
    <row r="311" spans="1:7" s="9" customFormat="1" x14ac:dyDescent="0.25">
      <c r="A311" s="119"/>
      <c r="B311" s="310"/>
      <c r="C311" s="9">
        <f t="shared" ca="1" si="30"/>
        <v>1</v>
      </c>
      <c r="D311" s="368" t="s">
        <v>72</v>
      </c>
      <c r="E311" s="12" t="s">
        <v>57</v>
      </c>
      <c r="F311" s="683">
        <f t="shared" ref="F311:G324" si="31">+$E$308*F6</f>
        <v>0</v>
      </c>
      <c r="G311" s="683">
        <f t="shared" si="31"/>
        <v>0</v>
      </c>
    </row>
    <row r="312" spans="1:7" s="9" customFormat="1" x14ac:dyDescent="0.25">
      <c r="A312" s="119"/>
      <c r="B312" s="310"/>
      <c r="C312" s="9">
        <f t="shared" ca="1" si="30"/>
        <v>1</v>
      </c>
      <c r="D312" s="368" t="s">
        <v>73</v>
      </c>
      <c r="E312" s="12" t="s">
        <v>56</v>
      </c>
      <c r="F312" s="683">
        <f t="shared" si="31"/>
        <v>88.624450721725708</v>
      </c>
      <c r="G312" s="683">
        <f t="shared" si="31"/>
        <v>0</v>
      </c>
    </row>
    <row r="313" spans="1:7" s="9" customFormat="1" x14ac:dyDescent="0.25">
      <c r="A313" s="119"/>
      <c r="B313" s="310"/>
      <c r="C313" s="9">
        <f t="shared" ca="1" si="30"/>
        <v>1</v>
      </c>
      <c r="D313" s="368" t="s">
        <v>74</v>
      </c>
      <c r="E313" s="12" t="s">
        <v>55</v>
      </c>
      <c r="F313" s="683">
        <f t="shared" si="31"/>
        <v>13.286283944474242</v>
      </c>
      <c r="G313" s="683">
        <f t="shared" si="31"/>
        <v>0</v>
      </c>
    </row>
    <row r="314" spans="1:7" s="9" customFormat="1" x14ac:dyDescent="0.25">
      <c r="A314" s="119"/>
      <c r="B314" s="310"/>
      <c r="C314" s="9">
        <f t="shared" ca="1" si="30"/>
        <v>1</v>
      </c>
      <c r="D314" s="368" t="s">
        <v>75</v>
      </c>
      <c r="E314" s="12" t="s">
        <v>54</v>
      </c>
      <c r="F314" s="683">
        <f t="shared" si="31"/>
        <v>27.155343201412844</v>
      </c>
      <c r="G314" s="683">
        <f t="shared" si="31"/>
        <v>0</v>
      </c>
    </row>
    <row r="315" spans="1:7" s="9" customFormat="1" x14ac:dyDescent="0.25">
      <c r="A315" s="119"/>
      <c r="B315" s="310"/>
      <c r="C315" s="9">
        <f t="shared" ca="1" si="30"/>
        <v>1</v>
      </c>
      <c r="D315" s="34" t="s">
        <v>467</v>
      </c>
      <c r="E315" s="12" t="s">
        <v>53</v>
      </c>
      <c r="F315" s="683">
        <f t="shared" si="31"/>
        <v>130.03237012891674</v>
      </c>
      <c r="G315" s="683">
        <f t="shared" si="31"/>
        <v>0</v>
      </c>
    </row>
    <row r="316" spans="1:7" s="9" customFormat="1" x14ac:dyDescent="0.25">
      <c r="A316" s="119"/>
      <c r="B316" s="310"/>
      <c r="C316" s="9">
        <f t="shared" ca="1" si="30"/>
        <v>1</v>
      </c>
      <c r="D316" s="34" t="s">
        <v>76</v>
      </c>
      <c r="E316" s="12" t="s">
        <v>52</v>
      </c>
      <c r="F316" s="683">
        <f t="shared" si="31"/>
        <v>29.731601045111933</v>
      </c>
      <c r="G316" s="683">
        <f t="shared" si="31"/>
        <v>0</v>
      </c>
    </row>
    <row r="317" spans="1:7" s="9" customFormat="1" x14ac:dyDescent="0.25">
      <c r="A317" s="119"/>
      <c r="B317" s="310"/>
      <c r="C317" s="9">
        <f t="shared" ca="1" si="30"/>
        <v>1</v>
      </c>
      <c r="D317" s="34" t="s">
        <v>468</v>
      </c>
      <c r="E317" s="12" t="s">
        <v>51</v>
      </c>
      <c r="F317" s="683">
        <f t="shared" si="31"/>
        <v>0</v>
      </c>
      <c r="G317" s="683">
        <f t="shared" si="31"/>
        <v>0</v>
      </c>
    </row>
    <row r="318" spans="1:7" s="9" customFormat="1" x14ac:dyDescent="0.25">
      <c r="A318" s="119"/>
      <c r="B318" s="310"/>
      <c r="C318" s="9">
        <f t="shared" ca="1" si="30"/>
        <v>1</v>
      </c>
      <c r="D318" s="368" t="s">
        <v>59</v>
      </c>
      <c r="E318" s="12" t="s">
        <v>50</v>
      </c>
      <c r="F318" s="683">
        <f t="shared" si="31"/>
        <v>4.7078242559216319</v>
      </c>
      <c r="G318" s="683">
        <f t="shared" si="31"/>
        <v>0</v>
      </c>
    </row>
    <row r="319" spans="1:7" s="9" customFormat="1" x14ac:dyDescent="0.25">
      <c r="A319" s="119"/>
      <c r="B319" s="310"/>
      <c r="C319" s="9">
        <f t="shared" ca="1" si="30"/>
        <v>1</v>
      </c>
      <c r="D319" s="368" t="s">
        <v>25</v>
      </c>
      <c r="E319" s="12" t="s">
        <v>49</v>
      </c>
      <c r="F319" s="683">
        <f t="shared" si="31"/>
        <v>15.416209235329077</v>
      </c>
      <c r="G319" s="683">
        <f t="shared" si="31"/>
        <v>0</v>
      </c>
    </row>
    <row r="320" spans="1:7" s="9" customFormat="1" x14ac:dyDescent="0.25">
      <c r="A320" s="119"/>
      <c r="B320" s="310"/>
      <c r="C320" s="9">
        <f t="shared" ca="1" si="30"/>
        <v>1</v>
      </c>
      <c r="D320" s="368" t="s">
        <v>80</v>
      </c>
      <c r="E320" s="12" t="s">
        <v>47</v>
      </c>
      <c r="F320" s="683">
        <f t="shared" si="31"/>
        <v>57.517217085018302</v>
      </c>
      <c r="G320" s="683">
        <f t="shared" si="31"/>
        <v>0</v>
      </c>
    </row>
    <row r="321" spans="1:7" s="9" customFormat="1" x14ac:dyDescent="0.25">
      <c r="A321" s="119"/>
      <c r="B321" s="310"/>
      <c r="C321" s="9">
        <f t="shared" ca="1" si="30"/>
        <v>1</v>
      </c>
      <c r="D321" s="368" t="s">
        <v>82</v>
      </c>
      <c r="E321" s="12" t="s">
        <v>77</v>
      </c>
      <c r="F321" s="683">
        <f t="shared" si="31"/>
        <v>38.974790031802662</v>
      </c>
      <c r="G321" s="683">
        <f t="shared" si="31"/>
        <v>0</v>
      </c>
    </row>
    <row r="322" spans="1:7" s="9" customFormat="1" x14ac:dyDescent="0.25">
      <c r="A322" s="119"/>
      <c r="B322" s="310"/>
      <c r="C322" s="9">
        <f t="shared" ca="1" si="30"/>
        <v>1</v>
      </c>
      <c r="D322" s="368" t="s">
        <v>84</v>
      </c>
      <c r="E322" s="12" t="s">
        <v>78</v>
      </c>
      <c r="F322" s="683">
        <f t="shared" ca="1" si="31"/>
        <v>2786.341629146521</v>
      </c>
      <c r="G322" s="683">
        <f t="shared" si="31"/>
        <v>0</v>
      </c>
    </row>
    <row r="323" spans="1:7" s="9" customFormat="1" x14ac:dyDescent="0.25">
      <c r="A323" s="119"/>
      <c r="B323" s="310"/>
      <c r="C323" s="9">
        <f t="shared" ca="1" si="30"/>
        <v>1</v>
      </c>
      <c r="D323" s="368" t="s">
        <v>86</v>
      </c>
      <c r="E323" s="12" t="s">
        <v>79</v>
      </c>
      <c r="F323" s="683">
        <f t="shared" si="31"/>
        <v>0</v>
      </c>
      <c r="G323" s="683">
        <f t="shared" si="31"/>
        <v>0</v>
      </c>
    </row>
    <row r="324" spans="1:7" s="9" customFormat="1" x14ac:dyDescent="0.25">
      <c r="A324" s="119"/>
      <c r="B324" s="310"/>
      <c r="C324" s="9">
        <f t="shared" ca="1" si="30"/>
        <v>1</v>
      </c>
      <c r="D324" s="368" t="s">
        <v>386</v>
      </c>
      <c r="E324" s="12" t="s">
        <v>81</v>
      </c>
      <c r="F324" s="683">
        <f t="shared" si="31"/>
        <v>0</v>
      </c>
      <c r="G324" s="683">
        <f t="shared" si="31"/>
        <v>0</v>
      </c>
    </row>
    <row r="325" spans="1:7" s="9" customFormat="1" ht="15.75" thickBot="1" x14ac:dyDescent="0.3">
      <c r="A325" s="119"/>
      <c r="B325" s="310"/>
      <c r="C325" s="9">
        <f t="shared" ca="1" si="30"/>
        <v>1</v>
      </c>
      <c r="D325" s="35" t="s">
        <v>22</v>
      </c>
      <c r="E325" s="12" t="s">
        <v>83</v>
      </c>
      <c r="F325" s="685">
        <f ca="1">SUBTOTAL(9,F311:F324)</f>
        <v>3191.787718796234</v>
      </c>
      <c r="G325" s="685">
        <f>SUBTOTAL(9,G311:G324)</f>
        <v>0</v>
      </c>
    </row>
    <row r="326" spans="1:7" s="9" customFormat="1" ht="15.75" hidden="1" thickBot="1" x14ac:dyDescent="0.3">
      <c r="A326" s="119"/>
      <c r="B326" s="310"/>
      <c r="E326" s="10"/>
      <c r="F326" s="648"/>
      <c r="G326" s="648"/>
    </row>
    <row r="327" spans="1:7" s="9" customFormat="1" ht="30" x14ac:dyDescent="0.25">
      <c r="A327" s="119"/>
      <c r="B327" s="310"/>
      <c r="C327" s="9">
        <f ca="1">IF(F344&gt;0,1,0)</f>
        <v>1</v>
      </c>
      <c r="D327" s="20" t="str">
        <f>+A20</f>
        <v>Franklin</v>
      </c>
      <c r="E327" s="19">
        <f>IFERROR(SUMIF(A:A,D327,B:B),0)</f>
        <v>9.3602280587727475E-4</v>
      </c>
      <c r="F327" s="652" t="s">
        <v>31</v>
      </c>
      <c r="G327" s="652" t="s">
        <v>32</v>
      </c>
    </row>
    <row r="328" spans="1:7" s="9" customFormat="1" x14ac:dyDescent="0.25">
      <c r="A328" s="119"/>
      <c r="B328" s="310"/>
      <c r="C328" s="9">
        <f ca="1">C327</f>
        <v>1</v>
      </c>
      <c r="D328" s="30"/>
      <c r="E328" s="31"/>
      <c r="F328" s="680" t="s">
        <v>54</v>
      </c>
      <c r="G328" s="680" t="s">
        <v>53</v>
      </c>
    </row>
    <row r="329" spans="1:7" s="9" customFormat="1" x14ac:dyDescent="0.25">
      <c r="A329" s="119"/>
      <c r="B329" s="310"/>
      <c r="C329" s="9">
        <f t="shared" ref="C329:C344" ca="1" si="32">C328</f>
        <v>1</v>
      </c>
      <c r="D329" s="32" t="s">
        <v>71</v>
      </c>
      <c r="E329" s="33"/>
      <c r="F329" s="681"/>
      <c r="G329" s="682"/>
    </row>
    <row r="330" spans="1:7" s="9" customFormat="1" x14ac:dyDescent="0.25">
      <c r="A330" s="119"/>
      <c r="B330" s="310"/>
      <c r="C330" s="9">
        <f t="shared" ca="1" si="32"/>
        <v>1</v>
      </c>
      <c r="D330" s="368" t="s">
        <v>72</v>
      </c>
      <c r="E330" s="12" t="s">
        <v>57</v>
      </c>
      <c r="F330" s="683">
        <f t="shared" ref="F330:G343" si="33">+$E$327*F6</f>
        <v>0</v>
      </c>
      <c r="G330" s="683">
        <f t="shared" si="33"/>
        <v>0</v>
      </c>
    </row>
    <row r="331" spans="1:7" s="9" customFormat="1" x14ac:dyDescent="0.25">
      <c r="A331" s="119"/>
      <c r="B331" s="310"/>
      <c r="C331" s="9">
        <f t="shared" ca="1" si="32"/>
        <v>1</v>
      </c>
      <c r="D331" s="368" t="s">
        <v>73</v>
      </c>
      <c r="E331" s="12" t="s">
        <v>56</v>
      </c>
      <c r="F331" s="683">
        <f t="shared" si="33"/>
        <v>410.09922924503758</v>
      </c>
      <c r="G331" s="683">
        <f t="shared" si="33"/>
        <v>0</v>
      </c>
    </row>
    <row r="332" spans="1:7" s="9" customFormat="1" x14ac:dyDescent="0.25">
      <c r="A332" s="119"/>
      <c r="B332" s="310"/>
      <c r="C332" s="9">
        <f t="shared" ca="1" si="32"/>
        <v>1</v>
      </c>
      <c r="D332" s="368" t="s">
        <v>74</v>
      </c>
      <c r="E332" s="12" t="s">
        <v>55</v>
      </c>
      <c r="F332" s="683">
        <f t="shared" si="33"/>
        <v>61.48071735043083</v>
      </c>
      <c r="G332" s="683">
        <f t="shared" si="33"/>
        <v>0</v>
      </c>
    </row>
    <row r="333" spans="1:7" s="9" customFormat="1" x14ac:dyDescent="0.25">
      <c r="A333" s="119"/>
      <c r="B333" s="310"/>
      <c r="C333" s="9">
        <f t="shared" ca="1" si="32"/>
        <v>1</v>
      </c>
      <c r="D333" s="368" t="s">
        <v>75</v>
      </c>
      <c r="E333" s="12" t="s">
        <v>54</v>
      </c>
      <c r="F333" s="683">
        <f t="shared" si="33"/>
        <v>125.65815896282747</v>
      </c>
      <c r="G333" s="683">
        <f t="shared" si="33"/>
        <v>0</v>
      </c>
    </row>
    <row r="334" spans="1:7" s="9" customFormat="1" x14ac:dyDescent="0.25">
      <c r="A334" s="119"/>
      <c r="B334" s="310"/>
      <c r="C334" s="9">
        <f t="shared" ca="1" si="32"/>
        <v>1</v>
      </c>
      <c r="D334" s="34" t="s">
        <v>467</v>
      </c>
      <c r="E334" s="12" t="s">
        <v>53</v>
      </c>
      <c r="F334" s="683">
        <f t="shared" si="33"/>
        <v>601.70950942437412</v>
      </c>
      <c r="G334" s="683">
        <f t="shared" si="33"/>
        <v>0</v>
      </c>
    </row>
    <row r="335" spans="1:7" s="9" customFormat="1" x14ac:dyDescent="0.25">
      <c r="A335" s="119"/>
      <c r="B335" s="310"/>
      <c r="C335" s="9">
        <f t="shared" ca="1" si="32"/>
        <v>1</v>
      </c>
      <c r="D335" s="34" t="s">
        <v>76</v>
      </c>
      <c r="E335" s="12" t="s">
        <v>52</v>
      </c>
      <c r="F335" s="683">
        <f t="shared" si="33"/>
        <v>137.57948933422665</v>
      </c>
      <c r="G335" s="683">
        <f t="shared" si="33"/>
        <v>0</v>
      </c>
    </row>
    <row r="336" spans="1:7" s="9" customFormat="1" x14ac:dyDescent="0.25">
      <c r="A336" s="119"/>
      <c r="B336" s="310"/>
      <c r="C336" s="9">
        <f t="shared" ca="1" si="32"/>
        <v>1</v>
      </c>
      <c r="D336" s="34" t="s">
        <v>468</v>
      </c>
      <c r="E336" s="12" t="s">
        <v>51</v>
      </c>
      <c r="F336" s="683">
        <f t="shared" si="33"/>
        <v>0</v>
      </c>
      <c r="G336" s="683">
        <f t="shared" si="33"/>
        <v>0</v>
      </c>
    </row>
    <row r="337" spans="1:7" s="9" customFormat="1" x14ac:dyDescent="0.25">
      <c r="A337" s="119"/>
      <c r="B337" s="310"/>
      <c r="C337" s="9">
        <f t="shared" ca="1" si="32"/>
        <v>1</v>
      </c>
      <c r="D337" s="368" t="s">
        <v>59</v>
      </c>
      <c r="E337" s="12" t="s">
        <v>50</v>
      </c>
      <c r="F337" s="683">
        <f t="shared" si="33"/>
        <v>21.784903410422618</v>
      </c>
      <c r="G337" s="683">
        <f t="shared" si="33"/>
        <v>0</v>
      </c>
    </row>
    <row r="338" spans="1:7" s="9" customFormat="1" x14ac:dyDescent="0.25">
      <c r="A338" s="119"/>
      <c r="B338" s="310"/>
      <c r="C338" s="9">
        <f t="shared" ca="1" si="32"/>
        <v>1</v>
      </c>
      <c r="D338" s="368" t="s">
        <v>25</v>
      </c>
      <c r="E338" s="12" t="s">
        <v>49</v>
      </c>
      <c r="F338" s="683">
        <f t="shared" si="33"/>
        <v>71.336696293214317</v>
      </c>
      <c r="G338" s="683">
        <f t="shared" si="33"/>
        <v>0</v>
      </c>
    </row>
    <row r="339" spans="1:7" s="9" customFormat="1" x14ac:dyDescent="0.25">
      <c r="A339" s="119"/>
      <c r="B339" s="310"/>
      <c r="C339" s="9">
        <f t="shared" ca="1" si="32"/>
        <v>1</v>
      </c>
      <c r="D339" s="368" t="s">
        <v>80</v>
      </c>
      <c r="E339" s="12" t="s">
        <v>47</v>
      </c>
      <c r="F339" s="683">
        <f t="shared" si="33"/>
        <v>266.1541617781009</v>
      </c>
      <c r="G339" s="683">
        <f t="shared" si="33"/>
        <v>0</v>
      </c>
    </row>
    <row r="340" spans="1:7" s="9" customFormat="1" x14ac:dyDescent="0.25">
      <c r="A340" s="119"/>
      <c r="B340" s="310"/>
      <c r="C340" s="9">
        <f t="shared" ca="1" si="32"/>
        <v>1</v>
      </c>
      <c r="D340" s="368" t="s">
        <v>82</v>
      </c>
      <c r="E340" s="12" t="s">
        <v>77</v>
      </c>
      <c r="F340" s="683">
        <f t="shared" si="33"/>
        <v>180.35125997244899</v>
      </c>
      <c r="G340" s="683">
        <f t="shared" si="33"/>
        <v>0</v>
      </c>
    </row>
    <row r="341" spans="1:7" s="9" customFormat="1" x14ac:dyDescent="0.25">
      <c r="A341" s="119"/>
      <c r="B341" s="310"/>
      <c r="C341" s="9">
        <f t="shared" ca="1" si="32"/>
        <v>1</v>
      </c>
      <c r="D341" s="368" t="s">
        <v>84</v>
      </c>
      <c r="E341" s="12" t="s">
        <v>78</v>
      </c>
      <c r="F341" s="683">
        <f t="shared" ca="1" si="33"/>
        <v>12893.468396371463</v>
      </c>
      <c r="G341" s="683">
        <f t="shared" si="33"/>
        <v>0</v>
      </c>
    </row>
    <row r="342" spans="1:7" s="9" customFormat="1" x14ac:dyDescent="0.25">
      <c r="A342" s="119"/>
      <c r="B342" s="310"/>
      <c r="C342" s="9">
        <f t="shared" ca="1" si="32"/>
        <v>1</v>
      </c>
      <c r="D342" s="368" t="s">
        <v>86</v>
      </c>
      <c r="E342" s="12" t="s">
        <v>79</v>
      </c>
      <c r="F342" s="683">
        <f t="shared" si="33"/>
        <v>0</v>
      </c>
      <c r="G342" s="683">
        <f t="shared" si="33"/>
        <v>0</v>
      </c>
    </row>
    <row r="343" spans="1:7" s="9" customFormat="1" x14ac:dyDescent="0.25">
      <c r="A343" s="119"/>
      <c r="B343" s="310"/>
      <c r="C343" s="9">
        <f t="shared" ca="1" si="32"/>
        <v>1</v>
      </c>
      <c r="D343" s="368" t="s">
        <v>386</v>
      </c>
      <c r="E343" s="12" t="s">
        <v>81</v>
      </c>
      <c r="F343" s="683">
        <f t="shared" si="33"/>
        <v>0</v>
      </c>
      <c r="G343" s="683">
        <f t="shared" si="33"/>
        <v>0</v>
      </c>
    </row>
    <row r="344" spans="1:7" s="9" customFormat="1" ht="15.75" thickBot="1" x14ac:dyDescent="0.3">
      <c r="A344" s="119"/>
      <c r="B344" s="310"/>
      <c r="C344" s="9">
        <f t="shared" ca="1" si="32"/>
        <v>1</v>
      </c>
      <c r="D344" s="35" t="s">
        <v>22</v>
      </c>
      <c r="E344" s="12" t="s">
        <v>83</v>
      </c>
      <c r="F344" s="685">
        <f ca="1">SUBTOTAL(9,F330:F343)</f>
        <v>14769.622522142547</v>
      </c>
      <c r="G344" s="685">
        <f>SUBTOTAL(9,G330:G343)</f>
        <v>0</v>
      </c>
    </row>
    <row r="345" spans="1:7" s="9" customFormat="1" ht="15.75" hidden="1" thickBot="1" x14ac:dyDescent="0.3">
      <c r="A345" s="119"/>
      <c r="B345" s="310"/>
      <c r="E345" s="10"/>
      <c r="F345" s="648"/>
      <c r="G345" s="648"/>
    </row>
    <row r="346" spans="1:7" s="9" customFormat="1" ht="30" x14ac:dyDescent="0.25">
      <c r="A346" s="119"/>
      <c r="B346" s="310"/>
      <c r="C346" s="9">
        <f ca="1">IF(F363&gt;0,1,0)</f>
        <v>1</v>
      </c>
      <c r="D346" s="20" t="str">
        <f>+A21</f>
        <v>Fulton</v>
      </c>
      <c r="E346" s="19">
        <f>IFERROR(SUMIF(A:A,D346,B:B),0)</f>
        <v>4.1658701551888161E-3</v>
      </c>
      <c r="F346" s="652" t="s">
        <v>31</v>
      </c>
      <c r="G346" s="652" t="s">
        <v>32</v>
      </c>
    </row>
    <row r="347" spans="1:7" s="9" customFormat="1" x14ac:dyDescent="0.25">
      <c r="A347" s="119"/>
      <c r="B347" s="310"/>
      <c r="C347" s="9">
        <f ca="1">C346</f>
        <v>1</v>
      </c>
      <c r="D347" s="30"/>
      <c r="E347" s="31"/>
      <c r="F347" s="680" t="s">
        <v>54</v>
      </c>
      <c r="G347" s="680" t="s">
        <v>53</v>
      </c>
    </row>
    <row r="348" spans="1:7" s="9" customFormat="1" x14ac:dyDescent="0.25">
      <c r="A348" s="119"/>
      <c r="B348" s="310"/>
      <c r="C348" s="9">
        <f t="shared" ref="C348:C363" ca="1" si="34">C347</f>
        <v>1</v>
      </c>
      <c r="D348" s="32" t="s">
        <v>71</v>
      </c>
      <c r="E348" s="33"/>
      <c r="F348" s="681"/>
      <c r="G348" s="682"/>
    </row>
    <row r="349" spans="1:7" s="9" customFormat="1" x14ac:dyDescent="0.25">
      <c r="A349" s="119"/>
      <c r="B349" s="310"/>
      <c r="C349" s="9">
        <f t="shared" ca="1" si="34"/>
        <v>1</v>
      </c>
      <c r="D349" s="368" t="s">
        <v>72</v>
      </c>
      <c r="E349" s="12" t="s">
        <v>57</v>
      </c>
      <c r="F349" s="683">
        <f t="shared" ref="F349:G362" si="35">+$E$346*F6</f>
        <v>0</v>
      </c>
      <c r="G349" s="683">
        <f t="shared" si="35"/>
        <v>0</v>
      </c>
    </row>
    <row r="350" spans="1:7" s="9" customFormat="1" x14ac:dyDescent="0.25">
      <c r="A350" s="119"/>
      <c r="B350" s="310"/>
      <c r="C350" s="9">
        <f t="shared" ca="1" si="34"/>
        <v>1</v>
      </c>
      <c r="D350" s="368" t="s">
        <v>73</v>
      </c>
      <c r="E350" s="12" t="s">
        <v>56</v>
      </c>
      <c r="F350" s="683">
        <f t="shared" si="35"/>
        <v>1825.1907208357438</v>
      </c>
      <c r="G350" s="683">
        <f t="shared" si="35"/>
        <v>0</v>
      </c>
    </row>
    <row r="351" spans="1:7" s="9" customFormat="1" x14ac:dyDescent="0.25">
      <c r="A351" s="119"/>
      <c r="B351" s="310"/>
      <c r="C351" s="9">
        <f t="shared" ca="1" si="34"/>
        <v>1</v>
      </c>
      <c r="D351" s="368" t="s">
        <v>74</v>
      </c>
      <c r="E351" s="12" t="s">
        <v>55</v>
      </c>
      <c r="F351" s="683">
        <f t="shared" si="35"/>
        <v>273.62654405595748</v>
      </c>
      <c r="G351" s="683">
        <f t="shared" si="35"/>
        <v>0</v>
      </c>
    </row>
    <row r="352" spans="1:7" s="9" customFormat="1" x14ac:dyDescent="0.25">
      <c r="A352" s="119"/>
      <c r="B352" s="310"/>
      <c r="C352" s="9">
        <f t="shared" ca="1" si="34"/>
        <v>1</v>
      </c>
      <c r="D352" s="368" t="s">
        <v>75</v>
      </c>
      <c r="E352" s="12" t="s">
        <v>54</v>
      </c>
      <c r="F352" s="683">
        <f t="shared" si="35"/>
        <v>559.25514943900816</v>
      </c>
      <c r="G352" s="683">
        <f t="shared" si="35"/>
        <v>0</v>
      </c>
    </row>
    <row r="353" spans="1:7" s="9" customFormat="1" x14ac:dyDescent="0.25">
      <c r="A353" s="119"/>
      <c r="B353" s="310"/>
      <c r="C353" s="9">
        <f t="shared" ca="1" si="34"/>
        <v>1</v>
      </c>
      <c r="D353" s="34" t="s">
        <v>467</v>
      </c>
      <c r="E353" s="12" t="s">
        <v>53</v>
      </c>
      <c r="F353" s="683">
        <f t="shared" si="35"/>
        <v>2677.972878080664</v>
      </c>
      <c r="G353" s="683">
        <f t="shared" si="35"/>
        <v>0</v>
      </c>
    </row>
    <row r="354" spans="1:7" s="9" customFormat="1" x14ac:dyDescent="0.25">
      <c r="A354" s="119"/>
      <c r="B354" s="310"/>
      <c r="C354" s="9">
        <f t="shared" ca="1" si="34"/>
        <v>1</v>
      </c>
      <c r="D354" s="34" t="s">
        <v>76</v>
      </c>
      <c r="E354" s="12" t="s">
        <v>52</v>
      </c>
      <c r="F354" s="683">
        <f t="shared" si="35"/>
        <v>612.31231224799774</v>
      </c>
      <c r="G354" s="683">
        <f t="shared" si="35"/>
        <v>0</v>
      </c>
    </row>
    <row r="355" spans="1:7" s="9" customFormat="1" x14ac:dyDescent="0.25">
      <c r="A355" s="119"/>
      <c r="B355" s="310"/>
      <c r="C355" s="9">
        <f t="shared" ca="1" si="34"/>
        <v>1</v>
      </c>
      <c r="D355" s="34" t="s">
        <v>468</v>
      </c>
      <c r="E355" s="12" t="s">
        <v>51</v>
      </c>
      <c r="F355" s="683">
        <f t="shared" si="35"/>
        <v>0</v>
      </c>
      <c r="G355" s="683">
        <f t="shared" si="35"/>
        <v>0</v>
      </c>
    </row>
    <row r="356" spans="1:7" s="9" customFormat="1" x14ac:dyDescent="0.25">
      <c r="A356" s="119"/>
      <c r="B356" s="310"/>
      <c r="C356" s="9">
        <f t="shared" ca="1" si="34"/>
        <v>1</v>
      </c>
      <c r="D356" s="368" t="s">
        <v>59</v>
      </c>
      <c r="E356" s="12" t="s">
        <v>50</v>
      </c>
      <c r="F356" s="683">
        <f t="shared" si="35"/>
        <v>96.956055323987059</v>
      </c>
      <c r="G356" s="683">
        <f t="shared" si="35"/>
        <v>0</v>
      </c>
    </row>
    <row r="357" spans="1:7" s="9" customFormat="1" x14ac:dyDescent="0.25">
      <c r="A357" s="119"/>
      <c r="B357" s="310"/>
      <c r="C357" s="9">
        <f t="shared" ca="1" si="34"/>
        <v>1</v>
      </c>
      <c r="D357" s="368" t="s">
        <v>25</v>
      </c>
      <c r="E357" s="12" t="s">
        <v>49</v>
      </c>
      <c r="F357" s="683">
        <f t="shared" si="35"/>
        <v>317.49163822898817</v>
      </c>
      <c r="G357" s="683">
        <f t="shared" si="35"/>
        <v>0</v>
      </c>
    </row>
    <row r="358" spans="1:7" s="9" customFormat="1" x14ac:dyDescent="0.25">
      <c r="A358" s="119"/>
      <c r="B358" s="310"/>
      <c r="C358" s="9">
        <f t="shared" ca="1" si="34"/>
        <v>1</v>
      </c>
      <c r="D358" s="368" t="s">
        <v>80</v>
      </c>
      <c r="E358" s="12" t="s">
        <v>47</v>
      </c>
      <c r="F358" s="683">
        <f t="shared" si="35"/>
        <v>1184.5477185692207</v>
      </c>
      <c r="G358" s="683">
        <f t="shared" si="35"/>
        <v>0</v>
      </c>
    </row>
    <row r="359" spans="1:7" s="9" customFormat="1" x14ac:dyDescent="0.25">
      <c r="A359" s="119"/>
      <c r="B359" s="310"/>
      <c r="C359" s="9">
        <f t="shared" ca="1" si="34"/>
        <v>1</v>
      </c>
      <c r="D359" s="368" t="s">
        <v>82</v>
      </c>
      <c r="E359" s="12" t="s">
        <v>77</v>
      </c>
      <c r="F359" s="683">
        <f t="shared" si="35"/>
        <v>802.67267704632479</v>
      </c>
      <c r="G359" s="683">
        <f t="shared" si="35"/>
        <v>0</v>
      </c>
    </row>
    <row r="360" spans="1:7" s="9" customFormat="1" x14ac:dyDescent="0.25">
      <c r="A360" s="119"/>
      <c r="B360" s="310"/>
      <c r="C360" s="9">
        <f t="shared" ca="1" si="34"/>
        <v>1</v>
      </c>
      <c r="D360" s="368" t="s">
        <v>84</v>
      </c>
      <c r="E360" s="12" t="s">
        <v>78</v>
      </c>
      <c r="F360" s="683">
        <f t="shared" ca="1" si="35"/>
        <v>57383.767630504211</v>
      </c>
      <c r="G360" s="683">
        <f t="shared" si="35"/>
        <v>0</v>
      </c>
    </row>
    <row r="361" spans="1:7" s="9" customFormat="1" x14ac:dyDescent="0.25">
      <c r="A361" s="119"/>
      <c r="B361" s="310"/>
      <c r="C361" s="9">
        <f t="shared" ca="1" si="34"/>
        <v>1</v>
      </c>
      <c r="D361" s="368" t="s">
        <v>86</v>
      </c>
      <c r="E361" s="12" t="s">
        <v>79</v>
      </c>
      <c r="F361" s="683">
        <f t="shared" si="35"/>
        <v>0</v>
      </c>
      <c r="G361" s="683">
        <f t="shared" si="35"/>
        <v>0</v>
      </c>
    </row>
    <row r="362" spans="1:7" s="9" customFormat="1" x14ac:dyDescent="0.25">
      <c r="A362" s="119"/>
      <c r="B362" s="310"/>
      <c r="C362" s="9">
        <f t="shared" ca="1" si="34"/>
        <v>1</v>
      </c>
      <c r="D362" s="368" t="s">
        <v>386</v>
      </c>
      <c r="E362" s="12" t="s">
        <v>81</v>
      </c>
      <c r="F362" s="683">
        <f t="shared" si="35"/>
        <v>0</v>
      </c>
      <c r="G362" s="683">
        <f t="shared" si="35"/>
        <v>0</v>
      </c>
    </row>
    <row r="363" spans="1:7" s="9" customFormat="1" ht="15.75" thickBot="1" x14ac:dyDescent="0.3">
      <c r="A363" s="119"/>
      <c r="B363" s="310"/>
      <c r="C363" s="9">
        <f t="shared" ca="1" si="34"/>
        <v>1</v>
      </c>
      <c r="D363" s="35" t="s">
        <v>22</v>
      </c>
      <c r="E363" s="12" t="s">
        <v>83</v>
      </c>
      <c r="F363" s="685">
        <f ca="1">SUBTOTAL(9,F349:F362)</f>
        <v>65733.793324332102</v>
      </c>
      <c r="G363" s="685">
        <f>SUBTOTAL(9,G349:G362)</f>
        <v>0</v>
      </c>
    </row>
    <row r="364" spans="1:7" s="9" customFormat="1" ht="15.75" hidden="1" thickBot="1" x14ac:dyDescent="0.3">
      <c r="A364" s="119"/>
      <c r="B364" s="310"/>
      <c r="E364" s="10"/>
      <c r="F364" s="648"/>
      <c r="G364" s="648"/>
    </row>
    <row r="365" spans="1:7" s="9" customFormat="1" ht="30" x14ac:dyDescent="0.25">
      <c r="A365" s="119"/>
      <c r="B365" s="310"/>
      <c r="C365" s="9">
        <f ca="1">IF(F382&gt;0,1,0)</f>
        <v>1</v>
      </c>
      <c r="D365" s="20" t="str">
        <f>+A22</f>
        <v>Genesee</v>
      </c>
      <c r="E365" s="19">
        <f>IFERROR(SUMIF(A:A,D365,B:B),0)</f>
        <v>1.7283040715096493E-3</v>
      </c>
      <c r="F365" s="652" t="s">
        <v>31</v>
      </c>
      <c r="G365" s="652" t="s">
        <v>32</v>
      </c>
    </row>
    <row r="366" spans="1:7" s="9" customFormat="1" x14ac:dyDescent="0.25">
      <c r="A366" s="119"/>
      <c r="B366" s="310"/>
      <c r="C366" s="9">
        <f ca="1">C365</f>
        <v>1</v>
      </c>
      <c r="D366" s="30"/>
      <c r="E366" s="31"/>
      <c r="F366" s="680" t="s">
        <v>54</v>
      </c>
      <c r="G366" s="680" t="s">
        <v>53</v>
      </c>
    </row>
    <row r="367" spans="1:7" s="9" customFormat="1" x14ac:dyDescent="0.25">
      <c r="A367" s="119"/>
      <c r="B367" s="310"/>
      <c r="C367" s="9">
        <f t="shared" ref="C367:C382" ca="1" si="36">C366</f>
        <v>1</v>
      </c>
      <c r="D367" s="32" t="s">
        <v>71</v>
      </c>
      <c r="E367" s="33"/>
      <c r="F367" s="681"/>
      <c r="G367" s="682"/>
    </row>
    <row r="368" spans="1:7" s="9" customFormat="1" x14ac:dyDescent="0.25">
      <c r="A368" s="119"/>
      <c r="B368" s="310"/>
      <c r="C368" s="9">
        <f t="shared" ca="1" si="36"/>
        <v>1</v>
      </c>
      <c r="D368" s="368" t="s">
        <v>72</v>
      </c>
      <c r="E368" s="12" t="s">
        <v>57</v>
      </c>
      <c r="F368" s="683">
        <f t="shared" ref="F368:G381" si="37">+$E$365*F6</f>
        <v>0</v>
      </c>
      <c r="G368" s="683">
        <f t="shared" si="37"/>
        <v>0</v>
      </c>
    </row>
    <row r="369" spans="1:7" s="9" customFormat="1" x14ac:dyDescent="0.25">
      <c r="A369" s="119"/>
      <c r="B369" s="310"/>
      <c r="C369" s="9">
        <f t="shared" ca="1" si="36"/>
        <v>1</v>
      </c>
      <c r="D369" s="368" t="s">
        <v>73</v>
      </c>
      <c r="E369" s="12" t="s">
        <v>56</v>
      </c>
      <c r="F369" s="683">
        <f t="shared" si="37"/>
        <v>757.22104544544356</v>
      </c>
      <c r="G369" s="683">
        <f t="shared" si="37"/>
        <v>0</v>
      </c>
    </row>
    <row r="370" spans="1:7" s="9" customFormat="1" x14ac:dyDescent="0.25">
      <c r="A370" s="119"/>
      <c r="B370" s="310"/>
      <c r="C370" s="9">
        <f t="shared" ca="1" si="36"/>
        <v>1</v>
      </c>
      <c r="D370" s="368" t="s">
        <v>74</v>
      </c>
      <c r="E370" s="12" t="s">
        <v>55</v>
      </c>
      <c r="F370" s="683">
        <f t="shared" si="37"/>
        <v>113.52006964883218</v>
      </c>
      <c r="G370" s="683">
        <f t="shared" si="37"/>
        <v>0</v>
      </c>
    </row>
    <row r="371" spans="1:7" s="9" customFormat="1" x14ac:dyDescent="0.25">
      <c r="A371" s="119"/>
      <c r="B371" s="310"/>
      <c r="C371" s="9">
        <f t="shared" ca="1" si="36"/>
        <v>1</v>
      </c>
      <c r="D371" s="368" t="s">
        <v>75</v>
      </c>
      <c r="E371" s="12" t="s">
        <v>54</v>
      </c>
      <c r="F371" s="683">
        <f t="shared" si="37"/>
        <v>232.01946190864084</v>
      </c>
      <c r="G371" s="683">
        <f t="shared" si="37"/>
        <v>0</v>
      </c>
    </row>
    <row r="372" spans="1:7" s="9" customFormat="1" x14ac:dyDescent="0.25">
      <c r="A372" s="119"/>
      <c r="B372" s="310"/>
      <c r="C372" s="9">
        <f t="shared" ca="1" si="36"/>
        <v>1</v>
      </c>
      <c r="D372" s="34" t="s">
        <v>467</v>
      </c>
      <c r="E372" s="12" t="s">
        <v>53</v>
      </c>
      <c r="F372" s="683">
        <f t="shared" si="37"/>
        <v>1111.0167278772151</v>
      </c>
      <c r="G372" s="683">
        <f t="shared" si="37"/>
        <v>0</v>
      </c>
    </row>
    <row r="373" spans="1:7" s="9" customFormat="1" x14ac:dyDescent="0.25">
      <c r="A373" s="119"/>
      <c r="B373" s="310"/>
      <c r="C373" s="9">
        <f t="shared" ca="1" si="36"/>
        <v>1</v>
      </c>
      <c r="D373" s="34" t="s">
        <v>76</v>
      </c>
      <c r="E373" s="12" t="s">
        <v>52</v>
      </c>
      <c r="F373" s="683">
        <f t="shared" si="37"/>
        <v>254.03140829427434</v>
      </c>
      <c r="G373" s="683">
        <f t="shared" si="37"/>
        <v>0</v>
      </c>
    </row>
    <row r="374" spans="1:7" s="9" customFormat="1" x14ac:dyDescent="0.25">
      <c r="A374" s="119"/>
      <c r="B374" s="310"/>
      <c r="C374" s="9">
        <f t="shared" ca="1" si="36"/>
        <v>1</v>
      </c>
      <c r="D374" s="34" t="s">
        <v>468</v>
      </c>
      <c r="E374" s="12" t="s">
        <v>51</v>
      </c>
      <c r="F374" s="683">
        <f t="shared" si="37"/>
        <v>0</v>
      </c>
      <c r="G374" s="683">
        <f t="shared" si="37"/>
        <v>0</v>
      </c>
    </row>
    <row r="375" spans="1:7" s="9" customFormat="1" x14ac:dyDescent="0.25">
      <c r="A375" s="119"/>
      <c r="B375" s="310"/>
      <c r="C375" s="9">
        <f t="shared" ca="1" si="36"/>
        <v>1</v>
      </c>
      <c r="D375" s="368" t="s">
        <v>59</v>
      </c>
      <c r="E375" s="12" t="s">
        <v>50</v>
      </c>
      <c r="F375" s="683">
        <f t="shared" si="37"/>
        <v>40.224380245083907</v>
      </c>
      <c r="G375" s="683">
        <f t="shared" si="37"/>
        <v>0</v>
      </c>
    </row>
    <row r="376" spans="1:7" s="9" customFormat="1" x14ac:dyDescent="0.25">
      <c r="A376" s="119"/>
      <c r="B376" s="310"/>
      <c r="C376" s="9">
        <f t="shared" ca="1" si="36"/>
        <v>1</v>
      </c>
      <c r="D376" s="368" t="s">
        <v>25</v>
      </c>
      <c r="E376" s="12" t="s">
        <v>49</v>
      </c>
      <c r="F376" s="683">
        <f t="shared" si="37"/>
        <v>131.71848151291175</v>
      </c>
      <c r="G376" s="683">
        <f t="shared" si="37"/>
        <v>0</v>
      </c>
    </row>
    <row r="377" spans="1:7" s="9" customFormat="1" x14ac:dyDescent="0.25">
      <c r="A377" s="119"/>
      <c r="B377" s="310"/>
      <c r="C377" s="9">
        <f t="shared" ca="1" si="36"/>
        <v>1</v>
      </c>
      <c r="D377" s="368" t="s">
        <v>80</v>
      </c>
      <c r="E377" s="12" t="s">
        <v>47</v>
      </c>
      <c r="F377" s="683">
        <f t="shared" si="37"/>
        <v>491.43601903930664</v>
      </c>
      <c r="G377" s="683">
        <f t="shared" si="37"/>
        <v>0</v>
      </c>
    </row>
    <row r="378" spans="1:7" s="9" customFormat="1" x14ac:dyDescent="0.25">
      <c r="A378" s="119"/>
      <c r="B378" s="310"/>
      <c r="C378" s="9">
        <f t="shared" ca="1" si="36"/>
        <v>1</v>
      </c>
      <c r="D378" s="368" t="s">
        <v>82</v>
      </c>
      <c r="E378" s="12" t="s">
        <v>77</v>
      </c>
      <c r="F378" s="683">
        <f t="shared" si="37"/>
        <v>333.00664786702549</v>
      </c>
      <c r="G378" s="683">
        <f t="shared" si="37"/>
        <v>0</v>
      </c>
    </row>
    <row r="379" spans="1:7" s="9" customFormat="1" x14ac:dyDescent="0.25">
      <c r="A379" s="119"/>
      <c r="B379" s="310"/>
      <c r="C379" s="9">
        <f t="shared" ca="1" si="36"/>
        <v>1</v>
      </c>
      <c r="D379" s="368" t="s">
        <v>84</v>
      </c>
      <c r="E379" s="12" t="s">
        <v>78</v>
      </c>
      <c r="F379" s="683">
        <f t="shared" ca="1" si="37"/>
        <v>23806.934815487286</v>
      </c>
      <c r="G379" s="683">
        <f t="shared" si="37"/>
        <v>0</v>
      </c>
    </row>
    <row r="380" spans="1:7" s="9" customFormat="1" x14ac:dyDescent="0.25">
      <c r="A380" s="119"/>
      <c r="B380" s="310"/>
      <c r="C380" s="9">
        <f t="shared" ca="1" si="36"/>
        <v>1</v>
      </c>
      <c r="D380" s="368" t="s">
        <v>86</v>
      </c>
      <c r="E380" s="12" t="s">
        <v>79</v>
      </c>
      <c r="F380" s="683">
        <f t="shared" si="37"/>
        <v>0</v>
      </c>
      <c r="G380" s="683">
        <f t="shared" si="37"/>
        <v>0</v>
      </c>
    </row>
    <row r="381" spans="1:7" s="9" customFormat="1" x14ac:dyDescent="0.25">
      <c r="A381" s="119"/>
      <c r="B381" s="310"/>
      <c r="C381" s="9">
        <f t="shared" ca="1" si="36"/>
        <v>1</v>
      </c>
      <c r="D381" s="368" t="s">
        <v>386</v>
      </c>
      <c r="E381" s="12" t="s">
        <v>81</v>
      </c>
      <c r="F381" s="683">
        <f t="shared" si="37"/>
        <v>0</v>
      </c>
      <c r="G381" s="683">
        <f t="shared" si="37"/>
        <v>0</v>
      </c>
    </row>
    <row r="382" spans="1:7" s="9" customFormat="1" ht="15.75" thickBot="1" x14ac:dyDescent="0.3">
      <c r="A382" s="119"/>
      <c r="B382" s="310"/>
      <c r="C382" s="9">
        <f t="shared" ca="1" si="36"/>
        <v>1</v>
      </c>
      <c r="D382" s="35" t="s">
        <v>22</v>
      </c>
      <c r="E382" s="12" t="s">
        <v>83</v>
      </c>
      <c r="F382" s="685">
        <f ca="1">SUBTOTAL(9,F368:F381)</f>
        <v>27271.129057326019</v>
      </c>
      <c r="G382" s="685">
        <f>SUBTOTAL(9,G368:G381)</f>
        <v>0</v>
      </c>
    </row>
    <row r="383" spans="1:7" s="9" customFormat="1" ht="15.75" hidden="1" thickBot="1" x14ac:dyDescent="0.3">
      <c r="A383" s="119"/>
      <c r="B383" s="310"/>
      <c r="E383" s="10"/>
      <c r="F383" s="648"/>
      <c r="G383" s="648"/>
    </row>
    <row r="384" spans="1:7" s="9" customFormat="1" ht="30" x14ac:dyDescent="0.25">
      <c r="A384" s="119"/>
      <c r="B384" s="310"/>
      <c r="C384" s="9">
        <f ca="1">IF(F401&gt;0,1,0)</f>
        <v>1</v>
      </c>
      <c r="D384" s="20" t="str">
        <f>+A23</f>
        <v>Greene</v>
      </c>
      <c r="E384" s="19">
        <f>IFERROR(SUMIF(A:A,D384,B:B),0)</f>
        <v>1.8330419841601578E-3</v>
      </c>
      <c r="F384" s="652" t="s">
        <v>31</v>
      </c>
      <c r="G384" s="652" t="s">
        <v>32</v>
      </c>
    </row>
    <row r="385" spans="1:7" s="9" customFormat="1" x14ac:dyDescent="0.25">
      <c r="A385" s="119"/>
      <c r="B385" s="310"/>
      <c r="C385" s="9">
        <f ca="1">C384</f>
        <v>1</v>
      </c>
      <c r="D385" s="30"/>
      <c r="E385" s="31"/>
      <c r="F385" s="680" t="s">
        <v>54</v>
      </c>
      <c r="G385" s="680" t="s">
        <v>53</v>
      </c>
    </row>
    <row r="386" spans="1:7" s="9" customFormat="1" x14ac:dyDescent="0.25">
      <c r="A386" s="119"/>
      <c r="B386" s="310"/>
      <c r="C386" s="9">
        <f t="shared" ref="C386:C401" ca="1" si="38">C385</f>
        <v>1</v>
      </c>
      <c r="D386" s="32" t="s">
        <v>71</v>
      </c>
      <c r="E386" s="33"/>
      <c r="F386" s="681"/>
      <c r="G386" s="682"/>
    </row>
    <row r="387" spans="1:7" s="9" customFormat="1" x14ac:dyDescent="0.25">
      <c r="A387" s="119"/>
      <c r="B387" s="310"/>
      <c r="C387" s="9">
        <f t="shared" ca="1" si="38"/>
        <v>1</v>
      </c>
      <c r="D387" s="368" t="s">
        <v>72</v>
      </c>
      <c r="E387" s="12" t="s">
        <v>57</v>
      </c>
      <c r="F387" s="683">
        <f t="shared" ref="F387:G387" si="39">+$E384*F$6</f>
        <v>0</v>
      </c>
      <c r="G387" s="683">
        <f t="shared" si="39"/>
        <v>0</v>
      </c>
    </row>
    <row r="388" spans="1:7" s="9" customFormat="1" x14ac:dyDescent="0.25">
      <c r="A388" s="119"/>
      <c r="B388" s="310"/>
      <c r="C388" s="9">
        <f t="shared" ca="1" si="38"/>
        <v>1</v>
      </c>
      <c r="D388" s="368" t="s">
        <v>73</v>
      </c>
      <c r="E388" s="12" t="s">
        <v>56</v>
      </c>
      <c r="F388" s="683">
        <f t="shared" ref="F388:G388" si="40">+$E384*F$7</f>
        <v>803.10981757899276</v>
      </c>
      <c r="G388" s="683">
        <f t="shared" si="40"/>
        <v>0</v>
      </c>
    </row>
    <row r="389" spans="1:7" s="9" customFormat="1" x14ac:dyDescent="0.25">
      <c r="A389" s="119"/>
      <c r="B389" s="310"/>
      <c r="C389" s="9">
        <f t="shared" ca="1" si="38"/>
        <v>1</v>
      </c>
      <c r="D389" s="368" t="s">
        <v>74</v>
      </c>
      <c r="E389" s="12" t="s">
        <v>55</v>
      </c>
      <c r="F389" s="683">
        <f t="shared" ref="F389:G389" si="41">+$E384*F$8</f>
        <v>120.3995622884424</v>
      </c>
      <c r="G389" s="683">
        <f t="shared" si="41"/>
        <v>0</v>
      </c>
    </row>
    <row r="390" spans="1:7" s="9" customFormat="1" x14ac:dyDescent="0.25">
      <c r="A390" s="119"/>
      <c r="B390" s="310"/>
      <c r="C390" s="9">
        <f t="shared" ca="1" si="38"/>
        <v>1</v>
      </c>
      <c r="D390" s="368" t="s">
        <v>75</v>
      </c>
      <c r="E390" s="12" t="s">
        <v>54</v>
      </c>
      <c r="F390" s="683">
        <f t="shared" ref="F390:G390" si="42">+$E384*F$9</f>
        <v>246.08020187633551</v>
      </c>
      <c r="G390" s="683">
        <f t="shared" si="42"/>
        <v>0</v>
      </c>
    </row>
    <row r="391" spans="1:7" s="9" customFormat="1" x14ac:dyDescent="0.25">
      <c r="A391" s="119"/>
      <c r="B391" s="310"/>
      <c r="C391" s="9">
        <f t="shared" ca="1" si="38"/>
        <v>1</v>
      </c>
      <c r="D391" s="34" t="s">
        <v>467</v>
      </c>
      <c r="E391" s="12" t="s">
        <v>53</v>
      </c>
      <c r="F391" s="683">
        <f t="shared" ref="F391:G391" si="43">+$E384*F$10</f>
        <v>1178.3460681917431</v>
      </c>
      <c r="G391" s="683">
        <f t="shared" si="43"/>
        <v>0</v>
      </c>
    </row>
    <row r="392" spans="1:7" s="9" customFormat="1" x14ac:dyDescent="0.25">
      <c r="A392" s="119"/>
      <c r="B392" s="310"/>
      <c r="C392" s="9">
        <f t="shared" ca="1" si="38"/>
        <v>1</v>
      </c>
      <c r="D392" s="34" t="s">
        <v>76</v>
      </c>
      <c r="E392" s="12" t="s">
        <v>52</v>
      </c>
      <c r="F392" s="683">
        <f>+$E384*F$11</f>
        <v>269.42610642119064</v>
      </c>
      <c r="G392" s="683">
        <f>+$E384*G$11</f>
        <v>0</v>
      </c>
    </row>
    <row r="393" spans="1:7" s="9" customFormat="1" x14ac:dyDescent="0.25">
      <c r="A393" s="119"/>
      <c r="B393" s="310"/>
      <c r="C393" s="9">
        <f t="shared" ca="1" si="38"/>
        <v>1</v>
      </c>
      <c r="D393" s="34" t="s">
        <v>468</v>
      </c>
      <c r="E393" s="12" t="s">
        <v>51</v>
      </c>
      <c r="F393" s="683">
        <f>+$E384*F$12</f>
        <v>0</v>
      </c>
      <c r="G393" s="683">
        <f>+$E384*G$12</f>
        <v>0</v>
      </c>
    </row>
    <row r="394" spans="1:7" s="9" customFormat="1" x14ac:dyDescent="0.25">
      <c r="A394" s="119"/>
      <c r="B394" s="310"/>
      <c r="C394" s="9">
        <f t="shared" ca="1" si="38"/>
        <v>1</v>
      </c>
      <c r="D394" s="368" t="s">
        <v>59</v>
      </c>
      <c r="E394" s="12" t="s">
        <v>50</v>
      </c>
      <c r="F394" s="683">
        <f>+$E384*F$13</f>
        <v>42.662040199706603</v>
      </c>
      <c r="G394" s="683">
        <f>+$E384*G$13</f>
        <v>0</v>
      </c>
    </row>
    <row r="395" spans="1:7" s="9" customFormat="1" x14ac:dyDescent="0.25">
      <c r="A395" s="119"/>
      <c r="B395" s="310"/>
      <c r="C395" s="9">
        <f t="shared" ca="1" si="38"/>
        <v>1</v>
      </c>
      <c r="D395" s="368" t="s">
        <v>25</v>
      </c>
      <c r="E395" s="12" t="s">
        <v>49</v>
      </c>
      <c r="F395" s="683">
        <f>+$E384*F$14</f>
        <v>139.70082619321238</v>
      </c>
      <c r="G395" s="683">
        <f>+$E384*G$14</f>
        <v>0</v>
      </c>
    </row>
    <row r="396" spans="1:7" s="9" customFormat="1" x14ac:dyDescent="0.25">
      <c r="A396" s="119"/>
      <c r="B396" s="310"/>
      <c r="C396" s="9">
        <f t="shared" ca="1" si="38"/>
        <v>1</v>
      </c>
      <c r="D396" s="368" t="s">
        <v>80</v>
      </c>
      <c r="E396" s="12" t="s">
        <v>47</v>
      </c>
      <c r="F396" s="683">
        <f>+$E384*F$15</f>
        <v>521.21780552233702</v>
      </c>
      <c r="G396" s="683">
        <f>+$E384*G$15</f>
        <v>0</v>
      </c>
    </row>
    <row r="397" spans="1:7" s="9" customFormat="1" x14ac:dyDescent="0.25">
      <c r="A397" s="119"/>
      <c r="B397" s="310"/>
      <c r="C397" s="9">
        <f t="shared" ca="1" si="38"/>
        <v>1</v>
      </c>
      <c r="D397" s="368" t="s">
        <v>82</v>
      </c>
      <c r="E397" s="12" t="s">
        <v>77</v>
      </c>
      <c r="F397" s="683">
        <f>+$E384*F$16</f>
        <v>353.18736824562723</v>
      </c>
      <c r="G397" s="683">
        <f>+$E384*G$16</f>
        <v>0</v>
      </c>
    </row>
    <row r="398" spans="1:7" s="9" customFormat="1" x14ac:dyDescent="0.25">
      <c r="A398" s="119"/>
      <c r="B398" s="310"/>
      <c r="C398" s="9">
        <f t="shared" ca="1" si="38"/>
        <v>1</v>
      </c>
      <c r="D398" s="368" t="s">
        <v>84</v>
      </c>
      <c r="E398" s="12" t="s">
        <v>78</v>
      </c>
      <c r="F398" s="683">
        <f ca="1">+$E384*F$17</f>
        <v>25249.672063107624</v>
      </c>
      <c r="G398" s="683">
        <f>+$E384*G$17</f>
        <v>0</v>
      </c>
    </row>
    <row r="399" spans="1:7" s="9" customFormat="1" x14ac:dyDescent="0.25">
      <c r="A399" s="119"/>
      <c r="B399" s="310"/>
      <c r="C399" s="9">
        <f t="shared" ca="1" si="38"/>
        <v>1</v>
      </c>
      <c r="D399" s="368" t="s">
        <v>86</v>
      </c>
      <c r="E399" s="12" t="s">
        <v>79</v>
      </c>
      <c r="F399" s="683">
        <f>+$E$384*F$18</f>
        <v>0</v>
      </c>
      <c r="G399" s="683">
        <f>+$E$384*G$18</f>
        <v>0</v>
      </c>
    </row>
    <row r="400" spans="1:7" s="9" customFormat="1" x14ac:dyDescent="0.25">
      <c r="A400" s="119"/>
      <c r="B400" s="310"/>
      <c r="C400" s="9">
        <f t="shared" ca="1" si="38"/>
        <v>1</v>
      </c>
      <c r="D400" s="368" t="s">
        <v>386</v>
      </c>
      <c r="E400" s="12" t="s">
        <v>81</v>
      </c>
      <c r="F400" s="683">
        <f>+$E$384*F$18</f>
        <v>0</v>
      </c>
      <c r="G400" s="683">
        <f>+$E$384*G$18</f>
        <v>0</v>
      </c>
    </row>
    <row r="401" spans="1:7" s="9" customFormat="1" ht="15.75" thickBot="1" x14ac:dyDescent="0.3">
      <c r="A401" s="119"/>
      <c r="B401" s="310"/>
      <c r="C401" s="9">
        <f t="shared" ca="1" si="38"/>
        <v>1</v>
      </c>
      <c r="D401" s="35" t="s">
        <v>22</v>
      </c>
      <c r="E401" s="12" t="s">
        <v>83</v>
      </c>
      <c r="F401" s="685">
        <f ca="1">SUBTOTAL(9,F387:F400)</f>
        <v>28923.801859625211</v>
      </c>
      <c r="G401" s="685">
        <f>SUBTOTAL(9,G387:G400)</f>
        <v>0</v>
      </c>
    </row>
    <row r="402" spans="1:7" s="9" customFormat="1" ht="15.75" hidden="1" thickBot="1" x14ac:dyDescent="0.3">
      <c r="A402" s="119"/>
      <c r="B402" s="310"/>
      <c r="D402" s="326"/>
      <c r="E402" s="327"/>
      <c r="F402" s="686"/>
      <c r="G402" s="686"/>
    </row>
    <row r="403" spans="1:7" s="9" customFormat="1" ht="30" x14ac:dyDescent="0.25">
      <c r="A403" s="119"/>
      <c r="B403" s="310"/>
      <c r="C403" s="9">
        <f ca="1">IF(F420&gt;0,1,0)</f>
        <v>1</v>
      </c>
      <c r="D403" s="20" t="str">
        <f>+A24</f>
        <v>Hamilton</v>
      </c>
      <c r="E403" s="19">
        <f>IFERROR(SUMIF(A:A,D403,B:B),0)</f>
        <v>1.0782221928070756E-4</v>
      </c>
      <c r="F403" s="652" t="s">
        <v>31</v>
      </c>
      <c r="G403" s="652" t="s">
        <v>32</v>
      </c>
    </row>
    <row r="404" spans="1:7" s="9" customFormat="1" x14ac:dyDescent="0.25">
      <c r="A404" s="119"/>
      <c r="B404" s="310"/>
      <c r="C404" s="9">
        <f ca="1">C403</f>
        <v>1</v>
      </c>
      <c r="D404" s="30"/>
      <c r="E404" s="31"/>
      <c r="F404" s="680" t="s">
        <v>54</v>
      </c>
      <c r="G404" s="680" t="s">
        <v>53</v>
      </c>
    </row>
    <row r="405" spans="1:7" s="9" customFormat="1" x14ac:dyDescent="0.25">
      <c r="A405" s="119"/>
      <c r="B405" s="310"/>
      <c r="C405" s="9">
        <f t="shared" ref="C405:C420" ca="1" si="44">C404</f>
        <v>1</v>
      </c>
      <c r="D405" s="32" t="s">
        <v>71</v>
      </c>
      <c r="E405" s="33"/>
      <c r="F405" s="681"/>
      <c r="G405" s="682"/>
    </row>
    <row r="406" spans="1:7" s="9" customFormat="1" x14ac:dyDescent="0.25">
      <c r="A406" s="119"/>
      <c r="B406" s="310"/>
      <c r="C406" s="9">
        <f t="shared" ca="1" si="44"/>
        <v>1</v>
      </c>
      <c r="D406" s="368" t="s">
        <v>72</v>
      </c>
      <c r="E406" s="12" t="s">
        <v>57</v>
      </c>
      <c r="F406" s="683">
        <f t="shared" ref="F406:G406" si="45">+$E403*F$6</f>
        <v>0</v>
      </c>
      <c r="G406" s="683">
        <f t="shared" si="45"/>
        <v>0</v>
      </c>
    </row>
    <row r="407" spans="1:7" s="9" customFormat="1" x14ac:dyDescent="0.25">
      <c r="A407" s="119"/>
      <c r="B407" s="310"/>
      <c r="C407" s="9">
        <f t="shared" ca="1" si="44"/>
        <v>1</v>
      </c>
      <c r="D407" s="368" t="s">
        <v>73</v>
      </c>
      <c r="E407" s="12" t="s">
        <v>56</v>
      </c>
      <c r="F407" s="683">
        <f t="shared" ref="F407:G407" si="46">+$E403*F$7</f>
        <v>47.240097938708935</v>
      </c>
      <c r="G407" s="683">
        <f t="shared" si="46"/>
        <v>0</v>
      </c>
    </row>
    <row r="408" spans="1:7" s="9" customFormat="1" x14ac:dyDescent="0.25">
      <c r="A408" s="119"/>
      <c r="B408" s="310"/>
      <c r="C408" s="9">
        <f t="shared" ca="1" si="44"/>
        <v>1</v>
      </c>
      <c r="D408" s="368" t="s">
        <v>74</v>
      </c>
      <c r="E408" s="12" t="s">
        <v>55</v>
      </c>
      <c r="F408" s="683">
        <f t="shared" ref="F408:G408" si="47">+$E403*F$8</f>
        <v>7.082078925930043</v>
      </c>
      <c r="G408" s="683">
        <f t="shared" si="47"/>
        <v>0</v>
      </c>
    </row>
    <row r="409" spans="1:7" s="9" customFormat="1" x14ac:dyDescent="0.25">
      <c r="A409" s="119"/>
      <c r="B409" s="310"/>
      <c r="C409" s="9">
        <f t="shared" ca="1" si="44"/>
        <v>1</v>
      </c>
      <c r="D409" s="368" t="s">
        <v>75</v>
      </c>
      <c r="E409" s="12" t="s">
        <v>54</v>
      </c>
      <c r="F409" s="683">
        <f t="shared" ref="F409:G409" si="48">+$E403*F$9</f>
        <v>14.474798567970378</v>
      </c>
      <c r="G409" s="683">
        <f t="shared" si="48"/>
        <v>0</v>
      </c>
    </row>
    <row r="410" spans="1:7" s="9" customFormat="1" x14ac:dyDescent="0.25">
      <c r="A410" s="119"/>
      <c r="B410" s="310"/>
      <c r="C410" s="9">
        <f t="shared" ca="1" si="44"/>
        <v>1</v>
      </c>
      <c r="D410" s="34" t="s">
        <v>467</v>
      </c>
      <c r="E410" s="12" t="s">
        <v>53</v>
      </c>
      <c r="F410" s="683">
        <f t="shared" ref="F410:G410" si="49">+$E403*F$10</f>
        <v>69.312044814587765</v>
      </c>
      <c r="G410" s="683">
        <f t="shared" si="49"/>
        <v>0</v>
      </c>
    </row>
    <row r="411" spans="1:7" s="9" customFormat="1" x14ac:dyDescent="0.25">
      <c r="A411" s="119"/>
      <c r="B411" s="310"/>
      <c r="C411" s="9">
        <f t="shared" ca="1" si="44"/>
        <v>1</v>
      </c>
      <c r="D411" s="34" t="s">
        <v>76</v>
      </c>
      <c r="E411" s="12" t="s">
        <v>52</v>
      </c>
      <c r="F411" s="683">
        <f>+$E403*F$11</f>
        <v>15.848038930653692</v>
      </c>
      <c r="G411" s="683">
        <f>+$E403*G$11</f>
        <v>0</v>
      </c>
    </row>
    <row r="412" spans="1:7" s="9" customFormat="1" x14ac:dyDescent="0.25">
      <c r="A412" s="119"/>
      <c r="B412" s="310"/>
      <c r="C412" s="9">
        <f t="shared" ca="1" si="44"/>
        <v>1</v>
      </c>
      <c r="D412" s="34" t="s">
        <v>468</v>
      </c>
      <c r="E412" s="12" t="s">
        <v>51</v>
      </c>
      <c r="F412" s="683">
        <f>+$E403*F$12</f>
        <v>0</v>
      </c>
      <c r="G412" s="683">
        <f>+$E403*G$12</f>
        <v>0</v>
      </c>
    </row>
    <row r="413" spans="1:7" s="9" customFormat="1" x14ac:dyDescent="0.25">
      <c r="A413" s="119"/>
      <c r="B413" s="310"/>
      <c r="C413" s="9">
        <f t="shared" ca="1" si="44"/>
        <v>1</v>
      </c>
      <c r="D413" s="368" t="s">
        <v>59</v>
      </c>
      <c r="E413" s="12" t="s">
        <v>50</v>
      </c>
      <c r="F413" s="683">
        <f>+$E403*F$13</f>
        <v>2.5094438060471722</v>
      </c>
      <c r="G413" s="683">
        <f>+$E403*G$13</f>
        <v>0</v>
      </c>
    </row>
    <row r="414" spans="1:7" s="9" customFormat="1" x14ac:dyDescent="0.25">
      <c r="A414" s="119"/>
      <c r="B414" s="310"/>
      <c r="C414" s="9">
        <f t="shared" ca="1" si="44"/>
        <v>1</v>
      </c>
      <c r="D414" s="368" t="s">
        <v>25</v>
      </c>
      <c r="E414" s="12" t="s">
        <v>49</v>
      </c>
      <c r="F414" s="683">
        <f>+$E403*F$14</f>
        <v>8.2174075911315736</v>
      </c>
      <c r="G414" s="683">
        <f>+$E403*G$14</f>
        <v>0</v>
      </c>
    </row>
    <row r="415" spans="1:7" s="9" customFormat="1" x14ac:dyDescent="0.25">
      <c r="A415" s="119"/>
      <c r="B415" s="310"/>
      <c r="C415" s="9">
        <f t="shared" ca="1" si="44"/>
        <v>1</v>
      </c>
      <c r="D415" s="368" t="s">
        <v>80</v>
      </c>
      <c r="E415" s="12" t="s">
        <v>47</v>
      </c>
      <c r="F415" s="683">
        <f>+$E403*F$15</f>
        <v>30.658796146334407</v>
      </c>
      <c r="G415" s="683">
        <f>+$E403*G$15</f>
        <v>0</v>
      </c>
    </row>
    <row r="416" spans="1:7" s="9" customFormat="1" x14ac:dyDescent="0.25">
      <c r="A416" s="119"/>
      <c r="B416" s="310"/>
      <c r="C416" s="9">
        <f t="shared" ca="1" si="44"/>
        <v>1</v>
      </c>
      <c r="D416" s="368" t="s">
        <v>82</v>
      </c>
      <c r="E416" s="12" t="s">
        <v>77</v>
      </c>
      <c r="F416" s="683">
        <f>+$E403*F$16</f>
        <v>20.774999260916413</v>
      </c>
      <c r="G416" s="683">
        <f>+$E403*G$16</f>
        <v>0</v>
      </c>
    </row>
    <row r="417" spans="1:7" s="9" customFormat="1" x14ac:dyDescent="0.25">
      <c r="A417" s="119"/>
      <c r="B417" s="310"/>
      <c r="C417" s="9">
        <f t="shared" ca="1" si="44"/>
        <v>1</v>
      </c>
      <c r="D417" s="368" t="s">
        <v>84</v>
      </c>
      <c r="E417" s="12" t="s">
        <v>78</v>
      </c>
      <c r="F417" s="683">
        <f ca="1">+$E403*F$17</f>
        <v>1485.2227616606931</v>
      </c>
      <c r="G417" s="683">
        <f>+$E403*G$17</f>
        <v>0</v>
      </c>
    </row>
    <row r="418" spans="1:7" s="9" customFormat="1" x14ac:dyDescent="0.25">
      <c r="A418" s="119"/>
      <c r="B418" s="310"/>
      <c r="C418" s="9">
        <f t="shared" ca="1" si="44"/>
        <v>1</v>
      </c>
      <c r="D418" s="368" t="s">
        <v>86</v>
      </c>
      <c r="E418" s="12" t="s">
        <v>79</v>
      </c>
      <c r="F418" s="683">
        <f>+$E403*F$18</f>
        <v>0</v>
      </c>
      <c r="G418" s="683">
        <f>+$E403*G$18</f>
        <v>0</v>
      </c>
    </row>
    <row r="419" spans="1:7" s="9" customFormat="1" x14ac:dyDescent="0.25">
      <c r="A419" s="119"/>
      <c r="B419" s="310"/>
      <c r="C419" s="9">
        <f t="shared" ca="1" si="44"/>
        <v>1</v>
      </c>
      <c r="D419" s="368" t="s">
        <v>386</v>
      </c>
      <c r="E419" s="12" t="s">
        <v>81</v>
      </c>
      <c r="F419" s="683">
        <f>+$E403*F19</f>
        <v>0</v>
      </c>
      <c r="G419" s="683">
        <f>+$E403*G19</f>
        <v>0</v>
      </c>
    </row>
    <row r="420" spans="1:7" s="9" customFormat="1" ht="15.75" thickBot="1" x14ac:dyDescent="0.3">
      <c r="A420" s="119"/>
      <c r="B420" s="310"/>
      <c r="C420" s="9">
        <f t="shared" ca="1" si="44"/>
        <v>1</v>
      </c>
      <c r="D420" s="35" t="s">
        <v>22</v>
      </c>
      <c r="E420" s="12" t="s">
        <v>83</v>
      </c>
      <c r="F420" s="685">
        <f ca="1">SUBTOTAL(9,F406:F419)</f>
        <v>1701.3404676429734</v>
      </c>
      <c r="G420" s="685">
        <f>SUBTOTAL(9,G406:G419)</f>
        <v>0</v>
      </c>
    </row>
    <row r="421" spans="1:7" s="9" customFormat="1" ht="15.75" hidden="1" thickBot="1" x14ac:dyDescent="0.3">
      <c r="A421" s="119"/>
      <c r="B421" s="310"/>
      <c r="D421" s="326"/>
      <c r="E421" s="327"/>
      <c r="F421" s="686"/>
      <c r="G421" s="686"/>
    </row>
    <row r="422" spans="1:7" s="9" customFormat="1" ht="15.75" hidden="1" thickBot="1" x14ac:dyDescent="0.3">
      <c r="A422" s="119"/>
      <c r="B422" s="310"/>
      <c r="D422" s="326"/>
      <c r="E422" s="327"/>
      <c r="F422" s="686"/>
      <c r="G422" s="686"/>
    </row>
    <row r="423" spans="1:7" s="9" customFormat="1" ht="30" x14ac:dyDescent="0.25">
      <c r="A423" s="119"/>
      <c r="B423" s="310"/>
      <c r="C423" s="9">
        <f ca="1">IF(F440&gt;0,1,0)</f>
        <v>1</v>
      </c>
      <c r="D423" s="20" t="str">
        <f>+A25</f>
        <v>Herkimer</v>
      </c>
      <c r="E423" s="19">
        <f>IFERROR(SUMIF(A:A,D423,B:B),0)</f>
        <v>1.6613489150790787E-3</v>
      </c>
      <c r="F423" s="652" t="s">
        <v>31</v>
      </c>
      <c r="G423" s="652" t="s">
        <v>32</v>
      </c>
    </row>
    <row r="424" spans="1:7" s="9" customFormat="1" x14ac:dyDescent="0.25">
      <c r="A424" s="119"/>
      <c r="B424" s="310"/>
      <c r="C424" s="9">
        <f ca="1">C423</f>
        <v>1</v>
      </c>
      <c r="D424" s="30"/>
      <c r="E424" s="31"/>
      <c r="F424" s="680" t="s">
        <v>54</v>
      </c>
      <c r="G424" s="680" t="s">
        <v>53</v>
      </c>
    </row>
    <row r="425" spans="1:7" s="9" customFormat="1" x14ac:dyDescent="0.25">
      <c r="A425" s="119"/>
      <c r="B425" s="310"/>
      <c r="C425" s="9">
        <f t="shared" ref="C425:C440" ca="1" si="50">C424</f>
        <v>1</v>
      </c>
      <c r="D425" s="32" t="s">
        <v>71</v>
      </c>
      <c r="E425" s="33"/>
      <c r="F425" s="681"/>
      <c r="G425" s="682"/>
    </row>
    <row r="426" spans="1:7" s="9" customFormat="1" x14ac:dyDescent="0.25">
      <c r="A426" s="119"/>
      <c r="B426" s="310"/>
      <c r="C426" s="9">
        <f t="shared" ca="1" si="50"/>
        <v>1</v>
      </c>
      <c r="D426" s="368" t="s">
        <v>72</v>
      </c>
      <c r="E426" s="12" t="s">
        <v>57</v>
      </c>
      <c r="F426" s="683">
        <f t="shared" ref="F426:G426" si="51">+$E423*F$6</f>
        <v>0</v>
      </c>
      <c r="G426" s="683">
        <f t="shared" si="51"/>
        <v>0</v>
      </c>
    </row>
    <row r="427" spans="1:7" s="9" customFormat="1" x14ac:dyDescent="0.25">
      <c r="A427" s="119"/>
      <c r="B427" s="310"/>
      <c r="C427" s="9">
        <f t="shared" ca="1" si="50"/>
        <v>1</v>
      </c>
      <c r="D427" s="368" t="s">
        <v>73</v>
      </c>
      <c r="E427" s="12" t="s">
        <v>56</v>
      </c>
      <c r="F427" s="683">
        <f t="shared" ref="F427:G427" si="52">+$E423*F$7</f>
        <v>727.88601442510105</v>
      </c>
      <c r="G427" s="683">
        <f t="shared" si="52"/>
        <v>0</v>
      </c>
    </row>
    <row r="428" spans="1:7" s="9" customFormat="1" x14ac:dyDescent="0.25">
      <c r="A428" s="119"/>
      <c r="B428" s="310"/>
      <c r="C428" s="9">
        <f t="shared" ca="1" si="50"/>
        <v>1</v>
      </c>
      <c r="D428" s="368" t="s">
        <v>74</v>
      </c>
      <c r="E428" s="12" t="s">
        <v>55</v>
      </c>
      <c r="F428" s="683">
        <f t="shared" ref="F428:G428" si="53">+$E423*F$8</f>
        <v>109.12225901663962</v>
      </c>
      <c r="G428" s="683">
        <f t="shared" si="53"/>
        <v>0</v>
      </c>
    </row>
    <row r="429" spans="1:7" s="9" customFormat="1" x14ac:dyDescent="0.25">
      <c r="A429" s="119"/>
      <c r="B429" s="310"/>
      <c r="C429" s="9">
        <f t="shared" ca="1" si="50"/>
        <v>1</v>
      </c>
      <c r="D429" s="368" t="s">
        <v>75</v>
      </c>
      <c r="E429" s="12" t="s">
        <v>54</v>
      </c>
      <c r="F429" s="683">
        <f t="shared" ref="F429:G429" si="54">+$E423*F$9</f>
        <v>223.0309397943231</v>
      </c>
      <c r="G429" s="683">
        <f t="shared" si="54"/>
        <v>0</v>
      </c>
    </row>
    <row r="430" spans="1:7" s="9" customFormat="1" x14ac:dyDescent="0.25">
      <c r="A430" s="119"/>
      <c r="B430" s="310"/>
      <c r="C430" s="9">
        <f t="shared" ca="1" si="50"/>
        <v>1</v>
      </c>
      <c r="D430" s="34" t="s">
        <v>467</v>
      </c>
      <c r="E430" s="12" t="s">
        <v>53</v>
      </c>
      <c r="F430" s="683">
        <f t="shared" ref="F430:G430" si="55">+$E423*F$10</f>
        <v>1067.9755176884187</v>
      </c>
      <c r="G430" s="683">
        <f t="shared" si="55"/>
        <v>0</v>
      </c>
    </row>
    <row r="431" spans="1:7" s="9" customFormat="1" x14ac:dyDescent="0.25">
      <c r="A431" s="119"/>
      <c r="B431" s="310"/>
      <c r="C431" s="9">
        <f t="shared" ca="1" si="50"/>
        <v>1</v>
      </c>
      <c r="D431" s="34" t="s">
        <v>76</v>
      </c>
      <c r="E431" s="12" t="s">
        <v>52</v>
      </c>
      <c r="F431" s="683">
        <f>+$E423*F$11</f>
        <v>244.19013501314134</v>
      </c>
      <c r="G431" s="683">
        <f>+$E423*G$11</f>
        <v>0</v>
      </c>
    </row>
    <row r="432" spans="1:7" s="9" customFormat="1" x14ac:dyDescent="0.25">
      <c r="A432" s="119"/>
      <c r="B432" s="310"/>
      <c r="C432" s="9">
        <f t="shared" ca="1" si="50"/>
        <v>1</v>
      </c>
      <c r="D432" s="34" t="s">
        <v>468</v>
      </c>
      <c r="E432" s="12" t="s">
        <v>51</v>
      </c>
      <c r="F432" s="683">
        <f>+$E423*F$12</f>
        <v>0</v>
      </c>
      <c r="G432" s="683">
        <f>+$E423*G$12</f>
        <v>0</v>
      </c>
    </row>
    <row r="433" spans="1:7" s="9" customFormat="1" x14ac:dyDescent="0.25">
      <c r="A433" s="119"/>
      <c r="B433" s="310"/>
      <c r="C433" s="9">
        <f t="shared" ca="1" si="50"/>
        <v>1</v>
      </c>
      <c r="D433" s="368" t="s">
        <v>59</v>
      </c>
      <c r="E433" s="12" t="s">
        <v>50</v>
      </c>
      <c r="F433" s="683">
        <f>+$E423*F$13</f>
        <v>38.666072470410988</v>
      </c>
      <c r="G433" s="683">
        <f>+$E423*G$13</f>
        <v>0</v>
      </c>
    </row>
    <row r="434" spans="1:7" s="9" customFormat="1" x14ac:dyDescent="0.25">
      <c r="A434" s="119"/>
      <c r="B434" s="310"/>
      <c r="C434" s="9">
        <f t="shared" ca="1" si="50"/>
        <v>1</v>
      </c>
      <c r="D434" s="368" t="s">
        <v>25</v>
      </c>
      <c r="E434" s="12" t="s">
        <v>49</v>
      </c>
      <c r="F434" s="683">
        <f>+$E423*F$14</f>
        <v>126.61565749029012</v>
      </c>
      <c r="G434" s="683">
        <f>+$E423*G$14</f>
        <v>0</v>
      </c>
    </row>
    <row r="435" spans="1:7" s="9" customFormat="1" x14ac:dyDescent="0.25">
      <c r="A435" s="119"/>
      <c r="B435" s="310"/>
      <c r="C435" s="9">
        <f t="shared" ca="1" si="50"/>
        <v>1</v>
      </c>
      <c r="D435" s="368" t="s">
        <v>80</v>
      </c>
      <c r="E435" s="12" t="s">
        <v>47</v>
      </c>
      <c r="F435" s="683">
        <f>+$E423*F$15</f>
        <v>472.39760093174971</v>
      </c>
      <c r="G435" s="683">
        <f>+$E423*G$15</f>
        <v>0</v>
      </c>
    </row>
    <row r="436" spans="1:7" s="9" customFormat="1" x14ac:dyDescent="0.25">
      <c r="A436" s="119"/>
      <c r="B436" s="310"/>
      <c r="C436" s="9">
        <f t="shared" ca="1" si="50"/>
        <v>1</v>
      </c>
      <c r="D436" s="368" t="s">
        <v>82</v>
      </c>
      <c r="E436" s="12" t="s">
        <v>77</v>
      </c>
      <c r="F436" s="683">
        <f>+$E423*F$16</f>
        <v>320.10584379677823</v>
      </c>
      <c r="G436" s="683">
        <f>+$E423*G$16</f>
        <v>0</v>
      </c>
    </row>
    <row r="437" spans="1:7" s="9" customFormat="1" x14ac:dyDescent="0.25">
      <c r="A437" s="119"/>
      <c r="B437" s="310"/>
      <c r="C437" s="9">
        <f t="shared" ca="1" si="50"/>
        <v>1</v>
      </c>
      <c r="D437" s="368" t="s">
        <v>84</v>
      </c>
      <c r="E437" s="12" t="s">
        <v>78</v>
      </c>
      <c r="F437" s="683">
        <f ca="1">+$E423*F$17</f>
        <v>22884.645114861276</v>
      </c>
      <c r="G437" s="683">
        <f>+$E423*G$17</f>
        <v>0</v>
      </c>
    </row>
    <row r="438" spans="1:7" s="9" customFormat="1" x14ac:dyDescent="0.25">
      <c r="A438" s="119"/>
      <c r="B438" s="310"/>
      <c r="C438" s="9">
        <f t="shared" ca="1" si="50"/>
        <v>1</v>
      </c>
      <c r="D438" s="368" t="s">
        <v>86</v>
      </c>
      <c r="E438" s="12" t="s">
        <v>79</v>
      </c>
      <c r="F438" s="683">
        <f>+$E423*F$18</f>
        <v>0</v>
      </c>
      <c r="G438" s="683">
        <f>+$E423*G$18</f>
        <v>0</v>
      </c>
    </row>
    <row r="439" spans="1:7" s="9" customFormat="1" x14ac:dyDescent="0.25">
      <c r="A439" s="119"/>
      <c r="B439" s="310"/>
      <c r="C439" s="9">
        <f t="shared" ca="1" si="50"/>
        <v>1</v>
      </c>
      <c r="D439" s="368" t="s">
        <v>386</v>
      </c>
      <c r="E439" s="12" t="s">
        <v>81</v>
      </c>
      <c r="F439" s="683">
        <f>+$E423*F19</f>
        <v>0</v>
      </c>
      <c r="G439" s="683">
        <f>+$E423*G19</f>
        <v>0</v>
      </c>
    </row>
    <row r="440" spans="1:7" s="9" customFormat="1" ht="15.75" thickBot="1" x14ac:dyDescent="0.3">
      <c r="A440" s="119"/>
      <c r="B440" s="310"/>
      <c r="C440" s="9">
        <f t="shared" ca="1" si="50"/>
        <v>1</v>
      </c>
      <c r="D440" s="35" t="s">
        <v>22</v>
      </c>
      <c r="E440" s="12" t="s">
        <v>83</v>
      </c>
      <c r="F440" s="685">
        <f ca="1">SUBTOTAL(9,F426:F439)</f>
        <v>26214.635155488129</v>
      </c>
      <c r="G440" s="685">
        <f>SUBTOTAL(9,G426:G439)</f>
        <v>0</v>
      </c>
    </row>
    <row r="441" spans="1:7" s="9" customFormat="1" ht="15.75" hidden="1" thickBot="1" x14ac:dyDescent="0.3">
      <c r="A441" s="119"/>
      <c r="B441" s="310"/>
      <c r="D441" s="326"/>
      <c r="E441" s="327"/>
      <c r="F441" s="686"/>
      <c r="G441" s="686"/>
    </row>
    <row r="442" spans="1:7" s="9" customFormat="1" ht="30" x14ac:dyDescent="0.25">
      <c r="A442" s="119"/>
      <c r="B442" s="310"/>
      <c r="C442" s="9">
        <f ca="1">IF(F459&gt;0,1,0)</f>
        <v>1</v>
      </c>
      <c r="D442" s="20" t="str">
        <f>+A26</f>
        <v>Jefferson</v>
      </c>
      <c r="E442" s="19">
        <f>IFERROR(SUMIF(A:A,D442,B:B),0)</f>
        <v>6.5581997416250632E-3</v>
      </c>
      <c r="F442" s="652" t="s">
        <v>31</v>
      </c>
      <c r="G442" s="652" t="s">
        <v>32</v>
      </c>
    </row>
    <row r="443" spans="1:7" s="9" customFormat="1" x14ac:dyDescent="0.25">
      <c r="A443" s="119"/>
      <c r="B443" s="310"/>
      <c r="C443" s="9">
        <f ca="1">C442</f>
        <v>1</v>
      </c>
      <c r="D443" s="30"/>
      <c r="E443" s="31"/>
      <c r="F443" s="680" t="s">
        <v>54</v>
      </c>
      <c r="G443" s="680" t="s">
        <v>53</v>
      </c>
    </row>
    <row r="444" spans="1:7" s="9" customFormat="1" x14ac:dyDescent="0.25">
      <c r="A444" s="119"/>
      <c r="B444" s="310"/>
      <c r="C444" s="9">
        <f t="shared" ref="C444:C459" ca="1" si="56">C443</f>
        <v>1</v>
      </c>
      <c r="D444" s="32" t="s">
        <v>71</v>
      </c>
      <c r="E444" s="33"/>
      <c r="F444" s="681"/>
      <c r="G444" s="682"/>
    </row>
    <row r="445" spans="1:7" s="9" customFormat="1" x14ac:dyDescent="0.25">
      <c r="A445" s="119"/>
      <c r="B445" s="310"/>
      <c r="C445" s="9">
        <f t="shared" ca="1" si="56"/>
        <v>1</v>
      </c>
      <c r="D445" s="368" t="s">
        <v>72</v>
      </c>
      <c r="E445" s="12" t="s">
        <v>57</v>
      </c>
      <c r="F445" s="683">
        <f t="shared" ref="F445:G445" si="57">+$E442*F$6</f>
        <v>0</v>
      </c>
      <c r="G445" s="683">
        <f t="shared" si="57"/>
        <v>0</v>
      </c>
    </row>
    <row r="446" spans="1:7" s="9" customFormat="1" x14ac:dyDescent="0.25">
      <c r="A446" s="119"/>
      <c r="B446" s="310"/>
      <c r="C446" s="9">
        <f t="shared" ca="1" si="56"/>
        <v>1</v>
      </c>
      <c r="D446" s="368" t="s">
        <v>73</v>
      </c>
      <c r="E446" s="12" t="s">
        <v>56</v>
      </c>
      <c r="F446" s="683">
        <f t="shared" ref="F446:G446" si="58">+$E442*F$7</f>
        <v>2873.3409510837009</v>
      </c>
      <c r="G446" s="683">
        <f t="shared" si="58"/>
        <v>0</v>
      </c>
    </row>
    <row r="447" spans="1:7" s="9" customFormat="1" x14ac:dyDescent="0.25">
      <c r="A447" s="119"/>
      <c r="B447" s="310"/>
      <c r="C447" s="9">
        <f t="shared" ca="1" si="56"/>
        <v>1</v>
      </c>
      <c r="D447" s="368" t="s">
        <v>74</v>
      </c>
      <c r="E447" s="12" t="s">
        <v>55</v>
      </c>
      <c r="F447" s="683">
        <f t="shared" ref="F447:G447" si="59">+$E442*F$8</f>
        <v>430.76175293039216</v>
      </c>
      <c r="G447" s="683">
        <f t="shared" si="59"/>
        <v>0</v>
      </c>
    </row>
    <row r="448" spans="1:7" s="9" customFormat="1" x14ac:dyDescent="0.25">
      <c r="A448" s="119"/>
      <c r="B448" s="310"/>
      <c r="C448" s="9">
        <f t="shared" ca="1" si="56"/>
        <v>1</v>
      </c>
      <c r="D448" s="368" t="s">
        <v>75</v>
      </c>
      <c r="E448" s="12" t="s">
        <v>54</v>
      </c>
      <c r="F448" s="683">
        <f t="shared" ref="F448:G448" si="60">+$E442*F$9</f>
        <v>880.41797749866555</v>
      </c>
      <c r="G448" s="683">
        <f t="shared" si="60"/>
        <v>0</v>
      </c>
    </row>
    <row r="449" spans="3:8" x14ac:dyDescent="0.25">
      <c r="C449" s="9">
        <f t="shared" ca="1" si="56"/>
        <v>1</v>
      </c>
      <c r="D449" s="34" t="s">
        <v>467</v>
      </c>
      <c r="E449" s="12" t="s">
        <v>53</v>
      </c>
      <c r="F449" s="683">
        <f t="shared" ref="F449:G449" si="61">+$E442*F$10</f>
        <v>4215.8493622832366</v>
      </c>
      <c r="G449" s="683">
        <f t="shared" si="61"/>
        <v>0</v>
      </c>
      <c r="H449" s="9"/>
    </row>
    <row r="450" spans="3:8" x14ac:dyDescent="0.25">
      <c r="C450" s="9">
        <f t="shared" ca="1" si="56"/>
        <v>1</v>
      </c>
      <c r="D450" s="34" t="s">
        <v>76</v>
      </c>
      <c r="E450" s="12" t="s">
        <v>52</v>
      </c>
      <c r="F450" s="683">
        <f>+$E442*F$11</f>
        <v>963.94421774690568</v>
      </c>
      <c r="G450" s="683">
        <f>+$E442*G$11</f>
        <v>0</v>
      </c>
      <c r="H450" s="9"/>
    </row>
    <row r="451" spans="3:8" x14ac:dyDescent="0.25">
      <c r="C451" s="9">
        <f t="shared" ca="1" si="56"/>
        <v>1</v>
      </c>
      <c r="D451" s="34" t="s">
        <v>468</v>
      </c>
      <c r="E451" s="12" t="s">
        <v>51</v>
      </c>
      <c r="F451" s="683">
        <f>+$E442*F$12</f>
        <v>0</v>
      </c>
      <c r="G451" s="683">
        <f>+$E442*G$12</f>
        <v>0</v>
      </c>
      <c r="H451" s="9"/>
    </row>
    <row r="452" spans="3:8" x14ac:dyDescent="0.25">
      <c r="C452" s="9">
        <f t="shared" ca="1" si="56"/>
        <v>1</v>
      </c>
      <c r="D452" s="368" t="s">
        <v>59</v>
      </c>
      <c r="E452" s="12" t="s">
        <v>50</v>
      </c>
      <c r="F452" s="683">
        <f>+$E442*F$13</f>
        <v>152.63490058199793</v>
      </c>
      <c r="G452" s="683">
        <f>+$E442*G$13</f>
        <v>0</v>
      </c>
      <c r="H452" s="9"/>
    </row>
    <row r="453" spans="3:8" x14ac:dyDescent="0.25">
      <c r="C453" s="9">
        <f t="shared" ca="1" si="56"/>
        <v>1</v>
      </c>
      <c r="D453" s="368" t="s">
        <v>25</v>
      </c>
      <c r="E453" s="12" t="s">
        <v>49</v>
      </c>
      <c r="F453" s="683">
        <f>+$E442*F$14</f>
        <v>499.81720558621078</v>
      </c>
      <c r="G453" s="683">
        <f>+$E442*G$14</f>
        <v>0</v>
      </c>
      <c r="H453" s="9"/>
    </row>
    <row r="454" spans="3:8" x14ac:dyDescent="0.25">
      <c r="C454" s="9">
        <f t="shared" ca="1" si="56"/>
        <v>1</v>
      </c>
      <c r="D454" s="368" t="s">
        <v>80</v>
      </c>
      <c r="E454" s="12" t="s">
        <v>47</v>
      </c>
      <c r="F454" s="683">
        <f>+$E442*F$15</f>
        <v>1864.7966097040098</v>
      </c>
      <c r="G454" s="683">
        <f>+$E442*G$15</f>
        <v>0</v>
      </c>
      <c r="H454" s="9"/>
    </row>
    <row r="455" spans="3:8" x14ac:dyDescent="0.25">
      <c r="C455" s="9">
        <f t="shared" ca="1" si="56"/>
        <v>1</v>
      </c>
      <c r="D455" s="368" t="s">
        <v>82</v>
      </c>
      <c r="E455" s="12" t="s">
        <v>77</v>
      </c>
      <c r="F455" s="683">
        <f>+$E442*F$16</f>
        <v>1263.6226159516757</v>
      </c>
      <c r="G455" s="683">
        <f>+$E442*G$16</f>
        <v>0</v>
      </c>
      <c r="H455" s="9"/>
    </row>
    <row r="456" spans="3:8" x14ac:dyDescent="0.25">
      <c r="C456" s="9">
        <f t="shared" ca="1" si="56"/>
        <v>1</v>
      </c>
      <c r="D456" s="368" t="s">
        <v>84</v>
      </c>
      <c r="E456" s="12" t="s">
        <v>78</v>
      </c>
      <c r="F456" s="683">
        <f ca="1">+$E442*F$17</f>
        <v>90337.479572929282</v>
      </c>
      <c r="G456" s="683">
        <f>+$E442*G$17</f>
        <v>0</v>
      </c>
      <c r="H456" s="9"/>
    </row>
    <row r="457" spans="3:8" x14ac:dyDescent="0.25">
      <c r="C457" s="9">
        <f t="shared" ca="1" si="56"/>
        <v>1</v>
      </c>
      <c r="D457" s="368" t="s">
        <v>86</v>
      </c>
      <c r="E457" s="12" t="s">
        <v>79</v>
      </c>
      <c r="F457" s="683">
        <f>+$E442*F$18</f>
        <v>0</v>
      </c>
      <c r="G457" s="683">
        <f>+$E442*G$18</f>
        <v>0</v>
      </c>
      <c r="H457" s="9"/>
    </row>
    <row r="458" spans="3:8" x14ac:dyDescent="0.25">
      <c r="C458" s="9">
        <f t="shared" ca="1" si="56"/>
        <v>1</v>
      </c>
      <c r="D458" s="368" t="s">
        <v>386</v>
      </c>
      <c r="E458" s="12" t="s">
        <v>81</v>
      </c>
      <c r="F458" s="683">
        <f>+$E442*F19</f>
        <v>0</v>
      </c>
      <c r="G458" s="683">
        <f>+$E442*G19</f>
        <v>0</v>
      </c>
      <c r="H458" s="9"/>
    </row>
    <row r="459" spans="3:8" ht="15.75" thickBot="1" x14ac:dyDescent="0.3">
      <c r="C459" s="9">
        <f t="shared" ca="1" si="56"/>
        <v>1</v>
      </c>
      <c r="D459" s="35" t="s">
        <v>22</v>
      </c>
      <c r="E459" s="12" t="s">
        <v>83</v>
      </c>
      <c r="F459" s="685">
        <f ca="1">SUBTOTAL(9,F445:F458)</f>
        <v>103482.66516629608</v>
      </c>
      <c r="G459" s="685">
        <f>SUBTOTAL(9,G445:G458)</f>
        <v>0</v>
      </c>
      <c r="H459" s="9"/>
    </row>
    <row r="460" spans="3:8" ht="15.75" hidden="1" thickBot="1" x14ac:dyDescent="0.3">
      <c r="D460" s="326"/>
      <c r="E460" s="327"/>
      <c r="F460" s="686"/>
      <c r="G460" s="686"/>
      <c r="H460" s="9"/>
    </row>
    <row r="461" spans="3:8" ht="15.75" hidden="1" thickBot="1" x14ac:dyDescent="0.3">
      <c r="D461" s="326"/>
      <c r="E461" s="327"/>
      <c r="F461" s="686"/>
      <c r="G461" s="686"/>
      <c r="H461" s="9"/>
    </row>
    <row r="462" spans="3:8" ht="30" x14ac:dyDescent="0.25">
      <c r="C462" s="9">
        <f ca="1">IF(F479&gt;0,1,0)</f>
        <v>1</v>
      </c>
      <c r="D462" s="20" t="str">
        <f>+A27</f>
        <v>Kings</v>
      </c>
      <c r="E462" s="19">
        <f>IFERROR(SUMIF(A:A,D462,B:B),0)</f>
        <v>0.19849003913535318</v>
      </c>
      <c r="F462" s="652" t="s">
        <v>31</v>
      </c>
      <c r="G462" s="652" t="s">
        <v>32</v>
      </c>
    </row>
    <row r="463" spans="3:8" x14ac:dyDescent="0.25">
      <c r="C463" s="9">
        <f ca="1">C462</f>
        <v>1</v>
      </c>
      <c r="D463" s="30"/>
      <c r="E463" s="31"/>
      <c r="F463" s="680" t="s">
        <v>54</v>
      </c>
      <c r="G463" s="680" t="s">
        <v>53</v>
      </c>
    </row>
    <row r="464" spans="3:8" x14ac:dyDescent="0.25">
      <c r="C464" s="9">
        <f t="shared" ref="C464:C479" ca="1" si="62">C463</f>
        <v>1</v>
      </c>
      <c r="D464" s="32" t="s">
        <v>71</v>
      </c>
      <c r="E464" s="33"/>
      <c r="F464" s="681"/>
      <c r="G464" s="682"/>
    </row>
    <row r="465" spans="3:8" x14ac:dyDescent="0.25">
      <c r="C465" s="9">
        <f t="shared" ca="1" si="62"/>
        <v>1</v>
      </c>
      <c r="D465" s="368" t="s">
        <v>72</v>
      </c>
      <c r="E465" s="12" t="s">
        <v>57</v>
      </c>
      <c r="F465" s="683">
        <f t="shared" ref="F465:G465" si="63">+$E462*F$6</f>
        <v>0</v>
      </c>
      <c r="G465" s="683">
        <f t="shared" si="63"/>
        <v>0</v>
      </c>
    </row>
    <row r="466" spans="3:8" x14ac:dyDescent="0.25">
      <c r="C466" s="9">
        <f t="shared" ca="1" si="62"/>
        <v>1</v>
      </c>
      <c r="D466" s="368" t="s">
        <v>73</v>
      </c>
      <c r="E466" s="12" t="s">
        <v>56</v>
      </c>
      <c r="F466" s="683">
        <f t="shared" ref="F466:G466" si="64">+$E462*F$7</f>
        <v>86964.346970086975</v>
      </c>
      <c r="G466" s="683">
        <f t="shared" si="64"/>
        <v>0</v>
      </c>
    </row>
    <row r="467" spans="3:8" x14ac:dyDescent="0.25">
      <c r="C467" s="9">
        <f t="shared" ca="1" si="62"/>
        <v>1</v>
      </c>
      <c r="D467" s="368" t="s">
        <v>74</v>
      </c>
      <c r="E467" s="12" t="s">
        <v>55</v>
      </c>
      <c r="F467" s="683">
        <f t="shared" ref="F467:G467" si="65">+$E462*F$8</f>
        <v>13037.406691730353</v>
      </c>
      <c r="G467" s="683">
        <f t="shared" si="65"/>
        <v>0</v>
      </c>
    </row>
    <row r="468" spans="3:8" x14ac:dyDescent="0.25">
      <c r="C468" s="9">
        <f t="shared" ca="1" si="62"/>
        <v>1</v>
      </c>
      <c r="D468" s="368" t="s">
        <v>75</v>
      </c>
      <c r="E468" s="12" t="s">
        <v>54</v>
      </c>
      <c r="F468" s="683">
        <f t="shared" ref="F468:G468" si="66">+$E462*F$9</f>
        <v>26646.672210974179</v>
      </c>
      <c r="G468" s="683">
        <f t="shared" si="66"/>
        <v>0</v>
      </c>
    </row>
    <row r="469" spans="3:8" x14ac:dyDescent="0.25">
      <c r="C469" s="9">
        <f t="shared" ca="1" si="62"/>
        <v>1</v>
      </c>
      <c r="D469" s="34" t="s">
        <v>467</v>
      </c>
      <c r="E469" s="12" t="s">
        <v>53</v>
      </c>
      <c r="F469" s="683">
        <f t="shared" ref="F469:G469" si="67">+$E462*F$10</f>
        <v>127596.61765059335</v>
      </c>
      <c r="G469" s="683">
        <f t="shared" si="67"/>
        <v>0</v>
      </c>
    </row>
    <row r="470" spans="3:8" x14ac:dyDescent="0.25">
      <c r="C470" s="9">
        <f t="shared" ca="1" si="62"/>
        <v>1</v>
      </c>
      <c r="D470" s="34" t="s">
        <v>76</v>
      </c>
      <c r="E470" s="12" t="s">
        <v>52</v>
      </c>
      <c r="F470" s="683">
        <f>+$E462*F$11</f>
        <v>29174.671867720521</v>
      </c>
      <c r="G470" s="683">
        <f>+$E462*G$11</f>
        <v>0</v>
      </c>
    </row>
    <row r="471" spans="3:8" x14ac:dyDescent="0.25">
      <c r="C471" s="9">
        <f t="shared" ca="1" si="62"/>
        <v>1</v>
      </c>
      <c r="D471" s="34" t="s">
        <v>468</v>
      </c>
      <c r="E471" s="12" t="s">
        <v>51</v>
      </c>
      <c r="F471" s="683">
        <f>+$E462*F$12</f>
        <v>0</v>
      </c>
      <c r="G471" s="683">
        <f>+$E462*G$12</f>
        <v>0</v>
      </c>
    </row>
    <row r="472" spans="3:8" x14ac:dyDescent="0.25">
      <c r="C472" s="9">
        <f t="shared" ca="1" si="62"/>
        <v>1</v>
      </c>
      <c r="D472" s="368" t="s">
        <v>59</v>
      </c>
      <c r="E472" s="12" t="s">
        <v>50</v>
      </c>
      <c r="F472" s="683">
        <f>+$E462*F$13</f>
        <v>4619.6377944466676</v>
      </c>
      <c r="G472" s="683">
        <f>+$E462*G$13</f>
        <v>0</v>
      </c>
    </row>
    <row r="473" spans="3:8" x14ac:dyDescent="0.25">
      <c r="C473" s="9">
        <f t="shared" ca="1" si="62"/>
        <v>1</v>
      </c>
      <c r="D473" s="368" t="s">
        <v>25</v>
      </c>
      <c r="E473" s="12" t="s">
        <v>49</v>
      </c>
      <c r="F473" s="683">
        <f>+$E462*F$14</f>
        <v>15127.434449373268</v>
      </c>
      <c r="G473" s="683">
        <f>+$E462*G$14</f>
        <v>0</v>
      </c>
    </row>
    <row r="474" spans="3:8" x14ac:dyDescent="0.25">
      <c r="C474" s="9">
        <f t="shared" ca="1" si="62"/>
        <v>1</v>
      </c>
      <c r="D474" s="368" t="s">
        <v>80</v>
      </c>
      <c r="E474" s="12" t="s">
        <v>47</v>
      </c>
      <c r="F474" s="683">
        <f>+$E462*F$15</f>
        <v>56439.810713649378</v>
      </c>
      <c r="G474" s="683">
        <f>+$E462*G$15</f>
        <v>0</v>
      </c>
    </row>
    <row r="475" spans="3:8" x14ac:dyDescent="0.25">
      <c r="C475" s="9">
        <f t="shared" ca="1" si="62"/>
        <v>1</v>
      </c>
      <c r="D475" s="368" t="s">
        <v>82</v>
      </c>
      <c r="E475" s="12" t="s">
        <v>77</v>
      </c>
      <c r="F475" s="683">
        <f>+$E462*F$16</f>
        <v>38244.718424879109</v>
      </c>
      <c r="G475" s="683">
        <f>+$E462*G$16</f>
        <v>0</v>
      </c>
    </row>
    <row r="476" spans="3:8" x14ac:dyDescent="0.25">
      <c r="C476" s="9">
        <f t="shared" ca="1" si="62"/>
        <v>1</v>
      </c>
      <c r="D476" s="368" t="s">
        <v>84</v>
      </c>
      <c r="E476" s="12" t="s">
        <v>78</v>
      </c>
      <c r="F476" s="683">
        <f ca="1">+$E462*F$17</f>
        <v>2734148.1751479465</v>
      </c>
      <c r="G476" s="683">
        <f>+$E462*G$17</f>
        <v>0</v>
      </c>
    </row>
    <row r="477" spans="3:8" x14ac:dyDescent="0.25">
      <c r="C477" s="9">
        <f t="shared" ca="1" si="62"/>
        <v>1</v>
      </c>
      <c r="D477" s="368" t="s">
        <v>86</v>
      </c>
      <c r="E477" s="12" t="s">
        <v>79</v>
      </c>
      <c r="F477" s="683">
        <f>+$E462*F$18</f>
        <v>0</v>
      </c>
      <c r="G477" s="683">
        <f>+$E462*G$18</f>
        <v>0</v>
      </c>
    </row>
    <row r="478" spans="3:8" x14ac:dyDescent="0.25">
      <c r="C478" s="9">
        <f t="shared" ca="1" si="62"/>
        <v>1</v>
      </c>
      <c r="D478" s="368" t="s">
        <v>386</v>
      </c>
      <c r="E478" s="12" t="s">
        <v>81</v>
      </c>
      <c r="F478" s="683">
        <f>+$E462*F19</f>
        <v>0</v>
      </c>
      <c r="G478" s="683">
        <f>+$E462*G19</f>
        <v>0</v>
      </c>
    </row>
    <row r="479" spans="3:8" ht="15.75" thickBot="1" x14ac:dyDescent="0.3">
      <c r="C479" s="9">
        <f t="shared" ca="1" si="62"/>
        <v>1</v>
      </c>
      <c r="D479" s="35" t="s">
        <v>22</v>
      </c>
      <c r="E479" s="12" t="s">
        <v>83</v>
      </c>
      <c r="F479" s="685">
        <f ca="1">SUBTOTAL(9,F465:F478)</f>
        <v>3131999.4919214002</v>
      </c>
      <c r="G479" s="685">
        <f>SUBTOTAL(9,G465:G478)</f>
        <v>0</v>
      </c>
    </row>
    <row r="480" spans="3:8" ht="15.75" hidden="1" thickBot="1" x14ac:dyDescent="0.3">
      <c r="D480" s="326"/>
      <c r="E480" s="327"/>
      <c r="F480" s="686"/>
      <c r="G480" s="686"/>
      <c r="H480" s="9"/>
    </row>
    <row r="481" spans="1:7" s="9" customFormat="1" ht="15.75" hidden="1" thickBot="1" x14ac:dyDescent="0.3">
      <c r="A481" s="119"/>
      <c r="B481" s="310"/>
      <c r="D481" s="326"/>
      <c r="E481" s="327"/>
      <c r="F481" s="686"/>
      <c r="G481" s="686"/>
    </row>
    <row r="482" spans="1:7" s="9" customFormat="1" ht="30" x14ac:dyDescent="0.25">
      <c r="A482" s="119"/>
      <c r="B482" s="310"/>
      <c r="C482" s="9">
        <f ca="1">IF(F499&gt;0,1,0)</f>
        <v>1</v>
      </c>
      <c r="D482" s="20" t="str">
        <f>+A28</f>
        <v>Lewis</v>
      </c>
      <c r="E482" s="19">
        <f>IFERROR(SUMIF(A:A,D482,B:B),0)</f>
        <v>1.5695907928306577E-3</v>
      </c>
      <c r="F482" s="652" t="s">
        <v>31</v>
      </c>
      <c r="G482" s="652" t="s">
        <v>32</v>
      </c>
    </row>
    <row r="483" spans="1:7" s="9" customFormat="1" x14ac:dyDescent="0.25">
      <c r="A483" s="119"/>
      <c r="B483" s="310"/>
      <c r="C483" s="9">
        <f ca="1">C482</f>
        <v>1</v>
      </c>
      <c r="D483" s="30"/>
      <c r="E483" s="31"/>
      <c r="F483" s="680" t="s">
        <v>54</v>
      </c>
      <c r="G483" s="680" t="s">
        <v>53</v>
      </c>
    </row>
    <row r="484" spans="1:7" s="9" customFormat="1" x14ac:dyDescent="0.25">
      <c r="A484" s="119"/>
      <c r="B484" s="310"/>
      <c r="C484" s="9">
        <f t="shared" ref="C484:C499" ca="1" si="68">C483</f>
        <v>1</v>
      </c>
      <c r="D484" s="32" t="s">
        <v>71</v>
      </c>
      <c r="E484" s="33"/>
      <c r="F484" s="681"/>
      <c r="G484" s="682"/>
    </row>
    <row r="485" spans="1:7" s="9" customFormat="1" x14ac:dyDescent="0.25">
      <c r="A485" s="119"/>
      <c r="B485" s="310"/>
      <c r="C485" s="9">
        <f t="shared" ca="1" si="68"/>
        <v>1</v>
      </c>
      <c r="D485" s="368" t="s">
        <v>72</v>
      </c>
      <c r="E485" s="12" t="s">
        <v>57</v>
      </c>
      <c r="F485" s="683">
        <f t="shared" ref="F485:G485" si="69">+$E482*F$6</f>
        <v>0</v>
      </c>
      <c r="G485" s="683">
        <f t="shared" si="69"/>
        <v>0</v>
      </c>
    </row>
    <row r="486" spans="1:7" s="9" customFormat="1" x14ac:dyDescent="0.25">
      <c r="A486" s="119"/>
      <c r="B486" s="310"/>
      <c r="C486" s="9">
        <f t="shared" ca="1" si="68"/>
        <v>1</v>
      </c>
      <c r="D486" s="368" t="s">
        <v>73</v>
      </c>
      <c r="E486" s="12" t="s">
        <v>56</v>
      </c>
      <c r="F486" s="683">
        <f t="shared" ref="F486:G486" si="70">+$E482*F$7</f>
        <v>687.68407172159903</v>
      </c>
      <c r="G486" s="683">
        <f t="shared" si="70"/>
        <v>0</v>
      </c>
    </row>
    <row r="487" spans="1:7" s="9" customFormat="1" x14ac:dyDescent="0.25">
      <c r="A487" s="119"/>
      <c r="B487" s="310"/>
      <c r="C487" s="9">
        <f t="shared" ca="1" si="68"/>
        <v>1</v>
      </c>
      <c r="D487" s="368" t="s">
        <v>74</v>
      </c>
      <c r="E487" s="12" t="s">
        <v>55</v>
      </c>
      <c r="F487" s="683">
        <f t="shared" ref="F487:G487" si="71">+$E482*F$8</f>
        <v>103.09531699862525</v>
      </c>
      <c r="G487" s="683">
        <f t="shared" si="71"/>
        <v>0</v>
      </c>
    </row>
    <row r="488" spans="1:7" s="9" customFormat="1" x14ac:dyDescent="0.25">
      <c r="A488" s="119"/>
      <c r="B488" s="310"/>
      <c r="C488" s="9">
        <f t="shared" ca="1" si="68"/>
        <v>1</v>
      </c>
      <c r="D488" s="368" t="s">
        <v>75</v>
      </c>
      <c r="E488" s="12" t="s">
        <v>54</v>
      </c>
      <c r="F488" s="683">
        <f t="shared" ref="F488:G488" si="72">+$E482*F$9</f>
        <v>210.71269643612183</v>
      </c>
      <c r="G488" s="683">
        <f t="shared" si="72"/>
        <v>0</v>
      </c>
    </row>
    <row r="489" spans="1:7" s="9" customFormat="1" x14ac:dyDescent="0.25">
      <c r="A489" s="119"/>
      <c r="B489" s="310"/>
      <c r="C489" s="9">
        <f t="shared" ca="1" si="68"/>
        <v>1</v>
      </c>
      <c r="D489" s="34" t="s">
        <v>467</v>
      </c>
      <c r="E489" s="12" t="s">
        <v>53</v>
      </c>
      <c r="F489" s="683">
        <f t="shared" ref="F489:G489" si="73">+$E482*F$10</f>
        <v>1008.9900588116419</v>
      </c>
      <c r="G489" s="683">
        <f t="shared" si="73"/>
        <v>0</v>
      </c>
    </row>
    <row r="490" spans="1:7" s="9" customFormat="1" x14ac:dyDescent="0.25">
      <c r="A490" s="119"/>
      <c r="B490" s="310"/>
      <c r="C490" s="9">
        <f t="shared" ca="1" si="68"/>
        <v>1</v>
      </c>
      <c r="D490" s="34" t="s">
        <v>76</v>
      </c>
      <c r="E490" s="12" t="s">
        <v>52</v>
      </c>
      <c r="F490" s="683">
        <f>+$E482*F$11</f>
        <v>230.70324610195334</v>
      </c>
      <c r="G490" s="683">
        <f>+$E482*G$11</f>
        <v>0</v>
      </c>
    </row>
    <row r="491" spans="1:7" s="9" customFormat="1" x14ac:dyDescent="0.25">
      <c r="A491" s="119"/>
      <c r="B491" s="310"/>
      <c r="C491" s="9">
        <f t="shared" ca="1" si="68"/>
        <v>1</v>
      </c>
      <c r="D491" s="34" t="s">
        <v>468</v>
      </c>
      <c r="E491" s="12" t="s">
        <v>51</v>
      </c>
      <c r="F491" s="683">
        <f>+$E482*F$12</f>
        <v>0</v>
      </c>
      <c r="G491" s="683">
        <f>+$E482*G$12</f>
        <v>0</v>
      </c>
    </row>
    <row r="492" spans="1:7" s="9" customFormat="1" x14ac:dyDescent="0.25">
      <c r="A492" s="119"/>
      <c r="B492" s="310"/>
      <c r="C492" s="9">
        <f t="shared" ca="1" si="68"/>
        <v>1</v>
      </c>
      <c r="D492" s="368" t="s">
        <v>59</v>
      </c>
      <c r="E492" s="12" t="s">
        <v>50</v>
      </c>
      <c r="F492" s="683">
        <f>+$E482*F$13</f>
        <v>36.530502890532944</v>
      </c>
      <c r="G492" s="683">
        <f>+$E482*G$13</f>
        <v>0</v>
      </c>
    </row>
    <row r="493" spans="1:7" s="9" customFormat="1" x14ac:dyDescent="0.25">
      <c r="A493" s="119"/>
      <c r="B493" s="310"/>
      <c r="C493" s="9">
        <f t="shared" ca="1" si="68"/>
        <v>1</v>
      </c>
      <c r="D493" s="368" t="s">
        <v>25</v>
      </c>
      <c r="E493" s="12" t="s">
        <v>49</v>
      </c>
      <c r="F493" s="683">
        <f>+$E482*F$14</f>
        <v>119.62253589306968</v>
      </c>
      <c r="G493" s="683">
        <f>+$E482*G$14</f>
        <v>0</v>
      </c>
    </row>
    <row r="494" spans="1:7" s="9" customFormat="1" x14ac:dyDescent="0.25">
      <c r="A494" s="119"/>
      <c r="B494" s="310"/>
      <c r="C494" s="9">
        <f t="shared" ca="1" si="68"/>
        <v>1</v>
      </c>
      <c r="D494" s="368" t="s">
        <v>80</v>
      </c>
      <c r="E494" s="12" t="s">
        <v>47</v>
      </c>
      <c r="F494" s="683">
        <f>+$E482*F$15</f>
        <v>446.30656344845681</v>
      </c>
      <c r="G494" s="683">
        <f>+$E482*G$15</f>
        <v>0</v>
      </c>
    </row>
    <row r="495" spans="1:7" s="9" customFormat="1" x14ac:dyDescent="0.25">
      <c r="A495" s="119"/>
      <c r="B495" s="310"/>
      <c r="C495" s="9">
        <f t="shared" ca="1" si="68"/>
        <v>1</v>
      </c>
      <c r="D495" s="368" t="s">
        <v>82</v>
      </c>
      <c r="E495" s="12" t="s">
        <v>77</v>
      </c>
      <c r="F495" s="683">
        <f>+$E482*F$16</f>
        <v>302.42604704791728</v>
      </c>
      <c r="G495" s="683">
        <f>+$E482*G$16</f>
        <v>0</v>
      </c>
    </row>
    <row r="496" spans="1:7" s="9" customFormat="1" x14ac:dyDescent="0.25">
      <c r="A496" s="119"/>
      <c r="B496" s="310"/>
      <c r="C496" s="9">
        <f t="shared" ca="1" si="68"/>
        <v>1</v>
      </c>
      <c r="D496" s="368" t="s">
        <v>84</v>
      </c>
      <c r="E496" s="12" t="s">
        <v>78</v>
      </c>
      <c r="F496" s="683">
        <f ca="1">+$E482*F$17</f>
        <v>21620.701072160758</v>
      </c>
      <c r="G496" s="683">
        <f>+$E482*G$17</f>
        <v>0</v>
      </c>
    </row>
    <row r="497" spans="1:7" s="9" customFormat="1" x14ac:dyDescent="0.25">
      <c r="A497" s="119"/>
      <c r="B497" s="310"/>
      <c r="C497" s="9">
        <f t="shared" ca="1" si="68"/>
        <v>1</v>
      </c>
      <c r="D497" s="368" t="s">
        <v>86</v>
      </c>
      <c r="E497" s="12" t="s">
        <v>79</v>
      </c>
      <c r="F497" s="683">
        <f>+$E$482*F18</f>
        <v>0</v>
      </c>
      <c r="G497" s="683">
        <f>+$E$482*G18</f>
        <v>0</v>
      </c>
    </row>
    <row r="498" spans="1:7" s="9" customFormat="1" x14ac:dyDescent="0.25">
      <c r="A498" s="119"/>
      <c r="B498" s="310"/>
      <c r="C498" s="9">
        <f t="shared" ca="1" si="68"/>
        <v>1</v>
      </c>
      <c r="D498" s="368" t="s">
        <v>386</v>
      </c>
      <c r="E498" s="12" t="s">
        <v>81</v>
      </c>
      <c r="F498" s="683">
        <f>+$E$482*F19</f>
        <v>0</v>
      </c>
      <c r="G498" s="683">
        <f>+$E$482*G19</f>
        <v>0</v>
      </c>
    </row>
    <row r="499" spans="1:7" s="9" customFormat="1" ht="15.75" thickBot="1" x14ac:dyDescent="0.3">
      <c r="A499" s="119"/>
      <c r="B499" s="310"/>
      <c r="C499" s="9">
        <f t="shared" ca="1" si="68"/>
        <v>1</v>
      </c>
      <c r="D499" s="35" t="s">
        <v>22</v>
      </c>
      <c r="E499" s="12" t="s">
        <v>83</v>
      </c>
      <c r="F499" s="685">
        <f ca="1">SUBTOTAL(9,F485:F498)</f>
        <v>24766.772111510676</v>
      </c>
      <c r="G499" s="685">
        <f>SUBTOTAL(9,G485:G498)</f>
        <v>0</v>
      </c>
    </row>
    <row r="500" spans="1:7" s="9" customFormat="1" ht="15.75" hidden="1" thickBot="1" x14ac:dyDescent="0.3">
      <c r="A500" s="119"/>
      <c r="B500" s="310"/>
      <c r="D500" s="326"/>
      <c r="E500" s="327"/>
      <c r="F500" s="686"/>
      <c r="G500" s="686"/>
    </row>
    <row r="501" spans="1:7" s="9" customFormat="1" ht="15.75" hidden="1" thickBot="1" x14ac:dyDescent="0.3">
      <c r="A501" s="119"/>
      <c r="B501" s="310"/>
      <c r="D501" s="326"/>
      <c r="E501" s="327"/>
      <c r="F501" s="686"/>
      <c r="G501" s="686"/>
    </row>
    <row r="502" spans="1:7" s="9" customFormat="1" ht="30" x14ac:dyDescent="0.25">
      <c r="A502" s="119"/>
      <c r="B502" s="310"/>
      <c r="C502" s="9">
        <f ca="1">IF(F519&gt;0,1,0)</f>
        <v>1</v>
      </c>
      <c r="D502" s="20" t="str">
        <f>+A29</f>
        <v>Livingston</v>
      </c>
      <c r="E502" s="19">
        <f>IFERROR(SUMIF(A:A,D502,B:B),0)</f>
        <v>1.1180611534471463E-3</v>
      </c>
      <c r="F502" s="652" t="s">
        <v>31</v>
      </c>
      <c r="G502" s="652" t="s">
        <v>32</v>
      </c>
    </row>
    <row r="503" spans="1:7" s="9" customFormat="1" x14ac:dyDescent="0.25">
      <c r="A503" s="119"/>
      <c r="B503" s="310"/>
      <c r="C503" s="9">
        <f ca="1">C502</f>
        <v>1</v>
      </c>
      <c r="D503" s="30"/>
      <c r="E503" s="31"/>
      <c r="F503" s="680" t="s">
        <v>54</v>
      </c>
      <c r="G503" s="680" t="s">
        <v>53</v>
      </c>
    </row>
    <row r="504" spans="1:7" s="9" customFormat="1" x14ac:dyDescent="0.25">
      <c r="A504" s="119"/>
      <c r="B504" s="310"/>
      <c r="C504" s="9">
        <f t="shared" ref="C504:C519" ca="1" si="74">C503</f>
        <v>1</v>
      </c>
      <c r="D504" s="32" t="s">
        <v>71</v>
      </c>
      <c r="E504" s="33"/>
      <c r="F504" s="681"/>
      <c r="G504" s="682"/>
    </row>
    <row r="505" spans="1:7" s="9" customFormat="1" x14ac:dyDescent="0.25">
      <c r="A505" s="119"/>
      <c r="B505" s="310"/>
      <c r="C505" s="9">
        <f t="shared" ca="1" si="74"/>
        <v>1</v>
      </c>
      <c r="D505" s="368" t="s">
        <v>72</v>
      </c>
      <c r="E505" s="12" t="s">
        <v>57</v>
      </c>
      <c r="F505" s="683">
        <f t="shared" ref="F505:G505" si="75">+$E502*F$6</f>
        <v>0</v>
      </c>
      <c r="G505" s="683">
        <f t="shared" si="75"/>
        <v>0</v>
      </c>
    </row>
    <row r="506" spans="1:7" s="9" customFormat="1" x14ac:dyDescent="0.25">
      <c r="A506" s="119"/>
      <c r="B506" s="310"/>
      <c r="C506" s="9">
        <f t="shared" ca="1" si="74"/>
        <v>1</v>
      </c>
      <c r="D506" s="368" t="s">
        <v>73</v>
      </c>
      <c r="E506" s="12" t="s">
        <v>56</v>
      </c>
      <c r="F506" s="683">
        <f t="shared" ref="F506:G506" si="76">+$E502*F$7</f>
        <v>489.85560437040255</v>
      </c>
      <c r="G506" s="683">
        <f t="shared" si="76"/>
        <v>0</v>
      </c>
    </row>
    <row r="507" spans="1:7" s="9" customFormat="1" x14ac:dyDescent="0.25">
      <c r="A507" s="119"/>
      <c r="B507" s="310"/>
      <c r="C507" s="9">
        <f t="shared" ca="1" si="74"/>
        <v>1</v>
      </c>
      <c r="D507" s="368" t="s">
        <v>74</v>
      </c>
      <c r="E507" s="12" t="s">
        <v>55</v>
      </c>
      <c r="F507" s="683">
        <f t="shared" ref="F507:G507" si="77">+$E502*F$8</f>
        <v>73.43752879093131</v>
      </c>
      <c r="G507" s="683">
        <f t="shared" si="77"/>
        <v>0</v>
      </c>
    </row>
    <row r="508" spans="1:7" s="9" customFormat="1" x14ac:dyDescent="0.25">
      <c r="A508" s="119"/>
      <c r="B508" s="310"/>
      <c r="C508" s="9">
        <f t="shared" ca="1" si="74"/>
        <v>1</v>
      </c>
      <c r="D508" s="368" t="s">
        <v>75</v>
      </c>
      <c r="E508" s="12" t="s">
        <v>54</v>
      </c>
      <c r="F508" s="683">
        <f t="shared" ref="F508:G508" si="78">+$E502*F$9</f>
        <v>150.09624259993123</v>
      </c>
      <c r="G508" s="683">
        <f t="shared" si="78"/>
        <v>0</v>
      </c>
    </row>
    <row r="509" spans="1:7" s="9" customFormat="1" x14ac:dyDescent="0.25">
      <c r="A509" s="119"/>
      <c r="B509" s="310"/>
      <c r="C509" s="9">
        <f t="shared" ca="1" si="74"/>
        <v>1</v>
      </c>
      <c r="D509" s="34" t="s">
        <v>467</v>
      </c>
      <c r="E509" s="12" t="s">
        <v>53</v>
      </c>
      <c r="F509" s="683">
        <f t="shared" ref="F509:G509" si="79">+$E502*F$10</f>
        <v>718.73038127164898</v>
      </c>
      <c r="G509" s="683">
        <f t="shared" si="79"/>
        <v>0</v>
      </c>
    </row>
    <row r="510" spans="1:7" s="9" customFormat="1" x14ac:dyDescent="0.25">
      <c r="A510" s="119"/>
      <c r="B510" s="310"/>
      <c r="C510" s="9">
        <f t="shared" ca="1" si="74"/>
        <v>1</v>
      </c>
      <c r="D510" s="34" t="s">
        <v>76</v>
      </c>
      <c r="E510" s="12" t="s">
        <v>52</v>
      </c>
      <c r="F510" s="683">
        <f>+$E502*F$11</f>
        <v>164.33604135481181</v>
      </c>
      <c r="G510" s="683">
        <f>+$E502*G$11</f>
        <v>0</v>
      </c>
    </row>
    <row r="511" spans="1:7" s="9" customFormat="1" x14ac:dyDescent="0.25">
      <c r="A511" s="119"/>
      <c r="B511" s="310"/>
      <c r="C511" s="9">
        <f t="shared" ca="1" si="74"/>
        <v>1</v>
      </c>
      <c r="D511" s="34" t="s">
        <v>468</v>
      </c>
      <c r="E511" s="12" t="s">
        <v>51</v>
      </c>
      <c r="F511" s="683">
        <f>+$E502*F$12</f>
        <v>0</v>
      </c>
      <c r="G511" s="683">
        <f>+$E502*G$12</f>
        <v>0</v>
      </c>
    </row>
    <row r="512" spans="1:7" s="9" customFormat="1" x14ac:dyDescent="0.25">
      <c r="A512" s="119"/>
      <c r="B512" s="310"/>
      <c r="C512" s="9">
        <f t="shared" ca="1" si="74"/>
        <v>1</v>
      </c>
      <c r="D512" s="368" t="s">
        <v>59</v>
      </c>
      <c r="E512" s="12" t="s">
        <v>50</v>
      </c>
      <c r="F512" s="683">
        <f>+$E502*F$13</f>
        <v>26.021646141371154</v>
      </c>
      <c r="G512" s="683">
        <f>+$E502*G$13</f>
        <v>0</v>
      </c>
    </row>
    <row r="513" spans="1:7" s="9" customFormat="1" x14ac:dyDescent="0.25">
      <c r="A513" s="119"/>
      <c r="B513" s="310"/>
      <c r="C513" s="9">
        <f t="shared" ca="1" si="74"/>
        <v>1</v>
      </c>
      <c r="D513" s="368" t="s">
        <v>25</v>
      </c>
      <c r="E513" s="12" t="s">
        <v>49</v>
      </c>
      <c r="F513" s="683">
        <f>+$E502*F$14</f>
        <v>85.210305176215357</v>
      </c>
      <c r="G513" s="683">
        <f>+$E502*G$14</f>
        <v>0</v>
      </c>
    </row>
    <row r="514" spans="1:7" s="9" customFormat="1" x14ac:dyDescent="0.25">
      <c r="A514" s="119"/>
      <c r="B514" s="310"/>
      <c r="C514" s="9">
        <f t="shared" ca="1" si="74"/>
        <v>1</v>
      </c>
      <c r="D514" s="368" t="s">
        <v>80</v>
      </c>
      <c r="E514" s="12" t="s">
        <v>47</v>
      </c>
      <c r="F514" s="683">
        <f>+$E502*F$15</f>
        <v>317.91600294768693</v>
      </c>
      <c r="G514" s="683">
        <f>+$E502*G$15</f>
        <v>0</v>
      </c>
    </row>
    <row r="515" spans="1:7" s="9" customFormat="1" x14ac:dyDescent="0.25">
      <c r="A515" s="119"/>
      <c r="B515" s="310"/>
      <c r="C515" s="9">
        <f t="shared" ca="1" si="74"/>
        <v>1</v>
      </c>
      <c r="D515" s="368" t="s">
        <v>82</v>
      </c>
      <c r="E515" s="12" t="s">
        <v>77</v>
      </c>
      <c r="F515" s="683">
        <f>+$E502*F$16</f>
        <v>215.42609483906173</v>
      </c>
      <c r="G515" s="683">
        <f>+$E502*G$16</f>
        <v>0</v>
      </c>
    </row>
    <row r="516" spans="1:7" s="9" customFormat="1" x14ac:dyDescent="0.25">
      <c r="A516" s="119"/>
      <c r="B516" s="310"/>
      <c r="C516" s="9">
        <f t="shared" ca="1" si="74"/>
        <v>1</v>
      </c>
      <c r="D516" s="368" t="s">
        <v>84</v>
      </c>
      <c r="E516" s="12" t="s">
        <v>78</v>
      </c>
      <c r="F516" s="683">
        <f ca="1">+$E502*F$17</f>
        <v>15400.998839628164</v>
      </c>
      <c r="G516" s="683">
        <f>+$E502*G$17</f>
        <v>0</v>
      </c>
    </row>
    <row r="517" spans="1:7" s="9" customFormat="1" x14ac:dyDescent="0.25">
      <c r="A517" s="119"/>
      <c r="B517" s="310"/>
      <c r="C517" s="9">
        <f t="shared" ca="1" si="74"/>
        <v>1</v>
      </c>
      <c r="D517" s="368" t="s">
        <v>86</v>
      </c>
      <c r="E517" s="12" t="s">
        <v>79</v>
      </c>
      <c r="F517" s="683">
        <f>+$E$502*F18</f>
        <v>0</v>
      </c>
      <c r="G517" s="683">
        <f>+$E$502*G18</f>
        <v>0</v>
      </c>
    </row>
    <row r="518" spans="1:7" s="9" customFormat="1" x14ac:dyDescent="0.25">
      <c r="A518" s="119"/>
      <c r="B518" s="310"/>
      <c r="C518" s="9">
        <f t="shared" ca="1" si="74"/>
        <v>1</v>
      </c>
      <c r="D518" s="368" t="s">
        <v>386</v>
      </c>
      <c r="E518" s="12" t="s">
        <v>81</v>
      </c>
      <c r="F518" s="683">
        <f>+$E$502*F19</f>
        <v>0</v>
      </c>
      <c r="G518" s="683">
        <f>+$E$502*G19</f>
        <v>0</v>
      </c>
    </row>
    <row r="519" spans="1:7" s="9" customFormat="1" ht="15.75" thickBot="1" x14ac:dyDescent="0.3">
      <c r="A519" s="119"/>
      <c r="B519" s="310"/>
      <c r="C519" s="9">
        <f t="shared" ca="1" si="74"/>
        <v>1</v>
      </c>
      <c r="D519" s="35" t="s">
        <v>22</v>
      </c>
      <c r="E519" s="12" t="s">
        <v>83</v>
      </c>
      <c r="F519" s="685">
        <f ca="1">SUBTOTAL(9,F505:F518)</f>
        <v>17642.028687120226</v>
      </c>
      <c r="G519" s="685">
        <f>SUBTOTAL(9,G505:G518)</f>
        <v>0</v>
      </c>
    </row>
    <row r="520" spans="1:7" s="9" customFormat="1" ht="15.75" hidden="1" thickBot="1" x14ac:dyDescent="0.3">
      <c r="A520" s="119"/>
      <c r="B520" s="310"/>
      <c r="D520" s="326"/>
      <c r="E520" s="327"/>
      <c r="F520" s="686"/>
      <c r="G520" s="686"/>
    </row>
    <row r="521" spans="1:7" s="9" customFormat="1" ht="30" x14ac:dyDescent="0.25">
      <c r="A521" s="119"/>
      <c r="B521" s="310"/>
      <c r="C521" s="9">
        <f ca="1">IF(F538&gt;0,1,0)</f>
        <v>1</v>
      </c>
      <c r="D521" s="20" t="str">
        <f>+A30</f>
        <v>Madison</v>
      </c>
      <c r="E521" s="19">
        <f>IFERROR(SUMIF(A:A,D521,B:B),0)</f>
        <v>1.9127199054402991E-3</v>
      </c>
      <c r="F521" s="652" t="s">
        <v>31</v>
      </c>
      <c r="G521" s="652" t="s">
        <v>32</v>
      </c>
    </row>
    <row r="522" spans="1:7" s="9" customFormat="1" x14ac:dyDescent="0.25">
      <c r="A522" s="119"/>
      <c r="B522" s="310"/>
      <c r="C522" s="9">
        <f ca="1">C521</f>
        <v>1</v>
      </c>
      <c r="D522" s="30"/>
      <c r="E522" s="31"/>
      <c r="F522" s="680" t="s">
        <v>54</v>
      </c>
      <c r="G522" s="680" t="s">
        <v>53</v>
      </c>
    </row>
    <row r="523" spans="1:7" s="9" customFormat="1" x14ac:dyDescent="0.25">
      <c r="A523" s="119"/>
      <c r="B523" s="310"/>
      <c r="C523" s="9">
        <f t="shared" ref="C523:C538" ca="1" si="80">C522</f>
        <v>1</v>
      </c>
      <c r="D523" s="32" t="s">
        <v>71</v>
      </c>
      <c r="E523" s="33"/>
      <c r="F523" s="681"/>
      <c r="G523" s="682"/>
    </row>
    <row r="524" spans="1:7" s="9" customFormat="1" x14ac:dyDescent="0.25">
      <c r="A524" s="119"/>
      <c r="B524" s="310"/>
      <c r="C524" s="9">
        <f t="shared" ca="1" si="80"/>
        <v>1</v>
      </c>
      <c r="D524" s="368" t="s">
        <v>72</v>
      </c>
      <c r="E524" s="12" t="s">
        <v>57</v>
      </c>
      <c r="F524" s="683">
        <f t="shared" ref="F524:G524" si="81">+$E521*F$6</f>
        <v>0</v>
      </c>
      <c r="G524" s="683">
        <f t="shared" si="81"/>
        <v>0</v>
      </c>
    </row>
    <row r="525" spans="1:7" s="9" customFormat="1" x14ac:dyDescent="0.25">
      <c r="A525" s="119"/>
      <c r="B525" s="310"/>
      <c r="C525" s="9">
        <f t="shared" ca="1" si="80"/>
        <v>1</v>
      </c>
      <c r="D525" s="368" t="s">
        <v>73</v>
      </c>
      <c r="E525" s="12" t="s">
        <v>56</v>
      </c>
      <c r="F525" s="683">
        <f t="shared" ref="F525:G525" si="82">+$E521*F$7</f>
        <v>838.01906754561912</v>
      </c>
      <c r="G525" s="683">
        <f t="shared" si="82"/>
        <v>0</v>
      </c>
    </row>
    <row r="526" spans="1:7" s="9" customFormat="1" x14ac:dyDescent="0.25">
      <c r="A526" s="119"/>
      <c r="B526" s="310"/>
      <c r="C526" s="9">
        <f t="shared" ca="1" si="80"/>
        <v>1</v>
      </c>
      <c r="D526" s="368" t="s">
        <v>74</v>
      </c>
      <c r="E526" s="12" t="s">
        <v>55</v>
      </c>
      <c r="F526" s="683">
        <f t="shared" ref="F526:G526" si="83">+$E521*F$8</f>
        <v>125.63304135170416</v>
      </c>
      <c r="G526" s="683">
        <f t="shared" si="83"/>
        <v>0</v>
      </c>
    </row>
    <row r="527" spans="1:7" s="9" customFormat="1" x14ac:dyDescent="0.25">
      <c r="A527" s="119"/>
      <c r="B527" s="310"/>
      <c r="C527" s="9">
        <f t="shared" ca="1" si="80"/>
        <v>1</v>
      </c>
      <c r="D527" s="368" t="s">
        <v>75</v>
      </c>
      <c r="E527" s="12" t="s">
        <v>54</v>
      </c>
      <c r="F527" s="683">
        <f t="shared" ref="F527:G527" si="84">+$E521*F$9</f>
        <v>256.77671571679036</v>
      </c>
      <c r="G527" s="683">
        <f t="shared" si="84"/>
        <v>0</v>
      </c>
    </row>
    <row r="528" spans="1:7" s="9" customFormat="1" x14ac:dyDescent="0.25">
      <c r="A528" s="119"/>
      <c r="B528" s="310"/>
      <c r="C528" s="9">
        <f t="shared" ca="1" si="80"/>
        <v>1</v>
      </c>
      <c r="D528" s="34" t="s">
        <v>467</v>
      </c>
      <c r="E528" s="12" t="s">
        <v>53</v>
      </c>
      <c r="F528" s="683">
        <f t="shared" ref="F528:G528" si="85">+$E521*F$10</f>
        <v>1229.5659344432859</v>
      </c>
      <c r="G528" s="683">
        <f t="shared" si="85"/>
        <v>0</v>
      </c>
    </row>
    <row r="529" spans="1:7" s="9" customFormat="1" x14ac:dyDescent="0.25">
      <c r="A529" s="119"/>
      <c r="B529" s="310"/>
      <c r="C529" s="9">
        <f t="shared" ca="1" si="80"/>
        <v>1</v>
      </c>
      <c r="D529" s="34" t="s">
        <v>76</v>
      </c>
      <c r="E529" s="12" t="s">
        <v>52</v>
      </c>
      <c r="F529" s="683">
        <f>+$E521*F$11</f>
        <v>281.13741051774042</v>
      </c>
      <c r="G529" s="683">
        <f>+$E521*G$11</f>
        <v>0</v>
      </c>
    </row>
    <row r="530" spans="1:7" s="9" customFormat="1" x14ac:dyDescent="0.25">
      <c r="A530" s="119"/>
      <c r="B530" s="310"/>
      <c r="C530" s="9">
        <f t="shared" ca="1" si="80"/>
        <v>1</v>
      </c>
      <c r="D530" s="34" t="s">
        <v>468</v>
      </c>
      <c r="E530" s="12" t="s">
        <v>51</v>
      </c>
      <c r="F530" s="683">
        <f>+$E521*F$12</f>
        <v>0</v>
      </c>
      <c r="G530" s="683">
        <f>+$E521*G$12</f>
        <v>0</v>
      </c>
    </row>
    <row r="531" spans="1:7" s="9" customFormat="1" x14ac:dyDescent="0.25">
      <c r="A531" s="119"/>
      <c r="B531" s="310"/>
      <c r="C531" s="9">
        <f t="shared" ca="1" si="80"/>
        <v>1</v>
      </c>
      <c r="D531" s="368" t="s">
        <v>59</v>
      </c>
      <c r="E531" s="12" t="s">
        <v>50</v>
      </c>
      <c r="F531" s="683">
        <f>+$E521*F$13</f>
        <v>44.516456361505469</v>
      </c>
      <c r="G531" s="683">
        <f>+$E521*G$13</f>
        <v>0</v>
      </c>
    </row>
    <row r="532" spans="1:7" s="9" customFormat="1" x14ac:dyDescent="0.25">
      <c r="A532" s="119"/>
      <c r="B532" s="310"/>
      <c r="C532" s="9">
        <f t="shared" ca="1" si="80"/>
        <v>1</v>
      </c>
      <c r="D532" s="368" t="s">
        <v>25</v>
      </c>
      <c r="E532" s="12" t="s">
        <v>49</v>
      </c>
      <c r="F532" s="683">
        <f>+$E521*F$14</f>
        <v>145.77328472301164</v>
      </c>
      <c r="G532" s="683">
        <f>+$E521*G$14</f>
        <v>0</v>
      </c>
    </row>
    <row r="533" spans="1:7" s="9" customFormat="1" x14ac:dyDescent="0.25">
      <c r="A533" s="119"/>
      <c r="B533" s="310"/>
      <c r="C533" s="9">
        <f t="shared" ca="1" si="80"/>
        <v>1</v>
      </c>
      <c r="D533" s="368" t="s">
        <v>80</v>
      </c>
      <c r="E533" s="12" t="s">
        <v>47</v>
      </c>
      <c r="F533" s="683">
        <f>+$E521*F$15</f>
        <v>543.87388849102274</v>
      </c>
      <c r="G533" s="683">
        <f>+$E521*G$15</f>
        <v>0</v>
      </c>
    </row>
    <row r="534" spans="1:7" s="9" customFormat="1" x14ac:dyDescent="0.25">
      <c r="A534" s="119"/>
      <c r="B534" s="310"/>
      <c r="C534" s="9">
        <f t="shared" ca="1" si="80"/>
        <v>1</v>
      </c>
      <c r="D534" s="368" t="s">
        <v>82</v>
      </c>
      <c r="E534" s="12" t="s">
        <v>77</v>
      </c>
      <c r="F534" s="683">
        <f>+$E521*F$16</f>
        <v>368.53957270542242</v>
      </c>
      <c r="G534" s="683">
        <f>+$E521*G$16</f>
        <v>0</v>
      </c>
    </row>
    <row r="535" spans="1:7" s="9" customFormat="1" x14ac:dyDescent="0.25">
      <c r="A535" s="119"/>
      <c r="B535" s="310"/>
      <c r="C535" s="9">
        <f t="shared" ca="1" si="80"/>
        <v>1</v>
      </c>
      <c r="D535" s="368" t="s">
        <v>84</v>
      </c>
      <c r="E535" s="12" t="s">
        <v>78</v>
      </c>
      <c r="F535" s="683">
        <f ca="1">+$E521*F$17</f>
        <v>26347.21450915009</v>
      </c>
      <c r="G535" s="683">
        <f>+$E521*G$17</f>
        <v>0</v>
      </c>
    </row>
    <row r="536" spans="1:7" s="9" customFormat="1" x14ac:dyDescent="0.25">
      <c r="A536" s="119"/>
      <c r="B536" s="310"/>
      <c r="C536" s="9">
        <f t="shared" ca="1" si="80"/>
        <v>1</v>
      </c>
      <c r="D536" s="368" t="s">
        <v>86</v>
      </c>
      <c r="E536" s="12" t="s">
        <v>79</v>
      </c>
      <c r="F536" s="683">
        <f>+$E$521*F18</f>
        <v>0</v>
      </c>
      <c r="G536" s="683">
        <f>+$E$521*G18</f>
        <v>0</v>
      </c>
    </row>
    <row r="537" spans="1:7" s="9" customFormat="1" x14ac:dyDescent="0.25">
      <c r="A537" s="119"/>
      <c r="B537" s="310"/>
      <c r="C537" s="9">
        <f t="shared" ca="1" si="80"/>
        <v>1</v>
      </c>
      <c r="D537" s="368" t="s">
        <v>386</v>
      </c>
      <c r="E537" s="12" t="s">
        <v>81</v>
      </c>
      <c r="F537" s="683">
        <f>+$E$521*F19</f>
        <v>0</v>
      </c>
      <c r="G537" s="683">
        <f>+$E$521*G19</f>
        <v>0</v>
      </c>
    </row>
    <row r="538" spans="1:7" s="9" customFormat="1" ht="15.75" thickBot="1" x14ac:dyDescent="0.3">
      <c r="A538" s="119"/>
      <c r="B538" s="310"/>
      <c r="C538" s="9">
        <f t="shared" ca="1" si="80"/>
        <v>1</v>
      </c>
      <c r="D538" s="35" t="s">
        <v>22</v>
      </c>
      <c r="E538" s="12" t="s">
        <v>83</v>
      </c>
      <c r="F538" s="685">
        <f ca="1">SUBTOTAL(9,F524:F537)</f>
        <v>30181.049881006191</v>
      </c>
      <c r="G538" s="685">
        <f>SUBTOTAL(9,G524:G537)</f>
        <v>0</v>
      </c>
    </row>
    <row r="539" spans="1:7" s="9" customFormat="1" ht="15.75" hidden="1" thickBot="1" x14ac:dyDescent="0.3">
      <c r="A539" s="119"/>
      <c r="B539" s="310"/>
      <c r="D539" s="326"/>
      <c r="E539" s="327"/>
      <c r="F539" s="686"/>
      <c r="G539" s="686"/>
    </row>
    <row r="540" spans="1:7" s="9" customFormat="1" ht="15.75" hidden="1" thickBot="1" x14ac:dyDescent="0.3">
      <c r="A540" s="119"/>
      <c r="B540" s="310"/>
      <c r="D540" s="326"/>
      <c r="E540" s="327"/>
      <c r="F540" s="686"/>
      <c r="G540" s="686"/>
    </row>
    <row r="541" spans="1:7" s="9" customFormat="1" ht="30" x14ac:dyDescent="0.25">
      <c r="A541" s="119"/>
      <c r="B541" s="310"/>
      <c r="C541" s="9">
        <f ca="1">IF(F558&gt;0,1,0)</f>
        <v>1</v>
      </c>
      <c r="D541" s="20" t="str">
        <f>+A31</f>
        <v>Monroe</v>
      </c>
      <c r="E541" s="19">
        <f>IFERROR(SUMIF(A:A,D541,B:B),0)</f>
        <v>3.1956436739103963E-2</v>
      </c>
      <c r="F541" s="652" t="s">
        <v>31</v>
      </c>
      <c r="G541" s="652" t="s">
        <v>32</v>
      </c>
    </row>
    <row r="542" spans="1:7" s="9" customFormat="1" x14ac:dyDescent="0.25">
      <c r="A542" s="119"/>
      <c r="B542" s="310"/>
      <c r="C542" s="9">
        <f ca="1">C541</f>
        <v>1</v>
      </c>
      <c r="D542" s="30"/>
      <c r="E542" s="31"/>
      <c r="F542" s="680" t="s">
        <v>54</v>
      </c>
      <c r="G542" s="680" t="s">
        <v>53</v>
      </c>
    </row>
    <row r="543" spans="1:7" s="9" customFormat="1" x14ac:dyDescent="0.25">
      <c r="A543" s="119"/>
      <c r="B543" s="310"/>
      <c r="C543" s="9">
        <f t="shared" ref="C543:C558" ca="1" si="86">C542</f>
        <v>1</v>
      </c>
      <c r="D543" s="32" t="s">
        <v>71</v>
      </c>
      <c r="E543" s="33"/>
      <c r="F543" s="681"/>
      <c r="G543" s="682"/>
    </row>
    <row r="544" spans="1:7" s="9" customFormat="1" x14ac:dyDescent="0.25">
      <c r="A544" s="119"/>
      <c r="B544" s="310"/>
      <c r="C544" s="9">
        <f t="shared" ca="1" si="86"/>
        <v>1</v>
      </c>
      <c r="D544" s="368" t="s">
        <v>72</v>
      </c>
      <c r="E544" s="12" t="s">
        <v>57</v>
      </c>
      <c r="F544" s="683">
        <f t="shared" ref="F544:G544" si="87">+$E541*F$6</f>
        <v>0</v>
      </c>
      <c r="G544" s="683">
        <f t="shared" si="87"/>
        <v>0</v>
      </c>
    </row>
    <row r="545" spans="1:7" s="9" customFormat="1" x14ac:dyDescent="0.25">
      <c r="A545" s="119"/>
      <c r="B545" s="310"/>
      <c r="C545" s="9">
        <f t="shared" ca="1" si="86"/>
        <v>1</v>
      </c>
      <c r="D545" s="368" t="s">
        <v>73</v>
      </c>
      <c r="E545" s="12" t="s">
        <v>56</v>
      </c>
      <c r="F545" s="683">
        <f t="shared" ref="F545:G545" si="88">+$E541*F$7</f>
        <v>14001.058514639035</v>
      </c>
      <c r="G545" s="683">
        <f t="shared" si="88"/>
        <v>0</v>
      </c>
    </row>
    <row r="546" spans="1:7" s="9" customFormat="1" x14ac:dyDescent="0.25">
      <c r="A546" s="119"/>
      <c r="B546" s="310"/>
      <c r="C546" s="9">
        <f t="shared" ca="1" si="86"/>
        <v>1</v>
      </c>
      <c r="D546" s="368" t="s">
        <v>74</v>
      </c>
      <c r="E546" s="12" t="s">
        <v>55</v>
      </c>
      <c r="F546" s="683">
        <f t="shared" ref="F546:G546" si="89">+$E541*F$8</f>
        <v>2098.9922920119252</v>
      </c>
      <c r="G546" s="683">
        <f t="shared" si="89"/>
        <v>0</v>
      </c>
    </row>
    <row r="547" spans="1:7" s="9" customFormat="1" x14ac:dyDescent="0.25">
      <c r="A547" s="119"/>
      <c r="B547" s="310"/>
      <c r="C547" s="9">
        <f t="shared" ca="1" si="86"/>
        <v>1</v>
      </c>
      <c r="D547" s="368" t="s">
        <v>75</v>
      </c>
      <c r="E547" s="12" t="s">
        <v>54</v>
      </c>
      <c r="F547" s="683">
        <f t="shared" ref="F547:G547" si="90">+$E541*F$9</f>
        <v>4290.0525312354021</v>
      </c>
      <c r="G547" s="683">
        <f t="shared" si="90"/>
        <v>0</v>
      </c>
    </row>
    <row r="548" spans="1:7" s="9" customFormat="1" x14ac:dyDescent="0.25">
      <c r="A548" s="119"/>
      <c r="B548" s="310"/>
      <c r="C548" s="9">
        <f t="shared" ca="1" si="86"/>
        <v>1</v>
      </c>
      <c r="D548" s="34" t="s">
        <v>467</v>
      </c>
      <c r="E548" s="12" t="s">
        <v>53</v>
      </c>
      <c r="F548" s="683">
        <f t="shared" ref="F548:G548" si="91">+$E541*F$10</f>
        <v>20542.760018775021</v>
      </c>
      <c r="G548" s="683">
        <f t="shared" si="91"/>
        <v>0</v>
      </c>
    </row>
    <row r="549" spans="1:7" s="9" customFormat="1" x14ac:dyDescent="0.25">
      <c r="A549" s="119"/>
      <c r="B549" s="310"/>
      <c r="C549" s="9">
        <f t="shared" ca="1" si="86"/>
        <v>1</v>
      </c>
      <c r="D549" s="34" t="s">
        <v>76</v>
      </c>
      <c r="E549" s="12" t="s">
        <v>52</v>
      </c>
      <c r="F549" s="683">
        <f>+$E541*F$11</f>
        <v>4697.0546229232468</v>
      </c>
      <c r="G549" s="683">
        <f>+$E541*G$11</f>
        <v>0</v>
      </c>
    </row>
    <row r="550" spans="1:7" s="9" customFormat="1" x14ac:dyDescent="0.25">
      <c r="A550" s="119"/>
      <c r="B550" s="310"/>
      <c r="C550" s="9">
        <f t="shared" ca="1" si="86"/>
        <v>1</v>
      </c>
      <c r="D550" s="34" t="s">
        <v>468</v>
      </c>
      <c r="E550" s="12" t="s">
        <v>51</v>
      </c>
      <c r="F550" s="683">
        <f>+$E541*F$12</f>
        <v>0</v>
      </c>
      <c r="G550" s="683">
        <f>+$E541*G$12</f>
        <v>0</v>
      </c>
    </row>
    <row r="551" spans="1:7" s="9" customFormat="1" x14ac:dyDescent="0.25">
      <c r="A551" s="119"/>
      <c r="B551" s="310"/>
      <c r="C551" s="9">
        <f t="shared" ca="1" si="86"/>
        <v>1</v>
      </c>
      <c r="D551" s="368" t="s">
        <v>59</v>
      </c>
      <c r="E551" s="12" t="s">
        <v>50</v>
      </c>
      <c r="F551" s="683">
        <f>+$E541*F$13</f>
        <v>743.75098911205123</v>
      </c>
      <c r="G551" s="683">
        <f>+$E541*G$13</f>
        <v>0</v>
      </c>
    </row>
    <row r="552" spans="1:7" s="9" customFormat="1" x14ac:dyDescent="0.25">
      <c r="A552" s="119"/>
      <c r="B552" s="310"/>
      <c r="C552" s="9">
        <f t="shared" ca="1" si="86"/>
        <v>1</v>
      </c>
      <c r="D552" s="368" t="s">
        <v>25</v>
      </c>
      <c r="E552" s="12" t="s">
        <v>49</v>
      </c>
      <c r="F552" s="683">
        <f>+$E541*F$14</f>
        <v>2435.4819219753822</v>
      </c>
      <c r="G552" s="683">
        <f>+$E541*G$14</f>
        <v>0</v>
      </c>
    </row>
    <row r="553" spans="1:7" s="9" customFormat="1" x14ac:dyDescent="0.25">
      <c r="A553" s="119"/>
      <c r="B553" s="310"/>
      <c r="C553" s="9">
        <f t="shared" ca="1" si="86"/>
        <v>1</v>
      </c>
      <c r="D553" s="368" t="s">
        <v>80</v>
      </c>
      <c r="E553" s="12" t="s">
        <v>47</v>
      </c>
      <c r="F553" s="683">
        <f>+$E541*F$15</f>
        <v>9086.678850457718</v>
      </c>
      <c r="G553" s="683">
        <f>+$E541*G$15</f>
        <v>0</v>
      </c>
    </row>
    <row r="554" spans="1:7" s="9" customFormat="1" x14ac:dyDescent="0.25">
      <c r="A554" s="119"/>
      <c r="B554" s="310"/>
      <c r="C554" s="9">
        <f t="shared" ca="1" si="86"/>
        <v>1</v>
      </c>
      <c r="D554" s="368" t="s">
        <v>82</v>
      </c>
      <c r="E554" s="12" t="s">
        <v>77</v>
      </c>
      <c r="F554" s="683">
        <f>+$E541*F$16</f>
        <v>6157.3111188520725</v>
      </c>
      <c r="G554" s="683">
        <f>+$E541*G$16</f>
        <v>0</v>
      </c>
    </row>
    <row r="555" spans="1:7" s="9" customFormat="1" x14ac:dyDescent="0.25">
      <c r="A555" s="119"/>
      <c r="B555" s="310"/>
      <c r="C555" s="9">
        <f t="shared" ca="1" si="86"/>
        <v>1</v>
      </c>
      <c r="D555" s="368" t="s">
        <v>84</v>
      </c>
      <c r="E555" s="12" t="s">
        <v>78</v>
      </c>
      <c r="F555" s="683">
        <f ca="1">+$E541*F$17</f>
        <v>440191.52585722739</v>
      </c>
      <c r="G555" s="683">
        <f>+$E541*G$17</f>
        <v>0</v>
      </c>
    </row>
    <row r="556" spans="1:7" s="9" customFormat="1" x14ac:dyDescent="0.25">
      <c r="A556" s="119"/>
      <c r="B556" s="310"/>
      <c r="C556" s="9">
        <f t="shared" ca="1" si="86"/>
        <v>1</v>
      </c>
      <c r="D556" s="368" t="s">
        <v>86</v>
      </c>
      <c r="E556" s="12" t="s">
        <v>79</v>
      </c>
      <c r="F556" s="683">
        <f>+$E$541*F$18</f>
        <v>0</v>
      </c>
      <c r="G556" s="683">
        <f>+$E$541*G$18</f>
        <v>0</v>
      </c>
    </row>
    <row r="557" spans="1:7" s="9" customFormat="1" x14ac:dyDescent="0.25">
      <c r="A557" s="119"/>
      <c r="B557" s="310"/>
      <c r="C557" s="9">
        <f t="shared" ca="1" si="86"/>
        <v>1</v>
      </c>
      <c r="D557" s="368" t="s">
        <v>386</v>
      </c>
      <c r="E557" s="12" t="s">
        <v>81</v>
      </c>
      <c r="F557" s="683">
        <f>+$E$541*F19</f>
        <v>0</v>
      </c>
      <c r="G557" s="683">
        <f>+$E$541*G19</f>
        <v>0</v>
      </c>
    </row>
    <row r="558" spans="1:7" s="9" customFormat="1" ht="15.75" thickBot="1" x14ac:dyDescent="0.3">
      <c r="A558" s="119"/>
      <c r="B558" s="310"/>
      <c r="C558" s="9">
        <f t="shared" ca="1" si="86"/>
        <v>1</v>
      </c>
      <c r="D558" s="35" t="s">
        <v>22</v>
      </c>
      <c r="E558" s="12" t="s">
        <v>83</v>
      </c>
      <c r="F558" s="685">
        <f ca="1">SUBTOTAL(9,F544:F557)</f>
        <v>504244.66671720927</v>
      </c>
      <c r="G558" s="685">
        <f>SUBTOTAL(9,G544:G557)</f>
        <v>0</v>
      </c>
    </row>
    <row r="559" spans="1:7" s="9" customFormat="1" ht="15.75" hidden="1" thickBot="1" x14ac:dyDescent="0.3">
      <c r="A559" s="119"/>
      <c r="B559" s="310"/>
      <c r="D559" s="326"/>
      <c r="E559" s="327"/>
      <c r="F559" s="686"/>
      <c r="G559" s="686"/>
    </row>
    <row r="560" spans="1:7" s="9" customFormat="1" ht="15.75" hidden="1" thickBot="1" x14ac:dyDescent="0.3">
      <c r="A560" s="119"/>
      <c r="B560" s="310"/>
      <c r="D560" s="326"/>
      <c r="E560" s="327"/>
      <c r="F560" s="686"/>
      <c r="G560" s="686"/>
    </row>
    <row r="561" spans="1:7" s="9" customFormat="1" ht="30" x14ac:dyDescent="0.25">
      <c r="A561" s="119"/>
      <c r="B561" s="310"/>
      <c r="C561" s="9">
        <f ca="1">IF(F578&gt;0,1,0)</f>
        <v>1</v>
      </c>
      <c r="D561" s="20" t="str">
        <f>+A32</f>
        <v>Montgomery</v>
      </c>
      <c r="E561" s="19">
        <f>IFERROR(SUMIF(A:A,D561,B:B),0)</f>
        <v>5.4683471425666123E-3</v>
      </c>
      <c r="F561" s="652" t="s">
        <v>31</v>
      </c>
      <c r="G561" s="652" t="s">
        <v>32</v>
      </c>
    </row>
    <row r="562" spans="1:7" s="9" customFormat="1" x14ac:dyDescent="0.25">
      <c r="A562" s="119"/>
      <c r="B562" s="310"/>
      <c r="C562" s="9">
        <f ca="1">C561</f>
        <v>1</v>
      </c>
      <c r="D562" s="30"/>
      <c r="E562" s="31"/>
      <c r="F562" s="680" t="s">
        <v>54</v>
      </c>
      <c r="G562" s="680" t="s">
        <v>53</v>
      </c>
    </row>
    <row r="563" spans="1:7" s="9" customFormat="1" x14ac:dyDescent="0.25">
      <c r="A563" s="119"/>
      <c r="B563" s="310"/>
      <c r="C563" s="9">
        <f t="shared" ref="C563:C578" ca="1" si="92">C562</f>
        <v>1</v>
      </c>
      <c r="D563" s="32" t="s">
        <v>71</v>
      </c>
      <c r="E563" s="33"/>
      <c r="F563" s="681"/>
      <c r="G563" s="682"/>
    </row>
    <row r="564" spans="1:7" s="9" customFormat="1" x14ac:dyDescent="0.25">
      <c r="A564" s="119"/>
      <c r="B564" s="310"/>
      <c r="C564" s="9">
        <f t="shared" ca="1" si="92"/>
        <v>1</v>
      </c>
      <c r="D564" s="368" t="s">
        <v>72</v>
      </c>
      <c r="E564" s="12" t="s">
        <v>57</v>
      </c>
      <c r="F564" s="683">
        <f t="shared" ref="F564:G564" si="93">+$E561*F$6</f>
        <v>0</v>
      </c>
      <c r="G564" s="683">
        <f t="shared" si="93"/>
        <v>0</v>
      </c>
    </row>
    <row r="565" spans="1:7" s="9" customFormat="1" x14ac:dyDescent="0.25">
      <c r="A565" s="119"/>
      <c r="B565" s="310"/>
      <c r="C565" s="9">
        <f t="shared" ca="1" si="92"/>
        <v>1</v>
      </c>
      <c r="D565" s="368" t="s">
        <v>73</v>
      </c>
      <c r="E565" s="12" t="s">
        <v>56</v>
      </c>
      <c r="F565" s="683">
        <f t="shared" ref="F565:G565" si="94">+$E561*F$7</f>
        <v>2395.8443473063217</v>
      </c>
      <c r="G565" s="683">
        <f t="shared" si="94"/>
        <v>0</v>
      </c>
    </row>
    <row r="566" spans="1:7" s="9" customFormat="1" x14ac:dyDescent="0.25">
      <c r="A566" s="119"/>
      <c r="B566" s="310"/>
      <c r="C566" s="9">
        <f t="shared" ca="1" si="92"/>
        <v>1</v>
      </c>
      <c r="D566" s="368" t="s">
        <v>74</v>
      </c>
      <c r="E566" s="12" t="s">
        <v>55</v>
      </c>
      <c r="F566" s="683">
        <f t="shared" ref="F566:G566" si="95">+$E561*F$8</f>
        <v>359.17704454976075</v>
      </c>
      <c r="G566" s="683">
        <f t="shared" si="95"/>
        <v>0</v>
      </c>
    </row>
    <row r="567" spans="1:7" s="9" customFormat="1" x14ac:dyDescent="0.25">
      <c r="A567" s="119"/>
      <c r="B567" s="310"/>
      <c r="C567" s="9">
        <f t="shared" ca="1" si="92"/>
        <v>1</v>
      </c>
      <c r="D567" s="368" t="s">
        <v>75</v>
      </c>
      <c r="E567" s="12" t="s">
        <v>54</v>
      </c>
      <c r="F567" s="683">
        <f t="shared" ref="F567:G567" si="96">+$E561*F$9</f>
        <v>734.10864584708895</v>
      </c>
      <c r="G567" s="683">
        <f t="shared" si="96"/>
        <v>0</v>
      </c>
    </row>
    <row r="568" spans="1:7" s="9" customFormat="1" x14ac:dyDescent="0.25">
      <c r="A568" s="119"/>
      <c r="B568" s="310"/>
      <c r="C568" s="9">
        <f t="shared" ca="1" si="92"/>
        <v>1</v>
      </c>
      <c r="D568" s="34" t="s">
        <v>467</v>
      </c>
      <c r="E568" s="12" t="s">
        <v>53</v>
      </c>
      <c r="F568" s="683">
        <f t="shared" ref="F568:G568" si="97">+$E561*F$10</f>
        <v>3515.2524659183837</v>
      </c>
      <c r="G568" s="683">
        <f t="shared" si="97"/>
        <v>0</v>
      </c>
    </row>
    <row r="569" spans="1:7" s="9" customFormat="1" x14ac:dyDescent="0.25">
      <c r="A569" s="119"/>
      <c r="B569" s="310"/>
      <c r="C569" s="9">
        <f t="shared" ca="1" si="92"/>
        <v>1</v>
      </c>
      <c r="D569" s="34" t="s">
        <v>76</v>
      </c>
      <c r="E569" s="12" t="s">
        <v>52</v>
      </c>
      <c r="F569" s="683">
        <f>+$E561*F$11</f>
        <v>803.75435582627563</v>
      </c>
      <c r="G569" s="683">
        <f>+$E561*G$11</f>
        <v>0</v>
      </c>
    </row>
    <row r="570" spans="1:7" s="9" customFormat="1" x14ac:dyDescent="0.25">
      <c r="A570" s="119"/>
      <c r="B570" s="310"/>
      <c r="C570" s="9">
        <f t="shared" ca="1" si="92"/>
        <v>1</v>
      </c>
      <c r="D570" s="34" t="s">
        <v>468</v>
      </c>
      <c r="E570" s="12" t="s">
        <v>51</v>
      </c>
      <c r="F570" s="683">
        <f>+$E561*F$12</f>
        <v>0</v>
      </c>
      <c r="G570" s="683">
        <f>+$E561*G$12</f>
        <v>0</v>
      </c>
    </row>
    <row r="571" spans="1:7" s="9" customFormat="1" x14ac:dyDescent="0.25">
      <c r="A571" s="119"/>
      <c r="B571" s="310"/>
      <c r="C571" s="9">
        <f t="shared" ca="1" si="92"/>
        <v>1</v>
      </c>
      <c r="D571" s="368" t="s">
        <v>59</v>
      </c>
      <c r="E571" s="12" t="s">
        <v>50</v>
      </c>
      <c r="F571" s="683">
        <f>+$E561*F$13</f>
        <v>127.26977758177978</v>
      </c>
      <c r="G571" s="683">
        <f>+$E561*G$13</f>
        <v>0</v>
      </c>
    </row>
    <row r="572" spans="1:7" s="9" customFormat="1" x14ac:dyDescent="0.25">
      <c r="A572" s="119"/>
      <c r="B572" s="310"/>
      <c r="C572" s="9">
        <f t="shared" ca="1" si="92"/>
        <v>1</v>
      </c>
      <c r="D572" s="368" t="s">
        <v>25</v>
      </c>
      <c r="E572" s="12" t="s">
        <v>49</v>
      </c>
      <c r="F572" s="683">
        <f>+$E561*F$14</f>
        <v>416.75674661530343</v>
      </c>
      <c r="G572" s="683">
        <f>+$E561*G$14</f>
        <v>0</v>
      </c>
    </row>
    <row r="573" spans="1:7" s="9" customFormat="1" x14ac:dyDescent="0.25">
      <c r="A573" s="119"/>
      <c r="B573" s="310"/>
      <c r="C573" s="9">
        <f t="shared" ca="1" si="92"/>
        <v>1</v>
      </c>
      <c r="D573" s="368" t="s">
        <v>80</v>
      </c>
      <c r="E573" s="12" t="s">
        <v>47</v>
      </c>
      <c r="F573" s="683">
        <f>+$E561*F$15</f>
        <v>1554.9015909686239</v>
      </c>
      <c r="G573" s="683">
        <f>+$E561*G$15</f>
        <v>0</v>
      </c>
    </row>
    <row r="574" spans="1:7" s="9" customFormat="1" x14ac:dyDescent="0.25">
      <c r="A574" s="119"/>
      <c r="B574" s="310"/>
      <c r="C574" s="9">
        <f t="shared" ca="1" si="92"/>
        <v>1</v>
      </c>
      <c r="D574" s="368" t="s">
        <v>82</v>
      </c>
      <c r="E574" s="12" t="s">
        <v>77</v>
      </c>
      <c r="F574" s="683">
        <f>+$E561*F$16</f>
        <v>1053.6316967237835</v>
      </c>
      <c r="G574" s="683">
        <f>+$E561*G$16</f>
        <v>0</v>
      </c>
    </row>
    <row r="575" spans="1:7" s="9" customFormat="1" x14ac:dyDescent="0.25">
      <c r="A575" s="119"/>
      <c r="B575" s="310"/>
      <c r="C575" s="9">
        <f t="shared" ca="1" si="92"/>
        <v>1</v>
      </c>
      <c r="D575" s="368" t="s">
        <v>84</v>
      </c>
      <c r="E575" s="12" t="s">
        <v>78</v>
      </c>
      <c r="F575" s="683">
        <f ca="1">+$E561*F$17</f>
        <v>75325.046163795181</v>
      </c>
      <c r="G575" s="683">
        <f>+$E561*G$17</f>
        <v>0</v>
      </c>
    </row>
    <row r="576" spans="1:7" s="9" customFormat="1" x14ac:dyDescent="0.25">
      <c r="A576" s="119"/>
      <c r="B576" s="310"/>
      <c r="C576" s="9">
        <f t="shared" ca="1" si="92"/>
        <v>1</v>
      </c>
      <c r="D576" s="368" t="s">
        <v>86</v>
      </c>
      <c r="E576" s="12" t="s">
        <v>79</v>
      </c>
      <c r="F576" s="683">
        <f>+$E$561*F$18</f>
        <v>0</v>
      </c>
      <c r="G576" s="683">
        <f>+$E$561*G$18</f>
        <v>0</v>
      </c>
    </row>
    <row r="577" spans="3:8" x14ac:dyDescent="0.25">
      <c r="C577" s="9">
        <f t="shared" ca="1" si="92"/>
        <v>1</v>
      </c>
      <c r="D577" s="368" t="s">
        <v>386</v>
      </c>
      <c r="E577" s="12" t="s">
        <v>81</v>
      </c>
      <c r="F577" s="683">
        <f>+$E$561*F19</f>
        <v>0</v>
      </c>
      <c r="G577" s="683">
        <f>+$E$561*G19</f>
        <v>0</v>
      </c>
      <c r="H577" s="9"/>
    </row>
    <row r="578" spans="3:8" ht="15.75" thickBot="1" x14ac:dyDescent="0.3">
      <c r="C578" s="9">
        <f t="shared" ca="1" si="92"/>
        <v>1</v>
      </c>
      <c r="D578" s="35" t="s">
        <v>22</v>
      </c>
      <c r="E578" s="12" t="s">
        <v>83</v>
      </c>
      <c r="F578" s="685">
        <f ca="1">SUBTOTAL(9,F564:F577)</f>
        <v>86285.742835132507</v>
      </c>
      <c r="G578" s="685">
        <f>SUBTOTAL(9,G564:G577)</f>
        <v>0</v>
      </c>
      <c r="H578" s="9"/>
    </row>
    <row r="579" spans="3:8" ht="15.75" hidden="1" thickBot="1" x14ac:dyDescent="0.3">
      <c r="D579" s="326"/>
      <c r="E579" s="327"/>
      <c r="F579" s="686"/>
      <c r="G579" s="686"/>
      <c r="H579" s="9"/>
    </row>
    <row r="580" spans="3:8" ht="15.75" hidden="1" thickBot="1" x14ac:dyDescent="0.3">
      <c r="D580" s="326"/>
      <c r="E580" s="327"/>
      <c r="F580" s="686"/>
      <c r="G580" s="686"/>
      <c r="H580" s="9"/>
    </row>
    <row r="581" spans="3:8" ht="30" x14ac:dyDescent="0.25">
      <c r="C581" s="9">
        <f ca="1">IF(F598&gt;0,1,0)</f>
        <v>1</v>
      </c>
      <c r="D581" s="20" t="str">
        <f>+A33</f>
        <v>Nassau</v>
      </c>
      <c r="E581" s="19">
        <f>IFERROR(SUMIF(A:A,D581,B:B),0)</f>
        <v>5.1693236147688171E-2</v>
      </c>
      <c r="F581" s="652" t="s">
        <v>31</v>
      </c>
      <c r="G581" s="652" t="s">
        <v>32</v>
      </c>
    </row>
    <row r="582" spans="3:8" x14ac:dyDescent="0.25">
      <c r="C582" s="9">
        <f ca="1">C581</f>
        <v>1</v>
      </c>
      <c r="D582" s="30"/>
      <c r="E582" s="31"/>
      <c r="F582" s="680" t="s">
        <v>54</v>
      </c>
      <c r="G582" s="680" t="s">
        <v>53</v>
      </c>
    </row>
    <row r="583" spans="3:8" x14ac:dyDescent="0.25">
      <c r="C583" s="9">
        <f t="shared" ref="C583:C598" ca="1" si="98">C582</f>
        <v>1</v>
      </c>
      <c r="D583" s="32" t="s">
        <v>71</v>
      </c>
      <c r="E583" s="33"/>
      <c r="F583" s="681"/>
      <c r="G583" s="682"/>
    </row>
    <row r="584" spans="3:8" x14ac:dyDescent="0.25">
      <c r="C584" s="9">
        <f t="shared" ca="1" si="98"/>
        <v>1</v>
      </c>
      <c r="D584" s="368" t="s">
        <v>72</v>
      </c>
      <c r="E584" s="12" t="s">
        <v>57</v>
      </c>
      <c r="F584" s="683">
        <f t="shared" ref="F584:G584" si="99">+$E581*F$6</f>
        <v>0</v>
      </c>
      <c r="G584" s="683">
        <f t="shared" si="99"/>
        <v>0</v>
      </c>
    </row>
    <row r="585" spans="3:8" x14ac:dyDescent="0.25">
      <c r="C585" s="9">
        <f t="shared" ca="1" si="98"/>
        <v>1</v>
      </c>
      <c r="D585" s="368" t="s">
        <v>73</v>
      </c>
      <c r="E585" s="12" t="s">
        <v>56</v>
      </c>
      <c r="F585" s="683">
        <f t="shared" ref="F585:G585" si="100">+$E581*F$7</f>
        <v>22648.333104960861</v>
      </c>
      <c r="G585" s="683">
        <f t="shared" si="100"/>
        <v>0</v>
      </c>
    </row>
    <row r="586" spans="3:8" x14ac:dyDescent="0.25">
      <c r="C586" s="9">
        <f t="shared" ca="1" si="98"/>
        <v>1</v>
      </c>
      <c r="D586" s="368" t="s">
        <v>74</v>
      </c>
      <c r="E586" s="12" t="s">
        <v>55</v>
      </c>
      <c r="F586" s="683">
        <f t="shared" ref="F586:G586" si="101">+$E581*F$8</f>
        <v>3395.3630409105513</v>
      </c>
      <c r="G586" s="683">
        <f t="shared" si="101"/>
        <v>0</v>
      </c>
    </row>
    <row r="587" spans="3:8" x14ac:dyDescent="0.25">
      <c r="C587" s="9">
        <f t="shared" ca="1" si="98"/>
        <v>1</v>
      </c>
      <c r="D587" s="368" t="s">
        <v>75</v>
      </c>
      <c r="E587" s="12" t="s">
        <v>54</v>
      </c>
      <c r="F587" s="683">
        <f t="shared" ref="F587:G587" si="102">+$E581*F$9</f>
        <v>6939.6566455036254</v>
      </c>
      <c r="G587" s="683">
        <f t="shared" si="102"/>
        <v>0</v>
      </c>
    </row>
    <row r="588" spans="3:8" x14ac:dyDescent="0.25">
      <c r="C588" s="9">
        <f t="shared" ca="1" si="98"/>
        <v>1</v>
      </c>
      <c r="D588" s="34" t="s">
        <v>467</v>
      </c>
      <c r="E588" s="12" t="s">
        <v>53</v>
      </c>
      <c r="F588" s="683">
        <f t="shared" ref="F588:G588" si="103">+$E581*F$10</f>
        <v>33230.292646375936</v>
      </c>
      <c r="G588" s="683">
        <f t="shared" si="103"/>
        <v>0</v>
      </c>
    </row>
    <row r="589" spans="3:8" x14ac:dyDescent="0.25">
      <c r="C589" s="9">
        <f t="shared" ca="1" si="98"/>
        <v>1</v>
      </c>
      <c r="D589" s="34" t="s">
        <v>76</v>
      </c>
      <c r="E589" s="12" t="s">
        <v>52</v>
      </c>
      <c r="F589" s="683">
        <f>+$E581*F$11</f>
        <v>7598.0296490393357</v>
      </c>
      <c r="G589" s="683">
        <f>+$E581*G$11</f>
        <v>0</v>
      </c>
    </row>
    <row r="590" spans="3:8" x14ac:dyDescent="0.25">
      <c r="C590" s="9">
        <f t="shared" ca="1" si="98"/>
        <v>1</v>
      </c>
      <c r="D590" s="34" t="s">
        <v>468</v>
      </c>
      <c r="E590" s="12" t="s">
        <v>51</v>
      </c>
      <c r="F590" s="683">
        <f>+$E581*F$12</f>
        <v>0</v>
      </c>
      <c r="G590" s="683">
        <f>+$E581*G$12</f>
        <v>0</v>
      </c>
    </row>
    <row r="591" spans="3:8" x14ac:dyDescent="0.25">
      <c r="C591" s="9">
        <f t="shared" ca="1" si="98"/>
        <v>1</v>
      </c>
      <c r="D591" s="368" t="s">
        <v>59</v>
      </c>
      <c r="E591" s="12" t="s">
        <v>50</v>
      </c>
      <c r="F591" s="683">
        <f>+$E581*F$13</f>
        <v>1203.1033318617719</v>
      </c>
      <c r="G591" s="683">
        <f>+$E581*G$13</f>
        <v>0</v>
      </c>
    </row>
    <row r="592" spans="3:8" x14ac:dyDescent="0.25">
      <c r="C592" s="9">
        <f t="shared" ca="1" si="98"/>
        <v>1</v>
      </c>
      <c r="D592" s="368" t="s">
        <v>25</v>
      </c>
      <c r="E592" s="12" t="s">
        <v>49</v>
      </c>
      <c r="F592" s="683">
        <f>+$E581*F$14</f>
        <v>3939.6739741024389</v>
      </c>
      <c r="G592" s="683">
        <f>+$E581*G$14</f>
        <v>0</v>
      </c>
    </row>
    <row r="593" spans="3:8" x14ac:dyDescent="0.25">
      <c r="C593" s="9">
        <f t="shared" ca="1" si="98"/>
        <v>1</v>
      </c>
      <c r="D593" s="368" t="s">
        <v>80</v>
      </c>
      <c r="E593" s="12" t="s">
        <v>47</v>
      </c>
      <c r="F593" s="683">
        <f>+$E581*F$15</f>
        <v>14698.755041113045</v>
      </c>
      <c r="G593" s="683">
        <f>+$E581*G$15</f>
        <v>0</v>
      </c>
    </row>
    <row r="594" spans="3:8" x14ac:dyDescent="0.25">
      <c r="C594" s="9">
        <f t="shared" ca="1" si="98"/>
        <v>1</v>
      </c>
      <c r="D594" s="368" t="s">
        <v>82</v>
      </c>
      <c r="E594" s="12" t="s">
        <v>77</v>
      </c>
      <c r="F594" s="683">
        <f>+$E581*F$16</f>
        <v>9960.1635908337794</v>
      </c>
      <c r="G594" s="683">
        <f>+$E581*G$16</f>
        <v>0</v>
      </c>
    </row>
    <row r="595" spans="3:8" x14ac:dyDescent="0.25">
      <c r="C595" s="9">
        <f t="shared" ca="1" si="98"/>
        <v>1</v>
      </c>
      <c r="D595" s="368" t="s">
        <v>84</v>
      </c>
      <c r="E595" s="12" t="s">
        <v>78</v>
      </c>
      <c r="F595" s="683">
        <f ca="1">+$E581*F$17</f>
        <v>712060.75577582908</v>
      </c>
      <c r="G595" s="683">
        <f>+$E581*G$17</f>
        <v>0</v>
      </c>
    </row>
    <row r="596" spans="3:8" x14ac:dyDescent="0.25">
      <c r="C596" s="9">
        <f t="shared" ca="1" si="98"/>
        <v>1</v>
      </c>
      <c r="D596" s="368" t="s">
        <v>86</v>
      </c>
      <c r="E596" s="12" t="s">
        <v>79</v>
      </c>
      <c r="F596" s="683">
        <f>+$E$581*F18</f>
        <v>0</v>
      </c>
      <c r="G596" s="683">
        <f>+$E$581*G18</f>
        <v>0</v>
      </c>
    </row>
    <row r="597" spans="3:8" x14ac:dyDescent="0.25">
      <c r="C597" s="9">
        <f t="shared" ca="1" si="98"/>
        <v>1</v>
      </c>
      <c r="D597" s="368" t="s">
        <v>386</v>
      </c>
      <c r="E597" s="12" t="s">
        <v>81</v>
      </c>
      <c r="F597" s="683">
        <f>+$E$581*F19</f>
        <v>0</v>
      </c>
      <c r="G597" s="683">
        <f>+$E$581*G19</f>
        <v>0</v>
      </c>
    </row>
    <row r="598" spans="3:8" ht="15.75" thickBot="1" x14ac:dyDescent="0.3">
      <c r="C598" s="9">
        <f t="shared" ca="1" si="98"/>
        <v>1</v>
      </c>
      <c r="D598" s="35" t="s">
        <v>22</v>
      </c>
      <c r="E598" s="12" t="s">
        <v>83</v>
      </c>
      <c r="F598" s="685">
        <f ca="1">SUBTOTAL(9,F584:F597)</f>
        <v>815674.12680053036</v>
      </c>
      <c r="G598" s="685">
        <f>SUBTOTAL(9,G584:G597)</f>
        <v>0</v>
      </c>
    </row>
    <row r="599" spans="3:8" ht="15.75" hidden="1" thickBot="1" x14ac:dyDescent="0.3">
      <c r="D599" s="326"/>
      <c r="E599" s="327"/>
      <c r="F599" s="686"/>
      <c r="G599" s="686"/>
      <c r="H599" s="9"/>
    </row>
    <row r="600" spans="3:8" ht="30" x14ac:dyDescent="0.25">
      <c r="C600" s="9">
        <f ca="1">IF(F617&gt;0,1,0)</f>
        <v>1</v>
      </c>
      <c r="D600" s="20" t="str">
        <f>+A34</f>
        <v>New York</v>
      </c>
      <c r="E600" s="19">
        <f>IFERROR(SUMIF(A:A,D600,B:B),0)</f>
        <v>6.8695669215824678E-2</v>
      </c>
      <c r="F600" s="652" t="s">
        <v>31</v>
      </c>
      <c r="G600" s="652" t="s">
        <v>32</v>
      </c>
    </row>
    <row r="601" spans="3:8" x14ac:dyDescent="0.25">
      <c r="C601" s="9">
        <f ca="1">C600</f>
        <v>1</v>
      </c>
      <c r="D601" s="30"/>
      <c r="E601" s="31"/>
      <c r="F601" s="680" t="s">
        <v>54</v>
      </c>
      <c r="G601" s="680" t="s">
        <v>53</v>
      </c>
    </row>
    <row r="602" spans="3:8" x14ac:dyDescent="0.25">
      <c r="C602" s="9">
        <f t="shared" ref="C602:C617" ca="1" si="104">C601</f>
        <v>1</v>
      </c>
      <c r="D602" s="32" t="s">
        <v>71</v>
      </c>
      <c r="E602" s="33"/>
      <c r="F602" s="681"/>
      <c r="G602" s="682"/>
    </row>
    <row r="603" spans="3:8" x14ac:dyDescent="0.25">
      <c r="C603" s="9">
        <f t="shared" ca="1" si="104"/>
        <v>1</v>
      </c>
      <c r="D603" s="368" t="s">
        <v>72</v>
      </c>
      <c r="E603" s="12" t="s">
        <v>57</v>
      </c>
      <c r="F603" s="683">
        <f t="shared" ref="F603:G603" si="105">+$E600*F$6</f>
        <v>0</v>
      </c>
      <c r="G603" s="683">
        <f t="shared" si="105"/>
        <v>0</v>
      </c>
    </row>
    <row r="604" spans="3:8" x14ac:dyDescent="0.25">
      <c r="C604" s="9">
        <f t="shared" ca="1" si="104"/>
        <v>1</v>
      </c>
      <c r="D604" s="368" t="s">
        <v>73</v>
      </c>
      <c r="E604" s="12" t="s">
        <v>56</v>
      </c>
      <c r="F604" s="683">
        <f t="shared" ref="F604:G604" si="106">+$E600*F$7</f>
        <v>30097.601063766699</v>
      </c>
      <c r="G604" s="683">
        <f t="shared" si="106"/>
        <v>0</v>
      </c>
    </row>
    <row r="605" spans="3:8" x14ac:dyDescent="0.25">
      <c r="C605" s="9">
        <f t="shared" ca="1" si="104"/>
        <v>1</v>
      </c>
      <c r="D605" s="368" t="s">
        <v>74</v>
      </c>
      <c r="E605" s="12" t="s">
        <v>55</v>
      </c>
      <c r="F605" s="683">
        <f t="shared" ref="F605:G605" si="107">+$E600*F$8</f>
        <v>4512.1326058914019</v>
      </c>
      <c r="G605" s="683">
        <f t="shared" si="107"/>
        <v>0</v>
      </c>
    </row>
    <row r="606" spans="3:8" x14ac:dyDescent="0.25">
      <c r="C606" s="9">
        <f t="shared" ca="1" si="104"/>
        <v>1</v>
      </c>
      <c r="D606" s="368" t="s">
        <v>75</v>
      </c>
      <c r="E606" s="12" t="s">
        <v>54</v>
      </c>
      <c r="F606" s="683">
        <f t="shared" ref="F606:G606" si="108">+$E600*F$9</f>
        <v>9222.1805581857861</v>
      </c>
      <c r="G606" s="683">
        <f t="shared" si="108"/>
        <v>0</v>
      </c>
    </row>
    <row r="607" spans="3:8" x14ac:dyDescent="0.25">
      <c r="C607" s="9">
        <f t="shared" ca="1" si="104"/>
        <v>1</v>
      </c>
      <c r="D607" s="34" t="s">
        <v>467</v>
      </c>
      <c r="E607" s="12" t="s">
        <v>53</v>
      </c>
      <c r="F607" s="683">
        <f t="shared" ref="F607:G607" si="109">+$E600*F$10</f>
        <v>44160.075121986403</v>
      </c>
      <c r="G607" s="683">
        <f t="shared" si="109"/>
        <v>0</v>
      </c>
    </row>
    <row r="608" spans="3:8" x14ac:dyDescent="0.25">
      <c r="C608" s="9">
        <f t="shared" ca="1" si="104"/>
        <v>1</v>
      </c>
      <c r="D608" s="34" t="s">
        <v>76</v>
      </c>
      <c r="E608" s="12" t="s">
        <v>52</v>
      </c>
      <c r="F608" s="683">
        <f>+$E600*F$11</f>
        <v>10097.099163442052</v>
      </c>
      <c r="G608" s="683">
        <f>+$E600*G$11</f>
        <v>0</v>
      </c>
    </row>
    <row r="609" spans="3:8" x14ac:dyDescent="0.25">
      <c r="C609" s="9">
        <f t="shared" ca="1" si="104"/>
        <v>1</v>
      </c>
      <c r="D609" s="34" t="s">
        <v>468</v>
      </c>
      <c r="E609" s="12" t="s">
        <v>51</v>
      </c>
      <c r="F609" s="683">
        <f>+$E600*F$12</f>
        <v>0</v>
      </c>
      <c r="G609" s="683">
        <f>+$E600*G$12</f>
        <v>0</v>
      </c>
    </row>
    <row r="610" spans="3:8" x14ac:dyDescent="0.25">
      <c r="C610" s="9">
        <f t="shared" ca="1" si="104"/>
        <v>1</v>
      </c>
      <c r="D610" s="368" t="s">
        <v>59</v>
      </c>
      <c r="E610" s="12" t="s">
        <v>50</v>
      </c>
      <c r="F610" s="683">
        <f>+$E600*F$13</f>
        <v>1598.8162993298888</v>
      </c>
      <c r="G610" s="683">
        <f>+$E600*G$13</f>
        <v>0</v>
      </c>
    </row>
    <row r="611" spans="3:8" x14ac:dyDescent="0.25">
      <c r="C611" s="9">
        <f t="shared" ca="1" si="104"/>
        <v>1</v>
      </c>
      <c r="D611" s="368" t="s">
        <v>25</v>
      </c>
      <c r="E611" s="12" t="s">
        <v>49</v>
      </c>
      <c r="F611" s="683">
        <f>+$E600*F$14</f>
        <v>5235.4729614899161</v>
      </c>
      <c r="G611" s="683">
        <f>+$E600*G$14</f>
        <v>0</v>
      </c>
    </row>
    <row r="612" spans="3:8" x14ac:dyDescent="0.25">
      <c r="C612" s="9">
        <f t="shared" ca="1" si="104"/>
        <v>1</v>
      </c>
      <c r="D612" s="368" t="s">
        <v>80</v>
      </c>
      <c r="E612" s="12" t="s">
        <v>47</v>
      </c>
      <c r="F612" s="683">
        <f>+$E600*F$15</f>
        <v>19533.325623180102</v>
      </c>
      <c r="G612" s="683">
        <f>+$E600*G$15</f>
        <v>0</v>
      </c>
    </row>
    <row r="613" spans="3:8" x14ac:dyDescent="0.25">
      <c r="C613" s="9">
        <f t="shared" ca="1" si="104"/>
        <v>1</v>
      </c>
      <c r="D613" s="368" t="s">
        <v>82</v>
      </c>
      <c r="E613" s="12" t="s">
        <v>77</v>
      </c>
      <c r="F613" s="683">
        <f>+$E600*F$16</f>
        <v>13236.163072023448</v>
      </c>
      <c r="G613" s="683">
        <f>+$E600*G$16</f>
        <v>0</v>
      </c>
    </row>
    <row r="614" spans="3:8" x14ac:dyDescent="0.25">
      <c r="C614" s="9">
        <f t="shared" ca="1" si="104"/>
        <v>1</v>
      </c>
      <c r="D614" s="368" t="s">
        <v>84</v>
      </c>
      <c r="E614" s="12" t="s">
        <v>78</v>
      </c>
      <c r="F614" s="683">
        <f ca="1">+$E600*F$17</f>
        <v>946264.80726790556</v>
      </c>
      <c r="G614" s="683">
        <f>+$E600*G$17</f>
        <v>0</v>
      </c>
    </row>
    <row r="615" spans="3:8" x14ac:dyDescent="0.25">
      <c r="C615" s="9">
        <f t="shared" ca="1" si="104"/>
        <v>1</v>
      </c>
      <c r="D615" s="368" t="s">
        <v>86</v>
      </c>
      <c r="E615" s="12" t="s">
        <v>79</v>
      </c>
      <c r="F615" s="683">
        <f>+$E$600*F18</f>
        <v>0</v>
      </c>
      <c r="G615" s="683">
        <f>+$E$600*G18</f>
        <v>0</v>
      </c>
    </row>
    <row r="616" spans="3:8" x14ac:dyDescent="0.25">
      <c r="C616" s="9">
        <f t="shared" ca="1" si="104"/>
        <v>1</v>
      </c>
      <c r="D616" s="368" t="s">
        <v>386</v>
      </c>
      <c r="E616" s="12" t="s">
        <v>81</v>
      </c>
      <c r="F616" s="683">
        <f>+$E$600*F19</f>
        <v>0</v>
      </c>
      <c r="G616" s="683">
        <f>+$E$600*G19</f>
        <v>0</v>
      </c>
    </row>
    <row r="617" spans="3:8" ht="15.75" thickBot="1" x14ac:dyDescent="0.3">
      <c r="C617" s="9">
        <f t="shared" ca="1" si="104"/>
        <v>1</v>
      </c>
      <c r="D617" s="35" t="s">
        <v>22</v>
      </c>
      <c r="E617" s="12" t="s">
        <v>83</v>
      </c>
      <c r="F617" s="685">
        <f ca="1">SUBTOTAL(9,F603:F616)</f>
        <v>1083957.6737372014</v>
      </c>
      <c r="G617" s="685">
        <f>SUBTOTAL(9,G603:G616)</f>
        <v>0</v>
      </c>
    </row>
    <row r="618" spans="3:8" ht="15.75" hidden="1" thickBot="1" x14ac:dyDescent="0.3">
      <c r="D618" s="326"/>
      <c r="E618" s="327"/>
      <c r="F618" s="686"/>
      <c r="G618" s="686"/>
      <c r="H618" s="9"/>
    </row>
    <row r="619" spans="3:8" ht="15.75" hidden="1" thickBot="1" x14ac:dyDescent="0.3">
      <c r="D619" s="326"/>
      <c r="E619" s="327"/>
      <c r="F619" s="686"/>
      <c r="G619" s="686"/>
      <c r="H619" s="9"/>
    </row>
    <row r="620" spans="3:8" ht="30" x14ac:dyDescent="0.25">
      <c r="C620" s="9">
        <f ca="1">IF(F637&gt;0,1,0)</f>
        <v>1</v>
      </c>
      <c r="D620" s="20" t="str">
        <f>+A35</f>
        <v>Niagara</v>
      </c>
      <c r="E620" s="19">
        <f>IFERROR(SUMIF(A:A,D620,B:B),0)</f>
        <v>5.8328093760351305E-3</v>
      </c>
      <c r="F620" s="652" t="s">
        <v>31</v>
      </c>
      <c r="G620" s="652" t="s">
        <v>32</v>
      </c>
      <c r="H620" s="9"/>
    </row>
    <row r="621" spans="3:8" x14ac:dyDescent="0.25">
      <c r="C621" s="9">
        <f ca="1">C620</f>
        <v>1</v>
      </c>
      <c r="D621" s="30"/>
      <c r="E621" s="31"/>
      <c r="F621" s="680" t="s">
        <v>54</v>
      </c>
      <c r="G621" s="680" t="s">
        <v>53</v>
      </c>
      <c r="H621" s="9"/>
    </row>
    <row r="622" spans="3:8" x14ac:dyDescent="0.25">
      <c r="C622" s="9">
        <f t="shared" ref="C622:C637" ca="1" si="110">C621</f>
        <v>1</v>
      </c>
      <c r="D622" s="32" t="s">
        <v>71</v>
      </c>
      <c r="E622" s="33"/>
      <c r="F622" s="681"/>
      <c r="G622" s="682"/>
      <c r="H622" s="9"/>
    </row>
    <row r="623" spans="3:8" x14ac:dyDescent="0.25">
      <c r="C623" s="9">
        <f t="shared" ca="1" si="110"/>
        <v>1</v>
      </c>
      <c r="D623" s="368" t="s">
        <v>72</v>
      </c>
      <c r="E623" s="12" t="s">
        <v>57</v>
      </c>
      <c r="F623" s="683">
        <f t="shared" ref="F623:G623" si="111">+$E620*F$6</f>
        <v>0</v>
      </c>
      <c r="G623" s="683">
        <f t="shared" si="111"/>
        <v>0</v>
      </c>
      <c r="H623" s="9"/>
    </row>
    <row r="624" spans="3:8" x14ac:dyDescent="0.25">
      <c r="C624" s="9">
        <f t="shared" ca="1" si="110"/>
        <v>1</v>
      </c>
      <c r="D624" s="368" t="s">
        <v>73</v>
      </c>
      <c r="E624" s="12" t="s">
        <v>56</v>
      </c>
      <c r="F624" s="683">
        <f t="shared" ref="F624:G624" si="112">+$E620*F$7</f>
        <v>2555.526013282697</v>
      </c>
      <c r="G624" s="683">
        <f t="shared" si="112"/>
        <v>0</v>
      </c>
      <c r="H624" s="9"/>
    </row>
    <row r="625" spans="1:7" s="9" customFormat="1" x14ac:dyDescent="0.25">
      <c r="A625" s="119"/>
      <c r="B625" s="310"/>
      <c r="C625" s="9">
        <f t="shared" ca="1" si="110"/>
        <v>1</v>
      </c>
      <c r="D625" s="368" t="s">
        <v>74</v>
      </c>
      <c r="E625" s="12" t="s">
        <v>55</v>
      </c>
      <c r="F625" s="683">
        <f t="shared" ref="F625:G625" si="113">+$E620*F$8</f>
        <v>383.11599071655172</v>
      </c>
      <c r="G625" s="683">
        <f t="shared" si="113"/>
        <v>0</v>
      </c>
    </row>
    <row r="626" spans="1:7" s="9" customFormat="1" x14ac:dyDescent="0.25">
      <c r="A626" s="119"/>
      <c r="B626" s="310"/>
      <c r="C626" s="9">
        <f t="shared" ca="1" si="110"/>
        <v>1</v>
      </c>
      <c r="D626" s="368" t="s">
        <v>75</v>
      </c>
      <c r="E626" s="12" t="s">
        <v>54</v>
      </c>
      <c r="F626" s="683">
        <f t="shared" ref="F626:G626" si="114">+$E620*F$9</f>
        <v>783.03657044633087</v>
      </c>
      <c r="G626" s="683">
        <f t="shared" si="114"/>
        <v>0</v>
      </c>
    </row>
    <row r="627" spans="1:7" s="9" customFormat="1" x14ac:dyDescent="0.25">
      <c r="A627" s="119"/>
      <c r="B627" s="310"/>
      <c r="C627" s="9">
        <f t="shared" ca="1" si="110"/>
        <v>1</v>
      </c>
      <c r="D627" s="34" t="s">
        <v>467</v>
      </c>
      <c r="E627" s="12" t="s">
        <v>53</v>
      </c>
      <c r="F627" s="683">
        <f t="shared" ref="F627:G627" si="115">+$E620*F$10</f>
        <v>3749.5420476754407</v>
      </c>
      <c r="G627" s="683">
        <f t="shared" si="115"/>
        <v>0</v>
      </c>
    </row>
    <row r="628" spans="1:7" s="9" customFormat="1" x14ac:dyDescent="0.25">
      <c r="A628" s="119"/>
      <c r="B628" s="310"/>
      <c r="C628" s="9">
        <f t="shared" ca="1" si="110"/>
        <v>1</v>
      </c>
      <c r="D628" s="34" t="s">
        <v>76</v>
      </c>
      <c r="E628" s="12" t="s">
        <v>52</v>
      </c>
      <c r="F628" s="683">
        <f>+$E620*F$11</f>
        <v>857.32412746791317</v>
      </c>
      <c r="G628" s="683">
        <f>+$E620*G$11</f>
        <v>0</v>
      </c>
    </row>
    <row r="629" spans="1:7" s="9" customFormat="1" x14ac:dyDescent="0.25">
      <c r="A629" s="119"/>
      <c r="B629" s="310"/>
      <c r="C629" s="9">
        <f t="shared" ca="1" si="110"/>
        <v>1</v>
      </c>
      <c r="D629" s="34" t="s">
        <v>468</v>
      </c>
      <c r="E629" s="12" t="s">
        <v>51</v>
      </c>
      <c r="F629" s="683">
        <f>+$E620*F$12</f>
        <v>0</v>
      </c>
      <c r="G629" s="683">
        <f>+$E620*G$12</f>
        <v>0</v>
      </c>
    </row>
    <row r="630" spans="1:7" s="9" customFormat="1" x14ac:dyDescent="0.25">
      <c r="A630" s="119"/>
      <c r="B630" s="310"/>
      <c r="C630" s="9">
        <f t="shared" ca="1" si="110"/>
        <v>1</v>
      </c>
      <c r="D630" s="368" t="s">
        <v>59</v>
      </c>
      <c r="E630" s="12" t="s">
        <v>50</v>
      </c>
      <c r="F630" s="683">
        <f>+$E620*F$13</f>
        <v>135.75223602510491</v>
      </c>
      <c r="G630" s="683">
        <f>+$E620*G$13</f>
        <v>0</v>
      </c>
    </row>
    <row r="631" spans="1:7" s="9" customFormat="1" x14ac:dyDescent="0.25">
      <c r="A631" s="119"/>
      <c r="B631" s="310"/>
      <c r="C631" s="9">
        <f t="shared" ca="1" si="110"/>
        <v>1</v>
      </c>
      <c r="D631" s="368" t="s">
        <v>25</v>
      </c>
      <c r="E631" s="12" t="s">
        <v>49</v>
      </c>
      <c r="F631" s="683">
        <f>+$E620*F$14</f>
        <v>444.5333472451594</v>
      </c>
      <c r="G631" s="683">
        <f>+$E620*G$14</f>
        <v>0</v>
      </c>
    </row>
    <row r="632" spans="1:7" s="9" customFormat="1" x14ac:dyDescent="0.25">
      <c r="A632" s="119"/>
      <c r="B632" s="310"/>
      <c r="C632" s="9">
        <f t="shared" ca="1" si="110"/>
        <v>1</v>
      </c>
      <c r="D632" s="368" t="s">
        <v>80</v>
      </c>
      <c r="E632" s="12" t="s">
        <v>47</v>
      </c>
      <c r="F632" s="683">
        <f>+$E620*F$15</f>
        <v>1658.534899515709</v>
      </c>
      <c r="G632" s="683">
        <f>+$E620*G$15</f>
        <v>0</v>
      </c>
    </row>
    <row r="633" spans="1:7" s="9" customFormat="1" x14ac:dyDescent="0.25">
      <c r="A633" s="119"/>
      <c r="B633" s="310"/>
      <c r="C633" s="9">
        <f t="shared" ca="1" si="110"/>
        <v>1</v>
      </c>
      <c r="D633" s="368" t="s">
        <v>82</v>
      </c>
      <c r="E633" s="12" t="s">
        <v>77</v>
      </c>
      <c r="F633" s="683">
        <f>+$E620*F$16</f>
        <v>1123.8556513172985</v>
      </c>
      <c r="G633" s="683">
        <f>+$E620*G$16</f>
        <v>0</v>
      </c>
    </row>
    <row r="634" spans="1:7" s="9" customFormat="1" x14ac:dyDescent="0.25">
      <c r="A634" s="119"/>
      <c r="B634" s="310"/>
      <c r="C634" s="9">
        <f t="shared" ca="1" si="110"/>
        <v>1</v>
      </c>
      <c r="D634" s="368" t="s">
        <v>84</v>
      </c>
      <c r="E634" s="12" t="s">
        <v>78</v>
      </c>
      <c r="F634" s="683">
        <f ca="1">+$E620*F$17</f>
        <v>80345.417739563622</v>
      </c>
      <c r="G634" s="683">
        <f>+$E620*G$17</f>
        <v>0</v>
      </c>
    </row>
    <row r="635" spans="1:7" s="9" customFormat="1" x14ac:dyDescent="0.25">
      <c r="A635" s="119"/>
      <c r="B635" s="310"/>
      <c r="C635" s="9">
        <f t="shared" ca="1" si="110"/>
        <v>1</v>
      </c>
      <c r="D635" s="368" t="s">
        <v>86</v>
      </c>
      <c r="E635" s="12" t="s">
        <v>79</v>
      </c>
      <c r="F635" s="683">
        <f>+$E$620*F18</f>
        <v>0</v>
      </c>
      <c r="G635" s="683">
        <f>+$E$620*G18</f>
        <v>0</v>
      </c>
    </row>
    <row r="636" spans="1:7" s="9" customFormat="1" x14ac:dyDescent="0.25">
      <c r="A636" s="119"/>
      <c r="B636" s="310"/>
      <c r="C636" s="9">
        <f t="shared" ca="1" si="110"/>
        <v>1</v>
      </c>
      <c r="D636" s="368" t="s">
        <v>386</v>
      </c>
      <c r="E636" s="12" t="s">
        <v>81</v>
      </c>
      <c r="F636" s="683">
        <f>+$E$620*F19</f>
        <v>0</v>
      </c>
      <c r="G636" s="683">
        <f>+$E$620*G19</f>
        <v>0</v>
      </c>
    </row>
    <row r="637" spans="1:7" s="9" customFormat="1" ht="15.75" thickBot="1" x14ac:dyDescent="0.3">
      <c r="A637" s="119"/>
      <c r="B637" s="310"/>
      <c r="C637" s="9">
        <f t="shared" ca="1" si="110"/>
        <v>1</v>
      </c>
      <c r="D637" s="35" t="s">
        <v>22</v>
      </c>
      <c r="E637" s="12" t="s">
        <v>83</v>
      </c>
      <c r="F637" s="685">
        <f ca="1">SUBTOTAL(9,F623:F636)</f>
        <v>92036.638623255829</v>
      </c>
      <c r="G637" s="685">
        <f>SUBTOTAL(9,G623:G636)</f>
        <v>0</v>
      </c>
    </row>
    <row r="638" spans="1:7" s="9" customFormat="1" ht="15.75" hidden="1" thickBot="1" x14ac:dyDescent="0.3">
      <c r="A638" s="119"/>
      <c r="B638" s="310"/>
      <c r="D638" s="326"/>
      <c r="E638" s="327"/>
      <c r="F638" s="686"/>
      <c r="G638" s="686"/>
    </row>
    <row r="639" spans="1:7" s="9" customFormat="1" ht="15.75" hidden="1" thickBot="1" x14ac:dyDescent="0.3">
      <c r="A639" s="119"/>
      <c r="B639" s="310"/>
      <c r="D639" s="326"/>
      <c r="E639" s="327"/>
      <c r="F639" s="686"/>
      <c r="G639" s="686"/>
    </row>
    <row r="640" spans="1:7" s="9" customFormat="1" ht="30" x14ac:dyDescent="0.25">
      <c r="A640" s="119"/>
      <c r="B640" s="310"/>
      <c r="C640" s="9">
        <f ca="1">IF(F657&gt;0,1,0)</f>
        <v>1</v>
      </c>
      <c r="D640" s="20" t="str">
        <f>+A36</f>
        <v>Oneida</v>
      </c>
      <c r="E640" s="19">
        <f>IFERROR(SUMIF(A:A,D640,B:B),0)</f>
        <v>7.1008449393757042E-3</v>
      </c>
      <c r="F640" s="652" t="s">
        <v>31</v>
      </c>
      <c r="G640" s="652" t="s">
        <v>32</v>
      </c>
    </row>
    <row r="641" spans="1:7" s="9" customFormat="1" x14ac:dyDescent="0.25">
      <c r="A641" s="119"/>
      <c r="B641" s="310"/>
      <c r="C641" s="9">
        <f ca="1">C640</f>
        <v>1</v>
      </c>
      <c r="D641" s="30"/>
      <c r="E641" s="31"/>
      <c r="F641" s="680" t="s">
        <v>54</v>
      </c>
      <c r="G641" s="680" t="s">
        <v>53</v>
      </c>
    </row>
    <row r="642" spans="1:7" s="9" customFormat="1" x14ac:dyDescent="0.25">
      <c r="A642" s="119"/>
      <c r="B642" s="310"/>
      <c r="C642" s="9">
        <f t="shared" ref="C642:C657" ca="1" si="116">C641</f>
        <v>1</v>
      </c>
      <c r="D642" s="32" t="s">
        <v>71</v>
      </c>
      <c r="E642" s="33"/>
      <c r="F642" s="681"/>
      <c r="G642" s="682"/>
    </row>
    <row r="643" spans="1:7" s="9" customFormat="1" x14ac:dyDescent="0.25">
      <c r="A643" s="119"/>
      <c r="B643" s="310"/>
      <c r="C643" s="9">
        <f t="shared" ca="1" si="116"/>
        <v>1</v>
      </c>
      <c r="D643" s="368" t="s">
        <v>72</v>
      </c>
      <c r="E643" s="12" t="s">
        <v>57</v>
      </c>
      <c r="F643" s="683">
        <f t="shared" ref="F643:G643" si="117">+$E640*F$6</f>
        <v>0</v>
      </c>
      <c r="G643" s="683">
        <f t="shared" si="117"/>
        <v>0</v>
      </c>
    </row>
    <row r="644" spans="1:7" s="9" customFormat="1" x14ac:dyDescent="0.25">
      <c r="A644" s="119"/>
      <c r="B644" s="310"/>
      <c r="C644" s="9">
        <f t="shared" ca="1" si="116"/>
        <v>1</v>
      </c>
      <c r="D644" s="368" t="s">
        <v>73</v>
      </c>
      <c r="E644" s="12" t="s">
        <v>56</v>
      </c>
      <c r="F644" s="683">
        <f t="shared" ref="F644:G644" si="118">+$E640*F$7</f>
        <v>3111.089834928991</v>
      </c>
      <c r="G644" s="683">
        <f t="shared" si="118"/>
        <v>0</v>
      </c>
    </row>
    <row r="645" spans="1:7" s="9" customFormat="1" x14ac:dyDescent="0.25">
      <c r="A645" s="119"/>
      <c r="B645" s="310"/>
      <c r="C645" s="9">
        <f t="shared" ca="1" si="116"/>
        <v>1</v>
      </c>
      <c r="D645" s="368" t="s">
        <v>74</v>
      </c>
      <c r="E645" s="12" t="s">
        <v>55</v>
      </c>
      <c r="F645" s="683">
        <f t="shared" ref="F645:G645" si="119">+$E640*F$8</f>
        <v>466.40427767978383</v>
      </c>
      <c r="G645" s="683">
        <f t="shared" si="119"/>
        <v>0</v>
      </c>
    </row>
    <row r="646" spans="1:7" s="9" customFormat="1" x14ac:dyDescent="0.25">
      <c r="A646" s="119"/>
      <c r="B646" s="310"/>
      <c r="C646" s="9">
        <f t="shared" ca="1" si="116"/>
        <v>1</v>
      </c>
      <c r="D646" s="368" t="s">
        <v>75</v>
      </c>
      <c r="E646" s="12" t="s">
        <v>54</v>
      </c>
      <c r="F646" s="683">
        <f t="shared" ref="F646:G646" si="120">+$E640*F$9</f>
        <v>953.26641248466672</v>
      </c>
      <c r="G646" s="683">
        <f t="shared" si="120"/>
        <v>0</v>
      </c>
    </row>
    <row r="647" spans="1:7" s="9" customFormat="1" x14ac:dyDescent="0.25">
      <c r="A647" s="119"/>
      <c r="B647" s="310"/>
      <c r="C647" s="9">
        <f t="shared" ca="1" si="116"/>
        <v>1</v>
      </c>
      <c r="D647" s="34" t="s">
        <v>467</v>
      </c>
      <c r="E647" s="12" t="s">
        <v>53</v>
      </c>
      <c r="F647" s="683">
        <f t="shared" ref="F647:G647" si="121">+$E640*F$10</f>
        <v>4564.6814352624933</v>
      </c>
      <c r="G647" s="683">
        <f t="shared" si="121"/>
        <v>0</v>
      </c>
    </row>
    <row r="648" spans="1:7" s="9" customFormat="1" x14ac:dyDescent="0.25">
      <c r="A648" s="119"/>
      <c r="B648" s="310"/>
      <c r="C648" s="9">
        <f t="shared" ca="1" si="116"/>
        <v>1</v>
      </c>
      <c r="D648" s="34" t="s">
        <v>76</v>
      </c>
      <c r="E648" s="12" t="s">
        <v>52</v>
      </c>
      <c r="F648" s="683">
        <f>+$E640*F$11</f>
        <v>1043.7038654044566</v>
      </c>
      <c r="G648" s="683">
        <f>+$E640*G$11</f>
        <v>0</v>
      </c>
    </row>
    <row r="649" spans="1:7" s="9" customFormat="1" x14ac:dyDescent="0.25">
      <c r="A649" s="119"/>
      <c r="B649" s="310"/>
      <c r="C649" s="9">
        <f t="shared" ca="1" si="116"/>
        <v>1</v>
      </c>
      <c r="D649" s="34" t="s">
        <v>468</v>
      </c>
      <c r="E649" s="12" t="s">
        <v>51</v>
      </c>
      <c r="F649" s="683">
        <f>+$E640*F$12</f>
        <v>0</v>
      </c>
      <c r="G649" s="683">
        <f>+$E640*G$12</f>
        <v>0</v>
      </c>
    </row>
    <row r="650" spans="1:7" s="9" customFormat="1" x14ac:dyDescent="0.25">
      <c r="A650" s="119"/>
      <c r="B650" s="310"/>
      <c r="C650" s="9">
        <f t="shared" ca="1" si="116"/>
        <v>1</v>
      </c>
      <c r="D650" s="368" t="s">
        <v>59</v>
      </c>
      <c r="E650" s="12" t="s">
        <v>50</v>
      </c>
      <c r="F650" s="683">
        <f>+$E640*F$13</f>
        <v>165.26437194199102</v>
      </c>
      <c r="G650" s="683">
        <f>+$E640*G$13</f>
        <v>0</v>
      </c>
    </row>
    <row r="651" spans="1:7" s="9" customFormat="1" x14ac:dyDescent="0.25">
      <c r="A651" s="119"/>
      <c r="B651" s="310"/>
      <c r="C651" s="9">
        <f t="shared" ca="1" si="116"/>
        <v>1</v>
      </c>
      <c r="D651" s="368" t="s">
        <v>25</v>
      </c>
      <c r="E651" s="12" t="s">
        <v>49</v>
      </c>
      <c r="F651" s="683">
        <f>+$E640*F$14</f>
        <v>541.17358646052912</v>
      </c>
      <c r="G651" s="683">
        <f>+$E640*G$14</f>
        <v>0</v>
      </c>
    </row>
    <row r="652" spans="1:7" s="9" customFormat="1" x14ac:dyDescent="0.25">
      <c r="A652" s="119"/>
      <c r="B652" s="310"/>
      <c r="C652" s="9">
        <f t="shared" ca="1" si="116"/>
        <v>1</v>
      </c>
      <c r="D652" s="368" t="s">
        <v>80</v>
      </c>
      <c r="E652" s="12" t="s">
        <v>47</v>
      </c>
      <c r="F652" s="683">
        <f>+$E640*F$15</f>
        <v>2019.095497341551</v>
      </c>
      <c r="G652" s="683">
        <f>+$E640*G$15</f>
        <v>0</v>
      </c>
    </row>
    <row r="653" spans="1:7" s="9" customFormat="1" x14ac:dyDescent="0.25">
      <c r="A653" s="119"/>
      <c r="B653" s="310"/>
      <c r="C653" s="9">
        <f t="shared" ca="1" si="116"/>
        <v>1</v>
      </c>
      <c r="D653" s="368" t="s">
        <v>82</v>
      </c>
      <c r="E653" s="12" t="s">
        <v>77</v>
      </c>
      <c r="F653" s="683">
        <f>+$E640*F$16</f>
        <v>1368.1785568089101</v>
      </c>
      <c r="G653" s="683">
        <f>+$E640*G$16</f>
        <v>0</v>
      </c>
    </row>
    <row r="654" spans="1:7" s="9" customFormat="1" x14ac:dyDescent="0.25">
      <c r="A654" s="119"/>
      <c r="B654" s="310"/>
      <c r="C654" s="9">
        <f t="shared" ca="1" si="116"/>
        <v>1</v>
      </c>
      <c r="D654" s="368" t="s">
        <v>84</v>
      </c>
      <c r="E654" s="12" t="s">
        <v>78</v>
      </c>
      <c r="F654" s="683">
        <f ca="1">+$E640*F$17</f>
        <v>97812.274699403977</v>
      </c>
      <c r="G654" s="683">
        <f>+$E640*G$17</f>
        <v>0</v>
      </c>
    </row>
    <row r="655" spans="1:7" s="9" customFormat="1" x14ac:dyDescent="0.25">
      <c r="A655" s="119"/>
      <c r="B655" s="310"/>
      <c r="C655" s="9">
        <f t="shared" ca="1" si="116"/>
        <v>1</v>
      </c>
      <c r="D655" s="368" t="s">
        <v>86</v>
      </c>
      <c r="E655" s="12" t="s">
        <v>79</v>
      </c>
      <c r="F655" s="683">
        <f>+$E$640*F18</f>
        <v>0</v>
      </c>
      <c r="G655" s="683">
        <f>+$E$640*G18</f>
        <v>0</v>
      </c>
    </row>
    <row r="656" spans="1:7" s="9" customFormat="1" x14ac:dyDescent="0.25">
      <c r="A656" s="119"/>
      <c r="B656" s="310"/>
      <c r="C656" s="9">
        <f t="shared" ca="1" si="116"/>
        <v>1</v>
      </c>
      <c r="D656" s="368" t="s">
        <v>386</v>
      </c>
      <c r="E656" s="12" t="s">
        <v>81</v>
      </c>
      <c r="F656" s="683">
        <f>+$E$640*F19</f>
        <v>0</v>
      </c>
      <c r="G656" s="683">
        <f>+$E$640*G19</f>
        <v>0</v>
      </c>
    </row>
    <row r="657" spans="1:7" s="9" customFormat="1" ht="15.75" thickBot="1" x14ac:dyDescent="0.3">
      <c r="A657" s="119"/>
      <c r="B657" s="310"/>
      <c r="C657" s="9">
        <f t="shared" ca="1" si="116"/>
        <v>1</v>
      </c>
      <c r="D657" s="35" t="s">
        <v>22</v>
      </c>
      <c r="E657" s="12" t="s">
        <v>83</v>
      </c>
      <c r="F657" s="685">
        <f ca="1">SUBTOTAL(9,F643:F656)</f>
        <v>112045.13253771735</v>
      </c>
      <c r="G657" s="685">
        <f>SUBTOTAL(9,G643:G656)</f>
        <v>0</v>
      </c>
    </row>
    <row r="658" spans="1:7" s="9" customFormat="1" ht="15.75" hidden="1" thickBot="1" x14ac:dyDescent="0.3">
      <c r="A658" s="119"/>
      <c r="B658" s="310"/>
      <c r="D658" s="326"/>
      <c r="E658" s="327"/>
      <c r="F658" s="686"/>
      <c r="G658" s="686"/>
    </row>
    <row r="659" spans="1:7" s="9" customFormat="1" ht="15.75" hidden="1" thickBot="1" x14ac:dyDescent="0.3">
      <c r="A659" s="119"/>
      <c r="B659" s="310"/>
      <c r="D659" s="326"/>
      <c r="E659" s="327"/>
      <c r="F659" s="686"/>
      <c r="G659" s="686"/>
    </row>
    <row r="660" spans="1:7" s="9" customFormat="1" ht="30" x14ac:dyDescent="0.25">
      <c r="A660" s="119"/>
      <c r="B660" s="310"/>
      <c r="C660" s="9">
        <f ca="1">IF(F677&gt;0,1,0)</f>
        <v>1</v>
      </c>
      <c r="D660" s="20" t="str">
        <f>A37</f>
        <v>Onondaga</v>
      </c>
      <c r="E660" s="19">
        <f>IFERROR(SUMIF(A:A,D660,B:B),0)</f>
        <v>2.2146992270920353E-2</v>
      </c>
      <c r="F660" s="652" t="s">
        <v>31</v>
      </c>
      <c r="G660" s="652" t="s">
        <v>32</v>
      </c>
    </row>
    <row r="661" spans="1:7" s="9" customFormat="1" x14ac:dyDescent="0.25">
      <c r="A661" s="119"/>
      <c r="B661" s="310"/>
      <c r="C661" s="9">
        <f ca="1">C660</f>
        <v>1</v>
      </c>
      <c r="D661" s="30"/>
      <c r="E661" s="31"/>
      <c r="F661" s="680" t="s">
        <v>54</v>
      </c>
      <c r="G661" s="680" t="s">
        <v>53</v>
      </c>
    </row>
    <row r="662" spans="1:7" s="9" customFormat="1" x14ac:dyDescent="0.25">
      <c r="A662" s="119"/>
      <c r="B662" s="310"/>
      <c r="C662" s="9">
        <f t="shared" ref="C662:C677" ca="1" si="122">C661</f>
        <v>1</v>
      </c>
      <c r="D662" s="32" t="s">
        <v>71</v>
      </c>
      <c r="E662" s="33"/>
      <c r="F662" s="681"/>
      <c r="G662" s="682"/>
    </row>
    <row r="663" spans="1:7" s="9" customFormat="1" x14ac:dyDescent="0.25">
      <c r="A663" s="119"/>
      <c r="B663" s="310"/>
      <c r="C663" s="9">
        <f t="shared" ca="1" si="122"/>
        <v>1</v>
      </c>
      <c r="D663" s="368" t="s">
        <v>72</v>
      </c>
      <c r="E663" s="12" t="s">
        <v>57</v>
      </c>
      <c r="F663" s="683">
        <f t="shared" ref="F663:G663" si="123">+$E660*F$6</f>
        <v>0</v>
      </c>
      <c r="G663" s="683">
        <f t="shared" si="123"/>
        <v>0</v>
      </c>
    </row>
    <row r="664" spans="1:7" s="9" customFormat="1" x14ac:dyDescent="0.25">
      <c r="A664" s="119"/>
      <c r="B664" s="310"/>
      <c r="C664" s="9">
        <f t="shared" ca="1" si="122"/>
        <v>1</v>
      </c>
      <c r="D664" s="368" t="s">
        <v>73</v>
      </c>
      <c r="E664" s="12" t="s">
        <v>56</v>
      </c>
      <c r="F664" s="683">
        <f t="shared" ref="F664:G664" si="124">+$E660*F$7</f>
        <v>9703.2512491913312</v>
      </c>
      <c r="G664" s="683">
        <f t="shared" si="124"/>
        <v>0</v>
      </c>
    </row>
    <row r="665" spans="1:7" s="9" customFormat="1" x14ac:dyDescent="0.25">
      <c r="A665" s="119"/>
      <c r="B665" s="310"/>
      <c r="C665" s="9">
        <f t="shared" ca="1" si="122"/>
        <v>1</v>
      </c>
      <c r="D665" s="368" t="s">
        <v>74</v>
      </c>
      <c r="E665" s="12" t="s">
        <v>55</v>
      </c>
      <c r="F665" s="683">
        <f t="shared" ref="F665:G665" si="125">+$E660*F$8</f>
        <v>1454.6792700146627</v>
      </c>
      <c r="G665" s="683">
        <f t="shared" si="125"/>
        <v>0</v>
      </c>
    </row>
    <row r="666" spans="1:7" s="9" customFormat="1" x14ac:dyDescent="0.25">
      <c r="A666" s="119"/>
      <c r="B666" s="310"/>
      <c r="C666" s="9">
        <f t="shared" ca="1" si="122"/>
        <v>1</v>
      </c>
      <c r="D666" s="368" t="s">
        <v>75</v>
      </c>
      <c r="E666" s="12" t="s">
        <v>54</v>
      </c>
      <c r="F666" s="683">
        <f t="shared" ref="F666:G666" si="126">+$E660*F$9</f>
        <v>2973.1650317211434</v>
      </c>
      <c r="G666" s="683">
        <f t="shared" si="126"/>
        <v>0</v>
      </c>
    </row>
    <row r="667" spans="1:7" s="9" customFormat="1" x14ac:dyDescent="0.25">
      <c r="A667" s="119"/>
      <c r="B667" s="310"/>
      <c r="C667" s="9">
        <f t="shared" ca="1" si="122"/>
        <v>1</v>
      </c>
      <c r="D667" s="34" t="s">
        <v>467</v>
      </c>
      <c r="E667" s="12" t="s">
        <v>53</v>
      </c>
      <c r="F667" s="683">
        <f t="shared" ref="F667:G667" si="127">+$E660*F$10</f>
        <v>14236.892275366332</v>
      </c>
      <c r="G667" s="683">
        <f t="shared" si="127"/>
        <v>0</v>
      </c>
    </row>
    <row r="668" spans="1:7" s="9" customFormat="1" x14ac:dyDescent="0.25">
      <c r="A668" s="119"/>
      <c r="B668" s="310"/>
      <c r="C668" s="9">
        <f t="shared" ca="1" si="122"/>
        <v>1</v>
      </c>
      <c r="D668" s="34" t="s">
        <v>76</v>
      </c>
      <c r="E668" s="12" t="s">
        <v>52</v>
      </c>
      <c r="F668" s="683">
        <f>+$E660*F$11</f>
        <v>3255.2325304366418</v>
      </c>
      <c r="G668" s="683">
        <f>+$E660*G$11</f>
        <v>0</v>
      </c>
    </row>
    <row r="669" spans="1:7" s="9" customFormat="1" x14ac:dyDescent="0.25">
      <c r="A669" s="119"/>
      <c r="B669" s="310"/>
      <c r="C669" s="9">
        <f t="shared" ca="1" si="122"/>
        <v>1</v>
      </c>
      <c r="D669" s="34" t="s">
        <v>468</v>
      </c>
      <c r="E669" s="12" t="s">
        <v>51</v>
      </c>
      <c r="F669" s="683">
        <f>+$E660*F$12</f>
        <v>0</v>
      </c>
      <c r="G669" s="683">
        <f>+$E660*G$12</f>
        <v>0</v>
      </c>
    </row>
    <row r="670" spans="1:7" s="9" customFormat="1" x14ac:dyDescent="0.25">
      <c r="A670" s="119"/>
      <c r="B670" s="310"/>
      <c r="C670" s="9">
        <f t="shared" ca="1" si="122"/>
        <v>1</v>
      </c>
      <c r="D670" s="368" t="s">
        <v>59</v>
      </c>
      <c r="E670" s="12" t="s">
        <v>50</v>
      </c>
      <c r="F670" s="683">
        <f>+$E660*F$13</f>
        <v>515.44693614723155</v>
      </c>
      <c r="G670" s="683">
        <f>+$E660*G$13</f>
        <v>0</v>
      </c>
    </row>
    <row r="671" spans="1:7" s="9" customFormat="1" x14ac:dyDescent="0.25">
      <c r="A671" s="119"/>
      <c r="B671" s="310"/>
      <c r="C671" s="9">
        <f t="shared" ca="1" si="122"/>
        <v>1</v>
      </c>
      <c r="D671" s="368" t="s">
        <v>25</v>
      </c>
      <c r="E671" s="12" t="s">
        <v>49</v>
      </c>
      <c r="F671" s="683">
        <f>+$E660*F$14</f>
        <v>1687.879025509508</v>
      </c>
      <c r="G671" s="683">
        <f>+$E660*G$14</f>
        <v>0</v>
      </c>
    </row>
    <row r="672" spans="1:7" s="9" customFormat="1" x14ac:dyDescent="0.25">
      <c r="A672" s="119"/>
      <c r="B672" s="310"/>
      <c r="C672" s="9">
        <f t="shared" ca="1" si="122"/>
        <v>1</v>
      </c>
      <c r="D672" s="368" t="s">
        <v>80</v>
      </c>
      <c r="E672" s="12" t="s">
        <v>47</v>
      </c>
      <c r="F672" s="683">
        <f>+$E660*F$15</f>
        <v>6297.4044294234172</v>
      </c>
      <c r="G672" s="683">
        <f>+$E660*G$15</f>
        <v>0</v>
      </c>
    </row>
    <row r="673" spans="1:7" s="9" customFormat="1" x14ac:dyDescent="0.25">
      <c r="A673" s="119"/>
      <c r="B673" s="310"/>
      <c r="C673" s="9">
        <f t="shared" ca="1" si="122"/>
        <v>1</v>
      </c>
      <c r="D673" s="368" t="s">
        <v>82</v>
      </c>
      <c r="E673" s="12" t="s">
        <v>77</v>
      </c>
      <c r="F673" s="683">
        <f>+$E660*F$16</f>
        <v>4267.2442760804624</v>
      </c>
      <c r="G673" s="683">
        <f>+$E660*G$16</f>
        <v>0</v>
      </c>
    </row>
    <row r="674" spans="1:7" s="9" customFormat="1" x14ac:dyDescent="0.25">
      <c r="A674" s="119"/>
      <c r="B674" s="310"/>
      <c r="C674" s="9">
        <f t="shared" ca="1" si="122"/>
        <v>1</v>
      </c>
      <c r="D674" s="368" t="s">
        <v>84</v>
      </c>
      <c r="E674" s="12" t="s">
        <v>78</v>
      </c>
      <c r="F674" s="683">
        <f ca="1">+$E660*F$17</f>
        <v>305069.0037965104</v>
      </c>
      <c r="G674" s="683">
        <f>+$E660*G$17</f>
        <v>0</v>
      </c>
    </row>
    <row r="675" spans="1:7" s="9" customFormat="1" x14ac:dyDescent="0.25">
      <c r="A675" s="119"/>
      <c r="B675" s="310"/>
      <c r="C675" s="9">
        <f t="shared" ca="1" si="122"/>
        <v>1</v>
      </c>
      <c r="D675" s="368" t="s">
        <v>86</v>
      </c>
      <c r="E675" s="12" t="s">
        <v>79</v>
      </c>
      <c r="F675" s="683">
        <f>+$E$660*F18</f>
        <v>0</v>
      </c>
      <c r="G675" s="683">
        <f>+$E$660*G18</f>
        <v>0</v>
      </c>
    </row>
    <row r="676" spans="1:7" s="9" customFormat="1" x14ac:dyDescent="0.25">
      <c r="A676" s="119"/>
      <c r="B676" s="310"/>
      <c r="C676" s="9">
        <f t="shared" ca="1" si="122"/>
        <v>1</v>
      </c>
      <c r="D676" s="368" t="s">
        <v>386</v>
      </c>
      <c r="E676" s="12" t="s">
        <v>81</v>
      </c>
      <c r="F676" s="683">
        <f>+$E$660*F19</f>
        <v>0</v>
      </c>
      <c r="G676" s="683">
        <f>+$E$660*G19</f>
        <v>0</v>
      </c>
    </row>
    <row r="677" spans="1:7" s="9" customFormat="1" ht="15.75" thickBot="1" x14ac:dyDescent="0.3">
      <c r="A677" s="119"/>
      <c r="B677" s="310"/>
      <c r="C677" s="9">
        <f t="shared" ca="1" si="122"/>
        <v>1</v>
      </c>
      <c r="D677" s="35" t="s">
        <v>22</v>
      </c>
      <c r="E677" s="12" t="s">
        <v>83</v>
      </c>
      <c r="F677" s="685">
        <f ca="1">SUBTOTAL(9,F663:F676)</f>
        <v>349460.1988204011</v>
      </c>
      <c r="G677" s="685">
        <f>SUBTOTAL(9,G663:G676)</f>
        <v>0</v>
      </c>
    </row>
    <row r="678" spans="1:7" s="9" customFormat="1" ht="15.75" hidden="1" thickBot="1" x14ac:dyDescent="0.3">
      <c r="A678" s="119"/>
      <c r="B678" s="310"/>
      <c r="D678" s="326"/>
      <c r="E678" s="327"/>
      <c r="F678" s="686"/>
      <c r="G678" s="686"/>
    </row>
    <row r="679" spans="1:7" s="9" customFormat="1" ht="30" x14ac:dyDescent="0.25">
      <c r="A679" s="119"/>
      <c r="B679" s="310"/>
      <c r="C679" s="9">
        <f ca="1">IF(F696&gt;0,1,0)</f>
        <v>1</v>
      </c>
      <c r="D679" s="20" t="str">
        <f>+A38</f>
        <v>Ontario</v>
      </c>
      <c r="E679" s="19">
        <f>IFERROR(SUMIF(A:A,D679,B:B),0)</f>
        <v>3.0558410502578128E-3</v>
      </c>
      <c r="F679" s="652" t="s">
        <v>31</v>
      </c>
      <c r="G679" s="652" t="s">
        <v>32</v>
      </c>
    </row>
    <row r="680" spans="1:7" s="9" customFormat="1" x14ac:dyDescent="0.25">
      <c r="A680" s="119"/>
      <c r="B680" s="310"/>
      <c r="C680" s="9">
        <f ca="1">C679</f>
        <v>1</v>
      </c>
      <c r="D680" s="30"/>
      <c r="E680" s="31"/>
      <c r="F680" s="680" t="s">
        <v>54</v>
      </c>
      <c r="G680" s="680" t="s">
        <v>53</v>
      </c>
    </row>
    <row r="681" spans="1:7" s="9" customFormat="1" x14ac:dyDescent="0.25">
      <c r="A681" s="119"/>
      <c r="B681" s="310"/>
      <c r="C681" s="9">
        <f t="shared" ref="C681:C696" ca="1" si="128">C680</f>
        <v>1</v>
      </c>
      <c r="D681" s="32" t="s">
        <v>71</v>
      </c>
      <c r="E681" s="33"/>
      <c r="F681" s="681"/>
      <c r="G681" s="682"/>
    </row>
    <row r="682" spans="1:7" s="9" customFormat="1" x14ac:dyDescent="0.25">
      <c r="A682" s="119"/>
      <c r="B682" s="310"/>
      <c r="C682" s="9">
        <f t="shared" ca="1" si="128"/>
        <v>1</v>
      </c>
      <c r="D682" s="368" t="s">
        <v>72</v>
      </c>
      <c r="E682" s="12" t="s">
        <v>57</v>
      </c>
      <c r="F682" s="683">
        <f t="shared" ref="F682:G682" si="129">+$E679*F$6</f>
        <v>0</v>
      </c>
      <c r="G682" s="683">
        <f t="shared" si="129"/>
        <v>0</v>
      </c>
    </row>
    <row r="683" spans="1:7" s="9" customFormat="1" x14ac:dyDescent="0.25">
      <c r="A683" s="119"/>
      <c r="B683" s="310"/>
      <c r="C683" s="9">
        <f t="shared" ca="1" si="128"/>
        <v>1</v>
      </c>
      <c r="D683" s="368" t="s">
        <v>73</v>
      </c>
      <c r="E683" s="12" t="s">
        <v>56</v>
      </c>
      <c r="F683" s="683">
        <f t="shared" ref="F683:G683" si="130">+$E679*F$7</f>
        <v>1338.8541940829446</v>
      </c>
      <c r="G683" s="683">
        <f t="shared" si="130"/>
        <v>0</v>
      </c>
    </row>
    <row r="684" spans="1:7" s="9" customFormat="1" x14ac:dyDescent="0.25">
      <c r="A684" s="119"/>
      <c r="B684" s="310"/>
      <c r="C684" s="9">
        <f t="shared" ca="1" si="128"/>
        <v>1</v>
      </c>
      <c r="D684" s="368" t="s">
        <v>74</v>
      </c>
      <c r="E684" s="12" t="s">
        <v>55</v>
      </c>
      <c r="F684" s="683">
        <f t="shared" ref="F684:G684" si="131">+$E679*F$8</f>
        <v>200.71658371898397</v>
      </c>
      <c r="G684" s="683">
        <f t="shared" si="131"/>
        <v>0</v>
      </c>
    </row>
    <row r="685" spans="1:7" s="9" customFormat="1" x14ac:dyDescent="0.25">
      <c r="A685" s="119"/>
      <c r="B685" s="310"/>
      <c r="C685" s="9">
        <f t="shared" ca="1" si="128"/>
        <v>1</v>
      </c>
      <c r="D685" s="368" t="s">
        <v>75</v>
      </c>
      <c r="E685" s="12" t="s">
        <v>54</v>
      </c>
      <c r="F685" s="683">
        <f t="shared" ref="F685:G685" si="132">+$E679*F$9</f>
        <v>410.23718444396144</v>
      </c>
      <c r="G685" s="683">
        <f t="shared" si="132"/>
        <v>0</v>
      </c>
    </row>
    <row r="686" spans="1:7" s="9" customFormat="1" x14ac:dyDescent="0.25">
      <c r="A686" s="119"/>
      <c r="B686" s="310"/>
      <c r="C686" s="9">
        <f t="shared" ca="1" si="128"/>
        <v>1</v>
      </c>
      <c r="D686" s="34" t="s">
        <v>467</v>
      </c>
      <c r="E686" s="12" t="s">
        <v>53</v>
      </c>
      <c r="F686" s="683">
        <f t="shared" ref="F686:G686" si="133">+$E679*F$10</f>
        <v>1964.4057897779203</v>
      </c>
      <c r="G686" s="683">
        <f t="shared" si="133"/>
        <v>0</v>
      </c>
    </row>
    <row r="687" spans="1:7" s="9" customFormat="1" x14ac:dyDescent="0.25">
      <c r="A687" s="119"/>
      <c r="B687" s="310"/>
      <c r="C687" s="9">
        <f t="shared" ca="1" si="128"/>
        <v>1</v>
      </c>
      <c r="D687" s="34" t="s">
        <v>76</v>
      </c>
      <c r="E687" s="12" t="s">
        <v>52</v>
      </c>
      <c r="F687" s="683">
        <f>+$E679*F$11</f>
        <v>449.15684590291875</v>
      </c>
      <c r="G687" s="683">
        <f>+$E679*G$11</f>
        <v>0</v>
      </c>
    </row>
    <row r="688" spans="1:7" s="9" customFormat="1" x14ac:dyDescent="0.25">
      <c r="A688" s="119"/>
      <c r="B688" s="310"/>
      <c r="C688" s="9">
        <f t="shared" ca="1" si="128"/>
        <v>1</v>
      </c>
      <c r="D688" s="34" t="s">
        <v>468</v>
      </c>
      <c r="E688" s="12" t="s">
        <v>51</v>
      </c>
      <c r="F688" s="683">
        <f>+$E679*F$12</f>
        <v>0</v>
      </c>
      <c r="G688" s="683">
        <f>+$E679*G$12</f>
        <v>0</v>
      </c>
    </row>
    <row r="689" spans="1:7" s="9" customFormat="1" x14ac:dyDescent="0.25">
      <c r="A689" s="119"/>
      <c r="B689" s="310"/>
      <c r="C689" s="9">
        <f t="shared" ca="1" si="128"/>
        <v>1</v>
      </c>
      <c r="D689" s="368" t="s">
        <v>59</v>
      </c>
      <c r="E689" s="12" t="s">
        <v>50</v>
      </c>
      <c r="F689" s="683">
        <f>+$E679*F$13</f>
        <v>71.121346295700462</v>
      </c>
      <c r="G689" s="683">
        <f>+$E679*G$13</f>
        <v>0</v>
      </c>
    </row>
    <row r="690" spans="1:7" s="9" customFormat="1" x14ac:dyDescent="0.25">
      <c r="A690" s="119"/>
      <c r="B690" s="310"/>
      <c r="C690" s="9">
        <f t="shared" ca="1" si="128"/>
        <v>1</v>
      </c>
      <c r="D690" s="368" t="s">
        <v>25</v>
      </c>
      <c r="E690" s="12" t="s">
        <v>49</v>
      </c>
      <c r="F690" s="683">
        <f>+$E679*F$14</f>
        <v>232.89347604972838</v>
      </c>
      <c r="G690" s="683">
        <f>+$E679*G$14</f>
        <v>0</v>
      </c>
    </row>
    <row r="691" spans="1:7" s="9" customFormat="1" x14ac:dyDescent="0.25">
      <c r="A691" s="119"/>
      <c r="B691" s="310"/>
      <c r="C691" s="9">
        <f t="shared" ca="1" si="128"/>
        <v>1</v>
      </c>
      <c r="D691" s="368" t="s">
        <v>80</v>
      </c>
      <c r="E691" s="12" t="s">
        <v>47</v>
      </c>
      <c r="F691" s="683">
        <f>+$E679*F$15</f>
        <v>868.91559495305444</v>
      </c>
      <c r="G691" s="683">
        <f>+$E679*G$15</f>
        <v>0</v>
      </c>
    </row>
    <row r="692" spans="1:7" s="9" customFormat="1" x14ac:dyDescent="0.25">
      <c r="A692" s="119"/>
      <c r="B692" s="310"/>
      <c r="C692" s="9">
        <f t="shared" ca="1" si="128"/>
        <v>1</v>
      </c>
      <c r="D692" s="368" t="s">
        <v>82</v>
      </c>
      <c r="E692" s="12" t="s">
        <v>77</v>
      </c>
      <c r="F692" s="683">
        <f>+$E679*F$16</f>
        <v>588.79418346329078</v>
      </c>
      <c r="G692" s="683">
        <f>+$E679*G$16</f>
        <v>0</v>
      </c>
    </row>
    <row r="693" spans="1:7" s="9" customFormat="1" x14ac:dyDescent="0.25">
      <c r="A693" s="119"/>
      <c r="B693" s="310"/>
      <c r="C693" s="9">
        <f t="shared" ca="1" si="128"/>
        <v>1</v>
      </c>
      <c r="D693" s="368" t="s">
        <v>84</v>
      </c>
      <c r="E693" s="12" t="s">
        <v>78</v>
      </c>
      <c r="F693" s="683">
        <f ca="1">+$E679*F$17</f>
        <v>42093.408150356132</v>
      </c>
      <c r="G693" s="683">
        <f>+$E679*G$17</f>
        <v>0</v>
      </c>
    </row>
    <row r="694" spans="1:7" s="9" customFormat="1" x14ac:dyDescent="0.25">
      <c r="A694" s="119"/>
      <c r="B694" s="310"/>
      <c r="C694" s="9">
        <f t="shared" ca="1" si="128"/>
        <v>1</v>
      </c>
      <c r="D694" s="368" t="s">
        <v>86</v>
      </c>
      <c r="E694" s="12" t="s">
        <v>79</v>
      </c>
      <c r="F694" s="683">
        <f>+$E$679*F18</f>
        <v>0</v>
      </c>
      <c r="G694" s="683">
        <f>+$E$679*G18</f>
        <v>0</v>
      </c>
    </row>
    <row r="695" spans="1:7" s="9" customFormat="1" x14ac:dyDescent="0.25">
      <c r="A695" s="119"/>
      <c r="B695" s="310"/>
      <c r="C695" s="9">
        <f t="shared" ca="1" si="128"/>
        <v>1</v>
      </c>
      <c r="D695" s="368" t="s">
        <v>386</v>
      </c>
      <c r="E695" s="12" t="s">
        <v>81</v>
      </c>
      <c r="F695" s="683">
        <f>+$E$679*F19</f>
        <v>0</v>
      </c>
      <c r="G695" s="683">
        <f>+$E$679*G19</f>
        <v>0</v>
      </c>
    </row>
    <row r="696" spans="1:7" s="9" customFormat="1" ht="15.75" thickBot="1" x14ac:dyDescent="0.3">
      <c r="A696" s="119"/>
      <c r="B696" s="310"/>
      <c r="C696" s="9">
        <f t="shared" ca="1" si="128"/>
        <v>1</v>
      </c>
      <c r="D696" s="35" t="s">
        <v>22</v>
      </c>
      <c r="E696" s="12" t="s">
        <v>83</v>
      </c>
      <c r="F696" s="685">
        <f ca="1">SUBTOTAL(9,F682:F695)</f>
        <v>48218.503349044637</v>
      </c>
      <c r="G696" s="685">
        <f>SUBTOTAL(9,G682:G695)</f>
        <v>0</v>
      </c>
    </row>
    <row r="697" spans="1:7" s="9" customFormat="1" ht="15.75" hidden="1" thickBot="1" x14ac:dyDescent="0.3">
      <c r="A697" s="119"/>
      <c r="B697" s="310"/>
      <c r="D697" s="326"/>
      <c r="E697" s="327"/>
      <c r="F697" s="686"/>
      <c r="G697" s="686"/>
    </row>
    <row r="698" spans="1:7" s="9" customFormat="1" ht="15.75" hidden="1" thickBot="1" x14ac:dyDescent="0.3">
      <c r="A698" s="119"/>
      <c r="B698" s="310"/>
      <c r="D698" s="326"/>
      <c r="E698" s="327"/>
      <c r="F698" s="686"/>
      <c r="G698" s="686"/>
    </row>
    <row r="699" spans="1:7" s="9" customFormat="1" ht="30" x14ac:dyDescent="0.25">
      <c r="A699" s="119"/>
      <c r="B699" s="310"/>
      <c r="C699" s="9">
        <f ca="1">IF(F716&gt;0,1,0)</f>
        <v>1</v>
      </c>
      <c r="D699" s="20" t="str">
        <f>+A39</f>
        <v>Orange</v>
      </c>
      <c r="E699" s="19">
        <f>IFERROR(SUMIF(A:A,D699,B:B),0)</f>
        <v>1.2293981971585183E-2</v>
      </c>
      <c r="F699" s="652" t="s">
        <v>31</v>
      </c>
      <c r="G699" s="652" t="s">
        <v>32</v>
      </c>
    </row>
    <row r="700" spans="1:7" s="9" customFormat="1" x14ac:dyDescent="0.25">
      <c r="A700" s="119"/>
      <c r="B700" s="310"/>
      <c r="C700" s="9">
        <f ca="1">C699</f>
        <v>1</v>
      </c>
      <c r="D700" s="30"/>
      <c r="E700" s="31"/>
      <c r="F700" s="680" t="s">
        <v>54</v>
      </c>
      <c r="G700" s="680" t="s">
        <v>53</v>
      </c>
    </row>
    <row r="701" spans="1:7" s="9" customFormat="1" x14ac:dyDescent="0.25">
      <c r="A701" s="119"/>
      <c r="B701" s="310"/>
      <c r="C701" s="9">
        <f t="shared" ref="C701:C716" ca="1" si="134">C700</f>
        <v>1</v>
      </c>
      <c r="D701" s="32" t="s">
        <v>71</v>
      </c>
      <c r="E701" s="33"/>
      <c r="F701" s="681"/>
      <c r="G701" s="682"/>
    </row>
    <row r="702" spans="1:7" s="9" customFormat="1" x14ac:dyDescent="0.25">
      <c r="A702" s="119"/>
      <c r="B702" s="310"/>
      <c r="C702" s="9">
        <f t="shared" ca="1" si="134"/>
        <v>1</v>
      </c>
      <c r="D702" s="368" t="s">
        <v>72</v>
      </c>
      <c r="E702" s="12" t="s">
        <v>57</v>
      </c>
      <c r="F702" s="683">
        <f t="shared" ref="F702:G702" si="135">+$E699*F$6</f>
        <v>0</v>
      </c>
      <c r="G702" s="683">
        <f t="shared" si="135"/>
        <v>0</v>
      </c>
    </row>
    <row r="703" spans="1:7" s="9" customFormat="1" x14ac:dyDescent="0.25">
      <c r="A703" s="119"/>
      <c r="B703" s="310"/>
      <c r="C703" s="9">
        <f t="shared" ca="1" si="134"/>
        <v>1</v>
      </c>
      <c r="D703" s="368" t="s">
        <v>73</v>
      </c>
      <c r="E703" s="12" t="s">
        <v>56</v>
      </c>
      <c r="F703" s="683">
        <f t="shared" ref="F703:G703" si="136">+$E699*F$7</f>
        <v>5386.3565067457475</v>
      </c>
      <c r="G703" s="683">
        <f t="shared" si="136"/>
        <v>0</v>
      </c>
    </row>
    <row r="704" spans="1:7" s="9" customFormat="1" x14ac:dyDescent="0.25">
      <c r="A704" s="119"/>
      <c r="B704" s="310"/>
      <c r="C704" s="9">
        <f t="shared" ca="1" si="134"/>
        <v>1</v>
      </c>
      <c r="D704" s="368" t="s">
        <v>74</v>
      </c>
      <c r="E704" s="12" t="s">
        <v>55</v>
      </c>
      <c r="F704" s="683">
        <f t="shared" ref="F704:G704" si="137">+$E699*F$8</f>
        <v>807.50471672313313</v>
      </c>
      <c r="G704" s="683">
        <f t="shared" si="137"/>
        <v>0</v>
      </c>
    </row>
    <row r="705" spans="1:7" s="9" customFormat="1" x14ac:dyDescent="0.25">
      <c r="A705" s="119"/>
      <c r="B705" s="310"/>
      <c r="C705" s="9">
        <f t="shared" ca="1" si="134"/>
        <v>1</v>
      </c>
      <c r="D705" s="368" t="s">
        <v>75</v>
      </c>
      <c r="E705" s="12" t="s">
        <v>54</v>
      </c>
      <c r="F705" s="683">
        <f t="shared" ref="F705:G705" si="138">+$E699*F$9</f>
        <v>1650.4289544779908</v>
      </c>
      <c r="G705" s="683">
        <f t="shared" si="138"/>
        <v>0</v>
      </c>
    </row>
    <row r="706" spans="1:7" s="9" customFormat="1" x14ac:dyDescent="0.25">
      <c r="A706" s="119"/>
      <c r="B706" s="310"/>
      <c r="C706" s="9">
        <f t="shared" ca="1" si="134"/>
        <v>1</v>
      </c>
      <c r="D706" s="34" t="s">
        <v>467</v>
      </c>
      <c r="E706" s="12" t="s">
        <v>53</v>
      </c>
      <c r="F706" s="683">
        <f t="shared" ref="F706:G706" si="139">+$E699*F$10</f>
        <v>7903.0188308942979</v>
      </c>
      <c r="G706" s="683">
        <f t="shared" si="139"/>
        <v>0</v>
      </c>
    </row>
    <row r="707" spans="1:7" s="9" customFormat="1" x14ac:dyDescent="0.25">
      <c r="A707" s="119"/>
      <c r="B707" s="310"/>
      <c r="C707" s="9">
        <f t="shared" ca="1" si="134"/>
        <v>1</v>
      </c>
      <c r="D707" s="34" t="s">
        <v>76</v>
      </c>
      <c r="E707" s="12" t="s">
        <v>52</v>
      </c>
      <c r="F707" s="683">
        <f>+$E699*F$11</f>
        <v>1807.0069990972461</v>
      </c>
      <c r="G707" s="683">
        <f>+$E699*G$11</f>
        <v>0</v>
      </c>
    </row>
    <row r="708" spans="1:7" s="9" customFormat="1" x14ac:dyDescent="0.25">
      <c r="A708" s="119"/>
      <c r="B708" s="310"/>
      <c r="C708" s="9">
        <f t="shared" ca="1" si="134"/>
        <v>1</v>
      </c>
      <c r="D708" s="34" t="s">
        <v>468</v>
      </c>
      <c r="E708" s="12" t="s">
        <v>51</v>
      </c>
      <c r="F708" s="683">
        <f>+$E699*F$12</f>
        <v>0</v>
      </c>
      <c r="G708" s="683">
        <f>+$E699*G$12</f>
        <v>0</v>
      </c>
    </row>
    <row r="709" spans="1:7" s="9" customFormat="1" x14ac:dyDescent="0.25">
      <c r="A709" s="119"/>
      <c r="B709" s="310"/>
      <c r="C709" s="9">
        <f t="shared" ca="1" si="134"/>
        <v>1</v>
      </c>
      <c r="D709" s="368" t="s">
        <v>59</v>
      </c>
      <c r="E709" s="12" t="s">
        <v>50</v>
      </c>
      <c r="F709" s="683">
        <f>+$E699*F$13</f>
        <v>286.12893628104132</v>
      </c>
      <c r="G709" s="683">
        <f>+$E699*G$13</f>
        <v>0</v>
      </c>
    </row>
    <row r="710" spans="1:7" s="9" customFormat="1" x14ac:dyDescent="0.25">
      <c r="A710" s="119"/>
      <c r="B710" s="310"/>
      <c r="C710" s="9">
        <f t="shared" ca="1" si="134"/>
        <v>1</v>
      </c>
      <c r="D710" s="368" t="s">
        <v>25</v>
      </c>
      <c r="E710" s="12" t="s">
        <v>49</v>
      </c>
      <c r="F710" s="683">
        <f>+$E699*F$14</f>
        <v>936.95586542814692</v>
      </c>
      <c r="G710" s="683">
        <f>+$E699*G$14</f>
        <v>0</v>
      </c>
    </row>
    <row r="711" spans="1:7" s="9" customFormat="1" x14ac:dyDescent="0.25">
      <c r="A711" s="119"/>
      <c r="B711" s="310"/>
      <c r="C711" s="9">
        <f t="shared" ca="1" si="134"/>
        <v>1</v>
      </c>
      <c r="D711" s="368" t="s">
        <v>80</v>
      </c>
      <c r="E711" s="12" t="s">
        <v>47</v>
      </c>
      <c r="F711" s="683">
        <f>+$E699*F$15</f>
        <v>3495.742246894948</v>
      </c>
      <c r="G711" s="683">
        <f>+$E699*G$15</f>
        <v>0</v>
      </c>
    </row>
    <row r="712" spans="1:7" s="9" customFormat="1" x14ac:dyDescent="0.25">
      <c r="A712" s="119"/>
      <c r="B712" s="310"/>
      <c r="C712" s="9">
        <f t="shared" ca="1" si="134"/>
        <v>1</v>
      </c>
      <c r="D712" s="368" t="s">
        <v>82</v>
      </c>
      <c r="E712" s="12" t="s">
        <v>77</v>
      </c>
      <c r="F712" s="683">
        <f>+$E699*F$16</f>
        <v>2368.7832440961588</v>
      </c>
      <c r="G712" s="683">
        <f>+$E699*G$16</f>
        <v>0</v>
      </c>
    </row>
    <row r="713" spans="1:7" s="9" customFormat="1" x14ac:dyDescent="0.25">
      <c r="A713" s="119"/>
      <c r="B713" s="310"/>
      <c r="C713" s="9">
        <f t="shared" ca="1" si="134"/>
        <v>1</v>
      </c>
      <c r="D713" s="368" t="s">
        <v>84</v>
      </c>
      <c r="E713" s="12" t="s">
        <v>78</v>
      </c>
      <c r="F713" s="683">
        <f ca="1">+$E699*F$17</f>
        <v>169346.37384997343</v>
      </c>
      <c r="G713" s="683">
        <f>+$E699*G$17</f>
        <v>0</v>
      </c>
    </row>
    <row r="714" spans="1:7" s="9" customFormat="1" x14ac:dyDescent="0.25">
      <c r="A714" s="119"/>
      <c r="B714" s="310"/>
      <c r="C714" s="9">
        <f t="shared" ca="1" si="134"/>
        <v>1</v>
      </c>
      <c r="D714" s="368" t="s">
        <v>86</v>
      </c>
      <c r="E714" s="12" t="s">
        <v>79</v>
      </c>
      <c r="F714" s="683">
        <f>+$E$699*F18</f>
        <v>0</v>
      </c>
      <c r="G714" s="683">
        <f>+$E$699*G18</f>
        <v>0</v>
      </c>
    </row>
    <row r="715" spans="1:7" s="9" customFormat="1" x14ac:dyDescent="0.25">
      <c r="A715" s="119"/>
      <c r="B715" s="310"/>
      <c r="C715" s="9">
        <f t="shared" ca="1" si="134"/>
        <v>1</v>
      </c>
      <c r="D715" s="368" t="s">
        <v>386</v>
      </c>
      <c r="E715" s="12" t="s">
        <v>81</v>
      </c>
      <c r="F715" s="683">
        <f>+$E$699*F19</f>
        <v>0</v>
      </c>
      <c r="G715" s="683">
        <f>+$E$699*G19</f>
        <v>0</v>
      </c>
    </row>
    <row r="716" spans="1:7" s="9" customFormat="1" ht="15.75" thickBot="1" x14ac:dyDescent="0.3">
      <c r="A716" s="119"/>
      <c r="B716" s="310"/>
      <c r="C716" s="9">
        <f t="shared" ca="1" si="134"/>
        <v>1</v>
      </c>
      <c r="D716" s="35" t="s">
        <v>22</v>
      </c>
      <c r="E716" s="12" t="s">
        <v>83</v>
      </c>
      <c r="F716" s="685">
        <f ca="1">SUBTOTAL(9,F702:F715)</f>
        <v>193988.30015061214</v>
      </c>
      <c r="G716" s="685">
        <f>SUBTOTAL(9,G702:G715)</f>
        <v>0</v>
      </c>
    </row>
    <row r="717" spans="1:7" s="9" customFormat="1" ht="15.75" hidden="1" thickBot="1" x14ac:dyDescent="0.3">
      <c r="A717" s="119"/>
      <c r="B717" s="310"/>
      <c r="D717" s="326"/>
      <c r="E717" s="327"/>
      <c r="F717" s="686"/>
      <c r="G717" s="686"/>
    </row>
    <row r="718" spans="1:7" s="9" customFormat="1" ht="30" x14ac:dyDescent="0.25">
      <c r="A718" s="119"/>
      <c r="B718" s="310"/>
      <c r="C718" s="9">
        <f ca="1">IF(F735&gt;0,1,0)</f>
        <v>1</v>
      </c>
      <c r="D718" s="20" t="str">
        <f>+A40</f>
        <v>Orleans</v>
      </c>
      <c r="E718" s="19">
        <f>IFERROR(SUMIF(A:A,D718,B:B),0)</f>
        <v>1.1805826190968058E-3</v>
      </c>
      <c r="F718" s="652" t="s">
        <v>31</v>
      </c>
      <c r="G718" s="652" t="s">
        <v>32</v>
      </c>
    </row>
    <row r="719" spans="1:7" s="9" customFormat="1" x14ac:dyDescent="0.25">
      <c r="A719" s="119"/>
      <c r="B719" s="310"/>
      <c r="C719" s="9">
        <f ca="1">C718</f>
        <v>1</v>
      </c>
      <c r="D719" s="30"/>
      <c r="E719" s="31"/>
      <c r="F719" s="680" t="s">
        <v>54</v>
      </c>
      <c r="G719" s="680" t="s">
        <v>53</v>
      </c>
    </row>
    <row r="720" spans="1:7" s="9" customFormat="1" x14ac:dyDescent="0.25">
      <c r="A720" s="119"/>
      <c r="B720" s="310"/>
      <c r="C720" s="9">
        <f t="shared" ref="C720:C735" ca="1" si="140">C719</f>
        <v>1</v>
      </c>
      <c r="D720" s="32" t="s">
        <v>71</v>
      </c>
      <c r="E720" s="33"/>
      <c r="F720" s="681"/>
      <c r="G720" s="682"/>
    </row>
    <row r="721" spans="1:7" s="9" customFormat="1" x14ac:dyDescent="0.25">
      <c r="A721" s="119"/>
      <c r="B721" s="310"/>
      <c r="C721" s="9">
        <f t="shared" ca="1" si="140"/>
        <v>1</v>
      </c>
      <c r="D721" s="368" t="s">
        <v>72</v>
      </c>
      <c r="E721" s="12" t="s">
        <v>57</v>
      </c>
      <c r="F721" s="683">
        <f t="shared" ref="F721:G721" si="141">+$E718*F$6</f>
        <v>0</v>
      </c>
      <c r="G721" s="683">
        <f t="shared" si="141"/>
        <v>0</v>
      </c>
    </row>
    <row r="722" spans="1:7" s="9" customFormat="1" x14ac:dyDescent="0.25">
      <c r="A722" s="119"/>
      <c r="B722" s="310"/>
      <c r="C722" s="9">
        <f t="shared" ca="1" si="140"/>
        <v>1</v>
      </c>
      <c r="D722" s="368" t="s">
        <v>73</v>
      </c>
      <c r="E722" s="12" t="s">
        <v>56</v>
      </c>
      <c r="F722" s="683">
        <f t="shared" ref="F722:G722" si="142">+$E718*F$7</f>
        <v>517.24810454582803</v>
      </c>
      <c r="G722" s="683">
        <f t="shared" si="142"/>
        <v>0</v>
      </c>
    </row>
    <row r="723" spans="1:7" s="9" customFormat="1" x14ac:dyDescent="0.25">
      <c r="A723" s="119"/>
      <c r="B723" s="310"/>
      <c r="C723" s="9">
        <f t="shared" ca="1" si="140"/>
        <v>1</v>
      </c>
      <c r="D723" s="368" t="s">
        <v>74</v>
      </c>
      <c r="E723" s="12" t="s">
        <v>55</v>
      </c>
      <c r="F723" s="683">
        <f t="shared" ref="F723:G723" si="143">+$E718*F$8</f>
        <v>77.544121636539145</v>
      </c>
      <c r="G723" s="683">
        <f t="shared" si="143"/>
        <v>0</v>
      </c>
    </row>
    <row r="724" spans="1:7" s="9" customFormat="1" x14ac:dyDescent="0.25">
      <c r="A724" s="119"/>
      <c r="B724" s="310"/>
      <c r="C724" s="9">
        <f t="shared" ca="1" si="140"/>
        <v>1</v>
      </c>
      <c r="D724" s="368" t="s">
        <v>75</v>
      </c>
      <c r="E724" s="12" t="s">
        <v>54</v>
      </c>
      <c r="F724" s="683">
        <f t="shared" ref="F724:G724" si="144">+$E718*F$9</f>
        <v>158.48955547635268</v>
      </c>
      <c r="G724" s="683">
        <f t="shared" si="144"/>
        <v>0</v>
      </c>
    </row>
    <row r="725" spans="1:7" s="9" customFormat="1" x14ac:dyDescent="0.25">
      <c r="A725" s="119"/>
      <c r="B725" s="310"/>
      <c r="C725" s="9">
        <f t="shared" ca="1" si="140"/>
        <v>1</v>
      </c>
      <c r="D725" s="34" t="s">
        <v>467</v>
      </c>
      <c r="E725" s="12" t="s">
        <v>53</v>
      </c>
      <c r="F725" s="683">
        <f t="shared" ref="F725:G725" si="145">+$E718*F$10</f>
        <v>758.92145374160964</v>
      </c>
      <c r="G725" s="683">
        <f t="shared" si="145"/>
        <v>0</v>
      </c>
    </row>
    <row r="726" spans="1:7" s="9" customFormat="1" x14ac:dyDescent="0.25">
      <c r="A726" s="119"/>
      <c r="B726" s="310"/>
      <c r="C726" s="9">
        <f t="shared" ca="1" si="140"/>
        <v>1</v>
      </c>
      <c r="D726" s="34" t="s">
        <v>76</v>
      </c>
      <c r="E726" s="12" t="s">
        <v>52</v>
      </c>
      <c r="F726" s="683">
        <f>+$E718*F$11</f>
        <v>173.52563723057227</v>
      </c>
      <c r="G726" s="683">
        <f>+$E718*G$11</f>
        <v>0</v>
      </c>
    </row>
    <row r="727" spans="1:7" s="9" customFormat="1" x14ac:dyDescent="0.25">
      <c r="A727" s="119"/>
      <c r="B727" s="310"/>
      <c r="C727" s="9">
        <f t="shared" ca="1" si="140"/>
        <v>1</v>
      </c>
      <c r="D727" s="34" t="s">
        <v>468</v>
      </c>
      <c r="E727" s="12" t="s">
        <v>51</v>
      </c>
      <c r="F727" s="683">
        <f>+$E718*F$12</f>
        <v>0</v>
      </c>
      <c r="G727" s="683">
        <f>+$E718*G$12</f>
        <v>0</v>
      </c>
    </row>
    <row r="728" spans="1:7" s="9" customFormat="1" x14ac:dyDescent="0.25">
      <c r="A728" s="119"/>
      <c r="B728" s="310"/>
      <c r="C728" s="9">
        <f t="shared" ca="1" si="140"/>
        <v>1</v>
      </c>
      <c r="D728" s="368" t="s">
        <v>59</v>
      </c>
      <c r="E728" s="12" t="s">
        <v>50</v>
      </c>
      <c r="F728" s="683">
        <f>+$E718*F$13</f>
        <v>27.476764629621393</v>
      </c>
      <c r="G728" s="683">
        <f>+$E718*G$13</f>
        <v>0</v>
      </c>
    </row>
    <row r="729" spans="1:7" s="9" customFormat="1" x14ac:dyDescent="0.25">
      <c r="A729" s="119"/>
      <c r="B729" s="310"/>
      <c r="C729" s="9">
        <f t="shared" ca="1" si="140"/>
        <v>1</v>
      </c>
      <c r="D729" s="368" t="s">
        <v>25</v>
      </c>
      <c r="E729" s="12" t="s">
        <v>49</v>
      </c>
      <c r="F729" s="683">
        <f>+$E718*F$14</f>
        <v>89.975226264517516</v>
      </c>
      <c r="G729" s="683">
        <f>+$E718*G$14</f>
        <v>0</v>
      </c>
    </row>
    <row r="730" spans="1:7" s="9" customFormat="1" x14ac:dyDescent="0.25">
      <c r="A730" s="119"/>
      <c r="B730" s="310"/>
      <c r="C730" s="9">
        <f t="shared" ca="1" si="140"/>
        <v>1</v>
      </c>
      <c r="D730" s="368" t="s">
        <v>80</v>
      </c>
      <c r="E730" s="12" t="s">
        <v>47</v>
      </c>
      <c r="F730" s="683">
        <f>+$E718*F$15</f>
        <v>335.69371966424438</v>
      </c>
      <c r="G730" s="683">
        <f>+$E718*G$15</f>
        <v>0</v>
      </c>
    </row>
    <row r="731" spans="1:7" s="9" customFormat="1" x14ac:dyDescent="0.25">
      <c r="A731" s="119"/>
      <c r="B731" s="310"/>
      <c r="C731" s="9">
        <f t="shared" ca="1" si="140"/>
        <v>1</v>
      </c>
      <c r="D731" s="368" t="s">
        <v>82</v>
      </c>
      <c r="E731" s="12" t="s">
        <v>77</v>
      </c>
      <c r="F731" s="683">
        <f>+$E718*F$16</f>
        <v>227.4726230159817</v>
      </c>
      <c r="G731" s="683">
        <f>+$E718*G$16</f>
        <v>0</v>
      </c>
    </row>
    <row r="732" spans="1:7" s="9" customFormat="1" x14ac:dyDescent="0.25">
      <c r="A732" s="119"/>
      <c r="B732" s="310"/>
      <c r="C732" s="9">
        <f t="shared" ca="1" si="140"/>
        <v>1</v>
      </c>
      <c r="D732" s="368" t="s">
        <v>84</v>
      </c>
      <c r="E732" s="12" t="s">
        <v>78</v>
      </c>
      <c r="F732" s="683">
        <f ca="1">+$E718*F$17</f>
        <v>16262.215613821167</v>
      </c>
      <c r="G732" s="683">
        <f>+$E718*G$17</f>
        <v>0</v>
      </c>
    </row>
    <row r="733" spans="1:7" s="9" customFormat="1" x14ac:dyDescent="0.25">
      <c r="A733" s="119"/>
      <c r="B733" s="310"/>
      <c r="C733" s="9">
        <f t="shared" ca="1" si="140"/>
        <v>1</v>
      </c>
      <c r="D733" s="368" t="s">
        <v>86</v>
      </c>
      <c r="E733" s="12" t="s">
        <v>79</v>
      </c>
      <c r="F733" s="683">
        <f>+$E$718*F18</f>
        <v>0</v>
      </c>
      <c r="G733" s="683">
        <f>+$E$718*G18</f>
        <v>0</v>
      </c>
    </row>
    <row r="734" spans="1:7" s="9" customFormat="1" x14ac:dyDescent="0.25">
      <c r="A734" s="119"/>
      <c r="B734" s="310"/>
      <c r="C734" s="9">
        <f t="shared" ca="1" si="140"/>
        <v>1</v>
      </c>
      <c r="D734" s="368" t="s">
        <v>386</v>
      </c>
      <c r="E734" s="12" t="s">
        <v>81</v>
      </c>
      <c r="F734" s="683">
        <f>+$E$718*F19</f>
        <v>0</v>
      </c>
      <c r="G734" s="683">
        <f>+$E$718*G19</f>
        <v>0</v>
      </c>
    </row>
    <row r="735" spans="1:7" s="9" customFormat="1" ht="15.75" thickBot="1" x14ac:dyDescent="0.3">
      <c r="A735" s="119"/>
      <c r="B735" s="310"/>
      <c r="C735" s="9">
        <f t="shared" ca="1" si="140"/>
        <v>1</v>
      </c>
      <c r="D735" s="35" t="s">
        <v>22</v>
      </c>
      <c r="E735" s="12" t="s">
        <v>83</v>
      </c>
      <c r="F735" s="685">
        <f ca="1">SUBTOTAL(9,F721:F734)</f>
        <v>18628.562820026433</v>
      </c>
      <c r="G735" s="685">
        <f>SUBTOTAL(9,G721:G734)</f>
        <v>0</v>
      </c>
    </row>
    <row r="736" spans="1:7" s="9" customFormat="1" ht="15.75" hidden="1" thickBot="1" x14ac:dyDescent="0.3">
      <c r="A736" s="119"/>
      <c r="B736" s="310"/>
      <c r="D736" s="326"/>
      <c r="E736" s="327"/>
      <c r="F736" s="686"/>
      <c r="G736" s="686"/>
    </row>
    <row r="737" spans="1:7" s="9" customFormat="1" ht="15.75" hidden="1" thickBot="1" x14ac:dyDescent="0.3">
      <c r="A737" s="119"/>
      <c r="B737" s="310"/>
      <c r="D737" s="326"/>
      <c r="E737" s="327"/>
      <c r="F737" s="686"/>
      <c r="G737" s="686"/>
    </row>
    <row r="738" spans="1:7" s="9" customFormat="1" ht="30" x14ac:dyDescent="0.25">
      <c r="A738" s="119"/>
      <c r="B738" s="310"/>
      <c r="C738" s="9">
        <f ca="1">IF(F755&gt;0,1,0)</f>
        <v>1</v>
      </c>
      <c r="D738" s="20" t="str">
        <f>+A41</f>
        <v>Oswego</v>
      </c>
      <c r="E738" s="19">
        <f>IFERROR(SUMIF(A:A,D738,B:B),0)</f>
        <v>3.9130855242887541E-3</v>
      </c>
      <c r="F738" s="652" t="s">
        <v>31</v>
      </c>
      <c r="G738" s="652" t="s">
        <v>32</v>
      </c>
    </row>
    <row r="739" spans="1:7" s="9" customFormat="1" x14ac:dyDescent="0.25">
      <c r="A739" s="119"/>
      <c r="B739" s="310"/>
      <c r="C739" s="9">
        <f ca="1">C738</f>
        <v>1</v>
      </c>
      <c r="D739" s="30"/>
      <c r="E739" s="31"/>
      <c r="F739" s="680" t="s">
        <v>54</v>
      </c>
      <c r="G739" s="680" t="s">
        <v>53</v>
      </c>
    </row>
    <row r="740" spans="1:7" s="9" customFormat="1" x14ac:dyDescent="0.25">
      <c r="A740" s="119"/>
      <c r="B740" s="310"/>
      <c r="C740" s="9">
        <f t="shared" ref="C740:C755" ca="1" si="146">C739</f>
        <v>1</v>
      </c>
      <c r="D740" s="32" t="s">
        <v>71</v>
      </c>
      <c r="E740" s="33"/>
      <c r="F740" s="681"/>
      <c r="G740" s="682"/>
    </row>
    <row r="741" spans="1:7" s="9" customFormat="1" x14ac:dyDescent="0.25">
      <c r="A741" s="119"/>
      <c r="B741" s="310"/>
      <c r="C741" s="9">
        <f t="shared" ca="1" si="146"/>
        <v>1</v>
      </c>
      <c r="D741" s="368" t="s">
        <v>72</v>
      </c>
      <c r="E741" s="12" t="s">
        <v>57</v>
      </c>
      <c r="F741" s="683">
        <f t="shared" ref="F741:G741" si="147">+$E738*F$6</f>
        <v>0</v>
      </c>
      <c r="G741" s="683">
        <f t="shared" si="147"/>
        <v>0</v>
      </c>
    </row>
    <row r="742" spans="1:7" s="9" customFormat="1" x14ac:dyDescent="0.25">
      <c r="A742" s="119"/>
      <c r="B742" s="310"/>
      <c r="C742" s="9">
        <f t="shared" ca="1" si="146"/>
        <v>1</v>
      </c>
      <c r="D742" s="368" t="s">
        <v>73</v>
      </c>
      <c r="E742" s="12" t="s">
        <v>56</v>
      </c>
      <c r="F742" s="683">
        <f t="shared" ref="F742:G742" si="148">+$E738*F$7</f>
        <v>1714.4383100545274</v>
      </c>
      <c r="G742" s="683">
        <f t="shared" si="148"/>
        <v>0</v>
      </c>
    </row>
    <row r="743" spans="1:7" s="9" customFormat="1" x14ac:dyDescent="0.25">
      <c r="A743" s="119"/>
      <c r="B743" s="310"/>
      <c r="C743" s="9">
        <f t="shared" ca="1" si="146"/>
        <v>1</v>
      </c>
      <c r="D743" s="368" t="s">
        <v>74</v>
      </c>
      <c r="E743" s="12" t="s">
        <v>55</v>
      </c>
      <c r="F743" s="683">
        <f t="shared" ref="F743:G743" si="149">+$E738*F$8</f>
        <v>257.02290967299632</v>
      </c>
      <c r="G743" s="683">
        <f t="shared" si="149"/>
        <v>0</v>
      </c>
    </row>
    <row r="744" spans="1:7" s="9" customFormat="1" x14ac:dyDescent="0.25">
      <c r="A744" s="119"/>
      <c r="B744" s="310"/>
      <c r="C744" s="9">
        <f t="shared" ca="1" si="146"/>
        <v>1</v>
      </c>
      <c r="D744" s="368" t="s">
        <v>75</v>
      </c>
      <c r="E744" s="12" t="s">
        <v>54</v>
      </c>
      <c r="F744" s="683">
        <f t="shared" ref="F744:G744" si="150">+$E738*F$9</f>
        <v>525.31959665808108</v>
      </c>
      <c r="G744" s="683">
        <f t="shared" si="150"/>
        <v>0</v>
      </c>
    </row>
    <row r="745" spans="1:7" s="9" customFormat="1" x14ac:dyDescent="0.25">
      <c r="A745" s="119"/>
      <c r="B745" s="310"/>
      <c r="C745" s="9">
        <f t="shared" ca="1" si="146"/>
        <v>1</v>
      </c>
      <c r="D745" s="34" t="s">
        <v>467</v>
      </c>
      <c r="E745" s="12" t="s">
        <v>53</v>
      </c>
      <c r="F745" s="683">
        <f t="shared" ref="F745:G745" si="151">+$E738*F$10</f>
        <v>2515.4737217632692</v>
      </c>
      <c r="G745" s="683">
        <f t="shared" si="151"/>
        <v>0</v>
      </c>
    </row>
    <row r="746" spans="1:7" s="9" customFormat="1" x14ac:dyDescent="0.25">
      <c r="A746" s="119"/>
      <c r="B746" s="310"/>
      <c r="C746" s="9">
        <f t="shared" ca="1" si="146"/>
        <v>1</v>
      </c>
      <c r="D746" s="34" t="s">
        <v>76</v>
      </c>
      <c r="E746" s="12" t="s">
        <v>52</v>
      </c>
      <c r="F746" s="683">
        <f>+$E738*F$11</f>
        <v>575.15725554168569</v>
      </c>
      <c r="G746" s="683">
        <f>+$E738*G$11</f>
        <v>0</v>
      </c>
    </row>
    <row r="747" spans="1:7" s="9" customFormat="1" x14ac:dyDescent="0.25">
      <c r="A747" s="119"/>
      <c r="B747" s="310"/>
      <c r="C747" s="9">
        <f t="shared" ca="1" si="146"/>
        <v>1</v>
      </c>
      <c r="D747" s="34" t="s">
        <v>468</v>
      </c>
      <c r="E747" s="12" t="s">
        <v>51</v>
      </c>
      <c r="F747" s="683">
        <f>+$E738*F$12</f>
        <v>0</v>
      </c>
      <c r="G747" s="683">
        <f>+$E738*G$12</f>
        <v>0</v>
      </c>
    </row>
    <row r="748" spans="1:7" s="9" customFormat="1" x14ac:dyDescent="0.25">
      <c r="A748" s="119"/>
      <c r="B748" s="310"/>
      <c r="C748" s="9">
        <f t="shared" ca="1" si="146"/>
        <v>1</v>
      </c>
      <c r="D748" s="368" t="s">
        <v>59</v>
      </c>
      <c r="E748" s="12" t="s">
        <v>50</v>
      </c>
      <c r="F748" s="683">
        <f>+$E738*F$13</f>
        <v>91.072770500989691</v>
      </c>
      <c r="G748" s="683">
        <f>+$E738*G$13</f>
        <v>0</v>
      </c>
    </row>
    <row r="749" spans="1:7" s="9" customFormat="1" x14ac:dyDescent="0.25">
      <c r="A749" s="119"/>
      <c r="B749" s="310"/>
      <c r="C749" s="9">
        <f t="shared" ca="1" si="146"/>
        <v>1</v>
      </c>
      <c r="D749" s="368" t="s">
        <v>25</v>
      </c>
      <c r="E749" s="12" t="s">
        <v>49</v>
      </c>
      <c r="F749" s="683">
        <f>+$E738*F$14</f>
        <v>298.22627382880245</v>
      </c>
      <c r="G749" s="683">
        <f>+$E738*G$14</f>
        <v>0</v>
      </c>
    </row>
    <row r="750" spans="1:7" s="9" customFormat="1" x14ac:dyDescent="0.25">
      <c r="A750" s="119"/>
      <c r="B750" s="310"/>
      <c r="C750" s="9">
        <f t="shared" ca="1" si="146"/>
        <v>1</v>
      </c>
      <c r="D750" s="368" t="s">
        <v>80</v>
      </c>
      <c r="E750" s="12" t="s">
        <v>47</v>
      </c>
      <c r="F750" s="683">
        <f>+$E738*F$15</f>
        <v>1112.6694682476</v>
      </c>
      <c r="G750" s="683">
        <f>+$E738*G$15</f>
        <v>0</v>
      </c>
    </row>
    <row r="751" spans="1:7" s="9" customFormat="1" x14ac:dyDescent="0.25">
      <c r="A751" s="119"/>
      <c r="B751" s="310"/>
      <c r="C751" s="9">
        <f t="shared" ca="1" si="146"/>
        <v>1</v>
      </c>
      <c r="D751" s="368" t="s">
        <v>82</v>
      </c>
      <c r="E751" s="12" t="s">
        <v>77</v>
      </c>
      <c r="F751" s="683">
        <f>+$E738*F$16</f>
        <v>753.9665703166196</v>
      </c>
      <c r="G751" s="683">
        <f>+$E738*G$16</f>
        <v>0</v>
      </c>
    </row>
    <row r="752" spans="1:7" s="9" customFormat="1" x14ac:dyDescent="0.25">
      <c r="A752" s="119"/>
      <c r="B752" s="310"/>
      <c r="C752" s="9">
        <f t="shared" ca="1" si="146"/>
        <v>1</v>
      </c>
      <c r="D752" s="368" t="s">
        <v>84</v>
      </c>
      <c r="E752" s="12" t="s">
        <v>78</v>
      </c>
      <c r="F752" s="683">
        <f ca="1">+$E738*F$17</f>
        <v>53901.725708946899</v>
      </c>
      <c r="G752" s="683">
        <f>+$E738*G$17</f>
        <v>0</v>
      </c>
    </row>
    <row r="753" spans="1:7" s="9" customFormat="1" x14ac:dyDescent="0.25">
      <c r="A753" s="119"/>
      <c r="B753" s="310"/>
      <c r="C753" s="9">
        <f t="shared" ca="1" si="146"/>
        <v>1</v>
      </c>
      <c r="D753" s="368" t="s">
        <v>86</v>
      </c>
      <c r="E753" s="12" t="s">
        <v>79</v>
      </c>
      <c r="F753" s="683">
        <f>+$E$738*F18</f>
        <v>0</v>
      </c>
      <c r="G753" s="683">
        <f>+$E$738*G18</f>
        <v>0</v>
      </c>
    </row>
    <row r="754" spans="1:7" s="9" customFormat="1" x14ac:dyDescent="0.25">
      <c r="A754" s="119"/>
      <c r="B754" s="310"/>
      <c r="C754" s="9">
        <f t="shared" ca="1" si="146"/>
        <v>1</v>
      </c>
      <c r="D754" s="368" t="s">
        <v>386</v>
      </c>
      <c r="E754" s="12" t="s">
        <v>81</v>
      </c>
      <c r="F754" s="683">
        <f>+$E$738*F19</f>
        <v>0</v>
      </c>
      <c r="G754" s="683">
        <f>+$E$738*G19</f>
        <v>0</v>
      </c>
    </row>
    <row r="755" spans="1:7" s="9" customFormat="1" ht="15.75" thickBot="1" x14ac:dyDescent="0.3">
      <c r="A755" s="119"/>
      <c r="B755" s="310"/>
      <c r="C755" s="9">
        <f t="shared" ca="1" si="146"/>
        <v>1</v>
      </c>
      <c r="D755" s="35" t="s">
        <v>22</v>
      </c>
      <c r="E755" s="12" t="s">
        <v>83</v>
      </c>
      <c r="F755" s="685">
        <f ca="1">SUBTOTAL(9,F741:F754)</f>
        <v>61745.072585531467</v>
      </c>
      <c r="G755" s="685">
        <f>SUBTOTAL(9,G741:G754)</f>
        <v>0</v>
      </c>
    </row>
    <row r="756" spans="1:7" s="9" customFormat="1" ht="15.75" hidden="1" thickBot="1" x14ac:dyDescent="0.3">
      <c r="A756" s="119"/>
      <c r="B756" s="310"/>
      <c r="D756" s="326"/>
      <c r="E756" s="327"/>
      <c r="F756" s="686"/>
      <c r="G756" s="686"/>
    </row>
    <row r="757" spans="1:7" s="9" customFormat="1" ht="30" x14ac:dyDescent="0.25">
      <c r="A757" s="119"/>
      <c r="B757" s="310"/>
      <c r="C757" s="9">
        <f ca="1">IF(F774&gt;0,1,0)</f>
        <v>1</v>
      </c>
      <c r="D757" s="20" t="str">
        <f>+A42</f>
        <v>Otsego</v>
      </c>
      <c r="E757" s="19">
        <f>IFERROR(SUMIF(A:A,D757,B:B),0)</f>
        <v>1.6648187600380527E-3</v>
      </c>
      <c r="F757" s="652" t="s">
        <v>31</v>
      </c>
      <c r="G757" s="652" t="s">
        <v>32</v>
      </c>
    </row>
    <row r="758" spans="1:7" s="9" customFormat="1" x14ac:dyDescent="0.25">
      <c r="A758" s="119"/>
      <c r="B758" s="310"/>
      <c r="C758" s="9">
        <f ca="1">C757</f>
        <v>1</v>
      </c>
      <c r="D758" s="30"/>
      <c r="E758" s="31"/>
      <c r="F758" s="680" t="s">
        <v>54</v>
      </c>
      <c r="G758" s="680" t="s">
        <v>53</v>
      </c>
    </row>
    <row r="759" spans="1:7" s="9" customFormat="1" x14ac:dyDescent="0.25">
      <c r="A759" s="119"/>
      <c r="B759" s="310"/>
      <c r="C759" s="9">
        <f t="shared" ref="C759:C774" ca="1" si="152">C758</f>
        <v>1</v>
      </c>
      <c r="D759" s="32" t="s">
        <v>71</v>
      </c>
      <c r="E759" s="33"/>
      <c r="F759" s="681"/>
      <c r="G759" s="682"/>
    </row>
    <row r="760" spans="1:7" s="9" customFormat="1" x14ac:dyDescent="0.25">
      <c r="A760" s="119"/>
      <c r="B760" s="310"/>
      <c r="C760" s="9">
        <f t="shared" ca="1" si="152"/>
        <v>1</v>
      </c>
      <c r="D760" s="368" t="s">
        <v>72</v>
      </c>
      <c r="E760" s="12" t="s">
        <v>57</v>
      </c>
      <c r="F760" s="683">
        <f t="shared" ref="F760:G760" si="153">+$E757*F$6</f>
        <v>0</v>
      </c>
      <c r="G760" s="683">
        <f t="shared" si="153"/>
        <v>0</v>
      </c>
    </row>
    <row r="761" spans="1:7" s="9" customFormat="1" x14ac:dyDescent="0.25">
      <c r="A761" s="119"/>
      <c r="B761" s="310"/>
      <c r="C761" s="9">
        <f t="shared" ca="1" si="152"/>
        <v>1</v>
      </c>
      <c r="D761" s="368" t="s">
        <v>73</v>
      </c>
      <c r="E761" s="12" t="s">
        <v>56</v>
      </c>
      <c r="F761" s="683">
        <f t="shared" ref="F761:G761" si="154">+$E757*F$7</f>
        <v>729.40625595590575</v>
      </c>
      <c r="G761" s="683">
        <f t="shared" si="154"/>
        <v>0</v>
      </c>
    </row>
    <row r="762" spans="1:7" s="9" customFormat="1" x14ac:dyDescent="0.25">
      <c r="A762" s="119"/>
      <c r="B762" s="310"/>
      <c r="C762" s="9">
        <f t="shared" ca="1" si="152"/>
        <v>1</v>
      </c>
      <c r="D762" s="368" t="s">
        <v>74</v>
      </c>
      <c r="E762" s="12" t="s">
        <v>55</v>
      </c>
      <c r="F762" s="683">
        <f t="shared" ref="F762:G762" si="155">+$E757*F$8</f>
        <v>109.3501685887494</v>
      </c>
      <c r="G762" s="683">
        <f t="shared" si="155"/>
        <v>0</v>
      </c>
    </row>
    <row r="763" spans="1:7" s="9" customFormat="1" x14ac:dyDescent="0.25">
      <c r="A763" s="119"/>
      <c r="B763" s="310"/>
      <c r="C763" s="9">
        <f t="shared" ca="1" si="152"/>
        <v>1</v>
      </c>
      <c r="D763" s="368" t="s">
        <v>75</v>
      </c>
      <c r="E763" s="12" t="s">
        <v>54</v>
      </c>
      <c r="F763" s="683">
        <f t="shared" ref="F763:G763" si="156">+$E757*F$9</f>
        <v>223.49675571963323</v>
      </c>
      <c r="G763" s="683">
        <f t="shared" si="156"/>
        <v>0</v>
      </c>
    </row>
    <row r="764" spans="1:7" s="9" customFormat="1" x14ac:dyDescent="0.25">
      <c r="A764" s="119"/>
      <c r="B764" s="310"/>
      <c r="C764" s="9">
        <f t="shared" ca="1" si="152"/>
        <v>1</v>
      </c>
      <c r="D764" s="34" t="s">
        <v>467</v>
      </c>
      <c r="E764" s="12" t="s">
        <v>53</v>
      </c>
      <c r="F764" s="683">
        <f t="shared" ref="F764:G764" si="157">+$E757*F$10</f>
        <v>1070.206060250986</v>
      </c>
      <c r="G764" s="683">
        <f t="shared" si="157"/>
        <v>0</v>
      </c>
    </row>
    <row r="765" spans="1:7" s="9" customFormat="1" x14ac:dyDescent="0.25">
      <c r="A765" s="119"/>
      <c r="B765" s="310"/>
      <c r="C765" s="9">
        <f t="shared" ca="1" si="152"/>
        <v>1</v>
      </c>
      <c r="D765" s="34" t="s">
        <v>76</v>
      </c>
      <c r="E765" s="12" t="s">
        <v>52</v>
      </c>
      <c r="F765" s="683">
        <f>+$E757*F$11</f>
        <v>244.70014341734594</v>
      </c>
      <c r="G765" s="683">
        <f>+$E757*G$11</f>
        <v>0</v>
      </c>
    </row>
    <row r="766" spans="1:7" s="9" customFormat="1" x14ac:dyDescent="0.25">
      <c r="A766" s="119"/>
      <c r="B766" s="310"/>
      <c r="C766" s="9">
        <f t="shared" ca="1" si="152"/>
        <v>1</v>
      </c>
      <c r="D766" s="34" t="s">
        <v>468</v>
      </c>
      <c r="E766" s="12" t="s">
        <v>51</v>
      </c>
      <c r="F766" s="683">
        <f>+$E757*F$12</f>
        <v>0</v>
      </c>
      <c r="G766" s="683">
        <f>+$E757*G$12</f>
        <v>0</v>
      </c>
    </row>
    <row r="767" spans="1:7" s="9" customFormat="1" x14ac:dyDescent="0.25">
      <c r="A767" s="119"/>
      <c r="B767" s="310"/>
      <c r="C767" s="9">
        <f t="shared" ca="1" si="152"/>
        <v>1</v>
      </c>
      <c r="D767" s="368" t="s">
        <v>59</v>
      </c>
      <c r="E767" s="12" t="s">
        <v>50</v>
      </c>
      <c r="F767" s="683">
        <f>+$E757*F$13</f>
        <v>38.746829303263517</v>
      </c>
      <c r="G767" s="683">
        <f>+$E757*G$13</f>
        <v>0</v>
      </c>
    </row>
    <row r="768" spans="1:7" s="9" customFormat="1" x14ac:dyDescent="0.25">
      <c r="A768" s="119"/>
      <c r="B768" s="310"/>
      <c r="C768" s="9">
        <f t="shared" ca="1" si="152"/>
        <v>1</v>
      </c>
      <c r="D768" s="368" t="s">
        <v>25</v>
      </c>
      <c r="E768" s="12" t="s">
        <v>49</v>
      </c>
      <c r="F768" s="683">
        <f>+$E757*F$14</f>
        <v>126.88010326497492</v>
      </c>
      <c r="G768" s="683">
        <f>+$E757*G$14</f>
        <v>0</v>
      </c>
    </row>
    <row r="769" spans="1:7" s="9" customFormat="1" x14ac:dyDescent="0.25">
      <c r="A769" s="119"/>
      <c r="B769" s="310"/>
      <c r="C769" s="9">
        <f t="shared" ca="1" si="152"/>
        <v>1</v>
      </c>
      <c r="D769" s="368" t="s">
        <v>80</v>
      </c>
      <c r="E769" s="12" t="s">
        <v>47</v>
      </c>
      <c r="F769" s="683">
        <f>+$E757*F$15</f>
        <v>473.38423680296671</v>
      </c>
      <c r="G769" s="683">
        <f>+$E757*G$15</f>
        <v>0</v>
      </c>
    </row>
    <row r="770" spans="1:7" s="9" customFormat="1" x14ac:dyDescent="0.25">
      <c r="A770" s="119"/>
      <c r="B770" s="310"/>
      <c r="C770" s="9">
        <f t="shared" ca="1" si="152"/>
        <v>1</v>
      </c>
      <c r="D770" s="368" t="s">
        <v>82</v>
      </c>
      <c r="E770" s="12" t="s">
        <v>77</v>
      </c>
      <c r="F770" s="683">
        <f>+$E757*F$16</f>
        <v>320.7744075393822</v>
      </c>
      <c r="G770" s="683">
        <f>+$E757*G$16</f>
        <v>0</v>
      </c>
    </row>
    <row r="771" spans="1:7" s="9" customFormat="1" x14ac:dyDescent="0.25">
      <c r="A771" s="119"/>
      <c r="B771" s="310"/>
      <c r="C771" s="9">
        <f t="shared" ca="1" si="152"/>
        <v>1</v>
      </c>
      <c r="D771" s="368" t="s">
        <v>84</v>
      </c>
      <c r="E771" s="12" t="s">
        <v>78</v>
      </c>
      <c r="F771" s="683">
        <f ca="1">+$E757*F$17</f>
        <v>22932.441318156674</v>
      </c>
      <c r="G771" s="683">
        <f>+$E757*G$17</f>
        <v>0</v>
      </c>
    </row>
    <row r="772" spans="1:7" s="9" customFormat="1" x14ac:dyDescent="0.25">
      <c r="A772" s="119"/>
      <c r="B772" s="310"/>
      <c r="C772" s="9">
        <f t="shared" ca="1" si="152"/>
        <v>1</v>
      </c>
      <c r="D772" s="368" t="s">
        <v>86</v>
      </c>
      <c r="E772" s="12" t="s">
        <v>79</v>
      </c>
      <c r="F772" s="683">
        <f>+$E$757*F18</f>
        <v>0</v>
      </c>
      <c r="G772" s="683">
        <f>+$E$757*G18</f>
        <v>0</v>
      </c>
    </row>
    <row r="773" spans="1:7" s="9" customFormat="1" x14ac:dyDescent="0.25">
      <c r="A773" s="119"/>
      <c r="B773" s="310"/>
      <c r="C773" s="9">
        <f t="shared" ca="1" si="152"/>
        <v>1</v>
      </c>
      <c r="D773" s="368" t="s">
        <v>386</v>
      </c>
      <c r="E773" s="12" t="s">
        <v>81</v>
      </c>
      <c r="F773" s="683">
        <f>+$E$757*F19</f>
        <v>0</v>
      </c>
      <c r="G773" s="683">
        <f>+$E$757*G19</f>
        <v>0</v>
      </c>
    </row>
    <row r="774" spans="1:7" s="9" customFormat="1" ht="15.75" thickBot="1" x14ac:dyDescent="0.3">
      <c r="A774" s="119"/>
      <c r="B774" s="310"/>
      <c r="C774" s="9">
        <f t="shared" ca="1" si="152"/>
        <v>1</v>
      </c>
      <c r="D774" s="35" t="s">
        <v>22</v>
      </c>
      <c r="E774" s="12" t="s">
        <v>83</v>
      </c>
      <c r="F774" s="685">
        <f ca="1">SUBTOTAL(9,F760:F773)</f>
        <v>26269.386278999882</v>
      </c>
      <c r="G774" s="685">
        <f>SUBTOTAL(9,G760:G773)</f>
        <v>0</v>
      </c>
    </row>
    <row r="775" spans="1:7" s="9" customFormat="1" ht="15.75" hidden="1" thickBot="1" x14ac:dyDescent="0.3">
      <c r="A775" s="119"/>
      <c r="B775" s="310"/>
      <c r="D775" s="326"/>
      <c r="E775" s="327"/>
      <c r="F775" s="686"/>
      <c r="G775" s="686"/>
    </row>
    <row r="776" spans="1:7" s="9" customFormat="1" ht="15.75" hidden="1" thickBot="1" x14ac:dyDescent="0.3">
      <c r="A776" s="119"/>
      <c r="B776" s="310"/>
      <c r="D776" s="326"/>
      <c r="E776" s="327"/>
      <c r="F776" s="686"/>
      <c r="G776" s="686"/>
    </row>
    <row r="777" spans="1:7" s="9" customFormat="1" ht="30" x14ac:dyDescent="0.25">
      <c r="A777" s="119"/>
      <c r="B777" s="310"/>
      <c r="C777" s="9">
        <f ca="1">IF(F794&gt;0,1,0)</f>
        <v>1</v>
      </c>
      <c r="D777" s="20" t="str">
        <f>+A43</f>
        <v>Putnam</v>
      </c>
      <c r="E777" s="19">
        <f>IFERROR(SUMIF(A:A,D777,B:B),0)</f>
        <v>6.9943078478575799E-4</v>
      </c>
      <c r="F777" s="652" t="s">
        <v>31</v>
      </c>
      <c r="G777" s="652" t="s">
        <v>32</v>
      </c>
    </row>
    <row r="778" spans="1:7" s="9" customFormat="1" x14ac:dyDescent="0.25">
      <c r="A778" s="119"/>
      <c r="B778" s="310"/>
      <c r="C778" s="9">
        <f ca="1">C777</f>
        <v>1</v>
      </c>
      <c r="D778" s="30"/>
      <c r="E778" s="31"/>
      <c r="F778" s="680" t="s">
        <v>54</v>
      </c>
      <c r="G778" s="680" t="s">
        <v>53</v>
      </c>
    </row>
    <row r="779" spans="1:7" s="9" customFormat="1" x14ac:dyDescent="0.25">
      <c r="A779" s="119"/>
      <c r="B779" s="310"/>
      <c r="C779" s="9">
        <f t="shared" ref="C779:C794" ca="1" si="158">C778</f>
        <v>1</v>
      </c>
      <c r="D779" s="32" t="s">
        <v>71</v>
      </c>
      <c r="E779" s="33"/>
      <c r="F779" s="681"/>
      <c r="G779" s="682"/>
    </row>
    <row r="780" spans="1:7" s="9" customFormat="1" x14ac:dyDescent="0.25">
      <c r="A780" s="119"/>
      <c r="B780" s="310"/>
      <c r="C780" s="9">
        <f t="shared" ca="1" si="158"/>
        <v>1</v>
      </c>
      <c r="D780" s="368" t="s">
        <v>72</v>
      </c>
      <c r="E780" s="12" t="s">
        <v>57</v>
      </c>
      <c r="F780" s="683">
        <f t="shared" ref="F780:G780" si="159">+$E777*F$6</f>
        <v>0</v>
      </c>
      <c r="G780" s="683">
        <f t="shared" si="159"/>
        <v>0</v>
      </c>
    </row>
    <row r="781" spans="1:7" s="9" customFormat="1" x14ac:dyDescent="0.25">
      <c r="A781" s="119"/>
      <c r="B781" s="310"/>
      <c r="C781" s="9">
        <f t="shared" ca="1" si="158"/>
        <v>1</v>
      </c>
      <c r="D781" s="368" t="s">
        <v>73</v>
      </c>
      <c r="E781" s="12" t="s">
        <v>56</v>
      </c>
      <c r="F781" s="683">
        <f t="shared" ref="F781:G781" si="160">+$E777*F$7</f>
        <v>306.44127894090991</v>
      </c>
      <c r="G781" s="683">
        <f t="shared" si="160"/>
        <v>0</v>
      </c>
    </row>
    <row r="782" spans="1:7" s="9" customFormat="1" x14ac:dyDescent="0.25">
      <c r="A782" s="119"/>
      <c r="B782" s="310"/>
      <c r="C782" s="9">
        <f t="shared" ca="1" si="158"/>
        <v>1</v>
      </c>
      <c r="D782" s="368" t="s">
        <v>74</v>
      </c>
      <c r="E782" s="12" t="s">
        <v>55</v>
      </c>
      <c r="F782" s="683">
        <f t="shared" ref="F782:G782" si="161">+$E777*F$8</f>
        <v>45.940660970648707</v>
      </c>
      <c r="G782" s="683">
        <f t="shared" si="161"/>
        <v>0</v>
      </c>
    </row>
    <row r="783" spans="1:7" s="9" customFormat="1" x14ac:dyDescent="0.25">
      <c r="A783" s="119"/>
      <c r="B783" s="310"/>
      <c r="C783" s="9">
        <f t="shared" ca="1" si="158"/>
        <v>1</v>
      </c>
      <c r="D783" s="368" t="s">
        <v>75</v>
      </c>
      <c r="E783" s="12" t="s">
        <v>54</v>
      </c>
      <c r="F783" s="683">
        <f t="shared" ref="F783:G783" si="162">+$E777*F$9</f>
        <v>93.896413833347779</v>
      </c>
      <c r="G783" s="683">
        <f t="shared" si="162"/>
        <v>0</v>
      </c>
    </row>
    <row r="784" spans="1:7" s="9" customFormat="1" x14ac:dyDescent="0.25">
      <c r="A784" s="119"/>
      <c r="B784" s="310"/>
      <c r="C784" s="9">
        <f t="shared" ca="1" si="158"/>
        <v>1</v>
      </c>
      <c r="D784" s="34" t="s">
        <v>467</v>
      </c>
      <c r="E784" s="12" t="s">
        <v>53</v>
      </c>
      <c r="F784" s="683">
        <f t="shared" ref="F784:G784" si="163">+$E777*F$10</f>
        <v>449.61955173229308</v>
      </c>
      <c r="G784" s="683">
        <f t="shared" si="163"/>
        <v>0</v>
      </c>
    </row>
    <row r="785" spans="3:8" x14ac:dyDescent="0.25">
      <c r="C785" s="9">
        <f t="shared" ca="1" si="158"/>
        <v>1</v>
      </c>
      <c r="D785" s="34" t="s">
        <v>76</v>
      </c>
      <c r="E785" s="12" t="s">
        <v>52</v>
      </c>
      <c r="F785" s="683">
        <f>+$E777*F$11</f>
        <v>102.80447184753602</v>
      </c>
      <c r="G785" s="683">
        <f>+$E777*G$11</f>
        <v>0</v>
      </c>
      <c r="H785" s="9"/>
    </row>
    <row r="786" spans="3:8" x14ac:dyDescent="0.25">
      <c r="C786" s="9">
        <f t="shared" ca="1" si="158"/>
        <v>1</v>
      </c>
      <c r="D786" s="34" t="s">
        <v>468</v>
      </c>
      <c r="E786" s="12" t="s">
        <v>51</v>
      </c>
      <c r="F786" s="683">
        <f>+$E777*F$12</f>
        <v>0</v>
      </c>
      <c r="G786" s="683">
        <f>+$E777*G$12</f>
        <v>0</v>
      </c>
      <c r="H786" s="9"/>
    </row>
    <row r="787" spans="3:8" x14ac:dyDescent="0.25">
      <c r="C787" s="9">
        <f t="shared" ca="1" si="158"/>
        <v>1</v>
      </c>
      <c r="D787" s="368" t="s">
        <v>59</v>
      </c>
      <c r="E787" s="12" t="s">
        <v>50</v>
      </c>
      <c r="F787" s="683">
        <f>+$E777*F$13</f>
        <v>16.278483807403738</v>
      </c>
      <c r="G787" s="683">
        <f>+$E777*G$13</f>
        <v>0</v>
      </c>
      <c r="H787" s="9"/>
    </row>
    <row r="788" spans="3:8" x14ac:dyDescent="0.25">
      <c r="C788" s="9">
        <f t="shared" ca="1" si="158"/>
        <v>1</v>
      </c>
      <c r="D788" s="368" t="s">
        <v>25</v>
      </c>
      <c r="E788" s="12" t="s">
        <v>49</v>
      </c>
      <c r="F788" s="683">
        <f>+$E777*F$14</f>
        <v>53.305412174891046</v>
      </c>
      <c r="G788" s="683">
        <f>+$E777*G$14</f>
        <v>0</v>
      </c>
      <c r="H788" s="9"/>
    </row>
    <row r="789" spans="3:8" x14ac:dyDescent="0.25">
      <c r="C789" s="9">
        <f t="shared" ca="1" si="158"/>
        <v>1</v>
      </c>
      <c r="D789" s="368" t="s">
        <v>80</v>
      </c>
      <c r="E789" s="12" t="s">
        <v>47</v>
      </c>
      <c r="F789" s="683">
        <f>+$E777*F$15</f>
        <v>198.88021218882599</v>
      </c>
      <c r="G789" s="683">
        <f>+$E777*G$15</f>
        <v>0</v>
      </c>
      <c r="H789" s="9"/>
    </row>
    <row r="790" spans="3:8" x14ac:dyDescent="0.25">
      <c r="C790" s="9">
        <f t="shared" ca="1" si="158"/>
        <v>1</v>
      </c>
      <c r="D790" s="368" t="s">
        <v>82</v>
      </c>
      <c r="E790" s="12" t="s">
        <v>77</v>
      </c>
      <c r="F790" s="683">
        <f>+$E777*F$16</f>
        <v>134.76511737489582</v>
      </c>
      <c r="G790" s="683">
        <f>+$E777*G$16</f>
        <v>0</v>
      </c>
      <c r="H790" s="9"/>
    </row>
    <row r="791" spans="3:8" x14ac:dyDescent="0.25">
      <c r="C791" s="9">
        <f t="shared" ca="1" si="158"/>
        <v>1</v>
      </c>
      <c r="D791" s="368" t="s">
        <v>84</v>
      </c>
      <c r="E791" s="12" t="s">
        <v>78</v>
      </c>
      <c r="F791" s="683">
        <f ca="1">+$E777*F$17</f>
        <v>9634.4754235260098</v>
      </c>
      <c r="G791" s="683">
        <f>+$E777*G$17</f>
        <v>0</v>
      </c>
      <c r="H791" s="9"/>
    </row>
    <row r="792" spans="3:8" x14ac:dyDescent="0.25">
      <c r="C792" s="9">
        <f t="shared" ca="1" si="158"/>
        <v>1</v>
      </c>
      <c r="D792" s="368" t="s">
        <v>86</v>
      </c>
      <c r="E792" s="12" t="s">
        <v>79</v>
      </c>
      <c r="F792" s="683">
        <f>+$E$777*F18</f>
        <v>0</v>
      </c>
      <c r="G792" s="683">
        <f>+$E$777*G18</f>
        <v>0</v>
      </c>
      <c r="H792" s="9"/>
    </row>
    <row r="793" spans="3:8" x14ac:dyDescent="0.25">
      <c r="C793" s="9">
        <f t="shared" ca="1" si="158"/>
        <v>1</v>
      </c>
      <c r="D793" s="368" t="s">
        <v>386</v>
      </c>
      <c r="E793" s="12" t="s">
        <v>81</v>
      </c>
      <c r="F793" s="683">
        <f>+$E$777*F19</f>
        <v>0</v>
      </c>
      <c r="G793" s="683">
        <f>+$E$777*G19</f>
        <v>0</v>
      </c>
      <c r="H793" s="9"/>
    </row>
    <row r="794" spans="3:8" ht="15.75" thickBot="1" x14ac:dyDescent="0.3">
      <c r="C794" s="9">
        <f t="shared" ca="1" si="158"/>
        <v>1</v>
      </c>
      <c r="D794" s="35" t="s">
        <v>22</v>
      </c>
      <c r="E794" s="12" t="s">
        <v>83</v>
      </c>
      <c r="F794" s="685">
        <f ca="1">SUBTOTAL(9,F780:F793)</f>
        <v>11036.407026396762</v>
      </c>
      <c r="G794" s="685">
        <f>SUBTOTAL(9,G780:G793)</f>
        <v>0</v>
      </c>
      <c r="H794" s="9"/>
    </row>
    <row r="795" spans="3:8" ht="15.75" hidden="1" thickBot="1" x14ac:dyDescent="0.3">
      <c r="D795" s="326"/>
      <c r="E795" s="327"/>
      <c r="F795" s="686"/>
      <c r="G795" s="686"/>
      <c r="H795" s="9"/>
    </row>
    <row r="796" spans="3:8" ht="15.75" hidden="1" thickBot="1" x14ac:dyDescent="0.3">
      <c r="D796" s="326"/>
      <c r="E796" s="327"/>
      <c r="F796" s="686"/>
      <c r="G796" s="686"/>
      <c r="H796" s="9"/>
    </row>
    <row r="797" spans="3:8" ht="30" x14ac:dyDescent="0.25">
      <c r="C797" s="9">
        <f ca="1">IF(F814&gt;0,1,0)</f>
        <v>1</v>
      </c>
      <c r="D797" s="20" t="str">
        <f>+A44</f>
        <v>Queens</v>
      </c>
      <c r="E797" s="19">
        <f>IFERROR(SUMIF(A:A,D797,B:B),0)</f>
        <v>0.13455152735828174</v>
      </c>
      <c r="F797" s="652" t="s">
        <v>31</v>
      </c>
      <c r="G797" s="652" t="s">
        <v>32</v>
      </c>
    </row>
    <row r="798" spans="3:8" x14ac:dyDescent="0.25">
      <c r="C798" s="9">
        <f ca="1">C797</f>
        <v>1</v>
      </c>
      <c r="D798" s="30"/>
      <c r="E798" s="31"/>
      <c r="F798" s="680" t="s">
        <v>54</v>
      </c>
      <c r="G798" s="680" t="s">
        <v>53</v>
      </c>
    </row>
    <row r="799" spans="3:8" x14ac:dyDescent="0.25">
      <c r="C799" s="9">
        <f t="shared" ref="C799:C814" ca="1" si="164">C798</f>
        <v>1</v>
      </c>
      <c r="D799" s="32" t="s">
        <v>71</v>
      </c>
      <c r="E799" s="33"/>
      <c r="F799" s="681"/>
      <c r="G799" s="682"/>
    </row>
    <row r="800" spans="3:8" x14ac:dyDescent="0.25">
      <c r="C800" s="9">
        <f t="shared" ca="1" si="164"/>
        <v>1</v>
      </c>
      <c r="D800" s="368" t="s">
        <v>72</v>
      </c>
      <c r="E800" s="12" t="s">
        <v>57</v>
      </c>
      <c r="F800" s="683">
        <f t="shared" ref="F800:G800" si="165">+$E797*F$6</f>
        <v>0</v>
      </c>
      <c r="G800" s="683">
        <f t="shared" si="165"/>
        <v>0</v>
      </c>
    </row>
    <row r="801" spans="3:8" x14ac:dyDescent="0.25">
      <c r="C801" s="9">
        <f t="shared" ca="1" si="164"/>
        <v>1</v>
      </c>
      <c r="D801" s="368" t="s">
        <v>73</v>
      </c>
      <c r="E801" s="12" t="s">
        <v>56</v>
      </c>
      <c r="F801" s="683">
        <f t="shared" ref="F801:G801" si="166">+$E797*F$7</f>
        <v>58950.997045053518</v>
      </c>
      <c r="G801" s="683">
        <f t="shared" si="166"/>
        <v>0</v>
      </c>
    </row>
    <row r="802" spans="3:8" x14ac:dyDescent="0.25">
      <c r="C802" s="9">
        <f t="shared" ca="1" si="164"/>
        <v>1</v>
      </c>
      <c r="D802" s="368" t="s">
        <v>74</v>
      </c>
      <c r="E802" s="12" t="s">
        <v>55</v>
      </c>
      <c r="F802" s="683">
        <f t="shared" ref="F802:G802" si="167">+$E797*F$8</f>
        <v>8837.7381092014712</v>
      </c>
      <c r="G802" s="683">
        <f t="shared" si="167"/>
        <v>0</v>
      </c>
    </row>
    <row r="803" spans="3:8" x14ac:dyDescent="0.25">
      <c r="C803" s="9">
        <f t="shared" ca="1" si="164"/>
        <v>1</v>
      </c>
      <c r="D803" s="368" t="s">
        <v>75</v>
      </c>
      <c r="E803" s="12" t="s">
        <v>54</v>
      </c>
      <c r="F803" s="683">
        <f t="shared" ref="F803:G803" si="168">+$E797*F$9</f>
        <v>18063.125286388586</v>
      </c>
      <c r="G803" s="683">
        <f t="shared" si="168"/>
        <v>0</v>
      </c>
    </row>
    <row r="804" spans="3:8" x14ac:dyDescent="0.25">
      <c r="C804" s="9">
        <f t="shared" ca="1" si="164"/>
        <v>1</v>
      </c>
      <c r="D804" s="34" t="s">
        <v>467</v>
      </c>
      <c r="E804" s="12" t="s">
        <v>53</v>
      </c>
      <c r="F804" s="683">
        <f t="shared" ref="F804:G804" si="169">+$E797*F$10</f>
        <v>86494.616381886575</v>
      </c>
      <c r="G804" s="683">
        <f t="shared" si="169"/>
        <v>0</v>
      </c>
    </row>
    <row r="805" spans="3:8" x14ac:dyDescent="0.25">
      <c r="C805" s="9">
        <f t="shared" ca="1" si="164"/>
        <v>1</v>
      </c>
      <c r="D805" s="34" t="s">
        <v>76</v>
      </c>
      <c r="E805" s="12" t="s">
        <v>52</v>
      </c>
      <c r="F805" s="683">
        <f>+$E797*F$11</f>
        <v>19776.794226442962</v>
      </c>
      <c r="G805" s="683">
        <f>+$E797*G$11</f>
        <v>0</v>
      </c>
    </row>
    <row r="806" spans="3:8" x14ac:dyDescent="0.25">
      <c r="C806" s="9">
        <f t="shared" ca="1" si="164"/>
        <v>1</v>
      </c>
      <c r="D806" s="34" t="s">
        <v>468</v>
      </c>
      <c r="E806" s="12" t="s">
        <v>51</v>
      </c>
      <c r="F806" s="683">
        <f>+$E797*F$12</f>
        <v>0</v>
      </c>
      <c r="G806" s="683">
        <f>+$E797*G$12</f>
        <v>0</v>
      </c>
    </row>
    <row r="807" spans="3:8" x14ac:dyDescent="0.25">
      <c r="C807" s="9">
        <f t="shared" ca="1" si="164"/>
        <v>1</v>
      </c>
      <c r="D807" s="368" t="s">
        <v>59</v>
      </c>
      <c r="E807" s="12" t="s">
        <v>50</v>
      </c>
      <c r="F807" s="683">
        <f>+$E797*F$13</f>
        <v>3131.5391129575996</v>
      </c>
      <c r="G807" s="683">
        <f>+$E797*G$13</f>
        <v>0</v>
      </c>
    </row>
    <row r="808" spans="3:8" x14ac:dyDescent="0.25">
      <c r="C808" s="9">
        <f t="shared" ca="1" si="164"/>
        <v>1</v>
      </c>
      <c r="D808" s="368" t="s">
        <v>25</v>
      </c>
      <c r="E808" s="12" t="s">
        <v>49</v>
      </c>
      <c r="F808" s="683">
        <f>+$E797*F$14</f>
        <v>10254.516644976222</v>
      </c>
      <c r="G808" s="683">
        <f>+$E797*G$14</f>
        <v>0</v>
      </c>
    </row>
    <row r="809" spans="3:8" x14ac:dyDescent="0.25">
      <c r="C809" s="9">
        <f t="shared" ca="1" si="164"/>
        <v>1</v>
      </c>
      <c r="D809" s="368" t="s">
        <v>80</v>
      </c>
      <c r="E809" s="12" t="s">
        <v>47</v>
      </c>
      <c r="F809" s="683">
        <f>+$E797*F$15</f>
        <v>38259.162869907734</v>
      </c>
      <c r="G809" s="683">
        <f>+$E797*G$15</f>
        <v>0</v>
      </c>
    </row>
    <row r="810" spans="3:8" x14ac:dyDescent="0.25">
      <c r="C810" s="9">
        <f t="shared" ca="1" si="164"/>
        <v>1</v>
      </c>
      <c r="D810" s="368" t="s">
        <v>82</v>
      </c>
      <c r="E810" s="12" t="s">
        <v>77</v>
      </c>
      <c r="F810" s="683">
        <f>+$E797*F$16</f>
        <v>25925.156243965728</v>
      </c>
      <c r="G810" s="683">
        <f>+$E797*G$16</f>
        <v>0</v>
      </c>
    </row>
    <row r="811" spans="3:8" x14ac:dyDescent="0.25">
      <c r="C811" s="9">
        <f t="shared" ca="1" si="164"/>
        <v>1</v>
      </c>
      <c r="D811" s="368" t="s">
        <v>84</v>
      </c>
      <c r="E811" s="12" t="s">
        <v>78</v>
      </c>
      <c r="F811" s="683">
        <f ca="1">+$E797*F$17</f>
        <v>1853411.9625980314</v>
      </c>
      <c r="G811" s="683">
        <f>+$E797*G$17</f>
        <v>0</v>
      </c>
    </row>
    <row r="812" spans="3:8" x14ac:dyDescent="0.25">
      <c r="C812" s="9">
        <f t="shared" ca="1" si="164"/>
        <v>1</v>
      </c>
      <c r="D812" s="368" t="s">
        <v>86</v>
      </c>
      <c r="E812" s="12" t="s">
        <v>79</v>
      </c>
      <c r="F812" s="683">
        <f>+$E$797*F18</f>
        <v>0</v>
      </c>
      <c r="G812" s="683">
        <f>+$E$797*G18</f>
        <v>0</v>
      </c>
    </row>
    <row r="813" spans="3:8" x14ac:dyDescent="0.25">
      <c r="C813" s="9">
        <f t="shared" ca="1" si="164"/>
        <v>1</v>
      </c>
      <c r="D813" s="368" t="s">
        <v>386</v>
      </c>
      <c r="E813" s="12" t="s">
        <v>81</v>
      </c>
      <c r="F813" s="683">
        <f>+$E$797*F19</f>
        <v>0</v>
      </c>
      <c r="G813" s="683">
        <f>+$E$797*G19</f>
        <v>0</v>
      </c>
    </row>
    <row r="814" spans="3:8" ht="15.75" thickBot="1" x14ac:dyDescent="0.3">
      <c r="C814" s="9">
        <f t="shared" ca="1" si="164"/>
        <v>1</v>
      </c>
      <c r="D814" s="35" t="s">
        <v>22</v>
      </c>
      <c r="E814" s="12" t="s">
        <v>83</v>
      </c>
      <c r="F814" s="685">
        <f ca="1">SUBTOTAL(9,F800:F813)</f>
        <v>2123105.6085188119</v>
      </c>
      <c r="G814" s="685">
        <f>SUBTOTAL(9,G800:G813)</f>
        <v>0</v>
      </c>
    </row>
    <row r="815" spans="3:8" ht="15.75" hidden="1" thickBot="1" x14ac:dyDescent="0.3">
      <c r="D815" s="326"/>
      <c r="E815" s="327"/>
      <c r="F815" s="686"/>
      <c r="G815" s="686"/>
      <c r="H815" s="9"/>
    </row>
    <row r="816" spans="3:8" ht="15.75" hidden="1" thickBot="1" x14ac:dyDescent="0.3">
      <c r="D816" s="326"/>
      <c r="E816" s="327"/>
      <c r="F816" s="686"/>
      <c r="G816" s="686"/>
      <c r="H816" s="9"/>
    </row>
    <row r="817" spans="1:7" s="9" customFormat="1" ht="30" x14ac:dyDescent="0.25">
      <c r="A817" s="119"/>
      <c r="B817" s="310"/>
      <c r="C817" s="9">
        <f ca="1">IF(F834&gt;0,1,0)</f>
        <v>1</v>
      </c>
      <c r="D817" s="20" t="str">
        <f>+A45</f>
        <v>Rensselaer</v>
      </c>
      <c r="E817" s="19">
        <f>IFERROR(SUMIF(A:A,D817,B:B),0)</f>
        <v>1.1879078473435285E-2</v>
      </c>
      <c r="F817" s="652" t="s">
        <v>31</v>
      </c>
      <c r="G817" s="652" t="s">
        <v>32</v>
      </c>
    </row>
    <row r="818" spans="1:7" s="9" customFormat="1" x14ac:dyDescent="0.25">
      <c r="A818" s="119"/>
      <c r="B818" s="310"/>
      <c r="C818" s="9">
        <f ca="1">C817</f>
        <v>1</v>
      </c>
      <c r="D818" s="30"/>
      <c r="E818" s="31"/>
      <c r="F818" s="680" t="s">
        <v>54</v>
      </c>
      <c r="G818" s="680" t="s">
        <v>53</v>
      </c>
    </row>
    <row r="819" spans="1:7" s="9" customFormat="1" x14ac:dyDescent="0.25">
      <c r="A819" s="119"/>
      <c r="B819" s="310"/>
      <c r="C819" s="9">
        <f t="shared" ref="C819:C834" ca="1" si="170">C818</f>
        <v>1</v>
      </c>
      <c r="D819" s="32" t="s">
        <v>71</v>
      </c>
      <c r="E819" s="33"/>
      <c r="F819" s="681"/>
      <c r="G819" s="682"/>
    </row>
    <row r="820" spans="1:7" s="9" customFormat="1" x14ac:dyDescent="0.25">
      <c r="A820" s="119"/>
      <c r="B820" s="310"/>
      <c r="C820" s="9">
        <f t="shared" ca="1" si="170"/>
        <v>1</v>
      </c>
      <c r="D820" s="368" t="s">
        <v>72</v>
      </c>
      <c r="E820" s="12" t="s">
        <v>57</v>
      </c>
      <c r="F820" s="683">
        <f t="shared" ref="F820:G820" si="171">+$E817*F$6</f>
        <v>0</v>
      </c>
      <c r="G820" s="683">
        <f t="shared" si="171"/>
        <v>0</v>
      </c>
    </row>
    <row r="821" spans="1:7" s="9" customFormat="1" x14ac:dyDescent="0.25">
      <c r="A821" s="119"/>
      <c r="B821" s="310"/>
      <c r="C821" s="9">
        <f t="shared" ca="1" si="170"/>
        <v>1</v>
      </c>
      <c r="D821" s="368" t="s">
        <v>73</v>
      </c>
      <c r="E821" s="12" t="s">
        <v>56</v>
      </c>
      <c r="F821" s="683">
        <f t="shared" ref="F821:G821" si="172">+$E817*F$7</f>
        <v>5204.5750333308233</v>
      </c>
      <c r="G821" s="683">
        <f t="shared" si="172"/>
        <v>0</v>
      </c>
    </row>
    <row r="822" spans="1:7" s="9" customFormat="1" x14ac:dyDescent="0.25">
      <c r="A822" s="119"/>
      <c r="B822" s="310"/>
      <c r="C822" s="9">
        <f t="shared" ca="1" si="170"/>
        <v>1</v>
      </c>
      <c r="D822" s="368" t="s">
        <v>74</v>
      </c>
      <c r="E822" s="12" t="s">
        <v>55</v>
      </c>
      <c r="F822" s="683">
        <f t="shared" ref="F822:G822" si="173">+$E817*F$8</f>
        <v>780.25264066548698</v>
      </c>
      <c r="G822" s="683">
        <f t="shared" si="173"/>
        <v>0</v>
      </c>
    </row>
    <row r="823" spans="1:7" s="9" customFormat="1" x14ac:dyDescent="0.25">
      <c r="A823" s="119"/>
      <c r="B823" s="310"/>
      <c r="C823" s="9">
        <f t="shared" ca="1" si="170"/>
        <v>1</v>
      </c>
      <c r="D823" s="368" t="s">
        <v>75</v>
      </c>
      <c r="E823" s="12" t="s">
        <v>54</v>
      </c>
      <c r="F823" s="683">
        <f t="shared" ref="F823:G823" si="174">+$E817*F$9</f>
        <v>1594.7294465200739</v>
      </c>
      <c r="G823" s="683">
        <f t="shared" si="174"/>
        <v>0</v>
      </c>
    </row>
    <row r="824" spans="1:7" s="9" customFormat="1" x14ac:dyDescent="0.25">
      <c r="A824" s="119"/>
      <c r="B824" s="310"/>
      <c r="C824" s="9">
        <f t="shared" ca="1" si="170"/>
        <v>1</v>
      </c>
      <c r="D824" s="34" t="s">
        <v>467</v>
      </c>
      <c r="E824" s="12" t="s">
        <v>53</v>
      </c>
      <c r="F824" s="683">
        <f t="shared" ref="F824:G824" si="175">+$E817*F$10</f>
        <v>7636.3037692925145</v>
      </c>
      <c r="G824" s="683">
        <f t="shared" si="175"/>
        <v>0</v>
      </c>
    </row>
    <row r="825" spans="1:7" s="9" customFormat="1" x14ac:dyDescent="0.25">
      <c r="A825" s="119"/>
      <c r="B825" s="310"/>
      <c r="C825" s="9">
        <f t="shared" ca="1" si="170"/>
        <v>1</v>
      </c>
      <c r="D825" s="34" t="s">
        <v>76</v>
      </c>
      <c r="E825" s="12" t="s">
        <v>52</v>
      </c>
      <c r="F825" s="683">
        <f>+$E817*F$11</f>
        <v>1746.0232163944863</v>
      </c>
      <c r="G825" s="683">
        <f>+$E817*G$11</f>
        <v>0</v>
      </c>
    </row>
    <row r="826" spans="1:7" s="9" customFormat="1" x14ac:dyDescent="0.25">
      <c r="A826" s="119"/>
      <c r="B826" s="310"/>
      <c r="C826" s="9">
        <f t="shared" ca="1" si="170"/>
        <v>1</v>
      </c>
      <c r="D826" s="34" t="s">
        <v>468</v>
      </c>
      <c r="E826" s="12" t="s">
        <v>51</v>
      </c>
      <c r="F826" s="683">
        <f>+$E817*F$12</f>
        <v>0</v>
      </c>
      <c r="G826" s="683">
        <f>+$E817*G$12</f>
        <v>0</v>
      </c>
    </row>
    <row r="827" spans="1:7" s="9" customFormat="1" x14ac:dyDescent="0.25">
      <c r="A827" s="119"/>
      <c r="B827" s="310"/>
      <c r="C827" s="9">
        <f t="shared" ca="1" si="170"/>
        <v>1</v>
      </c>
      <c r="D827" s="368" t="s">
        <v>59</v>
      </c>
      <c r="E827" s="12" t="s">
        <v>50</v>
      </c>
      <c r="F827" s="683">
        <f>+$E817*F$13</f>
        <v>276.47251276754514</v>
      </c>
      <c r="G827" s="683">
        <f>+$E817*G$13</f>
        <v>0</v>
      </c>
    </row>
    <row r="828" spans="1:7" s="9" customFormat="1" x14ac:dyDescent="0.25">
      <c r="A828" s="119"/>
      <c r="B828" s="310"/>
      <c r="C828" s="9">
        <f t="shared" ca="1" si="170"/>
        <v>1</v>
      </c>
      <c r="D828" s="368" t="s">
        <v>25</v>
      </c>
      <c r="E828" s="12" t="s">
        <v>49</v>
      </c>
      <c r="F828" s="683">
        <f>+$E817*F$14</f>
        <v>905.33500677740994</v>
      </c>
      <c r="G828" s="683">
        <f>+$E817*G$14</f>
        <v>0</v>
      </c>
    </row>
    <row r="829" spans="1:7" s="9" customFormat="1" x14ac:dyDescent="0.25">
      <c r="A829" s="119"/>
      <c r="B829" s="310"/>
      <c r="C829" s="9">
        <f t="shared" ca="1" si="170"/>
        <v>1</v>
      </c>
      <c r="D829" s="368" t="s">
        <v>80</v>
      </c>
      <c r="E829" s="12" t="s">
        <v>47</v>
      </c>
      <c r="F829" s="683">
        <f>+$E817*F$15</f>
        <v>3377.7661761459131</v>
      </c>
      <c r="G829" s="683">
        <f>+$E817*G$15</f>
        <v>0</v>
      </c>
    </row>
    <row r="830" spans="1:7" s="9" customFormat="1" x14ac:dyDescent="0.25">
      <c r="A830" s="119"/>
      <c r="B830" s="310"/>
      <c r="C830" s="9">
        <f t="shared" ca="1" si="170"/>
        <v>1</v>
      </c>
      <c r="D830" s="368" t="s">
        <v>82</v>
      </c>
      <c r="E830" s="12" t="s">
        <v>77</v>
      </c>
      <c r="F830" s="683">
        <f>+$E817*F$16</f>
        <v>2288.8403536147898</v>
      </c>
      <c r="G830" s="683">
        <f>+$E817*G$16</f>
        <v>0</v>
      </c>
    </row>
    <row r="831" spans="1:7" s="9" customFormat="1" x14ac:dyDescent="0.25">
      <c r="A831" s="119"/>
      <c r="B831" s="310"/>
      <c r="C831" s="9">
        <f t="shared" ca="1" si="170"/>
        <v>1</v>
      </c>
      <c r="D831" s="368" t="s">
        <v>84</v>
      </c>
      <c r="E831" s="12" t="s">
        <v>78</v>
      </c>
      <c r="F831" s="683">
        <f ca="1">+$E817*F$17</f>
        <v>163631.18709667007</v>
      </c>
      <c r="G831" s="683">
        <f>+$E817*G$17</f>
        <v>0</v>
      </c>
    </row>
    <row r="832" spans="1:7" s="9" customFormat="1" x14ac:dyDescent="0.25">
      <c r="A832" s="119"/>
      <c r="B832" s="310"/>
      <c r="C832" s="9">
        <f t="shared" ca="1" si="170"/>
        <v>1</v>
      </c>
      <c r="D832" s="368" t="s">
        <v>86</v>
      </c>
      <c r="E832" s="12" t="s">
        <v>79</v>
      </c>
      <c r="F832" s="683">
        <f>+$E$817*F18</f>
        <v>0</v>
      </c>
      <c r="G832" s="683">
        <f>+$E$817*G18</f>
        <v>0</v>
      </c>
    </row>
    <row r="833" spans="3:8" x14ac:dyDescent="0.25">
      <c r="C833" s="9">
        <f t="shared" ca="1" si="170"/>
        <v>1</v>
      </c>
      <c r="D833" s="368" t="s">
        <v>386</v>
      </c>
      <c r="E833" s="12" t="s">
        <v>81</v>
      </c>
      <c r="F833" s="683">
        <f>+$E$817*F19</f>
        <v>0</v>
      </c>
      <c r="G833" s="683">
        <f>+$E$817*G19</f>
        <v>0</v>
      </c>
      <c r="H833" s="9"/>
    </row>
    <row r="834" spans="3:8" ht="15.75" thickBot="1" x14ac:dyDescent="0.3">
      <c r="C834" s="9">
        <f t="shared" ca="1" si="170"/>
        <v>1</v>
      </c>
      <c r="D834" s="35" t="s">
        <v>22</v>
      </c>
      <c r="E834" s="12" t="s">
        <v>83</v>
      </c>
      <c r="F834" s="685">
        <f ca="1">SUBTOTAL(9,F820:F833)</f>
        <v>187441.48525217912</v>
      </c>
      <c r="G834" s="685">
        <f>SUBTOTAL(9,G820:G833)</f>
        <v>0</v>
      </c>
      <c r="H834" s="9"/>
    </row>
    <row r="835" spans="3:8" ht="15.75" hidden="1" thickBot="1" x14ac:dyDescent="0.3">
      <c r="D835" s="326"/>
      <c r="E835" s="327"/>
      <c r="F835" s="686"/>
      <c r="G835" s="686"/>
      <c r="H835" s="9"/>
    </row>
    <row r="836" spans="3:8" ht="30" x14ac:dyDescent="0.25">
      <c r="C836" s="9">
        <f ca="1">IF(F853&gt;0,1,0)</f>
        <v>1</v>
      </c>
      <c r="D836" s="20" t="str">
        <f>+A46</f>
        <v>Richmond</v>
      </c>
      <c r="E836" s="19">
        <f>IFERROR(SUMIF(A:A,D836,B:B),0)</f>
        <v>6.7007910925224526E-2</v>
      </c>
      <c r="F836" s="652" t="s">
        <v>31</v>
      </c>
      <c r="G836" s="652" t="s">
        <v>32</v>
      </c>
    </row>
    <row r="837" spans="3:8" x14ac:dyDescent="0.25">
      <c r="C837" s="9">
        <f ca="1">C836</f>
        <v>1</v>
      </c>
      <c r="D837" s="30"/>
      <c r="E837" s="31"/>
      <c r="F837" s="680" t="s">
        <v>54</v>
      </c>
      <c r="G837" s="680" t="s">
        <v>53</v>
      </c>
    </row>
    <row r="838" spans="3:8" x14ac:dyDescent="0.25">
      <c r="C838" s="9">
        <f t="shared" ref="C838:C853" ca="1" si="176">C837</f>
        <v>1</v>
      </c>
      <c r="D838" s="32" t="s">
        <v>71</v>
      </c>
      <c r="E838" s="33"/>
      <c r="F838" s="681"/>
      <c r="G838" s="682"/>
    </row>
    <row r="839" spans="3:8" x14ac:dyDescent="0.25">
      <c r="C839" s="9">
        <f t="shared" ca="1" si="176"/>
        <v>1</v>
      </c>
      <c r="D839" s="368" t="s">
        <v>72</v>
      </c>
      <c r="E839" s="12" t="s">
        <v>57</v>
      </c>
      <c r="F839" s="683">
        <f t="shared" ref="F839:G839" si="177">+$E836*F$6</f>
        <v>0</v>
      </c>
      <c r="G839" s="683">
        <f t="shared" si="177"/>
        <v>0</v>
      </c>
    </row>
    <row r="840" spans="3:8" x14ac:dyDescent="0.25">
      <c r="C840" s="9">
        <f t="shared" ca="1" si="176"/>
        <v>1</v>
      </c>
      <c r="D840" s="368" t="s">
        <v>73</v>
      </c>
      <c r="E840" s="12" t="s">
        <v>56</v>
      </c>
      <c r="F840" s="683">
        <f t="shared" ref="F840:G840" si="178">+$E836*F$7</f>
        <v>29358.144322134922</v>
      </c>
      <c r="G840" s="683">
        <f t="shared" si="178"/>
        <v>0</v>
      </c>
    </row>
    <row r="841" spans="3:8" x14ac:dyDescent="0.25">
      <c r="C841" s="9">
        <f t="shared" ca="1" si="176"/>
        <v>1</v>
      </c>
      <c r="D841" s="368" t="s">
        <v>74</v>
      </c>
      <c r="E841" s="12" t="s">
        <v>55</v>
      </c>
      <c r="F841" s="683">
        <f t="shared" ref="F841:G841" si="179">+$E836*F$8</f>
        <v>4401.2757017981494</v>
      </c>
      <c r="G841" s="683">
        <f t="shared" si="179"/>
        <v>0</v>
      </c>
    </row>
    <row r="842" spans="3:8" x14ac:dyDescent="0.25">
      <c r="C842" s="9">
        <f t="shared" ca="1" si="176"/>
        <v>1</v>
      </c>
      <c r="D842" s="368" t="s">
        <v>75</v>
      </c>
      <c r="E842" s="12" t="s">
        <v>54</v>
      </c>
      <c r="F842" s="683">
        <f t="shared" ref="F842:G842" si="180">+$E836*F$9</f>
        <v>8995.6042416266027</v>
      </c>
      <c r="G842" s="683">
        <f t="shared" si="180"/>
        <v>0</v>
      </c>
    </row>
    <row r="843" spans="3:8" x14ac:dyDescent="0.25">
      <c r="C843" s="9">
        <f t="shared" ca="1" si="176"/>
        <v>1</v>
      </c>
      <c r="D843" s="34" t="s">
        <v>467</v>
      </c>
      <c r="E843" s="12" t="s">
        <v>53</v>
      </c>
      <c r="F843" s="683">
        <f t="shared" ref="F843:G843" si="181">+$E836*F$10</f>
        <v>43075.122697016224</v>
      </c>
      <c r="G843" s="683">
        <f t="shared" si="181"/>
        <v>0</v>
      </c>
    </row>
    <row r="844" spans="3:8" x14ac:dyDescent="0.25">
      <c r="C844" s="9">
        <f t="shared" ca="1" si="176"/>
        <v>1</v>
      </c>
      <c r="D844" s="34" t="s">
        <v>76</v>
      </c>
      <c r="E844" s="12" t="s">
        <v>52</v>
      </c>
      <c r="F844" s="683">
        <f>+$E836*F$11</f>
        <v>9849.0272977969089</v>
      </c>
      <c r="G844" s="683">
        <f>+$E836*G$11</f>
        <v>0</v>
      </c>
    </row>
    <row r="845" spans="3:8" x14ac:dyDescent="0.25">
      <c r="C845" s="9">
        <f t="shared" ca="1" si="176"/>
        <v>1</v>
      </c>
      <c r="D845" s="34" t="s">
        <v>468</v>
      </c>
      <c r="E845" s="12" t="s">
        <v>51</v>
      </c>
      <c r="F845" s="683">
        <f>+$E836*F$12</f>
        <v>0</v>
      </c>
      <c r="G845" s="683">
        <f>+$E836*G$12</f>
        <v>0</v>
      </c>
    </row>
    <row r="846" spans="3:8" x14ac:dyDescent="0.25">
      <c r="C846" s="9">
        <f t="shared" ca="1" si="176"/>
        <v>1</v>
      </c>
      <c r="D846" s="368" t="s">
        <v>59</v>
      </c>
      <c r="E846" s="12" t="s">
        <v>50</v>
      </c>
      <c r="F846" s="683">
        <f>+$E836*F$13</f>
        <v>1559.5355776316558</v>
      </c>
      <c r="G846" s="683">
        <f>+$E836*G$13</f>
        <v>0</v>
      </c>
    </row>
    <row r="847" spans="3:8" x14ac:dyDescent="0.25">
      <c r="C847" s="9">
        <f t="shared" ca="1" si="176"/>
        <v>1</v>
      </c>
      <c r="D847" s="368" t="s">
        <v>25</v>
      </c>
      <c r="E847" s="12" t="s">
        <v>49</v>
      </c>
      <c r="F847" s="683">
        <f>+$E836*F$14</f>
        <v>5106.8445778256373</v>
      </c>
      <c r="G847" s="683">
        <f>+$E836*G$14</f>
        <v>0</v>
      </c>
    </row>
    <row r="848" spans="3:8" x14ac:dyDescent="0.25">
      <c r="C848" s="9">
        <f t="shared" ca="1" si="176"/>
        <v>1</v>
      </c>
      <c r="D848" s="368" t="s">
        <v>80</v>
      </c>
      <c r="E848" s="12" t="s">
        <v>47</v>
      </c>
      <c r="F848" s="683">
        <f>+$E836*F$15</f>
        <v>19053.418627006315</v>
      </c>
      <c r="G848" s="683">
        <f>+$E836*G$15</f>
        <v>0</v>
      </c>
    </row>
    <row r="849" spans="3:8" x14ac:dyDescent="0.25">
      <c r="C849" s="9">
        <f t="shared" ca="1" si="176"/>
        <v>1</v>
      </c>
      <c r="D849" s="368" t="s">
        <v>82</v>
      </c>
      <c r="E849" s="12" t="s">
        <v>77</v>
      </c>
      <c r="F849" s="683">
        <f>+$E836*F$16</f>
        <v>12910.968715296853</v>
      </c>
      <c r="G849" s="683">
        <f>+$E836*G$16</f>
        <v>0</v>
      </c>
    </row>
    <row r="850" spans="3:8" x14ac:dyDescent="0.25">
      <c r="C850" s="9">
        <f t="shared" ca="1" si="176"/>
        <v>1</v>
      </c>
      <c r="D850" s="368" t="s">
        <v>84</v>
      </c>
      <c r="E850" s="12" t="s">
        <v>78</v>
      </c>
      <c r="F850" s="683">
        <f ca="1">+$E836*F$17</f>
        <v>923016.37993907381</v>
      </c>
      <c r="G850" s="683">
        <f>+$E836*G$17</f>
        <v>0</v>
      </c>
    </row>
    <row r="851" spans="3:8" x14ac:dyDescent="0.25">
      <c r="C851" s="9">
        <f t="shared" ca="1" si="176"/>
        <v>1</v>
      </c>
      <c r="D851" s="368" t="s">
        <v>86</v>
      </c>
      <c r="E851" s="12" t="s">
        <v>79</v>
      </c>
      <c r="F851" s="683">
        <f>+$E$836*F18</f>
        <v>0</v>
      </c>
      <c r="G851" s="683">
        <f>+$E$836*G18</f>
        <v>0</v>
      </c>
    </row>
    <row r="852" spans="3:8" x14ac:dyDescent="0.25">
      <c r="C852" s="9">
        <f t="shared" ca="1" si="176"/>
        <v>1</v>
      </c>
      <c r="D852" s="368" t="s">
        <v>386</v>
      </c>
      <c r="E852" s="12" t="s">
        <v>81</v>
      </c>
      <c r="F852" s="683">
        <f>+$E$836*F19</f>
        <v>0</v>
      </c>
      <c r="G852" s="683">
        <f>+$E$836*G19</f>
        <v>0</v>
      </c>
    </row>
    <row r="853" spans="3:8" ht="15.75" thickBot="1" x14ac:dyDescent="0.3">
      <c r="C853" s="9">
        <f t="shared" ca="1" si="176"/>
        <v>1</v>
      </c>
      <c r="D853" s="35" t="s">
        <v>22</v>
      </c>
      <c r="E853" s="12" t="s">
        <v>83</v>
      </c>
      <c r="F853" s="685">
        <f ca="1">SUBTOTAL(9,F839:F852)</f>
        <v>1057326.3216972072</v>
      </c>
      <c r="G853" s="685">
        <f>SUBTOTAL(9,G839:G852)</f>
        <v>0</v>
      </c>
    </row>
    <row r="854" spans="3:8" ht="15.75" hidden="1" thickBot="1" x14ac:dyDescent="0.3">
      <c r="D854" s="326"/>
      <c r="E854" s="327"/>
      <c r="F854" s="686"/>
      <c r="G854" s="686"/>
      <c r="H854" s="9"/>
    </row>
    <row r="855" spans="3:8" ht="30" x14ac:dyDescent="0.25">
      <c r="C855" s="9">
        <f ca="1">IF(F872&gt;0,1,0)</f>
        <v>1</v>
      </c>
      <c r="D855" s="20" t="str">
        <f>+A47</f>
        <v>Rockland</v>
      </c>
      <c r="E855" s="19">
        <f>IFERROR(SUMIF(A:A,D855,B:B),0)</f>
        <v>8.6451829716716073E-3</v>
      </c>
      <c r="F855" s="652" t="s">
        <v>31</v>
      </c>
      <c r="G855" s="652" t="s">
        <v>32</v>
      </c>
      <c r="H855" s="9"/>
    </row>
    <row r="856" spans="3:8" x14ac:dyDescent="0.25">
      <c r="C856" s="9">
        <f ca="1">C855</f>
        <v>1</v>
      </c>
      <c r="D856" s="30"/>
      <c r="E856" s="31"/>
      <c r="F856" s="680" t="s">
        <v>54</v>
      </c>
      <c r="G856" s="680" t="s">
        <v>53</v>
      </c>
      <c r="H856" s="9"/>
    </row>
    <row r="857" spans="3:8" x14ac:dyDescent="0.25">
      <c r="C857" s="9">
        <f t="shared" ref="C857:C872" ca="1" si="182">C856</f>
        <v>1</v>
      </c>
      <c r="D857" s="32" t="s">
        <v>71</v>
      </c>
      <c r="E857" s="33"/>
      <c r="F857" s="681"/>
      <c r="G857" s="682"/>
      <c r="H857" s="9"/>
    </row>
    <row r="858" spans="3:8" x14ac:dyDescent="0.25">
      <c r="C858" s="9">
        <f t="shared" ca="1" si="182"/>
        <v>1</v>
      </c>
      <c r="D858" s="368" t="s">
        <v>72</v>
      </c>
      <c r="E858" s="12" t="s">
        <v>57</v>
      </c>
      <c r="F858" s="683">
        <f t="shared" ref="F858:G858" si="183">+$E855*F$6</f>
        <v>0</v>
      </c>
      <c r="G858" s="683">
        <f t="shared" si="183"/>
        <v>0</v>
      </c>
      <c r="H858" s="9"/>
    </row>
    <row r="859" spans="3:8" x14ac:dyDescent="0.25">
      <c r="C859" s="9">
        <f t="shared" ca="1" si="182"/>
        <v>1</v>
      </c>
      <c r="D859" s="368" t="s">
        <v>73</v>
      </c>
      <c r="E859" s="12" t="s">
        <v>56</v>
      </c>
      <c r="F859" s="683">
        <f t="shared" ref="F859:G859" si="184">+$E855*F$7</f>
        <v>3787.7099266208447</v>
      </c>
      <c r="G859" s="683">
        <f t="shared" si="184"/>
        <v>0</v>
      </c>
      <c r="H859" s="9"/>
    </row>
    <row r="860" spans="3:8" x14ac:dyDescent="0.25">
      <c r="C860" s="9">
        <f t="shared" ca="1" si="182"/>
        <v>1</v>
      </c>
      <c r="D860" s="368" t="s">
        <v>74</v>
      </c>
      <c r="E860" s="12" t="s">
        <v>55</v>
      </c>
      <c r="F860" s="683">
        <f t="shared" ref="F860:G860" si="185">+$E855*F$8</f>
        <v>567.84091945916555</v>
      </c>
      <c r="G860" s="683">
        <f t="shared" si="185"/>
        <v>0</v>
      </c>
      <c r="H860" s="9"/>
    </row>
    <row r="861" spans="3:8" x14ac:dyDescent="0.25">
      <c r="C861" s="9">
        <f t="shared" ca="1" si="182"/>
        <v>1</v>
      </c>
      <c r="D861" s="368" t="s">
        <v>75</v>
      </c>
      <c r="E861" s="12" t="s">
        <v>54</v>
      </c>
      <c r="F861" s="683">
        <f t="shared" ref="F861:G861" si="186">+$E855*F$9</f>
        <v>1160.5890041310315</v>
      </c>
      <c r="G861" s="683">
        <f t="shared" si="186"/>
        <v>0</v>
      </c>
      <c r="H861" s="9"/>
    </row>
    <row r="862" spans="3:8" x14ac:dyDescent="0.25">
      <c r="C862" s="9">
        <f t="shared" ca="1" si="182"/>
        <v>1</v>
      </c>
      <c r="D862" s="34" t="s">
        <v>467</v>
      </c>
      <c r="E862" s="12" t="s">
        <v>53</v>
      </c>
      <c r="F862" s="683">
        <f t="shared" ref="F862:G862" si="187">+$E855*F$10</f>
        <v>5557.4381009798963</v>
      </c>
      <c r="G862" s="683">
        <f t="shared" si="187"/>
        <v>0</v>
      </c>
      <c r="H862" s="9"/>
    </row>
    <row r="863" spans="3:8" x14ac:dyDescent="0.25">
      <c r="C863" s="9">
        <f t="shared" ca="1" si="182"/>
        <v>1</v>
      </c>
      <c r="D863" s="34" t="s">
        <v>76</v>
      </c>
      <c r="E863" s="12" t="s">
        <v>52</v>
      </c>
      <c r="F863" s="683">
        <f>+$E855*F$11</f>
        <v>1270.6953836758098</v>
      </c>
      <c r="G863" s="683">
        <f>+$E855*G$11</f>
        <v>0</v>
      </c>
      <c r="H863" s="9"/>
    </row>
    <row r="864" spans="3:8" x14ac:dyDescent="0.25">
      <c r="C864" s="9">
        <f t="shared" ca="1" si="182"/>
        <v>1</v>
      </c>
      <c r="D864" s="34" t="s">
        <v>468</v>
      </c>
      <c r="E864" s="12" t="s">
        <v>51</v>
      </c>
      <c r="F864" s="683">
        <f>+$E855*F$12</f>
        <v>0</v>
      </c>
      <c r="G864" s="683">
        <f>+$E855*G$12</f>
        <v>0</v>
      </c>
      <c r="H864" s="9"/>
    </row>
    <row r="865" spans="1:7" s="9" customFormat="1" x14ac:dyDescent="0.25">
      <c r="A865" s="119"/>
      <c r="B865" s="310"/>
      <c r="C865" s="9">
        <f t="shared" ca="1" si="182"/>
        <v>1</v>
      </c>
      <c r="D865" s="368" t="s">
        <v>59</v>
      </c>
      <c r="E865" s="12" t="s">
        <v>50</v>
      </c>
      <c r="F865" s="683">
        <f>+$E855*F$13</f>
        <v>201.20714454898609</v>
      </c>
      <c r="G865" s="683">
        <f>+$E855*G$13</f>
        <v>0</v>
      </c>
    </row>
    <row r="866" spans="1:7" s="9" customFormat="1" x14ac:dyDescent="0.25">
      <c r="A866" s="119"/>
      <c r="B866" s="310"/>
      <c r="C866" s="9">
        <f t="shared" ca="1" si="182"/>
        <v>1</v>
      </c>
      <c r="D866" s="368" t="s">
        <v>25</v>
      </c>
      <c r="E866" s="12" t="s">
        <v>49</v>
      </c>
      <c r="F866" s="683">
        <f>+$E855*F$14</f>
        <v>658.87154477117042</v>
      </c>
      <c r="G866" s="683">
        <f>+$E855*G$14</f>
        <v>0</v>
      </c>
    </row>
    <row r="867" spans="1:7" s="9" customFormat="1" x14ac:dyDescent="0.25">
      <c r="A867" s="119"/>
      <c r="B867" s="310"/>
      <c r="C867" s="9">
        <f t="shared" ca="1" si="182"/>
        <v>1</v>
      </c>
      <c r="D867" s="368" t="s">
        <v>80</v>
      </c>
      <c r="E867" s="12" t="s">
        <v>47</v>
      </c>
      <c r="F867" s="683">
        <f>+$E855*F$15</f>
        <v>2458.2215441717067</v>
      </c>
      <c r="G867" s="683">
        <f>+$E855*G$15</f>
        <v>0</v>
      </c>
    </row>
    <row r="868" spans="1:7" s="9" customFormat="1" x14ac:dyDescent="0.25">
      <c r="A868" s="119"/>
      <c r="B868" s="310"/>
      <c r="C868" s="9">
        <f t="shared" ca="1" si="182"/>
        <v>1</v>
      </c>
      <c r="D868" s="368" t="s">
        <v>82</v>
      </c>
      <c r="E868" s="12" t="s">
        <v>77</v>
      </c>
      <c r="F868" s="683">
        <f>+$E855*F$16</f>
        <v>1665.738945507876</v>
      </c>
      <c r="G868" s="683">
        <f>+$E855*G$16</f>
        <v>0</v>
      </c>
    </row>
    <row r="869" spans="1:7" s="9" customFormat="1" x14ac:dyDescent="0.25">
      <c r="A869" s="119"/>
      <c r="B869" s="310"/>
      <c r="C869" s="9">
        <f t="shared" ca="1" si="182"/>
        <v>1</v>
      </c>
      <c r="D869" s="368" t="s">
        <v>84</v>
      </c>
      <c r="E869" s="12" t="s">
        <v>78</v>
      </c>
      <c r="F869" s="683">
        <f ca="1">+$E855*F$17</f>
        <v>119085.12562535935</v>
      </c>
      <c r="G869" s="683">
        <f>+$E855*G$17</f>
        <v>0</v>
      </c>
    </row>
    <row r="870" spans="1:7" s="9" customFormat="1" x14ac:dyDescent="0.25">
      <c r="A870" s="119"/>
      <c r="B870" s="310"/>
      <c r="C870" s="9">
        <f t="shared" ca="1" si="182"/>
        <v>1</v>
      </c>
      <c r="D870" s="368" t="s">
        <v>86</v>
      </c>
      <c r="E870" s="12" t="s">
        <v>79</v>
      </c>
      <c r="F870" s="683">
        <f>+$E$855*F18</f>
        <v>0</v>
      </c>
      <c r="G870" s="683">
        <f>+$E$855*G18</f>
        <v>0</v>
      </c>
    </row>
    <row r="871" spans="1:7" s="9" customFormat="1" x14ac:dyDescent="0.25">
      <c r="A871" s="119"/>
      <c r="B871" s="310"/>
      <c r="C871" s="9">
        <f t="shared" ca="1" si="182"/>
        <v>1</v>
      </c>
      <c r="D871" s="368" t="s">
        <v>386</v>
      </c>
      <c r="E871" s="12" t="s">
        <v>81</v>
      </c>
      <c r="F871" s="683">
        <f>+$E$855*F19</f>
        <v>0</v>
      </c>
      <c r="G871" s="683">
        <f>+$E$855*G19</f>
        <v>0</v>
      </c>
    </row>
    <row r="872" spans="1:7" s="9" customFormat="1" ht="15.75" thickBot="1" x14ac:dyDescent="0.3">
      <c r="A872" s="119"/>
      <c r="B872" s="310"/>
      <c r="C872" s="9">
        <f t="shared" ca="1" si="182"/>
        <v>1</v>
      </c>
      <c r="D872" s="35" t="s">
        <v>22</v>
      </c>
      <c r="E872" s="12" t="s">
        <v>83</v>
      </c>
      <c r="F872" s="685">
        <f ca="1">SUBTOTAL(9,F858:F871)</f>
        <v>136413.43813922582</v>
      </c>
      <c r="G872" s="685">
        <f>SUBTOTAL(9,G858:G871)</f>
        <v>0</v>
      </c>
    </row>
    <row r="873" spans="1:7" s="9" customFormat="1" ht="15.75" hidden="1" thickBot="1" x14ac:dyDescent="0.3">
      <c r="A873" s="119"/>
      <c r="B873" s="310"/>
      <c r="D873" s="326"/>
      <c r="E873" s="327"/>
      <c r="F873" s="686"/>
      <c r="G873" s="686"/>
    </row>
    <row r="874" spans="1:7" s="9" customFormat="1" ht="15.75" hidden="1" thickBot="1" x14ac:dyDescent="0.3">
      <c r="A874" s="119"/>
      <c r="B874" s="310"/>
      <c r="D874" s="326"/>
      <c r="E874" s="327"/>
      <c r="F874" s="686"/>
      <c r="G874" s="686"/>
    </row>
    <row r="875" spans="1:7" s="9" customFormat="1" ht="30" x14ac:dyDescent="0.25">
      <c r="A875" s="119"/>
      <c r="B875" s="310"/>
      <c r="C875" s="9">
        <f ca="1">IF(F892&gt;0,1,0)</f>
        <v>1</v>
      </c>
      <c r="D875" s="20" t="str">
        <f>A48</f>
        <v>Saint Lawrence</v>
      </c>
      <c r="E875" s="19">
        <f>IFERROR(SUMIF(A:A,D875,B:B),0)</f>
        <v>2.5221917468452523E-3</v>
      </c>
      <c r="F875" s="652" t="s">
        <v>31</v>
      </c>
      <c r="G875" s="652" t="s">
        <v>32</v>
      </c>
    </row>
    <row r="876" spans="1:7" s="9" customFormat="1" x14ac:dyDescent="0.25">
      <c r="A876" s="119"/>
      <c r="B876" s="310"/>
      <c r="C876" s="9">
        <f ca="1">C875</f>
        <v>1</v>
      </c>
      <c r="D876" s="30"/>
      <c r="E876" s="31"/>
      <c r="F876" s="680" t="s">
        <v>54</v>
      </c>
      <c r="G876" s="680" t="s">
        <v>53</v>
      </c>
    </row>
    <row r="877" spans="1:7" s="9" customFormat="1" x14ac:dyDescent="0.25">
      <c r="A877" s="119"/>
      <c r="B877" s="310"/>
      <c r="C877" s="9">
        <f t="shared" ref="C877:C892" ca="1" si="188">C876</f>
        <v>1</v>
      </c>
      <c r="D877" s="32" t="s">
        <v>71</v>
      </c>
      <c r="E877" s="33"/>
      <c r="F877" s="681"/>
      <c r="G877" s="682"/>
    </row>
    <row r="878" spans="1:7" s="9" customFormat="1" x14ac:dyDescent="0.25">
      <c r="A878" s="119"/>
      <c r="B878" s="310"/>
      <c r="C878" s="9">
        <f t="shared" ca="1" si="188"/>
        <v>1</v>
      </c>
      <c r="D878" s="368" t="s">
        <v>72</v>
      </c>
      <c r="E878" s="12" t="s">
        <v>57</v>
      </c>
      <c r="F878" s="683">
        <f t="shared" ref="F878:G878" si="189">+$E875*F$6</f>
        <v>0</v>
      </c>
      <c r="G878" s="683">
        <f t="shared" si="189"/>
        <v>0</v>
      </c>
    </row>
    <row r="879" spans="1:7" s="9" customFormat="1" x14ac:dyDescent="0.25">
      <c r="A879" s="119"/>
      <c r="B879" s="310"/>
      <c r="C879" s="9">
        <f t="shared" ca="1" si="188"/>
        <v>1</v>
      </c>
      <c r="D879" s="368" t="s">
        <v>73</v>
      </c>
      <c r="E879" s="12" t="s">
        <v>56</v>
      </c>
      <c r="F879" s="683">
        <f t="shared" ref="F879:G879" si="190">+$E875*F$7</f>
        <v>1105.0466771693702</v>
      </c>
      <c r="G879" s="683">
        <f t="shared" si="190"/>
        <v>0</v>
      </c>
    </row>
    <row r="880" spans="1:7" s="9" customFormat="1" x14ac:dyDescent="0.25">
      <c r="A880" s="119"/>
      <c r="B880" s="310"/>
      <c r="C880" s="9">
        <f t="shared" ca="1" si="188"/>
        <v>1</v>
      </c>
      <c r="D880" s="368" t="s">
        <v>74</v>
      </c>
      <c r="E880" s="12" t="s">
        <v>55</v>
      </c>
      <c r="F880" s="683">
        <f t="shared" ref="F880:G880" si="191">+$E875*F$8</f>
        <v>165.66493563802507</v>
      </c>
      <c r="G880" s="683">
        <f t="shared" si="191"/>
        <v>0</v>
      </c>
    </row>
    <row r="881" spans="1:7" s="9" customFormat="1" x14ac:dyDescent="0.25">
      <c r="A881" s="119"/>
      <c r="B881" s="310"/>
      <c r="C881" s="9">
        <f t="shared" ca="1" si="188"/>
        <v>1</v>
      </c>
      <c r="D881" s="368" t="s">
        <v>75</v>
      </c>
      <c r="E881" s="12" t="s">
        <v>54</v>
      </c>
      <c r="F881" s="683">
        <f t="shared" ref="F881:G881" si="192">+$E875*F$9</f>
        <v>338.59642037543108</v>
      </c>
      <c r="G881" s="683">
        <f t="shared" si="192"/>
        <v>0</v>
      </c>
    </row>
    <row r="882" spans="1:7" s="9" customFormat="1" x14ac:dyDescent="0.25">
      <c r="A882" s="119"/>
      <c r="B882" s="310"/>
      <c r="C882" s="9">
        <f t="shared" ca="1" si="188"/>
        <v>1</v>
      </c>
      <c r="D882" s="34" t="s">
        <v>467</v>
      </c>
      <c r="E882" s="12" t="s">
        <v>53</v>
      </c>
      <c r="F882" s="683">
        <f t="shared" ref="F882:G882" si="193">+$E875*F$10</f>
        <v>1621.356604923837</v>
      </c>
      <c r="G882" s="683">
        <f t="shared" si="193"/>
        <v>0</v>
      </c>
    </row>
    <row r="883" spans="1:7" s="9" customFormat="1" x14ac:dyDescent="0.25">
      <c r="A883" s="119"/>
      <c r="B883" s="310"/>
      <c r="C883" s="9">
        <f t="shared" ca="1" si="188"/>
        <v>1</v>
      </c>
      <c r="D883" s="34" t="s">
        <v>76</v>
      </c>
      <c r="E883" s="12" t="s">
        <v>52</v>
      </c>
      <c r="F883" s="683">
        <f>+$E875*F$11</f>
        <v>370.71944225626856</v>
      </c>
      <c r="G883" s="683">
        <f>+$E875*G$11</f>
        <v>0</v>
      </c>
    </row>
    <row r="884" spans="1:7" s="9" customFormat="1" x14ac:dyDescent="0.25">
      <c r="A884" s="119"/>
      <c r="B884" s="310"/>
      <c r="C884" s="9">
        <f t="shared" ca="1" si="188"/>
        <v>1</v>
      </c>
      <c r="D884" s="34" t="s">
        <v>468</v>
      </c>
      <c r="E884" s="12" t="s">
        <v>51</v>
      </c>
      <c r="F884" s="683">
        <f>+$E875*F$12</f>
        <v>0</v>
      </c>
      <c r="G884" s="683">
        <f>+$E875*G$12</f>
        <v>0</v>
      </c>
    </row>
    <row r="885" spans="1:7" s="9" customFormat="1" x14ac:dyDescent="0.25">
      <c r="A885" s="119"/>
      <c r="B885" s="310"/>
      <c r="C885" s="9">
        <f t="shared" ca="1" si="188"/>
        <v>1</v>
      </c>
      <c r="D885" s="368" t="s">
        <v>59</v>
      </c>
      <c r="E885" s="12" t="s">
        <v>50</v>
      </c>
      <c r="F885" s="683">
        <f>+$E875*F$13</f>
        <v>58.701244502362101</v>
      </c>
      <c r="G885" s="683">
        <f>+$E875*G$13</f>
        <v>0</v>
      </c>
    </row>
    <row r="886" spans="1:7" s="9" customFormat="1" x14ac:dyDescent="0.25">
      <c r="A886" s="119"/>
      <c r="B886" s="310"/>
      <c r="C886" s="9">
        <f t="shared" ca="1" si="188"/>
        <v>1</v>
      </c>
      <c r="D886" s="368" t="s">
        <v>25</v>
      </c>
      <c r="E886" s="12" t="s">
        <v>49</v>
      </c>
      <c r="F886" s="683">
        <f>+$E875*F$14</f>
        <v>192.22269533200028</v>
      </c>
      <c r="G886" s="683">
        <f>+$E875*G$14</f>
        <v>0</v>
      </c>
    </row>
    <row r="887" spans="1:7" s="9" customFormat="1" x14ac:dyDescent="0.25">
      <c r="A887" s="119"/>
      <c r="B887" s="310"/>
      <c r="C887" s="9">
        <f t="shared" ca="1" si="188"/>
        <v>1</v>
      </c>
      <c r="D887" s="368" t="s">
        <v>80</v>
      </c>
      <c r="E887" s="12" t="s">
        <v>47</v>
      </c>
      <c r="F887" s="683">
        <f>+$E875*F$15</f>
        <v>717.17465216681649</v>
      </c>
      <c r="G887" s="683">
        <f>+$E875*G$15</f>
        <v>0</v>
      </c>
    </row>
    <row r="888" spans="1:7" s="9" customFormat="1" x14ac:dyDescent="0.25">
      <c r="A888" s="119"/>
      <c r="B888" s="310"/>
      <c r="C888" s="9">
        <f t="shared" ca="1" si="188"/>
        <v>1</v>
      </c>
      <c r="D888" s="368" t="s">
        <v>82</v>
      </c>
      <c r="E888" s="12" t="s">
        <v>77</v>
      </c>
      <c r="F888" s="683">
        <f>+$E875*F$16</f>
        <v>485.97155601280758</v>
      </c>
      <c r="G888" s="683">
        <f>+$E875*G$16</f>
        <v>0</v>
      </c>
    </row>
    <row r="889" spans="1:7" s="9" customFormat="1" x14ac:dyDescent="0.25">
      <c r="A889" s="119"/>
      <c r="B889" s="310"/>
      <c r="C889" s="9">
        <f t="shared" ca="1" si="188"/>
        <v>1</v>
      </c>
      <c r="D889" s="368" t="s">
        <v>84</v>
      </c>
      <c r="E889" s="12" t="s">
        <v>78</v>
      </c>
      <c r="F889" s="683">
        <f ca="1">+$E875*F$17</f>
        <v>34742.529106499125</v>
      </c>
      <c r="G889" s="683">
        <f>+$E875*G$17</f>
        <v>0</v>
      </c>
    </row>
    <row r="890" spans="1:7" s="9" customFormat="1" x14ac:dyDescent="0.25">
      <c r="A890" s="119"/>
      <c r="B890" s="310"/>
      <c r="C890" s="9">
        <f t="shared" ca="1" si="188"/>
        <v>1</v>
      </c>
      <c r="D890" s="368" t="s">
        <v>86</v>
      </c>
      <c r="E890" s="12" t="s">
        <v>79</v>
      </c>
      <c r="F890" s="683">
        <f>+$E$875*F18</f>
        <v>0</v>
      </c>
      <c r="G890" s="683">
        <f>+$E$875*G18</f>
        <v>0</v>
      </c>
    </row>
    <row r="891" spans="1:7" s="9" customFormat="1" x14ac:dyDescent="0.25">
      <c r="A891" s="119"/>
      <c r="B891" s="310"/>
      <c r="C891" s="9">
        <f t="shared" ca="1" si="188"/>
        <v>1</v>
      </c>
      <c r="D891" s="368" t="s">
        <v>386</v>
      </c>
      <c r="E891" s="12" t="s">
        <v>81</v>
      </c>
      <c r="F891" s="683">
        <f>+$E$875*F19</f>
        <v>0</v>
      </c>
      <c r="G891" s="683">
        <f>+$E$875*G19</f>
        <v>0</v>
      </c>
    </row>
    <row r="892" spans="1:7" s="9" customFormat="1" ht="15.75" thickBot="1" x14ac:dyDescent="0.3">
      <c r="A892" s="119"/>
      <c r="B892" s="310"/>
      <c r="C892" s="9">
        <f t="shared" ca="1" si="188"/>
        <v>1</v>
      </c>
      <c r="D892" s="35" t="s">
        <v>22</v>
      </c>
      <c r="E892" s="12" t="s">
        <v>83</v>
      </c>
      <c r="F892" s="685">
        <f ca="1">SUBTOTAL(9,F878:F891)</f>
        <v>39797.983334876044</v>
      </c>
      <c r="G892" s="685">
        <f>SUBTOTAL(9,G878:G891)</f>
        <v>0</v>
      </c>
    </row>
    <row r="893" spans="1:7" s="9" customFormat="1" ht="15.75" hidden="1" thickBot="1" x14ac:dyDescent="0.3">
      <c r="A893" s="119"/>
      <c r="B893" s="310"/>
      <c r="D893" s="326"/>
      <c r="E893" s="327"/>
      <c r="F893" s="686"/>
      <c r="G893" s="686"/>
    </row>
    <row r="894" spans="1:7" s="9" customFormat="1" ht="15.75" hidden="1" thickBot="1" x14ac:dyDescent="0.3">
      <c r="A894" s="119"/>
      <c r="B894" s="310"/>
      <c r="D894" s="326"/>
      <c r="E894" s="327"/>
      <c r="F894" s="686"/>
      <c r="G894" s="686"/>
    </row>
    <row r="895" spans="1:7" s="9" customFormat="1" ht="30" x14ac:dyDescent="0.25">
      <c r="A895" s="119"/>
      <c r="B895" s="310"/>
      <c r="C895" s="9">
        <f ca="1">IF(F912&gt;0,1,0)</f>
        <v>1</v>
      </c>
      <c r="D895" s="20" t="str">
        <f>+A49</f>
        <v>Saratoga</v>
      </c>
      <c r="E895" s="19">
        <f>IFERROR(SUMIF(A:A,D895,B:B),0)</f>
        <v>6.3457038660819764E-3</v>
      </c>
      <c r="F895" s="652" t="s">
        <v>31</v>
      </c>
      <c r="G895" s="652" t="s">
        <v>32</v>
      </c>
    </row>
    <row r="896" spans="1:7" s="9" customFormat="1" x14ac:dyDescent="0.25">
      <c r="A896" s="119"/>
      <c r="B896" s="310"/>
      <c r="C896" s="9">
        <f ca="1">C895</f>
        <v>1</v>
      </c>
      <c r="D896" s="30"/>
      <c r="E896" s="31"/>
      <c r="F896" s="680" t="s">
        <v>54</v>
      </c>
      <c r="G896" s="680" t="s">
        <v>53</v>
      </c>
    </row>
    <row r="897" spans="1:7" s="9" customFormat="1" x14ac:dyDescent="0.25">
      <c r="A897" s="119"/>
      <c r="B897" s="310"/>
      <c r="C897" s="9">
        <f t="shared" ref="C897:C912" ca="1" si="194">C896</f>
        <v>1</v>
      </c>
      <c r="D897" s="32" t="s">
        <v>71</v>
      </c>
      <c r="E897" s="33"/>
      <c r="F897" s="681"/>
      <c r="G897" s="682"/>
    </row>
    <row r="898" spans="1:7" s="9" customFormat="1" x14ac:dyDescent="0.25">
      <c r="A898" s="119"/>
      <c r="B898" s="310"/>
      <c r="C898" s="9">
        <f t="shared" ca="1" si="194"/>
        <v>1</v>
      </c>
      <c r="D898" s="368" t="s">
        <v>72</v>
      </c>
      <c r="E898" s="12" t="s">
        <v>57</v>
      </c>
      <c r="F898" s="683">
        <f t="shared" ref="F898:G898" si="195">+$E895*F$6</f>
        <v>0</v>
      </c>
      <c r="G898" s="683">
        <f t="shared" si="195"/>
        <v>0</v>
      </c>
    </row>
    <row r="899" spans="1:7" s="9" customFormat="1" x14ac:dyDescent="0.25">
      <c r="A899" s="119"/>
      <c r="B899" s="310"/>
      <c r="C899" s="9">
        <f t="shared" ca="1" si="194"/>
        <v>1</v>
      </c>
      <c r="D899" s="368" t="s">
        <v>73</v>
      </c>
      <c r="E899" s="12" t="s">
        <v>56</v>
      </c>
      <c r="F899" s="683">
        <f t="shared" ref="F899:G899" si="196">+$E895*F$7</f>
        <v>2780.2402336323835</v>
      </c>
      <c r="G899" s="683">
        <f t="shared" si="196"/>
        <v>0</v>
      </c>
    </row>
    <row r="900" spans="1:7" s="9" customFormat="1" x14ac:dyDescent="0.25">
      <c r="A900" s="119"/>
      <c r="B900" s="310"/>
      <c r="C900" s="9">
        <f t="shared" ca="1" si="194"/>
        <v>1</v>
      </c>
      <c r="D900" s="368" t="s">
        <v>74</v>
      </c>
      <c r="E900" s="12" t="s">
        <v>55</v>
      </c>
      <c r="F900" s="683">
        <f t="shared" ref="F900:G900" si="197">+$E895*F$8</f>
        <v>416.80440191248351</v>
      </c>
      <c r="G900" s="683">
        <f t="shared" si="197"/>
        <v>0</v>
      </c>
    </row>
    <row r="901" spans="1:7" s="9" customFormat="1" x14ac:dyDescent="0.25">
      <c r="A901" s="119"/>
      <c r="B901" s="310"/>
      <c r="C901" s="9">
        <f t="shared" ca="1" si="194"/>
        <v>1</v>
      </c>
      <c r="D901" s="368" t="s">
        <v>75</v>
      </c>
      <c r="E901" s="12" t="s">
        <v>54</v>
      </c>
      <c r="F901" s="683">
        <f t="shared" ref="F901:G901" si="198">+$E895*F$9</f>
        <v>851.8910651838396</v>
      </c>
      <c r="G901" s="683">
        <f t="shared" si="198"/>
        <v>0</v>
      </c>
    </row>
    <row r="902" spans="1:7" s="9" customFormat="1" x14ac:dyDescent="0.25">
      <c r="A902" s="119"/>
      <c r="B902" s="310"/>
      <c r="C902" s="9">
        <f t="shared" ca="1" si="194"/>
        <v>1</v>
      </c>
      <c r="D902" s="34" t="s">
        <v>467</v>
      </c>
      <c r="E902" s="12" t="s">
        <v>53</v>
      </c>
      <c r="F902" s="683">
        <f t="shared" ref="F902:G902" si="199">+$E895*F$10</f>
        <v>4079.2492834978716</v>
      </c>
      <c r="G902" s="683">
        <f t="shared" si="199"/>
        <v>0</v>
      </c>
    </row>
    <row r="903" spans="1:7" s="9" customFormat="1" x14ac:dyDescent="0.25">
      <c r="A903" s="119"/>
      <c r="B903" s="310"/>
      <c r="C903" s="9">
        <f t="shared" ca="1" si="194"/>
        <v>1</v>
      </c>
      <c r="D903" s="34" t="s">
        <v>76</v>
      </c>
      <c r="E903" s="12" t="s">
        <v>52</v>
      </c>
      <c r="F903" s="683">
        <f>+$E895*F$11</f>
        <v>932.71092528941358</v>
      </c>
      <c r="G903" s="683">
        <f>+$E895*G$11</f>
        <v>0</v>
      </c>
    </row>
    <row r="904" spans="1:7" s="9" customFormat="1" x14ac:dyDescent="0.25">
      <c r="A904" s="119"/>
      <c r="B904" s="310"/>
      <c r="C904" s="9">
        <f t="shared" ca="1" si="194"/>
        <v>1</v>
      </c>
      <c r="D904" s="34" t="s">
        <v>468</v>
      </c>
      <c r="E904" s="12" t="s">
        <v>51</v>
      </c>
      <c r="F904" s="683">
        <f>+$E895*F$12</f>
        <v>0</v>
      </c>
      <c r="G904" s="683">
        <f>+$E895*G$12</f>
        <v>0</v>
      </c>
    </row>
    <row r="905" spans="1:7" s="9" customFormat="1" x14ac:dyDescent="0.25">
      <c r="A905" s="119"/>
      <c r="B905" s="310"/>
      <c r="C905" s="9">
        <f t="shared" ca="1" si="194"/>
        <v>1</v>
      </c>
      <c r="D905" s="368" t="s">
        <v>59</v>
      </c>
      <c r="E905" s="12" t="s">
        <v>50</v>
      </c>
      <c r="F905" s="683">
        <f>+$E895*F$13</f>
        <v>147.68929231823273</v>
      </c>
      <c r="G905" s="683">
        <f>+$E895*G$13</f>
        <v>0</v>
      </c>
    </row>
    <row r="906" spans="1:7" s="9" customFormat="1" x14ac:dyDescent="0.25">
      <c r="A906" s="119"/>
      <c r="B906" s="310"/>
      <c r="C906" s="9">
        <f t="shared" ca="1" si="194"/>
        <v>1</v>
      </c>
      <c r="D906" s="368" t="s">
        <v>25</v>
      </c>
      <c r="E906" s="12" t="s">
        <v>49</v>
      </c>
      <c r="F906" s="683">
        <f>+$E895*F$14</f>
        <v>483.62235045875423</v>
      </c>
      <c r="G906" s="683">
        <f>+$E895*G$14</f>
        <v>0</v>
      </c>
    </row>
    <row r="907" spans="1:7" s="9" customFormat="1" x14ac:dyDescent="0.25">
      <c r="A907" s="119"/>
      <c r="B907" s="310"/>
      <c r="C907" s="9">
        <f t="shared" ca="1" si="194"/>
        <v>1</v>
      </c>
      <c r="D907" s="368" t="s">
        <v>80</v>
      </c>
      <c r="E907" s="12" t="s">
        <v>47</v>
      </c>
      <c r="F907" s="683">
        <f>+$E895*F$15</f>
        <v>1804.3742981092971</v>
      </c>
      <c r="G907" s="683">
        <f>+$E895*G$15</f>
        <v>0</v>
      </c>
    </row>
    <row r="908" spans="1:7" s="9" customFormat="1" x14ac:dyDescent="0.25">
      <c r="A908" s="119"/>
      <c r="B908" s="310"/>
      <c r="C908" s="9">
        <f t="shared" ca="1" si="194"/>
        <v>1</v>
      </c>
      <c r="D908" s="368" t="s">
        <v>82</v>
      </c>
      <c r="E908" s="12" t="s">
        <v>77</v>
      </c>
      <c r="F908" s="683">
        <f>+$E895*F$16</f>
        <v>1222.6792771222058</v>
      </c>
      <c r="G908" s="683">
        <f>+$E895*G$16</f>
        <v>0</v>
      </c>
    </row>
    <row r="909" spans="1:7" s="9" customFormat="1" x14ac:dyDescent="0.25">
      <c r="A909" s="119"/>
      <c r="B909" s="310"/>
      <c r="C909" s="9">
        <f t="shared" ca="1" si="194"/>
        <v>1</v>
      </c>
      <c r="D909" s="368" t="s">
        <v>84</v>
      </c>
      <c r="E909" s="12" t="s">
        <v>78</v>
      </c>
      <c r="F909" s="683">
        <f ca="1">+$E895*F$17</f>
        <v>87410.404678524079</v>
      </c>
      <c r="G909" s="683">
        <f>+$E895*G$17</f>
        <v>0</v>
      </c>
    </row>
    <row r="910" spans="1:7" s="9" customFormat="1" x14ac:dyDescent="0.25">
      <c r="A910" s="119"/>
      <c r="B910" s="310"/>
      <c r="C910" s="9">
        <f t="shared" ca="1" si="194"/>
        <v>1</v>
      </c>
      <c r="D910" s="368" t="s">
        <v>86</v>
      </c>
      <c r="E910" s="12" t="s">
        <v>79</v>
      </c>
      <c r="F910" s="683">
        <f>+$E$895*F18</f>
        <v>0</v>
      </c>
      <c r="G910" s="683">
        <f>+$E$895*G18</f>
        <v>0</v>
      </c>
    </row>
    <row r="911" spans="1:7" s="9" customFormat="1" x14ac:dyDescent="0.25">
      <c r="A911" s="119"/>
      <c r="B911" s="310"/>
      <c r="C911" s="9">
        <f t="shared" ca="1" si="194"/>
        <v>1</v>
      </c>
      <c r="D911" s="368" t="s">
        <v>386</v>
      </c>
      <c r="E911" s="12" t="s">
        <v>81</v>
      </c>
      <c r="F911" s="683">
        <f>+$E$895*F19</f>
        <v>0</v>
      </c>
      <c r="G911" s="683">
        <f>+$E$895*G19</f>
        <v>0</v>
      </c>
    </row>
    <row r="912" spans="1:7" s="9" customFormat="1" ht="15.75" thickBot="1" x14ac:dyDescent="0.3">
      <c r="A912" s="119"/>
      <c r="B912" s="310"/>
      <c r="C912" s="9">
        <f t="shared" ca="1" si="194"/>
        <v>1</v>
      </c>
      <c r="D912" s="35" t="s">
        <v>22</v>
      </c>
      <c r="E912" s="12" t="s">
        <v>83</v>
      </c>
      <c r="F912" s="685">
        <f ca="1">SUBTOTAL(9,F898:F911)</f>
        <v>100129.66580604856</v>
      </c>
      <c r="G912" s="685">
        <f>SUBTOTAL(9,G898:G911)</f>
        <v>0</v>
      </c>
    </row>
    <row r="913" spans="1:7" s="9" customFormat="1" ht="15.75" hidden="1" thickBot="1" x14ac:dyDescent="0.3">
      <c r="A913" s="119"/>
      <c r="B913" s="310"/>
      <c r="D913" s="326"/>
      <c r="E913" s="327"/>
      <c r="F913" s="686"/>
      <c r="G913" s="686"/>
    </row>
    <row r="914" spans="1:7" s="9" customFormat="1" ht="30" x14ac:dyDescent="0.25">
      <c r="A914" s="119"/>
      <c r="B914" s="310"/>
      <c r="C914" s="9">
        <f ca="1">IF(F931&gt;0,1,0)</f>
        <v>1</v>
      </c>
      <c r="D914" s="20" t="str">
        <f>+A50</f>
        <v>Schenectady</v>
      </c>
      <c r="E914" s="19">
        <f>IFERROR(SUMIF(A:A,D914,B:B),0)</f>
        <v>3.6612583135718163E-2</v>
      </c>
      <c r="F914" s="652" t="s">
        <v>31</v>
      </c>
      <c r="G914" s="652" t="s">
        <v>32</v>
      </c>
    </row>
    <row r="915" spans="1:7" s="9" customFormat="1" x14ac:dyDescent="0.25">
      <c r="A915" s="119"/>
      <c r="B915" s="310"/>
      <c r="C915" s="9">
        <f ca="1">C914</f>
        <v>1</v>
      </c>
      <c r="D915" s="30"/>
      <c r="E915" s="31"/>
      <c r="F915" s="680" t="s">
        <v>54</v>
      </c>
      <c r="G915" s="680" t="s">
        <v>53</v>
      </c>
    </row>
    <row r="916" spans="1:7" s="9" customFormat="1" x14ac:dyDescent="0.25">
      <c r="A916" s="119"/>
      <c r="B916" s="310"/>
      <c r="C916" s="9">
        <f t="shared" ref="C916:C931" ca="1" si="200">C915</f>
        <v>1</v>
      </c>
      <c r="D916" s="32" t="s">
        <v>71</v>
      </c>
      <c r="E916" s="33"/>
      <c r="F916" s="681"/>
      <c r="G916" s="682"/>
    </row>
    <row r="917" spans="1:7" s="9" customFormat="1" x14ac:dyDescent="0.25">
      <c r="A917" s="119"/>
      <c r="B917" s="310"/>
      <c r="C917" s="9">
        <f t="shared" ca="1" si="200"/>
        <v>1</v>
      </c>
      <c r="D917" s="368" t="s">
        <v>72</v>
      </c>
      <c r="E917" s="12" t="s">
        <v>57</v>
      </c>
      <c r="F917" s="683">
        <f t="shared" ref="F917:G917" si="201">+$E914*F$6</f>
        <v>0</v>
      </c>
      <c r="G917" s="683">
        <f t="shared" si="201"/>
        <v>0</v>
      </c>
    </row>
    <row r="918" spans="1:7" s="9" customFormat="1" x14ac:dyDescent="0.25">
      <c r="A918" s="119"/>
      <c r="B918" s="310"/>
      <c r="C918" s="9">
        <f t="shared" ca="1" si="200"/>
        <v>1</v>
      </c>
      <c r="D918" s="368" t="s">
        <v>73</v>
      </c>
      <c r="E918" s="12" t="s">
        <v>56</v>
      </c>
      <c r="F918" s="683">
        <f t="shared" ref="F918:G918" si="202">+$E914*F$7</f>
        <v>16041.053733253291</v>
      </c>
      <c r="G918" s="683">
        <f t="shared" si="202"/>
        <v>0</v>
      </c>
    </row>
    <row r="919" spans="1:7" s="9" customFormat="1" x14ac:dyDescent="0.25">
      <c r="A919" s="119"/>
      <c r="B919" s="310"/>
      <c r="C919" s="9">
        <f t="shared" ca="1" si="200"/>
        <v>1</v>
      </c>
      <c r="D919" s="368" t="s">
        <v>74</v>
      </c>
      <c r="E919" s="12" t="s">
        <v>55</v>
      </c>
      <c r="F919" s="683">
        <f t="shared" ref="F919:G919" si="203">+$E914*F$8</f>
        <v>2404.821614497469</v>
      </c>
      <c r="G919" s="683">
        <f t="shared" si="203"/>
        <v>0</v>
      </c>
    </row>
    <row r="920" spans="1:7" s="9" customFormat="1" x14ac:dyDescent="0.25">
      <c r="A920" s="119"/>
      <c r="B920" s="310"/>
      <c r="C920" s="9">
        <f t="shared" ca="1" si="200"/>
        <v>1</v>
      </c>
      <c r="D920" s="368" t="s">
        <v>75</v>
      </c>
      <c r="E920" s="12" t="s">
        <v>54</v>
      </c>
      <c r="F920" s="683">
        <f t="shared" ref="F920:G920" si="204">+$E914*F$9</f>
        <v>4915.1257456765634</v>
      </c>
      <c r="G920" s="683">
        <f t="shared" si="204"/>
        <v>0</v>
      </c>
    </row>
    <row r="921" spans="1:7" s="9" customFormat="1" x14ac:dyDescent="0.25">
      <c r="A921" s="119"/>
      <c r="B921" s="310"/>
      <c r="C921" s="9">
        <f t="shared" ca="1" si="200"/>
        <v>1</v>
      </c>
      <c r="D921" s="34" t="s">
        <v>467</v>
      </c>
      <c r="E921" s="12" t="s">
        <v>53</v>
      </c>
      <c r="F921" s="683">
        <f t="shared" ref="F921:G921" si="205">+$E914*F$10</f>
        <v>23535.900299677676</v>
      </c>
      <c r="G921" s="683">
        <f t="shared" si="205"/>
        <v>0</v>
      </c>
    </row>
    <row r="922" spans="1:7" s="9" customFormat="1" x14ac:dyDescent="0.25">
      <c r="A922" s="119"/>
      <c r="B922" s="310"/>
      <c r="C922" s="9">
        <f t="shared" ca="1" si="200"/>
        <v>1</v>
      </c>
      <c r="D922" s="34" t="s">
        <v>76</v>
      </c>
      <c r="E922" s="12" t="s">
        <v>52</v>
      </c>
      <c r="F922" s="683">
        <f>+$E914*F$11</f>
        <v>5381.4292337653369</v>
      </c>
      <c r="G922" s="683">
        <f>+$E914*G$11</f>
        <v>0</v>
      </c>
    </row>
    <row r="923" spans="1:7" s="9" customFormat="1" x14ac:dyDescent="0.25">
      <c r="A923" s="119"/>
      <c r="B923" s="310"/>
      <c r="C923" s="9">
        <f t="shared" ca="1" si="200"/>
        <v>1</v>
      </c>
      <c r="D923" s="34" t="s">
        <v>468</v>
      </c>
      <c r="E923" s="12" t="s">
        <v>51</v>
      </c>
      <c r="F923" s="683">
        <f>+$E914*F$12</f>
        <v>0</v>
      </c>
      <c r="G923" s="683">
        <f>+$E914*G$12</f>
        <v>0</v>
      </c>
    </row>
    <row r="924" spans="1:7" s="9" customFormat="1" x14ac:dyDescent="0.25">
      <c r="A924" s="119"/>
      <c r="B924" s="310"/>
      <c r="C924" s="9">
        <f t="shared" ca="1" si="200"/>
        <v>1</v>
      </c>
      <c r="D924" s="368" t="s">
        <v>59</v>
      </c>
      <c r="E924" s="12" t="s">
        <v>50</v>
      </c>
      <c r="F924" s="683">
        <f>+$E914*F$13</f>
        <v>852.11768581872002</v>
      </c>
      <c r="G924" s="683">
        <f>+$E914*G$13</f>
        <v>0</v>
      </c>
    </row>
    <row r="925" spans="1:7" s="9" customFormat="1" x14ac:dyDescent="0.25">
      <c r="A925" s="119"/>
      <c r="B925" s="310"/>
      <c r="C925" s="9">
        <f t="shared" ca="1" si="200"/>
        <v>1</v>
      </c>
      <c r="D925" s="368" t="s">
        <v>25</v>
      </c>
      <c r="E925" s="12" t="s">
        <v>49</v>
      </c>
      <c r="F925" s="683">
        <f>+$E914*F$14</f>
        <v>2790.3387687385384</v>
      </c>
      <c r="G925" s="683">
        <f>+$E914*G$14</f>
        <v>0</v>
      </c>
    </row>
    <row r="926" spans="1:7" s="9" customFormat="1" x14ac:dyDescent="0.25">
      <c r="A926" s="119"/>
      <c r="B926" s="310"/>
      <c r="C926" s="9">
        <f t="shared" ca="1" si="200"/>
        <v>1</v>
      </c>
      <c r="D926" s="368" t="s">
        <v>80</v>
      </c>
      <c r="E926" s="12" t="s">
        <v>47</v>
      </c>
      <c r="F926" s="683">
        <f>+$E914*F$15</f>
        <v>10410.634563422964</v>
      </c>
      <c r="G926" s="683">
        <f>+$E914*G$15</f>
        <v>0</v>
      </c>
    </row>
    <row r="927" spans="1:7" s="9" customFormat="1" x14ac:dyDescent="0.25">
      <c r="A927" s="119"/>
      <c r="B927" s="310"/>
      <c r="C927" s="9">
        <f t="shared" ca="1" si="200"/>
        <v>1</v>
      </c>
      <c r="D927" s="368" t="s">
        <v>82</v>
      </c>
      <c r="E927" s="12" t="s">
        <v>77</v>
      </c>
      <c r="F927" s="683">
        <f>+$E914*F$16</f>
        <v>7054.4493765663301</v>
      </c>
      <c r="G927" s="683">
        <f>+$E914*G$16</f>
        <v>0</v>
      </c>
    </row>
    <row r="928" spans="1:7" s="9" customFormat="1" x14ac:dyDescent="0.25">
      <c r="A928" s="119"/>
      <c r="B928" s="310"/>
      <c r="C928" s="9">
        <f t="shared" ca="1" si="200"/>
        <v>1</v>
      </c>
      <c r="D928" s="368" t="s">
        <v>84</v>
      </c>
      <c r="E928" s="12" t="s">
        <v>78</v>
      </c>
      <c r="F928" s="683">
        <f ca="1">+$E914*F$17</f>
        <v>504328.71999039606</v>
      </c>
      <c r="G928" s="683">
        <f>+$E914*G$17</f>
        <v>0</v>
      </c>
    </row>
    <row r="929" spans="1:7" s="9" customFormat="1" x14ac:dyDescent="0.25">
      <c r="A929" s="119"/>
      <c r="B929" s="310"/>
      <c r="C929" s="9">
        <f t="shared" ca="1" si="200"/>
        <v>1</v>
      </c>
      <c r="D929" s="368" t="s">
        <v>86</v>
      </c>
      <c r="E929" s="12" t="s">
        <v>79</v>
      </c>
      <c r="F929" s="683">
        <f>+$E$914*F18</f>
        <v>0</v>
      </c>
      <c r="G929" s="683">
        <f>+$E$914*G18</f>
        <v>0</v>
      </c>
    </row>
    <row r="930" spans="1:7" s="9" customFormat="1" x14ac:dyDescent="0.25">
      <c r="A930" s="119"/>
      <c r="B930" s="310"/>
      <c r="C930" s="9">
        <f t="shared" ca="1" si="200"/>
        <v>1</v>
      </c>
      <c r="D930" s="368" t="s">
        <v>386</v>
      </c>
      <c r="E930" s="12" t="s">
        <v>81</v>
      </c>
      <c r="F930" s="683">
        <f>+$E$914*F19</f>
        <v>0</v>
      </c>
      <c r="G930" s="683">
        <f>+$E$914*G19</f>
        <v>0</v>
      </c>
    </row>
    <row r="931" spans="1:7" s="9" customFormat="1" ht="15.75" thickBot="1" x14ac:dyDescent="0.3">
      <c r="A931" s="119"/>
      <c r="B931" s="310"/>
      <c r="C931" s="9">
        <f t="shared" ca="1" si="200"/>
        <v>1</v>
      </c>
      <c r="D931" s="35" t="s">
        <v>22</v>
      </c>
      <c r="E931" s="12" t="s">
        <v>83</v>
      </c>
      <c r="F931" s="685">
        <f ca="1">SUBTOTAL(9,F917:F930)</f>
        <v>577714.59101181291</v>
      </c>
      <c r="G931" s="685">
        <f>SUBTOTAL(9,G917:G930)</f>
        <v>0</v>
      </c>
    </row>
    <row r="932" spans="1:7" s="9" customFormat="1" ht="15.75" hidden="1" thickBot="1" x14ac:dyDescent="0.3">
      <c r="A932" s="119"/>
      <c r="B932" s="310"/>
      <c r="D932" s="326"/>
      <c r="E932" s="327"/>
      <c r="F932" s="686"/>
      <c r="G932" s="686"/>
    </row>
    <row r="933" spans="1:7" s="9" customFormat="1" ht="15.75" hidden="1" thickBot="1" x14ac:dyDescent="0.3">
      <c r="A933" s="119"/>
      <c r="B933" s="310"/>
      <c r="D933" s="326"/>
      <c r="E933" s="327"/>
      <c r="F933" s="686"/>
      <c r="G933" s="686"/>
    </row>
    <row r="934" spans="1:7" s="9" customFormat="1" ht="30" x14ac:dyDescent="0.25">
      <c r="A934" s="119"/>
      <c r="B934" s="310"/>
      <c r="C934" s="9">
        <f ca="1">IF(F951&gt;0,1,0)</f>
        <v>1</v>
      </c>
      <c r="D934" s="20" t="str">
        <f>+A51</f>
        <v>Schoharie</v>
      </c>
      <c r="E934" s="19">
        <f>IFERROR(SUMIF(A:A,D934,B:B),0)</f>
        <v>2.3823698462762297E-3</v>
      </c>
      <c r="F934" s="652" t="s">
        <v>31</v>
      </c>
      <c r="G934" s="652" t="s">
        <v>32</v>
      </c>
    </row>
    <row r="935" spans="1:7" s="9" customFormat="1" x14ac:dyDescent="0.25">
      <c r="A935" s="119"/>
      <c r="B935" s="310"/>
      <c r="C935" s="9">
        <f ca="1">C934</f>
        <v>1</v>
      </c>
      <c r="D935" s="30"/>
      <c r="E935" s="31"/>
      <c r="F935" s="680" t="s">
        <v>54</v>
      </c>
      <c r="G935" s="680" t="s">
        <v>53</v>
      </c>
    </row>
    <row r="936" spans="1:7" s="9" customFormat="1" x14ac:dyDescent="0.25">
      <c r="A936" s="119"/>
      <c r="B936" s="310"/>
      <c r="C936" s="9">
        <f t="shared" ref="C936:C951" ca="1" si="206">C935</f>
        <v>1</v>
      </c>
      <c r="D936" s="32" t="s">
        <v>71</v>
      </c>
      <c r="E936" s="33"/>
      <c r="F936" s="681"/>
      <c r="G936" s="682"/>
    </row>
    <row r="937" spans="1:7" s="9" customFormat="1" x14ac:dyDescent="0.25">
      <c r="A937" s="119"/>
      <c r="B937" s="310"/>
      <c r="C937" s="9">
        <f t="shared" ca="1" si="206"/>
        <v>1</v>
      </c>
      <c r="D937" s="368" t="s">
        <v>72</v>
      </c>
      <c r="E937" s="12" t="s">
        <v>57</v>
      </c>
      <c r="F937" s="683">
        <f t="shared" ref="F937:G937" si="207">+$E934*F$6</f>
        <v>0</v>
      </c>
      <c r="G937" s="683">
        <f t="shared" si="207"/>
        <v>0</v>
      </c>
    </row>
    <row r="938" spans="1:7" s="9" customFormat="1" x14ac:dyDescent="0.25">
      <c r="A938" s="119"/>
      <c r="B938" s="310"/>
      <c r="C938" s="9">
        <f t="shared" ca="1" si="206"/>
        <v>1</v>
      </c>
      <c r="D938" s="368" t="s">
        <v>73</v>
      </c>
      <c r="E938" s="12" t="s">
        <v>56</v>
      </c>
      <c r="F938" s="683">
        <f t="shared" ref="F938:G938" si="208">+$E934*F$7</f>
        <v>1043.7865740021291</v>
      </c>
      <c r="G938" s="683">
        <f t="shared" si="208"/>
        <v>0</v>
      </c>
    </row>
    <row r="939" spans="1:7" s="9" customFormat="1" x14ac:dyDescent="0.25">
      <c r="A939" s="119"/>
      <c r="B939" s="310"/>
      <c r="C939" s="9">
        <f t="shared" ca="1" si="206"/>
        <v>1</v>
      </c>
      <c r="D939" s="368" t="s">
        <v>74</v>
      </c>
      <c r="E939" s="12" t="s">
        <v>55</v>
      </c>
      <c r="F939" s="683">
        <f t="shared" ref="F939:G939" si="209">+$E934*F$8</f>
        <v>156.48102399152697</v>
      </c>
      <c r="G939" s="683">
        <f t="shared" si="209"/>
        <v>0</v>
      </c>
    </row>
    <row r="940" spans="1:7" s="9" customFormat="1" x14ac:dyDescent="0.25">
      <c r="A940" s="119"/>
      <c r="B940" s="310"/>
      <c r="C940" s="9">
        <f t="shared" ca="1" si="206"/>
        <v>1</v>
      </c>
      <c r="D940" s="368" t="s">
        <v>75</v>
      </c>
      <c r="E940" s="12" t="s">
        <v>54</v>
      </c>
      <c r="F940" s="683">
        <f t="shared" ref="F940:G940" si="210">+$E934*F$9</f>
        <v>319.82576382960059</v>
      </c>
      <c r="G940" s="683">
        <f t="shared" si="210"/>
        <v>0</v>
      </c>
    </row>
    <row r="941" spans="1:7" s="9" customFormat="1" x14ac:dyDescent="0.25">
      <c r="A941" s="119"/>
      <c r="B941" s="310"/>
      <c r="C941" s="9">
        <f t="shared" ca="1" si="206"/>
        <v>1</v>
      </c>
      <c r="D941" s="34" t="s">
        <v>467</v>
      </c>
      <c r="E941" s="12" t="s">
        <v>53</v>
      </c>
      <c r="F941" s="683">
        <f t="shared" ref="F941:G941" si="211">+$E934*F$10</f>
        <v>1531.4740009211296</v>
      </c>
      <c r="G941" s="683">
        <f t="shared" si="211"/>
        <v>0</v>
      </c>
    </row>
    <row r="942" spans="1:7" s="9" customFormat="1" x14ac:dyDescent="0.25">
      <c r="A942" s="119"/>
      <c r="B942" s="310"/>
      <c r="C942" s="9">
        <f t="shared" ca="1" si="206"/>
        <v>1</v>
      </c>
      <c r="D942" s="34" t="s">
        <v>76</v>
      </c>
      <c r="E942" s="12" t="s">
        <v>52</v>
      </c>
      <c r="F942" s="683">
        <f>+$E934*F$11</f>
        <v>350.16799248683924</v>
      </c>
      <c r="G942" s="683">
        <f>+$E934*G$11</f>
        <v>0</v>
      </c>
    </row>
    <row r="943" spans="1:7" s="9" customFormat="1" x14ac:dyDescent="0.25">
      <c r="A943" s="119"/>
      <c r="B943" s="310"/>
      <c r="C943" s="9">
        <f t="shared" ca="1" si="206"/>
        <v>1</v>
      </c>
      <c r="D943" s="34" t="s">
        <v>468</v>
      </c>
      <c r="E943" s="12" t="s">
        <v>51</v>
      </c>
      <c r="F943" s="683">
        <f>+$E934*F$12</f>
        <v>0</v>
      </c>
      <c r="G943" s="683">
        <f>+$E934*G$12</f>
        <v>0</v>
      </c>
    </row>
    <row r="944" spans="1:7" s="9" customFormat="1" x14ac:dyDescent="0.25">
      <c r="A944" s="119"/>
      <c r="B944" s="310"/>
      <c r="C944" s="9">
        <f t="shared" ca="1" si="206"/>
        <v>1</v>
      </c>
      <c r="D944" s="368" t="s">
        <v>59</v>
      </c>
      <c r="E944" s="12" t="s">
        <v>50</v>
      </c>
      <c r="F944" s="683">
        <f>+$E934*F$13</f>
        <v>55.447043237786026</v>
      </c>
      <c r="G944" s="683">
        <f>+$E934*G$13</f>
        <v>0</v>
      </c>
    </row>
    <row r="945" spans="1:7" s="9" customFormat="1" x14ac:dyDescent="0.25">
      <c r="A945" s="119"/>
      <c r="B945" s="310"/>
      <c r="C945" s="9">
        <f t="shared" ca="1" si="206"/>
        <v>1</v>
      </c>
      <c r="D945" s="368" t="s">
        <v>25</v>
      </c>
      <c r="E945" s="12" t="s">
        <v>49</v>
      </c>
      <c r="F945" s="683">
        <f>+$E934*F$14</f>
        <v>181.56651004099771</v>
      </c>
      <c r="G945" s="683">
        <f>+$E934*G$14</f>
        <v>0</v>
      </c>
    </row>
    <row r="946" spans="1:7" s="9" customFormat="1" x14ac:dyDescent="0.25">
      <c r="A946" s="119"/>
      <c r="B946" s="310"/>
      <c r="C946" s="9">
        <f t="shared" ca="1" si="206"/>
        <v>1</v>
      </c>
      <c r="D946" s="368" t="s">
        <v>80</v>
      </c>
      <c r="E946" s="12" t="s">
        <v>47</v>
      </c>
      <c r="F946" s="683">
        <f>+$E934*F$15</f>
        <v>677.41688076370349</v>
      </c>
      <c r="G946" s="683">
        <f>+$E934*G$15</f>
        <v>0</v>
      </c>
    </row>
    <row r="947" spans="1:7" s="9" customFormat="1" x14ac:dyDescent="0.25">
      <c r="A947" s="119"/>
      <c r="B947" s="310"/>
      <c r="C947" s="9">
        <f t="shared" ca="1" si="206"/>
        <v>1</v>
      </c>
      <c r="D947" s="368" t="s">
        <v>82</v>
      </c>
      <c r="E947" s="12" t="s">
        <v>77</v>
      </c>
      <c r="F947" s="683">
        <f>+$E934*F$16</f>
        <v>459.03091334787661</v>
      </c>
      <c r="G947" s="683">
        <f>+$E934*G$16</f>
        <v>0</v>
      </c>
    </row>
    <row r="948" spans="1:7" s="9" customFormat="1" x14ac:dyDescent="0.25">
      <c r="A948" s="119"/>
      <c r="B948" s="310"/>
      <c r="C948" s="9">
        <f t="shared" ca="1" si="206"/>
        <v>1</v>
      </c>
      <c r="D948" s="368" t="s">
        <v>84</v>
      </c>
      <c r="E948" s="12" t="s">
        <v>78</v>
      </c>
      <c r="F948" s="683">
        <f ca="1">+$E934*F$17</f>
        <v>32816.519136669762</v>
      </c>
      <c r="G948" s="683">
        <f>+$E934*G$17</f>
        <v>0</v>
      </c>
    </row>
    <row r="949" spans="1:7" s="9" customFormat="1" x14ac:dyDescent="0.25">
      <c r="A949" s="119"/>
      <c r="B949" s="310"/>
      <c r="C949" s="9">
        <f t="shared" ca="1" si="206"/>
        <v>1</v>
      </c>
      <c r="D949" s="368" t="s">
        <v>86</v>
      </c>
      <c r="E949" s="12" t="s">
        <v>79</v>
      </c>
      <c r="F949" s="683">
        <f>+$E$934*F18</f>
        <v>0</v>
      </c>
      <c r="G949" s="683">
        <f>+$E$934*G18</f>
        <v>0</v>
      </c>
    </row>
    <row r="950" spans="1:7" s="9" customFormat="1" x14ac:dyDescent="0.25">
      <c r="A950" s="119"/>
      <c r="B950" s="310"/>
      <c r="C950" s="9">
        <f t="shared" ca="1" si="206"/>
        <v>1</v>
      </c>
      <c r="D950" s="368" t="s">
        <v>386</v>
      </c>
      <c r="E950" s="12" t="s">
        <v>81</v>
      </c>
      <c r="F950" s="683">
        <f>+$E$934*F19</f>
        <v>0</v>
      </c>
      <c r="G950" s="683">
        <f>+$E$934*G19</f>
        <v>0</v>
      </c>
    </row>
    <row r="951" spans="1:7" s="9" customFormat="1" ht="15.75" thickBot="1" x14ac:dyDescent="0.3">
      <c r="A951" s="119"/>
      <c r="B951" s="310"/>
      <c r="C951" s="9">
        <f t="shared" ca="1" si="206"/>
        <v>1</v>
      </c>
      <c r="D951" s="35" t="s">
        <v>22</v>
      </c>
      <c r="E951" s="12" t="s">
        <v>83</v>
      </c>
      <c r="F951" s="685">
        <f ca="1">SUBTOTAL(9,F937:F950)</f>
        <v>37591.715839291355</v>
      </c>
      <c r="G951" s="685">
        <f>SUBTOTAL(9,G937:G950)</f>
        <v>0</v>
      </c>
    </row>
    <row r="952" spans="1:7" s="9" customFormat="1" ht="15.75" hidden="1" thickBot="1" x14ac:dyDescent="0.3">
      <c r="A952" s="119"/>
      <c r="B952" s="310"/>
      <c r="D952" s="326"/>
      <c r="E952" s="327"/>
      <c r="F952" s="686"/>
      <c r="G952" s="686"/>
    </row>
    <row r="953" spans="1:7" s="9" customFormat="1" ht="15.75" hidden="1" thickBot="1" x14ac:dyDescent="0.3">
      <c r="A953" s="119"/>
      <c r="B953" s="310"/>
      <c r="D953" s="326"/>
      <c r="E953" s="327"/>
      <c r="F953" s="686"/>
      <c r="G953" s="686"/>
    </row>
    <row r="954" spans="1:7" s="9" customFormat="1" ht="30" x14ac:dyDescent="0.25">
      <c r="A954" s="119"/>
      <c r="B954" s="310"/>
      <c r="C954" s="9">
        <f ca="1">IF(F971&gt;0,1,0)</f>
        <v>1</v>
      </c>
      <c r="D954" s="20" t="str">
        <f>+A52</f>
        <v>Schuyler</v>
      </c>
      <c r="E954" s="19">
        <f>IFERROR(SUMIF(A:A,D954,B:B),0)</f>
        <v>6.2373675956962351E-4</v>
      </c>
      <c r="F954" s="652" t="s">
        <v>31</v>
      </c>
      <c r="G954" s="652" t="s">
        <v>32</v>
      </c>
    </row>
    <row r="955" spans="1:7" s="9" customFormat="1" x14ac:dyDescent="0.25">
      <c r="A955" s="119"/>
      <c r="B955" s="310"/>
      <c r="C955" s="9">
        <f ca="1">C954</f>
        <v>1</v>
      </c>
      <c r="D955" s="30"/>
      <c r="E955" s="31"/>
      <c r="F955" s="680" t="s">
        <v>54</v>
      </c>
      <c r="G955" s="680" t="s">
        <v>53</v>
      </c>
    </row>
    <row r="956" spans="1:7" s="9" customFormat="1" x14ac:dyDescent="0.25">
      <c r="A956" s="119"/>
      <c r="B956" s="310"/>
      <c r="C956" s="9">
        <f t="shared" ref="C956:C971" ca="1" si="212">C955</f>
        <v>1</v>
      </c>
      <c r="D956" s="32" t="s">
        <v>71</v>
      </c>
      <c r="E956" s="33"/>
      <c r="F956" s="681"/>
      <c r="G956" s="682"/>
    </row>
    <row r="957" spans="1:7" s="9" customFormat="1" x14ac:dyDescent="0.25">
      <c r="A957" s="119"/>
      <c r="B957" s="310"/>
      <c r="C957" s="9">
        <f t="shared" ca="1" si="212"/>
        <v>1</v>
      </c>
      <c r="D957" s="368" t="s">
        <v>72</v>
      </c>
      <c r="E957" s="12" t="s">
        <v>57</v>
      </c>
      <c r="F957" s="683">
        <f t="shared" ref="F957:G957" si="213">+$E954*F$6</f>
        <v>0</v>
      </c>
      <c r="G957" s="683">
        <f t="shared" si="213"/>
        <v>0</v>
      </c>
    </row>
    <row r="958" spans="1:7" s="9" customFormat="1" x14ac:dyDescent="0.25">
      <c r="A958" s="119"/>
      <c r="B958" s="310"/>
      <c r="C958" s="9">
        <f t="shared" ca="1" si="212"/>
        <v>1</v>
      </c>
      <c r="D958" s="368" t="s">
        <v>73</v>
      </c>
      <c r="E958" s="12" t="s">
        <v>56</v>
      </c>
      <c r="F958" s="683">
        <f t="shared" ref="F958:G958" si="214">+$E954*F$7</f>
        <v>273.27749147261477</v>
      </c>
      <c r="G958" s="683">
        <f t="shared" si="214"/>
        <v>0</v>
      </c>
    </row>
    <row r="959" spans="1:7" s="9" customFormat="1" x14ac:dyDescent="0.25">
      <c r="A959" s="119"/>
      <c r="B959" s="310"/>
      <c r="C959" s="9">
        <f t="shared" ca="1" si="212"/>
        <v>1</v>
      </c>
      <c r="D959" s="368" t="s">
        <v>74</v>
      </c>
      <c r="E959" s="12" t="s">
        <v>55</v>
      </c>
      <c r="F959" s="683">
        <f t="shared" ref="F959:G959" si="215">+$E954*F$8</f>
        <v>40.968855860550015</v>
      </c>
      <c r="G959" s="683">
        <f t="shared" si="215"/>
        <v>0</v>
      </c>
    </row>
    <row r="960" spans="1:7" s="9" customFormat="1" x14ac:dyDescent="0.25">
      <c r="A960" s="119"/>
      <c r="B960" s="310"/>
      <c r="C960" s="9">
        <f t="shared" ca="1" si="212"/>
        <v>1</v>
      </c>
      <c r="D960" s="368" t="s">
        <v>75</v>
      </c>
      <c r="E960" s="12" t="s">
        <v>54</v>
      </c>
      <c r="F960" s="683">
        <f t="shared" ref="F960:G960" si="216">+$E954*F$9</f>
        <v>83.734725684915645</v>
      </c>
      <c r="G960" s="683">
        <f t="shared" si="216"/>
        <v>0</v>
      </c>
    </row>
    <row r="961" spans="1:7" s="9" customFormat="1" x14ac:dyDescent="0.25">
      <c r="A961" s="119"/>
      <c r="B961" s="310"/>
      <c r="C961" s="9">
        <f t="shared" ca="1" si="212"/>
        <v>1</v>
      </c>
      <c r="D961" s="34" t="s">
        <v>467</v>
      </c>
      <c r="E961" s="12" t="s">
        <v>53</v>
      </c>
      <c r="F961" s="683">
        <f t="shared" ref="F961:G961" si="217">+$E954*F$10</f>
        <v>400.96067879332736</v>
      </c>
      <c r="G961" s="683">
        <f t="shared" si="217"/>
        <v>0</v>
      </c>
    </row>
    <row r="962" spans="1:7" s="9" customFormat="1" x14ac:dyDescent="0.25">
      <c r="A962" s="119"/>
      <c r="B962" s="310"/>
      <c r="C962" s="9">
        <f t="shared" ca="1" si="212"/>
        <v>1</v>
      </c>
      <c r="D962" s="34" t="s">
        <v>76</v>
      </c>
      <c r="E962" s="12" t="s">
        <v>52</v>
      </c>
      <c r="F962" s="683">
        <f>+$E954*F$11</f>
        <v>91.678732955813686</v>
      </c>
      <c r="G962" s="683">
        <f>+$E954*G$11</f>
        <v>0</v>
      </c>
    </row>
    <row r="963" spans="1:7" s="9" customFormat="1" x14ac:dyDescent="0.25">
      <c r="A963" s="119"/>
      <c r="B963" s="310"/>
      <c r="C963" s="9">
        <f t="shared" ca="1" si="212"/>
        <v>1</v>
      </c>
      <c r="D963" s="34" t="s">
        <v>468</v>
      </c>
      <c r="E963" s="12" t="s">
        <v>51</v>
      </c>
      <c r="F963" s="683">
        <f>+$E954*F$12</f>
        <v>0</v>
      </c>
      <c r="G963" s="683">
        <f>+$E954*G$12</f>
        <v>0</v>
      </c>
    </row>
    <row r="964" spans="1:7" s="9" customFormat="1" x14ac:dyDescent="0.25">
      <c r="A964" s="119"/>
      <c r="B964" s="310"/>
      <c r="C964" s="9">
        <f t="shared" ca="1" si="212"/>
        <v>1</v>
      </c>
      <c r="D964" s="368" t="s">
        <v>59</v>
      </c>
      <c r="E964" s="12" t="s">
        <v>50</v>
      </c>
      <c r="F964" s="683">
        <f>+$E954*F$13</f>
        <v>14.516788453694815</v>
      </c>
      <c r="G964" s="683">
        <f>+$E954*G$13</f>
        <v>0</v>
      </c>
    </row>
    <row r="965" spans="1:7" s="9" customFormat="1" x14ac:dyDescent="0.25">
      <c r="A965" s="119"/>
      <c r="B965" s="310"/>
      <c r="C965" s="9">
        <f t="shared" ca="1" si="212"/>
        <v>1</v>
      </c>
      <c r="D965" s="368" t="s">
        <v>25</v>
      </c>
      <c r="E965" s="12" t="s">
        <v>49</v>
      </c>
      <c r="F965" s="683">
        <f>+$E954*F$14</f>
        <v>47.536576571581747</v>
      </c>
      <c r="G965" s="683">
        <f>+$E954*G$14</f>
        <v>0</v>
      </c>
    </row>
    <row r="966" spans="1:7" s="9" customFormat="1" x14ac:dyDescent="0.25">
      <c r="A966" s="119"/>
      <c r="B966" s="310"/>
      <c r="C966" s="9">
        <f t="shared" ca="1" si="212"/>
        <v>1</v>
      </c>
      <c r="D966" s="368" t="s">
        <v>80</v>
      </c>
      <c r="E966" s="12" t="s">
        <v>47</v>
      </c>
      <c r="F966" s="683">
        <f>+$E954*F$15</f>
        <v>177.35693336857452</v>
      </c>
      <c r="G966" s="683">
        <f>+$E954*G$15</f>
        <v>0</v>
      </c>
    </row>
    <row r="967" spans="1:7" s="9" customFormat="1" x14ac:dyDescent="0.25">
      <c r="A967" s="119"/>
      <c r="B967" s="310"/>
      <c r="C967" s="9">
        <f t="shared" ca="1" si="212"/>
        <v>1</v>
      </c>
      <c r="D967" s="368" t="s">
        <v>82</v>
      </c>
      <c r="E967" s="12" t="s">
        <v>77</v>
      </c>
      <c r="F967" s="683">
        <f>+$E954*F$16</f>
        <v>120.18052313809035</v>
      </c>
      <c r="G967" s="683">
        <f>+$E954*G$16</f>
        <v>0</v>
      </c>
    </row>
    <row r="968" spans="1:7" s="9" customFormat="1" x14ac:dyDescent="0.25">
      <c r="A968" s="119"/>
      <c r="B968" s="310"/>
      <c r="C968" s="9">
        <f t="shared" ca="1" si="212"/>
        <v>1</v>
      </c>
      <c r="D968" s="368" t="s">
        <v>84</v>
      </c>
      <c r="E968" s="12" t="s">
        <v>78</v>
      </c>
      <c r="F968" s="683">
        <f ca="1">+$E954*F$17</f>
        <v>8591.8100997856654</v>
      </c>
      <c r="G968" s="683">
        <f>+$E954*G$17</f>
        <v>0</v>
      </c>
    </row>
    <row r="969" spans="1:7" s="9" customFormat="1" x14ac:dyDescent="0.25">
      <c r="A969" s="119"/>
      <c r="B969" s="310"/>
      <c r="C969" s="9">
        <f t="shared" ca="1" si="212"/>
        <v>1</v>
      </c>
      <c r="D969" s="368" t="s">
        <v>86</v>
      </c>
      <c r="E969" s="12" t="s">
        <v>79</v>
      </c>
      <c r="F969" s="683">
        <f>+$E$954*F18</f>
        <v>0</v>
      </c>
      <c r="G969" s="683">
        <f>+$E$954*G18</f>
        <v>0</v>
      </c>
    </row>
    <row r="970" spans="1:7" s="9" customFormat="1" x14ac:dyDescent="0.25">
      <c r="A970" s="119"/>
      <c r="B970" s="310"/>
      <c r="C970" s="9">
        <f t="shared" ca="1" si="212"/>
        <v>1</v>
      </c>
      <c r="D970" s="368" t="s">
        <v>386</v>
      </c>
      <c r="E970" s="12" t="s">
        <v>81</v>
      </c>
      <c r="F970" s="683">
        <f>+$E$954*F19</f>
        <v>0</v>
      </c>
      <c r="G970" s="683">
        <f>+$E$954*G19</f>
        <v>0</v>
      </c>
    </row>
    <row r="971" spans="1:7" s="9" customFormat="1" ht="15.75" thickBot="1" x14ac:dyDescent="0.3">
      <c r="A971" s="119"/>
      <c r="B971" s="310"/>
      <c r="C971" s="9">
        <f t="shared" ca="1" si="212"/>
        <v>1</v>
      </c>
      <c r="D971" s="35" t="s">
        <v>22</v>
      </c>
      <c r="E971" s="12" t="s">
        <v>83</v>
      </c>
      <c r="F971" s="685">
        <f ca="1">SUBTOTAL(9,F957:F970)</f>
        <v>9842.0214060848284</v>
      </c>
      <c r="G971" s="685">
        <f>SUBTOTAL(9,G957:G970)</f>
        <v>0</v>
      </c>
    </row>
    <row r="972" spans="1:7" s="9" customFormat="1" ht="15.75" hidden="1" thickBot="1" x14ac:dyDescent="0.3">
      <c r="A972" s="119"/>
      <c r="B972" s="310"/>
      <c r="D972" s="326"/>
      <c r="E972" s="327"/>
      <c r="F972" s="686"/>
      <c r="G972" s="686"/>
    </row>
    <row r="973" spans="1:7" s="9" customFormat="1" ht="15.75" hidden="1" thickBot="1" x14ac:dyDescent="0.3">
      <c r="A973" s="119"/>
      <c r="B973" s="310"/>
      <c r="D973" s="326"/>
      <c r="E973" s="327"/>
      <c r="F973" s="686"/>
      <c r="G973" s="686"/>
    </row>
    <row r="974" spans="1:7" s="9" customFormat="1" ht="30" x14ac:dyDescent="0.25">
      <c r="A974" s="119"/>
      <c r="B974" s="310"/>
      <c r="C974" s="9">
        <f ca="1">IF(F991&gt;0,1,0)</f>
        <v>1</v>
      </c>
      <c r="D974" s="20" t="str">
        <f>+A53</f>
        <v>Seneca</v>
      </c>
      <c r="E974" s="19">
        <f>IFERROR(SUMIF(A:A,D974,B:B),0)</f>
        <v>5.0916761953535567E-4</v>
      </c>
      <c r="F974" s="652" t="s">
        <v>31</v>
      </c>
      <c r="G974" s="652" t="s">
        <v>32</v>
      </c>
    </row>
    <row r="975" spans="1:7" s="9" customFormat="1" x14ac:dyDescent="0.25">
      <c r="A975" s="119"/>
      <c r="B975" s="310"/>
      <c r="C975" s="9">
        <f ca="1">C974</f>
        <v>1</v>
      </c>
      <c r="D975" s="30"/>
      <c r="E975" s="31"/>
      <c r="F975" s="680" t="s">
        <v>54</v>
      </c>
      <c r="G975" s="680" t="s">
        <v>53</v>
      </c>
    </row>
    <row r="976" spans="1:7" s="9" customFormat="1" x14ac:dyDescent="0.25">
      <c r="A976" s="119"/>
      <c r="B976" s="310"/>
      <c r="C976" s="9">
        <f t="shared" ref="C976:C991" ca="1" si="218">C975</f>
        <v>1</v>
      </c>
      <c r="D976" s="32" t="s">
        <v>71</v>
      </c>
      <c r="E976" s="33"/>
      <c r="F976" s="681"/>
      <c r="G976" s="682"/>
    </row>
    <row r="977" spans="1:7" s="9" customFormat="1" x14ac:dyDescent="0.25">
      <c r="A977" s="119"/>
      <c r="B977" s="310"/>
      <c r="C977" s="9">
        <f t="shared" ca="1" si="218"/>
        <v>1</v>
      </c>
      <c r="D977" s="368" t="s">
        <v>72</v>
      </c>
      <c r="E977" s="12" t="s">
        <v>57</v>
      </c>
      <c r="F977" s="683">
        <f t="shared" ref="F977:G977" si="219">+$E974*F$6</f>
        <v>0</v>
      </c>
      <c r="G977" s="683">
        <f t="shared" si="219"/>
        <v>0</v>
      </c>
    </row>
    <row r="978" spans="1:7" s="9" customFormat="1" x14ac:dyDescent="0.25">
      <c r="A978" s="119"/>
      <c r="B978" s="310"/>
      <c r="C978" s="9">
        <f t="shared" ca="1" si="218"/>
        <v>1</v>
      </c>
      <c r="D978" s="368" t="s">
        <v>73</v>
      </c>
      <c r="E978" s="12" t="s">
        <v>56</v>
      </c>
      <c r="F978" s="683">
        <f t="shared" ref="F978:G978" si="220">+$E974*F$7</f>
        <v>223.08136833511898</v>
      </c>
      <c r="G978" s="683">
        <f t="shared" si="220"/>
        <v>0</v>
      </c>
    </row>
    <row r="979" spans="1:7" s="9" customFormat="1" x14ac:dyDescent="0.25">
      <c r="A979" s="119"/>
      <c r="B979" s="310"/>
      <c r="C979" s="9">
        <f t="shared" ca="1" si="218"/>
        <v>1</v>
      </c>
      <c r="D979" s="368" t="s">
        <v>74</v>
      </c>
      <c r="E979" s="12" t="s">
        <v>55</v>
      </c>
      <c r="F979" s="683">
        <f t="shared" ref="F979:G979" si="221">+$E974*F$8</f>
        <v>33.443619433295389</v>
      </c>
      <c r="G979" s="683">
        <f t="shared" si="221"/>
        <v>0</v>
      </c>
    </row>
    <row r="980" spans="1:7" s="9" customFormat="1" x14ac:dyDescent="0.25">
      <c r="A980" s="119"/>
      <c r="B980" s="310"/>
      <c r="C980" s="9">
        <f t="shared" ca="1" si="218"/>
        <v>1</v>
      </c>
      <c r="D980" s="368" t="s">
        <v>75</v>
      </c>
      <c r="E980" s="12" t="s">
        <v>54</v>
      </c>
      <c r="F980" s="683">
        <f t="shared" ref="F980:G980" si="222">+$E974*F$9</f>
        <v>68.354173928842243</v>
      </c>
      <c r="G980" s="683">
        <f t="shared" si="222"/>
        <v>0</v>
      </c>
    </row>
    <row r="981" spans="1:7" s="9" customFormat="1" x14ac:dyDescent="0.25">
      <c r="A981" s="119"/>
      <c r="B981" s="310"/>
      <c r="C981" s="9">
        <f t="shared" ca="1" si="218"/>
        <v>1</v>
      </c>
      <c r="D981" s="34" t="s">
        <v>467</v>
      </c>
      <c r="E981" s="12" t="s">
        <v>53</v>
      </c>
      <c r="F981" s="683">
        <f t="shared" ref="F981:G981" si="223">+$E974*F$10</f>
        <v>327.31146788485904</v>
      </c>
      <c r="G981" s="683">
        <f t="shared" si="223"/>
        <v>0</v>
      </c>
    </row>
    <row r="982" spans="1:7" s="9" customFormat="1" x14ac:dyDescent="0.25">
      <c r="A982" s="119"/>
      <c r="B982" s="310"/>
      <c r="C982" s="9">
        <f t="shared" ca="1" si="218"/>
        <v>1</v>
      </c>
      <c r="D982" s="34" t="s">
        <v>76</v>
      </c>
      <c r="E982" s="12" t="s">
        <v>52</v>
      </c>
      <c r="F982" s="683">
        <f>+$E974*F$11</f>
        <v>74.839011016984429</v>
      </c>
      <c r="G982" s="683">
        <f>+$E974*G$11</f>
        <v>0</v>
      </c>
    </row>
    <row r="983" spans="1:7" s="9" customFormat="1" x14ac:dyDescent="0.25">
      <c r="A983" s="119"/>
      <c r="B983" s="310"/>
      <c r="C983" s="9">
        <f t="shared" ca="1" si="218"/>
        <v>1</v>
      </c>
      <c r="D983" s="34" t="s">
        <v>468</v>
      </c>
      <c r="E983" s="12" t="s">
        <v>51</v>
      </c>
      <c r="F983" s="683">
        <f>+$E974*F$12</f>
        <v>0</v>
      </c>
      <c r="G983" s="683">
        <f>+$E974*G$12</f>
        <v>0</v>
      </c>
    </row>
    <row r="984" spans="1:7" s="9" customFormat="1" x14ac:dyDescent="0.25">
      <c r="A984" s="119"/>
      <c r="B984" s="310"/>
      <c r="C984" s="9">
        <f t="shared" ca="1" si="218"/>
        <v>1</v>
      </c>
      <c r="D984" s="368" t="s">
        <v>59</v>
      </c>
      <c r="E984" s="12" t="s">
        <v>50</v>
      </c>
      <c r="F984" s="683">
        <f>+$E974*F$13</f>
        <v>11.850317472656611</v>
      </c>
      <c r="G984" s="683">
        <f>+$E974*G$13</f>
        <v>0</v>
      </c>
    </row>
    <row r="985" spans="1:7" s="9" customFormat="1" x14ac:dyDescent="0.25">
      <c r="A985" s="119"/>
      <c r="B985" s="310"/>
      <c r="C985" s="9">
        <f t="shared" ca="1" si="218"/>
        <v>1</v>
      </c>
      <c r="D985" s="368" t="s">
        <v>25</v>
      </c>
      <c r="E985" s="12" t="s">
        <v>49</v>
      </c>
      <c r="F985" s="683">
        <f>+$E974*F$14</f>
        <v>38.804968863007502</v>
      </c>
      <c r="G985" s="683">
        <f>+$E974*G$14</f>
        <v>0</v>
      </c>
    </row>
    <row r="986" spans="1:7" s="9" customFormat="1" x14ac:dyDescent="0.25">
      <c r="A986" s="119"/>
      <c r="B986" s="310"/>
      <c r="C986" s="9">
        <f t="shared" ca="1" si="218"/>
        <v>1</v>
      </c>
      <c r="D986" s="368" t="s">
        <v>80</v>
      </c>
      <c r="E986" s="12" t="s">
        <v>47</v>
      </c>
      <c r="F986" s="683">
        <f>+$E974*F$15</f>
        <v>144.77967858376272</v>
      </c>
      <c r="G986" s="683">
        <f>+$E974*G$15</f>
        <v>0</v>
      </c>
    </row>
    <row r="987" spans="1:7" s="9" customFormat="1" x14ac:dyDescent="0.25">
      <c r="A987" s="119"/>
      <c r="B987" s="310"/>
      <c r="C987" s="9">
        <f t="shared" ca="1" si="218"/>
        <v>1</v>
      </c>
      <c r="D987" s="368" t="s">
        <v>82</v>
      </c>
      <c r="E987" s="12" t="s">
        <v>77</v>
      </c>
      <c r="F987" s="683">
        <f>+$E974*F$16</f>
        <v>98.10553882211066</v>
      </c>
      <c r="G987" s="683">
        <f>+$E974*G$16</f>
        <v>0</v>
      </c>
    </row>
    <row r="988" spans="1:7" s="9" customFormat="1" x14ac:dyDescent="0.25">
      <c r="A988" s="119"/>
      <c r="B988" s="310"/>
      <c r="C988" s="9">
        <f t="shared" ca="1" si="218"/>
        <v>1</v>
      </c>
      <c r="D988" s="368" t="s">
        <v>84</v>
      </c>
      <c r="E988" s="12" t="s">
        <v>78</v>
      </c>
      <c r="F988" s="683">
        <f ca="1">+$E974*F$17</f>
        <v>7013.6502761617003</v>
      </c>
      <c r="G988" s="683">
        <f>+$E974*G$17</f>
        <v>0</v>
      </c>
    </row>
    <row r="989" spans="1:7" s="9" customFormat="1" x14ac:dyDescent="0.25">
      <c r="A989" s="119"/>
      <c r="B989" s="310"/>
      <c r="C989" s="9">
        <f t="shared" ca="1" si="218"/>
        <v>1</v>
      </c>
      <c r="D989" s="368" t="s">
        <v>86</v>
      </c>
      <c r="E989" s="12" t="s">
        <v>79</v>
      </c>
      <c r="F989" s="683">
        <f>+$E$974*F18</f>
        <v>0</v>
      </c>
      <c r="G989" s="683">
        <f>+$E$974*G18</f>
        <v>0</v>
      </c>
    </row>
    <row r="990" spans="1:7" s="9" customFormat="1" x14ac:dyDescent="0.25">
      <c r="A990" s="119"/>
      <c r="B990" s="310"/>
      <c r="C990" s="9">
        <f t="shared" ca="1" si="218"/>
        <v>1</v>
      </c>
      <c r="D990" s="368" t="s">
        <v>386</v>
      </c>
      <c r="E990" s="12" t="s">
        <v>81</v>
      </c>
      <c r="F990" s="683">
        <f>+$E$974*F19</f>
        <v>0</v>
      </c>
      <c r="G990" s="683">
        <f>+$E$974*G19</f>
        <v>0</v>
      </c>
    </row>
    <row r="991" spans="1:7" s="9" customFormat="1" ht="15.75" thickBot="1" x14ac:dyDescent="0.3">
      <c r="A991" s="119"/>
      <c r="B991" s="310"/>
      <c r="C991" s="9">
        <f t="shared" ca="1" si="218"/>
        <v>1</v>
      </c>
      <c r="D991" s="35" t="s">
        <v>22</v>
      </c>
      <c r="E991" s="12" t="s">
        <v>83</v>
      </c>
      <c r="F991" s="685">
        <f ca="1">SUBTOTAL(9,F977:F990)</f>
        <v>8034.2204205023381</v>
      </c>
      <c r="G991" s="685">
        <f>SUBTOTAL(9,G977:G990)</f>
        <v>0</v>
      </c>
    </row>
    <row r="992" spans="1:7" s="9" customFormat="1" ht="15.75" hidden="1" thickBot="1" x14ac:dyDescent="0.3">
      <c r="A992" s="119"/>
      <c r="B992" s="310"/>
      <c r="D992" s="326"/>
      <c r="E992" s="327"/>
      <c r="F992" s="686"/>
      <c r="G992" s="686"/>
    </row>
    <row r="993" spans="1:7" s="9" customFormat="1" ht="30" x14ac:dyDescent="0.25">
      <c r="A993" s="119"/>
      <c r="B993" s="310"/>
      <c r="C993" s="9">
        <f ca="1">IF(F1010&gt;0,1,0)</f>
        <v>1</v>
      </c>
      <c r="D993" s="20" t="str">
        <f>+A54</f>
        <v>Steuben</v>
      </c>
      <c r="E993" s="19">
        <f>IFERROR(SUMIF(A:A,D993,B:B),0)</f>
        <v>2.7722133530557608E-3</v>
      </c>
      <c r="F993" s="652" t="s">
        <v>31</v>
      </c>
      <c r="G993" s="652" t="s">
        <v>32</v>
      </c>
    </row>
    <row r="994" spans="1:7" s="9" customFormat="1" x14ac:dyDescent="0.25">
      <c r="A994" s="119"/>
      <c r="B994" s="310"/>
      <c r="C994" s="9">
        <f ca="1">C993</f>
        <v>1</v>
      </c>
      <c r="D994" s="30"/>
      <c r="E994" s="31"/>
      <c r="F994" s="680" t="s">
        <v>54</v>
      </c>
      <c r="G994" s="680" t="s">
        <v>53</v>
      </c>
    </row>
    <row r="995" spans="1:7" s="9" customFormat="1" x14ac:dyDescent="0.25">
      <c r="A995" s="119"/>
      <c r="B995" s="310"/>
      <c r="C995" s="9">
        <f t="shared" ref="C995:C1010" ca="1" si="224">C994</f>
        <v>1</v>
      </c>
      <c r="D995" s="32" t="s">
        <v>71</v>
      </c>
      <c r="E995" s="33"/>
      <c r="F995" s="681"/>
      <c r="G995" s="682"/>
    </row>
    <row r="996" spans="1:7" s="9" customFormat="1" x14ac:dyDescent="0.25">
      <c r="A996" s="119"/>
      <c r="B996" s="310"/>
      <c r="C996" s="9">
        <f t="shared" ca="1" si="224"/>
        <v>1</v>
      </c>
      <c r="D996" s="368" t="s">
        <v>72</v>
      </c>
      <c r="E996" s="12" t="s">
        <v>57</v>
      </c>
      <c r="F996" s="683">
        <f t="shared" ref="F996:G996" si="225">+$E993*F$6</f>
        <v>0</v>
      </c>
      <c r="G996" s="683">
        <f t="shared" si="225"/>
        <v>0</v>
      </c>
    </row>
    <row r="997" spans="1:7" s="9" customFormat="1" x14ac:dyDescent="0.25">
      <c r="A997" s="119"/>
      <c r="B997" s="310"/>
      <c r="C997" s="9">
        <f t="shared" ca="1" si="224"/>
        <v>1</v>
      </c>
      <c r="D997" s="368" t="s">
        <v>73</v>
      </c>
      <c r="E997" s="12" t="s">
        <v>56</v>
      </c>
      <c r="F997" s="683">
        <f t="shared" ref="F997:G997" si="226">+$E993*F$7</f>
        <v>1214.5885252501309</v>
      </c>
      <c r="G997" s="683">
        <f t="shared" si="226"/>
        <v>0</v>
      </c>
    </row>
    <row r="998" spans="1:7" s="9" customFormat="1" x14ac:dyDescent="0.25">
      <c r="A998" s="119"/>
      <c r="B998" s="310"/>
      <c r="C998" s="9">
        <f t="shared" ca="1" si="224"/>
        <v>1</v>
      </c>
      <c r="D998" s="368" t="s">
        <v>74</v>
      </c>
      <c r="E998" s="12" t="s">
        <v>55</v>
      </c>
      <c r="F998" s="683">
        <f t="shared" ref="F998:G998" si="227">+$E993*F$8</f>
        <v>182.08708647282472</v>
      </c>
      <c r="G998" s="683">
        <f t="shared" si="227"/>
        <v>0</v>
      </c>
    </row>
    <row r="999" spans="1:7" s="9" customFormat="1" x14ac:dyDescent="0.25">
      <c r="A999" s="119"/>
      <c r="B999" s="310"/>
      <c r="C999" s="9">
        <f t="shared" ca="1" si="224"/>
        <v>1</v>
      </c>
      <c r="D999" s="368" t="s">
        <v>75</v>
      </c>
      <c r="E999" s="12" t="s">
        <v>54</v>
      </c>
      <c r="F999" s="683">
        <f t="shared" ref="F999:G999" si="228">+$E993*F$9</f>
        <v>372.16104566027775</v>
      </c>
      <c r="G999" s="683">
        <f t="shared" si="228"/>
        <v>0</v>
      </c>
    </row>
    <row r="1000" spans="1:7" s="9" customFormat="1" x14ac:dyDescent="0.25">
      <c r="A1000" s="119"/>
      <c r="B1000" s="310"/>
      <c r="C1000" s="9">
        <f t="shared" ca="1" si="224"/>
        <v>1</v>
      </c>
      <c r="D1000" s="34" t="s">
        <v>467</v>
      </c>
      <c r="E1000" s="12" t="s">
        <v>53</v>
      </c>
      <c r="F1000" s="683">
        <f t="shared" ref="F1000:G1000" si="229">+$E993*F$10</f>
        <v>1782.0795884599283</v>
      </c>
      <c r="G1000" s="683">
        <f t="shared" si="229"/>
        <v>0</v>
      </c>
    </row>
    <row r="1001" spans="1:7" s="9" customFormat="1" x14ac:dyDescent="0.25">
      <c r="A1001" s="119"/>
      <c r="B1001" s="310"/>
      <c r="C1001" s="9">
        <f t="shared" ca="1" si="224"/>
        <v>1</v>
      </c>
      <c r="D1001" s="34" t="s">
        <v>76</v>
      </c>
      <c r="E1001" s="12" t="s">
        <v>52</v>
      </c>
      <c r="F1001" s="683">
        <f>+$E993*F$11</f>
        <v>407.46838115923254</v>
      </c>
      <c r="G1001" s="683">
        <f>+$E993*G$11</f>
        <v>0</v>
      </c>
    </row>
    <row r="1002" spans="1:7" s="9" customFormat="1" x14ac:dyDescent="0.25">
      <c r="A1002" s="119"/>
      <c r="B1002" s="310"/>
      <c r="C1002" s="9">
        <f t="shared" ca="1" si="224"/>
        <v>1</v>
      </c>
      <c r="D1002" s="34" t="s">
        <v>468</v>
      </c>
      <c r="E1002" s="12" t="s">
        <v>51</v>
      </c>
      <c r="F1002" s="683">
        <f>+$E993*F$12</f>
        <v>0</v>
      </c>
      <c r="G1002" s="683">
        <f>+$E993*G$12</f>
        <v>0</v>
      </c>
    </row>
    <row r="1003" spans="1:7" s="9" customFormat="1" x14ac:dyDescent="0.25">
      <c r="A1003" s="119"/>
      <c r="B1003" s="310"/>
      <c r="C1003" s="9">
        <f t="shared" ca="1" si="224"/>
        <v>1</v>
      </c>
      <c r="D1003" s="368" t="s">
        <v>59</v>
      </c>
      <c r="E1003" s="12" t="s">
        <v>50</v>
      </c>
      <c r="F1003" s="683">
        <f>+$E993*F$13</f>
        <v>64.520222958458376</v>
      </c>
      <c r="G1003" s="683">
        <f>+$E993*G$13</f>
        <v>0</v>
      </c>
    </row>
    <row r="1004" spans="1:7" s="9" customFormat="1" x14ac:dyDescent="0.25">
      <c r="A1004" s="119"/>
      <c r="B1004" s="310"/>
      <c r="C1004" s="9">
        <f t="shared" ca="1" si="224"/>
        <v>1</v>
      </c>
      <c r="D1004" s="368" t="s">
        <v>25</v>
      </c>
      <c r="E1004" s="12" t="s">
        <v>49</v>
      </c>
      <c r="F1004" s="683">
        <f>+$E993*F$14</f>
        <v>211.2774825412333</v>
      </c>
      <c r="G1004" s="683">
        <f>+$E993*G$14</f>
        <v>0</v>
      </c>
    </row>
    <row r="1005" spans="1:7" s="9" customFormat="1" x14ac:dyDescent="0.25">
      <c r="A1005" s="119"/>
      <c r="B1005" s="310"/>
      <c r="C1005" s="9">
        <f t="shared" ca="1" si="224"/>
        <v>1</v>
      </c>
      <c r="D1005" s="368" t="s">
        <v>80</v>
      </c>
      <c r="E1005" s="12" t="s">
        <v>47</v>
      </c>
      <c r="F1005" s="683">
        <f>+$E993*F$15</f>
        <v>788.26724799839405</v>
      </c>
      <c r="G1005" s="683">
        <f>+$E993*G$15</f>
        <v>0</v>
      </c>
    </row>
    <row r="1006" spans="1:7" s="9" customFormat="1" x14ac:dyDescent="0.25">
      <c r="A1006" s="119"/>
      <c r="B1006" s="310"/>
      <c r="C1006" s="9">
        <f t="shared" ca="1" si="224"/>
        <v>1</v>
      </c>
      <c r="D1006" s="368" t="s">
        <v>82</v>
      </c>
      <c r="E1006" s="12" t="s">
        <v>77</v>
      </c>
      <c r="F1006" s="683">
        <f>+$E993*F$16</f>
        <v>534.14528791043915</v>
      </c>
      <c r="G1006" s="683">
        <f>+$E993*G$16</f>
        <v>0</v>
      </c>
    </row>
    <row r="1007" spans="1:7" s="9" customFormat="1" x14ac:dyDescent="0.25">
      <c r="A1007" s="119"/>
      <c r="B1007" s="310"/>
      <c r="C1007" s="9">
        <f t="shared" ca="1" si="224"/>
        <v>1</v>
      </c>
      <c r="D1007" s="368" t="s">
        <v>84</v>
      </c>
      <c r="E1007" s="12" t="s">
        <v>78</v>
      </c>
      <c r="F1007" s="683">
        <f ca="1">+$E993*F$17</f>
        <v>38186.51108839528</v>
      </c>
      <c r="G1007" s="683">
        <f>+$E993*G$17</f>
        <v>0</v>
      </c>
    </row>
    <row r="1008" spans="1:7" s="9" customFormat="1" x14ac:dyDescent="0.25">
      <c r="A1008" s="119"/>
      <c r="B1008" s="310"/>
      <c r="C1008" s="9">
        <f t="shared" ca="1" si="224"/>
        <v>1</v>
      </c>
      <c r="D1008" s="368" t="s">
        <v>86</v>
      </c>
      <c r="E1008" s="12" t="s">
        <v>79</v>
      </c>
      <c r="F1008" s="683">
        <f>+$E$993*F18</f>
        <v>0</v>
      </c>
      <c r="G1008" s="683">
        <f>+$E$993*G18</f>
        <v>0</v>
      </c>
    </row>
    <row r="1009" spans="3:8" x14ac:dyDescent="0.25">
      <c r="C1009" s="9">
        <f t="shared" ca="1" si="224"/>
        <v>1</v>
      </c>
      <c r="D1009" s="368" t="s">
        <v>386</v>
      </c>
      <c r="E1009" s="12" t="s">
        <v>81</v>
      </c>
      <c r="F1009" s="683">
        <f>+$E$993*F19</f>
        <v>0</v>
      </c>
      <c r="G1009" s="683">
        <f>+$E$993*G19</f>
        <v>0</v>
      </c>
      <c r="H1009" s="9"/>
    </row>
    <row r="1010" spans="3:8" ht="15.75" thickBot="1" x14ac:dyDescent="0.3">
      <c r="C1010" s="9">
        <f t="shared" ca="1" si="224"/>
        <v>1</v>
      </c>
      <c r="D1010" s="35" t="s">
        <v>22</v>
      </c>
      <c r="E1010" s="12" t="s">
        <v>83</v>
      </c>
      <c r="F1010" s="685">
        <f ca="1">SUBTOTAL(9,F996:F1009)</f>
        <v>43743.105956806197</v>
      </c>
      <c r="G1010" s="685">
        <f>SUBTOTAL(9,G996:G1009)</f>
        <v>0</v>
      </c>
      <c r="H1010" s="9"/>
    </row>
    <row r="1011" spans="3:8" ht="15.75" hidden="1" thickBot="1" x14ac:dyDescent="0.3">
      <c r="D1011" s="326"/>
      <c r="E1011" s="327"/>
      <c r="F1011" s="686"/>
      <c r="G1011" s="686"/>
      <c r="H1011" s="9"/>
    </row>
    <row r="1012" spans="3:8" ht="15.75" hidden="1" thickBot="1" x14ac:dyDescent="0.3">
      <c r="D1012" s="326"/>
      <c r="E1012" s="327"/>
      <c r="F1012" s="686"/>
      <c r="G1012" s="686"/>
      <c r="H1012" s="9"/>
    </row>
    <row r="1013" spans="3:8" ht="30" x14ac:dyDescent="0.25">
      <c r="C1013" s="9">
        <f ca="1">IF(F1030&gt;0,1,0)</f>
        <v>1</v>
      </c>
      <c r="D1013" s="20" t="str">
        <f>+A55</f>
        <v>Suffolk</v>
      </c>
      <c r="E1013" s="19">
        <f>IFERROR(SUMIF(A:A,D1013,B:B),0)</f>
        <v>4.7178453804958088E-2</v>
      </c>
      <c r="F1013" s="652" t="s">
        <v>31</v>
      </c>
      <c r="G1013" s="652" t="s">
        <v>32</v>
      </c>
    </row>
    <row r="1014" spans="3:8" x14ac:dyDescent="0.25">
      <c r="C1014" s="9">
        <f ca="1">C1013</f>
        <v>1</v>
      </c>
      <c r="D1014" s="30"/>
      <c r="E1014" s="31"/>
      <c r="F1014" s="680" t="s">
        <v>54</v>
      </c>
      <c r="G1014" s="680" t="s">
        <v>53</v>
      </c>
    </row>
    <row r="1015" spans="3:8" x14ac:dyDescent="0.25">
      <c r="C1015" s="9">
        <f t="shared" ref="C1015:C1030" ca="1" si="230">C1014</f>
        <v>1</v>
      </c>
      <c r="D1015" s="32" t="s">
        <v>71</v>
      </c>
      <c r="E1015" s="33"/>
      <c r="F1015" s="681"/>
      <c r="G1015" s="682"/>
    </row>
    <row r="1016" spans="3:8" x14ac:dyDescent="0.25">
      <c r="C1016" s="9">
        <f t="shared" ca="1" si="230"/>
        <v>1</v>
      </c>
      <c r="D1016" s="368" t="s">
        <v>72</v>
      </c>
      <c r="E1016" s="12" t="s">
        <v>57</v>
      </c>
      <c r="F1016" s="683">
        <f t="shared" ref="F1016:G1016" si="231">+$E1013*F$6</f>
        <v>0</v>
      </c>
      <c r="G1016" s="683">
        <f t="shared" si="231"/>
        <v>0</v>
      </c>
    </row>
    <row r="1017" spans="3:8" x14ac:dyDescent="0.25">
      <c r="C1017" s="9">
        <f t="shared" ca="1" si="230"/>
        <v>1</v>
      </c>
      <c r="D1017" s="368" t="s">
        <v>73</v>
      </c>
      <c r="E1017" s="12" t="s">
        <v>56</v>
      </c>
      <c r="F1017" s="683">
        <f t="shared" ref="F1017:G1017" si="232">+$E1013*F$7</f>
        <v>20670.273652416421</v>
      </c>
      <c r="G1017" s="683">
        <f t="shared" si="232"/>
        <v>0</v>
      </c>
    </row>
    <row r="1018" spans="3:8" x14ac:dyDescent="0.25">
      <c r="C1018" s="9">
        <f t="shared" ca="1" si="230"/>
        <v>1</v>
      </c>
      <c r="D1018" s="368" t="s">
        <v>74</v>
      </c>
      <c r="E1018" s="12" t="s">
        <v>55</v>
      </c>
      <c r="F1018" s="683">
        <f t="shared" ref="F1018:G1018" si="233">+$E1013*F$8</f>
        <v>3098.8189232146651</v>
      </c>
      <c r="G1018" s="683">
        <f t="shared" si="233"/>
        <v>0</v>
      </c>
    </row>
    <row r="1019" spans="3:8" x14ac:dyDescent="0.25">
      <c r="C1019" s="9">
        <f t="shared" ca="1" si="230"/>
        <v>1</v>
      </c>
      <c r="D1019" s="368" t="s">
        <v>75</v>
      </c>
      <c r="E1019" s="12" t="s">
        <v>54</v>
      </c>
      <c r="F1019" s="683">
        <f t="shared" ref="F1019:G1019" si="234">+$E1013*F$9</f>
        <v>6333.5611169084314</v>
      </c>
      <c r="G1019" s="683">
        <f t="shared" si="234"/>
        <v>0</v>
      </c>
    </row>
    <row r="1020" spans="3:8" x14ac:dyDescent="0.25">
      <c r="C1020" s="9">
        <f t="shared" ca="1" si="230"/>
        <v>1</v>
      </c>
      <c r="D1020" s="34" t="s">
        <v>467</v>
      </c>
      <c r="E1020" s="12" t="s">
        <v>53</v>
      </c>
      <c r="F1020" s="683">
        <f t="shared" ref="F1020:G1020" si="235">+$E1013*F$10</f>
        <v>30328.026321726014</v>
      </c>
      <c r="G1020" s="683">
        <f t="shared" si="235"/>
        <v>0</v>
      </c>
    </row>
    <row r="1021" spans="3:8" x14ac:dyDescent="0.25">
      <c r="C1021" s="9">
        <f t="shared" ca="1" si="230"/>
        <v>1</v>
      </c>
      <c r="D1021" s="34" t="s">
        <v>76</v>
      </c>
      <c r="E1021" s="12" t="s">
        <v>52</v>
      </c>
      <c r="F1021" s="683">
        <f>+$E1013*F$11</f>
        <v>6934.4331583685425</v>
      </c>
      <c r="G1021" s="683">
        <f>+$E1013*G$11</f>
        <v>0</v>
      </c>
    </row>
    <row r="1022" spans="3:8" x14ac:dyDescent="0.25">
      <c r="C1022" s="9">
        <f t="shared" ca="1" si="230"/>
        <v>1</v>
      </c>
      <c r="D1022" s="34" t="s">
        <v>468</v>
      </c>
      <c r="E1022" s="12" t="s">
        <v>51</v>
      </c>
      <c r="F1022" s="683">
        <f>+$E1013*F$12</f>
        <v>0</v>
      </c>
      <c r="G1022" s="683">
        <f>+$E1013*G$12</f>
        <v>0</v>
      </c>
    </row>
    <row r="1023" spans="3:8" x14ac:dyDescent="0.25">
      <c r="C1023" s="9">
        <f t="shared" ca="1" si="230"/>
        <v>1</v>
      </c>
      <c r="D1023" s="368" t="s">
        <v>59</v>
      </c>
      <c r="E1023" s="12" t="s">
        <v>50</v>
      </c>
      <c r="F1023" s="683">
        <f>+$E1013*F$13</f>
        <v>1098.0267283453916</v>
      </c>
      <c r="G1023" s="683">
        <f>+$E1013*G$13</f>
        <v>0</v>
      </c>
    </row>
    <row r="1024" spans="3:8" x14ac:dyDescent="0.25">
      <c r="C1024" s="9">
        <f t="shared" ca="1" si="230"/>
        <v>1</v>
      </c>
      <c r="D1024" s="368" t="s">
        <v>25</v>
      </c>
      <c r="E1024" s="12" t="s">
        <v>49</v>
      </c>
      <c r="F1024" s="683">
        <f>+$E1013*F$14</f>
        <v>3595.5908440857006</v>
      </c>
      <c r="G1024" s="683">
        <f>+$E1013*G$14</f>
        <v>0</v>
      </c>
    </row>
    <row r="1025" spans="3:8" x14ac:dyDescent="0.25">
      <c r="C1025" s="9">
        <f t="shared" ca="1" si="230"/>
        <v>1</v>
      </c>
      <c r="D1025" s="368" t="s">
        <v>80</v>
      </c>
      <c r="E1025" s="12" t="s">
        <v>47</v>
      </c>
      <c r="F1025" s="683">
        <f>+$E1013*F$15</f>
        <v>13414.995604382562</v>
      </c>
      <c r="G1025" s="683">
        <f>+$E1013*G$15</f>
        <v>0</v>
      </c>
    </row>
    <row r="1026" spans="3:8" x14ac:dyDescent="0.25">
      <c r="C1026" s="9">
        <f t="shared" ca="1" si="230"/>
        <v>1</v>
      </c>
      <c r="D1026" s="368" t="s">
        <v>82</v>
      </c>
      <c r="E1026" s="12" t="s">
        <v>77</v>
      </c>
      <c r="F1026" s="683">
        <f>+$E1013*F$16</f>
        <v>9090.263115225609</v>
      </c>
      <c r="G1026" s="683">
        <f>+$E1013*G$16</f>
        <v>0</v>
      </c>
    </row>
    <row r="1027" spans="3:8" x14ac:dyDescent="0.25">
      <c r="C1027" s="9">
        <f t="shared" ca="1" si="230"/>
        <v>1</v>
      </c>
      <c r="D1027" s="368" t="s">
        <v>84</v>
      </c>
      <c r="E1027" s="12" t="s">
        <v>78</v>
      </c>
      <c r="F1027" s="683">
        <f ca="1">+$E1013*F$17</f>
        <v>649870.81436950981</v>
      </c>
      <c r="G1027" s="683">
        <f>+$E1013*G$17</f>
        <v>0</v>
      </c>
    </row>
    <row r="1028" spans="3:8" x14ac:dyDescent="0.25">
      <c r="C1028" s="9">
        <f t="shared" ca="1" si="230"/>
        <v>1</v>
      </c>
      <c r="D1028" s="368" t="s">
        <v>86</v>
      </c>
      <c r="E1028" s="12" t="s">
        <v>79</v>
      </c>
      <c r="F1028" s="683">
        <f>+$E$1013*F18</f>
        <v>0</v>
      </c>
      <c r="G1028" s="683">
        <f>+$E$1013*G18</f>
        <v>0</v>
      </c>
    </row>
    <row r="1029" spans="3:8" x14ac:dyDescent="0.25">
      <c r="C1029" s="9">
        <f t="shared" ca="1" si="230"/>
        <v>1</v>
      </c>
      <c r="D1029" s="368" t="s">
        <v>386</v>
      </c>
      <c r="E1029" s="12" t="s">
        <v>81</v>
      </c>
      <c r="F1029" s="683">
        <f>+$E$1013*F19</f>
        <v>0</v>
      </c>
      <c r="G1029" s="683">
        <f>+$E$1013*G19</f>
        <v>0</v>
      </c>
    </row>
    <row r="1030" spans="3:8" ht="15.75" thickBot="1" x14ac:dyDescent="0.3">
      <c r="C1030" s="9">
        <f t="shared" ca="1" si="230"/>
        <v>1</v>
      </c>
      <c r="D1030" s="35" t="s">
        <v>22</v>
      </c>
      <c r="E1030" s="12" t="s">
        <v>83</v>
      </c>
      <c r="F1030" s="685">
        <f ca="1">SUBTOTAL(9,F1016:F1029)</f>
        <v>744434.80383418314</v>
      </c>
      <c r="G1030" s="685">
        <f>SUBTOTAL(9,G1016:G1029)</f>
        <v>0</v>
      </c>
    </row>
    <row r="1031" spans="3:8" ht="15.75" hidden="1" thickBot="1" x14ac:dyDescent="0.3">
      <c r="D1031" s="326"/>
      <c r="E1031" s="327"/>
      <c r="F1031" s="686"/>
      <c r="G1031" s="686"/>
      <c r="H1031" s="9"/>
    </row>
    <row r="1032" spans="3:8" ht="15.75" hidden="1" thickBot="1" x14ac:dyDescent="0.3">
      <c r="E1032" s="10" t="s">
        <v>68</v>
      </c>
      <c r="F1032" s="648">
        <f ca="1">SUBTOTAL(9,F23:F420)</f>
        <v>3286797.1406442383</v>
      </c>
      <c r="G1032" s="648">
        <f>SUBTOTAL(9,G23:G420)</f>
        <v>0</v>
      </c>
      <c r="H1032" s="9"/>
    </row>
    <row r="1033" spans="3:8" ht="30" x14ac:dyDescent="0.25">
      <c r="C1033" s="9">
        <f ca="1">IF(F1050&gt;0,1,0)</f>
        <v>1</v>
      </c>
      <c r="D1033" s="20" t="str">
        <f>+A56</f>
        <v>Sullivan</v>
      </c>
      <c r="E1033" s="19">
        <f>IFERROR(SUMIF(A:A,D1033,B:B),0)</f>
        <v>2.5908175693671806E-3</v>
      </c>
      <c r="F1033" s="652" t="s">
        <v>31</v>
      </c>
      <c r="G1033" s="652" t="s">
        <v>32</v>
      </c>
      <c r="H1033" s="9"/>
    </row>
    <row r="1034" spans="3:8" x14ac:dyDescent="0.25">
      <c r="C1034" s="9">
        <f ca="1">C1033</f>
        <v>1</v>
      </c>
      <c r="D1034" s="30"/>
      <c r="E1034" s="31"/>
      <c r="F1034" s="680" t="s">
        <v>54</v>
      </c>
      <c r="G1034" s="680" t="s">
        <v>53</v>
      </c>
      <c r="H1034" s="9"/>
    </row>
    <row r="1035" spans="3:8" x14ac:dyDescent="0.25">
      <c r="C1035" s="9">
        <f t="shared" ref="C1035:C1050" ca="1" si="236">C1034</f>
        <v>1</v>
      </c>
      <c r="D1035" s="32" t="s">
        <v>71</v>
      </c>
      <c r="E1035" s="33"/>
      <c r="F1035" s="681"/>
      <c r="G1035" s="682"/>
      <c r="H1035" s="9"/>
    </row>
    <row r="1036" spans="3:8" x14ac:dyDescent="0.25">
      <c r="C1036" s="9">
        <f t="shared" ca="1" si="236"/>
        <v>1</v>
      </c>
      <c r="D1036" s="368" t="s">
        <v>72</v>
      </c>
      <c r="E1036" s="12" t="s">
        <v>57</v>
      </c>
      <c r="F1036" s="683">
        <f t="shared" ref="F1036:G1036" si="237">+$E1033*F$6</f>
        <v>0</v>
      </c>
      <c r="G1036" s="683">
        <f t="shared" si="237"/>
        <v>0</v>
      </c>
      <c r="H1036" s="9"/>
    </row>
    <row r="1037" spans="3:8" x14ac:dyDescent="0.25">
      <c r="C1037" s="9">
        <f t="shared" ca="1" si="236"/>
        <v>1</v>
      </c>
      <c r="D1037" s="368" t="s">
        <v>73</v>
      </c>
      <c r="E1037" s="12" t="s">
        <v>56</v>
      </c>
      <c r="F1037" s="683">
        <f t="shared" ref="F1037:G1037" si="238">+$E1033*F$7</f>
        <v>1135.1136763341742</v>
      </c>
      <c r="G1037" s="683">
        <f t="shared" si="238"/>
        <v>0</v>
      </c>
      <c r="H1037" s="9"/>
    </row>
    <row r="1038" spans="3:8" x14ac:dyDescent="0.25">
      <c r="C1038" s="9">
        <f t="shared" ca="1" si="236"/>
        <v>1</v>
      </c>
      <c r="D1038" s="368" t="s">
        <v>74</v>
      </c>
      <c r="E1038" s="12" t="s">
        <v>55</v>
      </c>
      <c r="F1038" s="683">
        <f t="shared" ref="F1038:G1038" si="239">+$E1033*F$8</f>
        <v>170.17248050864086</v>
      </c>
      <c r="G1038" s="683">
        <f t="shared" si="239"/>
        <v>0</v>
      </c>
      <c r="H1038" s="9"/>
    </row>
    <row r="1039" spans="3:8" x14ac:dyDescent="0.25">
      <c r="C1039" s="9">
        <f t="shared" ca="1" si="236"/>
        <v>1</v>
      </c>
      <c r="D1039" s="368" t="s">
        <v>75</v>
      </c>
      <c r="E1039" s="12" t="s">
        <v>54</v>
      </c>
      <c r="F1039" s="683">
        <f t="shared" ref="F1039:G1039" si="240">+$E1033*F$9</f>
        <v>347.80922423156477</v>
      </c>
      <c r="G1039" s="683">
        <f t="shared" si="240"/>
        <v>0</v>
      </c>
      <c r="H1039" s="9"/>
    </row>
    <row r="1040" spans="3:8" x14ac:dyDescent="0.25">
      <c r="C1040" s="9">
        <f t="shared" ca="1" si="236"/>
        <v>1</v>
      </c>
      <c r="D1040" s="34" t="s">
        <v>467</v>
      </c>
      <c r="E1040" s="12" t="s">
        <v>53</v>
      </c>
      <c r="F1040" s="683">
        <f t="shared" ref="F1040:G1040" si="241">+$E1033*F$10</f>
        <v>1665.471780050166</v>
      </c>
      <c r="G1040" s="683">
        <f t="shared" si="241"/>
        <v>0</v>
      </c>
      <c r="H1040" s="9"/>
    </row>
    <row r="1041" spans="1:7" s="9" customFormat="1" x14ac:dyDescent="0.25">
      <c r="A1041" s="119"/>
      <c r="B1041" s="310"/>
      <c r="C1041" s="9">
        <f t="shared" ca="1" si="236"/>
        <v>1</v>
      </c>
      <c r="D1041" s="34" t="s">
        <v>76</v>
      </c>
      <c r="E1041" s="12" t="s">
        <v>52</v>
      </c>
      <c r="F1041" s="683">
        <f>+$E1033*F$11</f>
        <v>380.80627513942602</v>
      </c>
      <c r="G1041" s="683">
        <f>+$E1033*G$11</f>
        <v>0</v>
      </c>
    </row>
    <row r="1042" spans="1:7" s="9" customFormat="1" x14ac:dyDescent="0.25">
      <c r="A1042" s="119"/>
      <c r="B1042" s="310"/>
      <c r="C1042" s="9">
        <f t="shared" ca="1" si="236"/>
        <v>1</v>
      </c>
      <c r="D1042" s="34" t="s">
        <v>468</v>
      </c>
      <c r="E1042" s="12" t="s">
        <v>51</v>
      </c>
      <c r="F1042" s="683">
        <f>+$E1033*F$12</f>
        <v>0</v>
      </c>
      <c r="G1042" s="683">
        <f>+$E1033*G$12</f>
        <v>0</v>
      </c>
    </row>
    <row r="1043" spans="1:7" s="9" customFormat="1" x14ac:dyDescent="0.25">
      <c r="A1043" s="119"/>
      <c r="B1043" s="310"/>
      <c r="C1043" s="9">
        <f t="shared" ca="1" si="236"/>
        <v>1</v>
      </c>
      <c r="D1043" s="368" t="s">
        <v>59</v>
      </c>
      <c r="E1043" s="12" t="s">
        <v>50</v>
      </c>
      <c r="F1043" s="683">
        <f>+$E1033*F$13</f>
        <v>60.298435196556603</v>
      </c>
      <c r="G1043" s="683">
        <f>+$E1033*G$13</f>
        <v>0</v>
      </c>
    </row>
    <row r="1044" spans="1:7" s="9" customFormat="1" x14ac:dyDescent="0.25">
      <c r="A1044" s="119"/>
      <c r="B1044" s="310"/>
      <c r="C1044" s="9">
        <f t="shared" ca="1" si="236"/>
        <v>1</v>
      </c>
      <c r="D1044" s="368" t="s">
        <v>25</v>
      </c>
      <c r="E1044" s="12" t="s">
        <v>49</v>
      </c>
      <c r="F1044" s="683">
        <f>+$E1033*F$14</f>
        <v>197.4528450979887</v>
      </c>
      <c r="G1044" s="683">
        <f>+$E1033*G$14</f>
        <v>0</v>
      </c>
    </row>
    <row r="1045" spans="1:7" s="9" customFormat="1" x14ac:dyDescent="0.25">
      <c r="A1045" s="119"/>
      <c r="B1045" s="310"/>
      <c r="C1045" s="9">
        <f t="shared" ca="1" si="236"/>
        <v>1</v>
      </c>
      <c r="D1045" s="368" t="s">
        <v>80</v>
      </c>
      <c r="E1045" s="12" t="s">
        <v>47</v>
      </c>
      <c r="F1045" s="683">
        <f>+$E1033*F$15</f>
        <v>736.68811717532969</v>
      </c>
      <c r="G1045" s="683">
        <f>+$E1033*G$15</f>
        <v>0</v>
      </c>
    </row>
    <row r="1046" spans="1:7" s="9" customFormat="1" x14ac:dyDescent="0.25">
      <c r="A1046" s="119"/>
      <c r="B1046" s="310"/>
      <c r="C1046" s="9">
        <f t="shared" ca="1" si="236"/>
        <v>1</v>
      </c>
      <c r="D1046" s="368" t="s">
        <v>82</v>
      </c>
      <c r="E1046" s="12" t="s">
        <v>77</v>
      </c>
      <c r="F1046" s="683">
        <f>+$E1033*F$16</f>
        <v>499.1942611443086</v>
      </c>
      <c r="G1046" s="683">
        <f>+$E1033*G$16</f>
        <v>0</v>
      </c>
    </row>
    <row r="1047" spans="1:7" s="9" customFormat="1" x14ac:dyDescent="0.25">
      <c r="A1047" s="119"/>
      <c r="B1047" s="310"/>
      <c r="C1047" s="9">
        <f t="shared" ca="1" si="236"/>
        <v>1</v>
      </c>
      <c r="D1047" s="368" t="s">
        <v>84</v>
      </c>
      <c r="E1047" s="12" t="s">
        <v>78</v>
      </c>
      <c r="F1047" s="683">
        <f ca="1">+$E1033*F$17</f>
        <v>35687.831793896992</v>
      </c>
      <c r="G1047" s="683">
        <f>+$E1033*G$17</f>
        <v>0</v>
      </c>
    </row>
    <row r="1048" spans="1:7" s="9" customFormat="1" x14ac:dyDescent="0.25">
      <c r="A1048" s="119"/>
      <c r="B1048" s="310"/>
      <c r="C1048" s="9">
        <f t="shared" ca="1" si="236"/>
        <v>1</v>
      </c>
      <c r="D1048" s="368" t="s">
        <v>86</v>
      </c>
      <c r="E1048" s="12" t="s">
        <v>79</v>
      </c>
      <c r="F1048" s="683">
        <f>+$E$1033*F18</f>
        <v>0</v>
      </c>
      <c r="G1048" s="683">
        <f>+$E$1033*G18</f>
        <v>0</v>
      </c>
    </row>
    <row r="1049" spans="1:7" s="9" customFormat="1" x14ac:dyDescent="0.25">
      <c r="A1049" s="119"/>
      <c r="B1049" s="310"/>
      <c r="C1049" s="9">
        <f t="shared" ca="1" si="236"/>
        <v>1</v>
      </c>
      <c r="D1049" s="368" t="s">
        <v>386</v>
      </c>
      <c r="E1049" s="12" t="s">
        <v>81</v>
      </c>
      <c r="F1049" s="683">
        <f>+$E$1033*F19</f>
        <v>0</v>
      </c>
      <c r="G1049" s="683">
        <f>+$E$1033*G19</f>
        <v>0</v>
      </c>
    </row>
    <row r="1050" spans="1:7" s="9" customFormat="1" ht="15.75" thickBot="1" x14ac:dyDescent="0.3">
      <c r="A1050" s="119"/>
      <c r="B1050" s="310"/>
      <c r="C1050" s="9">
        <f t="shared" ca="1" si="236"/>
        <v>1</v>
      </c>
      <c r="D1050" s="35" t="s">
        <v>22</v>
      </c>
      <c r="E1050" s="12" t="s">
        <v>83</v>
      </c>
      <c r="F1050" s="685">
        <f ca="1">SUBTOTAL(9,F1036:F1049)</f>
        <v>40880.83888877515</v>
      </c>
      <c r="G1050" s="685">
        <f>SUBTOTAL(9,G1036:G1049)</f>
        <v>0</v>
      </c>
    </row>
    <row r="1051" spans="1:7" s="9" customFormat="1" ht="15.75" hidden="1" thickBot="1" x14ac:dyDescent="0.3">
      <c r="A1051" s="119"/>
      <c r="B1051" s="310"/>
      <c r="D1051" s="326"/>
      <c r="E1051" s="327"/>
      <c r="F1051" s="686"/>
      <c r="G1051" s="686"/>
    </row>
    <row r="1052" spans="1:7" s="9" customFormat="1" ht="15.75" hidden="1" thickBot="1" x14ac:dyDescent="0.3">
      <c r="A1052" s="119"/>
      <c r="B1052" s="310"/>
      <c r="D1052" s="326"/>
      <c r="E1052" s="327"/>
      <c r="F1052" s="686"/>
      <c r="G1052" s="686"/>
    </row>
    <row r="1053" spans="1:7" s="9" customFormat="1" ht="30" x14ac:dyDescent="0.25">
      <c r="A1053" s="119"/>
      <c r="B1053" s="310"/>
      <c r="C1053" s="9">
        <f ca="1">IF(F1070&gt;0,1,0)</f>
        <v>1</v>
      </c>
      <c r="D1053" s="20" t="str">
        <f>+A57</f>
        <v>Tioga</v>
      </c>
      <c r="E1053" s="19">
        <f>IFERROR(SUMIF(A:A,D1053,B:B),0)</f>
        <v>1.4345881213713213E-3</v>
      </c>
      <c r="F1053" s="652" t="s">
        <v>31</v>
      </c>
      <c r="G1053" s="652" t="s">
        <v>32</v>
      </c>
    </row>
    <row r="1054" spans="1:7" s="9" customFormat="1" x14ac:dyDescent="0.25">
      <c r="A1054" s="119"/>
      <c r="B1054" s="310"/>
      <c r="C1054" s="9">
        <f ca="1">C1053</f>
        <v>1</v>
      </c>
      <c r="D1054" s="30"/>
      <c r="E1054" s="31"/>
      <c r="F1054" s="680" t="s">
        <v>54</v>
      </c>
      <c r="G1054" s="680" t="s">
        <v>53</v>
      </c>
    </row>
    <row r="1055" spans="1:7" s="9" customFormat="1" x14ac:dyDescent="0.25">
      <c r="A1055" s="119"/>
      <c r="B1055" s="310"/>
      <c r="C1055" s="9">
        <f t="shared" ref="C1055:C1070" ca="1" si="242">C1054</f>
        <v>1</v>
      </c>
      <c r="D1055" s="32" t="s">
        <v>71</v>
      </c>
      <c r="E1055" s="33"/>
      <c r="F1055" s="681"/>
      <c r="G1055" s="682"/>
    </row>
    <row r="1056" spans="1:7" s="9" customFormat="1" x14ac:dyDescent="0.25">
      <c r="A1056" s="119"/>
      <c r="B1056" s="310"/>
      <c r="C1056" s="9">
        <f t="shared" ca="1" si="242"/>
        <v>1</v>
      </c>
      <c r="D1056" s="368" t="s">
        <v>72</v>
      </c>
      <c r="E1056" s="12" t="s">
        <v>57</v>
      </c>
      <c r="F1056" s="683">
        <f t="shared" ref="F1056:G1056" si="243">+$E1053*F$6</f>
        <v>0</v>
      </c>
      <c r="G1056" s="683">
        <f t="shared" si="243"/>
        <v>0</v>
      </c>
    </row>
    <row r="1057" spans="1:7" s="9" customFormat="1" x14ac:dyDescent="0.25">
      <c r="A1057" s="119"/>
      <c r="B1057" s="310"/>
      <c r="C1057" s="9">
        <f t="shared" ca="1" si="242"/>
        <v>1</v>
      </c>
      <c r="D1057" s="368" t="s">
        <v>73</v>
      </c>
      <c r="E1057" s="12" t="s">
        <v>56</v>
      </c>
      <c r="F1057" s="683">
        <f t="shared" ref="F1057:G1057" si="244">+$E1053*F$7</f>
        <v>628.53541512491995</v>
      </c>
      <c r="G1057" s="683">
        <f t="shared" si="244"/>
        <v>0</v>
      </c>
    </row>
    <row r="1058" spans="1:7" s="9" customFormat="1" x14ac:dyDescent="0.25">
      <c r="A1058" s="119"/>
      <c r="B1058" s="310"/>
      <c r="C1058" s="9">
        <f t="shared" ca="1" si="242"/>
        <v>1</v>
      </c>
      <c r="D1058" s="368" t="s">
        <v>74</v>
      </c>
      <c r="E1058" s="12" t="s">
        <v>55</v>
      </c>
      <c r="F1058" s="683">
        <f t="shared" ref="F1058:G1058" si="245">+$E1053*F$8</f>
        <v>94.22794642450188</v>
      </c>
      <c r="G1058" s="683">
        <f t="shared" si="245"/>
        <v>0</v>
      </c>
    </row>
    <row r="1059" spans="1:7" s="9" customFormat="1" x14ac:dyDescent="0.25">
      <c r="A1059" s="119"/>
      <c r="B1059" s="310"/>
      <c r="C1059" s="9">
        <f t="shared" ca="1" si="242"/>
        <v>1</v>
      </c>
      <c r="D1059" s="368" t="s">
        <v>75</v>
      </c>
      <c r="E1059" s="12" t="s">
        <v>54</v>
      </c>
      <c r="F1059" s="683">
        <f t="shared" ref="F1059:G1059" si="246">+$E1053*F$9</f>
        <v>192.58900645322211</v>
      </c>
      <c r="G1059" s="683">
        <f t="shared" si="246"/>
        <v>0</v>
      </c>
    </row>
    <row r="1060" spans="1:7" s="9" customFormat="1" x14ac:dyDescent="0.25">
      <c r="A1060" s="119"/>
      <c r="B1060" s="310"/>
      <c r="C1060" s="9">
        <f t="shared" ca="1" si="242"/>
        <v>1</v>
      </c>
      <c r="D1060" s="34" t="s">
        <v>467</v>
      </c>
      <c r="E1060" s="12" t="s">
        <v>53</v>
      </c>
      <c r="F1060" s="683">
        <f t="shared" ref="F1060:G1060" si="247">+$E1053*F$10</f>
        <v>922.20543059027796</v>
      </c>
      <c r="G1060" s="683">
        <f t="shared" si="247"/>
        <v>0</v>
      </c>
    </row>
    <row r="1061" spans="1:7" s="9" customFormat="1" x14ac:dyDescent="0.25">
      <c r="A1061" s="119"/>
      <c r="B1061" s="310"/>
      <c r="C1061" s="9">
        <f t="shared" ca="1" si="242"/>
        <v>1</v>
      </c>
      <c r="D1061" s="34" t="s">
        <v>76</v>
      </c>
      <c r="E1061" s="12" t="s">
        <v>52</v>
      </c>
      <c r="F1061" s="683">
        <f>+$E1053*F$11</f>
        <v>210.86014133836372</v>
      </c>
      <c r="G1061" s="683">
        <f>+$E1053*G$11</f>
        <v>0</v>
      </c>
    </row>
    <row r="1062" spans="1:7" s="9" customFormat="1" x14ac:dyDescent="0.25">
      <c r="A1062" s="119"/>
      <c r="B1062" s="310"/>
      <c r="C1062" s="9">
        <f t="shared" ca="1" si="242"/>
        <v>1</v>
      </c>
      <c r="D1062" s="34" t="s">
        <v>468</v>
      </c>
      <c r="E1062" s="12" t="s">
        <v>51</v>
      </c>
      <c r="F1062" s="683">
        <f>+$E1053*F$12</f>
        <v>0</v>
      </c>
      <c r="G1062" s="683">
        <f>+$E1053*G$12</f>
        <v>0</v>
      </c>
    </row>
    <row r="1063" spans="1:7" s="9" customFormat="1" x14ac:dyDescent="0.25">
      <c r="A1063" s="119"/>
      <c r="B1063" s="310"/>
      <c r="C1063" s="9">
        <f t="shared" ca="1" si="242"/>
        <v>1</v>
      </c>
      <c r="D1063" s="368" t="s">
        <v>59</v>
      </c>
      <c r="E1063" s="12" t="s">
        <v>50</v>
      </c>
      <c r="F1063" s="683">
        <f>+$E1053*F$13</f>
        <v>33.388463893807611</v>
      </c>
      <c r="G1063" s="683">
        <f>+$E1053*G$13</f>
        <v>0</v>
      </c>
    </row>
    <row r="1064" spans="1:7" s="9" customFormat="1" x14ac:dyDescent="0.25">
      <c r="A1064" s="119"/>
      <c r="B1064" s="310"/>
      <c r="C1064" s="9">
        <f t="shared" ca="1" si="242"/>
        <v>1</v>
      </c>
      <c r="D1064" s="368" t="s">
        <v>25</v>
      </c>
      <c r="E1064" s="12" t="s">
        <v>49</v>
      </c>
      <c r="F1064" s="683">
        <f>+$E1053*F$14</f>
        <v>109.33363640024047</v>
      </c>
      <c r="G1064" s="683">
        <f>+$E1053*G$14</f>
        <v>0</v>
      </c>
    </row>
    <row r="1065" spans="1:7" s="9" customFormat="1" x14ac:dyDescent="0.25">
      <c r="A1065" s="119"/>
      <c r="B1065" s="310"/>
      <c r="C1065" s="9">
        <f t="shared" ca="1" si="242"/>
        <v>1</v>
      </c>
      <c r="D1065" s="368" t="s">
        <v>80</v>
      </c>
      <c r="E1065" s="12" t="s">
        <v>47</v>
      </c>
      <c r="F1065" s="683">
        <f>+$E1053*F$15</f>
        <v>407.91911964425623</v>
      </c>
      <c r="G1065" s="683">
        <f>+$E1053*G$15</f>
        <v>0</v>
      </c>
    </row>
    <row r="1066" spans="1:7" s="9" customFormat="1" x14ac:dyDescent="0.25">
      <c r="A1066" s="119"/>
      <c r="B1066" s="310"/>
      <c r="C1066" s="9">
        <f t="shared" ca="1" si="242"/>
        <v>1</v>
      </c>
      <c r="D1066" s="368" t="s">
        <v>82</v>
      </c>
      <c r="E1066" s="12" t="s">
        <v>77</v>
      </c>
      <c r="F1066" s="683">
        <f>+$E1053*F$16</f>
        <v>276.413965136603</v>
      </c>
      <c r="G1066" s="683">
        <f>+$E1053*G$16</f>
        <v>0</v>
      </c>
    </row>
    <row r="1067" spans="1:7" s="9" customFormat="1" x14ac:dyDescent="0.25">
      <c r="A1067" s="119"/>
      <c r="B1067" s="310"/>
      <c r="C1067" s="9">
        <f t="shared" ca="1" si="242"/>
        <v>1</v>
      </c>
      <c r="D1067" s="368" t="s">
        <v>84</v>
      </c>
      <c r="E1067" s="12" t="s">
        <v>78</v>
      </c>
      <c r="F1067" s="683">
        <f ca="1">+$E1053*F$17</f>
        <v>19761.074718019448</v>
      </c>
      <c r="G1067" s="683">
        <f>+$E1053*G$17</f>
        <v>0</v>
      </c>
    </row>
    <row r="1068" spans="1:7" s="9" customFormat="1" x14ac:dyDescent="0.25">
      <c r="A1068" s="119"/>
      <c r="B1068" s="310"/>
      <c r="C1068" s="9">
        <f t="shared" ca="1" si="242"/>
        <v>1</v>
      </c>
      <c r="D1068" s="368" t="s">
        <v>86</v>
      </c>
      <c r="E1068" s="12" t="s">
        <v>79</v>
      </c>
      <c r="F1068" s="683">
        <f>+$E$1053*F18</f>
        <v>0</v>
      </c>
      <c r="G1068" s="683">
        <f>+$E$1053*G18</f>
        <v>0</v>
      </c>
    </row>
    <row r="1069" spans="1:7" s="9" customFormat="1" x14ac:dyDescent="0.25">
      <c r="A1069" s="119"/>
      <c r="B1069" s="310"/>
      <c r="C1069" s="9">
        <f t="shared" ca="1" si="242"/>
        <v>1</v>
      </c>
      <c r="D1069" s="368" t="s">
        <v>386</v>
      </c>
      <c r="E1069" s="12" t="s">
        <v>81</v>
      </c>
      <c r="F1069" s="683"/>
      <c r="G1069" s="683"/>
    </row>
    <row r="1070" spans="1:7" s="9" customFormat="1" ht="15.75" thickBot="1" x14ac:dyDescent="0.3">
      <c r="A1070" s="119"/>
      <c r="B1070" s="310"/>
      <c r="C1070" s="9">
        <f t="shared" ca="1" si="242"/>
        <v>1</v>
      </c>
      <c r="D1070" s="35" t="s">
        <v>22</v>
      </c>
      <c r="E1070" s="12" t="s">
        <v>83</v>
      </c>
      <c r="F1070" s="685">
        <f ca="1">SUBTOTAL(9,F1056:F1069)</f>
        <v>22636.547843025641</v>
      </c>
      <c r="G1070" s="685">
        <f>SUBTOTAL(9,G1056:G1069)</f>
        <v>0</v>
      </c>
    </row>
    <row r="1071" spans="1:7" s="9" customFormat="1" ht="15.75" hidden="1" thickBot="1" x14ac:dyDescent="0.3">
      <c r="A1071" s="119"/>
      <c r="B1071" s="310"/>
      <c r="D1071" s="326"/>
      <c r="E1071" s="327"/>
      <c r="F1071" s="686"/>
      <c r="G1071" s="686"/>
    </row>
    <row r="1072" spans="1:7" s="9" customFormat="1" ht="30" x14ac:dyDescent="0.25">
      <c r="A1072" s="119"/>
      <c r="B1072" s="310"/>
      <c r="C1072" s="9">
        <f ca="1">IF(F1089&gt;0,1,0)</f>
        <v>1</v>
      </c>
      <c r="D1072" s="20" t="str">
        <f>+A58</f>
        <v>Tompkins</v>
      </c>
      <c r="E1072" s="19">
        <f>IFERROR(SUMIF(A:A,D1072,B:B),0)</f>
        <v>1.0364555405231305E-3</v>
      </c>
      <c r="F1072" s="652" t="s">
        <v>31</v>
      </c>
      <c r="G1072" s="652" t="s">
        <v>32</v>
      </c>
    </row>
    <row r="1073" spans="1:7" s="9" customFormat="1" x14ac:dyDescent="0.25">
      <c r="A1073" s="119"/>
      <c r="B1073" s="310"/>
      <c r="C1073" s="9">
        <f ca="1">C1072</f>
        <v>1</v>
      </c>
      <c r="D1073" s="30"/>
      <c r="E1073" s="31"/>
      <c r="F1073" s="680" t="s">
        <v>54</v>
      </c>
      <c r="G1073" s="680" t="s">
        <v>53</v>
      </c>
    </row>
    <row r="1074" spans="1:7" s="9" customFormat="1" x14ac:dyDescent="0.25">
      <c r="A1074" s="119"/>
      <c r="B1074" s="310"/>
      <c r="C1074" s="9">
        <f t="shared" ref="C1074:C1089" ca="1" si="248">C1073</f>
        <v>1</v>
      </c>
      <c r="D1074" s="32" t="s">
        <v>71</v>
      </c>
      <c r="E1074" s="33"/>
      <c r="F1074" s="681"/>
      <c r="G1074" s="682"/>
    </row>
    <row r="1075" spans="1:7" s="9" customFormat="1" x14ac:dyDescent="0.25">
      <c r="A1075" s="119"/>
      <c r="B1075" s="310"/>
      <c r="C1075" s="9">
        <f t="shared" ca="1" si="248"/>
        <v>1</v>
      </c>
      <c r="D1075" s="368" t="s">
        <v>72</v>
      </c>
      <c r="E1075" s="12" t="s">
        <v>57</v>
      </c>
      <c r="F1075" s="683">
        <f t="shared" ref="F1075:G1075" si="249">+$E1072*F$6</f>
        <v>0</v>
      </c>
      <c r="G1075" s="683">
        <f t="shared" si="249"/>
        <v>0</v>
      </c>
    </row>
    <row r="1076" spans="1:7" s="9" customFormat="1" x14ac:dyDescent="0.25">
      <c r="A1076" s="119"/>
      <c r="B1076" s="310"/>
      <c r="C1076" s="9">
        <f t="shared" ca="1" si="248"/>
        <v>1</v>
      </c>
      <c r="D1076" s="368" t="s">
        <v>73</v>
      </c>
      <c r="E1076" s="12" t="s">
        <v>56</v>
      </c>
      <c r="F1076" s="683">
        <f t="shared" ref="F1076:G1076" si="250">+$E1072*F$7</f>
        <v>454.10177577555135</v>
      </c>
      <c r="G1076" s="683">
        <f t="shared" si="250"/>
        <v>0</v>
      </c>
    </row>
    <row r="1077" spans="1:7" s="9" customFormat="1" x14ac:dyDescent="0.25">
      <c r="A1077" s="119"/>
      <c r="B1077" s="310"/>
      <c r="C1077" s="9">
        <f t="shared" ca="1" si="248"/>
        <v>1</v>
      </c>
      <c r="D1077" s="368" t="s">
        <v>74</v>
      </c>
      <c r="E1077" s="12" t="s">
        <v>55</v>
      </c>
      <c r="F1077" s="683">
        <f t="shared" ref="F1077:G1077" si="251">+$E1072*F$8</f>
        <v>68.077433298719669</v>
      </c>
      <c r="G1077" s="683">
        <f t="shared" si="251"/>
        <v>0</v>
      </c>
    </row>
    <row r="1078" spans="1:7" s="9" customFormat="1" x14ac:dyDescent="0.25">
      <c r="A1078" s="119"/>
      <c r="B1078" s="310"/>
      <c r="C1078" s="9">
        <f t="shared" ca="1" si="248"/>
        <v>1</v>
      </c>
      <c r="D1078" s="368" t="s">
        <v>75</v>
      </c>
      <c r="E1078" s="12" t="s">
        <v>54</v>
      </c>
      <c r="F1078" s="683">
        <f t="shared" ref="F1078:G1078" si="252">+$E1072*F$9</f>
        <v>139.14094213430405</v>
      </c>
      <c r="G1078" s="683">
        <f t="shared" si="252"/>
        <v>0</v>
      </c>
    </row>
    <row r="1079" spans="1:7" s="9" customFormat="1" x14ac:dyDescent="0.25">
      <c r="A1079" s="119"/>
      <c r="B1079" s="310"/>
      <c r="C1079" s="9">
        <f t="shared" ca="1" si="248"/>
        <v>1</v>
      </c>
      <c r="D1079" s="34" t="s">
        <v>467</v>
      </c>
      <c r="E1079" s="12" t="s">
        <v>53</v>
      </c>
      <c r="F1079" s="683">
        <f t="shared" ref="F1079:G1079" si="253">+$E1072*F$10</f>
        <v>666.27132470756885</v>
      </c>
      <c r="G1079" s="683">
        <f t="shared" si="253"/>
        <v>0</v>
      </c>
    </row>
    <row r="1080" spans="1:7" s="9" customFormat="1" x14ac:dyDescent="0.25">
      <c r="A1080" s="119"/>
      <c r="B1080" s="310"/>
      <c r="C1080" s="9">
        <f t="shared" ca="1" si="248"/>
        <v>1</v>
      </c>
      <c r="D1080" s="34" t="s">
        <v>76</v>
      </c>
      <c r="E1080" s="12" t="s">
        <v>52</v>
      </c>
      <c r="F1080" s="683">
        <f>+$E1072*F$11</f>
        <v>152.34139925592612</v>
      </c>
      <c r="G1080" s="683">
        <f>+$E1072*G$11</f>
        <v>0</v>
      </c>
    </row>
    <row r="1081" spans="1:7" s="9" customFormat="1" x14ac:dyDescent="0.25">
      <c r="A1081" s="119"/>
      <c r="B1081" s="310"/>
      <c r="C1081" s="9">
        <f t="shared" ca="1" si="248"/>
        <v>1</v>
      </c>
      <c r="D1081" s="34" t="s">
        <v>468</v>
      </c>
      <c r="E1081" s="12" t="s">
        <v>51</v>
      </c>
      <c r="F1081" s="683">
        <f>+$E1072*F$12</f>
        <v>0</v>
      </c>
      <c r="G1081" s="683">
        <f>+$E1072*G$12</f>
        <v>0</v>
      </c>
    </row>
    <row r="1082" spans="1:7" s="9" customFormat="1" x14ac:dyDescent="0.25">
      <c r="A1082" s="119"/>
      <c r="B1082" s="310"/>
      <c r="C1082" s="9">
        <f t="shared" ca="1" si="248"/>
        <v>1</v>
      </c>
      <c r="D1082" s="368" t="s">
        <v>59</v>
      </c>
      <c r="E1082" s="12" t="s">
        <v>50</v>
      </c>
      <c r="F1082" s="683">
        <f>+$E1072*F$13</f>
        <v>24.122365072431997</v>
      </c>
      <c r="G1082" s="683">
        <f>+$E1072*G$13</f>
        <v>0</v>
      </c>
    </row>
    <row r="1083" spans="1:7" s="9" customFormat="1" x14ac:dyDescent="0.25">
      <c r="A1083" s="119"/>
      <c r="B1083" s="310"/>
      <c r="C1083" s="9">
        <f t="shared" ca="1" si="248"/>
        <v>1</v>
      </c>
      <c r="D1083" s="368" t="s">
        <v>25</v>
      </c>
      <c r="E1083" s="12" t="s">
        <v>49</v>
      </c>
      <c r="F1083" s="683">
        <f>+$E1072*F$14</f>
        <v>78.990932327146766</v>
      </c>
      <c r="G1083" s="683">
        <f>+$E1072*G$14</f>
        <v>0</v>
      </c>
    </row>
    <row r="1084" spans="1:7" s="9" customFormat="1" x14ac:dyDescent="0.25">
      <c r="A1084" s="119"/>
      <c r="B1084" s="310"/>
      <c r="C1084" s="9">
        <f t="shared" ca="1" si="248"/>
        <v>1</v>
      </c>
      <c r="D1084" s="368" t="s">
        <v>80</v>
      </c>
      <c r="E1084" s="12" t="s">
        <v>47</v>
      </c>
      <c r="F1084" s="683">
        <f>+$E1072*F$15</f>
        <v>294.71178893943619</v>
      </c>
      <c r="G1084" s="683">
        <f>+$E1072*G$15</f>
        <v>0</v>
      </c>
    </row>
    <row r="1085" spans="1:7" s="9" customFormat="1" x14ac:dyDescent="0.25">
      <c r="A1085" s="119"/>
      <c r="B1085" s="310"/>
      <c r="C1085" s="9">
        <f t="shared" ca="1" si="248"/>
        <v>1</v>
      </c>
      <c r="D1085" s="368" t="s">
        <v>82</v>
      </c>
      <c r="E1085" s="12" t="s">
        <v>77</v>
      </c>
      <c r="F1085" s="683">
        <f>+$E1072*F$16</f>
        <v>199.70246607781988</v>
      </c>
      <c r="G1085" s="683">
        <f>+$E1072*G$16</f>
        <v>0</v>
      </c>
    </row>
    <row r="1086" spans="1:7" s="9" customFormat="1" x14ac:dyDescent="0.25">
      <c r="A1086" s="119"/>
      <c r="B1086" s="310"/>
      <c r="C1086" s="9">
        <f t="shared" ca="1" si="248"/>
        <v>1</v>
      </c>
      <c r="D1086" s="368" t="s">
        <v>84</v>
      </c>
      <c r="E1086" s="12" t="s">
        <v>78</v>
      </c>
      <c r="F1086" s="683">
        <f ca="1">+$E1072*F$17</f>
        <v>14276.902947310477</v>
      </c>
      <c r="G1086" s="683">
        <f>+$E1072*G$17</f>
        <v>0</v>
      </c>
    </row>
    <row r="1087" spans="1:7" s="9" customFormat="1" x14ac:dyDescent="0.25">
      <c r="A1087" s="119"/>
      <c r="B1087" s="310"/>
      <c r="C1087" s="9">
        <f t="shared" ca="1" si="248"/>
        <v>1</v>
      </c>
      <c r="D1087" s="368" t="s">
        <v>86</v>
      </c>
      <c r="E1087" s="12" t="s">
        <v>79</v>
      </c>
      <c r="F1087" s="683">
        <f>+$E$1072*F18</f>
        <v>0</v>
      </c>
      <c r="G1087" s="683">
        <f>+$E$1072*G18</f>
        <v>0</v>
      </c>
    </row>
    <row r="1088" spans="1:7" s="9" customFormat="1" x14ac:dyDescent="0.25">
      <c r="A1088" s="119"/>
      <c r="B1088" s="310"/>
      <c r="C1088" s="9">
        <f t="shared" ca="1" si="248"/>
        <v>1</v>
      </c>
      <c r="D1088" s="368" t="s">
        <v>386</v>
      </c>
      <c r="E1088" s="12" t="s">
        <v>81</v>
      </c>
      <c r="F1088" s="683">
        <f>+$E$1072*F19</f>
        <v>0</v>
      </c>
      <c r="G1088" s="683">
        <f>+$E$1072*G19</f>
        <v>0</v>
      </c>
    </row>
    <row r="1089" spans="1:7" s="9" customFormat="1" ht="15.75" thickBot="1" x14ac:dyDescent="0.3">
      <c r="A1089" s="119"/>
      <c r="B1089" s="310"/>
      <c r="C1089" s="9">
        <f t="shared" ca="1" si="248"/>
        <v>1</v>
      </c>
      <c r="D1089" s="35" t="s">
        <v>22</v>
      </c>
      <c r="E1089" s="12" t="s">
        <v>83</v>
      </c>
      <c r="F1089" s="685">
        <f ca="1">SUBTOTAL(9,F1075:F1088)</f>
        <v>16354.363374899382</v>
      </c>
      <c r="G1089" s="685">
        <f>SUBTOTAL(9,G1075:G1088)</f>
        <v>0</v>
      </c>
    </row>
    <row r="1090" spans="1:7" s="9" customFormat="1" ht="15.75" hidden="1" thickBot="1" x14ac:dyDescent="0.3">
      <c r="A1090" s="119"/>
      <c r="B1090" s="310"/>
      <c r="D1090" s="326"/>
      <c r="E1090" s="327"/>
      <c r="F1090" s="686"/>
      <c r="G1090" s="686"/>
    </row>
    <row r="1091" spans="1:7" s="9" customFormat="1" ht="15.75" hidden="1" thickBot="1" x14ac:dyDescent="0.3">
      <c r="A1091" s="119"/>
      <c r="B1091" s="310"/>
      <c r="D1091" s="326"/>
      <c r="E1091" s="327"/>
      <c r="F1091" s="686"/>
      <c r="G1091" s="686"/>
    </row>
    <row r="1092" spans="1:7" s="9" customFormat="1" ht="30" x14ac:dyDescent="0.25">
      <c r="A1092" s="119"/>
      <c r="B1092" s="310"/>
      <c r="C1092" s="9">
        <f ca="1">IF(F1109&gt;0,1,0)</f>
        <v>1</v>
      </c>
      <c r="D1092" s="20" t="str">
        <f>+A59</f>
        <v>Ulster</v>
      </c>
      <c r="E1092" s="19">
        <f>IFERROR(SUMIF(A:A,D1092,B:B),0)</f>
        <v>8.5279793197240439E-3</v>
      </c>
      <c r="F1092" s="652" t="s">
        <v>31</v>
      </c>
      <c r="G1092" s="652" t="s">
        <v>32</v>
      </c>
    </row>
    <row r="1093" spans="1:7" s="9" customFormat="1" x14ac:dyDescent="0.25">
      <c r="A1093" s="119"/>
      <c r="B1093" s="310"/>
      <c r="C1093" s="9">
        <f ca="1">C1092</f>
        <v>1</v>
      </c>
      <c r="D1093" s="30"/>
      <c r="E1093" s="31"/>
      <c r="F1093" s="680" t="s">
        <v>54</v>
      </c>
      <c r="G1093" s="680" t="s">
        <v>53</v>
      </c>
    </row>
    <row r="1094" spans="1:7" s="9" customFormat="1" x14ac:dyDescent="0.25">
      <c r="A1094" s="119"/>
      <c r="B1094" s="310"/>
      <c r="C1094" s="9">
        <f t="shared" ref="C1094:C1109" ca="1" si="254">C1093</f>
        <v>1</v>
      </c>
      <c r="D1094" s="32" t="s">
        <v>71</v>
      </c>
      <c r="E1094" s="33"/>
      <c r="F1094" s="681"/>
      <c r="G1094" s="682"/>
    </row>
    <row r="1095" spans="1:7" s="9" customFormat="1" x14ac:dyDescent="0.25">
      <c r="A1095" s="119"/>
      <c r="B1095" s="310"/>
      <c r="C1095" s="9">
        <f t="shared" ca="1" si="254"/>
        <v>1</v>
      </c>
      <c r="D1095" s="368" t="s">
        <v>72</v>
      </c>
      <c r="E1095" s="12" t="s">
        <v>57</v>
      </c>
      <c r="F1095" s="683">
        <f t="shared" ref="F1095:G1095" si="255">+$E1092*F$6</f>
        <v>0</v>
      </c>
      <c r="G1095" s="683">
        <f t="shared" si="255"/>
        <v>0</v>
      </c>
    </row>
    <row r="1096" spans="1:7" s="9" customFormat="1" x14ac:dyDescent="0.25">
      <c r="A1096" s="119"/>
      <c r="B1096" s="310"/>
      <c r="C1096" s="9">
        <f t="shared" ca="1" si="254"/>
        <v>1</v>
      </c>
      <c r="D1096" s="368" t="s">
        <v>73</v>
      </c>
      <c r="E1096" s="12" t="s">
        <v>56</v>
      </c>
      <c r="F1096" s="683">
        <f t="shared" ref="F1096:G1096" si="256">+$E1092*F$7</f>
        <v>3736.3595460247748</v>
      </c>
      <c r="G1096" s="683">
        <f t="shared" si="256"/>
        <v>0</v>
      </c>
    </row>
    <row r="1097" spans="1:7" s="9" customFormat="1" x14ac:dyDescent="0.25">
      <c r="A1097" s="119"/>
      <c r="B1097" s="310"/>
      <c r="C1097" s="9">
        <f t="shared" ca="1" si="254"/>
        <v>1</v>
      </c>
      <c r="D1097" s="368" t="s">
        <v>74</v>
      </c>
      <c r="E1097" s="12" t="s">
        <v>55</v>
      </c>
      <c r="F1097" s="683">
        <f t="shared" ref="F1097:G1097" si="257">+$E1092*F$8</f>
        <v>560.14264057901278</v>
      </c>
      <c r="G1097" s="683">
        <f t="shared" si="257"/>
        <v>0</v>
      </c>
    </row>
    <row r="1098" spans="1:7" s="9" customFormat="1" x14ac:dyDescent="0.25">
      <c r="A1098" s="119"/>
      <c r="B1098" s="310"/>
      <c r="C1098" s="9">
        <f t="shared" ca="1" si="254"/>
        <v>1</v>
      </c>
      <c r="D1098" s="368" t="s">
        <v>75</v>
      </c>
      <c r="E1098" s="12" t="s">
        <v>54</v>
      </c>
      <c r="F1098" s="683">
        <f t="shared" ref="F1098:G1098" si="258">+$E1092*F$9</f>
        <v>1144.8547773205557</v>
      </c>
      <c r="G1098" s="683">
        <f t="shared" si="258"/>
        <v>0</v>
      </c>
    </row>
    <row r="1099" spans="1:7" s="9" customFormat="1" x14ac:dyDescent="0.25">
      <c r="A1099" s="119"/>
      <c r="B1099" s="310"/>
      <c r="C1099" s="9">
        <f t="shared" ca="1" si="254"/>
        <v>1</v>
      </c>
      <c r="D1099" s="34" t="s">
        <v>467</v>
      </c>
      <c r="E1099" s="12" t="s">
        <v>53</v>
      </c>
      <c r="F1099" s="683">
        <f t="shared" ref="F1099:G1099" si="259">+$E1092*F$10</f>
        <v>5482.0953299776265</v>
      </c>
      <c r="G1099" s="683">
        <f t="shared" si="259"/>
        <v>0</v>
      </c>
    </row>
    <row r="1100" spans="1:7" s="9" customFormat="1" x14ac:dyDescent="0.25">
      <c r="A1100" s="119"/>
      <c r="B1100" s="310"/>
      <c r="C1100" s="9">
        <f t="shared" ca="1" si="254"/>
        <v>1</v>
      </c>
      <c r="D1100" s="34" t="s">
        <v>76</v>
      </c>
      <c r="E1100" s="12" t="s">
        <v>52</v>
      </c>
      <c r="F1100" s="683">
        <f>+$E1092*F$11</f>
        <v>1253.468433133788</v>
      </c>
      <c r="G1100" s="683">
        <f>+$E1092*G$11</f>
        <v>0</v>
      </c>
    </row>
    <row r="1101" spans="1:7" s="9" customFormat="1" x14ac:dyDescent="0.25">
      <c r="A1101" s="119"/>
      <c r="B1101" s="310"/>
      <c r="C1101" s="9">
        <f t="shared" ca="1" si="254"/>
        <v>1</v>
      </c>
      <c r="D1101" s="34" t="s">
        <v>468</v>
      </c>
      <c r="E1101" s="12" t="s">
        <v>51</v>
      </c>
      <c r="F1101" s="683">
        <f>+$E1092*F$12</f>
        <v>0</v>
      </c>
      <c r="G1101" s="683">
        <f>+$E1092*G$12</f>
        <v>0</v>
      </c>
    </row>
    <row r="1102" spans="1:7" s="9" customFormat="1" x14ac:dyDescent="0.25">
      <c r="A1102" s="119"/>
      <c r="B1102" s="310"/>
      <c r="C1102" s="9">
        <f t="shared" ca="1" si="254"/>
        <v>1</v>
      </c>
      <c r="D1102" s="368" t="s">
        <v>59</v>
      </c>
      <c r="E1102" s="12" t="s">
        <v>50</v>
      </c>
      <c r="F1102" s="683">
        <f>+$E1092*F$13</f>
        <v>198.47935819485613</v>
      </c>
      <c r="G1102" s="683">
        <f>+$E1092*G$13</f>
        <v>0</v>
      </c>
    </row>
    <row r="1103" spans="1:7" s="9" customFormat="1" x14ac:dyDescent="0.25">
      <c r="A1103" s="119"/>
      <c r="B1103" s="310"/>
      <c r="C1103" s="9">
        <f t="shared" ca="1" si="254"/>
        <v>1</v>
      </c>
      <c r="D1103" s="368" t="s">
        <v>25</v>
      </c>
      <c r="E1103" s="12" t="s">
        <v>49</v>
      </c>
      <c r="F1103" s="683">
        <f>+$E1092*F$14</f>
        <v>649.93915415959475</v>
      </c>
      <c r="G1103" s="683">
        <f>+$E1092*G$14</f>
        <v>0</v>
      </c>
    </row>
    <row r="1104" spans="1:7" s="9" customFormat="1" x14ac:dyDescent="0.25">
      <c r="A1104" s="119"/>
      <c r="B1104" s="310"/>
      <c r="C1104" s="9">
        <f t="shared" ca="1" si="254"/>
        <v>1</v>
      </c>
      <c r="D1104" s="368" t="s">
        <v>80</v>
      </c>
      <c r="E1104" s="12" t="s">
        <v>47</v>
      </c>
      <c r="F1104" s="683">
        <f>+$E1092*F$15</f>
        <v>2424.8951769661558</v>
      </c>
      <c r="G1104" s="683">
        <f>+$E1092*G$15</f>
        <v>0</v>
      </c>
    </row>
    <row r="1105" spans="1:7" s="9" customFormat="1" x14ac:dyDescent="0.25">
      <c r="A1105" s="119"/>
      <c r="B1105" s="310"/>
      <c r="C1105" s="9">
        <f t="shared" ca="1" si="254"/>
        <v>1</v>
      </c>
      <c r="D1105" s="368" t="s">
        <v>82</v>
      </c>
      <c r="E1105" s="12" t="s">
        <v>77</v>
      </c>
      <c r="F1105" s="683">
        <f>+$E1092*F$16</f>
        <v>1643.1563479799192</v>
      </c>
      <c r="G1105" s="683">
        <f>+$E1092*G$16</f>
        <v>0</v>
      </c>
    </row>
    <row r="1106" spans="1:7" s="9" customFormat="1" x14ac:dyDescent="0.25">
      <c r="A1106" s="119"/>
      <c r="B1106" s="310"/>
      <c r="C1106" s="9">
        <f t="shared" ca="1" si="254"/>
        <v>1</v>
      </c>
      <c r="D1106" s="368" t="s">
        <v>84</v>
      </c>
      <c r="E1106" s="12" t="s">
        <v>78</v>
      </c>
      <c r="F1106" s="683">
        <f ca="1">+$E1092*F$17</f>
        <v>117470.6760918259</v>
      </c>
      <c r="G1106" s="683">
        <f>+$E1092*G$17</f>
        <v>0</v>
      </c>
    </row>
    <row r="1107" spans="1:7" s="9" customFormat="1" ht="14.1" customHeight="1" x14ac:dyDescent="0.25">
      <c r="A1107" s="119"/>
      <c r="B1107" s="310"/>
      <c r="C1107" s="9">
        <f t="shared" ca="1" si="254"/>
        <v>1</v>
      </c>
      <c r="D1107" s="368" t="s">
        <v>86</v>
      </c>
      <c r="E1107" s="12" t="s">
        <v>79</v>
      </c>
      <c r="F1107" s="683">
        <f>+$E$1092*F18</f>
        <v>0</v>
      </c>
      <c r="G1107" s="683">
        <f>+$E$1092*G18</f>
        <v>0</v>
      </c>
    </row>
    <row r="1108" spans="1:7" s="9" customFormat="1" ht="14.1" customHeight="1" x14ac:dyDescent="0.25">
      <c r="A1108" s="119"/>
      <c r="B1108" s="310"/>
      <c r="C1108" s="9">
        <f t="shared" ca="1" si="254"/>
        <v>1</v>
      </c>
      <c r="D1108" s="368" t="s">
        <v>386</v>
      </c>
      <c r="E1108" s="12" t="s">
        <v>81</v>
      </c>
      <c r="F1108" s="683">
        <f>+$E$1092*F19</f>
        <v>0</v>
      </c>
      <c r="G1108" s="683">
        <f>+$E$1092*G19</f>
        <v>0</v>
      </c>
    </row>
    <row r="1109" spans="1:7" s="9" customFormat="1" ht="15.75" thickBot="1" x14ac:dyDescent="0.3">
      <c r="A1109" s="119"/>
      <c r="B1109" s="310"/>
      <c r="C1109" s="9">
        <f t="shared" ca="1" si="254"/>
        <v>1</v>
      </c>
      <c r="D1109" s="35" t="s">
        <v>22</v>
      </c>
      <c r="E1109" s="12" t="s">
        <v>83</v>
      </c>
      <c r="F1109" s="685">
        <f ca="1">SUBTOTAL(9,F1095:F1108)</f>
        <v>134564.06685616219</v>
      </c>
      <c r="G1109" s="685">
        <f>SUBTOTAL(9,G1095:G1108)</f>
        <v>0</v>
      </c>
    </row>
    <row r="1110" spans="1:7" s="9" customFormat="1" ht="15.75" hidden="1" thickBot="1" x14ac:dyDescent="0.3">
      <c r="A1110" s="119"/>
      <c r="B1110" s="310"/>
      <c r="D1110" s="326"/>
      <c r="E1110" s="327"/>
      <c r="F1110" s="686"/>
      <c r="G1110" s="686"/>
    </row>
    <row r="1111" spans="1:7" s="9" customFormat="1" ht="15.75" hidden="1" thickBot="1" x14ac:dyDescent="0.3">
      <c r="A1111" s="119"/>
      <c r="B1111" s="310"/>
      <c r="D1111" s="326"/>
      <c r="E1111" s="327"/>
      <c r="F1111" s="686"/>
      <c r="G1111" s="686"/>
    </row>
    <row r="1112" spans="1:7" s="9" customFormat="1" ht="30" x14ac:dyDescent="0.25">
      <c r="A1112" s="119"/>
      <c r="B1112" s="310"/>
      <c r="C1112" s="9">
        <f ca="1">IF(F1129&gt;0,1,0)</f>
        <v>1</v>
      </c>
      <c r="D1112" s="20" t="str">
        <f>+A60</f>
        <v>Warren</v>
      </c>
      <c r="E1112" s="19">
        <f>IFERROR(SUMIF(A:A,D1112,B:B),0)</f>
        <v>1.4283552517227942E-3</v>
      </c>
      <c r="F1112" s="652" t="s">
        <v>31</v>
      </c>
      <c r="G1112" s="652" t="s">
        <v>32</v>
      </c>
    </row>
    <row r="1113" spans="1:7" s="9" customFormat="1" x14ac:dyDescent="0.25">
      <c r="A1113" s="119"/>
      <c r="B1113" s="310"/>
      <c r="C1113" s="9">
        <f ca="1">C1112</f>
        <v>1</v>
      </c>
      <c r="D1113" s="30"/>
      <c r="E1113" s="31"/>
      <c r="F1113" s="680" t="s">
        <v>54</v>
      </c>
      <c r="G1113" s="680" t="s">
        <v>53</v>
      </c>
    </row>
    <row r="1114" spans="1:7" s="9" customFormat="1" x14ac:dyDescent="0.25">
      <c r="A1114" s="119"/>
      <c r="B1114" s="310"/>
      <c r="C1114" s="9">
        <f t="shared" ref="C1114:C1129" ca="1" si="260">C1113</f>
        <v>1</v>
      </c>
      <c r="D1114" s="32" t="s">
        <v>71</v>
      </c>
      <c r="E1114" s="33"/>
      <c r="F1114" s="681"/>
      <c r="G1114" s="682"/>
    </row>
    <row r="1115" spans="1:7" s="9" customFormat="1" x14ac:dyDescent="0.25">
      <c r="A1115" s="119"/>
      <c r="B1115" s="310"/>
      <c r="C1115" s="9">
        <f t="shared" ca="1" si="260"/>
        <v>1</v>
      </c>
      <c r="D1115" s="368" t="s">
        <v>72</v>
      </c>
      <c r="E1115" s="12" t="s">
        <v>57</v>
      </c>
      <c r="F1115" s="683">
        <f t="shared" ref="F1115:G1115" si="261">+$E1112*F$6</f>
        <v>0</v>
      </c>
      <c r="G1115" s="683">
        <f t="shared" si="261"/>
        <v>0</v>
      </c>
    </row>
    <row r="1116" spans="1:7" s="9" customFormat="1" x14ac:dyDescent="0.25">
      <c r="A1116" s="119"/>
      <c r="B1116" s="310"/>
      <c r="C1116" s="9">
        <f t="shared" ca="1" si="260"/>
        <v>1</v>
      </c>
      <c r="D1116" s="368" t="s">
        <v>73</v>
      </c>
      <c r="E1116" s="12" t="s">
        <v>56</v>
      </c>
      <c r="F1116" s="683">
        <f t="shared" ref="F1116:G1116" si="262">+$E1112*F$7</f>
        <v>625.80461089365974</v>
      </c>
      <c r="G1116" s="683">
        <f t="shared" si="262"/>
        <v>0</v>
      </c>
    </row>
    <row r="1117" spans="1:7" s="9" customFormat="1" x14ac:dyDescent="0.25">
      <c r="A1117" s="119"/>
      <c r="B1117" s="310"/>
      <c r="C1117" s="9">
        <f t="shared" ca="1" si="260"/>
        <v>1</v>
      </c>
      <c r="D1117" s="368" t="s">
        <v>74</v>
      </c>
      <c r="E1117" s="12" t="s">
        <v>55</v>
      </c>
      <c r="F1117" s="683">
        <f t="shared" ref="F1117:G1117" si="263">+$E1112*F$8</f>
        <v>93.818553304230591</v>
      </c>
      <c r="G1117" s="683">
        <f t="shared" si="263"/>
        <v>0</v>
      </c>
    </row>
    <row r="1118" spans="1:7" s="9" customFormat="1" x14ac:dyDescent="0.25">
      <c r="A1118" s="119"/>
      <c r="B1118" s="310"/>
      <c r="C1118" s="9">
        <f t="shared" ca="1" si="260"/>
        <v>1</v>
      </c>
      <c r="D1118" s="368" t="s">
        <v>75</v>
      </c>
      <c r="E1118" s="12" t="s">
        <v>54</v>
      </c>
      <c r="F1118" s="683">
        <f t="shared" ref="F1118:G1118" si="264">+$E1112*F$9</f>
        <v>191.75226303183169</v>
      </c>
      <c r="G1118" s="683">
        <f t="shared" si="264"/>
        <v>0</v>
      </c>
    </row>
    <row r="1119" spans="1:7" s="9" customFormat="1" x14ac:dyDescent="0.25">
      <c r="A1119" s="119"/>
      <c r="B1119" s="310"/>
      <c r="C1119" s="9">
        <f t="shared" ca="1" si="260"/>
        <v>1</v>
      </c>
      <c r="D1119" s="34" t="s">
        <v>467</v>
      </c>
      <c r="E1119" s="12" t="s">
        <v>53</v>
      </c>
      <c r="F1119" s="683">
        <f t="shared" ref="F1119:G1119" si="265">+$E1112*F$10</f>
        <v>918.19871524640723</v>
      </c>
      <c r="G1119" s="683">
        <f t="shared" si="265"/>
        <v>0</v>
      </c>
    </row>
    <row r="1120" spans="1:7" s="9" customFormat="1" x14ac:dyDescent="0.25">
      <c r="A1120" s="119"/>
      <c r="B1120" s="310"/>
      <c r="C1120" s="9">
        <f t="shared" ca="1" si="260"/>
        <v>1</v>
      </c>
      <c r="D1120" s="34" t="s">
        <v>76</v>
      </c>
      <c r="E1120" s="12" t="s">
        <v>52</v>
      </c>
      <c r="F1120" s="683">
        <f>+$E1112*F$11</f>
        <v>209.94401513081104</v>
      </c>
      <c r="G1120" s="683">
        <f>+$E1112*G$11</f>
        <v>0</v>
      </c>
    </row>
    <row r="1121" spans="1:7" s="9" customFormat="1" x14ac:dyDescent="0.25">
      <c r="A1121" s="119"/>
      <c r="B1121" s="310"/>
      <c r="C1121" s="9">
        <f t="shared" ca="1" si="260"/>
        <v>1</v>
      </c>
      <c r="D1121" s="34" t="s">
        <v>468</v>
      </c>
      <c r="E1121" s="12" t="s">
        <v>51</v>
      </c>
      <c r="F1121" s="683">
        <f>+$E1112*F$12</f>
        <v>0</v>
      </c>
      <c r="G1121" s="683">
        <f>+$E1112*G$12</f>
        <v>0</v>
      </c>
    </row>
    <row r="1122" spans="1:7" s="9" customFormat="1" x14ac:dyDescent="0.25">
      <c r="A1122" s="119"/>
      <c r="B1122" s="310"/>
      <c r="C1122" s="9">
        <f t="shared" ca="1" si="260"/>
        <v>1</v>
      </c>
      <c r="D1122" s="368" t="s">
        <v>59</v>
      </c>
      <c r="E1122" s="12" t="s">
        <v>50</v>
      </c>
      <c r="F1122" s="683">
        <f>+$E1112*F$13</f>
        <v>33.243400694053989</v>
      </c>
      <c r="G1122" s="683">
        <f>+$E1112*G$13</f>
        <v>0</v>
      </c>
    </row>
    <row r="1123" spans="1:7" s="9" customFormat="1" x14ac:dyDescent="0.25">
      <c r="A1123" s="119"/>
      <c r="B1123" s="310"/>
      <c r="C1123" s="9">
        <f t="shared" ca="1" si="260"/>
        <v>1</v>
      </c>
      <c r="D1123" s="368" t="s">
        <v>25</v>
      </c>
      <c r="E1123" s="12" t="s">
        <v>49</v>
      </c>
      <c r="F1123" s="683">
        <f>+$E1112*F$14</f>
        <v>108.85861343460294</v>
      </c>
      <c r="G1123" s="683">
        <f>+$E1112*G$14</f>
        <v>0</v>
      </c>
    </row>
    <row r="1124" spans="1:7" s="9" customFormat="1" x14ac:dyDescent="0.25">
      <c r="A1124" s="119"/>
      <c r="B1124" s="310"/>
      <c r="C1124" s="9">
        <f t="shared" ca="1" si="260"/>
        <v>1</v>
      </c>
      <c r="D1124" s="368" t="s">
        <v>80</v>
      </c>
      <c r="E1124" s="12" t="s">
        <v>47</v>
      </c>
      <c r="F1124" s="683">
        <f>+$E1112*F$15</f>
        <v>406.14682928299618</v>
      </c>
      <c r="G1124" s="683">
        <f>+$E1112*G$15</f>
        <v>0</v>
      </c>
    </row>
    <row r="1125" spans="1:7" s="9" customFormat="1" x14ac:dyDescent="0.25">
      <c r="A1125" s="119"/>
      <c r="B1125" s="310"/>
      <c r="C1125" s="9">
        <f t="shared" ca="1" si="260"/>
        <v>1</v>
      </c>
      <c r="D1125" s="368" t="s">
        <v>82</v>
      </c>
      <c r="E1125" s="12" t="s">
        <v>77</v>
      </c>
      <c r="F1125" s="683">
        <f>+$E1112*F$16</f>
        <v>275.21302656192552</v>
      </c>
      <c r="G1125" s="683">
        <f>+$E1112*G$16</f>
        <v>0</v>
      </c>
    </row>
    <row r="1126" spans="1:7" s="9" customFormat="1" x14ac:dyDescent="0.25">
      <c r="A1126" s="119"/>
      <c r="B1126" s="310"/>
      <c r="C1126" s="9">
        <f t="shared" ca="1" si="260"/>
        <v>1</v>
      </c>
      <c r="D1126" s="368" t="s">
        <v>84</v>
      </c>
      <c r="E1126" s="12" t="s">
        <v>78</v>
      </c>
      <c r="F1126" s="683">
        <f ca="1">+$E1112*F$17</f>
        <v>19675.218575062903</v>
      </c>
      <c r="G1126" s="683">
        <f>+$E1112*G$17</f>
        <v>0</v>
      </c>
    </row>
    <row r="1127" spans="1:7" s="9" customFormat="1" x14ac:dyDescent="0.25">
      <c r="A1127" s="119"/>
      <c r="B1127" s="310"/>
      <c r="C1127" s="9">
        <f t="shared" ca="1" si="260"/>
        <v>1</v>
      </c>
      <c r="D1127" s="368" t="s">
        <v>86</v>
      </c>
      <c r="E1127" s="12" t="s">
        <v>79</v>
      </c>
      <c r="F1127" s="683">
        <f>+$E$1112*F18</f>
        <v>0</v>
      </c>
      <c r="G1127" s="683">
        <f>+$E$1112*G18</f>
        <v>0</v>
      </c>
    </row>
    <row r="1128" spans="1:7" s="9" customFormat="1" x14ac:dyDescent="0.25">
      <c r="A1128" s="119"/>
      <c r="B1128" s="310"/>
      <c r="C1128" s="9">
        <f t="shared" ca="1" si="260"/>
        <v>1</v>
      </c>
      <c r="D1128" s="368" t="s">
        <v>386</v>
      </c>
      <c r="E1128" s="12" t="s">
        <v>81</v>
      </c>
      <c r="F1128" s="683">
        <f>+$E$1112*F19</f>
        <v>0</v>
      </c>
      <c r="G1128" s="683">
        <f>+$E$1112*G19</f>
        <v>0</v>
      </c>
    </row>
    <row r="1129" spans="1:7" s="9" customFormat="1" ht="15.75" thickBot="1" x14ac:dyDescent="0.3">
      <c r="A1129" s="119"/>
      <c r="B1129" s="310"/>
      <c r="C1129" s="9">
        <f t="shared" ca="1" si="260"/>
        <v>1</v>
      </c>
      <c r="D1129" s="35" t="s">
        <v>22</v>
      </c>
      <c r="E1129" s="12" t="s">
        <v>83</v>
      </c>
      <c r="F1129" s="685">
        <f ca="1">SUBTOTAL(9,F1115:F1128)</f>
        <v>22538.198602643424</v>
      </c>
      <c r="G1129" s="685">
        <f>SUBTOTAL(9,G1115:G1128)</f>
        <v>0</v>
      </c>
    </row>
    <row r="1130" spans="1:7" s="9" customFormat="1" ht="15.75" hidden="1" thickBot="1" x14ac:dyDescent="0.3">
      <c r="A1130" s="119"/>
      <c r="B1130" s="310"/>
      <c r="D1130" s="326"/>
      <c r="E1130" s="327"/>
      <c r="F1130" s="686"/>
      <c r="G1130" s="686"/>
    </row>
    <row r="1131" spans="1:7" s="9" customFormat="1" ht="15.75" hidden="1" thickBot="1" x14ac:dyDescent="0.3">
      <c r="A1131" s="119"/>
      <c r="B1131" s="310"/>
      <c r="D1131" s="326"/>
      <c r="E1131" s="327"/>
      <c r="F1131" s="686"/>
      <c r="G1131" s="686"/>
    </row>
    <row r="1132" spans="1:7" s="9" customFormat="1" ht="30" x14ac:dyDescent="0.25">
      <c r="A1132" s="119"/>
      <c r="B1132" s="310"/>
      <c r="C1132" s="9">
        <f ca="1">IF(F1149&gt;0,1,0)</f>
        <v>1</v>
      </c>
      <c r="D1132" s="20" t="str">
        <f>+A61</f>
        <v>Washington</v>
      </c>
      <c r="E1132" s="19">
        <f>IFERROR(SUMIF(A:A,D1132,B:B),0)</f>
        <v>2.2537928136298082E-3</v>
      </c>
      <c r="F1132" s="652" t="s">
        <v>31</v>
      </c>
      <c r="G1132" s="652" t="s">
        <v>32</v>
      </c>
    </row>
    <row r="1133" spans="1:7" s="9" customFormat="1" x14ac:dyDescent="0.25">
      <c r="A1133" s="119"/>
      <c r="B1133" s="310"/>
      <c r="C1133" s="9">
        <f ca="1">C1132</f>
        <v>1</v>
      </c>
      <c r="D1133" s="30"/>
      <c r="E1133" s="31"/>
      <c r="F1133" s="680" t="s">
        <v>54</v>
      </c>
      <c r="G1133" s="680" t="s">
        <v>53</v>
      </c>
    </row>
    <row r="1134" spans="1:7" s="9" customFormat="1" x14ac:dyDescent="0.25">
      <c r="A1134" s="119"/>
      <c r="B1134" s="310"/>
      <c r="C1134" s="9">
        <f t="shared" ref="C1134:C1149" ca="1" si="266">C1133</f>
        <v>1</v>
      </c>
      <c r="D1134" s="32" t="s">
        <v>71</v>
      </c>
      <c r="E1134" s="33"/>
      <c r="F1134" s="681"/>
      <c r="G1134" s="682"/>
    </row>
    <row r="1135" spans="1:7" s="9" customFormat="1" x14ac:dyDescent="0.25">
      <c r="A1135" s="119"/>
      <c r="B1135" s="310"/>
      <c r="C1135" s="9">
        <f t="shared" ca="1" si="266"/>
        <v>1</v>
      </c>
      <c r="D1135" s="368" t="s">
        <v>72</v>
      </c>
      <c r="E1135" s="12" t="s">
        <v>57</v>
      </c>
      <c r="F1135" s="683">
        <f t="shared" ref="F1135:G1135" si="267">+$E1132*F$6</f>
        <v>0</v>
      </c>
      <c r="G1135" s="683">
        <f t="shared" si="267"/>
        <v>0</v>
      </c>
    </row>
    <row r="1136" spans="1:7" s="9" customFormat="1" x14ac:dyDescent="0.25">
      <c r="A1136" s="119"/>
      <c r="B1136" s="310"/>
      <c r="C1136" s="9">
        <f t="shared" ca="1" si="266"/>
        <v>1</v>
      </c>
      <c r="D1136" s="368" t="s">
        <v>73</v>
      </c>
      <c r="E1136" s="12" t="s">
        <v>56</v>
      </c>
      <c r="F1136" s="683">
        <f t="shared" ref="F1136:G1136" si="268">+$E1132*F$7</f>
        <v>987.45317949953278</v>
      </c>
      <c r="G1136" s="683">
        <f t="shared" si="268"/>
        <v>0</v>
      </c>
    </row>
    <row r="1137" spans="1:7" s="9" customFormat="1" x14ac:dyDescent="0.25">
      <c r="A1137" s="119"/>
      <c r="B1137" s="310"/>
      <c r="C1137" s="9">
        <f t="shared" ca="1" si="266"/>
        <v>1</v>
      </c>
      <c r="D1137" s="368" t="s">
        <v>74</v>
      </c>
      <c r="E1137" s="12" t="s">
        <v>55</v>
      </c>
      <c r="F1137" s="683">
        <f t="shared" ref="F1137:G1137" si="269">+$E1132*F$8</f>
        <v>148.03570818056988</v>
      </c>
      <c r="G1137" s="683">
        <f t="shared" si="269"/>
        <v>0</v>
      </c>
    </row>
    <row r="1138" spans="1:7" s="9" customFormat="1" x14ac:dyDescent="0.25">
      <c r="A1138" s="119"/>
      <c r="B1138" s="310"/>
      <c r="C1138" s="9">
        <f t="shared" ca="1" si="266"/>
        <v>1</v>
      </c>
      <c r="D1138" s="368" t="s">
        <v>75</v>
      </c>
      <c r="E1138" s="12" t="s">
        <v>54</v>
      </c>
      <c r="F1138" s="683">
        <f t="shared" ref="F1138:G1138" si="270">+$E1132*F$9</f>
        <v>302.56469593060854</v>
      </c>
      <c r="G1138" s="683">
        <f t="shared" si="270"/>
        <v>0</v>
      </c>
    </row>
    <row r="1139" spans="1:7" s="9" customFormat="1" x14ac:dyDescent="0.25">
      <c r="A1139" s="119"/>
      <c r="B1139" s="310"/>
      <c r="C1139" s="9">
        <f t="shared" ca="1" si="266"/>
        <v>1</v>
      </c>
      <c r="D1139" s="34" t="s">
        <v>467</v>
      </c>
      <c r="E1139" s="12" t="s">
        <v>53</v>
      </c>
      <c r="F1139" s="683">
        <f t="shared" ref="F1139:G1139" si="271">+$E1132*F$10</f>
        <v>1448.8200070748903</v>
      </c>
      <c r="G1139" s="683">
        <f t="shared" si="271"/>
        <v>0</v>
      </c>
    </row>
    <row r="1140" spans="1:7" s="9" customFormat="1" x14ac:dyDescent="0.25">
      <c r="A1140" s="119"/>
      <c r="B1140" s="310"/>
      <c r="C1140" s="9">
        <f t="shared" ca="1" si="266"/>
        <v>1</v>
      </c>
      <c r="D1140" s="34" t="s">
        <v>76</v>
      </c>
      <c r="E1140" s="12" t="s">
        <v>52</v>
      </c>
      <c r="F1140" s="683">
        <f>+$E1132*F$11</f>
        <v>331.26934773103591</v>
      </c>
      <c r="G1140" s="683">
        <f>+$E1132*G$11</f>
        <v>0</v>
      </c>
    </row>
    <row r="1141" spans="1:7" s="9" customFormat="1" x14ac:dyDescent="0.25">
      <c r="A1141" s="119"/>
      <c r="B1141" s="310"/>
      <c r="C1141" s="9">
        <f t="shared" ca="1" si="266"/>
        <v>1</v>
      </c>
      <c r="D1141" s="34" t="s">
        <v>468</v>
      </c>
      <c r="E1141" s="12" t="s">
        <v>51</v>
      </c>
      <c r="F1141" s="683">
        <f>+$E1132*F$12</f>
        <v>0</v>
      </c>
      <c r="G1141" s="683">
        <f>+$E1132*G$12</f>
        <v>0</v>
      </c>
    </row>
    <row r="1142" spans="1:7" s="9" customFormat="1" x14ac:dyDescent="0.25">
      <c r="A1142" s="119"/>
      <c r="B1142" s="310"/>
      <c r="C1142" s="9">
        <f t="shared" ca="1" si="266"/>
        <v>1</v>
      </c>
      <c r="D1142" s="368" t="s">
        <v>59</v>
      </c>
      <c r="E1142" s="12" t="s">
        <v>50</v>
      </c>
      <c r="F1142" s="683">
        <f>+$E1132*F$13</f>
        <v>52.454553931528352</v>
      </c>
      <c r="G1142" s="683">
        <f>+$E1132*G$13</f>
        <v>0</v>
      </c>
    </row>
    <row r="1143" spans="1:7" s="9" customFormat="1" x14ac:dyDescent="0.25">
      <c r="A1143" s="119"/>
      <c r="B1143" s="310"/>
      <c r="C1143" s="9">
        <f t="shared" ca="1" si="266"/>
        <v>1</v>
      </c>
      <c r="D1143" s="368" t="s">
        <v>25</v>
      </c>
      <c r="E1143" s="12" t="s">
        <v>49</v>
      </c>
      <c r="F1143" s="683">
        <f>+$E1132*F$14</f>
        <v>171.76732494573298</v>
      </c>
      <c r="G1143" s="683">
        <f>+$E1132*G$14</f>
        <v>0</v>
      </c>
    </row>
    <row r="1144" spans="1:7" s="9" customFormat="1" x14ac:dyDescent="0.25">
      <c r="A1144" s="119"/>
      <c r="B1144" s="310"/>
      <c r="C1144" s="9">
        <f t="shared" ca="1" si="266"/>
        <v>1</v>
      </c>
      <c r="D1144" s="368" t="s">
        <v>80</v>
      </c>
      <c r="E1144" s="12" t="s">
        <v>47</v>
      </c>
      <c r="F1144" s="683">
        <f>+$E1132*F$15</f>
        <v>640.85654042471947</v>
      </c>
      <c r="G1144" s="683">
        <f>+$E1132*G$15</f>
        <v>0</v>
      </c>
    </row>
    <row r="1145" spans="1:7" s="9" customFormat="1" x14ac:dyDescent="0.25">
      <c r="A1145" s="119"/>
      <c r="B1145" s="310"/>
      <c r="C1145" s="9">
        <f t="shared" ca="1" si="266"/>
        <v>1</v>
      </c>
      <c r="D1145" s="368" t="s">
        <v>82</v>
      </c>
      <c r="E1145" s="12" t="s">
        <v>77</v>
      </c>
      <c r="F1145" s="683">
        <f>+$E1132*F$16</f>
        <v>434.25691244138454</v>
      </c>
      <c r="G1145" s="683">
        <f>+$E1132*G$16</f>
        <v>0</v>
      </c>
    </row>
    <row r="1146" spans="1:7" s="9" customFormat="1" x14ac:dyDescent="0.25">
      <c r="A1146" s="119"/>
      <c r="B1146" s="310"/>
      <c r="C1146" s="9">
        <f t="shared" ca="1" si="266"/>
        <v>1</v>
      </c>
      <c r="D1146" s="368" t="s">
        <v>84</v>
      </c>
      <c r="E1146" s="12" t="s">
        <v>78</v>
      </c>
      <c r="F1146" s="683">
        <f ca="1">+$E1132*F$17</f>
        <v>31045.404270112525</v>
      </c>
      <c r="G1146" s="683">
        <f>+$E1132*G$17</f>
        <v>0</v>
      </c>
    </row>
    <row r="1147" spans="1:7" s="9" customFormat="1" x14ac:dyDescent="0.25">
      <c r="A1147" s="119"/>
      <c r="B1147" s="310"/>
      <c r="C1147" s="9">
        <f t="shared" ca="1" si="266"/>
        <v>1</v>
      </c>
      <c r="D1147" s="368" t="s">
        <v>86</v>
      </c>
      <c r="E1147" s="12" t="s">
        <v>79</v>
      </c>
      <c r="F1147" s="683">
        <f>+$E$1132*F18</f>
        <v>0</v>
      </c>
      <c r="G1147" s="683">
        <f>+$E$1132*G18</f>
        <v>0</v>
      </c>
    </row>
    <row r="1148" spans="1:7" s="9" customFormat="1" x14ac:dyDescent="0.25">
      <c r="A1148" s="119"/>
      <c r="B1148" s="310"/>
      <c r="C1148" s="9">
        <f t="shared" ca="1" si="266"/>
        <v>1</v>
      </c>
      <c r="D1148" s="368" t="s">
        <v>386</v>
      </c>
      <c r="E1148" s="12" t="s">
        <v>81</v>
      </c>
      <c r="F1148" s="683">
        <f>+$E$1132*F19</f>
        <v>0</v>
      </c>
      <c r="G1148" s="683">
        <f>+$E$1132*G19</f>
        <v>0</v>
      </c>
    </row>
    <row r="1149" spans="1:7" s="9" customFormat="1" ht="15.75" thickBot="1" x14ac:dyDescent="0.3">
      <c r="A1149" s="119"/>
      <c r="B1149" s="310"/>
      <c r="C1149" s="9">
        <f t="shared" ca="1" si="266"/>
        <v>1</v>
      </c>
      <c r="D1149" s="35" t="s">
        <v>22</v>
      </c>
      <c r="E1149" s="12" t="s">
        <v>83</v>
      </c>
      <c r="F1149" s="685">
        <f ca="1">SUBTOTAL(9,F1135:F1148)</f>
        <v>35562.882540272527</v>
      </c>
      <c r="G1149" s="685">
        <f>SUBTOTAL(9,G1135:G1148)</f>
        <v>0</v>
      </c>
    </row>
    <row r="1150" spans="1:7" s="9" customFormat="1" ht="15.75" hidden="1" thickBot="1" x14ac:dyDescent="0.3">
      <c r="A1150" s="119"/>
      <c r="B1150" s="310"/>
      <c r="D1150" s="326"/>
      <c r="E1150" s="327"/>
      <c r="F1150" s="686"/>
      <c r="G1150" s="686"/>
    </row>
    <row r="1151" spans="1:7" s="9" customFormat="1" ht="30" x14ac:dyDescent="0.25">
      <c r="A1151" s="119"/>
      <c r="B1151" s="310"/>
      <c r="C1151" s="9">
        <f ca="1">IF(F1168&gt;0,1,0)</f>
        <v>1</v>
      </c>
      <c r="D1151" s="20" t="str">
        <f>+A62</f>
        <v>Wayne</v>
      </c>
      <c r="E1151" s="19">
        <f>IFERROR(SUMIF(A:A,D1151,B:B),0)</f>
        <v>8.7420816049703603E-4</v>
      </c>
      <c r="F1151" s="652" t="s">
        <v>31</v>
      </c>
      <c r="G1151" s="652" t="s">
        <v>32</v>
      </c>
    </row>
    <row r="1152" spans="1:7" s="9" customFormat="1" x14ac:dyDescent="0.25">
      <c r="A1152" s="119"/>
      <c r="B1152" s="310"/>
      <c r="C1152" s="9">
        <f ca="1">C1151</f>
        <v>1</v>
      </c>
      <c r="D1152" s="30"/>
      <c r="E1152" s="31"/>
      <c r="F1152" s="680" t="s">
        <v>54</v>
      </c>
      <c r="G1152" s="680" t="s">
        <v>53</v>
      </c>
    </row>
    <row r="1153" spans="1:7" s="9" customFormat="1" x14ac:dyDescent="0.25">
      <c r="A1153" s="119"/>
      <c r="B1153" s="310"/>
      <c r="C1153" s="9">
        <f t="shared" ref="C1153:C1168" ca="1" si="272">C1152</f>
        <v>1</v>
      </c>
      <c r="D1153" s="32" t="s">
        <v>71</v>
      </c>
      <c r="E1153" s="33"/>
      <c r="F1153" s="681"/>
      <c r="G1153" s="682"/>
    </row>
    <row r="1154" spans="1:7" s="9" customFormat="1" x14ac:dyDescent="0.25">
      <c r="A1154" s="119"/>
      <c r="B1154" s="310"/>
      <c r="C1154" s="9">
        <f t="shared" ca="1" si="272"/>
        <v>1</v>
      </c>
      <c r="D1154" s="368" t="s">
        <v>72</v>
      </c>
      <c r="E1154" s="12" t="s">
        <v>57</v>
      </c>
      <c r="F1154" s="683">
        <f t="shared" ref="F1154:G1154" si="273">+$E1151*F$6</f>
        <v>0</v>
      </c>
      <c r="G1154" s="683">
        <f t="shared" si="273"/>
        <v>0</v>
      </c>
    </row>
    <row r="1155" spans="1:7" s="9" customFormat="1" x14ac:dyDescent="0.25">
      <c r="A1155" s="119"/>
      <c r="B1155" s="310"/>
      <c r="C1155" s="9">
        <f t="shared" ca="1" si="272"/>
        <v>1</v>
      </c>
      <c r="D1155" s="368" t="s">
        <v>73</v>
      </c>
      <c r="E1155" s="12" t="s">
        <v>56</v>
      </c>
      <c r="F1155" s="683">
        <f t="shared" ref="F1155:G1155" si="274">+$E1151*F$7</f>
        <v>383.01640789996134</v>
      </c>
      <c r="G1155" s="683">
        <f t="shared" si="274"/>
        <v>0</v>
      </c>
    </row>
    <row r="1156" spans="1:7" s="9" customFormat="1" x14ac:dyDescent="0.25">
      <c r="A1156" s="119"/>
      <c r="B1156" s="310"/>
      <c r="C1156" s="9">
        <f t="shared" ca="1" si="272"/>
        <v>1</v>
      </c>
      <c r="D1156" s="368" t="s">
        <v>74</v>
      </c>
      <c r="E1156" s="12" t="s">
        <v>55</v>
      </c>
      <c r="F1156" s="683">
        <f t="shared" ref="F1156:G1156" si="275">+$E1151*F$8</f>
        <v>57.420550528771301</v>
      </c>
      <c r="G1156" s="683">
        <f t="shared" si="275"/>
        <v>0</v>
      </c>
    </row>
    <row r="1157" spans="1:7" s="9" customFormat="1" x14ac:dyDescent="0.25">
      <c r="A1157" s="119"/>
      <c r="B1157" s="310"/>
      <c r="C1157" s="9">
        <f t="shared" ca="1" si="272"/>
        <v>1</v>
      </c>
      <c r="D1157" s="368" t="s">
        <v>75</v>
      </c>
      <c r="E1157" s="12" t="s">
        <v>54</v>
      </c>
      <c r="F1157" s="683">
        <f t="shared" ref="F1157:G1157" si="276">+$E1151*F$9</f>
        <v>117.35973451563588</v>
      </c>
      <c r="G1157" s="683">
        <f t="shared" si="276"/>
        <v>0</v>
      </c>
    </row>
    <row r="1158" spans="1:7" s="9" customFormat="1" x14ac:dyDescent="0.25">
      <c r="A1158" s="119"/>
      <c r="B1158" s="310"/>
      <c r="C1158" s="9">
        <f t="shared" ca="1" si="272"/>
        <v>1</v>
      </c>
      <c r="D1158" s="34" t="s">
        <v>467</v>
      </c>
      <c r="E1158" s="12" t="s">
        <v>53</v>
      </c>
      <c r="F1158" s="683">
        <f t="shared" ref="F1158:G1158" si="277">+$E1151*F$10</f>
        <v>561.9728067356773</v>
      </c>
      <c r="G1158" s="683">
        <f t="shared" si="277"/>
        <v>0</v>
      </c>
    </row>
    <row r="1159" spans="1:7" s="9" customFormat="1" x14ac:dyDescent="0.25">
      <c r="A1159" s="119"/>
      <c r="B1159" s="310"/>
      <c r="C1159" s="9">
        <f t="shared" ca="1" si="272"/>
        <v>1</v>
      </c>
      <c r="D1159" s="34" t="s">
        <v>76</v>
      </c>
      <c r="E1159" s="12" t="s">
        <v>52</v>
      </c>
      <c r="F1159" s="683">
        <f>+$E1151*F$11</f>
        <v>128.49378405932268</v>
      </c>
      <c r="G1159" s="683">
        <f>+$E1151*G$11</f>
        <v>0</v>
      </c>
    </row>
    <row r="1160" spans="1:7" s="9" customFormat="1" x14ac:dyDescent="0.25">
      <c r="A1160" s="119"/>
      <c r="B1160" s="310"/>
      <c r="C1160" s="9">
        <f t="shared" ca="1" si="272"/>
        <v>1</v>
      </c>
      <c r="D1160" s="34" t="s">
        <v>468</v>
      </c>
      <c r="E1160" s="12" t="s">
        <v>51</v>
      </c>
      <c r="F1160" s="683">
        <f>+$E1151*F$12</f>
        <v>0</v>
      </c>
      <c r="G1160" s="683">
        <f>+$E1151*G$12</f>
        <v>0</v>
      </c>
    </row>
    <row r="1161" spans="1:7" s="9" customFormat="1" x14ac:dyDescent="0.25">
      <c r="A1161" s="119"/>
      <c r="B1161" s="310"/>
      <c r="C1161" s="9">
        <f t="shared" ca="1" si="272"/>
        <v>1</v>
      </c>
      <c r="D1161" s="368" t="s">
        <v>59</v>
      </c>
      <c r="E1161" s="12" t="s">
        <v>50</v>
      </c>
      <c r="F1161" s="683">
        <f>+$E1151*F$13</f>
        <v>20.346235388123826</v>
      </c>
      <c r="G1161" s="683">
        <f>+$E1151*G$13</f>
        <v>0</v>
      </c>
    </row>
    <row r="1162" spans="1:7" s="9" customFormat="1" x14ac:dyDescent="0.25">
      <c r="A1162" s="119"/>
      <c r="B1162" s="310"/>
      <c r="C1162" s="9">
        <f t="shared" ca="1" si="272"/>
        <v>1</v>
      </c>
      <c r="D1162" s="368" t="s">
        <v>25</v>
      </c>
      <c r="E1162" s="12" t="s">
        <v>49</v>
      </c>
      <c r="F1162" s="683">
        <f>+$E1151*F$14</f>
        <v>66.625643788644254</v>
      </c>
      <c r="G1162" s="683">
        <f>+$E1151*G$14</f>
        <v>0</v>
      </c>
    </row>
    <row r="1163" spans="1:7" s="9" customFormat="1" x14ac:dyDescent="0.25">
      <c r="A1163" s="119"/>
      <c r="B1163" s="310"/>
      <c r="C1163" s="9">
        <f t="shared" ca="1" si="272"/>
        <v>1</v>
      </c>
      <c r="D1163" s="368" t="s">
        <v>80</v>
      </c>
      <c r="E1163" s="12" t="s">
        <v>47</v>
      </c>
      <c r="F1163" s="683">
        <f>+$E1151*F$15</f>
        <v>248.5774264427173</v>
      </c>
      <c r="G1163" s="683">
        <f>+$E1151*G$15</f>
        <v>0</v>
      </c>
    </row>
    <row r="1164" spans="1:7" s="9" customFormat="1" x14ac:dyDescent="0.25">
      <c r="A1164" s="119"/>
      <c r="B1164" s="310"/>
      <c r="C1164" s="9">
        <f t="shared" ca="1" si="272"/>
        <v>1</v>
      </c>
      <c r="D1164" s="368" t="s">
        <v>82</v>
      </c>
      <c r="E1164" s="12" t="s">
        <v>77</v>
      </c>
      <c r="F1164" s="683">
        <f>+$E1151*F$16</f>
        <v>168.44092070605947</v>
      </c>
      <c r="G1164" s="683">
        <f>+$E1151*G$16</f>
        <v>0</v>
      </c>
    </row>
    <row r="1165" spans="1:7" s="9" customFormat="1" x14ac:dyDescent="0.25">
      <c r="A1165" s="119"/>
      <c r="B1165" s="310"/>
      <c r="C1165" s="9">
        <f t="shared" ca="1" si="272"/>
        <v>1</v>
      </c>
      <c r="D1165" s="368" t="s">
        <v>84</v>
      </c>
      <c r="E1165" s="12" t="s">
        <v>78</v>
      </c>
      <c r="F1165" s="683">
        <f ca="1">+$E1151*F$17</f>
        <v>12041.987885812712</v>
      </c>
      <c r="G1165" s="683">
        <f>+$E1151*G$17</f>
        <v>0</v>
      </c>
    </row>
    <row r="1166" spans="1:7" s="9" customFormat="1" x14ac:dyDescent="0.25">
      <c r="A1166" s="119"/>
      <c r="B1166" s="310"/>
      <c r="C1166" s="9">
        <f t="shared" ca="1" si="272"/>
        <v>1</v>
      </c>
      <c r="D1166" s="368" t="s">
        <v>86</v>
      </c>
      <c r="E1166" s="12" t="s">
        <v>79</v>
      </c>
      <c r="F1166" s="683">
        <f>+$E$1151*F18</f>
        <v>0</v>
      </c>
      <c r="G1166" s="683">
        <f>+$E$1151*G18</f>
        <v>0</v>
      </c>
    </row>
    <row r="1167" spans="1:7" s="9" customFormat="1" x14ac:dyDescent="0.25">
      <c r="A1167" s="119"/>
      <c r="B1167" s="310"/>
      <c r="C1167" s="9">
        <f t="shared" ca="1" si="272"/>
        <v>1</v>
      </c>
      <c r="D1167" s="368" t="s">
        <v>386</v>
      </c>
      <c r="E1167" s="12" t="s">
        <v>81</v>
      </c>
      <c r="F1167" s="683">
        <f>+$E$1151*F19</f>
        <v>0</v>
      </c>
      <c r="G1167" s="683">
        <f>+$E$1151*G19</f>
        <v>0</v>
      </c>
    </row>
    <row r="1168" spans="1:7" s="9" customFormat="1" ht="15.75" thickBot="1" x14ac:dyDescent="0.3">
      <c r="A1168" s="119"/>
      <c r="B1168" s="310"/>
      <c r="C1168" s="9">
        <f t="shared" ca="1" si="272"/>
        <v>1</v>
      </c>
      <c r="D1168" s="35" t="s">
        <v>22</v>
      </c>
      <c r="E1168" s="12" t="s">
        <v>83</v>
      </c>
      <c r="F1168" s="685">
        <f ca="1">SUBTOTAL(9,F1154:F1167)</f>
        <v>13794.241395877625</v>
      </c>
      <c r="G1168" s="685">
        <f>SUBTOTAL(9,G1154:G1167)</f>
        <v>0</v>
      </c>
    </row>
    <row r="1169" spans="1:7" s="9" customFormat="1" ht="15.75" hidden="1" thickBot="1" x14ac:dyDescent="0.3">
      <c r="A1169" s="119"/>
      <c r="B1169" s="310"/>
      <c r="D1169" s="326"/>
      <c r="E1169" s="327"/>
      <c r="F1169" s="686"/>
      <c r="G1169" s="686"/>
    </row>
    <row r="1170" spans="1:7" s="9" customFormat="1" ht="15.75" hidden="1" thickBot="1" x14ac:dyDescent="0.3">
      <c r="A1170" s="119"/>
      <c r="B1170" s="310"/>
      <c r="D1170" s="326"/>
      <c r="E1170" s="327"/>
      <c r="F1170" s="686"/>
      <c r="G1170" s="686"/>
    </row>
    <row r="1171" spans="1:7" s="9" customFormat="1" ht="30" x14ac:dyDescent="0.25">
      <c r="A1171" s="119"/>
      <c r="B1171" s="310"/>
      <c r="C1171" s="9">
        <f ca="1">IF(F1188&gt;0,1,0)</f>
        <v>1</v>
      </c>
      <c r="D1171" s="20" t="str">
        <f>+A63</f>
        <v>Westchester</v>
      </c>
      <c r="E1171" s="19">
        <f>IFERROR(SUMIF(A:A,D1171,B:B),0)</f>
        <v>2.408470791134289E-2</v>
      </c>
      <c r="F1171" s="652" t="s">
        <v>31</v>
      </c>
      <c r="G1171" s="652" t="s">
        <v>32</v>
      </c>
    </row>
    <row r="1172" spans="1:7" s="9" customFormat="1" x14ac:dyDescent="0.25">
      <c r="A1172" s="119"/>
      <c r="B1172" s="310"/>
      <c r="C1172" s="9">
        <f ca="1">C1171</f>
        <v>1</v>
      </c>
      <c r="D1172" s="30"/>
      <c r="E1172" s="31"/>
      <c r="F1172" s="680" t="s">
        <v>54</v>
      </c>
      <c r="G1172" s="680" t="s">
        <v>53</v>
      </c>
    </row>
    <row r="1173" spans="1:7" s="9" customFormat="1" x14ac:dyDescent="0.25">
      <c r="A1173" s="119"/>
      <c r="B1173" s="310"/>
      <c r="C1173" s="9">
        <f t="shared" ref="C1173:C1188" ca="1" si="278">C1172</f>
        <v>1</v>
      </c>
      <c r="D1173" s="32" t="s">
        <v>71</v>
      </c>
      <c r="E1173" s="33"/>
      <c r="F1173" s="681"/>
      <c r="G1173" s="682"/>
    </row>
    <row r="1174" spans="1:7" s="9" customFormat="1" x14ac:dyDescent="0.25">
      <c r="A1174" s="119"/>
      <c r="B1174" s="310"/>
      <c r="C1174" s="9">
        <f t="shared" ca="1" si="278"/>
        <v>1</v>
      </c>
      <c r="D1174" s="368" t="s">
        <v>72</v>
      </c>
      <c r="E1174" s="12" t="s">
        <v>57</v>
      </c>
      <c r="F1174" s="683">
        <f t="shared" ref="F1174:G1174" si="279">+$E1171*F$6</f>
        <v>0</v>
      </c>
      <c r="G1174" s="683">
        <f t="shared" si="279"/>
        <v>0</v>
      </c>
    </row>
    <row r="1175" spans="1:7" s="9" customFormat="1" x14ac:dyDescent="0.25">
      <c r="A1175" s="119"/>
      <c r="B1175" s="310"/>
      <c r="C1175" s="9">
        <f t="shared" ca="1" si="278"/>
        <v>1</v>
      </c>
      <c r="D1175" s="368" t="s">
        <v>73</v>
      </c>
      <c r="E1175" s="12" t="s">
        <v>56</v>
      </c>
      <c r="F1175" s="683">
        <f t="shared" ref="F1175:G1175" si="280">+$E1171*F$7</f>
        <v>10552.221686282932</v>
      </c>
      <c r="G1175" s="683">
        <f t="shared" si="280"/>
        <v>0</v>
      </c>
    </row>
    <row r="1176" spans="1:7" s="9" customFormat="1" x14ac:dyDescent="0.25">
      <c r="A1176" s="119"/>
      <c r="B1176" s="310"/>
      <c r="C1176" s="9">
        <f t="shared" ca="1" si="278"/>
        <v>1</v>
      </c>
      <c r="D1176" s="368" t="s">
        <v>74</v>
      </c>
      <c r="E1176" s="12" t="s">
        <v>55</v>
      </c>
      <c r="F1176" s="683">
        <f t="shared" ref="F1176:G1176" si="281">+$E1171*F$8</f>
        <v>1581.9541043950837</v>
      </c>
      <c r="G1176" s="683">
        <f t="shared" si="281"/>
        <v>0</v>
      </c>
    </row>
    <row r="1177" spans="1:7" s="9" customFormat="1" x14ac:dyDescent="0.25">
      <c r="A1177" s="119"/>
      <c r="B1177" s="310"/>
      <c r="C1177" s="9">
        <f t="shared" ca="1" si="278"/>
        <v>1</v>
      </c>
      <c r="D1177" s="368" t="s">
        <v>75</v>
      </c>
      <c r="E1177" s="12" t="s">
        <v>54</v>
      </c>
      <c r="F1177" s="683">
        <f t="shared" ref="F1177:G1177" si="282">+$E1171*F$9</f>
        <v>3233.2973473443344</v>
      </c>
      <c r="G1177" s="683">
        <f t="shared" si="282"/>
        <v>0</v>
      </c>
    </row>
    <row r="1178" spans="1:7" s="9" customFormat="1" x14ac:dyDescent="0.25">
      <c r="A1178" s="119"/>
      <c r="B1178" s="310"/>
      <c r="C1178" s="9">
        <f t="shared" ca="1" si="278"/>
        <v>1</v>
      </c>
      <c r="D1178" s="34" t="s">
        <v>467</v>
      </c>
      <c r="E1178" s="12" t="s">
        <v>53</v>
      </c>
      <c r="F1178" s="683">
        <f t="shared" ref="F1178:G1178" si="283">+$E1171*F$10</f>
        <v>15482.526377528851</v>
      </c>
      <c r="G1178" s="683">
        <f t="shared" si="283"/>
        <v>0</v>
      </c>
    </row>
    <row r="1179" spans="1:7" s="9" customFormat="1" x14ac:dyDescent="0.25">
      <c r="A1179" s="119"/>
      <c r="B1179" s="310"/>
      <c r="C1179" s="9">
        <f t="shared" ca="1" si="278"/>
        <v>1</v>
      </c>
      <c r="D1179" s="34" t="s">
        <v>76</v>
      </c>
      <c r="E1179" s="12" t="s">
        <v>52</v>
      </c>
      <c r="F1179" s="683">
        <f>+$E1171*F$11</f>
        <v>3540.0438903846707</v>
      </c>
      <c r="G1179" s="683">
        <f>+$E1171*G$11</f>
        <v>0</v>
      </c>
    </row>
    <row r="1180" spans="1:7" s="9" customFormat="1" x14ac:dyDescent="0.25">
      <c r="A1180" s="119"/>
      <c r="B1180" s="310"/>
      <c r="C1180" s="9">
        <f t="shared" ca="1" si="278"/>
        <v>1</v>
      </c>
      <c r="D1180" s="34" t="s">
        <v>468</v>
      </c>
      <c r="E1180" s="12" t="s">
        <v>51</v>
      </c>
      <c r="F1180" s="683">
        <f>+$E1171*F$12</f>
        <v>0</v>
      </c>
      <c r="G1180" s="683">
        <f>+$E1171*G$12</f>
        <v>0</v>
      </c>
    </row>
    <row r="1181" spans="1:7" s="9" customFormat="1" x14ac:dyDescent="0.25">
      <c r="A1181" s="119"/>
      <c r="B1181" s="310"/>
      <c r="C1181" s="9">
        <f t="shared" ca="1" si="278"/>
        <v>1</v>
      </c>
      <c r="D1181" s="368" t="s">
        <v>59</v>
      </c>
      <c r="E1181" s="12" t="s">
        <v>50</v>
      </c>
      <c r="F1181" s="683">
        <f>+$E1171*F$13</f>
        <v>560.54514080465628</v>
      </c>
      <c r="G1181" s="683">
        <f>+$E1171*G$13</f>
        <v>0</v>
      </c>
    </row>
    <row r="1182" spans="1:7" s="9" customFormat="1" x14ac:dyDescent="0.25">
      <c r="A1182" s="119"/>
      <c r="B1182" s="310"/>
      <c r="C1182" s="9">
        <f t="shared" ca="1" si="278"/>
        <v>1</v>
      </c>
      <c r="D1182" s="368" t="s">
        <v>25</v>
      </c>
      <c r="E1182" s="12" t="s">
        <v>49</v>
      </c>
      <c r="F1182" s="683">
        <f>+$E1171*F$14</f>
        <v>1835.5572992390455</v>
      </c>
      <c r="G1182" s="683">
        <f>+$E1171*G$14</f>
        <v>0</v>
      </c>
    </row>
    <row r="1183" spans="1:7" s="9" customFormat="1" x14ac:dyDescent="0.25">
      <c r="A1183" s="119"/>
      <c r="B1183" s="310"/>
      <c r="C1183" s="9">
        <f t="shared" ca="1" si="278"/>
        <v>1</v>
      </c>
      <c r="D1183" s="368" t="s">
        <v>80</v>
      </c>
      <c r="E1183" s="12" t="s">
        <v>47</v>
      </c>
      <c r="F1183" s="683">
        <f>+$E1171*F$15</f>
        <v>6848.3857503941326</v>
      </c>
      <c r="G1183" s="683">
        <f>+$E1171*G$15</f>
        <v>0</v>
      </c>
    </row>
    <row r="1184" spans="1:7" s="9" customFormat="1" x14ac:dyDescent="0.25">
      <c r="A1184" s="119"/>
      <c r="B1184" s="310"/>
      <c r="C1184" s="9">
        <f t="shared" ca="1" si="278"/>
        <v>1</v>
      </c>
      <c r="D1184" s="368" t="s">
        <v>82</v>
      </c>
      <c r="E1184" s="12" t="s">
        <v>77</v>
      </c>
      <c r="F1184" s="683">
        <f>+$E1171*F$16</f>
        <v>4640.5999838946436</v>
      </c>
      <c r="G1184" s="683">
        <f>+$E1171*G$16</f>
        <v>0</v>
      </c>
    </row>
    <row r="1185" spans="1:7" s="9" customFormat="1" x14ac:dyDescent="0.25">
      <c r="A1185" s="119"/>
      <c r="B1185" s="310"/>
      <c r="C1185" s="9">
        <f t="shared" ca="1" si="278"/>
        <v>1</v>
      </c>
      <c r="D1185" s="368" t="s">
        <v>84</v>
      </c>
      <c r="E1185" s="12" t="s">
        <v>78</v>
      </c>
      <c r="F1185" s="683">
        <f ca="1">+$E1171*F$17</f>
        <v>331760.52799236251</v>
      </c>
      <c r="G1185" s="683">
        <f>+$E1171*G$17</f>
        <v>0</v>
      </c>
    </row>
    <row r="1186" spans="1:7" s="9" customFormat="1" x14ac:dyDescent="0.25">
      <c r="A1186" s="119"/>
      <c r="B1186" s="310"/>
      <c r="C1186" s="9">
        <f t="shared" ca="1" si="278"/>
        <v>1</v>
      </c>
      <c r="D1186" s="368" t="s">
        <v>86</v>
      </c>
      <c r="E1186" s="12" t="s">
        <v>79</v>
      </c>
      <c r="F1186" s="683">
        <f>+$E$1171*F18</f>
        <v>0</v>
      </c>
      <c r="G1186" s="683">
        <f>+$E$1171*G18</f>
        <v>0</v>
      </c>
    </row>
    <row r="1187" spans="1:7" s="9" customFormat="1" x14ac:dyDescent="0.25">
      <c r="A1187" s="119"/>
      <c r="B1187" s="310"/>
      <c r="C1187" s="9">
        <f t="shared" ca="1" si="278"/>
        <v>1</v>
      </c>
      <c r="D1187" s="368" t="s">
        <v>386</v>
      </c>
      <c r="E1187" s="12" t="s">
        <v>81</v>
      </c>
      <c r="F1187" s="683">
        <f>+$E$1171*F19</f>
        <v>0</v>
      </c>
      <c r="G1187" s="683">
        <f>+$E$1171*G19</f>
        <v>0</v>
      </c>
    </row>
    <row r="1188" spans="1:7" s="9" customFormat="1" ht="15.75" thickBot="1" x14ac:dyDescent="0.3">
      <c r="A1188" s="119"/>
      <c r="B1188" s="310"/>
      <c r="C1188" s="9">
        <f t="shared" ca="1" si="278"/>
        <v>1</v>
      </c>
      <c r="D1188" s="35" t="s">
        <v>22</v>
      </c>
      <c r="E1188" s="12" t="s">
        <v>83</v>
      </c>
      <c r="F1188" s="685">
        <f ca="1">SUBTOTAL(9,F1174:F1187)</f>
        <v>380035.65957263089</v>
      </c>
      <c r="G1188" s="685">
        <f>SUBTOTAL(9,G1174:G1187)</f>
        <v>0</v>
      </c>
    </row>
    <row r="1189" spans="1:7" s="9" customFormat="1" ht="15.75" hidden="1" thickBot="1" x14ac:dyDescent="0.3">
      <c r="A1189" s="119"/>
      <c r="B1189" s="310"/>
      <c r="D1189" s="326"/>
      <c r="E1189" s="327"/>
      <c r="F1189" s="686"/>
      <c r="G1189" s="686"/>
    </row>
    <row r="1190" spans="1:7" s="9" customFormat="1" ht="30" x14ac:dyDescent="0.25">
      <c r="A1190" s="119"/>
      <c r="B1190" s="310"/>
      <c r="C1190" s="9">
        <f ca="1">IF(F1207&gt;0,1,0)</f>
        <v>1</v>
      </c>
      <c r="D1190" s="20" t="str">
        <f>A64</f>
        <v>Wyoming</v>
      </c>
      <c r="E1190" s="19">
        <f>IFERROR(SUMIF(A:A,D1190,B:B),0)</f>
        <v>6.0201810038197211E-4</v>
      </c>
      <c r="F1190" s="652" t="s">
        <v>31</v>
      </c>
      <c r="G1190" s="652" t="s">
        <v>32</v>
      </c>
    </row>
    <row r="1191" spans="1:7" s="9" customFormat="1" x14ac:dyDescent="0.25">
      <c r="A1191" s="119"/>
      <c r="B1191" s="310"/>
      <c r="C1191" s="9">
        <f ca="1">C1190</f>
        <v>1</v>
      </c>
      <c r="D1191" s="30"/>
      <c r="E1191" s="31"/>
      <c r="F1191" s="680" t="s">
        <v>54</v>
      </c>
      <c r="G1191" s="680" t="s">
        <v>53</v>
      </c>
    </row>
    <row r="1192" spans="1:7" s="9" customFormat="1" x14ac:dyDescent="0.25">
      <c r="A1192" s="119"/>
      <c r="B1192" s="310"/>
      <c r="C1192" s="9">
        <f t="shared" ref="C1192:C1207" ca="1" si="284">C1191</f>
        <v>1</v>
      </c>
      <c r="D1192" s="32" t="s">
        <v>71</v>
      </c>
      <c r="E1192" s="33"/>
      <c r="F1192" s="681"/>
      <c r="G1192" s="682"/>
    </row>
    <row r="1193" spans="1:7" s="9" customFormat="1" x14ac:dyDescent="0.25">
      <c r="A1193" s="119"/>
      <c r="B1193" s="310"/>
      <c r="C1193" s="9">
        <f t="shared" ca="1" si="284"/>
        <v>1</v>
      </c>
      <c r="D1193" s="368" t="s">
        <v>72</v>
      </c>
      <c r="E1193" s="12" t="s">
        <v>57</v>
      </c>
      <c r="F1193" s="683">
        <f t="shared" ref="F1193:G1193" si="285">+$E1190*F$6</f>
        <v>0</v>
      </c>
      <c r="G1193" s="683">
        <f t="shared" si="285"/>
        <v>0</v>
      </c>
    </row>
    <row r="1194" spans="1:7" s="9" customFormat="1" x14ac:dyDescent="0.25">
      <c r="A1194" s="119"/>
      <c r="B1194" s="310"/>
      <c r="C1194" s="9">
        <f t="shared" ca="1" si="284"/>
        <v>1</v>
      </c>
      <c r="D1194" s="368" t="s">
        <v>73</v>
      </c>
      <c r="E1194" s="12" t="s">
        <v>56</v>
      </c>
      <c r="F1194" s="683">
        <f t="shared" ref="F1194:G1194" si="286">+$E1190*F$7</f>
        <v>263.76190559461503</v>
      </c>
      <c r="G1194" s="683">
        <f t="shared" si="286"/>
        <v>0</v>
      </c>
    </row>
    <row r="1195" spans="1:7" s="9" customFormat="1" x14ac:dyDescent="0.25">
      <c r="A1195" s="119"/>
      <c r="B1195" s="310"/>
      <c r="C1195" s="9">
        <f t="shared" ca="1" si="284"/>
        <v>1</v>
      </c>
      <c r="D1195" s="368" t="s">
        <v>74</v>
      </c>
      <c r="E1195" s="12" t="s">
        <v>55</v>
      </c>
      <c r="F1195" s="683">
        <f t="shared" ref="F1195:G1195" si="287">+$E1190*F$8</f>
        <v>39.542310761048022</v>
      </c>
      <c r="G1195" s="683">
        <f t="shared" si="287"/>
        <v>0</v>
      </c>
    </row>
    <row r="1196" spans="1:7" s="9" customFormat="1" x14ac:dyDescent="0.25">
      <c r="A1196" s="119"/>
      <c r="B1196" s="310"/>
      <c r="C1196" s="9">
        <f t="shared" ca="1" si="284"/>
        <v>1</v>
      </c>
      <c r="D1196" s="368" t="s">
        <v>75</v>
      </c>
      <c r="E1196" s="12" t="s">
        <v>54</v>
      </c>
      <c r="F1196" s="683">
        <f t="shared" ref="F1196:G1196" si="288">+$E1190*F$9</f>
        <v>80.8190630413078</v>
      </c>
      <c r="G1196" s="683">
        <f t="shared" si="288"/>
        <v>0</v>
      </c>
    </row>
    <row r="1197" spans="1:7" s="9" customFormat="1" x14ac:dyDescent="0.25">
      <c r="A1197" s="119"/>
      <c r="B1197" s="310"/>
      <c r="C1197" s="9">
        <f t="shared" ca="1" si="284"/>
        <v>1</v>
      </c>
      <c r="D1197" s="34" t="s">
        <v>467</v>
      </c>
      <c r="E1197" s="12" t="s">
        <v>53</v>
      </c>
      <c r="F1197" s="683">
        <f t="shared" ref="F1197:G1197" si="289">+$E1190*F$10</f>
        <v>386.99913460540688</v>
      </c>
      <c r="G1197" s="683">
        <f t="shared" si="289"/>
        <v>0</v>
      </c>
    </row>
    <row r="1198" spans="1:7" s="9" customFormat="1" x14ac:dyDescent="0.25">
      <c r="A1198" s="119"/>
      <c r="B1198" s="310"/>
      <c r="C1198" s="9">
        <f t="shared" ca="1" si="284"/>
        <v>1</v>
      </c>
      <c r="D1198" s="34" t="s">
        <v>76</v>
      </c>
      <c r="E1198" s="12" t="s">
        <v>52</v>
      </c>
      <c r="F1198" s="683">
        <f>+$E1190*F$11</f>
        <v>88.486458129496086</v>
      </c>
      <c r="G1198" s="683">
        <f>+$E1190*G$11</f>
        <v>0</v>
      </c>
    </row>
    <row r="1199" spans="1:7" s="9" customFormat="1" x14ac:dyDescent="0.25">
      <c r="A1199" s="119"/>
      <c r="B1199" s="310"/>
      <c r="C1199" s="9">
        <f t="shared" ca="1" si="284"/>
        <v>1</v>
      </c>
      <c r="D1199" s="34" t="s">
        <v>468</v>
      </c>
      <c r="E1199" s="12" t="s">
        <v>51</v>
      </c>
      <c r="F1199" s="683">
        <f>+$E1190*F$12</f>
        <v>0</v>
      </c>
      <c r="G1199" s="683">
        <f>+$E1190*G$12</f>
        <v>0</v>
      </c>
    </row>
    <row r="1200" spans="1:7" s="9" customFormat="1" x14ac:dyDescent="0.25">
      <c r="A1200" s="119"/>
      <c r="B1200" s="310"/>
      <c r="C1200" s="9">
        <f t="shared" ca="1" si="284"/>
        <v>1</v>
      </c>
      <c r="D1200" s="368" t="s">
        <v>59</v>
      </c>
      <c r="E1200" s="12" t="s">
        <v>50</v>
      </c>
      <c r="F1200" s="683">
        <f>+$E1190*F$13</f>
        <v>14.011310499914158</v>
      </c>
      <c r="G1200" s="683">
        <f>+$E1190*G$13</f>
        <v>0</v>
      </c>
    </row>
    <row r="1201" spans="1:7" s="9" customFormat="1" x14ac:dyDescent="0.25">
      <c r="A1201" s="119"/>
      <c r="B1201" s="310"/>
      <c r="C1201" s="9">
        <f t="shared" ca="1" si="284"/>
        <v>1</v>
      </c>
      <c r="D1201" s="368" t="s">
        <v>25</v>
      </c>
      <c r="E1201" s="12" t="s">
        <v>49</v>
      </c>
      <c r="F1201" s="683">
        <f>+$E1190*F$14</f>
        <v>45.881341907813891</v>
      </c>
      <c r="G1201" s="683">
        <f>+$E1190*G$14</f>
        <v>0</v>
      </c>
    </row>
    <row r="1202" spans="1:7" s="9" customFormat="1" x14ac:dyDescent="0.25">
      <c r="A1202" s="119"/>
      <c r="B1202" s="310"/>
      <c r="C1202" s="9">
        <f t="shared" ca="1" si="284"/>
        <v>1</v>
      </c>
      <c r="D1202" s="368" t="s">
        <v>80</v>
      </c>
      <c r="E1202" s="12" t="s">
        <v>47</v>
      </c>
      <c r="F1202" s="683">
        <f>+$E1190*F$15</f>
        <v>171.18132365614247</v>
      </c>
      <c r="G1202" s="683">
        <f>+$E1190*G$15</f>
        <v>0</v>
      </c>
    </row>
    <row r="1203" spans="1:7" s="9" customFormat="1" x14ac:dyDescent="0.25">
      <c r="A1203" s="119"/>
      <c r="B1203" s="310"/>
      <c r="C1203" s="9">
        <f t="shared" ca="1" si="284"/>
        <v>1</v>
      </c>
      <c r="D1203" s="368" t="s">
        <v>82</v>
      </c>
      <c r="E1203" s="12" t="s">
        <v>77</v>
      </c>
      <c r="F1203" s="683">
        <f>+$E1190*F$16</f>
        <v>115.99580934179134</v>
      </c>
      <c r="G1203" s="683">
        <f>+$E1190*G$16</f>
        <v>0</v>
      </c>
    </row>
    <row r="1204" spans="1:7" s="9" customFormat="1" x14ac:dyDescent="0.25">
      <c r="A1204" s="119"/>
      <c r="B1204" s="310"/>
      <c r="C1204" s="9">
        <f t="shared" ca="1" si="284"/>
        <v>1</v>
      </c>
      <c r="D1204" s="368" t="s">
        <v>84</v>
      </c>
      <c r="E1204" s="12" t="s">
        <v>78</v>
      </c>
      <c r="F1204" s="683">
        <f ca="1">+$E1190*F$17</f>
        <v>8292.6412717515104</v>
      </c>
      <c r="G1204" s="683">
        <f>+$E1190*G$17</f>
        <v>0</v>
      </c>
    </row>
    <row r="1205" spans="1:7" s="9" customFormat="1" x14ac:dyDescent="0.25">
      <c r="A1205" s="119"/>
      <c r="B1205" s="310"/>
      <c r="C1205" s="9">
        <f t="shared" ca="1" si="284"/>
        <v>1</v>
      </c>
      <c r="D1205" s="368" t="s">
        <v>86</v>
      </c>
      <c r="E1205" s="12" t="s">
        <v>79</v>
      </c>
      <c r="F1205" s="683">
        <f>+$E$1190*F18</f>
        <v>0</v>
      </c>
      <c r="G1205" s="683">
        <f>+$E$1190*G18</f>
        <v>0</v>
      </c>
    </row>
    <row r="1206" spans="1:7" s="9" customFormat="1" x14ac:dyDescent="0.25">
      <c r="A1206" s="119"/>
      <c r="B1206" s="310"/>
      <c r="C1206" s="9">
        <f t="shared" ca="1" si="284"/>
        <v>1</v>
      </c>
      <c r="D1206" s="368" t="s">
        <v>386</v>
      </c>
      <c r="E1206" s="12" t="s">
        <v>81</v>
      </c>
      <c r="F1206" s="683">
        <f>+$E$1190*F19</f>
        <v>0</v>
      </c>
      <c r="G1206" s="683">
        <f>+$E$1190*G19</f>
        <v>0</v>
      </c>
    </row>
    <row r="1207" spans="1:7" s="9" customFormat="1" ht="15.75" thickBot="1" x14ac:dyDescent="0.3">
      <c r="A1207" s="119"/>
      <c r="B1207" s="310"/>
      <c r="C1207" s="9">
        <f t="shared" ca="1" si="284"/>
        <v>1</v>
      </c>
      <c r="D1207" s="35" t="s">
        <v>22</v>
      </c>
      <c r="E1207" s="12" t="s">
        <v>83</v>
      </c>
      <c r="F1207" s="685">
        <f ca="1">SUBTOTAL(9,F1193:F1206)</f>
        <v>9499.3199292890458</v>
      </c>
      <c r="G1207" s="685">
        <f>SUBTOTAL(9,G1193:G1206)</f>
        <v>0</v>
      </c>
    </row>
    <row r="1208" spans="1:7" s="9" customFormat="1" ht="15.75" hidden="1" thickBot="1" x14ac:dyDescent="0.3">
      <c r="A1208" s="119"/>
      <c r="B1208" s="310"/>
      <c r="D1208" s="326"/>
      <c r="E1208" s="327"/>
      <c r="F1208" s="686"/>
      <c r="G1208" s="686"/>
    </row>
    <row r="1209" spans="1:7" s="9" customFormat="1" ht="30" x14ac:dyDescent="0.25">
      <c r="A1209" s="119"/>
      <c r="B1209" s="310"/>
      <c r="C1209" s="9">
        <f ca="1">IF(F1226&gt;0,1,0)</f>
        <v>1</v>
      </c>
      <c r="D1209" s="20" t="str">
        <f>A65</f>
        <v>Yates</v>
      </c>
      <c r="E1209" s="19">
        <f>IFERROR(SUMIF(A:A,D1209,B:B),0)</f>
        <v>8.2460222886133507E-4</v>
      </c>
      <c r="F1209" s="652" t="s">
        <v>31</v>
      </c>
      <c r="G1209" s="652" t="s">
        <v>32</v>
      </c>
    </row>
    <row r="1210" spans="1:7" s="9" customFormat="1" x14ac:dyDescent="0.25">
      <c r="A1210" s="119"/>
      <c r="B1210" s="310"/>
      <c r="C1210" s="9">
        <f ca="1">C1209</f>
        <v>1</v>
      </c>
      <c r="D1210" s="30"/>
      <c r="E1210" s="31"/>
      <c r="F1210" s="680" t="s">
        <v>54</v>
      </c>
      <c r="G1210" s="680" t="s">
        <v>53</v>
      </c>
    </row>
    <row r="1211" spans="1:7" s="9" customFormat="1" x14ac:dyDescent="0.25">
      <c r="A1211" s="119"/>
      <c r="B1211" s="310"/>
      <c r="C1211" s="9">
        <f t="shared" ref="C1211:C1226" ca="1" si="290">C1210</f>
        <v>1</v>
      </c>
      <c r="D1211" s="32" t="s">
        <v>71</v>
      </c>
      <c r="E1211" s="33"/>
      <c r="F1211" s="681"/>
      <c r="G1211" s="682"/>
    </row>
    <row r="1212" spans="1:7" s="9" customFormat="1" x14ac:dyDescent="0.25">
      <c r="A1212" s="119"/>
      <c r="B1212" s="310"/>
      <c r="C1212" s="9">
        <f t="shared" ca="1" si="290"/>
        <v>1</v>
      </c>
      <c r="D1212" s="368" t="s">
        <v>72</v>
      </c>
      <c r="E1212" s="12" t="s">
        <v>57</v>
      </c>
      <c r="F1212" s="683">
        <f t="shared" ref="F1212:G1212" si="291">+$E1209*F$6</f>
        <v>0</v>
      </c>
      <c r="G1212" s="683">
        <f t="shared" si="291"/>
        <v>0</v>
      </c>
    </row>
    <row r="1213" spans="1:7" s="9" customFormat="1" x14ac:dyDescent="0.25">
      <c r="A1213" s="119"/>
      <c r="B1213" s="310"/>
      <c r="C1213" s="9">
        <f t="shared" ca="1" si="290"/>
        <v>1</v>
      </c>
      <c r="D1213" s="368" t="s">
        <v>73</v>
      </c>
      <c r="E1213" s="12" t="s">
        <v>56</v>
      </c>
      <c r="F1213" s="683">
        <f t="shared" ref="F1213:G1213" si="292">+$E1209*F$7</f>
        <v>361.28258453364231</v>
      </c>
      <c r="G1213" s="683">
        <f t="shared" si="292"/>
        <v>0</v>
      </c>
    </row>
    <row r="1214" spans="1:7" s="9" customFormat="1" x14ac:dyDescent="0.25">
      <c r="A1214" s="119"/>
      <c r="B1214" s="310"/>
      <c r="C1214" s="9">
        <f t="shared" ca="1" si="290"/>
        <v>1</v>
      </c>
      <c r="D1214" s="368" t="s">
        <v>74</v>
      </c>
      <c r="E1214" s="12" t="s">
        <v>55</v>
      </c>
      <c r="F1214" s="683">
        <f t="shared" ref="F1214:G1214" si="293">+$E1209*F$8</f>
        <v>54.162287757127679</v>
      </c>
      <c r="G1214" s="683">
        <f t="shared" si="293"/>
        <v>0</v>
      </c>
    </row>
    <row r="1215" spans="1:7" s="9" customFormat="1" x14ac:dyDescent="0.25">
      <c r="A1215" s="119"/>
      <c r="B1215" s="310"/>
      <c r="C1215" s="9">
        <f t="shared" ca="1" si="290"/>
        <v>1</v>
      </c>
      <c r="D1215" s="368" t="s">
        <v>75</v>
      </c>
      <c r="E1215" s="12" t="s">
        <v>54</v>
      </c>
      <c r="F1215" s="683">
        <f t="shared" ref="F1215:G1215" si="294">+$E1209*F$9</f>
        <v>110.70029202786883</v>
      </c>
      <c r="G1215" s="683">
        <f t="shared" si="294"/>
        <v>0</v>
      </c>
    </row>
    <row r="1216" spans="1:7" s="9" customFormat="1" x14ac:dyDescent="0.25">
      <c r="A1216" s="119"/>
      <c r="B1216" s="310"/>
      <c r="C1216" s="9">
        <f t="shared" ca="1" si="290"/>
        <v>1</v>
      </c>
      <c r="D1216" s="34" t="s">
        <v>467</v>
      </c>
      <c r="E1216" s="12" t="s">
        <v>53</v>
      </c>
      <c r="F1216" s="683">
        <f t="shared" ref="F1216:G1216" si="295">+$E1209*F$10</f>
        <v>530.08430935971683</v>
      </c>
      <c r="G1216" s="683">
        <f t="shared" si="295"/>
        <v>0</v>
      </c>
    </row>
    <row r="1217" spans="3:8" x14ac:dyDescent="0.25">
      <c r="C1217" s="9">
        <f t="shared" ca="1" si="290"/>
        <v>1</v>
      </c>
      <c r="D1217" s="34" t="s">
        <v>76</v>
      </c>
      <c r="E1217" s="12" t="s">
        <v>52</v>
      </c>
      <c r="F1217" s="683">
        <f>+$E1209*F$11</f>
        <v>121.20255279921265</v>
      </c>
      <c r="G1217" s="683">
        <f>+$E1209*G$11</f>
        <v>0</v>
      </c>
      <c r="H1217" s="9"/>
    </row>
    <row r="1218" spans="3:8" x14ac:dyDescent="0.25">
      <c r="C1218" s="9">
        <f t="shared" ca="1" si="290"/>
        <v>1</v>
      </c>
      <c r="D1218" s="34" t="s">
        <v>468</v>
      </c>
      <c r="E1218" s="12" t="s">
        <v>51</v>
      </c>
      <c r="F1218" s="683">
        <f>+$E1209*F$12</f>
        <v>0</v>
      </c>
      <c r="G1218" s="683">
        <f>+$E1209*G$12</f>
        <v>0</v>
      </c>
      <c r="H1218" s="9"/>
    </row>
    <row r="1219" spans="3:8" x14ac:dyDescent="0.25">
      <c r="C1219" s="9">
        <f t="shared" ca="1" si="290"/>
        <v>1</v>
      </c>
      <c r="D1219" s="368" t="s">
        <v>59</v>
      </c>
      <c r="E1219" s="12" t="s">
        <v>50</v>
      </c>
      <c r="F1219" s="683">
        <f>+$E1209*F$13</f>
        <v>19.191711777713564</v>
      </c>
      <c r="G1219" s="683">
        <f>+$E1209*G$13</f>
        <v>0</v>
      </c>
      <c r="H1219" s="9"/>
    </row>
    <row r="1220" spans="3:8" x14ac:dyDescent="0.25">
      <c r="C1220" s="9">
        <f t="shared" ca="1" si="290"/>
        <v>1</v>
      </c>
      <c r="D1220" s="368" t="s">
        <v>25</v>
      </c>
      <c r="E1220" s="12" t="s">
        <v>49</v>
      </c>
      <c r="F1220" s="683">
        <f>+$E1209*F$14</f>
        <v>62.845048639446652</v>
      </c>
      <c r="G1220" s="683">
        <f>+$E1209*G$14</f>
        <v>0</v>
      </c>
      <c r="H1220" s="9"/>
    </row>
    <row r="1221" spans="3:8" x14ac:dyDescent="0.25">
      <c r="C1221" s="9">
        <f t="shared" ca="1" si="290"/>
        <v>1</v>
      </c>
      <c r="D1221" s="368" t="s">
        <v>80</v>
      </c>
      <c r="E1221" s="12" t="s">
        <v>47</v>
      </c>
      <c r="F1221" s="683">
        <f>+$E1209*F$15</f>
        <v>234.47218769124521</v>
      </c>
      <c r="G1221" s="683">
        <f>+$E1209*G$15</f>
        <v>0</v>
      </c>
      <c r="H1221" s="9"/>
    </row>
    <row r="1222" spans="3:8" x14ac:dyDescent="0.25">
      <c r="C1222" s="9">
        <f t="shared" ca="1" si="290"/>
        <v>1</v>
      </c>
      <c r="D1222" s="368" t="s">
        <v>82</v>
      </c>
      <c r="E1222" s="12" t="s">
        <v>77</v>
      </c>
      <c r="F1222" s="683">
        <f>+$E1209*F$16</f>
        <v>158.88293534883215</v>
      </c>
      <c r="G1222" s="683">
        <f>+$E1209*G$16</f>
        <v>0</v>
      </c>
      <c r="H1222" s="9"/>
    </row>
    <row r="1223" spans="3:8" x14ac:dyDescent="0.25">
      <c r="C1223" s="9">
        <f t="shared" ca="1" si="290"/>
        <v>1</v>
      </c>
      <c r="D1223" s="368" t="s">
        <v>84</v>
      </c>
      <c r="E1223" s="12" t="s">
        <v>78</v>
      </c>
      <c r="F1223" s="683">
        <f ca="1">+$E1209*F$17</f>
        <v>11358.679201663692</v>
      </c>
      <c r="G1223" s="683">
        <f>+$E1209*G$17</f>
        <v>0</v>
      </c>
      <c r="H1223" s="9"/>
    </row>
    <row r="1224" spans="3:8" x14ac:dyDescent="0.25">
      <c r="C1224" s="9">
        <f t="shared" ca="1" si="290"/>
        <v>1</v>
      </c>
      <c r="D1224" s="368" t="s">
        <v>86</v>
      </c>
      <c r="E1224" s="12" t="s">
        <v>79</v>
      </c>
      <c r="F1224" s="683"/>
      <c r="G1224" s="683"/>
      <c r="H1224" s="9"/>
    </row>
    <row r="1225" spans="3:8" x14ac:dyDescent="0.25">
      <c r="C1225" s="9">
        <f t="shared" ca="1" si="290"/>
        <v>1</v>
      </c>
      <c r="D1225" s="368" t="s">
        <v>386</v>
      </c>
      <c r="E1225" s="12" t="s">
        <v>81</v>
      </c>
      <c r="F1225" s="683">
        <f>+$E$1190*F38</f>
        <v>0</v>
      </c>
      <c r="G1225" s="683">
        <f>+$E$1190*G38</f>
        <v>0</v>
      </c>
      <c r="H1225" s="9"/>
    </row>
    <row r="1226" spans="3:8" ht="15.75" thickBot="1" x14ac:dyDescent="0.3">
      <c r="C1226" s="9">
        <f t="shared" ca="1" si="290"/>
        <v>1</v>
      </c>
      <c r="D1226" s="35" t="s">
        <v>22</v>
      </c>
      <c r="E1226" s="12" t="s">
        <v>83</v>
      </c>
      <c r="F1226" s="685">
        <f ca="1">SUBTOTAL(9,F1212:F1225)</f>
        <v>13011.503111598498</v>
      </c>
      <c r="G1226" s="685">
        <f>SUBTOTAL(9,G1212:G1225)</f>
        <v>0</v>
      </c>
      <c r="H1226" s="9"/>
    </row>
    <row r="1227" spans="3:8" hidden="1" x14ac:dyDescent="0.25">
      <c r="D1227" s="326"/>
      <c r="E1227" s="327"/>
      <c r="F1227" s="686"/>
      <c r="G1227" s="686"/>
      <c r="H1227" s="9"/>
    </row>
    <row r="1228" spans="3:8" x14ac:dyDescent="0.25">
      <c r="C1228" s="9">
        <v>1</v>
      </c>
      <c r="D1228" s="326"/>
      <c r="E1228" s="369"/>
      <c r="F1228" s="686"/>
      <c r="G1228" s="686"/>
    </row>
    <row r="1229" spans="3:8" x14ac:dyDescent="0.25">
      <c r="C1229" s="9">
        <v>1</v>
      </c>
      <c r="D1229" s="326" t="s">
        <v>379</v>
      </c>
      <c r="E1229" s="334">
        <f>SUM(E23:E1227)</f>
        <v>0.99999999999999978</v>
      </c>
      <c r="F1229" s="686"/>
      <c r="G1229" s="686"/>
    </row>
    <row r="1230" spans="3:8" x14ac:dyDescent="0.25">
      <c r="C1230" s="9">
        <v>1</v>
      </c>
      <c r="D1230" s="326"/>
      <c r="E1230" s="333"/>
      <c r="F1230" s="686"/>
      <c r="G1230" s="686"/>
    </row>
    <row r="1231" spans="3:8" x14ac:dyDescent="0.25">
      <c r="C1231" s="9">
        <v>1</v>
      </c>
      <c r="E1231" s="10" t="s">
        <v>68</v>
      </c>
      <c r="F1231" s="648">
        <f ca="1">SUBTOTAL(9,F23:F1229)</f>
        <v>15779126.779181322</v>
      </c>
      <c r="G1231" s="648">
        <f>SUBTOTAL(9,G23:G1229)</f>
        <v>0</v>
      </c>
    </row>
    <row r="1232" spans="3:8" x14ac:dyDescent="0.25">
      <c r="C1232" s="9">
        <v>1</v>
      </c>
      <c r="E1232" s="29" t="s">
        <v>69</v>
      </c>
      <c r="F1232" s="687">
        <f ca="1">+F1231-F20</f>
        <v>0</v>
      </c>
      <c r="G1232" s="687">
        <f>+G1231-G20</f>
        <v>0</v>
      </c>
    </row>
    <row r="1233" spans="1:7" s="9" customFormat="1" hidden="1" x14ac:dyDescent="0.25">
      <c r="A1233" s="119"/>
      <c r="B1233" s="310"/>
      <c r="E1233" s="10"/>
      <c r="F1233" s="689">
        <f t="shared" ref="F1233" ca="1" si="296">F1232/F1231</f>
        <v>0</v>
      </c>
      <c r="G1233" s="648"/>
    </row>
  </sheetData>
  <autoFilter ref="A1:I1233" xr:uid="{00000000-0009-0000-0000-00000A000000}">
    <filterColumn colId="2">
      <customFilters>
        <customFilter operator="notEqual" val=" "/>
      </customFilters>
    </filterColumn>
  </autoFilter>
  <phoneticPr fontId="100" type="noConversion"/>
  <conditionalFormatting sqref="E1229">
    <cfRule type="cellIs" dxfId="764" priority="4" operator="lessThan">
      <formula>1</formula>
    </cfRule>
    <cfRule type="cellIs" dxfId="763" priority="5" operator="greaterThan">
      <formula>1</formula>
    </cfRule>
    <cfRule type="cellIs" dxfId="762" priority="6" operator="equal">
      <formula>1</formula>
    </cfRule>
  </conditionalFormatting>
  <conditionalFormatting sqref="F1232:G1232">
    <cfRule type="cellIs" dxfId="761" priority="1" operator="lessThan">
      <formula>0</formula>
    </cfRule>
    <cfRule type="cellIs" dxfId="760" priority="2" operator="greaterThan">
      <formula>0</formula>
    </cfRule>
    <cfRule type="cellIs" dxfId="759" priority="3" operator="equal">
      <formula>0</formula>
    </cfRule>
  </conditionalFormatting>
  <pageMargins left="0.7" right="0.7" top="0.75" bottom="0.75" header="0.3" footer="0.3"/>
  <pageSetup paperSize="17" scale="53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tabColor rgb="FF92D050"/>
  </sheetPr>
  <dimension ref="A1:S124"/>
  <sheetViews>
    <sheetView tabSelected="1" workbookViewId="0">
      <selection activeCell="A13" sqref="A13:XFD13"/>
    </sheetView>
  </sheetViews>
  <sheetFormatPr defaultColWidth="9.28515625" defaultRowHeight="15" x14ac:dyDescent="0.25"/>
  <cols>
    <col min="1" max="1" width="35.42578125" style="4" bestFit="1" customWidth="1"/>
    <col min="2" max="2" width="19" style="701" bestFit="1" customWidth="1"/>
    <col min="3" max="10" width="14.7109375" style="701" bestFit="1" customWidth="1"/>
    <col min="11" max="11" width="19.28515625" style="701" bestFit="1" customWidth="1"/>
    <col min="12" max="12" width="18" style="701" bestFit="1" customWidth="1"/>
    <col min="13" max="13" width="19" style="701" bestFit="1" customWidth="1"/>
    <col min="14" max="14" width="32.28515625" style="4" customWidth="1"/>
    <col min="15" max="15" width="29.7109375" style="4" customWidth="1"/>
    <col min="16" max="16" width="30.7109375" style="4" customWidth="1"/>
    <col min="17" max="17" width="32.28515625" style="4" bestFit="1" customWidth="1"/>
    <col min="18" max="18" width="29.7109375" style="4" bestFit="1" customWidth="1"/>
    <col min="19" max="19" width="30.7109375" style="4" bestFit="1" customWidth="1"/>
    <col min="20" max="20" width="32.28515625" style="4" bestFit="1" customWidth="1"/>
    <col min="21" max="21" width="29.7109375" style="4" bestFit="1" customWidth="1"/>
    <col min="22" max="22" width="30.7109375" style="4" bestFit="1" customWidth="1"/>
    <col min="23" max="16384" width="9.28515625" style="4"/>
  </cols>
  <sheetData>
    <row r="1" spans="1:19" x14ac:dyDescent="0.25">
      <c r="A1" s="903" t="s">
        <v>163</v>
      </c>
      <c r="B1" s="904" t="s">
        <v>20</v>
      </c>
    </row>
    <row r="2" spans="1:19" x14ac:dyDescent="0.25">
      <c r="A2" s="903" t="s">
        <v>507</v>
      </c>
      <c r="B2" s="904" t="s">
        <v>506</v>
      </c>
      <c r="C2" s="702"/>
    </row>
    <row r="3" spans="1:19" x14ac:dyDescent="0.25">
      <c r="A3" s="912" t="s">
        <v>543</v>
      </c>
      <c r="B3" s="912"/>
      <c r="C3" s="912"/>
      <c r="D3" s="702"/>
      <c r="E3" s="702"/>
      <c r="F3" s="702"/>
      <c r="G3" s="702"/>
      <c r="H3" s="702"/>
      <c r="I3" s="702"/>
      <c r="J3" s="702"/>
      <c r="K3" s="702"/>
      <c r="L3" s="702"/>
      <c r="M3" s="702"/>
      <c r="N3"/>
      <c r="O3"/>
      <c r="P3"/>
      <c r="Q3"/>
      <c r="R3"/>
      <c r="S3"/>
    </row>
    <row r="4" spans="1:19" s="631" customFormat="1" ht="42.6" customHeight="1" x14ac:dyDescent="0.25">
      <c r="A4" s="905"/>
      <c r="B4" s="910" t="s">
        <v>24</v>
      </c>
      <c r="C4" s="911"/>
      <c r="D4" s="710"/>
      <c r="E4" s="711"/>
      <c r="F4" s="711"/>
      <c r="G4" s="711"/>
      <c r="H4" s="711"/>
      <c r="I4" s="711"/>
      <c r="J4" s="711"/>
      <c r="K4" s="711"/>
      <c r="L4" s="711"/>
      <c r="M4" s="712"/>
      <c r="N4"/>
      <c r="O4"/>
      <c r="P4"/>
      <c r="Q4" s="703"/>
      <c r="R4" s="703"/>
      <c r="S4" s="700"/>
    </row>
    <row r="5" spans="1:19" s="631" customFormat="1" ht="42.6" customHeight="1" x14ac:dyDescent="0.25">
      <c r="A5" s="905"/>
      <c r="B5" s="710" t="s">
        <v>428</v>
      </c>
      <c r="C5" s="711"/>
      <c r="D5" s="711"/>
      <c r="E5" s="711" t="s">
        <v>248</v>
      </c>
      <c r="F5" s="711"/>
      <c r="G5" s="711"/>
      <c r="H5" s="711" t="s">
        <v>16</v>
      </c>
      <c r="I5" s="711"/>
      <c r="J5" s="712"/>
      <c r="K5" s="905" t="s">
        <v>166</v>
      </c>
      <c r="L5" s="905" t="s">
        <v>167</v>
      </c>
      <c r="M5" s="905" t="s">
        <v>168</v>
      </c>
      <c r="N5"/>
      <c r="O5"/>
      <c r="P5"/>
      <c r="Q5" s="703"/>
      <c r="R5" s="703"/>
      <c r="S5" s="700"/>
    </row>
    <row r="6" spans="1:19" s="631" customFormat="1" ht="42.6" customHeight="1" x14ac:dyDescent="0.25">
      <c r="A6" s="906" t="s">
        <v>21</v>
      </c>
      <c r="B6" s="710" t="s">
        <v>27</v>
      </c>
      <c r="C6" s="711" t="s">
        <v>28</v>
      </c>
      <c r="D6" s="712" t="s">
        <v>23</v>
      </c>
      <c r="E6" s="710" t="s">
        <v>27</v>
      </c>
      <c r="F6" s="711" t="s">
        <v>28</v>
      </c>
      <c r="G6" s="712" t="s">
        <v>23</v>
      </c>
      <c r="H6" s="710" t="s">
        <v>27</v>
      </c>
      <c r="I6" s="711" t="s">
        <v>28</v>
      </c>
      <c r="J6" s="712" t="s">
        <v>23</v>
      </c>
      <c r="K6" s="905"/>
      <c r="L6" s="905"/>
      <c r="M6" s="905"/>
      <c r="N6"/>
      <c r="O6"/>
      <c r="P6"/>
      <c r="Q6" s="703"/>
      <c r="R6" s="703"/>
      <c r="S6" s="700"/>
    </row>
    <row r="7" spans="1:19" x14ac:dyDescent="0.25">
      <c r="A7" s="907" t="s">
        <v>303</v>
      </c>
      <c r="B7" s="908">
        <v>177</v>
      </c>
      <c r="C7" s="908">
        <v>12892</v>
      </c>
      <c r="D7" s="908">
        <v>57484.5</v>
      </c>
      <c r="E7" s="908">
        <v>6</v>
      </c>
      <c r="F7" s="908">
        <v>158</v>
      </c>
      <c r="G7" s="908">
        <v>314</v>
      </c>
      <c r="H7" s="908">
        <v>7</v>
      </c>
      <c r="I7" s="908">
        <v>42</v>
      </c>
      <c r="J7" s="908">
        <v>181</v>
      </c>
      <c r="K7" s="909">
        <v>190</v>
      </c>
      <c r="L7" s="909">
        <v>13092</v>
      </c>
      <c r="M7" s="909">
        <v>57979.5</v>
      </c>
      <c r="N7"/>
      <c r="O7"/>
      <c r="P7"/>
      <c r="Q7"/>
      <c r="R7"/>
      <c r="S7"/>
    </row>
    <row r="8" spans="1:19" x14ac:dyDescent="0.25">
      <c r="A8" s="907" t="s">
        <v>305</v>
      </c>
      <c r="B8" s="908"/>
      <c r="C8" s="908"/>
      <c r="D8" s="908"/>
      <c r="E8" s="908"/>
      <c r="F8" s="908"/>
      <c r="G8" s="908"/>
      <c r="H8" s="908"/>
      <c r="I8" s="908"/>
      <c r="J8" s="908"/>
      <c r="K8" s="909"/>
      <c r="L8" s="909"/>
      <c r="M8" s="909"/>
      <c r="N8"/>
      <c r="O8"/>
      <c r="P8"/>
      <c r="Q8"/>
      <c r="R8"/>
      <c r="S8"/>
    </row>
    <row r="9" spans="1:19" x14ac:dyDescent="0.25">
      <c r="A9" s="982" t="s">
        <v>34</v>
      </c>
      <c r="B9" s="908">
        <v>3</v>
      </c>
      <c r="C9" s="908">
        <v>161</v>
      </c>
      <c r="D9" s="908">
        <v>391.75</v>
      </c>
      <c r="E9" s="908"/>
      <c r="F9" s="908"/>
      <c r="G9" s="908"/>
      <c r="H9" s="908"/>
      <c r="I9" s="908"/>
      <c r="J9" s="908"/>
      <c r="K9" s="909">
        <v>3</v>
      </c>
      <c r="L9" s="909">
        <v>161</v>
      </c>
      <c r="M9" s="909">
        <v>391.75</v>
      </c>
      <c r="N9"/>
      <c r="O9"/>
      <c r="P9"/>
      <c r="Q9"/>
      <c r="R9"/>
      <c r="S9"/>
    </row>
    <row r="10" spans="1:19" x14ac:dyDescent="0.25">
      <c r="A10" s="982" t="s">
        <v>35</v>
      </c>
      <c r="B10" s="908">
        <v>634</v>
      </c>
      <c r="C10" s="908">
        <v>56898</v>
      </c>
      <c r="D10" s="908">
        <v>312298.75</v>
      </c>
      <c r="E10" s="908"/>
      <c r="F10" s="908"/>
      <c r="G10" s="908"/>
      <c r="H10" s="908"/>
      <c r="I10" s="908"/>
      <c r="J10" s="908"/>
      <c r="K10" s="909">
        <v>634</v>
      </c>
      <c r="L10" s="909">
        <v>56898</v>
      </c>
      <c r="M10" s="909">
        <v>312298.75</v>
      </c>
      <c r="N10"/>
      <c r="O10"/>
      <c r="P10"/>
      <c r="Q10"/>
      <c r="R10"/>
      <c r="S10"/>
    </row>
    <row r="11" spans="1:19" x14ac:dyDescent="0.25">
      <c r="A11" s="982" t="s">
        <v>37</v>
      </c>
      <c r="B11" s="908">
        <v>16</v>
      </c>
      <c r="C11" s="908">
        <v>1622</v>
      </c>
      <c r="D11" s="908">
        <v>21086</v>
      </c>
      <c r="E11" s="908"/>
      <c r="F11" s="908"/>
      <c r="G11" s="908"/>
      <c r="H11" s="908"/>
      <c r="I11" s="908"/>
      <c r="J11" s="908"/>
      <c r="K11" s="909">
        <v>16</v>
      </c>
      <c r="L11" s="909">
        <v>1622</v>
      </c>
      <c r="M11" s="909">
        <v>21086</v>
      </c>
      <c r="N11"/>
      <c r="O11"/>
      <c r="P11"/>
      <c r="Q11"/>
      <c r="R11"/>
      <c r="S11"/>
    </row>
    <row r="12" spans="1:19" x14ac:dyDescent="0.25">
      <c r="A12" s="982" t="s">
        <v>38</v>
      </c>
      <c r="B12" s="908">
        <v>170</v>
      </c>
      <c r="C12" s="908">
        <v>173</v>
      </c>
      <c r="D12" s="908">
        <v>173</v>
      </c>
      <c r="E12" s="908"/>
      <c r="F12" s="908"/>
      <c r="G12" s="908"/>
      <c r="H12" s="908"/>
      <c r="I12" s="908"/>
      <c r="J12" s="908"/>
      <c r="K12" s="909">
        <v>170</v>
      </c>
      <c r="L12" s="909">
        <v>173</v>
      </c>
      <c r="M12" s="909">
        <v>173</v>
      </c>
      <c r="N12"/>
      <c r="O12"/>
      <c r="P12"/>
      <c r="Q12"/>
      <c r="R12"/>
      <c r="S12"/>
    </row>
    <row r="13" spans="1:19" x14ac:dyDescent="0.25">
      <c r="A13" s="982" t="s">
        <v>39</v>
      </c>
      <c r="B13" s="908">
        <v>21</v>
      </c>
      <c r="C13" s="908">
        <v>21</v>
      </c>
      <c r="D13" s="908">
        <v>21</v>
      </c>
      <c r="E13" s="908"/>
      <c r="F13" s="908"/>
      <c r="G13" s="908"/>
      <c r="H13" s="908"/>
      <c r="I13" s="908"/>
      <c r="J13" s="908"/>
      <c r="K13" s="909">
        <v>21</v>
      </c>
      <c r="L13" s="909">
        <v>21</v>
      </c>
      <c r="M13" s="909">
        <v>21</v>
      </c>
      <c r="N13"/>
      <c r="O13"/>
      <c r="P13"/>
      <c r="Q13"/>
      <c r="R13"/>
      <c r="S13"/>
    </row>
    <row r="14" spans="1:19" x14ac:dyDescent="0.25">
      <c r="A14" s="982" t="s">
        <v>41</v>
      </c>
      <c r="B14" s="908">
        <v>68</v>
      </c>
      <c r="C14" s="908">
        <v>7179</v>
      </c>
      <c r="D14" s="908">
        <v>13758.5</v>
      </c>
      <c r="E14" s="908"/>
      <c r="F14" s="908"/>
      <c r="G14" s="908"/>
      <c r="H14" s="908"/>
      <c r="I14" s="908"/>
      <c r="J14" s="908"/>
      <c r="K14" s="909">
        <v>68</v>
      </c>
      <c r="L14" s="909">
        <v>7179</v>
      </c>
      <c r="M14" s="909">
        <v>13758.5</v>
      </c>
      <c r="N14"/>
      <c r="O14"/>
      <c r="P14"/>
      <c r="Q14"/>
      <c r="R14"/>
      <c r="S14"/>
    </row>
    <row r="15" spans="1:19" x14ac:dyDescent="0.25">
      <c r="A15" s="982" t="s">
        <v>390</v>
      </c>
      <c r="B15" s="908"/>
      <c r="C15" s="908"/>
      <c r="D15" s="908"/>
      <c r="E15" s="908"/>
      <c r="F15" s="908"/>
      <c r="G15" s="908"/>
      <c r="H15" s="908">
        <v>72</v>
      </c>
      <c r="I15" s="908">
        <v>24479</v>
      </c>
      <c r="J15" s="908">
        <v>271209</v>
      </c>
      <c r="K15" s="909">
        <v>72</v>
      </c>
      <c r="L15" s="909">
        <v>24479</v>
      </c>
      <c r="M15" s="909">
        <v>271209</v>
      </c>
      <c r="N15"/>
      <c r="O15"/>
      <c r="P15"/>
      <c r="Q15"/>
      <c r="R15"/>
      <c r="S15"/>
    </row>
    <row r="16" spans="1:19" x14ac:dyDescent="0.25">
      <c r="A16" s="982" t="s">
        <v>391</v>
      </c>
      <c r="B16" s="908"/>
      <c r="C16" s="908"/>
      <c r="D16" s="908"/>
      <c r="E16" s="908"/>
      <c r="F16" s="908"/>
      <c r="G16" s="908"/>
      <c r="H16" s="908">
        <v>389</v>
      </c>
      <c r="I16" s="908">
        <v>49407</v>
      </c>
      <c r="J16" s="908">
        <v>316637.5</v>
      </c>
      <c r="K16" s="909">
        <v>389</v>
      </c>
      <c r="L16" s="909">
        <v>49407</v>
      </c>
      <c r="M16" s="909">
        <v>316637.5</v>
      </c>
      <c r="N16"/>
      <c r="O16"/>
      <c r="P16"/>
      <c r="Q16"/>
      <c r="R16"/>
      <c r="S16"/>
    </row>
    <row r="17" spans="1:19" x14ac:dyDescent="0.25">
      <c r="A17" s="982" t="s">
        <v>374</v>
      </c>
      <c r="B17" s="908"/>
      <c r="C17" s="908"/>
      <c r="D17" s="908"/>
      <c r="E17" s="908">
        <v>34</v>
      </c>
      <c r="F17" s="908">
        <v>264</v>
      </c>
      <c r="G17" s="908">
        <v>1299.5</v>
      </c>
      <c r="H17" s="908"/>
      <c r="I17" s="908"/>
      <c r="J17" s="908"/>
      <c r="K17" s="909">
        <v>34</v>
      </c>
      <c r="L17" s="909">
        <v>264</v>
      </c>
      <c r="M17" s="909">
        <v>1299.5</v>
      </c>
      <c r="N17"/>
      <c r="O17"/>
      <c r="P17"/>
      <c r="Q17"/>
      <c r="R17"/>
      <c r="S17"/>
    </row>
    <row r="18" spans="1:19" x14ac:dyDescent="0.25">
      <c r="A18" s="907" t="s">
        <v>481</v>
      </c>
      <c r="B18" s="908">
        <v>912</v>
      </c>
      <c r="C18" s="908">
        <v>66054</v>
      </c>
      <c r="D18" s="908">
        <v>347729</v>
      </c>
      <c r="E18" s="908">
        <v>34</v>
      </c>
      <c r="F18" s="908">
        <v>264</v>
      </c>
      <c r="G18" s="908">
        <v>1299.5</v>
      </c>
      <c r="H18" s="908">
        <v>461</v>
      </c>
      <c r="I18" s="908">
        <v>73886</v>
      </c>
      <c r="J18" s="908">
        <v>587846.5</v>
      </c>
      <c r="K18" s="909">
        <v>1407</v>
      </c>
      <c r="L18" s="909">
        <v>140204</v>
      </c>
      <c r="M18" s="909">
        <v>936875</v>
      </c>
      <c r="N18"/>
      <c r="O18"/>
      <c r="P18"/>
      <c r="Q18"/>
      <c r="R18"/>
      <c r="S18"/>
    </row>
    <row r="19" spans="1:19" x14ac:dyDescent="0.25">
      <c r="A19" s="907" t="s">
        <v>312</v>
      </c>
      <c r="B19" s="908">
        <v>1</v>
      </c>
      <c r="C19" s="908">
        <v>145</v>
      </c>
      <c r="D19" s="908">
        <v>613.25</v>
      </c>
      <c r="E19" s="908"/>
      <c r="F19" s="908"/>
      <c r="G19" s="908"/>
      <c r="H19" s="908"/>
      <c r="I19" s="908"/>
      <c r="J19" s="908"/>
      <c r="K19" s="909">
        <v>1</v>
      </c>
      <c r="L19" s="909">
        <v>145</v>
      </c>
      <c r="M19" s="909">
        <v>613.25</v>
      </c>
      <c r="N19"/>
      <c r="O19"/>
      <c r="P19"/>
      <c r="Q19"/>
      <c r="R19"/>
      <c r="S19"/>
    </row>
    <row r="20" spans="1:19" x14ac:dyDescent="0.25">
      <c r="A20" s="907" t="s">
        <v>365</v>
      </c>
      <c r="B20" s="908">
        <v>1419</v>
      </c>
      <c r="C20" s="908">
        <v>139557</v>
      </c>
      <c r="D20" s="908">
        <v>861214.25</v>
      </c>
      <c r="E20" s="908">
        <v>133</v>
      </c>
      <c r="F20" s="908">
        <v>4749</v>
      </c>
      <c r="G20" s="908">
        <v>19928.75</v>
      </c>
      <c r="H20" s="908">
        <v>924</v>
      </c>
      <c r="I20" s="908">
        <v>168308</v>
      </c>
      <c r="J20" s="908">
        <v>1499466</v>
      </c>
      <c r="K20" s="909">
        <v>2476</v>
      </c>
      <c r="L20" s="909">
        <v>312614</v>
      </c>
      <c r="M20" s="909">
        <v>2380609</v>
      </c>
      <c r="N20"/>
      <c r="O20"/>
      <c r="P20"/>
      <c r="Q20"/>
      <c r="R20"/>
      <c r="S20"/>
    </row>
    <row r="21" spans="1:19" x14ac:dyDescent="0.25">
      <c r="A21" s="907" t="s">
        <v>328</v>
      </c>
      <c r="B21" s="908">
        <v>6</v>
      </c>
      <c r="C21" s="908">
        <v>249</v>
      </c>
      <c r="D21" s="908">
        <v>954.25</v>
      </c>
      <c r="E21" s="908"/>
      <c r="F21" s="908"/>
      <c r="G21" s="908"/>
      <c r="H21" s="908"/>
      <c r="I21" s="908"/>
      <c r="J21" s="908"/>
      <c r="K21" s="909">
        <v>6</v>
      </c>
      <c r="L21" s="909">
        <v>249</v>
      </c>
      <c r="M21" s="909">
        <v>954.25</v>
      </c>
      <c r="N21"/>
      <c r="O21"/>
      <c r="P21"/>
      <c r="Q21"/>
      <c r="R21"/>
      <c r="S21"/>
    </row>
    <row r="22" spans="1:19" x14ac:dyDescent="0.25">
      <c r="A22" s="907" t="s">
        <v>329</v>
      </c>
      <c r="B22" s="908">
        <v>377</v>
      </c>
      <c r="C22" s="908">
        <v>40396</v>
      </c>
      <c r="D22" s="908">
        <v>253982.75</v>
      </c>
      <c r="E22" s="908">
        <v>27</v>
      </c>
      <c r="F22" s="908">
        <v>1749</v>
      </c>
      <c r="G22" s="908">
        <v>11548</v>
      </c>
      <c r="H22" s="908">
        <v>342</v>
      </c>
      <c r="I22" s="908">
        <v>52411</v>
      </c>
      <c r="J22" s="908">
        <v>518073.75</v>
      </c>
      <c r="K22" s="909">
        <v>746</v>
      </c>
      <c r="L22" s="909">
        <v>94556</v>
      </c>
      <c r="M22" s="909">
        <v>783604.5</v>
      </c>
      <c r="N22"/>
      <c r="O22"/>
      <c r="P22"/>
      <c r="Q22"/>
      <c r="R22"/>
      <c r="S22"/>
    </row>
    <row r="23" spans="1:19" x14ac:dyDescent="0.25">
      <c r="A23" s="907" t="s">
        <v>366</v>
      </c>
      <c r="B23" s="908">
        <v>740</v>
      </c>
      <c r="C23" s="908">
        <v>64736</v>
      </c>
      <c r="D23" s="908">
        <v>391901.25</v>
      </c>
      <c r="E23" s="908">
        <v>48</v>
      </c>
      <c r="F23" s="908">
        <v>1329</v>
      </c>
      <c r="G23" s="908">
        <v>14255</v>
      </c>
      <c r="H23" s="908">
        <v>242</v>
      </c>
      <c r="I23" s="908">
        <v>44557</v>
      </c>
      <c r="J23" s="908">
        <v>385647.75</v>
      </c>
      <c r="K23" s="909">
        <v>1030</v>
      </c>
      <c r="L23" s="909">
        <v>110622</v>
      </c>
      <c r="M23" s="909">
        <v>791804</v>
      </c>
      <c r="N23"/>
      <c r="O23"/>
      <c r="P23"/>
      <c r="Q23"/>
      <c r="R23"/>
      <c r="S23"/>
    </row>
    <row r="24" spans="1:19" x14ac:dyDescent="0.25">
      <c r="A24" s="907" t="s">
        <v>334</v>
      </c>
      <c r="B24" s="908">
        <v>1</v>
      </c>
      <c r="C24" s="908">
        <v>3</v>
      </c>
      <c r="D24" s="908">
        <v>10.5</v>
      </c>
      <c r="E24" s="908"/>
      <c r="F24" s="908"/>
      <c r="G24" s="908"/>
      <c r="H24" s="908"/>
      <c r="I24" s="908"/>
      <c r="J24" s="908"/>
      <c r="K24" s="909">
        <v>1</v>
      </c>
      <c r="L24" s="909">
        <v>3</v>
      </c>
      <c r="M24" s="909">
        <v>10.5</v>
      </c>
      <c r="N24"/>
      <c r="O24"/>
      <c r="P24"/>
      <c r="Q24"/>
      <c r="R24"/>
      <c r="S24"/>
    </row>
    <row r="25" spans="1:19" x14ac:dyDescent="0.25">
      <c r="A25" s="907" t="s">
        <v>339</v>
      </c>
      <c r="B25" s="908">
        <v>982</v>
      </c>
      <c r="C25" s="908">
        <v>78872</v>
      </c>
      <c r="D25" s="908">
        <v>470031.75</v>
      </c>
      <c r="E25" s="908">
        <v>92</v>
      </c>
      <c r="F25" s="908">
        <v>2199</v>
      </c>
      <c r="G25" s="908">
        <v>13459.75</v>
      </c>
      <c r="H25" s="908">
        <v>606</v>
      </c>
      <c r="I25" s="908">
        <v>95101</v>
      </c>
      <c r="J25" s="908">
        <v>839336.5</v>
      </c>
      <c r="K25" s="909">
        <v>1680</v>
      </c>
      <c r="L25" s="909">
        <v>176172</v>
      </c>
      <c r="M25" s="909">
        <v>1322828</v>
      </c>
      <c r="N25"/>
      <c r="O25"/>
      <c r="P25"/>
      <c r="Q25"/>
      <c r="R25"/>
      <c r="S25"/>
    </row>
    <row r="26" spans="1:19" x14ac:dyDescent="0.25">
      <c r="A26" s="907" t="s">
        <v>340</v>
      </c>
      <c r="B26" s="908">
        <v>32</v>
      </c>
      <c r="C26" s="908">
        <v>2127</v>
      </c>
      <c r="D26" s="908">
        <v>8424</v>
      </c>
      <c r="E26" s="908">
        <v>1</v>
      </c>
      <c r="F26" s="908">
        <v>7</v>
      </c>
      <c r="G26" s="908">
        <v>84</v>
      </c>
      <c r="H26" s="908">
        <v>3</v>
      </c>
      <c r="I26" s="908">
        <v>31</v>
      </c>
      <c r="J26" s="908">
        <v>153</v>
      </c>
      <c r="K26" s="909">
        <v>36</v>
      </c>
      <c r="L26" s="909">
        <v>2165</v>
      </c>
      <c r="M26" s="909">
        <v>8661</v>
      </c>
      <c r="N26"/>
      <c r="O26"/>
      <c r="P26"/>
      <c r="Q26"/>
      <c r="R26"/>
      <c r="S26"/>
    </row>
    <row r="27" spans="1:19" x14ac:dyDescent="0.25">
      <c r="A27" s="907" t="s">
        <v>367</v>
      </c>
      <c r="B27" s="908">
        <v>505</v>
      </c>
      <c r="C27" s="908">
        <v>49639</v>
      </c>
      <c r="D27" s="908">
        <v>315485</v>
      </c>
      <c r="E27" s="908">
        <v>28</v>
      </c>
      <c r="F27" s="908">
        <v>646</v>
      </c>
      <c r="G27" s="908">
        <v>8139.5</v>
      </c>
      <c r="H27" s="908">
        <v>151</v>
      </c>
      <c r="I27" s="908">
        <v>35590</v>
      </c>
      <c r="J27" s="908">
        <v>353040.5</v>
      </c>
      <c r="K27" s="909">
        <v>684</v>
      </c>
      <c r="L27" s="909">
        <v>85875</v>
      </c>
      <c r="M27" s="909">
        <v>676665</v>
      </c>
      <c r="N27"/>
      <c r="O27"/>
      <c r="P27"/>
      <c r="Q27"/>
      <c r="R27"/>
      <c r="S27"/>
    </row>
    <row r="28" spans="1:19" x14ac:dyDescent="0.25">
      <c r="A28" s="907" t="s">
        <v>343</v>
      </c>
      <c r="B28" s="908">
        <v>6</v>
      </c>
      <c r="C28" s="908">
        <v>258</v>
      </c>
      <c r="D28" s="908">
        <v>1304.5</v>
      </c>
      <c r="E28" s="908"/>
      <c r="F28" s="908"/>
      <c r="G28" s="908"/>
      <c r="H28" s="908"/>
      <c r="I28" s="908"/>
      <c r="J28" s="908"/>
      <c r="K28" s="909">
        <v>6</v>
      </c>
      <c r="L28" s="909">
        <v>258</v>
      </c>
      <c r="M28" s="909">
        <v>1304.5</v>
      </c>
      <c r="N28"/>
      <c r="O28"/>
      <c r="P28"/>
      <c r="Q28"/>
      <c r="R28"/>
      <c r="S28"/>
    </row>
    <row r="29" spans="1:19" x14ac:dyDescent="0.25">
      <c r="A29" s="907" t="s">
        <v>344</v>
      </c>
      <c r="B29" s="908">
        <v>75</v>
      </c>
      <c r="C29" s="908">
        <v>5021</v>
      </c>
      <c r="D29" s="908">
        <v>24817.75</v>
      </c>
      <c r="E29" s="908">
        <v>3</v>
      </c>
      <c r="F29" s="908">
        <v>16</v>
      </c>
      <c r="G29" s="908">
        <v>48.5</v>
      </c>
      <c r="H29" s="908">
        <v>1</v>
      </c>
      <c r="I29" s="908">
        <v>38</v>
      </c>
      <c r="J29" s="908">
        <v>185</v>
      </c>
      <c r="K29" s="909">
        <v>79</v>
      </c>
      <c r="L29" s="909">
        <v>5075</v>
      </c>
      <c r="M29" s="909">
        <v>25051.25</v>
      </c>
      <c r="N29"/>
      <c r="O29"/>
      <c r="P29"/>
      <c r="Q29"/>
      <c r="R29"/>
      <c r="S29"/>
    </row>
    <row r="30" spans="1:19" x14ac:dyDescent="0.25">
      <c r="A30" s="907" t="s">
        <v>349</v>
      </c>
      <c r="B30" s="908">
        <v>1</v>
      </c>
      <c r="C30" s="908">
        <v>26</v>
      </c>
      <c r="D30" s="908">
        <v>76.75</v>
      </c>
      <c r="E30" s="908"/>
      <c r="F30" s="908"/>
      <c r="G30" s="908"/>
      <c r="H30" s="908">
        <v>2</v>
      </c>
      <c r="I30" s="908">
        <v>176</v>
      </c>
      <c r="J30" s="908">
        <v>826.75</v>
      </c>
      <c r="K30" s="909">
        <v>3</v>
      </c>
      <c r="L30" s="909">
        <v>202</v>
      </c>
      <c r="M30" s="909">
        <v>903.5</v>
      </c>
      <c r="N30"/>
      <c r="O30"/>
      <c r="P30"/>
      <c r="Q30"/>
      <c r="R30"/>
      <c r="S30"/>
    </row>
    <row r="31" spans="1:19" x14ac:dyDescent="0.25">
      <c r="A31" s="907" t="s">
        <v>362</v>
      </c>
      <c r="B31" s="908">
        <v>170</v>
      </c>
      <c r="C31" s="908">
        <v>11140</v>
      </c>
      <c r="D31" s="908">
        <v>68456.5</v>
      </c>
      <c r="E31" s="908">
        <v>6</v>
      </c>
      <c r="F31" s="908">
        <v>32</v>
      </c>
      <c r="G31" s="908">
        <v>116.75</v>
      </c>
      <c r="H31" s="908">
        <v>120</v>
      </c>
      <c r="I31" s="908">
        <v>16475</v>
      </c>
      <c r="J31" s="908">
        <v>148221.25</v>
      </c>
      <c r="K31" s="909">
        <v>296</v>
      </c>
      <c r="L31" s="909">
        <v>27647</v>
      </c>
      <c r="M31" s="909">
        <v>216794.5</v>
      </c>
      <c r="N31"/>
      <c r="O31"/>
      <c r="P31"/>
      <c r="Q31"/>
      <c r="R31"/>
      <c r="S31"/>
    </row>
    <row r="32" spans="1:19" x14ac:dyDescent="0.25">
      <c r="A32" s="907" t="s">
        <v>22</v>
      </c>
      <c r="B32" s="908">
        <v>5404</v>
      </c>
      <c r="C32" s="908">
        <v>471115</v>
      </c>
      <c r="D32" s="908">
        <v>2802486</v>
      </c>
      <c r="E32" s="908">
        <v>378</v>
      </c>
      <c r="F32" s="908">
        <v>11149</v>
      </c>
      <c r="G32" s="908">
        <v>69193.75</v>
      </c>
      <c r="H32" s="908">
        <v>2859</v>
      </c>
      <c r="I32" s="908">
        <v>486615</v>
      </c>
      <c r="J32" s="908">
        <v>4332978</v>
      </c>
      <c r="K32" s="909">
        <v>8641</v>
      </c>
      <c r="L32" s="909">
        <v>968879</v>
      </c>
      <c r="M32" s="909">
        <v>7204657.75</v>
      </c>
      <c r="N32"/>
      <c r="O32"/>
      <c r="P32"/>
      <c r="Q32"/>
      <c r="R32"/>
      <c r="S32"/>
    </row>
    <row r="33" spans="1:19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</row>
    <row r="34" spans="1:19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</row>
    <row r="35" spans="1:19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</row>
    <row r="36" spans="1:19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</row>
    <row r="37" spans="1:19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</row>
    <row r="38" spans="1:19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</row>
    <row r="39" spans="1:19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</row>
    <row r="40" spans="1:19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</row>
    <row r="41" spans="1:19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</row>
    <row r="42" spans="1:19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</row>
    <row r="43" spans="1:19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</row>
    <row r="44" spans="1:19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</row>
    <row r="45" spans="1:19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</row>
    <row r="46" spans="1:19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1:19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1:19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1:19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1:19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1:19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1:19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1:19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1:19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</row>
    <row r="55" spans="1:19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1:19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1:19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1:19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</row>
    <row r="59" spans="1:19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1:19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</row>
    <row r="61" spans="1:19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</row>
    <row r="62" spans="1:19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</row>
    <row r="63" spans="1:19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</row>
    <row r="64" spans="1:19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</row>
    <row r="65" spans="1:19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</row>
    <row r="66" spans="1:19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</row>
    <row r="67" spans="1:19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</row>
    <row r="68" spans="1:19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</row>
    <row r="69" spans="1:19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</row>
    <row r="70" spans="1:19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</row>
    <row r="71" spans="1:19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</row>
    <row r="72" spans="1:19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</row>
    <row r="73" spans="1:19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</row>
    <row r="74" spans="1:19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</row>
    <row r="75" spans="1:19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</row>
    <row r="76" spans="1:19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</row>
    <row r="77" spans="1:19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</row>
    <row r="78" spans="1:19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</row>
    <row r="79" spans="1:19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</row>
    <row r="80" spans="1:19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</row>
    <row r="81" spans="1:19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</row>
    <row r="82" spans="1:19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</row>
    <row r="83" spans="1:19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</row>
    <row r="84" spans="1:19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</row>
    <row r="85" spans="1:19" x14ac:dyDescent="0.25">
      <c r="A85"/>
      <c r="B85"/>
      <c r="C85"/>
      <c r="D85"/>
      <c r="E85"/>
      <c r="F85"/>
      <c r="G85"/>
      <c r="H85"/>
      <c r="I85"/>
      <c r="J85"/>
      <c r="K85"/>
      <c r="L85"/>
      <c r="M85"/>
    </row>
    <row r="86" spans="1:19" x14ac:dyDescent="0.25">
      <c r="A86"/>
      <c r="B86"/>
      <c r="C86"/>
      <c r="D86"/>
      <c r="E86"/>
      <c r="F86"/>
      <c r="G86"/>
      <c r="H86"/>
      <c r="I86"/>
      <c r="J86"/>
      <c r="K86"/>
      <c r="L86"/>
      <c r="M86"/>
    </row>
    <row r="87" spans="1:19" x14ac:dyDescent="0.25">
      <c r="A87"/>
      <c r="B87"/>
      <c r="C87"/>
      <c r="D87"/>
      <c r="E87"/>
      <c r="F87"/>
      <c r="G87"/>
      <c r="H87"/>
      <c r="I87"/>
      <c r="J87"/>
      <c r="K87"/>
      <c r="L87"/>
      <c r="M87"/>
    </row>
    <row r="88" spans="1:19" x14ac:dyDescent="0.25">
      <c r="A88"/>
      <c r="B88"/>
      <c r="C88"/>
      <c r="D88"/>
      <c r="E88"/>
      <c r="F88"/>
      <c r="G88"/>
      <c r="H88"/>
      <c r="I88"/>
      <c r="J88"/>
      <c r="K88"/>
      <c r="L88"/>
      <c r="M88"/>
    </row>
    <row r="89" spans="1:19" x14ac:dyDescent="0.25">
      <c r="A89"/>
      <c r="B89"/>
      <c r="C89"/>
      <c r="D89"/>
      <c r="E89"/>
      <c r="F89"/>
      <c r="G89"/>
      <c r="H89"/>
      <c r="I89"/>
      <c r="J89"/>
      <c r="K89"/>
      <c r="L89"/>
      <c r="M89"/>
    </row>
    <row r="90" spans="1:19" x14ac:dyDescent="0.25">
      <c r="A90"/>
      <c r="B90"/>
      <c r="C90"/>
      <c r="D90"/>
      <c r="E90"/>
      <c r="F90"/>
      <c r="G90"/>
      <c r="H90"/>
      <c r="I90"/>
      <c r="J90"/>
      <c r="K90"/>
      <c r="L90"/>
      <c r="M90"/>
    </row>
    <row r="91" spans="1:19" x14ac:dyDescent="0.25">
      <c r="A91"/>
      <c r="B91"/>
      <c r="C91"/>
      <c r="D91"/>
      <c r="E91"/>
      <c r="F91"/>
      <c r="G91"/>
      <c r="H91"/>
      <c r="I91"/>
      <c r="J91"/>
      <c r="K91"/>
      <c r="L91"/>
      <c r="M91"/>
    </row>
    <row r="92" spans="1:19" x14ac:dyDescent="0.25">
      <c r="A92"/>
      <c r="B92"/>
      <c r="C92"/>
      <c r="D92"/>
      <c r="E92"/>
      <c r="F92"/>
      <c r="G92"/>
      <c r="H92"/>
      <c r="I92"/>
      <c r="J92"/>
      <c r="K92"/>
      <c r="L92"/>
      <c r="M92"/>
    </row>
    <row r="93" spans="1:19" x14ac:dyDescent="0.25">
      <c r="A93"/>
      <c r="B93"/>
      <c r="C93"/>
      <c r="D93"/>
      <c r="E93"/>
      <c r="F93"/>
      <c r="G93"/>
      <c r="H93"/>
      <c r="I93"/>
      <c r="J93"/>
      <c r="K93"/>
      <c r="L93"/>
      <c r="M93"/>
    </row>
    <row r="94" spans="1:19" x14ac:dyDescent="0.25">
      <c r="A94"/>
      <c r="B94"/>
      <c r="C94"/>
      <c r="D94"/>
      <c r="E94"/>
      <c r="F94"/>
      <c r="G94"/>
      <c r="H94"/>
      <c r="I94"/>
      <c r="J94"/>
      <c r="K94"/>
      <c r="L94"/>
      <c r="M94"/>
    </row>
    <row r="95" spans="1:19" x14ac:dyDescent="0.25">
      <c r="A95"/>
      <c r="B95"/>
      <c r="C95"/>
      <c r="D95"/>
      <c r="E95"/>
      <c r="F95"/>
      <c r="G95"/>
      <c r="H95"/>
      <c r="I95"/>
      <c r="J95"/>
      <c r="K95"/>
      <c r="L95"/>
      <c r="M95"/>
    </row>
    <row r="96" spans="1:19" x14ac:dyDescent="0.25">
      <c r="A96"/>
      <c r="B96"/>
      <c r="C96"/>
      <c r="D96"/>
      <c r="E96"/>
      <c r="F96"/>
      <c r="G96"/>
      <c r="H96"/>
      <c r="I96"/>
      <c r="J96"/>
      <c r="K96"/>
      <c r="L96"/>
      <c r="M96"/>
    </row>
    <row r="97" spans="1:13" x14ac:dyDescent="0.25">
      <c r="A97"/>
      <c r="B97"/>
      <c r="C97"/>
      <c r="D97"/>
      <c r="E97"/>
      <c r="F97"/>
      <c r="G97"/>
      <c r="H97"/>
      <c r="I97"/>
      <c r="J97"/>
      <c r="K97"/>
      <c r="L97"/>
      <c r="M97"/>
    </row>
    <row r="98" spans="1:13" x14ac:dyDescent="0.25">
      <c r="A98"/>
      <c r="B98"/>
      <c r="C98"/>
      <c r="D98"/>
      <c r="E98"/>
      <c r="F98"/>
      <c r="G98"/>
      <c r="H98"/>
      <c r="I98"/>
      <c r="J98"/>
      <c r="K98"/>
      <c r="L98"/>
      <c r="M98"/>
    </row>
    <row r="99" spans="1:13" x14ac:dyDescent="0.25">
      <c r="A99"/>
      <c r="B99"/>
      <c r="C99"/>
      <c r="D99"/>
      <c r="E99"/>
      <c r="F99"/>
      <c r="G99"/>
      <c r="H99"/>
      <c r="I99"/>
      <c r="J99"/>
      <c r="K99"/>
      <c r="L99"/>
      <c r="M99"/>
    </row>
    <row r="100" spans="1:13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</row>
    <row r="101" spans="1:13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</row>
    <row r="102" spans="1:13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</row>
    <row r="103" spans="1:13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</row>
    <row r="104" spans="1:13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</row>
    <row r="105" spans="1:13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</row>
    <row r="106" spans="1:13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</row>
    <row r="107" spans="1:13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</row>
    <row r="108" spans="1:13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</row>
    <row r="109" spans="1:13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</row>
    <row r="110" spans="1:13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</row>
    <row r="111" spans="1:13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</row>
    <row r="112" spans="1:13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</row>
    <row r="113" spans="1:13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</row>
    <row r="114" spans="1:13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</row>
    <row r="115" spans="1:13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</row>
    <row r="116" spans="1:13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</row>
    <row r="117" spans="1:13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</row>
    <row r="118" spans="1:13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</row>
    <row r="119" spans="1:13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</row>
    <row r="120" spans="1:13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</row>
    <row r="121" spans="1:13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</row>
    <row r="122" spans="1:13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</row>
    <row r="123" spans="1:13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</row>
    <row r="124" spans="1:13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</row>
  </sheetData>
  <customSheetViews>
    <customSheetView guid="{DE5AAEC6-B417-4CB5-A2E1-8776196B56AA}">
      <pageMargins left="0.7" right="0.7" top="0.75" bottom="0.75" header="0.3" footer="0.3"/>
    </customSheetView>
    <customSheetView guid="{3ACE1F12-3844-4D90-9B24-992DA32A7B7A}">
      <pageMargins left="0.7" right="0.7" top="0.75" bottom="0.75" header="0.3" footer="0.3"/>
    </customSheetView>
  </customSheetViews>
  <mergeCells count="1">
    <mergeCell ref="A3:C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rgb="FF92D050"/>
  </sheetPr>
  <dimension ref="A1:S221"/>
  <sheetViews>
    <sheetView workbookViewId="0"/>
  </sheetViews>
  <sheetFormatPr defaultColWidth="9.28515625" defaultRowHeight="15" x14ac:dyDescent="0.25"/>
  <cols>
    <col min="1" max="1" width="35" style="4" bestFit="1" customWidth="1"/>
    <col min="2" max="2" width="13.28515625" style="705" bestFit="1" customWidth="1"/>
    <col min="3" max="3" width="10.7109375" style="705" bestFit="1" customWidth="1"/>
    <col min="4" max="4" width="11.7109375" style="705" bestFit="1" customWidth="1"/>
    <col min="5" max="5" width="13.28515625" style="705" bestFit="1" customWidth="1"/>
    <col min="6" max="6" width="10.7109375" style="705" bestFit="1" customWidth="1"/>
    <col min="7" max="7" width="11.7109375" style="705" bestFit="1" customWidth="1"/>
    <col min="8" max="8" width="12.42578125" style="630" bestFit="1" customWidth="1"/>
    <col min="9" max="9" width="11.7109375" style="630" bestFit="1" customWidth="1"/>
    <col min="10" max="10" width="12.140625" style="630" bestFit="1" customWidth="1"/>
    <col min="11" max="11" width="27.28515625" style="4" customWidth="1"/>
    <col min="12" max="12" width="24.7109375" style="4" customWidth="1"/>
    <col min="13" max="13" width="25.7109375" style="4" customWidth="1"/>
    <col min="14" max="14" width="32.28515625" style="4" bestFit="1" customWidth="1"/>
    <col min="15" max="15" width="29.7109375" style="4" bestFit="1" customWidth="1"/>
    <col min="16" max="16" width="30.7109375" style="4" bestFit="1" customWidth="1"/>
    <col min="17" max="17" width="32.28515625" style="4" bestFit="1" customWidth="1"/>
    <col min="18" max="18" width="29.7109375" style="4" bestFit="1" customWidth="1"/>
    <col min="19" max="19" width="30.7109375" style="4" bestFit="1" customWidth="1"/>
    <col min="20" max="20" width="32.28515625" style="4" bestFit="1" customWidth="1"/>
    <col min="21" max="21" width="29.7109375" style="4" bestFit="1" customWidth="1"/>
    <col min="22" max="22" width="30.7109375" style="4" bestFit="1" customWidth="1"/>
    <col min="23" max="16384" width="9.28515625" style="4"/>
  </cols>
  <sheetData>
    <row r="1" spans="1:19" x14ac:dyDescent="0.25">
      <c r="A1" s="1" t="s">
        <v>163</v>
      </c>
      <c r="B1" s="897" t="s">
        <v>15</v>
      </c>
    </row>
    <row r="2" spans="1:19" x14ac:dyDescent="0.25">
      <c r="A2" s="912" t="s">
        <v>376</v>
      </c>
      <c r="B2" s="912"/>
      <c r="C2" s="912"/>
    </row>
    <row r="3" spans="1:19" s="637" customFormat="1" ht="51.6" customHeight="1" x14ac:dyDescent="0.25">
      <c r="A3" s="636"/>
      <c r="B3" s="898" t="s">
        <v>24</v>
      </c>
      <c r="C3" s="897"/>
      <c r="D3" s="897"/>
      <c r="E3" s="897"/>
      <c r="F3" s="897"/>
      <c r="G3" s="897"/>
      <c r="H3"/>
      <c r="I3"/>
      <c r="J3"/>
      <c r="K3" s="706"/>
      <c r="L3" s="704"/>
      <c r="M3" s="636"/>
      <c r="N3" s="636"/>
      <c r="O3" s="636"/>
      <c r="P3" s="636"/>
      <c r="Q3" s="636"/>
      <c r="R3" s="636"/>
      <c r="S3" s="636"/>
    </row>
    <row r="4" spans="1:19" s="637" customFormat="1" ht="51.6" customHeight="1" x14ac:dyDescent="0.25">
      <c r="A4" s="636"/>
      <c r="B4" s="897" t="s">
        <v>421</v>
      </c>
      <c r="C4" s="897"/>
      <c r="D4" s="897"/>
      <c r="E4" s="703" t="s">
        <v>166</v>
      </c>
      <c r="F4" s="703" t="s">
        <v>167</v>
      </c>
      <c r="G4" s="703" t="s">
        <v>168</v>
      </c>
      <c r="H4"/>
      <c r="I4"/>
      <c r="J4"/>
      <c r="K4" s="706"/>
      <c r="L4" s="704"/>
      <c r="M4" s="636"/>
      <c r="N4" s="636"/>
      <c r="O4" s="636"/>
      <c r="P4" s="636"/>
      <c r="Q4" s="636"/>
      <c r="R4" s="636"/>
      <c r="S4" s="636"/>
    </row>
    <row r="5" spans="1:19" s="637" customFormat="1" ht="51.6" customHeight="1" x14ac:dyDescent="0.25">
      <c r="A5" s="708" t="s">
        <v>21</v>
      </c>
      <c r="B5" s="897" t="s">
        <v>27</v>
      </c>
      <c r="C5" s="897" t="s">
        <v>28</v>
      </c>
      <c r="D5" s="897" t="s">
        <v>23</v>
      </c>
      <c r="E5" s="703"/>
      <c r="F5" s="703"/>
      <c r="G5" s="703"/>
      <c r="H5"/>
      <c r="I5"/>
      <c r="J5"/>
      <c r="K5" s="706"/>
      <c r="L5" s="704"/>
      <c r="M5" s="636"/>
      <c r="N5" s="636"/>
      <c r="O5" s="636"/>
      <c r="P5" s="636"/>
      <c r="Q5" s="636"/>
      <c r="R5" s="636"/>
      <c r="S5" s="636"/>
    </row>
    <row r="6" spans="1:19" x14ac:dyDescent="0.25">
      <c r="A6" s="2" t="s">
        <v>303</v>
      </c>
      <c r="B6" s="897"/>
      <c r="C6" s="897"/>
      <c r="D6" s="897"/>
      <c r="E6" s="897"/>
      <c r="F6" s="897"/>
      <c r="G6" s="897"/>
      <c r="H6"/>
      <c r="I6"/>
      <c r="J6"/>
      <c r="K6"/>
      <c r="L6"/>
      <c r="M6"/>
      <c r="N6"/>
      <c r="O6"/>
      <c r="P6"/>
      <c r="Q6"/>
      <c r="R6"/>
      <c r="S6"/>
    </row>
    <row r="7" spans="1:19" x14ac:dyDescent="0.25">
      <c r="A7" s="200" t="s">
        <v>18</v>
      </c>
      <c r="B7" s="897">
        <v>166</v>
      </c>
      <c r="C7" s="897">
        <v>24755</v>
      </c>
      <c r="D7" s="897">
        <v>112296.25</v>
      </c>
      <c r="E7" s="897">
        <v>166</v>
      </c>
      <c r="F7" s="897">
        <v>24755</v>
      </c>
      <c r="G7" s="897">
        <v>112296.25</v>
      </c>
      <c r="H7"/>
      <c r="I7"/>
      <c r="J7"/>
      <c r="K7"/>
      <c r="L7"/>
      <c r="M7"/>
      <c r="N7"/>
      <c r="O7"/>
      <c r="P7"/>
      <c r="Q7"/>
      <c r="R7"/>
      <c r="S7"/>
    </row>
    <row r="8" spans="1:19" x14ac:dyDescent="0.25">
      <c r="A8" s="2" t="s">
        <v>1151</v>
      </c>
      <c r="B8" s="897">
        <v>166</v>
      </c>
      <c r="C8" s="897">
        <v>24755</v>
      </c>
      <c r="D8" s="897">
        <v>112296.25</v>
      </c>
      <c r="E8" s="897">
        <v>166</v>
      </c>
      <c r="F8" s="897">
        <v>24755</v>
      </c>
      <c r="G8" s="897">
        <v>112296.25</v>
      </c>
      <c r="H8"/>
      <c r="I8"/>
      <c r="J8"/>
      <c r="K8"/>
      <c r="L8"/>
      <c r="M8"/>
      <c r="N8"/>
      <c r="O8"/>
      <c r="P8"/>
      <c r="Q8"/>
      <c r="R8"/>
      <c r="S8"/>
    </row>
    <row r="9" spans="1:19" x14ac:dyDescent="0.25">
      <c r="A9" s="2" t="s">
        <v>304</v>
      </c>
      <c r="B9" s="897"/>
      <c r="C9" s="897"/>
      <c r="D9" s="897"/>
      <c r="E9" s="897"/>
      <c r="F9" s="897"/>
      <c r="G9" s="897"/>
      <c r="H9"/>
      <c r="I9"/>
      <c r="J9"/>
      <c r="K9"/>
      <c r="L9"/>
      <c r="M9"/>
      <c r="N9"/>
      <c r="O9"/>
      <c r="P9"/>
      <c r="Q9"/>
      <c r="R9"/>
      <c r="S9"/>
    </row>
    <row r="10" spans="1:19" x14ac:dyDescent="0.25">
      <c r="A10" s="200" t="s">
        <v>18</v>
      </c>
      <c r="B10" s="897">
        <v>4</v>
      </c>
      <c r="C10" s="897">
        <v>511</v>
      </c>
      <c r="D10" s="897">
        <v>2354</v>
      </c>
      <c r="E10" s="897">
        <v>4</v>
      </c>
      <c r="F10" s="897">
        <v>511</v>
      </c>
      <c r="G10" s="897">
        <v>2354</v>
      </c>
      <c r="H10"/>
      <c r="I10"/>
      <c r="J10"/>
      <c r="K10"/>
      <c r="L10"/>
      <c r="M10"/>
      <c r="N10"/>
      <c r="O10"/>
      <c r="P10"/>
      <c r="Q10"/>
      <c r="R10"/>
      <c r="S10"/>
    </row>
    <row r="11" spans="1:19" x14ac:dyDescent="0.25">
      <c r="A11" s="2" t="s">
        <v>1159</v>
      </c>
      <c r="B11" s="897">
        <v>4</v>
      </c>
      <c r="C11" s="897">
        <v>511</v>
      </c>
      <c r="D11" s="897">
        <v>2354</v>
      </c>
      <c r="E11" s="897">
        <v>4</v>
      </c>
      <c r="F11" s="897">
        <v>511</v>
      </c>
      <c r="G11" s="897">
        <v>2354</v>
      </c>
      <c r="H11"/>
      <c r="I11"/>
      <c r="J11"/>
      <c r="K11"/>
      <c r="L11"/>
      <c r="M11"/>
      <c r="N11"/>
      <c r="O11"/>
      <c r="P11"/>
      <c r="Q11"/>
      <c r="R11"/>
      <c r="S11"/>
    </row>
    <row r="12" spans="1:19" x14ac:dyDescent="0.25">
      <c r="A12" s="529" t="s">
        <v>305</v>
      </c>
      <c r="B12" s="897"/>
      <c r="C12" s="897"/>
      <c r="D12" s="897"/>
      <c r="E12" s="897"/>
      <c r="F12" s="897"/>
      <c r="G12" s="897"/>
      <c r="H12"/>
      <c r="I12"/>
      <c r="J12"/>
      <c r="K12"/>
      <c r="L12"/>
      <c r="M12"/>
      <c r="N12"/>
      <c r="O12"/>
      <c r="P12"/>
      <c r="Q12"/>
      <c r="R12"/>
      <c r="S12"/>
    </row>
    <row r="13" spans="1:19" x14ac:dyDescent="0.25">
      <c r="A13" s="200" t="s">
        <v>18</v>
      </c>
      <c r="B13" s="897">
        <v>486</v>
      </c>
      <c r="C13" s="897">
        <v>77513</v>
      </c>
      <c r="D13" s="897">
        <v>379091</v>
      </c>
      <c r="E13" s="897">
        <v>486</v>
      </c>
      <c r="F13" s="897">
        <v>77513</v>
      </c>
      <c r="G13" s="897">
        <v>379091</v>
      </c>
      <c r="H13"/>
      <c r="I13"/>
      <c r="J13"/>
      <c r="K13"/>
      <c r="L13"/>
      <c r="M13"/>
      <c r="N13"/>
      <c r="O13"/>
      <c r="P13"/>
      <c r="Q13"/>
      <c r="R13"/>
      <c r="S13"/>
    </row>
    <row r="14" spans="1:19" x14ac:dyDescent="0.25">
      <c r="A14" s="200" t="s">
        <v>43</v>
      </c>
      <c r="B14" s="897">
        <v>2</v>
      </c>
      <c r="C14" s="897">
        <v>731</v>
      </c>
      <c r="D14" s="897">
        <v>9503</v>
      </c>
      <c r="E14" s="897">
        <v>2</v>
      </c>
      <c r="F14" s="897">
        <v>731</v>
      </c>
      <c r="G14" s="897">
        <v>9503</v>
      </c>
      <c r="H14"/>
      <c r="I14"/>
      <c r="J14"/>
      <c r="K14"/>
      <c r="L14"/>
      <c r="M14"/>
      <c r="N14"/>
      <c r="O14"/>
      <c r="P14"/>
      <c r="Q14"/>
      <c r="R14"/>
      <c r="S14"/>
    </row>
    <row r="15" spans="1:19" x14ac:dyDescent="0.25">
      <c r="A15" s="200" t="s">
        <v>44</v>
      </c>
      <c r="B15" s="897">
        <v>5</v>
      </c>
      <c r="C15" s="897">
        <v>878</v>
      </c>
      <c r="D15" s="897">
        <v>4287.25</v>
      </c>
      <c r="E15" s="897">
        <v>5</v>
      </c>
      <c r="F15" s="897">
        <v>878</v>
      </c>
      <c r="G15" s="897">
        <v>4287.25</v>
      </c>
      <c r="H15"/>
      <c r="I15"/>
      <c r="J15"/>
      <c r="K15"/>
      <c r="L15"/>
      <c r="M15"/>
      <c r="N15"/>
      <c r="O15"/>
      <c r="P15"/>
      <c r="Q15"/>
      <c r="R15"/>
      <c r="S15"/>
    </row>
    <row r="16" spans="1:19" x14ac:dyDescent="0.25">
      <c r="A16" s="529" t="s">
        <v>481</v>
      </c>
      <c r="B16" s="897">
        <v>493</v>
      </c>
      <c r="C16" s="897">
        <v>79122</v>
      </c>
      <c r="D16" s="897">
        <v>392881.25</v>
      </c>
      <c r="E16" s="897">
        <v>493</v>
      </c>
      <c r="F16" s="897">
        <v>79122</v>
      </c>
      <c r="G16" s="897">
        <v>392881.25</v>
      </c>
      <c r="H16"/>
      <c r="I16"/>
      <c r="J16"/>
      <c r="K16"/>
      <c r="L16"/>
      <c r="M16"/>
      <c r="N16"/>
      <c r="O16"/>
      <c r="P16"/>
      <c r="Q16"/>
      <c r="R16"/>
      <c r="S16"/>
    </row>
    <row r="17" spans="1:19" x14ac:dyDescent="0.25">
      <c r="A17" s="2" t="s">
        <v>306</v>
      </c>
      <c r="B17" s="897"/>
      <c r="C17" s="897"/>
      <c r="D17" s="897"/>
      <c r="E17" s="897"/>
      <c r="F17" s="897"/>
      <c r="G17" s="897"/>
      <c r="H17"/>
      <c r="I17"/>
      <c r="J17"/>
      <c r="K17"/>
      <c r="L17"/>
      <c r="M17"/>
      <c r="N17"/>
      <c r="O17"/>
      <c r="P17"/>
      <c r="Q17"/>
      <c r="R17"/>
      <c r="S17"/>
    </row>
    <row r="18" spans="1:19" x14ac:dyDescent="0.25">
      <c r="A18" s="200" t="s">
        <v>18</v>
      </c>
      <c r="B18" s="897">
        <v>64</v>
      </c>
      <c r="C18" s="897">
        <v>9145</v>
      </c>
      <c r="D18" s="897">
        <v>50753.25</v>
      </c>
      <c r="E18" s="897">
        <v>64</v>
      </c>
      <c r="F18" s="897">
        <v>9145</v>
      </c>
      <c r="G18" s="897">
        <v>50753.25</v>
      </c>
      <c r="H18"/>
      <c r="I18"/>
      <c r="J18"/>
      <c r="K18"/>
      <c r="L18"/>
      <c r="M18"/>
      <c r="N18"/>
      <c r="O18"/>
      <c r="P18"/>
      <c r="Q18"/>
      <c r="R18"/>
      <c r="S18"/>
    </row>
    <row r="19" spans="1:19" x14ac:dyDescent="0.25">
      <c r="A19" s="2" t="s">
        <v>1160</v>
      </c>
      <c r="B19" s="897">
        <v>64</v>
      </c>
      <c r="C19" s="897">
        <v>9145</v>
      </c>
      <c r="D19" s="897">
        <v>50753.25</v>
      </c>
      <c r="E19" s="897">
        <v>64</v>
      </c>
      <c r="F19" s="897">
        <v>9145</v>
      </c>
      <c r="G19" s="897">
        <v>50753.25</v>
      </c>
      <c r="H19"/>
      <c r="I19"/>
      <c r="J19"/>
      <c r="K19"/>
      <c r="L19"/>
      <c r="M19"/>
      <c r="N19"/>
      <c r="O19"/>
      <c r="P19"/>
      <c r="Q19"/>
      <c r="R19"/>
      <c r="S19"/>
    </row>
    <row r="20" spans="1:19" x14ac:dyDescent="0.25">
      <c r="A20" s="2" t="s">
        <v>307</v>
      </c>
      <c r="B20" s="897"/>
      <c r="C20" s="897"/>
      <c r="D20" s="897"/>
      <c r="E20" s="897"/>
      <c r="F20" s="897"/>
      <c r="G20" s="897"/>
      <c r="H20"/>
      <c r="I20"/>
      <c r="J20"/>
      <c r="K20"/>
      <c r="L20"/>
      <c r="M20"/>
      <c r="N20"/>
      <c r="O20"/>
      <c r="P20"/>
      <c r="Q20"/>
      <c r="R20"/>
      <c r="S20"/>
    </row>
    <row r="21" spans="1:19" x14ac:dyDescent="0.25">
      <c r="A21" s="200" t="s">
        <v>18</v>
      </c>
      <c r="B21" s="897">
        <v>16</v>
      </c>
      <c r="C21" s="897">
        <v>1964</v>
      </c>
      <c r="D21" s="897">
        <v>9433</v>
      </c>
      <c r="E21" s="897">
        <v>16</v>
      </c>
      <c r="F21" s="897">
        <v>1964</v>
      </c>
      <c r="G21" s="897">
        <v>9433</v>
      </c>
      <c r="H21"/>
      <c r="I21"/>
      <c r="J21"/>
      <c r="K21"/>
      <c r="L21"/>
      <c r="M21"/>
      <c r="N21"/>
      <c r="O21"/>
      <c r="P21"/>
      <c r="Q21"/>
      <c r="R21"/>
      <c r="S21"/>
    </row>
    <row r="22" spans="1:19" x14ac:dyDescent="0.25">
      <c r="A22" s="2" t="s">
        <v>1161</v>
      </c>
      <c r="B22" s="897">
        <v>16</v>
      </c>
      <c r="C22" s="897">
        <v>1964</v>
      </c>
      <c r="D22" s="897">
        <v>9433</v>
      </c>
      <c r="E22" s="897">
        <v>16</v>
      </c>
      <c r="F22" s="897">
        <v>1964</v>
      </c>
      <c r="G22" s="897">
        <v>9433</v>
      </c>
      <c r="H22"/>
      <c r="I22"/>
      <c r="J22"/>
      <c r="K22"/>
      <c r="L22"/>
      <c r="M22"/>
      <c r="N22"/>
      <c r="O22"/>
      <c r="P22"/>
      <c r="Q22"/>
      <c r="R22"/>
      <c r="S22"/>
    </row>
    <row r="23" spans="1:19" x14ac:dyDescent="0.25">
      <c r="A23" s="2" t="s">
        <v>308</v>
      </c>
      <c r="B23" s="897"/>
      <c r="C23" s="897"/>
      <c r="D23" s="897"/>
      <c r="E23" s="897"/>
      <c r="F23" s="897"/>
      <c r="G23" s="897"/>
      <c r="H23"/>
      <c r="I23"/>
      <c r="J23"/>
      <c r="K23"/>
      <c r="L23"/>
      <c r="M23"/>
      <c r="N23"/>
      <c r="O23"/>
      <c r="P23"/>
      <c r="Q23"/>
      <c r="R23"/>
      <c r="S23"/>
    </row>
    <row r="24" spans="1:19" x14ac:dyDescent="0.25">
      <c r="A24" s="200" t="s">
        <v>18</v>
      </c>
      <c r="B24" s="897">
        <v>10</v>
      </c>
      <c r="C24" s="897">
        <v>1583</v>
      </c>
      <c r="D24" s="897">
        <v>8857</v>
      </c>
      <c r="E24" s="897">
        <v>10</v>
      </c>
      <c r="F24" s="897">
        <v>1583</v>
      </c>
      <c r="G24" s="897">
        <v>8857</v>
      </c>
      <c r="H24"/>
      <c r="I24"/>
      <c r="J24"/>
      <c r="K24"/>
      <c r="L24"/>
      <c r="M24"/>
      <c r="N24"/>
      <c r="O24"/>
      <c r="P24"/>
      <c r="Q24"/>
      <c r="R24"/>
      <c r="S24"/>
    </row>
    <row r="25" spans="1:19" x14ac:dyDescent="0.25">
      <c r="A25" s="2" t="s">
        <v>1162</v>
      </c>
      <c r="B25" s="897">
        <v>10</v>
      </c>
      <c r="C25" s="897">
        <v>1583</v>
      </c>
      <c r="D25" s="897">
        <v>8857</v>
      </c>
      <c r="E25" s="897">
        <v>10</v>
      </c>
      <c r="F25" s="897">
        <v>1583</v>
      </c>
      <c r="G25" s="897">
        <v>8857</v>
      </c>
      <c r="H25"/>
      <c r="I25"/>
      <c r="J25"/>
      <c r="K25"/>
      <c r="L25"/>
      <c r="M25"/>
      <c r="N25"/>
      <c r="O25"/>
      <c r="P25"/>
      <c r="Q25"/>
      <c r="R25"/>
      <c r="S25"/>
    </row>
    <row r="26" spans="1:19" x14ac:dyDescent="0.25">
      <c r="A26" s="2" t="s">
        <v>309</v>
      </c>
      <c r="B26" s="897"/>
      <c r="C26" s="897"/>
      <c r="D26" s="897"/>
      <c r="E26" s="897"/>
      <c r="F26" s="897"/>
      <c r="G26" s="897"/>
      <c r="H26"/>
      <c r="I26"/>
      <c r="J26"/>
      <c r="K26"/>
      <c r="L26"/>
      <c r="M26"/>
      <c r="N26"/>
      <c r="O26"/>
      <c r="P26"/>
      <c r="Q26"/>
      <c r="R26"/>
      <c r="S26"/>
    </row>
    <row r="27" spans="1:19" x14ac:dyDescent="0.25">
      <c r="A27" s="200" t="s">
        <v>18</v>
      </c>
      <c r="B27" s="897">
        <v>34</v>
      </c>
      <c r="C27" s="897">
        <v>4190</v>
      </c>
      <c r="D27" s="897">
        <v>17411.75</v>
      </c>
      <c r="E27" s="897">
        <v>34</v>
      </c>
      <c r="F27" s="897">
        <v>4190</v>
      </c>
      <c r="G27" s="897">
        <v>17411.75</v>
      </c>
      <c r="H27"/>
      <c r="I27"/>
      <c r="J27"/>
      <c r="K27"/>
      <c r="L27"/>
      <c r="M27"/>
      <c r="N27"/>
      <c r="O27"/>
      <c r="P27"/>
      <c r="Q27"/>
      <c r="R27"/>
      <c r="S27"/>
    </row>
    <row r="28" spans="1:19" x14ac:dyDescent="0.25">
      <c r="A28" s="200" t="s">
        <v>44</v>
      </c>
      <c r="B28" s="897">
        <v>2</v>
      </c>
      <c r="C28" s="897">
        <v>425</v>
      </c>
      <c r="D28" s="897">
        <v>1430.25</v>
      </c>
      <c r="E28" s="897">
        <v>2</v>
      </c>
      <c r="F28" s="897">
        <v>425</v>
      </c>
      <c r="G28" s="897">
        <v>1430.25</v>
      </c>
      <c r="H28"/>
      <c r="I28"/>
      <c r="J28"/>
      <c r="K28"/>
      <c r="L28"/>
      <c r="M28"/>
      <c r="N28"/>
      <c r="O28"/>
      <c r="P28"/>
      <c r="Q28"/>
      <c r="R28"/>
      <c r="S28"/>
    </row>
    <row r="29" spans="1:19" x14ac:dyDescent="0.25">
      <c r="A29" s="2" t="s">
        <v>1163</v>
      </c>
      <c r="B29" s="897">
        <v>36</v>
      </c>
      <c r="C29" s="897">
        <v>4615</v>
      </c>
      <c r="D29" s="897">
        <v>18842</v>
      </c>
      <c r="E29" s="897">
        <v>36</v>
      </c>
      <c r="F29" s="897">
        <v>4615</v>
      </c>
      <c r="G29" s="897">
        <v>18842</v>
      </c>
      <c r="H29"/>
      <c r="I29"/>
      <c r="J29"/>
      <c r="K29"/>
      <c r="L29"/>
      <c r="M29"/>
      <c r="N29"/>
      <c r="O29"/>
      <c r="P29"/>
      <c r="Q29"/>
      <c r="R29"/>
      <c r="S29"/>
    </row>
    <row r="30" spans="1:19" x14ac:dyDescent="0.25">
      <c r="A30" s="2" t="s">
        <v>310</v>
      </c>
      <c r="B30" s="897"/>
      <c r="C30" s="897"/>
      <c r="D30" s="897"/>
      <c r="E30" s="897"/>
      <c r="F30" s="897"/>
      <c r="G30" s="897"/>
      <c r="H30"/>
      <c r="I30"/>
      <c r="J30"/>
      <c r="K30"/>
      <c r="L30"/>
      <c r="M30"/>
      <c r="N30"/>
      <c r="O30"/>
      <c r="P30"/>
      <c r="Q30"/>
      <c r="R30"/>
      <c r="S30"/>
    </row>
    <row r="31" spans="1:19" x14ac:dyDescent="0.25">
      <c r="A31" s="200" t="s">
        <v>18</v>
      </c>
      <c r="B31" s="897">
        <v>24</v>
      </c>
      <c r="C31" s="897">
        <v>3560</v>
      </c>
      <c r="D31" s="897">
        <v>17709.5</v>
      </c>
      <c r="E31" s="897">
        <v>24</v>
      </c>
      <c r="F31" s="897">
        <v>3560</v>
      </c>
      <c r="G31" s="897">
        <v>17709.5</v>
      </c>
      <c r="H31"/>
      <c r="I31"/>
      <c r="J31"/>
      <c r="K31"/>
      <c r="L31"/>
      <c r="M31"/>
      <c r="N31"/>
      <c r="O31"/>
      <c r="P31"/>
      <c r="Q31"/>
      <c r="R31"/>
      <c r="S31"/>
    </row>
    <row r="32" spans="1:19" x14ac:dyDescent="0.25">
      <c r="A32" s="2" t="s">
        <v>1164</v>
      </c>
      <c r="B32" s="897">
        <v>24</v>
      </c>
      <c r="C32" s="897">
        <v>3560</v>
      </c>
      <c r="D32" s="897">
        <v>17709.5</v>
      </c>
      <c r="E32" s="897">
        <v>24</v>
      </c>
      <c r="F32" s="897">
        <v>3560</v>
      </c>
      <c r="G32" s="897">
        <v>17709.5</v>
      </c>
      <c r="H32"/>
      <c r="I32"/>
      <c r="J32"/>
      <c r="K32"/>
      <c r="L32"/>
      <c r="M32"/>
      <c r="N32"/>
      <c r="O32"/>
      <c r="P32"/>
      <c r="Q32"/>
      <c r="R32"/>
      <c r="S32"/>
    </row>
    <row r="33" spans="1:19" x14ac:dyDescent="0.25">
      <c r="A33" s="2" t="s">
        <v>360</v>
      </c>
      <c r="B33" s="897"/>
      <c r="C33" s="897"/>
      <c r="D33" s="897"/>
      <c r="E33" s="897"/>
      <c r="F33" s="897"/>
      <c r="G33" s="897"/>
      <c r="H33"/>
      <c r="I33"/>
      <c r="J33"/>
      <c r="K33"/>
      <c r="L33"/>
      <c r="M33"/>
      <c r="N33"/>
      <c r="O33"/>
      <c r="P33"/>
      <c r="Q33"/>
      <c r="R33"/>
      <c r="S33"/>
    </row>
    <row r="34" spans="1:19" x14ac:dyDescent="0.25">
      <c r="A34" s="200" t="s">
        <v>18</v>
      </c>
      <c r="B34" s="897">
        <v>17</v>
      </c>
      <c r="C34" s="897">
        <v>1671</v>
      </c>
      <c r="D34" s="897">
        <v>9106</v>
      </c>
      <c r="E34" s="897">
        <v>17</v>
      </c>
      <c r="F34" s="897">
        <v>1671</v>
      </c>
      <c r="G34" s="897">
        <v>9106</v>
      </c>
      <c r="H34"/>
      <c r="I34"/>
      <c r="J34"/>
      <c r="K34"/>
      <c r="L34"/>
      <c r="M34"/>
      <c r="N34"/>
      <c r="O34"/>
      <c r="P34"/>
      <c r="Q34"/>
      <c r="R34"/>
      <c r="S34"/>
    </row>
    <row r="35" spans="1:19" x14ac:dyDescent="0.25">
      <c r="A35" s="2" t="s">
        <v>1165</v>
      </c>
      <c r="B35" s="897">
        <v>17</v>
      </c>
      <c r="C35" s="897">
        <v>1671</v>
      </c>
      <c r="D35" s="897">
        <v>9106</v>
      </c>
      <c r="E35" s="897">
        <v>17</v>
      </c>
      <c r="F35" s="897">
        <v>1671</v>
      </c>
      <c r="G35" s="897">
        <v>9106</v>
      </c>
      <c r="H35"/>
      <c r="I35"/>
      <c r="J35"/>
      <c r="K35"/>
      <c r="L35"/>
      <c r="M35"/>
      <c r="N35"/>
      <c r="O35"/>
      <c r="P35"/>
      <c r="Q35"/>
      <c r="R35"/>
      <c r="S35"/>
    </row>
    <row r="36" spans="1:19" x14ac:dyDescent="0.25">
      <c r="A36" s="2" t="s">
        <v>311</v>
      </c>
      <c r="B36" s="897"/>
      <c r="C36" s="897"/>
      <c r="D36" s="897"/>
      <c r="E36" s="897"/>
      <c r="F36" s="897"/>
      <c r="G36" s="897"/>
      <c r="H36"/>
      <c r="I36"/>
      <c r="J36"/>
      <c r="K36"/>
      <c r="L36"/>
      <c r="M36"/>
      <c r="N36"/>
      <c r="O36"/>
      <c r="P36"/>
      <c r="Q36"/>
      <c r="R36"/>
      <c r="S36"/>
    </row>
    <row r="37" spans="1:19" x14ac:dyDescent="0.25">
      <c r="A37" s="200" t="s">
        <v>18</v>
      </c>
      <c r="B37" s="897">
        <v>11</v>
      </c>
      <c r="C37" s="897">
        <v>1699</v>
      </c>
      <c r="D37" s="897">
        <v>7585.25</v>
      </c>
      <c r="E37" s="897">
        <v>11</v>
      </c>
      <c r="F37" s="897">
        <v>1699</v>
      </c>
      <c r="G37" s="897">
        <v>7585.25</v>
      </c>
      <c r="H37"/>
      <c r="I37"/>
      <c r="J37"/>
      <c r="K37"/>
      <c r="L37"/>
      <c r="M37"/>
      <c r="N37"/>
      <c r="O37"/>
      <c r="P37"/>
      <c r="Q37"/>
      <c r="R37"/>
      <c r="S37"/>
    </row>
    <row r="38" spans="1:19" x14ac:dyDescent="0.25">
      <c r="A38" s="2" t="s">
        <v>1166</v>
      </c>
      <c r="B38" s="897">
        <v>11</v>
      </c>
      <c r="C38" s="897">
        <v>1699</v>
      </c>
      <c r="D38" s="897">
        <v>7585.25</v>
      </c>
      <c r="E38" s="897">
        <v>11</v>
      </c>
      <c r="F38" s="897">
        <v>1699</v>
      </c>
      <c r="G38" s="897">
        <v>7585.25</v>
      </c>
      <c r="H38"/>
      <c r="I38"/>
      <c r="J38"/>
      <c r="K38"/>
      <c r="L38"/>
      <c r="M38"/>
      <c r="N38"/>
      <c r="O38"/>
      <c r="P38"/>
      <c r="Q38"/>
      <c r="R38"/>
      <c r="S38"/>
    </row>
    <row r="39" spans="1:19" x14ac:dyDescent="0.25">
      <c r="A39" s="2" t="s">
        <v>312</v>
      </c>
      <c r="B39" s="897"/>
      <c r="C39" s="897"/>
      <c r="D39" s="897"/>
      <c r="E39" s="897"/>
      <c r="F39" s="897"/>
      <c r="G39" s="897"/>
      <c r="H39"/>
      <c r="I39"/>
      <c r="J39"/>
      <c r="K39"/>
      <c r="L39"/>
      <c r="M39"/>
      <c r="N39"/>
      <c r="O39"/>
      <c r="P39"/>
      <c r="Q39"/>
      <c r="R39"/>
      <c r="S39"/>
    </row>
    <row r="40" spans="1:19" x14ac:dyDescent="0.25">
      <c r="A40" s="200" t="s">
        <v>18</v>
      </c>
      <c r="B40" s="897">
        <v>5</v>
      </c>
      <c r="C40" s="897">
        <v>624</v>
      </c>
      <c r="D40" s="897">
        <v>1958.75</v>
      </c>
      <c r="E40" s="897">
        <v>5</v>
      </c>
      <c r="F40" s="897">
        <v>624</v>
      </c>
      <c r="G40" s="897">
        <v>1958.75</v>
      </c>
      <c r="H40"/>
      <c r="I40"/>
      <c r="J40"/>
      <c r="K40"/>
      <c r="L40"/>
      <c r="M40"/>
      <c r="N40"/>
      <c r="O40"/>
      <c r="P40"/>
      <c r="Q40"/>
      <c r="R40"/>
      <c r="S40"/>
    </row>
    <row r="41" spans="1:19" x14ac:dyDescent="0.25">
      <c r="A41" s="2" t="s">
        <v>1152</v>
      </c>
      <c r="B41" s="897">
        <v>5</v>
      </c>
      <c r="C41" s="897">
        <v>624</v>
      </c>
      <c r="D41" s="897">
        <v>1958.75</v>
      </c>
      <c r="E41" s="897">
        <v>5</v>
      </c>
      <c r="F41" s="897">
        <v>624</v>
      </c>
      <c r="G41" s="897">
        <v>1958.75</v>
      </c>
      <c r="H41" s="266"/>
      <c r="I41" s="266"/>
      <c r="J41" s="266"/>
      <c r="K41"/>
      <c r="L41"/>
      <c r="M41"/>
      <c r="N41"/>
      <c r="O41"/>
      <c r="P41"/>
      <c r="Q41"/>
      <c r="R41"/>
      <c r="S41"/>
    </row>
    <row r="42" spans="1:19" x14ac:dyDescent="0.25">
      <c r="A42" s="2" t="s">
        <v>313</v>
      </c>
      <c r="B42" s="897"/>
      <c r="C42" s="897"/>
      <c r="D42" s="897"/>
      <c r="E42" s="897"/>
      <c r="F42" s="897"/>
      <c r="G42" s="897"/>
      <c r="H42" s="266"/>
      <c r="I42" s="266"/>
      <c r="J42" s="266"/>
      <c r="K42"/>
      <c r="L42"/>
      <c r="M42"/>
      <c r="N42"/>
      <c r="O42"/>
      <c r="P42"/>
      <c r="Q42"/>
      <c r="R42"/>
      <c r="S42"/>
    </row>
    <row r="43" spans="1:19" x14ac:dyDescent="0.25">
      <c r="A43" s="200" t="s">
        <v>18</v>
      </c>
      <c r="B43" s="897">
        <v>8</v>
      </c>
      <c r="C43" s="897">
        <v>827</v>
      </c>
      <c r="D43" s="897">
        <v>4405</v>
      </c>
      <c r="E43" s="897">
        <v>8</v>
      </c>
      <c r="F43" s="897">
        <v>827</v>
      </c>
      <c r="G43" s="897">
        <v>4405</v>
      </c>
      <c r="H43" s="266"/>
      <c r="I43" s="266"/>
      <c r="J43" s="266"/>
      <c r="K43"/>
      <c r="L43"/>
      <c r="M43"/>
      <c r="N43"/>
      <c r="O43"/>
      <c r="P43"/>
      <c r="Q43"/>
      <c r="R43"/>
      <c r="S43"/>
    </row>
    <row r="44" spans="1:19" x14ac:dyDescent="0.25">
      <c r="A44" s="2" t="s">
        <v>1167</v>
      </c>
      <c r="B44" s="897">
        <v>8</v>
      </c>
      <c r="C44" s="897">
        <v>827</v>
      </c>
      <c r="D44" s="897">
        <v>4405</v>
      </c>
      <c r="E44" s="897">
        <v>8</v>
      </c>
      <c r="F44" s="897">
        <v>827</v>
      </c>
      <c r="G44" s="897">
        <v>4405</v>
      </c>
      <c r="H44" s="266"/>
      <c r="I44" s="266"/>
      <c r="J44" s="266"/>
      <c r="K44"/>
      <c r="L44"/>
      <c r="M44"/>
      <c r="N44"/>
      <c r="O44"/>
      <c r="P44"/>
      <c r="Q44"/>
      <c r="R44"/>
      <c r="S44"/>
    </row>
    <row r="45" spans="1:19" x14ac:dyDescent="0.25">
      <c r="A45" s="2" t="s">
        <v>314</v>
      </c>
      <c r="B45" s="897"/>
      <c r="C45" s="897"/>
      <c r="D45" s="897"/>
      <c r="E45" s="897"/>
      <c r="F45" s="897"/>
      <c r="G45" s="897"/>
      <c r="H45" s="266"/>
      <c r="I45" s="266"/>
      <c r="J45" s="266"/>
      <c r="K45"/>
      <c r="L45"/>
      <c r="M45"/>
      <c r="N45"/>
      <c r="O45"/>
      <c r="P45"/>
      <c r="Q45"/>
      <c r="R45"/>
      <c r="S45"/>
    </row>
    <row r="46" spans="1:19" x14ac:dyDescent="0.25">
      <c r="A46" s="200" t="s">
        <v>18</v>
      </c>
      <c r="B46" s="897">
        <v>9</v>
      </c>
      <c r="C46" s="897">
        <v>805</v>
      </c>
      <c r="D46" s="897">
        <v>4144</v>
      </c>
      <c r="E46" s="897">
        <v>9</v>
      </c>
      <c r="F46" s="897">
        <v>805</v>
      </c>
      <c r="G46" s="897">
        <v>4144</v>
      </c>
      <c r="H46" s="266"/>
      <c r="I46" s="266"/>
      <c r="J46" s="266"/>
      <c r="K46"/>
      <c r="L46"/>
      <c r="M46"/>
      <c r="N46"/>
      <c r="O46"/>
      <c r="P46"/>
      <c r="Q46"/>
      <c r="R46"/>
      <c r="S46"/>
    </row>
    <row r="47" spans="1:19" x14ac:dyDescent="0.25">
      <c r="A47" s="2" t="s">
        <v>1168</v>
      </c>
      <c r="B47" s="897">
        <v>9</v>
      </c>
      <c r="C47" s="897">
        <v>805</v>
      </c>
      <c r="D47" s="897">
        <v>4144</v>
      </c>
      <c r="E47" s="897">
        <v>9</v>
      </c>
      <c r="F47" s="897">
        <v>805</v>
      </c>
      <c r="G47" s="897">
        <v>4144</v>
      </c>
      <c r="H47" s="266"/>
      <c r="I47" s="266"/>
      <c r="J47" s="266"/>
      <c r="K47"/>
      <c r="L47"/>
      <c r="M47"/>
      <c r="N47"/>
      <c r="O47"/>
      <c r="P47"/>
      <c r="Q47"/>
      <c r="R47"/>
      <c r="S47"/>
    </row>
    <row r="48" spans="1:19" x14ac:dyDescent="0.25">
      <c r="A48" s="2" t="s">
        <v>315</v>
      </c>
      <c r="B48" s="897"/>
      <c r="C48" s="897"/>
      <c r="D48" s="897"/>
      <c r="E48" s="897"/>
      <c r="F48" s="897"/>
      <c r="G48" s="897"/>
      <c r="H48" s="266"/>
      <c r="I48" s="266"/>
      <c r="J48" s="266"/>
      <c r="K48"/>
      <c r="L48"/>
      <c r="M48"/>
      <c r="N48"/>
      <c r="O48"/>
      <c r="P48"/>
      <c r="Q48"/>
      <c r="R48"/>
      <c r="S48"/>
    </row>
    <row r="49" spans="1:19" x14ac:dyDescent="0.25">
      <c r="A49" s="200" t="s">
        <v>18</v>
      </c>
      <c r="B49" s="897">
        <v>32</v>
      </c>
      <c r="C49" s="897">
        <v>6398</v>
      </c>
      <c r="D49" s="897">
        <v>32843</v>
      </c>
      <c r="E49" s="897">
        <v>32</v>
      </c>
      <c r="F49" s="897">
        <v>6398</v>
      </c>
      <c r="G49" s="897">
        <v>32843</v>
      </c>
      <c r="H49" s="266"/>
      <c r="I49" s="266"/>
      <c r="J49" s="266"/>
      <c r="K49"/>
      <c r="L49"/>
      <c r="M49"/>
      <c r="N49"/>
      <c r="O49"/>
      <c r="P49"/>
      <c r="Q49"/>
      <c r="R49"/>
      <c r="S49"/>
    </row>
    <row r="50" spans="1:19" x14ac:dyDescent="0.25">
      <c r="A50" s="2" t="s">
        <v>1169</v>
      </c>
      <c r="B50" s="897">
        <v>32</v>
      </c>
      <c r="C50" s="897">
        <v>6398</v>
      </c>
      <c r="D50" s="897">
        <v>32843</v>
      </c>
      <c r="E50" s="897">
        <v>32</v>
      </c>
      <c r="F50" s="897">
        <v>6398</v>
      </c>
      <c r="G50" s="897">
        <v>32843</v>
      </c>
      <c r="H50" s="266"/>
      <c r="I50" s="266"/>
      <c r="J50" s="266"/>
      <c r="K50"/>
      <c r="L50"/>
      <c r="M50"/>
      <c r="N50"/>
      <c r="O50"/>
      <c r="P50"/>
      <c r="Q50"/>
      <c r="R50"/>
      <c r="S50"/>
    </row>
    <row r="51" spans="1:19" x14ac:dyDescent="0.25">
      <c r="A51" s="2" t="s">
        <v>316</v>
      </c>
      <c r="B51" s="897"/>
      <c r="C51" s="897"/>
      <c r="D51" s="897"/>
      <c r="E51" s="897"/>
      <c r="F51" s="897"/>
      <c r="G51" s="897"/>
      <c r="H51" s="266"/>
      <c r="I51" s="266"/>
      <c r="J51" s="266"/>
      <c r="K51"/>
      <c r="L51"/>
      <c r="M51"/>
      <c r="N51"/>
      <c r="O51"/>
      <c r="P51"/>
      <c r="Q51"/>
      <c r="R51"/>
      <c r="S51"/>
    </row>
    <row r="52" spans="1:19" x14ac:dyDescent="0.25">
      <c r="A52" s="200" t="s">
        <v>18</v>
      </c>
      <c r="B52" s="897">
        <v>145</v>
      </c>
      <c r="C52" s="897">
        <v>21421</v>
      </c>
      <c r="D52" s="897">
        <v>97740</v>
      </c>
      <c r="E52" s="897">
        <v>145</v>
      </c>
      <c r="F52" s="897">
        <v>21421</v>
      </c>
      <c r="G52" s="897">
        <v>97740</v>
      </c>
      <c r="H52" s="266"/>
      <c r="I52" s="266"/>
      <c r="J52" s="266"/>
      <c r="K52"/>
      <c r="L52"/>
      <c r="M52"/>
      <c r="N52"/>
      <c r="O52"/>
      <c r="P52"/>
      <c r="Q52"/>
      <c r="R52"/>
      <c r="S52"/>
    </row>
    <row r="53" spans="1:19" x14ac:dyDescent="0.25">
      <c r="A53" s="200" t="s">
        <v>44</v>
      </c>
      <c r="B53" s="897">
        <v>4</v>
      </c>
      <c r="C53" s="897">
        <v>903</v>
      </c>
      <c r="D53" s="897">
        <v>4606</v>
      </c>
      <c r="E53" s="897">
        <v>4</v>
      </c>
      <c r="F53" s="897">
        <v>903</v>
      </c>
      <c r="G53" s="897">
        <v>4606</v>
      </c>
      <c r="H53" s="266"/>
      <c r="I53" s="266"/>
      <c r="J53" s="266"/>
      <c r="K53"/>
      <c r="L53"/>
      <c r="M53"/>
      <c r="N53"/>
      <c r="O53"/>
      <c r="P53"/>
      <c r="Q53"/>
      <c r="R53"/>
      <c r="S53"/>
    </row>
    <row r="54" spans="1:19" x14ac:dyDescent="0.25">
      <c r="A54" s="2" t="s">
        <v>1170</v>
      </c>
      <c r="B54" s="897">
        <v>149</v>
      </c>
      <c r="C54" s="897">
        <v>22324</v>
      </c>
      <c r="D54" s="897">
        <v>102346</v>
      </c>
      <c r="E54" s="897">
        <v>149</v>
      </c>
      <c r="F54" s="897">
        <v>22324</v>
      </c>
      <c r="G54" s="897">
        <v>102346</v>
      </c>
      <c r="H54" s="266"/>
      <c r="I54" s="266"/>
      <c r="J54" s="266"/>
      <c r="K54"/>
      <c r="L54"/>
      <c r="M54"/>
      <c r="N54"/>
      <c r="O54"/>
      <c r="P54"/>
      <c r="Q54"/>
      <c r="R54"/>
      <c r="S54"/>
    </row>
    <row r="55" spans="1:19" x14ac:dyDescent="0.25">
      <c r="A55" s="2" t="s">
        <v>317</v>
      </c>
      <c r="B55" s="897"/>
      <c r="C55" s="897"/>
      <c r="D55" s="897"/>
      <c r="E55" s="897"/>
      <c r="F55" s="897"/>
      <c r="G55" s="897"/>
      <c r="H55" s="266"/>
      <c r="I55" s="266"/>
      <c r="J55" s="266"/>
      <c r="K55"/>
      <c r="L55"/>
      <c r="M55"/>
      <c r="N55"/>
      <c r="O55"/>
      <c r="P55"/>
      <c r="Q55"/>
      <c r="R55"/>
      <c r="S55"/>
    </row>
    <row r="56" spans="1:19" x14ac:dyDescent="0.25">
      <c r="A56" s="200" t="s">
        <v>18</v>
      </c>
      <c r="B56" s="897">
        <v>2</v>
      </c>
      <c r="C56" s="897">
        <v>212</v>
      </c>
      <c r="D56" s="897">
        <v>787</v>
      </c>
      <c r="E56" s="897">
        <v>2</v>
      </c>
      <c r="F56" s="897">
        <v>212</v>
      </c>
      <c r="G56" s="897">
        <v>787</v>
      </c>
      <c r="H56" s="266"/>
      <c r="I56" s="266"/>
      <c r="J56" s="266"/>
      <c r="K56"/>
      <c r="L56"/>
      <c r="M56"/>
      <c r="N56"/>
      <c r="O56"/>
      <c r="P56"/>
      <c r="Q56"/>
      <c r="R56"/>
      <c r="S56"/>
    </row>
    <row r="57" spans="1:19" x14ac:dyDescent="0.25">
      <c r="A57" s="2" t="s">
        <v>1171</v>
      </c>
      <c r="B57" s="897">
        <v>2</v>
      </c>
      <c r="C57" s="897">
        <v>212</v>
      </c>
      <c r="D57" s="897">
        <v>787</v>
      </c>
      <c r="E57" s="897">
        <v>2</v>
      </c>
      <c r="F57" s="897">
        <v>212</v>
      </c>
      <c r="G57" s="897">
        <v>787</v>
      </c>
      <c r="H57" s="266"/>
      <c r="I57" s="266"/>
      <c r="J57" s="266"/>
      <c r="K57"/>
      <c r="L57"/>
      <c r="M57"/>
      <c r="N57"/>
      <c r="O57"/>
      <c r="P57"/>
      <c r="Q57"/>
      <c r="R57"/>
      <c r="S57"/>
    </row>
    <row r="58" spans="1:19" x14ac:dyDescent="0.25">
      <c r="A58" s="2" t="s">
        <v>318</v>
      </c>
      <c r="B58" s="897"/>
      <c r="C58" s="897"/>
      <c r="D58" s="897"/>
      <c r="E58" s="897"/>
      <c r="F58" s="897"/>
      <c r="G58" s="897"/>
      <c r="H58" s="266"/>
      <c r="I58" s="266"/>
      <c r="J58" s="266"/>
      <c r="K58"/>
      <c r="L58"/>
      <c r="M58"/>
      <c r="N58"/>
      <c r="O58"/>
      <c r="P58"/>
      <c r="Q58"/>
      <c r="R58"/>
      <c r="S58"/>
    </row>
    <row r="59" spans="1:19" x14ac:dyDescent="0.25">
      <c r="A59" s="200" t="s">
        <v>18</v>
      </c>
      <c r="B59" s="897">
        <v>7</v>
      </c>
      <c r="C59" s="897">
        <v>730</v>
      </c>
      <c r="D59" s="897">
        <v>3641.75</v>
      </c>
      <c r="E59" s="897">
        <v>7</v>
      </c>
      <c r="F59" s="897">
        <v>730</v>
      </c>
      <c r="G59" s="897">
        <v>3641.75</v>
      </c>
      <c r="H59" s="266"/>
      <c r="I59" s="266"/>
      <c r="J59" s="266"/>
      <c r="K59"/>
      <c r="L59"/>
      <c r="M59"/>
      <c r="N59"/>
      <c r="O59"/>
      <c r="P59"/>
      <c r="Q59"/>
      <c r="R59"/>
      <c r="S59"/>
    </row>
    <row r="60" spans="1:19" x14ac:dyDescent="0.25">
      <c r="A60" s="2" t="s">
        <v>1172</v>
      </c>
      <c r="B60" s="897">
        <v>7</v>
      </c>
      <c r="C60" s="897">
        <v>730</v>
      </c>
      <c r="D60" s="897">
        <v>3641.75</v>
      </c>
      <c r="E60" s="897">
        <v>7</v>
      </c>
      <c r="F60" s="897">
        <v>730</v>
      </c>
      <c r="G60" s="897">
        <v>3641.75</v>
      </c>
      <c r="H60" s="266"/>
      <c r="I60" s="266"/>
      <c r="J60" s="266"/>
      <c r="K60"/>
      <c r="L60"/>
      <c r="M60"/>
      <c r="N60"/>
      <c r="O60"/>
      <c r="P60"/>
      <c r="Q60"/>
      <c r="R60"/>
      <c r="S60"/>
    </row>
    <row r="61" spans="1:19" x14ac:dyDescent="0.25">
      <c r="A61" s="2" t="s">
        <v>319</v>
      </c>
      <c r="B61" s="897"/>
      <c r="C61" s="897"/>
      <c r="D61" s="897"/>
      <c r="E61" s="897"/>
      <c r="F61" s="897"/>
      <c r="G61" s="897"/>
      <c r="H61" s="266"/>
      <c r="I61" s="266"/>
      <c r="J61" s="266"/>
      <c r="K61"/>
      <c r="L61"/>
      <c r="M61"/>
      <c r="N61"/>
      <c r="O61"/>
      <c r="P61"/>
      <c r="Q61"/>
      <c r="R61"/>
      <c r="S61"/>
    </row>
    <row r="62" spans="1:19" x14ac:dyDescent="0.25">
      <c r="A62" s="200" t="s">
        <v>18</v>
      </c>
      <c r="B62" s="897">
        <v>25</v>
      </c>
      <c r="C62" s="897">
        <v>3958</v>
      </c>
      <c r="D62" s="897">
        <v>16208</v>
      </c>
      <c r="E62" s="897">
        <v>25</v>
      </c>
      <c r="F62" s="897">
        <v>3958</v>
      </c>
      <c r="G62" s="897">
        <v>16208</v>
      </c>
      <c r="H62" s="266"/>
      <c r="I62" s="266"/>
      <c r="J62" s="266"/>
      <c r="K62"/>
      <c r="L62"/>
      <c r="M62"/>
      <c r="N62"/>
      <c r="O62"/>
      <c r="P62"/>
      <c r="Q62"/>
      <c r="R62"/>
      <c r="S62"/>
    </row>
    <row r="63" spans="1:19" x14ac:dyDescent="0.25">
      <c r="A63" s="2" t="s">
        <v>1173</v>
      </c>
      <c r="B63" s="897">
        <v>25</v>
      </c>
      <c r="C63" s="897">
        <v>3958</v>
      </c>
      <c r="D63" s="897">
        <v>16208</v>
      </c>
      <c r="E63" s="897">
        <v>25</v>
      </c>
      <c r="F63" s="897">
        <v>3958</v>
      </c>
      <c r="G63" s="897">
        <v>16208</v>
      </c>
      <c r="H63" s="266"/>
      <c r="I63" s="266"/>
      <c r="J63" s="266"/>
      <c r="K63"/>
      <c r="L63"/>
      <c r="M63"/>
      <c r="N63"/>
      <c r="O63"/>
      <c r="P63"/>
      <c r="Q63"/>
      <c r="R63"/>
      <c r="S63"/>
    </row>
    <row r="64" spans="1:19" x14ac:dyDescent="0.25">
      <c r="A64" s="2" t="s">
        <v>320</v>
      </c>
      <c r="B64" s="897"/>
      <c r="C64" s="897"/>
      <c r="D64" s="897"/>
      <c r="E64" s="897"/>
      <c r="F64" s="897"/>
      <c r="G64" s="897"/>
      <c r="H64" s="266"/>
      <c r="I64" s="266"/>
      <c r="J64" s="266"/>
      <c r="K64"/>
      <c r="L64"/>
      <c r="M64"/>
      <c r="N64"/>
      <c r="O64"/>
      <c r="P64"/>
      <c r="Q64"/>
      <c r="R64"/>
      <c r="S64"/>
    </row>
    <row r="65" spans="1:19" x14ac:dyDescent="0.25">
      <c r="A65" s="200" t="s">
        <v>18</v>
      </c>
      <c r="B65" s="897">
        <v>12</v>
      </c>
      <c r="C65" s="897">
        <v>1521</v>
      </c>
      <c r="D65" s="897">
        <v>6724.25</v>
      </c>
      <c r="E65" s="897">
        <v>12</v>
      </c>
      <c r="F65" s="897">
        <v>1521</v>
      </c>
      <c r="G65" s="897">
        <v>6724.25</v>
      </c>
      <c r="H65" s="266"/>
      <c r="I65" s="266"/>
      <c r="J65" s="266"/>
      <c r="K65"/>
      <c r="L65"/>
      <c r="M65"/>
      <c r="N65"/>
      <c r="O65"/>
      <c r="P65"/>
      <c r="Q65"/>
      <c r="R65"/>
      <c r="S65"/>
    </row>
    <row r="66" spans="1:19" x14ac:dyDescent="0.25">
      <c r="A66" s="2" t="s">
        <v>1174</v>
      </c>
      <c r="B66" s="897">
        <v>12</v>
      </c>
      <c r="C66" s="897">
        <v>1521</v>
      </c>
      <c r="D66" s="897">
        <v>6724.25</v>
      </c>
      <c r="E66" s="897">
        <v>12</v>
      </c>
      <c r="F66" s="897">
        <v>1521</v>
      </c>
      <c r="G66" s="897">
        <v>6724.25</v>
      </c>
      <c r="H66" s="266"/>
      <c r="I66" s="266"/>
      <c r="J66" s="266"/>
      <c r="K66"/>
      <c r="L66"/>
      <c r="M66"/>
      <c r="N66"/>
      <c r="O66"/>
      <c r="P66"/>
      <c r="Q66"/>
      <c r="R66"/>
      <c r="S66"/>
    </row>
    <row r="67" spans="1:19" x14ac:dyDescent="0.25">
      <c r="A67" s="2" t="s">
        <v>321</v>
      </c>
      <c r="B67" s="897"/>
      <c r="C67" s="897"/>
      <c r="D67" s="897"/>
      <c r="E67" s="897"/>
      <c r="F67" s="897"/>
      <c r="G67" s="897"/>
      <c r="H67" s="266"/>
      <c r="I67" s="266"/>
      <c r="J67" s="266"/>
      <c r="K67"/>
      <c r="L67"/>
      <c r="M67"/>
      <c r="N67"/>
      <c r="O67"/>
      <c r="P67"/>
      <c r="Q67"/>
      <c r="R67"/>
      <c r="S67"/>
    </row>
    <row r="68" spans="1:19" x14ac:dyDescent="0.25">
      <c r="A68" s="200" t="s">
        <v>18</v>
      </c>
      <c r="B68" s="897">
        <v>11</v>
      </c>
      <c r="C68" s="897">
        <v>1671</v>
      </c>
      <c r="D68" s="897">
        <v>7131.75</v>
      </c>
      <c r="E68" s="897">
        <v>11</v>
      </c>
      <c r="F68" s="897">
        <v>1671</v>
      </c>
      <c r="G68" s="897">
        <v>7131.75</v>
      </c>
      <c r="H68" s="266"/>
      <c r="I68" s="266"/>
      <c r="J68" s="266"/>
      <c r="K68"/>
      <c r="L68"/>
      <c r="M68"/>
      <c r="N68"/>
      <c r="O68"/>
      <c r="P68"/>
      <c r="Q68"/>
      <c r="R68"/>
      <c r="S68"/>
    </row>
    <row r="69" spans="1:19" x14ac:dyDescent="0.25">
      <c r="A69" s="2" t="s">
        <v>1175</v>
      </c>
      <c r="B69" s="897">
        <v>11</v>
      </c>
      <c r="C69" s="897">
        <v>1671</v>
      </c>
      <c r="D69" s="897">
        <v>7131.75</v>
      </c>
      <c r="E69" s="897">
        <v>11</v>
      </c>
      <c r="F69" s="897">
        <v>1671</v>
      </c>
      <c r="G69" s="897">
        <v>7131.75</v>
      </c>
      <c r="H69" s="266"/>
      <c r="I69" s="266"/>
      <c r="J69" s="266"/>
      <c r="K69"/>
      <c r="L69"/>
      <c r="M69"/>
      <c r="N69"/>
      <c r="O69"/>
      <c r="P69"/>
      <c r="Q69"/>
      <c r="R69"/>
      <c r="S69"/>
    </row>
    <row r="70" spans="1:19" x14ac:dyDescent="0.25">
      <c r="A70" s="2" t="s">
        <v>322</v>
      </c>
      <c r="B70" s="897"/>
      <c r="C70" s="897"/>
      <c r="D70" s="897"/>
      <c r="E70" s="897"/>
      <c r="F70" s="897"/>
      <c r="G70" s="897"/>
      <c r="H70" s="266"/>
      <c r="I70" s="266"/>
      <c r="J70" s="266"/>
      <c r="K70"/>
      <c r="L70"/>
      <c r="M70"/>
      <c r="N70"/>
      <c r="O70"/>
      <c r="P70"/>
      <c r="Q70"/>
      <c r="R70"/>
      <c r="S70"/>
    </row>
    <row r="71" spans="1:19" x14ac:dyDescent="0.25">
      <c r="A71" s="200" t="s">
        <v>18</v>
      </c>
      <c r="B71" s="897">
        <v>1</v>
      </c>
      <c r="C71" s="897">
        <v>66</v>
      </c>
      <c r="D71" s="897">
        <v>419.5</v>
      </c>
      <c r="E71" s="897">
        <v>1</v>
      </c>
      <c r="F71" s="897">
        <v>66</v>
      </c>
      <c r="G71" s="897">
        <v>419.5</v>
      </c>
      <c r="H71" s="266"/>
      <c r="I71" s="266"/>
      <c r="J71" s="266"/>
      <c r="K71"/>
      <c r="L71"/>
      <c r="M71"/>
      <c r="N71"/>
      <c r="O71"/>
      <c r="P71"/>
      <c r="Q71"/>
      <c r="R71"/>
      <c r="S71"/>
    </row>
    <row r="72" spans="1:19" x14ac:dyDescent="0.25">
      <c r="A72" s="2" t="s">
        <v>1176</v>
      </c>
      <c r="B72" s="897">
        <v>1</v>
      </c>
      <c r="C72" s="897">
        <v>66</v>
      </c>
      <c r="D72" s="897">
        <v>419.5</v>
      </c>
      <c r="E72" s="897">
        <v>1</v>
      </c>
      <c r="F72" s="897">
        <v>66</v>
      </c>
      <c r="G72" s="897">
        <v>419.5</v>
      </c>
      <c r="H72" s="266"/>
      <c r="I72" s="266"/>
      <c r="J72" s="266"/>
      <c r="K72"/>
      <c r="L72"/>
      <c r="M72"/>
      <c r="N72"/>
      <c r="O72"/>
      <c r="P72"/>
      <c r="Q72"/>
      <c r="R72"/>
      <c r="S72"/>
    </row>
    <row r="73" spans="1:19" x14ac:dyDescent="0.25">
      <c r="A73" s="2" t="s">
        <v>323</v>
      </c>
      <c r="B73" s="897"/>
      <c r="C73" s="897"/>
      <c r="D73" s="897"/>
      <c r="E73" s="897"/>
      <c r="F73" s="897"/>
      <c r="G73" s="897"/>
      <c r="H73" s="266"/>
      <c r="I73" s="266"/>
      <c r="J73" s="266"/>
      <c r="K73"/>
      <c r="L73"/>
      <c r="M73"/>
      <c r="N73"/>
      <c r="O73"/>
      <c r="P73"/>
      <c r="Q73"/>
      <c r="R73"/>
      <c r="S73"/>
    </row>
    <row r="74" spans="1:19" x14ac:dyDescent="0.25">
      <c r="A74" s="200" t="s">
        <v>18</v>
      </c>
      <c r="B74" s="897">
        <v>14</v>
      </c>
      <c r="C74" s="897">
        <v>1271</v>
      </c>
      <c r="D74" s="897">
        <v>6463.75</v>
      </c>
      <c r="E74" s="897">
        <v>14</v>
      </c>
      <c r="F74" s="897">
        <v>1271</v>
      </c>
      <c r="G74" s="897">
        <v>6463.75</v>
      </c>
      <c r="H74" s="266"/>
      <c r="I74" s="266"/>
      <c r="J74" s="266"/>
      <c r="K74"/>
      <c r="L74"/>
      <c r="M74"/>
      <c r="N74"/>
      <c r="O74"/>
      <c r="P74"/>
      <c r="Q74"/>
      <c r="R74"/>
      <c r="S74"/>
    </row>
    <row r="75" spans="1:19" x14ac:dyDescent="0.25">
      <c r="A75" s="2" t="s">
        <v>1177</v>
      </c>
      <c r="B75" s="897">
        <v>14</v>
      </c>
      <c r="C75" s="897">
        <v>1271</v>
      </c>
      <c r="D75" s="897">
        <v>6463.75</v>
      </c>
      <c r="E75" s="897">
        <v>14</v>
      </c>
      <c r="F75" s="897">
        <v>1271</v>
      </c>
      <c r="G75" s="897">
        <v>6463.75</v>
      </c>
      <c r="H75" s="266"/>
      <c r="I75" s="266"/>
      <c r="J75" s="266"/>
      <c r="K75"/>
      <c r="L75"/>
      <c r="M75"/>
      <c r="N75"/>
      <c r="O75"/>
      <c r="P75"/>
      <c r="Q75"/>
      <c r="R75"/>
      <c r="S75"/>
    </row>
    <row r="76" spans="1:19" x14ac:dyDescent="0.25">
      <c r="A76" s="2" t="s">
        <v>324</v>
      </c>
      <c r="B76" s="897"/>
      <c r="C76" s="897"/>
      <c r="D76" s="897"/>
      <c r="E76" s="897"/>
      <c r="F76" s="897"/>
      <c r="G76" s="897"/>
      <c r="H76" s="266"/>
      <c r="I76" s="266"/>
      <c r="J76" s="266"/>
      <c r="K76"/>
      <c r="L76"/>
      <c r="M76"/>
      <c r="N76"/>
      <c r="O76"/>
      <c r="P76"/>
      <c r="Q76"/>
      <c r="R76"/>
      <c r="S76"/>
    </row>
    <row r="77" spans="1:19" x14ac:dyDescent="0.25">
      <c r="A77" s="200" t="s">
        <v>18</v>
      </c>
      <c r="B77" s="897">
        <v>30</v>
      </c>
      <c r="C77" s="897">
        <v>4338</v>
      </c>
      <c r="D77" s="897">
        <v>24891.75</v>
      </c>
      <c r="E77" s="897">
        <v>30</v>
      </c>
      <c r="F77" s="897">
        <v>4338</v>
      </c>
      <c r="G77" s="897">
        <v>24891.75</v>
      </c>
      <c r="H77" s="266"/>
      <c r="I77" s="266"/>
      <c r="J77" s="266"/>
      <c r="K77"/>
      <c r="L77"/>
      <c r="M77"/>
      <c r="N77"/>
      <c r="O77"/>
      <c r="P77"/>
      <c r="Q77"/>
      <c r="R77"/>
      <c r="S77"/>
    </row>
    <row r="78" spans="1:19" x14ac:dyDescent="0.25">
      <c r="A78" s="200" t="s">
        <v>43</v>
      </c>
      <c r="B78" s="897">
        <v>1</v>
      </c>
      <c r="C78" s="897">
        <v>48</v>
      </c>
      <c r="D78" s="897">
        <v>624</v>
      </c>
      <c r="E78" s="897">
        <v>1</v>
      </c>
      <c r="F78" s="897">
        <v>48</v>
      </c>
      <c r="G78" s="897">
        <v>624</v>
      </c>
      <c r="H78" s="266"/>
      <c r="I78" s="266"/>
      <c r="J78" s="266"/>
      <c r="K78"/>
      <c r="L78"/>
      <c r="M78"/>
      <c r="N78"/>
      <c r="O78"/>
      <c r="P78"/>
      <c r="Q78"/>
      <c r="R78"/>
      <c r="S78"/>
    </row>
    <row r="79" spans="1:19" x14ac:dyDescent="0.25">
      <c r="A79" s="2" t="s">
        <v>1178</v>
      </c>
      <c r="B79" s="897">
        <v>31</v>
      </c>
      <c r="C79" s="897">
        <v>4386</v>
      </c>
      <c r="D79" s="897">
        <v>25515.75</v>
      </c>
      <c r="E79" s="897">
        <v>31</v>
      </c>
      <c r="F79" s="897">
        <v>4386</v>
      </c>
      <c r="G79" s="897">
        <v>25515.75</v>
      </c>
      <c r="H79" s="266"/>
      <c r="I79" s="266"/>
      <c r="J79" s="266"/>
      <c r="K79"/>
      <c r="L79"/>
      <c r="M79"/>
      <c r="N79"/>
      <c r="O79"/>
      <c r="P79"/>
      <c r="Q79"/>
      <c r="R79"/>
      <c r="S79"/>
    </row>
    <row r="80" spans="1:19" x14ac:dyDescent="0.25">
      <c r="A80" s="529" t="s">
        <v>365</v>
      </c>
      <c r="B80" s="897"/>
      <c r="C80" s="897"/>
      <c r="D80" s="897"/>
      <c r="E80" s="897"/>
      <c r="F80" s="897"/>
      <c r="G80" s="897"/>
      <c r="H80" s="266"/>
      <c r="I80" s="266"/>
      <c r="J80" s="266"/>
      <c r="K80"/>
      <c r="L80"/>
      <c r="M80"/>
      <c r="N80"/>
      <c r="O80"/>
      <c r="P80"/>
      <c r="Q80"/>
      <c r="R80"/>
      <c r="S80"/>
    </row>
    <row r="81" spans="1:19" x14ac:dyDescent="0.25">
      <c r="A81" s="709" t="s">
        <v>18</v>
      </c>
      <c r="B81" s="897">
        <v>824</v>
      </c>
      <c r="C81" s="897">
        <v>140449</v>
      </c>
      <c r="D81" s="897">
        <v>743978.25</v>
      </c>
      <c r="E81" s="897">
        <v>824</v>
      </c>
      <c r="F81" s="897">
        <v>140449</v>
      </c>
      <c r="G81" s="897">
        <v>743978.25</v>
      </c>
      <c r="H81" s="266"/>
      <c r="I81" s="266"/>
      <c r="J81" s="266"/>
      <c r="K81"/>
      <c r="L81"/>
      <c r="M81"/>
      <c r="N81"/>
      <c r="O81"/>
      <c r="P81"/>
      <c r="Q81"/>
      <c r="R81"/>
      <c r="S81"/>
    </row>
    <row r="82" spans="1:19" x14ac:dyDescent="0.25">
      <c r="A82" s="709" t="s">
        <v>43</v>
      </c>
      <c r="B82" s="897">
        <v>6</v>
      </c>
      <c r="C82" s="897">
        <v>1213</v>
      </c>
      <c r="D82" s="897">
        <v>15769</v>
      </c>
      <c r="E82" s="897">
        <v>6</v>
      </c>
      <c r="F82" s="897">
        <v>1213</v>
      </c>
      <c r="G82" s="897">
        <v>15769</v>
      </c>
      <c r="H82" s="266"/>
      <c r="I82" s="266"/>
      <c r="J82" s="266"/>
      <c r="K82"/>
      <c r="L82"/>
      <c r="M82"/>
      <c r="N82"/>
      <c r="O82"/>
      <c r="P82"/>
      <c r="Q82"/>
      <c r="R82"/>
      <c r="S82"/>
    </row>
    <row r="83" spans="1:19" x14ac:dyDescent="0.25">
      <c r="A83" s="709" t="s">
        <v>44</v>
      </c>
      <c r="B83" s="897">
        <v>11</v>
      </c>
      <c r="C83" s="897">
        <v>1936</v>
      </c>
      <c r="D83" s="897">
        <v>12510.75</v>
      </c>
      <c r="E83" s="897">
        <v>11</v>
      </c>
      <c r="F83" s="897">
        <v>1936</v>
      </c>
      <c r="G83" s="897">
        <v>12510.75</v>
      </c>
      <c r="H83" s="266"/>
      <c r="I83" s="266"/>
      <c r="J83" s="266"/>
      <c r="K83"/>
      <c r="L83"/>
      <c r="M83"/>
      <c r="N83"/>
      <c r="O83"/>
      <c r="P83"/>
      <c r="Q83"/>
      <c r="R83"/>
      <c r="S83"/>
    </row>
    <row r="84" spans="1:19" x14ac:dyDescent="0.25">
      <c r="A84" s="529" t="s">
        <v>482</v>
      </c>
      <c r="B84" s="897">
        <v>841</v>
      </c>
      <c r="C84" s="897">
        <v>143598</v>
      </c>
      <c r="D84" s="897">
        <v>772258</v>
      </c>
      <c r="E84" s="897">
        <v>841</v>
      </c>
      <c r="F84" s="897">
        <v>143598</v>
      </c>
      <c r="G84" s="897">
        <v>772258</v>
      </c>
      <c r="H84" s="266"/>
      <c r="I84" s="266"/>
      <c r="J84" s="266"/>
      <c r="K84"/>
      <c r="L84"/>
      <c r="M84"/>
      <c r="N84"/>
      <c r="O84"/>
      <c r="P84"/>
      <c r="Q84"/>
      <c r="R84"/>
      <c r="S84"/>
    </row>
    <row r="85" spans="1:19" x14ac:dyDescent="0.25">
      <c r="A85" s="2" t="s">
        <v>325</v>
      </c>
      <c r="B85" s="897"/>
      <c r="C85" s="897"/>
      <c r="D85" s="897"/>
      <c r="E85" s="897"/>
      <c r="F85" s="897"/>
      <c r="G85" s="897"/>
    </row>
    <row r="86" spans="1:19" x14ac:dyDescent="0.25">
      <c r="A86" s="200" t="s">
        <v>18</v>
      </c>
      <c r="B86" s="897">
        <v>4</v>
      </c>
      <c r="C86" s="897">
        <v>915</v>
      </c>
      <c r="D86" s="897">
        <v>6106.75</v>
      </c>
      <c r="E86" s="897">
        <v>4</v>
      </c>
      <c r="F86" s="897">
        <v>915</v>
      </c>
      <c r="G86" s="897">
        <v>6106.75</v>
      </c>
    </row>
    <row r="87" spans="1:19" x14ac:dyDescent="0.25">
      <c r="A87" s="2" t="s">
        <v>1179</v>
      </c>
      <c r="B87" s="897">
        <v>4</v>
      </c>
      <c r="C87" s="897">
        <v>915</v>
      </c>
      <c r="D87" s="897">
        <v>6106.75</v>
      </c>
      <c r="E87" s="897">
        <v>4</v>
      </c>
      <c r="F87" s="897">
        <v>915</v>
      </c>
      <c r="G87" s="897">
        <v>6106.75</v>
      </c>
    </row>
    <row r="88" spans="1:19" x14ac:dyDescent="0.25">
      <c r="A88" s="2" t="s">
        <v>326</v>
      </c>
      <c r="B88" s="897"/>
      <c r="C88" s="897"/>
      <c r="D88" s="897"/>
      <c r="E88" s="897"/>
      <c r="F88" s="897"/>
      <c r="G88" s="897"/>
    </row>
    <row r="89" spans="1:19" x14ac:dyDescent="0.25">
      <c r="A89" s="200" t="s">
        <v>18</v>
      </c>
      <c r="B89" s="897">
        <v>6</v>
      </c>
      <c r="C89" s="897">
        <v>961</v>
      </c>
      <c r="D89" s="897">
        <v>4350</v>
      </c>
      <c r="E89" s="897">
        <v>6</v>
      </c>
      <c r="F89" s="897">
        <v>961</v>
      </c>
      <c r="G89" s="897">
        <v>4350</v>
      </c>
    </row>
    <row r="90" spans="1:19" x14ac:dyDescent="0.25">
      <c r="A90" s="2" t="s">
        <v>1180</v>
      </c>
      <c r="B90" s="897">
        <v>6</v>
      </c>
      <c r="C90" s="897">
        <v>961</v>
      </c>
      <c r="D90" s="897">
        <v>4350</v>
      </c>
      <c r="E90" s="897">
        <v>6</v>
      </c>
      <c r="F90" s="897">
        <v>961</v>
      </c>
      <c r="G90" s="897">
        <v>4350</v>
      </c>
    </row>
    <row r="91" spans="1:19" x14ac:dyDescent="0.25">
      <c r="A91" s="2" t="s">
        <v>327</v>
      </c>
      <c r="B91" s="897"/>
      <c r="C91" s="897"/>
      <c r="D91" s="897"/>
      <c r="E91" s="897"/>
      <c r="F91" s="897"/>
      <c r="G91" s="897"/>
    </row>
    <row r="92" spans="1:19" x14ac:dyDescent="0.25">
      <c r="A92" s="200" t="s">
        <v>18</v>
      </c>
      <c r="B92" s="897">
        <v>8</v>
      </c>
      <c r="C92" s="897">
        <v>1377</v>
      </c>
      <c r="D92" s="897">
        <v>7441.75</v>
      </c>
      <c r="E92" s="897">
        <v>8</v>
      </c>
      <c r="F92" s="897">
        <v>1377</v>
      </c>
      <c r="G92" s="897">
        <v>7441.75</v>
      </c>
    </row>
    <row r="93" spans="1:19" x14ac:dyDescent="0.25">
      <c r="A93" s="2" t="s">
        <v>1181</v>
      </c>
      <c r="B93" s="897">
        <v>8</v>
      </c>
      <c r="C93" s="897">
        <v>1377</v>
      </c>
      <c r="D93" s="897">
        <v>7441.75</v>
      </c>
      <c r="E93" s="897">
        <v>8</v>
      </c>
      <c r="F93" s="897">
        <v>1377</v>
      </c>
      <c r="G93" s="897">
        <v>7441.75</v>
      </c>
    </row>
    <row r="94" spans="1:19" x14ac:dyDescent="0.25">
      <c r="A94" s="2" t="s">
        <v>285</v>
      </c>
      <c r="B94" s="897"/>
      <c r="C94" s="897"/>
      <c r="D94" s="897"/>
      <c r="E94" s="897"/>
      <c r="F94" s="897"/>
      <c r="G94" s="897"/>
    </row>
    <row r="95" spans="1:19" x14ac:dyDescent="0.25">
      <c r="A95" s="200" t="s">
        <v>18</v>
      </c>
      <c r="B95" s="897">
        <v>152</v>
      </c>
      <c r="C95" s="897">
        <v>27816</v>
      </c>
      <c r="D95" s="897">
        <v>124331.75</v>
      </c>
      <c r="E95" s="897">
        <v>152</v>
      </c>
      <c r="F95" s="897">
        <v>27816</v>
      </c>
      <c r="G95" s="897">
        <v>124331.75</v>
      </c>
    </row>
    <row r="96" spans="1:19" x14ac:dyDescent="0.25">
      <c r="A96" s="2" t="s">
        <v>1182</v>
      </c>
      <c r="B96" s="897">
        <v>152</v>
      </c>
      <c r="C96" s="897">
        <v>27816</v>
      </c>
      <c r="D96" s="897">
        <v>124331.75</v>
      </c>
      <c r="E96" s="897">
        <v>152</v>
      </c>
      <c r="F96" s="897">
        <v>27816</v>
      </c>
      <c r="G96" s="897">
        <v>124331.75</v>
      </c>
    </row>
    <row r="97" spans="1:7" x14ac:dyDescent="0.25">
      <c r="A97" s="2" t="s">
        <v>328</v>
      </c>
      <c r="B97" s="897"/>
      <c r="C97" s="897"/>
      <c r="D97" s="897"/>
      <c r="E97" s="897"/>
      <c r="F97" s="897"/>
      <c r="G97" s="897"/>
    </row>
    <row r="98" spans="1:7" x14ac:dyDescent="0.25">
      <c r="A98" s="200" t="s">
        <v>18</v>
      </c>
      <c r="B98" s="897">
        <v>29</v>
      </c>
      <c r="C98" s="897">
        <v>4615</v>
      </c>
      <c r="D98" s="897">
        <v>21275.5</v>
      </c>
      <c r="E98" s="897">
        <v>29</v>
      </c>
      <c r="F98" s="897">
        <v>4615</v>
      </c>
      <c r="G98" s="897">
        <v>21275.5</v>
      </c>
    </row>
    <row r="99" spans="1:7" x14ac:dyDescent="0.25">
      <c r="A99" s="2" t="s">
        <v>1153</v>
      </c>
      <c r="B99" s="897">
        <v>29</v>
      </c>
      <c r="C99" s="897">
        <v>4615</v>
      </c>
      <c r="D99" s="897">
        <v>21275.5</v>
      </c>
      <c r="E99" s="897">
        <v>29</v>
      </c>
      <c r="F99" s="897">
        <v>4615</v>
      </c>
      <c r="G99" s="897">
        <v>21275.5</v>
      </c>
    </row>
    <row r="100" spans="1:7" x14ac:dyDescent="0.25">
      <c r="A100" s="529" t="s">
        <v>329</v>
      </c>
      <c r="B100" s="897"/>
      <c r="C100" s="897"/>
      <c r="D100" s="897"/>
      <c r="E100" s="897"/>
      <c r="F100" s="897"/>
      <c r="G100" s="897"/>
    </row>
    <row r="101" spans="1:7" x14ac:dyDescent="0.25">
      <c r="A101" s="709" t="s">
        <v>18</v>
      </c>
      <c r="B101" s="897">
        <v>208</v>
      </c>
      <c r="C101" s="897">
        <v>37332</v>
      </c>
      <c r="D101" s="897">
        <v>192131.75</v>
      </c>
      <c r="E101" s="897">
        <v>208</v>
      </c>
      <c r="F101" s="897">
        <v>37332</v>
      </c>
      <c r="G101" s="897">
        <v>192131.75</v>
      </c>
    </row>
    <row r="102" spans="1:7" x14ac:dyDescent="0.25">
      <c r="A102" s="200" t="s">
        <v>42</v>
      </c>
      <c r="B102" s="897">
        <v>1</v>
      </c>
      <c r="C102" s="897">
        <v>97</v>
      </c>
      <c r="D102" s="897">
        <v>418</v>
      </c>
      <c r="E102" s="897">
        <v>1</v>
      </c>
      <c r="F102" s="897">
        <v>97</v>
      </c>
      <c r="G102" s="897">
        <v>418</v>
      </c>
    </row>
    <row r="103" spans="1:7" x14ac:dyDescent="0.25">
      <c r="A103" s="200" t="s">
        <v>43</v>
      </c>
      <c r="B103" s="897">
        <v>1</v>
      </c>
      <c r="C103" s="897">
        <v>357</v>
      </c>
      <c r="D103" s="897">
        <v>4641</v>
      </c>
      <c r="E103" s="897">
        <v>1</v>
      </c>
      <c r="F103" s="897">
        <v>357</v>
      </c>
      <c r="G103" s="897">
        <v>4641</v>
      </c>
    </row>
    <row r="104" spans="1:7" x14ac:dyDescent="0.25">
      <c r="A104" s="200" t="s">
        <v>44</v>
      </c>
      <c r="B104" s="897">
        <v>4</v>
      </c>
      <c r="C104" s="897">
        <v>111</v>
      </c>
      <c r="D104" s="897">
        <v>798.5</v>
      </c>
      <c r="E104" s="897">
        <v>4</v>
      </c>
      <c r="F104" s="897">
        <v>111</v>
      </c>
      <c r="G104" s="897">
        <v>798.5</v>
      </c>
    </row>
    <row r="105" spans="1:7" x14ac:dyDescent="0.25">
      <c r="A105" s="200" t="s">
        <v>45</v>
      </c>
      <c r="B105" s="897">
        <v>2</v>
      </c>
      <c r="C105" s="897">
        <v>522</v>
      </c>
      <c r="D105" s="897">
        <v>3131.75</v>
      </c>
      <c r="E105" s="897">
        <v>2</v>
      </c>
      <c r="F105" s="897">
        <v>522</v>
      </c>
      <c r="G105" s="897">
        <v>3131.75</v>
      </c>
    </row>
    <row r="106" spans="1:7" x14ac:dyDescent="0.25">
      <c r="A106" s="529" t="s">
        <v>496</v>
      </c>
      <c r="B106" s="897">
        <v>216</v>
      </c>
      <c r="C106" s="897">
        <v>38419</v>
      </c>
      <c r="D106" s="897">
        <v>201121</v>
      </c>
      <c r="E106" s="897">
        <v>216</v>
      </c>
      <c r="F106" s="897">
        <v>38419</v>
      </c>
      <c r="G106" s="897">
        <v>201121</v>
      </c>
    </row>
    <row r="107" spans="1:7" x14ac:dyDescent="0.25">
      <c r="A107" s="529" t="s">
        <v>366</v>
      </c>
      <c r="B107" s="897"/>
      <c r="C107" s="897"/>
      <c r="D107" s="897"/>
      <c r="E107" s="897"/>
      <c r="F107" s="897"/>
      <c r="G107" s="897"/>
    </row>
    <row r="108" spans="1:7" x14ac:dyDescent="0.25">
      <c r="A108" s="709" t="s">
        <v>18</v>
      </c>
      <c r="B108" s="897">
        <v>288</v>
      </c>
      <c r="C108" s="897">
        <v>46714</v>
      </c>
      <c r="D108" s="897">
        <v>261969.25</v>
      </c>
      <c r="E108" s="897">
        <v>288</v>
      </c>
      <c r="F108" s="897">
        <v>46714</v>
      </c>
      <c r="G108" s="897">
        <v>261969.25</v>
      </c>
    </row>
    <row r="109" spans="1:7" x14ac:dyDescent="0.25">
      <c r="A109" s="709" t="s">
        <v>43</v>
      </c>
      <c r="B109" s="897">
        <v>2</v>
      </c>
      <c r="C109" s="897">
        <v>197</v>
      </c>
      <c r="D109" s="897">
        <v>2561</v>
      </c>
      <c r="E109" s="897">
        <v>2</v>
      </c>
      <c r="F109" s="897">
        <v>197</v>
      </c>
      <c r="G109" s="897">
        <v>2561</v>
      </c>
    </row>
    <row r="110" spans="1:7" x14ac:dyDescent="0.25">
      <c r="A110" s="709" t="s">
        <v>44</v>
      </c>
      <c r="B110" s="897">
        <v>9</v>
      </c>
      <c r="C110" s="897">
        <v>387</v>
      </c>
      <c r="D110" s="897">
        <v>2741.5</v>
      </c>
      <c r="E110" s="897">
        <v>9</v>
      </c>
      <c r="F110" s="897">
        <v>387</v>
      </c>
      <c r="G110" s="897">
        <v>2741.5</v>
      </c>
    </row>
    <row r="111" spans="1:7" x14ac:dyDescent="0.25">
      <c r="A111" s="529" t="s">
        <v>483</v>
      </c>
      <c r="B111" s="897">
        <v>299</v>
      </c>
      <c r="C111" s="897">
        <v>47298</v>
      </c>
      <c r="D111" s="897">
        <v>267271.75</v>
      </c>
      <c r="E111" s="897">
        <v>299</v>
      </c>
      <c r="F111" s="897">
        <v>47298</v>
      </c>
      <c r="G111" s="897">
        <v>267271.75</v>
      </c>
    </row>
    <row r="112" spans="1:7" x14ac:dyDescent="0.25">
      <c r="A112" s="2" t="s">
        <v>330</v>
      </c>
      <c r="B112" s="897"/>
      <c r="C112" s="897"/>
      <c r="D112" s="897"/>
      <c r="E112" s="897"/>
      <c r="F112" s="897"/>
      <c r="G112" s="897"/>
    </row>
    <row r="113" spans="1:7" x14ac:dyDescent="0.25">
      <c r="A113" s="200" t="s">
        <v>18</v>
      </c>
      <c r="B113" s="897">
        <v>35</v>
      </c>
      <c r="C113" s="897">
        <v>5110</v>
      </c>
      <c r="D113" s="897">
        <v>22693.5</v>
      </c>
      <c r="E113" s="897">
        <v>35</v>
      </c>
      <c r="F113" s="897">
        <v>5110</v>
      </c>
      <c r="G113" s="897">
        <v>22693.5</v>
      </c>
    </row>
    <row r="114" spans="1:7" x14ac:dyDescent="0.25">
      <c r="A114" s="2" t="s">
        <v>1183</v>
      </c>
      <c r="B114" s="897">
        <v>35</v>
      </c>
      <c r="C114" s="897">
        <v>5110</v>
      </c>
      <c r="D114" s="897">
        <v>22693.5</v>
      </c>
      <c r="E114" s="897">
        <v>35</v>
      </c>
      <c r="F114" s="897">
        <v>5110</v>
      </c>
      <c r="G114" s="897">
        <v>22693.5</v>
      </c>
    </row>
    <row r="115" spans="1:7" x14ac:dyDescent="0.25">
      <c r="A115" s="2" t="s">
        <v>331</v>
      </c>
      <c r="B115" s="897"/>
      <c r="C115" s="897"/>
      <c r="D115" s="897"/>
      <c r="E115" s="897"/>
      <c r="F115" s="897"/>
      <c r="G115" s="897"/>
    </row>
    <row r="116" spans="1:7" x14ac:dyDescent="0.25">
      <c r="A116" s="200" t="s">
        <v>18</v>
      </c>
      <c r="B116" s="897">
        <v>42</v>
      </c>
      <c r="C116" s="897">
        <v>7239</v>
      </c>
      <c r="D116" s="897">
        <v>27627</v>
      </c>
      <c r="E116" s="897">
        <v>42</v>
      </c>
      <c r="F116" s="897">
        <v>7239</v>
      </c>
      <c r="G116" s="897">
        <v>27627</v>
      </c>
    </row>
    <row r="117" spans="1:7" x14ac:dyDescent="0.25">
      <c r="A117" s="2" t="s">
        <v>1184</v>
      </c>
      <c r="B117" s="897">
        <v>42</v>
      </c>
      <c r="C117" s="897">
        <v>7239</v>
      </c>
      <c r="D117" s="897">
        <v>27627</v>
      </c>
      <c r="E117" s="897">
        <v>42</v>
      </c>
      <c r="F117" s="897">
        <v>7239</v>
      </c>
      <c r="G117" s="897">
        <v>27627</v>
      </c>
    </row>
    <row r="118" spans="1:7" x14ac:dyDescent="0.25">
      <c r="A118" s="2" t="s">
        <v>332</v>
      </c>
      <c r="B118" s="897"/>
      <c r="C118" s="897"/>
      <c r="D118" s="897"/>
      <c r="E118" s="897"/>
      <c r="F118" s="897"/>
      <c r="G118" s="897"/>
    </row>
    <row r="119" spans="1:7" x14ac:dyDescent="0.25">
      <c r="A119" s="200" t="s">
        <v>18</v>
      </c>
      <c r="B119" s="897">
        <v>78</v>
      </c>
      <c r="C119" s="897">
        <v>15048</v>
      </c>
      <c r="D119" s="897">
        <v>66155.5</v>
      </c>
      <c r="E119" s="897">
        <v>78</v>
      </c>
      <c r="F119" s="897">
        <v>15048</v>
      </c>
      <c r="G119" s="897">
        <v>66155.5</v>
      </c>
    </row>
    <row r="120" spans="1:7" x14ac:dyDescent="0.25">
      <c r="A120" s="200" t="s">
        <v>44</v>
      </c>
      <c r="B120" s="897">
        <v>8</v>
      </c>
      <c r="C120" s="897">
        <v>2254</v>
      </c>
      <c r="D120" s="897">
        <v>20011</v>
      </c>
      <c r="E120" s="897">
        <v>8</v>
      </c>
      <c r="F120" s="897">
        <v>2254</v>
      </c>
      <c r="G120" s="897">
        <v>20011</v>
      </c>
    </row>
    <row r="121" spans="1:7" x14ac:dyDescent="0.25">
      <c r="A121" s="2" t="s">
        <v>1185</v>
      </c>
      <c r="B121" s="897">
        <v>86</v>
      </c>
      <c r="C121" s="897">
        <v>17302</v>
      </c>
      <c r="D121" s="897">
        <v>86166.5</v>
      </c>
      <c r="E121" s="897">
        <v>86</v>
      </c>
      <c r="F121" s="897">
        <v>17302</v>
      </c>
      <c r="G121" s="897">
        <v>86166.5</v>
      </c>
    </row>
    <row r="122" spans="1:7" x14ac:dyDescent="0.25">
      <c r="A122" s="2" t="s">
        <v>333</v>
      </c>
      <c r="B122" s="897"/>
      <c r="C122" s="897"/>
      <c r="D122" s="897"/>
      <c r="E122" s="897"/>
      <c r="F122" s="897"/>
      <c r="G122" s="897"/>
    </row>
    <row r="123" spans="1:7" x14ac:dyDescent="0.25">
      <c r="A123" s="200" t="s">
        <v>18</v>
      </c>
      <c r="B123" s="897">
        <v>11</v>
      </c>
      <c r="C123" s="897">
        <v>2284</v>
      </c>
      <c r="D123" s="897">
        <v>11889.25</v>
      </c>
      <c r="E123" s="897">
        <v>11</v>
      </c>
      <c r="F123" s="897">
        <v>2284</v>
      </c>
      <c r="G123" s="897">
        <v>11889.25</v>
      </c>
    </row>
    <row r="124" spans="1:7" x14ac:dyDescent="0.25">
      <c r="A124" s="2" t="s">
        <v>1186</v>
      </c>
      <c r="B124" s="897">
        <v>11</v>
      </c>
      <c r="C124" s="897">
        <v>2284</v>
      </c>
      <c r="D124" s="897">
        <v>11889.25</v>
      </c>
      <c r="E124" s="897">
        <v>11</v>
      </c>
      <c r="F124" s="897">
        <v>2284</v>
      </c>
      <c r="G124" s="897">
        <v>11889.25</v>
      </c>
    </row>
    <row r="125" spans="1:7" x14ac:dyDescent="0.25">
      <c r="A125" s="2" t="s">
        <v>334</v>
      </c>
      <c r="B125" s="897"/>
      <c r="C125" s="897"/>
      <c r="D125" s="897"/>
      <c r="E125" s="897"/>
      <c r="F125" s="897"/>
      <c r="G125" s="897"/>
    </row>
    <row r="126" spans="1:7" x14ac:dyDescent="0.25">
      <c r="A126" s="200" t="s">
        <v>18</v>
      </c>
      <c r="B126" s="897">
        <v>52</v>
      </c>
      <c r="C126" s="897">
        <v>10345</v>
      </c>
      <c r="D126" s="897">
        <v>46925.25</v>
      </c>
      <c r="E126" s="897">
        <v>52</v>
      </c>
      <c r="F126" s="897">
        <v>10345</v>
      </c>
      <c r="G126" s="897">
        <v>46925.25</v>
      </c>
    </row>
    <row r="127" spans="1:7" x14ac:dyDescent="0.25">
      <c r="A127" s="200" t="s">
        <v>44</v>
      </c>
      <c r="B127" s="897">
        <v>2</v>
      </c>
      <c r="C127" s="897">
        <v>133</v>
      </c>
      <c r="D127" s="897">
        <v>906.5</v>
      </c>
      <c r="E127" s="897">
        <v>2</v>
      </c>
      <c r="F127" s="897">
        <v>133</v>
      </c>
      <c r="G127" s="897">
        <v>906.5</v>
      </c>
    </row>
    <row r="128" spans="1:7" x14ac:dyDescent="0.25">
      <c r="A128" s="2" t="s">
        <v>1154</v>
      </c>
      <c r="B128" s="897">
        <v>54</v>
      </c>
      <c r="C128" s="897">
        <v>10478</v>
      </c>
      <c r="D128" s="897">
        <v>47831.75</v>
      </c>
      <c r="E128" s="897">
        <v>54</v>
      </c>
      <c r="F128" s="897">
        <v>10478</v>
      </c>
      <c r="G128" s="897">
        <v>47831.75</v>
      </c>
    </row>
    <row r="129" spans="1:7" x14ac:dyDescent="0.25">
      <c r="A129" s="2" t="s">
        <v>335</v>
      </c>
      <c r="B129" s="897"/>
      <c r="C129" s="897"/>
      <c r="D129" s="897"/>
      <c r="E129" s="897"/>
      <c r="F129" s="897"/>
      <c r="G129" s="897"/>
    </row>
    <row r="130" spans="1:7" x14ac:dyDescent="0.25">
      <c r="A130" s="200" t="s">
        <v>18</v>
      </c>
      <c r="B130" s="897">
        <v>9</v>
      </c>
      <c r="C130" s="897">
        <v>926</v>
      </c>
      <c r="D130" s="897">
        <v>4593.25</v>
      </c>
      <c r="E130" s="897">
        <v>9</v>
      </c>
      <c r="F130" s="897">
        <v>926</v>
      </c>
      <c r="G130" s="897">
        <v>4593.25</v>
      </c>
    </row>
    <row r="131" spans="1:7" x14ac:dyDescent="0.25">
      <c r="A131" s="2" t="s">
        <v>1187</v>
      </c>
      <c r="B131" s="897">
        <v>9</v>
      </c>
      <c r="C131" s="897">
        <v>926</v>
      </c>
      <c r="D131" s="897">
        <v>4593.25</v>
      </c>
      <c r="E131" s="897">
        <v>9</v>
      </c>
      <c r="F131" s="897">
        <v>926</v>
      </c>
      <c r="G131" s="897">
        <v>4593.25</v>
      </c>
    </row>
    <row r="132" spans="1:7" x14ac:dyDescent="0.25">
      <c r="A132" s="2" t="s">
        <v>336</v>
      </c>
      <c r="B132" s="897"/>
      <c r="C132" s="897"/>
      <c r="D132" s="897"/>
      <c r="E132" s="897"/>
      <c r="F132" s="897"/>
      <c r="G132" s="897"/>
    </row>
    <row r="133" spans="1:7" x14ac:dyDescent="0.25">
      <c r="A133" s="200" t="s">
        <v>18</v>
      </c>
      <c r="B133" s="897">
        <v>19</v>
      </c>
      <c r="C133" s="897">
        <v>2875</v>
      </c>
      <c r="D133" s="897">
        <v>15224.5</v>
      </c>
      <c r="E133" s="897">
        <v>19</v>
      </c>
      <c r="F133" s="897">
        <v>2875</v>
      </c>
      <c r="G133" s="897">
        <v>15224.5</v>
      </c>
    </row>
    <row r="134" spans="1:7" x14ac:dyDescent="0.25">
      <c r="A134" s="2" t="s">
        <v>1188</v>
      </c>
      <c r="B134" s="897">
        <v>19</v>
      </c>
      <c r="C134" s="897">
        <v>2875</v>
      </c>
      <c r="D134" s="897">
        <v>15224.5</v>
      </c>
      <c r="E134" s="897">
        <v>19</v>
      </c>
      <c r="F134" s="897">
        <v>2875</v>
      </c>
      <c r="G134" s="897">
        <v>15224.5</v>
      </c>
    </row>
    <row r="135" spans="1:7" x14ac:dyDescent="0.25">
      <c r="A135" s="2" t="s">
        <v>337</v>
      </c>
      <c r="B135" s="897"/>
      <c r="C135" s="897"/>
      <c r="D135" s="897"/>
      <c r="E135" s="897"/>
      <c r="F135" s="897"/>
      <c r="G135" s="897"/>
    </row>
    <row r="136" spans="1:7" x14ac:dyDescent="0.25">
      <c r="A136" s="200" t="s">
        <v>18</v>
      </c>
      <c r="B136" s="897">
        <v>10</v>
      </c>
      <c r="C136" s="897">
        <v>1392</v>
      </c>
      <c r="D136" s="897">
        <v>6477.25</v>
      </c>
      <c r="E136" s="897">
        <v>10</v>
      </c>
      <c r="F136" s="897">
        <v>1392</v>
      </c>
      <c r="G136" s="897">
        <v>6477.25</v>
      </c>
    </row>
    <row r="137" spans="1:7" x14ac:dyDescent="0.25">
      <c r="A137" s="2" t="s">
        <v>1189</v>
      </c>
      <c r="B137" s="897">
        <v>10</v>
      </c>
      <c r="C137" s="897">
        <v>1392</v>
      </c>
      <c r="D137" s="897">
        <v>6477.25</v>
      </c>
      <c r="E137" s="897">
        <v>10</v>
      </c>
      <c r="F137" s="897">
        <v>1392</v>
      </c>
      <c r="G137" s="897">
        <v>6477.25</v>
      </c>
    </row>
    <row r="138" spans="1:7" x14ac:dyDescent="0.25">
      <c r="A138" s="2" t="s">
        <v>338</v>
      </c>
      <c r="B138" s="897"/>
      <c r="C138" s="897"/>
      <c r="D138" s="897"/>
      <c r="E138" s="897"/>
      <c r="F138" s="897"/>
      <c r="G138" s="897"/>
    </row>
    <row r="139" spans="1:7" x14ac:dyDescent="0.25">
      <c r="A139" s="200" t="s">
        <v>18</v>
      </c>
      <c r="B139" s="897">
        <v>6</v>
      </c>
      <c r="C139" s="897">
        <v>608</v>
      </c>
      <c r="D139" s="897">
        <v>2721.25</v>
      </c>
      <c r="E139" s="897">
        <v>6</v>
      </c>
      <c r="F139" s="897">
        <v>608</v>
      </c>
      <c r="G139" s="897">
        <v>2721.25</v>
      </c>
    </row>
    <row r="140" spans="1:7" x14ac:dyDescent="0.25">
      <c r="A140" s="2" t="s">
        <v>1190</v>
      </c>
      <c r="B140" s="897">
        <v>6</v>
      </c>
      <c r="C140" s="897">
        <v>608</v>
      </c>
      <c r="D140" s="897">
        <v>2721.25</v>
      </c>
      <c r="E140" s="897">
        <v>6</v>
      </c>
      <c r="F140" s="897">
        <v>608</v>
      </c>
      <c r="G140" s="897">
        <v>2721.25</v>
      </c>
    </row>
    <row r="141" spans="1:7" x14ac:dyDescent="0.25">
      <c r="A141" s="529" t="s">
        <v>339</v>
      </c>
      <c r="B141" s="897"/>
      <c r="C141" s="897"/>
      <c r="D141" s="897"/>
      <c r="E141" s="897"/>
      <c r="F141" s="897"/>
      <c r="G141" s="897"/>
    </row>
    <row r="142" spans="1:7" x14ac:dyDescent="0.25">
      <c r="A142" s="709" t="s">
        <v>18</v>
      </c>
      <c r="B142" s="897">
        <v>597</v>
      </c>
      <c r="C142" s="897">
        <v>99211</v>
      </c>
      <c r="D142" s="897">
        <v>521287.25</v>
      </c>
      <c r="E142" s="897">
        <v>597</v>
      </c>
      <c r="F142" s="897">
        <v>99211</v>
      </c>
      <c r="G142" s="897">
        <v>521287.25</v>
      </c>
    </row>
    <row r="143" spans="1:7" x14ac:dyDescent="0.25">
      <c r="A143" s="200" t="s">
        <v>44</v>
      </c>
      <c r="B143" s="897">
        <v>4</v>
      </c>
      <c r="C143" s="897">
        <v>539</v>
      </c>
      <c r="D143" s="897">
        <v>2207.5</v>
      </c>
      <c r="E143" s="897">
        <v>4</v>
      </c>
      <c r="F143" s="897">
        <v>539</v>
      </c>
      <c r="G143" s="897">
        <v>2207.5</v>
      </c>
    </row>
    <row r="144" spans="1:7" x14ac:dyDescent="0.25">
      <c r="A144" s="529" t="s">
        <v>484</v>
      </c>
      <c r="B144" s="897">
        <v>601</v>
      </c>
      <c r="C144" s="897">
        <v>99750</v>
      </c>
      <c r="D144" s="897">
        <v>523494.75</v>
      </c>
      <c r="E144" s="897">
        <v>601</v>
      </c>
      <c r="F144" s="897">
        <v>99750</v>
      </c>
      <c r="G144" s="897">
        <v>523494.75</v>
      </c>
    </row>
    <row r="145" spans="1:7" x14ac:dyDescent="0.25">
      <c r="A145" s="2" t="s">
        <v>340</v>
      </c>
      <c r="B145" s="897"/>
      <c r="C145" s="897"/>
      <c r="D145" s="897"/>
      <c r="E145" s="897"/>
      <c r="F145" s="897"/>
      <c r="G145" s="897"/>
    </row>
    <row r="146" spans="1:7" x14ac:dyDescent="0.25">
      <c r="A146" s="200" t="s">
        <v>18</v>
      </c>
      <c r="B146" s="897">
        <v>61</v>
      </c>
      <c r="C146" s="897">
        <v>9787</v>
      </c>
      <c r="D146" s="897">
        <v>46139.5</v>
      </c>
      <c r="E146" s="897">
        <v>61</v>
      </c>
      <c r="F146" s="897">
        <v>9787</v>
      </c>
      <c r="G146" s="897">
        <v>46139.5</v>
      </c>
    </row>
    <row r="147" spans="1:7" x14ac:dyDescent="0.25">
      <c r="A147" s="200" t="s">
        <v>43</v>
      </c>
      <c r="B147" s="897">
        <v>1</v>
      </c>
      <c r="C147" s="897">
        <v>6</v>
      </c>
      <c r="D147" s="897">
        <v>78</v>
      </c>
      <c r="E147" s="897">
        <v>1</v>
      </c>
      <c r="F147" s="897">
        <v>6</v>
      </c>
      <c r="G147" s="897">
        <v>78</v>
      </c>
    </row>
    <row r="148" spans="1:7" x14ac:dyDescent="0.25">
      <c r="A148" s="2" t="s">
        <v>1155</v>
      </c>
      <c r="B148" s="897">
        <v>62</v>
      </c>
      <c r="C148" s="897">
        <v>9793</v>
      </c>
      <c r="D148" s="897">
        <v>46217.5</v>
      </c>
      <c r="E148" s="897">
        <v>62</v>
      </c>
      <c r="F148" s="897">
        <v>9793</v>
      </c>
      <c r="G148" s="897">
        <v>46217.5</v>
      </c>
    </row>
    <row r="149" spans="1:7" x14ac:dyDescent="0.25">
      <c r="A149" s="529" t="s">
        <v>367</v>
      </c>
      <c r="B149" s="897"/>
      <c r="C149" s="897"/>
      <c r="D149" s="897"/>
      <c r="E149" s="897"/>
      <c r="F149" s="897"/>
      <c r="G149" s="897"/>
    </row>
    <row r="150" spans="1:7" x14ac:dyDescent="0.25">
      <c r="A150" s="709" t="s">
        <v>18</v>
      </c>
      <c r="B150" s="897">
        <v>232</v>
      </c>
      <c r="C150" s="897">
        <v>46405</v>
      </c>
      <c r="D150" s="897">
        <v>248380.25</v>
      </c>
      <c r="E150" s="897">
        <v>232</v>
      </c>
      <c r="F150" s="897">
        <v>46405</v>
      </c>
      <c r="G150" s="897">
        <v>248380.25</v>
      </c>
    </row>
    <row r="151" spans="1:7" x14ac:dyDescent="0.25">
      <c r="A151" s="709" t="s">
        <v>43</v>
      </c>
      <c r="B151" s="897">
        <v>3</v>
      </c>
      <c r="C151" s="897">
        <v>794</v>
      </c>
      <c r="D151" s="897">
        <v>10322</v>
      </c>
      <c r="E151" s="897">
        <v>3</v>
      </c>
      <c r="F151" s="897">
        <v>794</v>
      </c>
      <c r="G151" s="897">
        <v>10322</v>
      </c>
    </row>
    <row r="152" spans="1:7" x14ac:dyDescent="0.25">
      <c r="A152" s="709" t="s">
        <v>44</v>
      </c>
      <c r="B152" s="897">
        <v>7</v>
      </c>
      <c r="C152" s="897">
        <v>583</v>
      </c>
      <c r="D152" s="897">
        <v>1990</v>
      </c>
      <c r="E152" s="897">
        <v>7</v>
      </c>
      <c r="F152" s="897">
        <v>583</v>
      </c>
      <c r="G152" s="897">
        <v>1990</v>
      </c>
    </row>
    <row r="153" spans="1:7" x14ac:dyDescent="0.25">
      <c r="A153" s="200" t="s">
        <v>46</v>
      </c>
      <c r="B153" s="897">
        <v>1</v>
      </c>
      <c r="C153" s="897">
        <v>1</v>
      </c>
      <c r="D153" s="897">
        <v>13</v>
      </c>
      <c r="E153" s="897">
        <v>1</v>
      </c>
      <c r="F153" s="897">
        <v>1</v>
      </c>
      <c r="G153" s="897">
        <v>13</v>
      </c>
    </row>
    <row r="154" spans="1:7" x14ac:dyDescent="0.25">
      <c r="A154" s="529" t="s">
        <v>485</v>
      </c>
      <c r="B154" s="897">
        <v>243</v>
      </c>
      <c r="C154" s="897">
        <v>47783</v>
      </c>
      <c r="D154" s="897">
        <v>260705.25</v>
      </c>
      <c r="E154" s="897">
        <v>243</v>
      </c>
      <c r="F154" s="897">
        <v>47783</v>
      </c>
      <c r="G154" s="897">
        <v>260705.25</v>
      </c>
    </row>
    <row r="155" spans="1:7" x14ac:dyDescent="0.25">
      <c r="A155" s="2" t="s">
        <v>341</v>
      </c>
      <c r="B155" s="897"/>
      <c r="C155" s="897"/>
      <c r="D155" s="897"/>
      <c r="E155" s="897"/>
      <c r="F155" s="897"/>
      <c r="G155" s="897"/>
    </row>
    <row r="156" spans="1:7" x14ac:dyDescent="0.25">
      <c r="A156" s="200" t="s">
        <v>18</v>
      </c>
      <c r="B156" s="897">
        <v>33</v>
      </c>
      <c r="C156" s="897">
        <v>6666</v>
      </c>
      <c r="D156" s="897">
        <v>33635.5</v>
      </c>
      <c r="E156" s="897">
        <v>33</v>
      </c>
      <c r="F156" s="897">
        <v>6666</v>
      </c>
      <c r="G156" s="897">
        <v>33635.5</v>
      </c>
    </row>
    <row r="157" spans="1:7" x14ac:dyDescent="0.25">
      <c r="A157" s="2" t="s">
        <v>1191</v>
      </c>
      <c r="B157" s="897">
        <v>33</v>
      </c>
      <c r="C157" s="897">
        <v>6666</v>
      </c>
      <c r="D157" s="897">
        <v>33635.5</v>
      </c>
      <c r="E157" s="897">
        <v>33</v>
      </c>
      <c r="F157" s="897">
        <v>6666</v>
      </c>
      <c r="G157" s="897">
        <v>33635.5</v>
      </c>
    </row>
    <row r="158" spans="1:7" x14ac:dyDescent="0.25">
      <c r="A158" s="2" t="s">
        <v>342</v>
      </c>
      <c r="B158" s="897"/>
      <c r="C158" s="897"/>
      <c r="D158" s="897"/>
      <c r="E158" s="897"/>
      <c r="F158" s="897"/>
      <c r="G158" s="897"/>
    </row>
    <row r="159" spans="1:7" x14ac:dyDescent="0.25">
      <c r="A159" s="200" t="s">
        <v>18</v>
      </c>
      <c r="B159" s="897">
        <v>12</v>
      </c>
      <c r="C159" s="897">
        <v>1856</v>
      </c>
      <c r="D159" s="897">
        <v>9813</v>
      </c>
      <c r="E159" s="897">
        <v>12</v>
      </c>
      <c r="F159" s="897">
        <v>1856</v>
      </c>
      <c r="G159" s="897">
        <v>9813</v>
      </c>
    </row>
    <row r="160" spans="1:7" x14ac:dyDescent="0.25">
      <c r="A160" s="2" t="s">
        <v>1192</v>
      </c>
      <c r="B160" s="897">
        <v>12</v>
      </c>
      <c r="C160" s="897">
        <v>1856</v>
      </c>
      <c r="D160" s="897">
        <v>9813</v>
      </c>
      <c r="E160" s="897">
        <v>12</v>
      </c>
      <c r="F160" s="897">
        <v>1856</v>
      </c>
      <c r="G160" s="897">
        <v>9813</v>
      </c>
    </row>
    <row r="161" spans="1:7" x14ac:dyDescent="0.25">
      <c r="A161" s="2" t="s">
        <v>343</v>
      </c>
      <c r="B161" s="897"/>
      <c r="C161" s="897"/>
      <c r="D161" s="897"/>
      <c r="E161" s="897"/>
      <c r="F161" s="897"/>
      <c r="G161" s="897"/>
    </row>
    <row r="162" spans="1:7" x14ac:dyDescent="0.25">
      <c r="A162" s="200" t="s">
        <v>18</v>
      </c>
      <c r="B162" s="897">
        <v>31</v>
      </c>
      <c r="C162" s="897">
        <v>5428</v>
      </c>
      <c r="D162" s="897">
        <v>24689</v>
      </c>
      <c r="E162" s="897">
        <v>31</v>
      </c>
      <c r="F162" s="897">
        <v>5428</v>
      </c>
      <c r="G162" s="897">
        <v>24689</v>
      </c>
    </row>
    <row r="163" spans="1:7" x14ac:dyDescent="0.25">
      <c r="A163" s="2" t="s">
        <v>1156</v>
      </c>
      <c r="B163" s="897">
        <v>31</v>
      </c>
      <c r="C163" s="897">
        <v>5428</v>
      </c>
      <c r="D163" s="897">
        <v>24689</v>
      </c>
      <c r="E163" s="897">
        <v>31</v>
      </c>
      <c r="F163" s="897">
        <v>5428</v>
      </c>
      <c r="G163" s="897">
        <v>24689</v>
      </c>
    </row>
    <row r="164" spans="1:7" x14ac:dyDescent="0.25">
      <c r="A164" s="2" t="s">
        <v>344</v>
      </c>
      <c r="B164" s="897"/>
      <c r="C164" s="897"/>
      <c r="D164" s="897"/>
      <c r="E164" s="897"/>
      <c r="F164" s="897"/>
      <c r="G164" s="897"/>
    </row>
    <row r="165" spans="1:7" x14ac:dyDescent="0.25">
      <c r="A165" s="200" t="s">
        <v>18</v>
      </c>
      <c r="B165" s="897">
        <v>161</v>
      </c>
      <c r="C165" s="897">
        <v>29887</v>
      </c>
      <c r="D165" s="897">
        <v>141229.5</v>
      </c>
      <c r="E165" s="897">
        <v>161</v>
      </c>
      <c r="F165" s="897">
        <v>29887</v>
      </c>
      <c r="G165" s="897">
        <v>141229.5</v>
      </c>
    </row>
    <row r="166" spans="1:7" x14ac:dyDescent="0.25">
      <c r="A166" s="200" t="s">
        <v>44</v>
      </c>
      <c r="B166" s="897">
        <v>2</v>
      </c>
      <c r="C166" s="897">
        <v>134</v>
      </c>
      <c r="D166" s="897">
        <v>1217.75</v>
      </c>
      <c r="E166" s="897">
        <v>2</v>
      </c>
      <c r="F166" s="897">
        <v>134</v>
      </c>
      <c r="G166" s="897">
        <v>1217.75</v>
      </c>
    </row>
    <row r="167" spans="1:7" x14ac:dyDescent="0.25">
      <c r="A167" s="2" t="s">
        <v>1157</v>
      </c>
      <c r="B167" s="897">
        <v>163</v>
      </c>
      <c r="C167" s="897">
        <v>30021</v>
      </c>
      <c r="D167" s="897">
        <v>142447.25</v>
      </c>
      <c r="E167" s="897">
        <v>163</v>
      </c>
      <c r="F167" s="897">
        <v>30021</v>
      </c>
      <c r="G167" s="897">
        <v>142447.25</v>
      </c>
    </row>
    <row r="168" spans="1:7" x14ac:dyDescent="0.25">
      <c r="A168" s="2" t="s">
        <v>345</v>
      </c>
      <c r="B168" s="897"/>
      <c r="C168" s="897"/>
      <c r="D168" s="897"/>
      <c r="E168" s="897"/>
      <c r="F168" s="897"/>
      <c r="G168" s="897"/>
    </row>
    <row r="169" spans="1:7" x14ac:dyDescent="0.25">
      <c r="A169" s="200" t="s">
        <v>18</v>
      </c>
      <c r="B169" s="897">
        <v>11</v>
      </c>
      <c r="C169" s="897">
        <v>1942</v>
      </c>
      <c r="D169" s="897">
        <v>9269</v>
      </c>
      <c r="E169" s="897">
        <v>11</v>
      </c>
      <c r="F169" s="897">
        <v>1942</v>
      </c>
      <c r="G169" s="897">
        <v>9269</v>
      </c>
    </row>
    <row r="170" spans="1:7" x14ac:dyDescent="0.25">
      <c r="A170" s="2" t="s">
        <v>1193</v>
      </c>
      <c r="B170" s="897">
        <v>11</v>
      </c>
      <c r="C170" s="897">
        <v>1942</v>
      </c>
      <c r="D170" s="897">
        <v>9269</v>
      </c>
      <c r="E170" s="897">
        <v>11</v>
      </c>
      <c r="F170" s="897">
        <v>1942</v>
      </c>
      <c r="G170" s="897">
        <v>9269</v>
      </c>
    </row>
    <row r="171" spans="1:7" x14ac:dyDescent="0.25">
      <c r="A171" s="2" t="s">
        <v>346</v>
      </c>
      <c r="B171" s="897"/>
      <c r="C171" s="897"/>
      <c r="D171" s="897"/>
      <c r="E171" s="897"/>
      <c r="F171" s="897"/>
      <c r="G171" s="897"/>
    </row>
    <row r="172" spans="1:7" x14ac:dyDescent="0.25">
      <c r="A172" s="200" t="s">
        <v>18</v>
      </c>
      <c r="B172" s="897">
        <v>6</v>
      </c>
      <c r="C172" s="897">
        <v>482</v>
      </c>
      <c r="D172" s="897">
        <v>2426.75</v>
      </c>
      <c r="E172" s="897">
        <v>6</v>
      </c>
      <c r="F172" s="897">
        <v>482</v>
      </c>
      <c r="G172" s="897">
        <v>2426.75</v>
      </c>
    </row>
    <row r="173" spans="1:7" x14ac:dyDescent="0.25">
      <c r="A173" s="2" t="s">
        <v>1194</v>
      </c>
      <c r="B173" s="897">
        <v>6</v>
      </c>
      <c r="C173" s="897">
        <v>482</v>
      </c>
      <c r="D173" s="897">
        <v>2426.75</v>
      </c>
      <c r="E173" s="897">
        <v>6</v>
      </c>
      <c r="F173" s="897">
        <v>482</v>
      </c>
      <c r="G173" s="897">
        <v>2426.75</v>
      </c>
    </row>
    <row r="174" spans="1:7" x14ac:dyDescent="0.25">
      <c r="A174" s="2" t="s">
        <v>347</v>
      </c>
      <c r="B174" s="897"/>
      <c r="C174" s="897"/>
      <c r="D174" s="897"/>
      <c r="E174" s="897"/>
      <c r="F174" s="897"/>
      <c r="G174" s="897"/>
    </row>
    <row r="175" spans="1:7" x14ac:dyDescent="0.25">
      <c r="A175" s="200" t="s">
        <v>18</v>
      </c>
      <c r="B175" s="897">
        <v>3</v>
      </c>
      <c r="C175" s="897">
        <v>357</v>
      </c>
      <c r="D175" s="897">
        <v>1981</v>
      </c>
      <c r="E175" s="897">
        <v>3</v>
      </c>
      <c r="F175" s="897">
        <v>357</v>
      </c>
      <c r="G175" s="897">
        <v>1981</v>
      </c>
    </row>
    <row r="176" spans="1:7" x14ac:dyDescent="0.25">
      <c r="A176" s="2" t="s">
        <v>1195</v>
      </c>
      <c r="B176" s="897">
        <v>3</v>
      </c>
      <c r="C176" s="897">
        <v>357</v>
      </c>
      <c r="D176" s="897">
        <v>1981</v>
      </c>
      <c r="E176" s="897">
        <v>3</v>
      </c>
      <c r="F176" s="897">
        <v>357</v>
      </c>
      <c r="G176" s="897">
        <v>1981</v>
      </c>
    </row>
    <row r="177" spans="1:7" x14ac:dyDescent="0.25">
      <c r="A177" s="2" t="s">
        <v>348</v>
      </c>
      <c r="B177" s="897"/>
      <c r="C177" s="897"/>
      <c r="D177" s="897"/>
      <c r="E177" s="897"/>
      <c r="F177" s="897"/>
      <c r="G177" s="897"/>
    </row>
    <row r="178" spans="1:7" x14ac:dyDescent="0.25">
      <c r="A178" s="200" t="s">
        <v>18</v>
      </c>
      <c r="B178" s="897">
        <v>18</v>
      </c>
      <c r="C178" s="897">
        <v>2522</v>
      </c>
      <c r="D178" s="897">
        <v>10785.75</v>
      </c>
      <c r="E178" s="897">
        <v>18</v>
      </c>
      <c r="F178" s="897">
        <v>2522</v>
      </c>
      <c r="G178" s="897">
        <v>10785.75</v>
      </c>
    </row>
    <row r="179" spans="1:7" x14ac:dyDescent="0.25">
      <c r="A179" s="2" t="s">
        <v>1196</v>
      </c>
      <c r="B179" s="897">
        <v>18</v>
      </c>
      <c r="C179" s="897">
        <v>2522</v>
      </c>
      <c r="D179" s="897">
        <v>10785.75</v>
      </c>
      <c r="E179" s="897">
        <v>18</v>
      </c>
      <c r="F179" s="897">
        <v>2522</v>
      </c>
      <c r="G179" s="897">
        <v>10785.75</v>
      </c>
    </row>
    <row r="180" spans="1:7" x14ac:dyDescent="0.25">
      <c r="A180" s="529" t="s">
        <v>349</v>
      </c>
      <c r="B180" s="897"/>
      <c r="C180" s="897"/>
      <c r="D180" s="897"/>
      <c r="E180" s="897"/>
      <c r="F180" s="897"/>
      <c r="G180" s="897"/>
    </row>
    <row r="181" spans="1:7" x14ac:dyDescent="0.25">
      <c r="A181" s="200" t="s">
        <v>18</v>
      </c>
      <c r="B181" s="897">
        <v>191</v>
      </c>
      <c r="C181" s="897">
        <v>34823</v>
      </c>
      <c r="D181" s="897">
        <v>166772.5</v>
      </c>
      <c r="E181" s="897">
        <v>191</v>
      </c>
      <c r="F181" s="897">
        <v>34823</v>
      </c>
      <c r="G181" s="897">
        <v>166772.5</v>
      </c>
    </row>
    <row r="182" spans="1:7" x14ac:dyDescent="0.25">
      <c r="A182" s="200" t="s">
        <v>42</v>
      </c>
      <c r="B182" s="897">
        <v>1</v>
      </c>
      <c r="C182" s="897">
        <v>262</v>
      </c>
      <c r="D182" s="897">
        <v>1990.5</v>
      </c>
      <c r="E182" s="897">
        <v>1</v>
      </c>
      <c r="F182" s="897">
        <v>262</v>
      </c>
      <c r="G182" s="897">
        <v>1990.5</v>
      </c>
    </row>
    <row r="183" spans="1:7" x14ac:dyDescent="0.25">
      <c r="A183" s="200" t="s">
        <v>43</v>
      </c>
      <c r="B183" s="897">
        <v>2</v>
      </c>
      <c r="C183" s="897">
        <v>433</v>
      </c>
      <c r="D183" s="897">
        <v>5629</v>
      </c>
      <c r="E183" s="897">
        <v>2</v>
      </c>
      <c r="F183" s="897">
        <v>433</v>
      </c>
      <c r="G183" s="897">
        <v>5629</v>
      </c>
    </row>
    <row r="184" spans="1:7" x14ac:dyDescent="0.25">
      <c r="A184" s="200" t="s">
        <v>44</v>
      </c>
      <c r="B184" s="897">
        <v>8</v>
      </c>
      <c r="C184" s="897">
        <v>1208</v>
      </c>
      <c r="D184" s="897">
        <v>9163.5</v>
      </c>
      <c r="E184" s="897">
        <v>8</v>
      </c>
      <c r="F184" s="897">
        <v>1208</v>
      </c>
      <c r="G184" s="897">
        <v>9163.5</v>
      </c>
    </row>
    <row r="185" spans="1:7" x14ac:dyDescent="0.25">
      <c r="A185" s="529" t="s">
        <v>486</v>
      </c>
      <c r="B185" s="897">
        <v>202</v>
      </c>
      <c r="C185" s="897">
        <v>36726</v>
      </c>
      <c r="D185" s="897">
        <v>183555.5</v>
      </c>
      <c r="E185" s="897">
        <v>202</v>
      </c>
      <c r="F185" s="897">
        <v>36726</v>
      </c>
      <c r="G185" s="897">
        <v>183555.5</v>
      </c>
    </row>
    <row r="186" spans="1:7" x14ac:dyDescent="0.25">
      <c r="A186" s="2" t="s">
        <v>350</v>
      </c>
      <c r="B186" s="897"/>
      <c r="C186" s="897"/>
      <c r="D186" s="897"/>
      <c r="E186" s="897"/>
      <c r="F186" s="897"/>
      <c r="G186" s="897"/>
    </row>
    <row r="187" spans="1:7" x14ac:dyDescent="0.25">
      <c r="A187" s="200" t="s">
        <v>18</v>
      </c>
      <c r="B187" s="897">
        <v>13</v>
      </c>
      <c r="C187" s="897">
        <v>2116</v>
      </c>
      <c r="D187" s="897">
        <v>10080</v>
      </c>
      <c r="E187" s="897">
        <v>13</v>
      </c>
      <c r="F187" s="897">
        <v>2116</v>
      </c>
      <c r="G187" s="897">
        <v>10080</v>
      </c>
    </row>
    <row r="188" spans="1:7" x14ac:dyDescent="0.25">
      <c r="A188" s="2" t="s">
        <v>1197</v>
      </c>
      <c r="B188" s="897">
        <v>13</v>
      </c>
      <c r="C188" s="897">
        <v>2116</v>
      </c>
      <c r="D188" s="897">
        <v>10080</v>
      </c>
      <c r="E188" s="897">
        <v>13</v>
      </c>
      <c r="F188" s="897">
        <v>2116</v>
      </c>
      <c r="G188" s="897">
        <v>10080</v>
      </c>
    </row>
    <row r="189" spans="1:7" x14ac:dyDescent="0.25">
      <c r="A189" s="2" t="s">
        <v>351</v>
      </c>
      <c r="B189" s="897"/>
      <c r="C189" s="897"/>
      <c r="D189" s="897"/>
      <c r="E189" s="897"/>
      <c r="F189" s="897"/>
      <c r="G189" s="897"/>
    </row>
    <row r="190" spans="1:7" x14ac:dyDescent="0.25">
      <c r="A190" s="200" t="s">
        <v>18</v>
      </c>
      <c r="B190" s="897">
        <v>12</v>
      </c>
      <c r="C190" s="897">
        <v>1442</v>
      </c>
      <c r="D190" s="897">
        <v>5581.5</v>
      </c>
      <c r="E190" s="897">
        <v>12</v>
      </c>
      <c r="F190" s="897">
        <v>1442</v>
      </c>
      <c r="G190" s="897">
        <v>5581.5</v>
      </c>
    </row>
    <row r="191" spans="1:7" x14ac:dyDescent="0.25">
      <c r="A191" s="2" t="s">
        <v>1198</v>
      </c>
      <c r="B191" s="897">
        <v>12</v>
      </c>
      <c r="C191" s="897">
        <v>1442</v>
      </c>
      <c r="D191" s="897">
        <v>5581.5</v>
      </c>
      <c r="E191" s="897">
        <v>12</v>
      </c>
      <c r="F191" s="897">
        <v>1442</v>
      </c>
      <c r="G191" s="897">
        <v>5581.5</v>
      </c>
    </row>
    <row r="192" spans="1:7" x14ac:dyDescent="0.25">
      <c r="A192" s="2" t="s">
        <v>352</v>
      </c>
      <c r="B192" s="897"/>
      <c r="C192" s="897"/>
      <c r="D192" s="897"/>
      <c r="E192" s="897"/>
      <c r="F192" s="897"/>
      <c r="G192" s="897"/>
    </row>
    <row r="193" spans="1:7" x14ac:dyDescent="0.25">
      <c r="A193" s="200" t="s">
        <v>18</v>
      </c>
      <c r="B193" s="897">
        <v>10</v>
      </c>
      <c r="C193" s="897">
        <v>944</v>
      </c>
      <c r="D193" s="897">
        <v>4032.5</v>
      </c>
      <c r="E193" s="897">
        <v>10</v>
      </c>
      <c r="F193" s="897">
        <v>944</v>
      </c>
      <c r="G193" s="897">
        <v>4032.5</v>
      </c>
    </row>
    <row r="194" spans="1:7" x14ac:dyDescent="0.25">
      <c r="A194" s="2" t="s">
        <v>1199</v>
      </c>
      <c r="B194" s="897">
        <v>10</v>
      </c>
      <c r="C194" s="897">
        <v>944</v>
      </c>
      <c r="D194" s="897">
        <v>4032.5</v>
      </c>
      <c r="E194" s="897">
        <v>10</v>
      </c>
      <c r="F194" s="897">
        <v>944</v>
      </c>
      <c r="G194" s="897">
        <v>4032.5</v>
      </c>
    </row>
    <row r="195" spans="1:7" x14ac:dyDescent="0.25">
      <c r="A195" s="2" t="s">
        <v>353</v>
      </c>
      <c r="B195" s="897"/>
      <c r="C195" s="897"/>
      <c r="D195" s="897"/>
      <c r="E195" s="897"/>
      <c r="F195" s="897"/>
      <c r="G195" s="897"/>
    </row>
    <row r="196" spans="1:7" x14ac:dyDescent="0.25">
      <c r="A196" s="200" t="s">
        <v>18</v>
      </c>
      <c r="B196" s="897">
        <v>31</v>
      </c>
      <c r="C196" s="897">
        <v>6249</v>
      </c>
      <c r="D196" s="897">
        <v>33179.5</v>
      </c>
      <c r="E196" s="897">
        <v>31</v>
      </c>
      <c r="F196" s="897">
        <v>6249</v>
      </c>
      <c r="G196" s="897">
        <v>33179.5</v>
      </c>
    </row>
    <row r="197" spans="1:7" x14ac:dyDescent="0.25">
      <c r="A197" s="2" t="s">
        <v>1200</v>
      </c>
      <c r="B197" s="897">
        <v>31</v>
      </c>
      <c r="C197" s="897">
        <v>6249</v>
      </c>
      <c r="D197" s="897">
        <v>33179.5</v>
      </c>
      <c r="E197" s="897">
        <v>31</v>
      </c>
      <c r="F197" s="897">
        <v>6249</v>
      </c>
      <c r="G197" s="897">
        <v>33179.5</v>
      </c>
    </row>
    <row r="198" spans="1:7" x14ac:dyDescent="0.25">
      <c r="A198" s="2" t="s">
        <v>354</v>
      </c>
      <c r="B198" s="897"/>
      <c r="C198" s="897"/>
      <c r="D198" s="897"/>
      <c r="E198" s="897"/>
      <c r="F198" s="897"/>
      <c r="G198" s="897"/>
    </row>
    <row r="199" spans="1:7" x14ac:dyDescent="0.25">
      <c r="A199" s="200" t="s">
        <v>18</v>
      </c>
      <c r="B199" s="897">
        <v>11</v>
      </c>
      <c r="C199" s="897">
        <v>1089</v>
      </c>
      <c r="D199" s="897">
        <v>5557.25</v>
      </c>
      <c r="E199" s="897">
        <v>11</v>
      </c>
      <c r="F199" s="897">
        <v>1089</v>
      </c>
      <c r="G199" s="897">
        <v>5557.25</v>
      </c>
    </row>
    <row r="200" spans="1:7" x14ac:dyDescent="0.25">
      <c r="A200" s="2" t="s">
        <v>1201</v>
      </c>
      <c r="B200" s="897">
        <v>11</v>
      </c>
      <c r="C200" s="897">
        <v>1089</v>
      </c>
      <c r="D200" s="897">
        <v>5557.25</v>
      </c>
      <c r="E200" s="897">
        <v>11</v>
      </c>
      <c r="F200" s="897">
        <v>1089</v>
      </c>
      <c r="G200" s="897">
        <v>5557.25</v>
      </c>
    </row>
    <row r="201" spans="1:7" x14ac:dyDescent="0.25">
      <c r="A201" s="2" t="s">
        <v>355</v>
      </c>
      <c r="B201" s="897"/>
      <c r="C201" s="897"/>
      <c r="D201" s="897"/>
      <c r="E201" s="897"/>
      <c r="F201" s="897"/>
      <c r="G201" s="897"/>
    </row>
    <row r="202" spans="1:7" x14ac:dyDescent="0.25">
      <c r="A202" s="200" t="s">
        <v>18</v>
      </c>
      <c r="B202" s="897">
        <v>13</v>
      </c>
      <c r="C202" s="897">
        <v>1942</v>
      </c>
      <c r="D202" s="897">
        <v>8768.75</v>
      </c>
      <c r="E202" s="897">
        <v>13</v>
      </c>
      <c r="F202" s="897">
        <v>1942</v>
      </c>
      <c r="G202" s="897">
        <v>8768.75</v>
      </c>
    </row>
    <row r="203" spans="1:7" x14ac:dyDescent="0.25">
      <c r="A203" s="2" t="s">
        <v>1202</v>
      </c>
      <c r="B203" s="897">
        <v>13</v>
      </c>
      <c r="C203" s="897">
        <v>1942</v>
      </c>
      <c r="D203" s="897">
        <v>8768.75</v>
      </c>
      <c r="E203" s="897">
        <v>13</v>
      </c>
      <c r="F203" s="897">
        <v>1942</v>
      </c>
      <c r="G203" s="897">
        <v>8768.75</v>
      </c>
    </row>
    <row r="204" spans="1:7" x14ac:dyDescent="0.25">
      <c r="A204" s="2" t="s">
        <v>361</v>
      </c>
      <c r="B204" s="897"/>
      <c r="C204" s="897"/>
      <c r="D204" s="897"/>
      <c r="E204" s="897"/>
      <c r="F204" s="897"/>
      <c r="G204" s="897"/>
    </row>
    <row r="205" spans="1:7" x14ac:dyDescent="0.25">
      <c r="A205" s="200" t="s">
        <v>18</v>
      </c>
      <c r="B205" s="897">
        <v>6</v>
      </c>
      <c r="C205" s="897">
        <v>723</v>
      </c>
      <c r="D205" s="897">
        <v>3401.25</v>
      </c>
      <c r="E205" s="897">
        <v>6</v>
      </c>
      <c r="F205" s="897">
        <v>723</v>
      </c>
      <c r="G205" s="897">
        <v>3401.25</v>
      </c>
    </row>
    <row r="206" spans="1:7" x14ac:dyDescent="0.25">
      <c r="A206" s="2" t="s">
        <v>1203</v>
      </c>
      <c r="B206" s="897">
        <v>6</v>
      </c>
      <c r="C206" s="897">
        <v>723</v>
      </c>
      <c r="D206" s="897">
        <v>3401.25</v>
      </c>
      <c r="E206" s="897">
        <v>6</v>
      </c>
      <c r="F206" s="897">
        <v>723</v>
      </c>
      <c r="G206" s="897">
        <v>3401.25</v>
      </c>
    </row>
    <row r="207" spans="1:7" x14ac:dyDescent="0.25">
      <c r="A207" s="2" t="s">
        <v>362</v>
      </c>
      <c r="B207" s="897"/>
      <c r="C207" s="897"/>
      <c r="D207" s="897"/>
      <c r="E207" s="897"/>
      <c r="F207" s="897"/>
      <c r="G207" s="897"/>
    </row>
    <row r="208" spans="1:7" x14ac:dyDescent="0.25">
      <c r="A208" s="200" t="s">
        <v>18</v>
      </c>
      <c r="B208" s="897">
        <v>119</v>
      </c>
      <c r="C208" s="897">
        <v>18576</v>
      </c>
      <c r="D208" s="897">
        <v>90705.25</v>
      </c>
      <c r="E208" s="897">
        <v>119</v>
      </c>
      <c r="F208" s="897">
        <v>18576</v>
      </c>
      <c r="G208" s="897">
        <v>90705.25</v>
      </c>
    </row>
    <row r="209" spans="1:7" x14ac:dyDescent="0.25">
      <c r="A209" s="200" t="s">
        <v>42</v>
      </c>
      <c r="B209" s="897">
        <v>5</v>
      </c>
      <c r="C209" s="897">
        <v>315</v>
      </c>
      <c r="D209" s="897">
        <v>2776.25</v>
      </c>
      <c r="E209" s="897">
        <v>5</v>
      </c>
      <c r="F209" s="897">
        <v>315</v>
      </c>
      <c r="G209" s="897">
        <v>2776.25</v>
      </c>
    </row>
    <row r="210" spans="1:7" x14ac:dyDescent="0.25">
      <c r="A210" s="200" t="s">
        <v>44</v>
      </c>
      <c r="B210" s="897">
        <v>2</v>
      </c>
      <c r="C210" s="897">
        <v>28</v>
      </c>
      <c r="D210" s="897">
        <v>224</v>
      </c>
      <c r="E210" s="897">
        <v>2</v>
      </c>
      <c r="F210" s="897">
        <v>28</v>
      </c>
      <c r="G210" s="897">
        <v>224</v>
      </c>
    </row>
    <row r="211" spans="1:7" x14ac:dyDescent="0.25">
      <c r="A211" s="2" t="s">
        <v>1158</v>
      </c>
      <c r="B211" s="897">
        <v>126</v>
      </c>
      <c r="C211" s="897">
        <v>18919</v>
      </c>
      <c r="D211" s="897">
        <v>93705.5</v>
      </c>
      <c r="E211" s="897">
        <v>126</v>
      </c>
      <c r="F211" s="897">
        <v>18919</v>
      </c>
      <c r="G211" s="897">
        <v>93705.5</v>
      </c>
    </row>
    <row r="212" spans="1:7" x14ac:dyDescent="0.25">
      <c r="A212" s="2" t="s">
        <v>363</v>
      </c>
      <c r="B212" s="897"/>
      <c r="C212" s="897"/>
      <c r="D212" s="897"/>
      <c r="E212" s="897"/>
      <c r="F212" s="897"/>
      <c r="G212" s="897"/>
    </row>
    <row r="213" spans="1:7" x14ac:dyDescent="0.25">
      <c r="A213" s="200" t="s">
        <v>18</v>
      </c>
      <c r="B213" s="897">
        <v>3</v>
      </c>
      <c r="C213" s="897">
        <v>477</v>
      </c>
      <c r="D213" s="897">
        <v>2342.25</v>
      </c>
      <c r="E213" s="897">
        <v>3</v>
      </c>
      <c r="F213" s="897">
        <v>477</v>
      </c>
      <c r="G213" s="897">
        <v>2342.25</v>
      </c>
    </row>
    <row r="214" spans="1:7" x14ac:dyDescent="0.25">
      <c r="A214" s="2" t="s">
        <v>1204</v>
      </c>
      <c r="B214" s="897">
        <v>3</v>
      </c>
      <c r="C214" s="897">
        <v>477</v>
      </c>
      <c r="D214" s="897">
        <v>2342.25</v>
      </c>
      <c r="E214" s="897">
        <v>3</v>
      </c>
      <c r="F214" s="897">
        <v>477</v>
      </c>
      <c r="G214" s="897">
        <v>2342.25</v>
      </c>
    </row>
    <row r="215" spans="1:7" x14ac:dyDescent="0.25">
      <c r="A215" s="2" t="s">
        <v>364</v>
      </c>
      <c r="B215" s="897"/>
      <c r="C215" s="897"/>
      <c r="D215" s="897"/>
      <c r="E215" s="897"/>
      <c r="F215" s="897"/>
      <c r="G215" s="897"/>
    </row>
    <row r="216" spans="1:7" x14ac:dyDescent="0.25">
      <c r="A216" s="200" t="s">
        <v>18</v>
      </c>
      <c r="B216" s="897">
        <v>3</v>
      </c>
      <c r="C216" s="897">
        <v>621</v>
      </c>
      <c r="D216" s="897">
        <v>3208.25</v>
      </c>
      <c r="E216" s="897">
        <v>3</v>
      </c>
      <c r="F216" s="897">
        <v>621</v>
      </c>
      <c r="G216" s="897">
        <v>3208.25</v>
      </c>
    </row>
    <row r="217" spans="1:7" x14ac:dyDescent="0.25">
      <c r="A217" s="2" t="s">
        <v>1205</v>
      </c>
      <c r="B217" s="897">
        <v>3</v>
      </c>
      <c r="C217" s="897">
        <v>621</v>
      </c>
      <c r="D217" s="897">
        <v>3208.25</v>
      </c>
      <c r="E217" s="897">
        <v>3</v>
      </c>
      <c r="F217" s="897">
        <v>621</v>
      </c>
      <c r="G217" s="897">
        <v>3208.25</v>
      </c>
    </row>
    <row r="218" spans="1:7" x14ac:dyDescent="0.25">
      <c r="A218" s="529" t="s">
        <v>22</v>
      </c>
      <c r="B218" s="897">
        <v>4587</v>
      </c>
      <c r="C218" s="897">
        <v>764479</v>
      </c>
      <c r="D218" s="897">
        <v>3890663.75</v>
      </c>
      <c r="E218" s="897">
        <v>4587</v>
      </c>
      <c r="F218" s="897">
        <v>764479</v>
      </c>
      <c r="G218" s="897">
        <v>3890663.75</v>
      </c>
    </row>
    <row r="219" spans="1:7" x14ac:dyDescent="0.25">
      <c r="A219"/>
      <c r="B219"/>
      <c r="C219"/>
      <c r="D219"/>
      <c r="E219"/>
      <c r="F219"/>
      <c r="G219"/>
    </row>
    <row r="220" spans="1:7" x14ac:dyDescent="0.25">
      <c r="A220"/>
      <c r="B220"/>
      <c r="C220"/>
      <c r="D220"/>
      <c r="E220"/>
      <c r="F220"/>
      <c r="G220"/>
    </row>
    <row r="221" spans="1:7" x14ac:dyDescent="0.25">
      <c r="A221"/>
      <c r="B221"/>
      <c r="C221"/>
      <c r="D221"/>
      <c r="E221"/>
      <c r="F221"/>
      <c r="G221"/>
    </row>
  </sheetData>
  <mergeCells count="1">
    <mergeCell ref="A2:C2"/>
  </mergeCells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 filterMode="1">
    <tabColor rgb="FF92D050"/>
    <pageSetUpPr fitToPage="1"/>
  </sheetPr>
  <dimension ref="A1:W646"/>
  <sheetViews>
    <sheetView workbookViewId="0"/>
  </sheetViews>
  <sheetFormatPr defaultColWidth="9.28515625" defaultRowHeight="15" x14ac:dyDescent="0.25"/>
  <cols>
    <col min="1" max="1" width="16.28515625" style="119" bestFit="1" customWidth="1"/>
    <col min="2" max="2" width="15.7109375" style="310" bestFit="1" customWidth="1"/>
    <col min="3" max="3" width="6.42578125" style="62" customWidth="1"/>
    <col min="4" max="4" width="39.7109375" style="62" customWidth="1"/>
    <col min="5" max="5" width="10" style="63" bestFit="1" customWidth="1"/>
    <col min="6" max="12" width="12.28515625" style="62" customWidth="1"/>
    <col min="13" max="13" width="15.140625" style="62" customWidth="1"/>
    <col min="14" max="14" width="15.7109375" style="62" customWidth="1"/>
    <col min="15" max="23" width="12.28515625" style="62" customWidth="1"/>
    <col min="24" max="16384" width="9.28515625" style="62"/>
  </cols>
  <sheetData>
    <row r="1" spans="1:23" x14ac:dyDescent="0.25">
      <c r="A1" s="289" t="s">
        <v>20</v>
      </c>
      <c r="B1" s="307"/>
      <c r="C1" s="62">
        <v>1</v>
      </c>
      <c r="D1" s="92" t="s">
        <v>64</v>
      </c>
      <c r="E1" s="944"/>
      <c r="F1" s="945"/>
      <c r="G1" s="945"/>
      <c r="H1" s="946"/>
      <c r="I1" s="90"/>
      <c r="J1" s="90"/>
      <c r="K1" s="90"/>
      <c r="L1" s="90"/>
      <c r="M1" s="90"/>
    </row>
    <row r="2" spans="1:23" ht="15.75" thickBot="1" x14ac:dyDescent="0.3">
      <c r="A2" s="62"/>
      <c r="B2" s="307"/>
      <c r="C2" s="62">
        <v>1</v>
      </c>
      <c r="D2" s="91" t="s">
        <v>63</v>
      </c>
      <c r="E2" s="947"/>
      <c r="F2" s="947"/>
      <c r="G2" s="947"/>
      <c r="H2" s="948"/>
      <c r="I2" s="90"/>
      <c r="J2" s="90"/>
      <c r="K2" s="90"/>
      <c r="L2" s="90"/>
      <c r="M2" s="90"/>
    </row>
    <row r="3" spans="1:23" ht="14.85" customHeight="1" x14ac:dyDescent="0.25">
      <c r="A3" s="100"/>
      <c r="B3" s="308"/>
      <c r="C3" s="62">
        <v>1</v>
      </c>
      <c r="D3" s="936" t="s">
        <v>104</v>
      </c>
      <c r="E3" s="949"/>
      <c r="F3" s="940" t="s">
        <v>103</v>
      </c>
      <c r="G3" s="941"/>
      <c r="H3" s="942"/>
      <c r="I3" s="940" t="s">
        <v>102</v>
      </c>
      <c r="J3" s="941"/>
      <c r="K3" s="942"/>
      <c r="L3" s="940" t="s">
        <v>101</v>
      </c>
      <c r="M3" s="941"/>
      <c r="N3" s="942"/>
      <c r="O3" s="940" t="s">
        <v>100</v>
      </c>
      <c r="P3" s="941"/>
      <c r="Q3" s="942"/>
      <c r="R3" s="940" t="s">
        <v>99</v>
      </c>
      <c r="S3" s="941"/>
      <c r="T3" s="942"/>
      <c r="U3" s="940" t="s">
        <v>98</v>
      </c>
      <c r="V3" s="941"/>
      <c r="W3" s="943"/>
    </row>
    <row r="4" spans="1:23" ht="30" x14ac:dyDescent="0.25">
      <c r="A4" s="60"/>
      <c r="B4" s="309"/>
      <c r="C4" s="62">
        <v>1</v>
      </c>
      <c r="D4" s="937"/>
      <c r="E4" s="950"/>
      <c r="F4" s="88" t="s">
        <v>97</v>
      </c>
      <c r="G4" s="88" t="s">
        <v>96</v>
      </c>
      <c r="H4" s="88" t="s">
        <v>95</v>
      </c>
      <c r="I4" s="88" t="s">
        <v>97</v>
      </c>
      <c r="J4" s="88" t="s">
        <v>96</v>
      </c>
      <c r="K4" s="88" t="s">
        <v>95</v>
      </c>
      <c r="L4" s="88" t="s">
        <v>97</v>
      </c>
      <c r="M4" s="88" t="s">
        <v>96</v>
      </c>
      <c r="N4" s="88" t="s">
        <v>95</v>
      </c>
      <c r="O4" s="88" t="s">
        <v>97</v>
      </c>
      <c r="P4" s="88" t="s">
        <v>96</v>
      </c>
      <c r="Q4" s="88" t="s">
        <v>95</v>
      </c>
      <c r="R4" s="88" t="s">
        <v>97</v>
      </c>
      <c r="S4" s="88" t="s">
        <v>96</v>
      </c>
      <c r="T4" s="88" t="s">
        <v>95</v>
      </c>
      <c r="U4" s="88" t="s">
        <v>97</v>
      </c>
      <c r="V4" s="88" t="s">
        <v>96</v>
      </c>
      <c r="W4" s="87" t="s">
        <v>95</v>
      </c>
    </row>
    <row r="5" spans="1:23" x14ac:dyDescent="0.25">
      <c r="A5" s="474" t="s">
        <v>303</v>
      </c>
      <c r="B5" s="309">
        <f>IFERROR(+GETPIVOTDATA("Unique Billed Hours",'County allocation'!$A$3,"County",A5,"HHA/CDPAP","HHA"),0)</f>
        <v>1.0414062357525667E-2</v>
      </c>
      <c r="C5" s="62">
        <v>1</v>
      </c>
      <c r="D5" s="86"/>
      <c r="E5" s="85"/>
      <c r="F5" s="84" t="s">
        <v>57</v>
      </c>
      <c r="G5" s="84" t="s">
        <v>56</v>
      </c>
      <c r="H5" s="84" t="s">
        <v>55</v>
      </c>
      <c r="I5" s="84" t="s">
        <v>54</v>
      </c>
      <c r="J5" s="84" t="s">
        <v>53</v>
      </c>
      <c r="K5" s="84" t="s">
        <v>52</v>
      </c>
      <c r="L5" s="84" t="s">
        <v>51</v>
      </c>
      <c r="M5" s="84" t="s">
        <v>50</v>
      </c>
      <c r="N5" s="84" t="s">
        <v>49</v>
      </c>
      <c r="O5" s="84" t="s">
        <v>47</v>
      </c>
      <c r="P5" s="84" t="s">
        <v>77</v>
      </c>
      <c r="Q5" s="84" t="s">
        <v>78</v>
      </c>
      <c r="R5" s="84" t="s">
        <v>79</v>
      </c>
      <c r="S5" s="84" t="s">
        <v>81</v>
      </c>
      <c r="T5" s="84" t="s">
        <v>83</v>
      </c>
      <c r="U5" s="84" t="s">
        <v>85</v>
      </c>
      <c r="V5" s="84" t="s">
        <v>87</v>
      </c>
      <c r="W5" s="83" t="s">
        <v>88</v>
      </c>
    </row>
    <row r="6" spans="1:23" x14ac:dyDescent="0.25">
      <c r="A6" s="474" t="s">
        <v>304</v>
      </c>
      <c r="B6" s="309">
        <f>IFERROR(+GETPIVOTDATA("Unique Billed Hours",'County allocation'!$A$3,"County",A6,"HHA/CDPAP","HHA"),0)</f>
        <v>0</v>
      </c>
      <c r="C6" s="62">
        <v>1</v>
      </c>
      <c r="D6" s="82" t="s">
        <v>26</v>
      </c>
      <c r="E6" s="80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8"/>
    </row>
    <row r="7" spans="1:23" x14ac:dyDescent="0.25">
      <c r="A7" s="474" t="s">
        <v>305</v>
      </c>
      <c r="B7" s="309">
        <f>IFERROR(+GETPIVOTDATA("Unique Billed Hours",'County allocation'!$A$3,"County",A7,"HHA/CDPAP","HHA"),0)</f>
        <v>0.11142587660428063</v>
      </c>
      <c r="C7" s="62">
        <v>1</v>
      </c>
      <c r="D7" s="81" t="s">
        <v>94</v>
      </c>
      <c r="E7" s="80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8"/>
    </row>
    <row r="8" spans="1:23" x14ac:dyDescent="0.25">
      <c r="A8" s="474" t="s">
        <v>306</v>
      </c>
      <c r="B8" s="309">
        <f>IFERROR(+GETPIVOTDATA("Unique Billed Hours",'County allocation'!$A$3,"County",A8,"HHA/CDPAP","HHA"),0)</f>
        <v>0</v>
      </c>
      <c r="C8" s="62">
        <v>1</v>
      </c>
      <c r="D8" s="77" t="s">
        <v>93</v>
      </c>
      <c r="E8" s="76" t="s">
        <v>57</v>
      </c>
      <c r="F8" s="75"/>
      <c r="G8" s="74"/>
      <c r="H8" s="74"/>
      <c r="I8" s="75"/>
      <c r="J8" s="74"/>
      <c r="K8" s="74"/>
      <c r="L8" s="75">
        <f>+'Payroll Reports Input'!Q39</f>
        <v>3486.8306105769238</v>
      </c>
      <c r="M8" s="74">
        <f ca="1">+'Payroll Reports Input'!R39</f>
        <v>141225953.77999997</v>
      </c>
      <c r="N8" s="74">
        <f ca="1">+'Payroll Reports Input'!S39</f>
        <v>3357615.1203448731</v>
      </c>
      <c r="O8" s="75"/>
      <c r="P8" s="74"/>
      <c r="Q8" s="74"/>
      <c r="R8" s="75"/>
      <c r="S8" s="74"/>
      <c r="T8" s="74"/>
      <c r="U8" s="73">
        <f t="shared" ref="U8:W10" si="0">+R8+O8+L8+I8+F8</f>
        <v>3486.8306105769238</v>
      </c>
      <c r="V8" s="72">
        <f t="shared" ca="1" si="0"/>
        <v>141225953.77999997</v>
      </c>
      <c r="W8" s="72">
        <f t="shared" ca="1" si="0"/>
        <v>3357615.1203448731</v>
      </c>
    </row>
    <row r="9" spans="1:23" x14ac:dyDescent="0.25">
      <c r="A9" s="474" t="s">
        <v>307</v>
      </c>
      <c r="B9" s="309">
        <f>IFERROR(+GETPIVOTDATA("Unique Billed Hours",'County allocation'!$A$3,"County",A9,"HHA/CDPAP","HHA"),0)</f>
        <v>0</v>
      </c>
      <c r="C9" s="62">
        <v>1</v>
      </c>
      <c r="D9" s="77" t="s">
        <v>92</v>
      </c>
      <c r="E9" s="76" t="s">
        <v>56</v>
      </c>
      <c r="F9" s="75"/>
      <c r="G9" s="74"/>
      <c r="H9" s="74"/>
      <c r="I9" s="75"/>
      <c r="J9" s="74"/>
      <c r="K9" s="74"/>
      <c r="L9" s="75"/>
      <c r="M9" s="74"/>
      <c r="N9" s="74"/>
      <c r="O9" s="75"/>
      <c r="P9" s="74"/>
      <c r="Q9" s="74"/>
      <c r="R9" s="75"/>
      <c r="S9" s="74"/>
      <c r="T9" s="74"/>
      <c r="U9" s="73">
        <f t="shared" si="0"/>
        <v>0</v>
      </c>
      <c r="V9" s="72">
        <f t="shared" si="0"/>
        <v>0</v>
      </c>
      <c r="W9" s="72">
        <f t="shared" si="0"/>
        <v>0</v>
      </c>
    </row>
    <row r="10" spans="1:23" x14ac:dyDescent="0.25">
      <c r="A10" s="474" t="s">
        <v>308</v>
      </c>
      <c r="B10" s="309">
        <f>IFERROR(+GETPIVOTDATA("Unique Billed Hours",'County allocation'!$A$3,"County",A10,"HHA/CDPAP","HHA"),0)</f>
        <v>0</v>
      </c>
      <c r="C10" s="62">
        <v>1</v>
      </c>
      <c r="D10" s="77" t="s">
        <v>91</v>
      </c>
      <c r="E10" s="76" t="s">
        <v>55</v>
      </c>
      <c r="F10" s="75"/>
      <c r="G10" s="74"/>
      <c r="H10" s="74"/>
      <c r="I10" s="75"/>
      <c r="J10" s="74"/>
      <c r="K10" s="74"/>
      <c r="L10" s="75">
        <f>+'Payroll Reports Input'!Q40</f>
        <v>4.357572115384615</v>
      </c>
      <c r="M10" s="74">
        <f ca="1">+'Payroll Reports Input'!R40</f>
        <v>1176085</v>
      </c>
      <c r="N10" s="74">
        <f>+'Payroll Reports Input'!S40</f>
        <v>0</v>
      </c>
      <c r="O10" s="75"/>
      <c r="P10" s="74"/>
      <c r="Q10" s="74"/>
      <c r="R10" s="75"/>
      <c r="S10" s="74"/>
      <c r="T10" s="74"/>
      <c r="U10" s="73">
        <f t="shared" si="0"/>
        <v>4.357572115384615</v>
      </c>
      <c r="V10" s="72">
        <f t="shared" ca="1" si="0"/>
        <v>1176085</v>
      </c>
      <c r="W10" s="72">
        <f t="shared" si="0"/>
        <v>0</v>
      </c>
    </row>
    <row r="11" spans="1:23" ht="15.75" thickBot="1" x14ac:dyDescent="0.3">
      <c r="A11" s="474" t="s">
        <v>309</v>
      </c>
      <c r="B11" s="309">
        <f>IFERROR(+GETPIVOTDATA("Unique Billed Hours",'County allocation'!$A$3,"County",A11,"HHA/CDPAP","HHA"),0)</f>
        <v>0</v>
      </c>
      <c r="C11" s="62">
        <v>1</v>
      </c>
      <c r="D11" s="71" t="s">
        <v>48</v>
      </c>
      <c r="E11" s="70" t="s">
        <v>54</v>
      </c>
      <c r="F11" s="69">
        <f t="shared" ref="F11:W11" si="1">SUBTOTAL(9,F8:F10)</f>
        <v>0</v>
      </c>
      <c r="G11" s="68">
        <f t="shared" si="1"/>
        <v>0</v>
      </c>
      <c r="H11" s="68">
        <f t="shared" si="1"/>
        <v>0</v>
      </c>
      <c r="I11" s="69">
        <f t="shared" si="1"/>
        <v>0</v>
      </c>
      <c r="J11" s="68">
        <f t="shared" si="1"/>
        <v>0</v>
      </c>
      <c r="K11" s="68">
        <f t="shared" si="1"/>
        <v>0</v>
      </c>
      <c r="L11" s="69">
        <f t="shared" si="1"/>
        <v>3491.1881826923086</v>
      </c>
      <c r="M11" s="68">
        <f t="shared" ca="1" si="1"/>
        <v>142402038.77999997</v>
      </c>
      <c r="N11" s="68">
        <f t="shared" ca="1" si="1"/>
        <v>3357615.1203448731</v>
      </c>
      <c r="O11" s="69">
        <f t="shared" si="1"/>
        <v>0</v>
      </c>
      <c r="P11" s="68">
        <f t="shared" si="1"/>
        <v>0</v>
      </c>
      <c r="Q11" s="68">
        <f t="shared" si="1"/>
        <v>0</v>
      </c>
      <c r="R11" s="69">
        <f t="shared" si="1"/>
        <v>0</v>
      </c>
      <c r="S11" s="68">
        <f t="shared" si="1"/>
        <v>0</v>
      </c>
      <c r="T11" s="68">
        <f t="shared" si="1"/>
        <v>0</v>
      </c>
      <c r="U11" s="69">
        <f t="shared" si="1"/>
        <v>3491.1881826923086</v>
      </c>
      <c r="V11" s="68">
        <f t="shared" ca="1" si="1"/>
        <v>142402038.77999997</v>
      </c>
      <c r="W11" s="68">
        <f t="shared" ca="1" si="1"/>
        <v>3357615.1203448731</v>
      </c>
    </row>
    <row r="12" spans="1:23" ht="15.75" thickBot="1" x14ac:dyDescent="0.3">
      <c r="A12" s="474" t="s">
        <v>310</v>
      </c>
      <c r="B12" s="309">
        <f>IFERROR(+GETPIVOTDATA("Unique Billed Hours",'County allocation'!$A$3,"County",A12,"HHA/CDPAP","HHA"),0)</f>
        <v>0</v>
      </c>
      <c r="C12" s="62">
        <v>1</v>
      </c>
    </row>
    <row r="13" spans="1:23" ht="15.75" hidden="1" thickBot="1" x14ac:dyDescent="0.3">
      <c r="A13" s="474" t="s">
        <v>360</v>
      </c>
      <c r="B13" s="309">
        <f>IFERROR(+GETPIVOTDATA("Unique Billed Hours",'County allocation'!$A$3,"County",A13,"HHA/CDPAP","HHA"),0)</f>
        <v>0</v>
      </c>
      <c r="C13" s="89"/>
    </row>
    <row r="14" spans="1:23" ht="15.75" hidden="1" thickBot="1" x14ac:dyDescent="0.3">
      <c r="A14" s="474" t="s">
        <v>311</v>
      </c>
      <c r="B14" s="309">
        <f>IFERROR(+GETPIVOTDATA("Unique Billed Hours",'County allocation'!$A$3,"County",A14,"HHA/CDPAP","HHA"),0)</f>
        <v>0</v>
      </c>
      <c r="C14" s="89"/>
    </row>
    <row r="15" spans="1:23" ht="15.75" hidden="1" thickBot="1" x14ac:dyDescent="0.3">
      <c r="A15" s="474" t="s">
        <v>312</v>
      </c>
      <c r="B15" s="309">
        <f>IFERROR(+GETPIVOTDATA("Unique Billed Hours",'County allocation'!$A$3,"County",A15,"HHA/CDPAP","HHA"),0)</f>
        <v>1.1018389345949667E-4</v>
      </c>
    </row>
    <row r="16" spans="1:23" ht="15.75" hidden="1" thickBot="1" x14ac:dyDescent="0.3">
      <c r="A16" s="474" t="s">
        <v>313</v>
      </c>
      <c r="B16" s="309">
        <f>IFERROR(+GETPIVOTDATA("Unique Billed Hours",'County allocation'!$A$3,"County",A16,"HHA/CDPAP","HHA"),0)</f>
        <v>0</v>
      </c>
    </row>
    <row r="17" spans="1:23" ht="15.75" hidden="1" thickBot="1" x14ac:dyDescent="0.3">
      <c r="A17" s="474" t="s">
        <v>314</v>
      </c>
      <c r="B17" s="309">
        <f>IFERROR(+GETPIVOTDATA("Unique Billed Hours",'County allocation'!$A$3,"County",A17,"HHA/CDPAP","HHA"),0)</f>
        <v>0</v>
      </c>
    </row>
    <row r="18" spans="1:23" ht="15.75" hidden="1" thickBot="1" x14ac:dyDescent="0.3">
      <c r="A18" s="474" t="s">
        <v>315</v>
      </c>
      <c r="B18" s="309">
        <f>IFERROR(+GETPIVOTDATA("Unique Billed Hours",'County allocation'!$A$3,"County",A18,"HHA/CDPAP","HHA"),0)</f>
        <v>0</v>
      </c>
    </row>
    <row r="19" spans="1:23" ht="15.75" hidden="1" thickBot="1" x14ac:dyDescent="0.3">
      <c r="A19" s="474" t="s">
        <v>316</v>
      </c>
      <c r="B19" s="309">
        <f>IFERROR(+GETPIVOTDATA("Unique Billed Hours",'County allocation'!$A$3,"County",A19,"HHA/CDPAP","HHA"),0)</f>
        <v>0</v>
      </c>
    </row>
    <row r="20" spans="1:23" ht="15" customHeight="1" x14ac:dyDescent="0.25">
      <c r="A20" s="474" t="s">
        <v>317</v>
      </c>
      <c r="B20" s="309">
        <f>IFERROR(+GETPIVOTDATA("Unique Billed Hours",'County allocation'!$A$3,"County",A20,"HHA/CDPAP","HHA"),0)</f>
        <v>0</v>
      </c>
      <c r="C20" s="62">
        <f>IF(E20&gt;0,1,0)</f>
        <v>1</v>
      </c>
      <c r="D20" s="936" t="str">
        <f>+A5</f>
        <v>Albany</v>
      </c>
      <c r="E20" s="938">
        <f>SUMIF(A:A,D20,B:B)</f>
        <v>1.0414062357525667E-2</v>
      </c>
      <c r="F20" s="940" t="s">
        <v>103</v>
      </c>
      <c r="G20" s="941"/>
      <c r="H20" s="942"/>
      <c r="I20" s="940" t="s">
        <v>102</v>
      </c>
      <c r="J20" s="941"/>
      <c r="K20" s="942"/>
      <c r="L20" s="940" t="s">
        <v>101</v>
      </c>
      <c r="M20" s="941"/>
      <c r="N20" s="942"/>
      <c r="O20" s="940" t="s">
        <v>100</v>
      </c>
      <c r="P20" s="941"/>
      <c r="Q20" s="942"/>
      <c r="R20" s="940" t="s">
        <v>99</v>
      </c>
      <c r="S20" s="941"/>
      <c r="T20" s="942"/>
      <c r="U20" s="940" t="s">
        <v>98</v>
      </c>
      <c r="V20" s="941"/>
      <c r="W20" s="943"/>
    </row>
    <row r="21" spans="1:23" ht="30" x14ac:dyDescent="0.25">
      <c r="A21" s="474" t="s">
        <v>318</v>
      </c>
      <c r="B21" s="309">
        <f>IFERROR(+GETPIVOTDATA("Unique Billed Hours",'County allocation'!$A$3,"County",A21,"HHA/CDPAP","HHA"),0)</f>
        <v>0</v>
      </c>
      <c r="C21" s="62">
        <f>IF(E20&gt;0,1,0)</f>
        <v>1</v>
      </c>
      <c r="D21" s="937"/>
      <c r="E21" s="939"/>
      <c r="F21" s="88" t="s">
        <v>97</v>
      </c>
      <c r="G21" s="88" t="s">
        <v>96</v>
      </c>
      <c r="H21" s="88" t="s">
        <v>95</v>
      </c>
      <c r="I21" s="88" t="s">
        <v>97</v>
      </c>
      <c r="J21" s="88" t="s">
        <v>96</v>
      </c>
      <c r="K21" s="88" t="s">
        <v>95</v>
      </c>
      <c r="L21" s="88" t="s">
        <v>97</v>
      </c>
      <c r="M21" s="88" t="s">
        <v>96</v>
      </c>
      <c r="N21" s="88" t="s">
        <v>95</v>
      </c>
      <c r="O21" s="88" t="s">
        <v>97</v>
      </c>
      <c r="P21" s="88" t="s">
        <v>96</v>
      </c>
      <c r="Q21" s="88" t="s">
        <v>95</v>
      </c>
      <c r="R21" s="88" t="s">
        <v>97</v>
      </c>
      <c r="S21" s="88" t="s">
        <v>96</v>
      </c>
      <c r="T21" s="88" t="s">
        <v>95</v>
      </c>
      <c r="U21" s="88" t="s">
        <v>97</v>
      </c>
      <c r="V21" s="88" t="s">
        <v>96</v>
      </c>
      <c r="W21" s="87" t="s">
        <v>95</v>
      </c>
    </row>
    <row r="22" spans="1:23" x14ac:dyDescent="0.25">
      <c r="A22" s="474" t="s">
        <v>319</v>
      </c>
      <c r="B22" s="309">
        <f>IFERROR(+GETPIVOTDATA("Unique Billed Hours",'County allocation'!$A$3,"County",A22,"HHA/CDPAP","HHA"),0)</f>
        <v>0</v>
      </c>
      <c r="C22" s="62">
        <f>C21</f>
        <v>1</v>
      </c>
      <c r="D22" s="86"/>
      <c r="E22" s="85"/>
      <c r="F22" s="84" t="s">
        <v>57</v>
      </c>
      <c r="G22" s="84" t="s">
        <v>56</v>
      </c>
      <c r="H22" s="84" t="s">
        <v>55</v>
      </c>
      <c r="I22" s="84" t="s">
        <v>54</v>
      </c>
      <c r="J22" s="84" t="s">
        <v>53</v>
      </c>
      <c r="K22" s="84" t="s">
        <v>52</v>
      </c>
      <c r="L22" s="84" t="s">
        <v>51</v>
      </c>
      <c r="M22" s="84" t="s">
        <v>50</v>
      </c>
      <c r="N22" s="84" t="s">
        <v>49</v>
      </c>
      <c r="O22" s="84" t="s">
        <v>47</v>
      </c>
      <c r="P22" s="84" t="s">
        <v>77</v>
      </c>
      <c r="Q22" s="84" t="s">
        <v>78</v>
      </c>
      <c r="R22" s="84" t="s">
        <v>79</v>
      </c>
      <c r="S22" s="84" t="s">
        <v>81</v>
      </c>
      <c r="T22" s="84" t="s">
        <v>83</v>
      </c>
      <c r="U22" s="84" t="s">
        <v>85</v>
      </c>
      <c r="V22" s="84" t="s">
        <v>87</v>
      </c>
      <c r="W22" s="83" t="s">
        <v>88</v>
      </c>
    </row>
    <row r="23" spans="1:23" x14ac:dyDescent="0.25">
      <c r="A23" s="474" t="s">
        <v>320</v>
      </c>
      <c r="B23" s="309">
        <f>IFERROR(+GETPIVOTDATA("Unique Billed Hours",'County allocation'!$A$3,"County",A23,"HHA/CDPAP","HHA"),0)</f>
        <v>0</v>
      </c>
      <c r="C23" s="62">
        <f t="shared" ref="C23:C28" si="2">C22</f>
        <v>1</v>
      </c>
      <c r="D23" s="82" t="s">
        <v>26</v>
      </c>
      <c r="E23" s="80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8"/>
    </row>
    <row r="24" spans="1:23" x14ac:dyDescent="0.25">
      <c r="A24" s="474" t="s">
        <v>321</v>
      </c>
      <c r="B24" s="309">
        <f>IFERROR(+GETPIVOTDATA("Unique Billed Hours",'County allocation'!$A$3,"County",A24,"HHA/CDPAP","HHA"),0)</f>
        <v>0</v>
      </c>
      <c r="C24" s="62">
        <f t="shared" si="2"/>
        <v>1</v>
      </c>
      <c r="D24" s="81" t="s">
        <v>94</v>
      </c>
      <c r="E24" s="80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8"/>
    </row>
    <row r="25" spans="1:23" x14ac:dyDescent="0.25">
      <c r="A25" s="474" t="s">
        <v>322</v>
      </c>
      <c r="B25" s="309">
        <f>IFERROR(+GETPIVOTDATA("Unique Billed Hours",'County allocation'!$A$3,"County",A25,"HHA/CDPAP","HHA"),0)</f>
        <v>0</v>
      </c>
      <c r="C25" s="62">
        <f t="shared" si="2"/>
        <v>1</v>
      </c>
      <c r="D25" s="268" t="s">
        <v>93</v>
      </c>
      <c r="E25" s="76" t="s">
        <v>57</v>
      </c>
      <c r="F25" s="75">
        <f t="shared" ref="F25:T27" si="3">+F8*$E$20</f>
        <v>0</v>
      </c>
      <c r="G25" s="74">
        <f t="shared" si="3"/>
        <v>0</v>
      </c>
      <c r="H25" s="74">
        <f t="shared" si="3"/>
        <v>0</v>
      </c>
      <c r="I25" s="75">
        <f t="shared" si="3"/>
        <v>0</v>
      </c>
      <c r="J25" s="74">
        <f t="shared" si="3"/>
        <v>0</v>
      </c>
      <c r="K25" s="74">
        <f t="shared" si="3"/>
        <v>0</v>
      </c>
      <c r="L25" s="75">
        <f t="shared" si="3"/>
        <v>36.312071408677383</v>
      </c>
      <c r="M25" s="74">
        <f t="shared" ca="1" si="3"/>
        <v>1470735.8891659575</v>
      </c>
      <c r="N25" s="74">
        <f t="shared" ca="1" si="3"/>
        <v>34966.413235842556</v>
      </c>
      <c r="O25" s="75">
        <f t="shared" si="3"/>
        <v>0</v>
      </c>
      <c r="P25" s="74">
        <f t="shared" si="3"/>
        <v>0</v>
      </c>
      <c r="Q25" s="74">
        <f t="shared" si="3"/>
        <v>0</v>
      </c>
      <c r="R25" s="75">
        <f t="shared" si="3"/>
        <v>0</v>
      </c>
      <c r="S25" s="74">
        <f t="shared" si="3"/>
        <v>0</v>
      </c>
      <c r="T25" s="74">
        <f t="shared" si="3"/>
        <v>0</v>
      </c>
      <c r="U25" s="73">
        <f t="shared" ref="U25:W27" si="4">+R25+O25+L25+I25+F25</f>
        <v>36.312071408677383</v>
      </c>
      <c r="V25" s="72">
        <f t="shared" ca="1" si="4"/>
        <v>1470735.8891659575</v>
      </c>
      <c r="W25" s="72">
        <f t="shared" ca="1" si="4"/>
        <v>34966.413235842556</v>
      </c>
    </row>
    <row r="26" spans="1:23" x14ac:dyDescent="0.25">
      <c r="A26" s="474" t="s">
        <v>323</v>
      </c>
      <c r="B26" s="309">
        <f>IFERROR(+GETPIVOTDATA("Unique Billed Hours",'County allocation'!$A$3,"County",A26,"HHA/CDPAP","HHA"),0)</f>
        <v>0</v>
      </c>
      <c r="C26" s="62">
        <f t="shared" si="2"/>
        <v>1</v>
      </c>
      <c r="D26" s="268" t="s">
        <v>92</v>
      </c>
      <c r="E26" s="76" t="s">
        <v>56</v>
      </c>
      <c r="F26" s="75">
        <f t="shared" si="3"/>
        <v>0</v>
      </c>
      <c r="G26" s="74">
        <f t="shared" si="3"/>
        <v>0</v>
      </c>
      <c r="H26" s="74">
        <f t="shared" si="3"/>
        <v>0</v>
      </c>
      <c r="I26" s="75">
        <f t="shared" si="3"/>
        <v>0</v>
      </c>
      <c r="J26" s="74">
        <f t="shared" si="3"/>
        <v>0</v>
      </c>
      <c r="K26" s="74">
        <f t="shared" si="3"/>
        <v>0</v>
      </c>
      <c r="L26" s="75">
        <f t="shared" si="3"/>
        <v>0</v>
      </c>
      <c r="M26" s="74">
        <f t="shared" si="3"/>
        <v>0</v>
      </c>
      <c r="N26" s="74">
        <f t="shared" si="3"/>
        <v>0</v>
      </c>
      <c r="O26" s="75">
        <f t="shared" si="3"/>
        <v>0</v>
      </c>
      <c r="P26" s="74">
        <f t="shared" si="3"/>
        <v>0</v>
      </c>
      <c r="Q26" s="74">
        <f t="shared" si="3"/>
        <v>0</v>
      </c>
      <c r="R26" s="75">
        <f t="shared" si="3"/>
        <v>0</v>
      </c>
      <c r="S26" s="74">
        <f t="shared" si="3"/>
        <v>0</v>
      </c>
      <c r="T26" s="74">
        <f t="shared" si="3"/>
        <v>0</v>
      </c>
      <c r="U26" s="73">
        <f t="shared" si="4"/>
        <v>0</v>
      </c>
      <c r="V26" s="72">
        <f t="shared" si="4"/>
        <v>0</v>
      </c>
      <c r="W26" s="72">
        <f t="shared" si="4"/>
        <v>0</v>
      </c>
    </row>
    <row r="27" spans="1:23" x14ac:dyDescent="0.25">
      <c r="A27" s="474" t="s">
        <v>324</v>
      </c>
      <c r="B27" s="309">
        <f>IFERROR(+GETPIVOTDATA("Unique Billed Hours",'County allocation'!$A$3,"County",A27,"HHA/CDPAP","HHA"),0)</f>
        <v>0</v>
      </c>
      <c r="C27" s="62">
        <f t="shared" si="2"/>
        <v>1</v>
      </c>
      <c r="D27" s="268" t="s">
        <v>91</v>
      </c>
      <c r="E27" s="76" t="s">
        <v>55</v>
      </c>
      <c r="F27" s="75">
        <f t="shared" si="3"/>
        <v>0</v>
      </c>
      <c r="G27" s="74">
        <f t="shared" si="3"/>
        <v>0</v>
      </c>
      <c r="H27" s="74">
        <f t="shared" si="3"/>
        <v>0</v>
      </c>
      <c r="I27" s="75">
        <f t="shared" si="3"/>
        <v>0</v>
      </c>
      <c r="J27" s="74">
        <f t="shared" si="3"/>
        <v>0</v>
      </c>
      <c r="K27" s="74">
        <f t="shared" si="3"/>
        <v>0</v>
      </c>
      <c r="L27" s="75">
        <f t="shared" si="3"/>
        <v>4.5380027737030412E-2</v>
      </c>
      <c r="M27" s="74">
        <f t="shared" ca="1" si="3"/>
        <v>12247.822527750573</v>
      </c>
      <c r="N27" s="74">
        <f t="shared" si="3"/>
        <v>0</v>
      </c>
      <c r="O27" s="75">
        <f t="shared" si="3"/>
        <v>0</v>
      </c>
      <c r="P27" s="74">
        <f t="shared" si="3"/>
        <v>0</v>
      </c>
      <c r="Q27" s="74">
        <f t="shared" si="3"/>
        <v>0</v>
      </c>
      <c r="R27" s="75">
        <f t="shared" si="3"/>
        <v>0</v>
      </c>
      <c r="S27" s="74">
        <f t="shared" si="3"/>
        <v>0</v>
      </c>
      <c r="T27" s="74">
        <f t="shared" si="3"/>
        <v>0</v>
      </c>
      <c r="U27" s="73">
        <f t="shared" si="4"/>
        <v>4.5380027737030412E-2</v>
      </c>
      <c r="V27" s="72">
        <f t="shared" ca="1" si="4"/>
        <v>12247.822527750573</v>
      </c>
      <c r="W27" s="72">
        <f t="shared" si="4"/>
        <v>0</v>
      </c>
    </row>
    <row r="28" spans="1:23" ht="15.75" thickBot="1" x14ac:dyDescent="0.3">
      <c r="A28" s="474" t="s">
        <v>365</v>
      </c>
      <c r="B28" s="309">
        <f>IFERROR(+GETPIVOTDATA("Unique Billed Hours",'County allocation'!$A$3,"County",A28,"HHA/CDPAP","HHA"),0)</f>
        <v>0.29256738892740358</v>
      </c>
      <c r="C28" s="62">
        <f t="shared" si="2"/>
        <v>1</v>
      </c>
      <c r="D28" s="71" t="s">
        <v>48</v>
      </c>
      <c r="E28" s="70" t="s">
        <v>54</v>
      </c>
      <c r="F28" s="69">
        <f t="shared" ref="F28:W28" si="5">SUBTOTAL(9,F25:F27)</f>
        <v>0</v>
      </c>
      <c r="G28" s="68">
        <f t="shared" si="5"/>
        <v>0</v>
      </c>
      <c r="H28" s="68">
        <f t="shared" si="5"/>
        <v>0</v>
      </c>
      <c r="I28" s="69">
        <f t="shared" si="5"/>
        <v>0</v>
      </c>
      <c r="J28" s="68">
        <f t="shared" si="5"/>
        <v>0</v>
      </c>
      <c r="K28" s="68">
        <f t="shared" si="5"/>
        <v>0</v>
      </c>
      <c r="L28" s="69">
        <f t="shared" si="5"/>
        <v>36.357451436414415</v>
      </c>
      <c r="M28" s="68">
        <f t="shared" ca="1" si="5"/>
        <v>1482983.7116937081</v>
      </c>
      <c r="N28" s="68">
        <f t="shared" ca="1" si="5"/>
        <v>34966.413235842556</v>
      </c>
      <c r="O28" s="69">
        <f t="shared" si="5"/>
        <v>0</v>
      </c>
      <c r="P28" s="68">
        <f t="shared" si="5"/>
        <v>0</v>
      </c>
      <c r="Q28" s="68">
        <f t="shared" si="5"/>
        <v>0</v>
      </c>
      <c r="R28" s="69">
        <f t="shared" si="5"/>
        <v>0</v>
      </c>
      <c r="S28" s="68">
        <f t="shared" si="5"/>
        <v>0</v>
      </c>
      <c r="T28" s="68">
        <f t="shared" si="5"/>
        <v>0</v>
      </c>
      <c r="U28" s="69">
        <f t="shared" si="5"/>
        <v>36.357451436414415</v>
      </c>
      <c r="V28" s="68">
        <f t="shared" ca="1" si="5"/>
        <v>1482983.7116937081</v>
      </c>
      <c r="W28" s="68">
        <f t="shared" ca="1" si="5"/>
        <v>34966.413235842556</v>
      </c>
    </row>
    <row r="29" spans="1:23" ht="15.75" hidden="1" thickBot="1" x14ac:dyDescent="0.3">
      <c r="A29" s="474" t="s">
        <v>325</v>
      </c>
      <c r="B29" s="309">
        <f>IFERROR(+GETPIVOTDATA("Unique Billed Hours",'County allocation'!$A$3,"County",A29,"HHA/CDPAP","HHA"),0)</f>
        <v>0</v>
      </c>
    </row>
    <row r="30" spans="1:23" ht="15" hidden="1" customHeight="1" x14ac:dyDescent="0.25">
      <c r="A30" s="474" t="s">
        <v>326</v>
      </c>
      <c r="B30" s="309">
        <f>IFERROR(+GETPIVOTDATA("Unique Billed Hours",'County allocation'!$A$3,"County",A30,"HHA/CDPAP","HHA"),0)</f>
        <v>0</v>
      </c>
      <c r="C30" s="62">
        <f>IF(E30&gt;0,1,0)</f>
        <v>0</v>
      </c>
      <c r="D30" s="936" t="str">
        <f>+A6</f>
        <v>Allegany</v>
      </c>
      <c r="E30" s="938">
        <f>SUMIF(A:A,D30,B:B)</f>
        <v>0</v>
      </c>
      <c r="F30" s="940" t="s">
        <v>103</v>
      </c>
      <c r="G30" s="941"/>
      <c r="H30" s="942"/>
      <c r="I30" s="940" t="s">
        <v>102</v>
      </c>
      <c r="J30" s="941"/>
      <c r="K30" s="942"/>
      <c r="L30" s="940" t="s">
        <v>101</v>
      </c>
      <c r="M30" s="941"/>
      <c r="N30" s="942"/>
      <c r="O30" s="940" t="s">
        <v>100</v>
      </c>
      <c r="P30" s="941"/>
      <c r="Q30" s="942"/>
      <c r="R30" s="940" t="s">
        <v>99</v>
      </c>
      <c r="S30" s="941"/>
      <c r="T30" s="942"/>
      <c r="U30" s="940" t="s">
        <v>98</v>
      </c>
      <c r="V30" s="941"/>
      <c r="W30" s="943"/>
    </row>
    <row r="31" spans="1:23" ht="30.75" hidden="1" thickBot="1" x14ac:dyDescent="0.3">
      <c r="A31" s="474" t="s">
        <v>327</v>
      </c>
      <c r="B31" s="309">
        <f>IFERROR(+GETPIVOTDATA("Unique Billed Hours",'County allocation'!$A$3,"County",A31,"HHA/CDPAP","HHA"),0)</f>
        <v>0</v>
      </c>
      <c r="C31" s="62">
        <f>IF(E30&gt;0,1,0)</f>
        <v>0</v>
      </c>
      <c r="D31" s="937"/>
      <c r="E31" s="939"/>
      <c r="F31" s="88" t="s">
        <v>97</v>
      </c>
      <c r="G31" s="88" t="s">
        <v>96</v>
      </c>
      <c r="H31" s="88" t="s">
        <v>95</v>
      </c>
      <c r="I31" s="88" t="s">
        <v>97</v>
      </c>
      <c r="J31" s="88" t="s">
        <v>96</v>
      </c>
      <c r="K31" s="88" t="s">
        <v>95</v>
      </c>
      <c r="L31" s="88" t="s">
        <v>97</v>
      </c>
      <c r="M31" s="88" t="s">
        <v>96</v>
      </c>
      <c r="N31" s="88" t="s">
        <v>95</v>
      </c>
      <c r="O31" s="88" t="s">
        <v>97</v>
      </c>
      <c r="P31" s="88" t="s">
        <v>96</v>
      </c>
      <c r="Q31" s="88" t="s">
        <v>95</v>
      </c>
      <c r="R31" s="88" t="s">
        <v>97</v>
      </c>
      <c r="S31" s="88" t="s">
        <v>96</v>
      </c>
      <c r="T31" s="88" t="s">
        <v>95</v>
      </c>
      <c r="U31" s="88" t="s">
        <v>97</v>
      </c>
      <c r="V31" s="88" t="s">
        <v>96</v>
      </c>
      <c r="W31" s="87" t="s">
        <v>95</v>
      </c>
    </row>
    <row r="32" spans="1:23" ht="15.75" hidden="1" thickBot="1" x14ac:dyDescent="0.3">
      <c r="A32" s="474" t="s">
        <v>285</v>
      </c>
      <c r="B32" s="309">
        <f>IFERROR(+GETPIVOTDATA("Unique Billed Hours",'County allocation'!$A$3,"County",A32,"HHA/CDPAP","HHA"),0)</f>
        <v>0</v>
      </c>
      <c r="C32" s="62">
        <f>C31</f>
        <v>0</v>
      </c>
      <c r="D32" s="86"/>
      <c r="E32" s="85"/>
      <c r="F32" s="84" t="s">
        <v>57</v>
      </c>
      <c r="G32" s="84" t="s">
        <v>56</v>
      </c>
      <c r="H32" s="84" t="s">
        <v>55</v>
      </c>
      <c r="I32" s="84" t="s">
        <v>54</v>
      </c>
      <c r="J32" s="84" t="s">
        <v>53</v>
      </c>
      <c r="K32" s="84" t="s">
        <v>52</v>
      </c>
      <c r="L32" s="84" t="s">
        <v>51</v>
      </c>
      <c r="M32" s="84" t="s">
        <v>50</v>
      </c>
      <c r="N32" s="84" t="s">
        <v>49</v>
      </c>
      <c r="O32" s="84" t="s">
        <v>47</v>
      </c>
      <c r="P32" s="84" t="s">
        <v>77</v>
      </c>
      <c r="Q32" s="84" t="s">
        <v>78</v>
      </c>
      <c r="R32" s="84" t="s">
        <v>79</v>
      </c>
      <c r="S32" s="84" t="s">
        <v>81</v>
      </c>
      <c r="T32" s="84" t="s">
        <v>83</v>
      </c>
      <c r="U32" s="84" t="s">
        <v>85</v>
      </c>
      <c r="V32" s="84" t="s">
        <v>87</v>
      </c>
      <c r="W32" s="83" t="s">
        <v>88</v>
      </c>
    </row>
    <row r="33" spans="1:23" ht="15.75" hidden="1" thickBot="1" x14ac:dyDescent="0.3">
      <c r="A33" s="474" t="s">
        <v>328</v>
      </c>
      <c r="B33" s="309">
        <f>IFERROR(+GETPIVOTDATA("Unique Billed Hours",'County allocation'!$A$3,"County",A33,"HHA/CDPAP","HHA"),0)</f>
        <v>1.7109272327241044E-4</v>
      </c>
      <c r="C33" s="62">
        <f t="shared" ref="C33:C38" si="6">C32</f>
        <v>0</v>
      </c>
      <c r="D33" s="82" t="s">
        <v>26</v>
      </c>
      <c r="E33" s="80"/>
      <c r="F33" s="79"/>
      <c r="G33" s="79"/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79"/>
      <c r="U33" s="79"/>
      <c r="V33" s="79"/>
      <c r="W33" s="78"/>
    </row>
    <row r="34" spans="1:23" ht="15.75" hidden="1" thickBot="1" x14ac:dyDescent="0.3">
      <c r="A34" s="474" t="s">
        <v>329</v>
      </c>
      <c r="B34" s="309">
        <f>IFERROR(+GETPIVOTDATA("Unique Billed Hours",'County allocation'!$A$3,"County",A34,"HHA/CDPAP","HHA"),0)</f>
        <v>0.12769760760357801</v>
      </c>
      <c r="C34" s="62">
        <f t="shared" si="6"/>
        <v>0</v>
      </c>
      <c r="D34" s="81" t="s">
        <v>94</v>
      </c>
      <c r="E34" s="80"/>
      <c r="F34" s="79"/>
      <c r="G34" s="79"/>
      <c r="H34" s="79"/>
      <c r="I34" s="79"/>
      <c r="J34" s="79"/>
      <c r="K34" s="79"/>
      <c r="L34" s="79"/>
      <c r="M34" s="79"/>
      <c r="N34" s="79"/>
      <c r="O34" s="79"/>
      <c r="P34" s="79"/>
      <c r="Q34" s="79"/>
      <c r="R34" s="79"/>
      <c r="S34" s="79"/>
      <c r="T34" s="79"/>
      <c r="U34" s="79"/>
      <c r="V34" s="79"/>
      <c r="W34" s="78"/>
    </row>
    <row r="35" spans="1:23" ht="15.75" hidden="1" thickBot="1" x14ac:dyDescent="0.3">
      <c r="A35" s="474" t="s">
        <v>366</v>
      </c>
      <c r="B35" s="309">
        <f>IFERROR(+GETPIVOTDATA("Unique Billed Hours",'County allocation'!$A$3,"County",A35,"HHA/CDPAP","HHA"),0)</f>
        <v>0.11860817754043497</v>
      </c>
      <c r="C35" s="62">
        <f t="shared" si="6"/>
        <v>0</v>
      </c>
      <c r="D35" s="268" t="s">
        <v>93</v>
      </c>
      <c r="E35" s="76" t="s">
        <v>57</v>
      </c>
      <c r="F35" s="75">
        <f t="shared" ref="F35:T37" si="7">+F8*$E$30</f>
        <v>0</v>
      </c>
      <c r="G35" s="74">
        <f t="shared" si="7"/>
        <v>0</v>
      </c>
      <c r="H35" s="74">
        <f t="shared" si="7"/>
        <v>0</v>
      </c>
      <c r="I35" s="75">
        <f t="shared" si="7"/>
        <v>0</v>
      </c>
      <c r="J35" s="74">
        <f t="shared" si="7"/>
        <v>0</v>
      </c>
      <c r="K35" s="74">
        <f t="shared" si="7"/>
        <v>0</v>
      </c>
      <c r="L35" s="75">
        <f t="shared" si="7"/>
        <v>0</v>
      </c>
      <c r="M35" s="74">
        <f t="shared" ca="1" si="7"/>
        <v>0</v>
      </c>
      <c r="N35" s="74">
        <f t="shared" ca="1" si="7"/>
        <v>0</v>
      </c>
      <c r="O35" s="75">
        <f t="shared" si="7"/>
        <v>0</v>
      </c>
      <c r="P35" s="74">
        <f t="shared" si="7"/>
        <v>0</v>
      </c>
      <c r="Q35" s="74">
        <f t="shared" si="7"/>
        <v>0</v>
      </c>
      <c r="R35" s="75">
        <f t="shared" si="7"/>
        <v>0</v>
      </c>
      <c r="S35" s="74">
        <f t="shared" si="7"/>
        <v>0</v>
      </c>
      <c r="T35" s="74">
        <f t="shared" si="7"/>
        <v>0</v>
      </c>
      <c r="U35" s="73">
        <f t="shared" ref="U35:W37" si="8">+R35+O35+L35+I35+F35</f>
        <v>0</v>
      </c>
      <c r="V35" s="72">
        <f t="shared" ca="1" si="8"/>
        <v>0</v>
      </c>
      <c r="W35" s="72">
        <f t="shared" ca="1" si="8"/>
        <v>0</v>
      </c>
    </row>
    <row r="36" spans="1:23" ht="15.75" hidden="1" thickBot="1" x14ac:dyDescent="0.3">
      <c r="A36" s="474" t="s">
        <v>330</v>
      </c>
      <c r="B36" s="309">
        <f>IFERROR(+GETPIVOTDATA("Unique Billed Hours",'County allocation'!$A$3,"County",A36,"HHA/CDPAP","HHA"),0)</f>
        <v>0</v>
      </c>
      <c r="C36" s="62">
        <f t="shared" si="6"/>
        <v>0</v>
      </c>
      <c r="D36" s="268" t="s">
        <v>92</v>
      </c>
      <c r="E36" s="76" t="s">
        <v>56</v>
      </c>
      <c r="F36" s="75">
        <f t="shared" si="7"/>
        <v>0</v>
      </c>
      <c r="G36" s="74">
        <f t="shared" si="7"/>
        <v>0</v>
      </c>
      <c r="H36" s="74">
        <f t="shared" si="7"/>
        <v>0</v>
      </c>
      <c r="I36" s="75">
        <f t="shared" si="7"/>
        <v>0</v>
      </c>
      <c r="J36" s="74">
        <f t="shared" si="7"/>
        <v>0</v>
      </c>
      <c r="K36" s="74">
        <f t="shared" si="7"/>
        <v>0</v>
      </c>
      <c r="L36" s="75">
        <f t="shared" si="7"/>
        <v>0</v>
      </c>
      <c r="M36" s="74">
        <f t="shared" si="7"/>
        <v>0</v>
      </c>
      <c r="N36" s="74">
        <f t="shared" si="7"/>
        <v>0</v>
      </c>
      <c r="O36" s="75">
        <f t="shared" si="7"/>
        <v>0</v>
      </c>
      <c r="P36" s="74">
        <f t="shared" si="7"/>
        <v>0</v>
      </c>
      <c r="Q36" s="74">
        <f t="shared" si="7"/>
        <v>0</v>
      </c>
      <c r="R36" s="75">
        <f t="shared" si="7"/>
        <v>0</v>
      </c>
      <c r="S36" s="74">
        <f t="shared" si="7"/>
        <v>0</v>
      </c>
      <c r="T36" s="74">
        <f t="shared" si="7"/>
        <v>0</v>
      </c>
      <c r="U36" s="73">
        <f t="shared" si="8"/>
        <v>0</v>
      </c>
      <c r="V36" s="72">
        <f t="shared" si="8"/>
        <v>0</v>
      </c>
      <c r="W36" s="72">
        <f t="shared" si="8"/>
        <v>0</v>
      </c>
    </row>
    <row r="37" spans="1:23" ht="15.75" hidden="1" thickBot="1" x14ac:dyDescent="0.3">
      <c r="A37" s="474" t="s">
        <v>331</v>
      </c>
      <c r="B37" s="309">
        <f>IFERROR(+GETPIVOTDATA("Unique Billed Hours",'County allocation'!$A$3,"County",A37,"HHA/CDPAP","HHA"),0)</f>
        <v>0</v>
      </c>
      <c r="C37" s="62">
        <f t="shared" si="6"/>
        <v>0</v>
      </c>
      <c r="D37" s="268" t="s">
        <v>91</v>
      </c>
      <c r="E37" s="76" t="s">
        <v>55</v>
      </c>
      <c r="F37" s="75">
        <f t="shared" si="7"/>
        <v>0</v>
      </c>
      <c r="G37" s="74">
        <f t="shared" si="7"/>
        <v>0</v>
      </c>
      <c r="H37" s="74">
        <f t="shared" si="7"/>
        <v>0</v>
      </c>
      <c r="I37" s="75">
        <f t="shared" si="7"/>
        <v>0</v>
      </c>
      <c r="J37" s="74">
        <f t="shared" si="7"/>
        <v>0</v>
      </c>
      <c r="K37" s="74">
        <f t="shared" si="7"/>
        <v>0</v>
      </c>
      <c r="L37" s="75">
        <f t="shared" si="7"/>
        <v>0</v>
      </c>
      <c r="M37" s="74">
        <f t="shared" ca="1" si="7"/>
        <v>0</v>
      </c>
      <c r="N37" s="74">
        <f t="shared" si="7"/>
        <v>0</v>
      </c>
      <c r="O37" s="75">
        <f t="shared" si="7"/>
        <v>0</v>
      </c>
      <c r="P37" s="74">
        <f t="shared" si="7"/>
        <v>0</v>
      </c>
      <c r="Q37" s="74">
        <f t="shared" si="7"/>
        <v>0</v>
      </c>
      <c r="R37" s="75">
        <f t="shared" si="7"/>
        <v>0</v>
      </c>
      <c r="S37" s="74">
        <f t="shared" si="7"/>
        <v>0</v>
      </c>
      <c r="T37" s="74">
        <f t="shared" si="7"/>
        <v>0</v>
      </c>
      <c r="U37" s="73">
        <f t="shared" si="8"/>
        <v>0</v>
      </c>
      <c r="V37" s="72">
        <f t="shared" ca="1" si="8"/>
        <v>0</v>
      </c>
      <c r="W37" s="72">
        <f t="shared" si="8"/>
        <v>0</v>
      </c>
    </row>
    <row r="38" spans="1:23" ht="15.75" hidden="1" thickBot="1" x14ac:dyDescent="0.3">
      <c r="A38" s="474" t="s">
        <v>332</v>
      </c>
      <c r="B38" s="309">
        <f>IFERROR(+GETPIVOTDATA("Unique Billed Hours",'County allocation'!$A$3,"County",A38,"HHA/CDPAP","HHA"),0)</f>
        <v>0</v>
      </c>
      <c r="C38" s="62">
        <f t="shared" si="6"/>
        <v>0</v>
      </c>
      <c r="D38" s="71" t="s">
        <v>48</v>
      </c>
      <c r="E38" s="70" t="s">
        <v>54</v>
      </c>
      <c r="F38" s="69">
        <f t="shared" ref="F38:W38" si="9">SUBTOTAL(9,F35:F37)</f>
        <v>0</v>
      </c>
      <c r="G38" s="68">
        <f t="shared" si="9"/>
        <v>0</v>
      </c>
      <c r="H38" s="68">
        <f t="shared" si="9"/>
        <v>0</v>
      </c>
      <c r="I38" s="69">
        <f t="shared" si="9"/>
        <v>0</v>
      </c>
      <c r="J38" s="68">
        <f t="shared" si="9"/>
        <v>0</v>
      </c>
      <c r="K38" s="68">
        <f t="shared" si="9"/>
        <v>0</v>
      </c>
      <c r="L38" s="69">
        <f t="shared" si="9"/>
        <v>0</v>
      </c>
      <c r="M38" s="68">
        <f t="shared" si="9"/>
        <v>0</v>
      </c>
      <c r="N38" s="68">
        <f t="shared" si="9"/>
        <v>0</v>
      </c>
      <c r="O38" s="69">
        <f t="shared" si="9"/>
        <v>0</v>
      </c>
      <c r="P38" s="68">
        <f t="shared" si="9"/>
        <v>0</v>
      </c>
      <c r="Q38" s="68">
        <f t="shared" si="9"/>
        <v>0</v>
      </c>
      <c r="R38" s="69">
        <f t="shared" si="9"/>
        <v>0</v>
      </c>
      <c r="S38" s="68">
        <f t="shared" si="9"/>
        <v>0</v>
      </c>
      <c r="T38" s="68">
        <f t="shared" si="9"/>
        <v>0</v>
      </c>
      <c r="U38" s="69">
        <f t="shared" si="9"/>
        <v>0</v>
      </c>
      <c r="V38" s="68">
        <f t="shared" si="9"/>
        <v>0</v>
      </c>
      <c r="W38" s="68">
        <f t="shared" si="9"/>
        <v>0</v>
      </c>
    </row>
    <row r="39" spans="1:23" ht="15.75" hidden="1" thickBot="1" x14ac:dyDescent="0.3">
      <c r="A39" s="474" t="s">
        <v>333</v>
      </c>
      <c r="B39" s="309">
        <f>IFERROR(+GETPIVOTDATA("Unique Billed Hours",'County allocation'!$A$3,"County",A39,"HHA/CDPAP","HHA"),0)</f>
        <v>0</v>
      </c>
    </row>
    <row r="40" spans="1:23" ht="15" customHeight="1" x14ac:dyDescent="0.25">
      <c r="A40" s="474" t="s">
        <v>334</v>
      </c>
      <c r="B40" s="309">
        <f>IFERROR(+GETPIVOTDATA("Unique Billed Hours",'County allocation'!$A$3,"County",A40,"HHA/CDPAP","HHA"),0)</f>
        <v>1.886556675621223E-6</v>
      </c>
      <c r="C40" s="62">
        <f>IF(E40&gt;0,1,0)</f>
        <v>1</v>
      </c>
      <c r="D40" s="936" t="str">
        <f>+A7</f>
        <v>Bronx</v>
      </c>
      <c r="E40" s="938">
        <f>SUMIF(A:A,D40,B:B)</f>
        <v>0.11142587660428063</v>
      </c>
      <c r="F40" s="940" t="s">
        <v>103</v>
      </c>
      <c r="G40" s="941"/>
      <c r="H40" s="942"/>
      <c r="I40" s="940" t="s">
        <v>102</v>
      </c>
      <c r="J40" s="941"/>
      <c r="K40" s="942"/>
      <c r="L40" s="940" t="s">
        <v>101</v>
      </c>
      <c r="M40" s="941"/>
      <c r="N40" s="942"/>
      <c r="O40" s="940" t="s">
        <v>100</v>
      </c>
      <c r="P40" s="941"/>
      <c r="Q40" s="942"/>
      <c r="R40" s="940" t="s">
        <v>99</v>
      </c>
      <c r="S40" s="941"/>
      <c r="T40" s="942"/>
      <c r="U40" s="940" t="s">
        <v>98</v>
      </c>
      <c r="V40" s="941"/>
      <c r="W40" s="943"/>
    </row>
    <row r="41" spans="1:23" ht="30" x14ac:dyDescent="0.25">
      <c r="A41" s="474" t="s">
        <v>335</v>
      </c>
      <c r="B41" s="309">
        <f>IFERROR(+GETPIVOTDATA("Unique Billed Hours",'County allocation'!$A$3,"County",A41,"HHA/CDPAP","HHA"),0)</f>
        <v>0</v>
      </c>
      <c r="C41" s="62">
        <f>IF(E40&gt;0,1,0)</f>
        <v>1</v>
      </c>
      <c r="D41" s="937"/>
      <c r="E41" s="939"/>
      <c r="F41" s="88" t="s">
        <v>97</v>
      </c>
      <c r="G41" s="88" t="s">
        <v>96</v>
      </c>
      <c r="H41" s="88" t="s">
        <v>95</v>
      </c>
      <c r="I41" s="88" t="s">
        <v>97</v>
      </c>
      <c r="J41" s="88" t="s">
        <v>96</v>
      </c>
      <c r="K41" s="88" t="s">
        <v>95</v>
      </c>
      <c r="L41" s="88" t="s">
        <v>97</v>
      </c>
      <c r="M41" s="88" t="s">
        <v>96</v>
      </c>
      <c r="N41" s="88" t="s">
        <v>95</v>
      </c>
      <c r="O41" s="88" t="s">
        <v>97</v>
      </c>
      <c r="P41" s="88" t="s">
        <v>96</v>
      </c>
      <c r="Q41" s="88" t="s">
        <v>95</v>
      </c>
      <c r="R41" s="88" t="s">
        <v>97</v>
      </c>
      <c r="S41" s="88" t="s">
        <v>96</v>
      </c>
      <c r="T41" s="88" t="s">
        <v>95</v>
      </c>
      <c r="U41" s="88" t="s">
        <v>97</v>
      </c>
      <c r="V41" s="88" t="s">
        <v>96</v>
      </c>
      <c r="W41" s="87" t="s">
        <v>95</v>
      </c>
    </row>
    <row r="42" spans="1:23" x14ac:dyDescent="0.25">
      <c r="A42" s="474" t="s">
        <v>336</v>
      </c>
      <c r="B42" s="309">
        <f>IFERROR(+GETPIVOTDATA("Unique Billed Hours",'County allocation'!$A$3,"County",A42,"HHA/CDPAP","HHA"),0)</f>
        <v>0</v>
      </c>
      <c r="C42" s="62">
        <f>C41</f>
        <v>1</v>
      </c>
      <c r="D42" s="86"/>
      <c r="E42" s="85"/>
      <c r="F42" s="84" t="s">
        <v>57</v>
      </c>
      <c r="G42" s="84" t="s">
        <v>56</v>
      </c>
      <c r="H42" s="84" t="s">
        <v>55</v>
      </c>
      <c r="I42" s="84" t="s">
        <v>54</v>
      </c>
      <c r="J42" s="84" t="s">
        <v>53</v>
      </c>
      <c r="K42" s="84" t="s">
        <v>52</v>
      </c>
      <c r="L42" s="84" t="s">
        <v>51</v>
      </c>
      <c r="M42" s="84" t="s">
        <v>50</v>
      </c>
      <c r="N42" s="84" t="s">
        <v>49</v>
      </c>
      <c r="O42" s="84" t="s">
        <v>47</v>
      </c>
      <c r="P42" s="84" t="s">
        <v>77</v>
      </c>
      <c r="Q42" s="84" t="s">
        <v>78</v>
      </c>
      <c r="R42" s="84" t="s">
        <v>79</v>
      </c>
      <c r="S42" s="84" t="s">
        <v>81</v>
      </c>
      <c r="T42" s="84" t="s">
        <v>83</v>
      </c>
      <c r="U42" s="84" t="s">
        <v>85</v>
      </c>
      <c r="V42" s="84" t="s">
        <v>87</v>
      </c>
      <c r="W42" s="83" t="s">
        <v>88</v>
      </c>
    </row>
    <row r="43" spans="1:23" x14ac:dyDescent="0.25">
      <c r="A43" s="474" t="s">
        <v>337</v>
      </c>
      <c r="B43" s="309">
        <f>IFERROR(+GETPIVOTDATA("Unique Billed Hours",'County allocation'!$A$3,"County",A43,"HHA/CDPAP","HHA"),0)</f>
        <v>0</v>
      </c>
      <c r="C43" s="62">
        <f t="shared" ref="C43:C48" si="10">C42</f>
        <v>1</v>
      </c>
      <c r="D43" s="82" t="s">
        <v>26</v>
      </c>
      <c r="E43" s="80"/>
      <c r="F43" s="79"/>
      <c r="G43" s="79"/>
      <c r="H43" s="79"/>
      <c r="I43" s="79"/>
      <c r="J43" s="79"/>
      <c r="K43" s="79"/>
      <c r="L43" s="79"/>
      <c r="M43" s="79"/>
      <c r="N43" s="79"/>
      <c r="O43" s="79"/>
      <c r="P43" s="79"/>
      <c r="Q43" s="79"/>
      <c r="R43" s="79"/>
      <c r="S43" s="79"/>
      <c r="T43" s="79"/>
      <c r="U43" s="79"/>
      <c r="V43" s="79"/>
      <c r="W43" s="78"/>
    </row>
    <row r="44" spans="1:23" x14ac:dyDescent="0.25">
      <c r="A44" s="474" t="s">
        <v>338</v>
      </c>
      <c r="B44" s="309">
        <f>IFERROR(+GETPIVOTDATA("Unique Billed Hours",'County allocation'!$A$3,"County",A44,"HHA/CDPAP","HHA"),0)</f>
        <v>0</v>
      </c>
      <c r="C44" s="62">
        <f t="shared" si="10"/>
        <v>1</v>
      </c>
      <c r="D44" s="81" t="s">
        <v>94</v>
      </c>
      <c r="E44" s="80"/>
      <c r="F44" s="79"/>
      <c r="G44" s="79"/>
      <c r="H44" s="79"/>
      <c r="I44" s="79"/>
      <c r="J44" s="79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8"/>
    </row>
    <row r="45" spans="1:23" x14ac:dyDescent="0.25">
      <c r="A45" s="474" t="s">
        <v>339</v>
      </c>
      <c r="B45" s="309">
        <f>IFERROR(+GETPIVOTDATA("Unique Billed Hours",'County allocation'!$A$3,"County",A45,"HHA/CDPAP","HHA"),0)</f>
        <v>0.18616689504483311</v>
      </c>
      <c r="C45" s="62">
        <f t="shared" si="10"/>
        <v>1</v>
      </c>
      <c r="D45" s="268" t="s">
        <v>93</v>
      </c>
      <c r="E45" s="76" t="s">
        <v>57</v>
      </c>
      <c r="F45" s="75">
        <f t="shared" ref="F45:T47" si="11">+F8*$E$40</f>
        <v>0</v>
      </c>
      <c r="G45" s="74">
        <f t="shared" si="11"/>
        <v>0</v>
      </c>
      <c r="H45" s="74">
        <f t="shared" si="11"/>
        <v>0</v>
      </c>
      <c r="I45" s="75">
        <f t="shared" si="11"/>
        <v>0</v>
      </c>
      <c r="J45" s="74">
        <f t="shared" si="11"/>
        <v>0</v>
      </c>
      <c r="K45" s="74">
        <f t="shared" si="11"/>
        <v>0</v>
      </c>
      <c r="L45" s="75">
        <f t="shared" si="11"/>
        <v>388.52315735417284</v>
      </c>
      <c r="M45" s="74">
        <f t="shared" ca="1" si="11"/>
        <v>15736225.699212117</v>
      </c>
      <c r="N45" s="74">
        <f t="shared" ca="1" si="11"/>
        <v>374125.20808421471</v>
      </c>
      <c r="O45" s="75">
        <f t="shared" si="11"/>
        <v>0</v>
      </c>
      <c r="P45" s="74">
        <f t="shared" si="11"/>
        <v>0</v>
      </c>
      <c r="Q45" s="74">
        <f t="shared" si="11"/>
        <v>0</v>
      </c>
      <c r="R45" s="75">
        <f t="shared" si="11"/>
        <v>0</v>
      </c>
      <c r="S45" s="74">
        <f t="shared" si="11"/>
        <v>0</v>
      </c>
      <c r="T45" s="74">
        <f t="shared" si="11"/>
        <v>0</v>
      </c>
      <c r="U45" s="73">
        <f t="shared" ref="U45:W47" si="12">+R45+O45+L45+I45+F45</f>
        <v>388.52315735417284</v>
      </c>
      <c r="V45" s="72">
        <f t="shared" ca="1" si="12"/>
        <v>15736225.699212117</v>
      </c>
      <c r="W45" s="72">
        <f t="shared" ca="1" si="12"/>
        <v>374125.20808421471</v>
      </c>
    </row>
    <row r="46" spans="1:23" x14ac:dyDescent="0.25">
      <c r="A46" s="474" t="s">
        <v>340</v>
      </c>
      <c r="B46" s="309">
        <f>IFERROR(+GETPIVOTDATA("Unique Billed Hours",'County allocation'!$A$3,"County",A46,"HHA/CDPAP","HHA"),0)</f>
        <v>1.5563194213553365E-3</v>
      </c>
      <c r="C46" s="62">
        <f t="shared" si="10"/>
        <v>1</v>
      </c>
      <c r="D46" s="268" t="s">
        <v>92</v>
      </c>
      <c r="E46" s="76" t="s">
        <v>56</v>
      </c>
      <c r="F46" s="75">
        <f t="shared" si="11"/>
        <v>0</v>
      </c>
      <c r="G46" s="74">
        <f t="shared" si="11"/>
        <v>0</v>
      </c>
      <c r="H46" s="74">
        <f t="shared" si="11"/>
        <v>0</v>
      </c>
      <c r="I46" s="75">
        <f t="shared" si="11"/>
        <v>0</v>
      </c>
      <c r="J46" s="74">
        <f t="shared" si="11"/>
        <v>0</v>
      </c>
      <c r="K46" s="74">
        <f t="shared" si="11"/>
        <v>0</v>
      </c>
      <c r="L46" s="75">
        <f t="shared" si="11"/>
        <v>0</v>
      </c>
      <c r="M46" s="74">
        <f t="shared" si="11"/>
        <v>0</v>
      </c>
      <c r="N46" s="74">
        <f t="shared" si="11"/>
        <v>0</v>
      </c>
      <c r="O46" s="75">
        <f t="shared" si="11"/>
        <v>0</v>
      </c>
      <c r="P46" s="74">
        <f t="shared" si="11"/>
        <v>0</v>
      </c>
      <c r="Q46" s="74">
        <f t="shared" si="11"/>
        <v>0</v>
      </c>
      <c r="R46" s="75">
        <f t="shared" si="11"/>
        <v>0</v>
      </c>
      <c r="S46" s="74">
        <f t="shared" si="11"/>
        <v>0</v>
      </c>
      <c r="T46" s="74">
        <f t="shared" si="11"/>
        <v>0</v>
      </c>
      <c r="U46" s="73">
        <f t="shared" si="12"/>
        <v>0</v>
      </c>
      <c r="V46" s="72">
        <f t="shared" si="12"/>
        <v>0</v>
      </c>
      <c r="W46" s="72">
        <f t="shared" si="12"/>
        <v>0</v>
      </c>
    </row>
    <row r="47" spans="1:23" x14ac:dyDescent="0.25">
      <c r="A47" s="474" t="s">
        <v>367</v>
      </c>
      <c r="B47" s="309">
        <f>IFERROR(+GETPIVOTDATA("Unique Billed Hours",'County allocation'!$A$3,"County",A47,"HHA/CDPAP","HHA"),0)</f>
        <v>0.11418343852982973</v>
      </c>
      <c r="C47" s="62">
        <f t="shared" si="10"/>
        <v>1</v>
      </c>
      <c r="D47" s="268" t="s">
        <v>91</v>
      </c>
      <c r="E47" s="76" t="s">
        <v>55</v>
      </c>
      <c r="F47" s="75">
        <f t="shared" si="11"/>
        <v>0</v>
      </c>
      <c r="G47" s="74">
        <f t="shared" si="11"/>
        <v>0</v>
      </c>
      <c r="H47" s="74">
        <f t="shared" si="11"/>
        <v>0</v>
      </c>
      <c r="I47" s="75">
        <f t="shared" si="11"/>
        <v>0</v>
      </c>
      <c r="J47" s="74">
        <f t="shared" si="11"/>
        <v>0</v>
      </c>
      <c r="K47" s="74">
        <f t="shared" si="11"/>
        <v>0</v>
      </c>
      <c r="L47" s="75">
        <f t="shared" si="11"/>
        <v>0.48554629282310025</v>
      </c>
      <c r="M47" s="74">
        <f t="shared" ca="1" si="11"/>
        <v>131046.30208614538</v>
      </c>
      <c r="N47" s="74">
        <f t="shared" si="11"/>
        <v>0</v>
      </c>
      <c r="O47" s="75">
        <f t="shared" si="11"/>
        <v>0</v>
      </c>
      <c r="P47" s="74">
        <f t="shared" si="11"/>
        <v>0</v>
      </c>
      <c r="Q47" s="74">
        <f t="shared" si="11"/>
        <v>0</v>
      </c>
      <c r="R47" s="75">
        <f t="shared" si="11"/>
        <v>0</v>
      </c>
      <c r="S47" s="74">
        <f t="shared" si="11"/>
        <v>0</v>
      </c>
      <c r="T47" s="74">
        <f t="shared" si="11"/>
        <v>0</v>
      </c>
      <c r="U47" s="73">
        <f t="shared" si="12"/>
        <v>0.48554629282310025</v>
      </c>
      <c r="V47" s="72">
        <f t="shared" ca="1" si="12"/>
        <v>131046.30208614538</v>
      </c>
      <c r="W47" s="72">
        <f t="shared" si="12"/>
        <v>0</v>
      </c>
    </row>
    <row r="48" spans="1:23" ht="15.75" thickBot="1" x14ac:dyDescent="0.3">
      <c r="A48" s="474" t="s">
        <v>341</v>
      </c>
      <c r="B48" s="309">
        <f>IFERROR(+GETPIVOTDATA("Unique Billed Hours",'County allocation'!$A$3,"County",A48,"HHA/CDPAP","HHA"),0)</f>
        <v>0</v>
      </c>
      <c r="C48" s="62">
        <f t="shared" si="10"/>
        <v>1</v>
      </c>
      <c r="D48" s="71" t="s">
        <v>48</v>
      </c>
      <c r="E48" s="70" t="s">
        <v>54</v>
      </c>
      <c r="F48" s="69">
        <f t="shared" ref="F48:W48" si="13">SUBTOTAL(9,F45:F47)</f>
        <v>0</v>
      </c>
      <c r="G48" s="68">
        <f t="shared" si="13"/>
        <v>0</v>
      </c>
      <c r="H48" s="68">
        <f t="shared" si="13"/>
        <v>0</v>
      </c>
      <c r="I48" s="69">
        <f t="shared" si="13"/>
        <v>0</v>
      </c>
      <c r="J48" s="68">
        <f t="shared" si="13"/>
        <v>0</v>
      </c>
      <c r="K48" s="68">
        <f t="shared" si="13"/>
        <v>0</v>
      </c>
      <c r="L48" s="69">
        <f t="shared" si="13"/>
        <v>389.00870364699591</v>
      </c>
      <c r="M48" s="68">
        <f t="shared" ca="1" si="13"/>
        <v>15867272.001298262</v>
      </c>
      <c r="N48" s="68">
        <f t="shared" ca="1" si="13"/>
        <v>374125.20808421471</v>
      </c>
      <c r="O48" s="69">
        <f t="shared" si="13"/>
        <v>0</v>
      </c>
      <c r="P48" s="68">
        <f t="shared" si="13"/>
        <v>0</v>
      </c>
      <c r="Q48" s="68">
        <f t="shared" si="13"/>
        <v>0</v>
      </c>
      <c r="R48" s="69">
        <f t="shared" si="13"/>
        <v>0</v>
      </c>
      <c r="S48" s="68">
        <f t="shared" si="13"/>
        <v>0</v>
      </c>
      <c r="T48" s="68">
        <f t="shared" si="13"/>
        <v>0</v>
      </c>
      <c r="U48" s="69">
        <f t="shared" si="13"/>
        <v>389.00870364699591</v>
      </c>
      <c r="V48" s="68">
        <f t="shared" ca="1" si="13"/>
        <v>15867272.001298262</v>
      </c>
      <c r="W48" s="68">
        <f t="shared" ca="1" si="13"/>
        <v>374125.20808421471</v>
      </c>
    </row>
    <row r="49" spans="1:23" ht="15.75" hidden="1" thickBot="1" x14ac:dyDescent="0.3">
      <c r="A49" s="475" t="s">
        <v>342</v>
      </c>
      <c r="B49" s="309">
        <f>IFERROR(+GETPIVOTDATA("Unique Billed Hours",'County allocation'!$A$3,"County",A49,"HHA/CDPAP","HHA"),0)</f>
        <v>0</v>
      </c>
    </row>
    <row r="50" spans="1:23" ht="15" hidden="1" customHeight="1" x14ac:dyDescent="0.25">
      <c r="A50" s="475" t="s">
        <v>343</v>
      </c>
      <c r="B50" s="309">
        <f>IFERROR(+GETPIVOTDATA("Unique Billed Hours",'County allocation'!$A$3,"County",A50,"HHA/CDPAP","HHA"),0)</f>
        <v>2.3438220793789384E-4</v>
      </c>
      <c r="C50" s="62">
        <f>IF(E50&gt;0,1,0)</f>
        <v>0</v>
      </c>
      <c r="D50" s="936" t="str">
        <f>+A8</f>
        <v>Broome</v>
      </c>
      <c r="E50" s="938">
        <f>SUMIF(A:A,D50,B:B)</f>
        <v>0</v>
      </c>
      <c r="F50" s="940" t="s">
        <v>103</v>
      </c>
      <c r="G50" s="941"/>
      <c r="H50" s="942"/>
      <c r="I50" s="940" t="s">
        <v>102</v>
      </c>
      <c r="J50" s="941"/>
      <c r="K50" s="942"/>
      <c r="L50" s="940" t="s">
        <v>101</v>
      </c>
      <c r="M50" s="941"/>
      <c r="N50" s="942"/>
      <c r="O50" s="940" t="s">
        <v>100</v>
      </c>
      <c r="P50" s="941"/>
      <c r="Q50" s="942"/>
      <c r="R50" s="940" t="s">
        <v>99</v>
      </c>
      <c r="S50" s="941"/>
      <c r="T50" s="942"/>
      <c r="U50" s="940" t="s">
        <v>98</v>
      </c>
      <c r="V50" s="941"/>
      <c r="W50" s="943"/>
    </row>
    <row r="51" spans="1:23" ht="30.75" hidden="1" thickBot="1" x14ac:dyDescent="0.3">
      <c r="A51" s="475" t="s">
        <v>344</v>
      </c>
      <c r="B51" s="309">
        <f>IFERROR(+GETPIVOTDATA("Unique Billed Hours",'County allocation'!$A$3,"County",A51,"HHA/CDPAP","HHA"),0)</f>
        <v>4.4993927533405302E-3</v>
      </c>
      <c r="C51" s="62">
        <f>IF(E50&gt;0,1,0)</f>
        <v>0</v>
      </c>
      <c r="D51" s="937"/>
      <c r="E51" s="939"/>
      <c r="F51" s="88" t="s">
        <v>97</v>
      </c>
      <c r="G51" s="88" t="s">
        <v>96</v>
      </c>
      <c r="H51" s="88" t="s">
        <v>95</v>
      </c>
      <c r="I51" s="88" t="s">
        <v>97</v>
      </c>
      <c r="J51" s="88" t="s">
        <v>96</v>
      </c>
      <c r="K51" s="88" t="s">
        <v>95</v>
      </c>
      <c r="L51" s="88" t="s">
        <v>97</v>
      </c>
      <c r="M51" s="88" t="s">
        <v>96</v>
      </c>
      <c r="N51" s="88" t="s">
        <v>95</v>
      </c>
      <c r="O51" s="88" t="s">
        <v>97</v>
      </c>
      <c r="P51" s="88" t="s">
        <v>96</v>
      </c>
      <c r="Q51" s="88" t="s">
        <v>95</v>
      </c>
      <c r="R51" s="88" t="s">
        <v>97</v>
      </c>
      <c r="S51" s="88" t="s">
        <v>96</v>
      </c>
      <c r="T51" s="88" t="s">
        <v>95</v>
      </c>
      <c r="U51" s="88" t="s">
        <v>97</v>
      </c>
      <c r="V51" s="88" t="s">
        <v>96</v>
      </c>
      <c r="W51" s="87" t="s">
        <v>95</v>
      </c>
    </row>
    <row r="52" spans="1:23" ht="15.75" hidden="1" thickBot="1" x14ac:dyDescent="0.3">
      <c r="A52" s="475" t="s">
        <v>345</v>
      </c>
      <c r="B52" s="309">
        <f>IFERROR(+GETPIVOTDATA("Unique Billed Hours",'County allocation'!$A$3,"County",A52,"HHA/CDPAP","HHA"),0)</f>
        <v>0</v>
      </c>
      <c r="C52" s="62">
        <f>C51</f>
        <v>0</v>
      </c>
      <c r="D52" s="86"/>
      <c r="E52" s="85"/>
      <c r="F52" s="84" t="s">
        <v>57</v>
      </c>
      <c r="G52" s="84" t="s">
        <v>56</v>
      </c>
      <c r="H52" s="84" t="s">
        <v>55</v>
      </c>
      <c r="I52" s="84" t="s">
        <v>54</v>
      </c>
      <c r="J52" s="84" t="s">
        <v>53</v>
      </c>
      <c r="K52" s="84" t="s">
        <v>52</v>
      </c>
      <c r="L52" s="84" t="s">
        <v>51</v>
      </c>
      <c r="M52" s="84" t="s">
        <v>50</v>
      </c>
      <c r="N52" s="84" t="s">
        <v>49</v>
      </c>
      <c r="O52" s="84" t="s">
        <v>47</v>
      </c>
      <c r="P52" s="84" t="s">
        <v>77</v>
      </c>
      <c r="Q52" s="84" t="s">
        <v>78</v>
      </c>
      <c r="R52" s="84" t="s">
        <v>79</v>
      </c>
      <c r="S52" s="84" t="s">
        <v>81</v>
      </c>
      <c r="T52" s="84" t="s">
        <v>83</v>
      </c>
      <c r="U52" s="84" t="s">
        <v>85</v>
      </c>
      <c r="V52" s="84" t="s">
        <v>87</v>
      </c>
      <c r="W52" s="83" t="s">
        <v>88</v>
      </c>
    </row>
    <row r="53" spans="1:23" ht="15.75" hidden="1" thickBot="1" x14ac:dyDescent="0.3">
      <c r="A53" s="475" t="s">
        <v>346</v>
      </c>
      <c r="B53" s="309">
        <f>IFERROR(+GETPIVOTDATA("Unique Billed Hours",'County allocation'!$A$3,"County",A53,"HHA/CDPAP","HHA"),0)</f>
        <v>0</v>
      </c>
      <c r="C53" s="62">
        <f t="shared" ref="C53:C58" si="14">C52</f>
        <v>0</v>
      </c>
      <c r="D53" s="82" t="s">
        <v>26</v>
      </c>
      <c r="E53" s="80"/>
      <c r="F53" s="79"/>
      <c r="G53" s="79"/>
      <c r="H53" s="79"/>
      <c r="I53" s="79"/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8"/>
    </row>
    <row r="54" spans="1:23" ht="15.75" hidden="1" thickBot="1" x14ac:dyDescent="0.3">
      <c r="A54" s="475" t="s">
        <v>347</v>
      </c>
      <c r="B54" s="309">
        <f>IFERROR(+GETPIVOTDATA("Unique Billed Hours",'County allocation'!$A$3,"County",A54,"HHA/CDPAP","HHA"),0)</f>
        <v>0</v>
      </c>
      <c r="C54" s="62">
        <f t="shared" si="14"/>
        <v>0</v>
      </c>
      <c r="D54" s="81" t="s">
        <v>94</v>
      </c>
      <c r="E54" s="80"/>
      <c r="F54" s="79"/>
      <c r="G54" s="79"/>
      <c r="H54" s="79"/>
      <c r="I54" s="79"/>
      <c r="J54" s="79"/>
      <c r="K54" s="79"/>
      <c r="L54" s="79"/>
      <c r="M54" s="79"/>
      <c r="N54" s="79"/>
      <c r="O54" s="79"/>
      <c r="P54" s="79"/>
      <c r="Q54" s="79"/>
      <c r="R54" s="79"/>
      <c r="S54" s="79"/>
      <c r="T54" s="79"/>
      <c r="U54" s="79"/>
      <c r="V54" s="79"/>
      <c r="W54" s="78"/>
    </row>
    <row r="55" spans="1:23" ht="15.75" hidden="1" thickBot="1" x14ac:dyDescent="0.3">
      <c r="A55" s="475" t="s">
        <v>348</v>
      </c>
      <c r="B55" s="309">
        <f>IFERROR(+GETPIVOTDATA("Unique Billed Hours",'County allocation'!$A$3,"County",A55,"HHA/CDPAP","HHA"),0)</f>
        <v>0</v>
      </c>
      <c r="C55" s="62">
        <f t="shared" si="14"/>
        <v>0</v>
      </c>
      <c r="D55" s="268" t="s">
        <v>93</v>
      </c>
      <c r="E55" s="76" t="s">
        <v>57</v>
      </c>
      <c r="F55" s="75">
        <f t="shared" ref="F55:T57" si="15">+F8*$E$50</f>
        <v>0</v>
      </c>
      <c r="G55" s="74">
        <f t="shared" si="15"/>
        <v>0</v>
      </c>
      <c r="H55" s="74">
        <f t="shared" si="15"/>
        <v>0</v>
      </c>
      <c r="I55" s="75">
        <f t="shared" si="15"/>
        <v>0</v>
      </c>
      <c r="J55" s="74">
        <f t="shared" si="15"/>
        <v>0</v>
      </c>
      <c r="K55" s="74">
        <f t="shared" si="15"/>
        <v>0</v>
      </c>
      <c r="L55" s="75">
        <f t="shared" si="15"/>
        <v>0</v>
      </c>
      <c r="M55" s="74">
        <f t="shared" ca="1" si="15"/>
        <v>0</v>
      </c>
      <c r="N55" s="74">
        <f t="shared" ca="1" si="15"/>
        <v>0</v>
      </c>
      <c r="O55" s="75">
        <f t="shared" si="15"/>
        <v>0</v>
      </c>
      <c r="P55" s="74">
        <f t="shared" si="15"/>
        <v>0</v>
      </c>
      <c r="Q55" s="74">
        <f t="shared" si="15"/>
        <v>0</v>
      </c>
      <c r="R55" s="75">
        <f t="shared" si="15"/>
        <v>0</v>
      </c>
      <c r="S55" s="74">
        <f t="shared" si="15"/>
        <v>0</v>
      </c>
      <c r="T55" s="74">
        <f t="shared" si="15"/>
        <v>0</v>
      </c>
      <c r="U55" s="73">
        <f t="shared" ref="U55:W57" si="16">+R55+O55+L55+I55+F55</f>
        <v>0</v>
      </c>
      <c r="V55" s="72">
        <f t="shared" ca="1" si="16"/>
        <v>0</v>
      </c>
      <c r="W55" s="72">
        <f t="shared" ca="1" si="16"/>
        <v>0</v>
      </c>
    </row>
    <row r="56" spans="1:23" ht="15.75" hidden="1" thickBot="1" x14ac:dyDescent="0.3">
      <c r="A56" s="473" t="s">
        <v>349</v>
      </c>
      <c r="B56" s="309">
        <f>IFERROR(+GETPIVOTDATA("Unique Billed Hours",'County allocation'!$A$3,"County",A56,"HHA/CDPAP","HHA"),0)</f>
        <v>1.3789830938469415E-5</v>
      </c>
      <c r="C56" s="62">
        <f t="shared" si="14"/>
        <v>0</v>
      </c>
      <c r="D56" s="268" t="s">
        <v>92</v>
      </c>
      <c r="E56" s="76" t="s">
        <v>56</v>
      </c>
      <c r="F56" s="75">
        <f t="shared" si="15"/>
        <v>0</v>
      </c>
      <c r="G56" s="74">
        <f t="shared" si="15"/>
        <v>0</v>
      </c>
      <c r="H56" s="74">
        <f t="shared" si="15"/>
        <v>0</v>
      </c>
      <c r="I56" s="75">
        <f t="shared" si="15"/>
        <v>0</v>
      </c>
      <c r="J56" s="74">
        <f t="shared" si="15"/>
        <v>0</v>
      </c>
      <c r="K56" s="74">
        <f t="shared" si="15"/>
        <v>0</v>
      </c>
      <c r="L56" s="75">
        <f t="shared" si="15"/>
        <v>0</v>
      </c>
      <c r="M56" s="74">
        <f t="shared" si="15"/>
        <v>0</v>
      </c>
      <c r="N56" s="74">
        <f t="shared" si="15"/>
        <v>0</v>
      </c>
      <c r="O56" s="75">
        <f t="shared" si="15"/>
        <v>0</v>
      </c>
      <c r="P56" s="74">
        <f t="shared" si="15"/>
        <v>0</v>
      </c>
      <c r="Q56" s="74">
        <f t="shared" si="15"/>
        <v>0</v>
      </c>
      <c r="R56" s="75">
        <f t="shared" si="15"/>
        <v>0</v>
      </c>
      <c r="S56" s="74">
        <f t="shared" si="15"/>
        <v>0</v>
      </c>
      <c r="T56" s="74">
        <f t="shared" si="15"/>
        <v>0</v>
      </c>
      <c r="U56" s="73">
        <f t="shared" si="16"/>
        <v>0</v>
      </c>
      <c r="V56" s="72">
        <f t="shared" si="16"/>
        <v>0</v>
      </c>
      <c r="W56" s="72">
        <f t="shared" si="16"/>
        <v>0</v>
      </c>
    </row>
    <row r="57" spans="1:23" ht="15.75" hidden="1" thickBot="1" x14ac:dyDescent="0.3">
      <c r="A57" s="475" t="s">
        <v>350</v>
      </c>
      <c r="B57" s="309">
        <f>IFERROR(+GETPIVOTDATA("Unique Billed Hours",'County allocation'!$A$3,"County",A57,"HHA/CDPAP","HHA"),0)</f>
        <v>0</v>
      </c>
      <c r="C57" s="62">
        <f t="shared" si="14"/>
        <v>0</v>
      </c>
      <c r="D57" s="268" t="s">
        <v>91</v>
      </c>
      <c r="E57" s="76" t="s">
        <v>55</v>
      </c>
      <c r="F57" s="75">
        <f t="shared" si="15"/>
        <v>0</v>
      </c>
      <c r="G57" s="74">
        <f t="shared" si="15"/>
        <v>0</v>
      </c>
      <c r="H57" s="74">
        <f t="shared" si="15"/>
        <v>0</v>
      </c>
      <c r="I57" s="75">
        <f t="shared" si="15"/>
        <v>0</v>
      </c>
      <c r="J57" s="74">
        <f t="shared" si="15"/>
        <v>0</v>
      </c>
      <c r="K57" s="74">
        <f t="shared" si="15"/>
        <v>0</v>
      </c>
      <c r="L57" s="75">
        <f t="shared" si="15"/>
        <v>0</v>
      </c>
      <c r="M57" s="74">
        <f t="shared" ca="1" si="15"/>
        <v>0</v>
      </c>
      <c r="N57" s="74">
        <f t="shared" si="15"/>
        <v>0</v>
      </c>
      <c r="O57" s="75">
        <f t="shared" si="15"/>
        <v>0</v>
      </c>
      <c r="P57" s="74">
        <f t="shared" si="15"/>
        <v>0</v>
      </c>
      <c r="Q57" s="74">
        <f t="shared" si="15"/>
        <v>0</v>
      </c>
      <c r="R57" s="75">
        <f t="shared" si="15"/>
        <v>0</v>
      </c>
      <c r="S57" s="74">
        <f t="shared" si="15"/>
        <v>0</v>
      </c>
      <c r="T57" s="74">
        <f t="shared" si="15"/>
        <v>0</v>
      </c>
      <c r="U57" s="73">
        <f t="shared" si="16"/>
        <v>0</v>
      </c>
      <c r="V57" s="72">
        <f t="shared" ca="1" si="16"/>
        <v>0</v>
      </c>
      <c r="W57" s="72">
        <f t="shared" si="16"/>
        <v>0</v>
      </c>
    </row>
    <row r="58" spans="1:23" ht="15.75" hidden="1" thickBot="1" x14ac:dyDescent="0.3">
      <c r="A58" s="475" t="s">
        <v>351</v>
      </c>
      <c r="B58" s="309">
        <f>IFERROR(+GETPIVOTDATA("Unique Billed Hours",'County allocation'!$A$3,"County",A58,"HHA/CDPAP","HHA"),0)</f>
        <v>0</v>
      </c>
      <c r="C58" s="62">
        <f t="shared" si="14"/>
        <v>0</v>
      </c>
      <c r="D58" s="71" t="s">
        <v>48</v>
      </c>
      <c r="E58" s="70" t="s">
        <v>54</v>
      </c>
      <c r="F58" s="69">
        <f t="shared" ref="F58:W58" si="17">SUBTOTAL(9,F55:F57)</f>
        <v>0</v>
      </c>
      <c r="G58" s="68">
        <f t="shared" si="17"/>
        <v>0</v>
      </c>
      <c r="H58" s="68">
        <f t="shared" si="17"/>
        <v>0</v>
      </c>
      <c r="I58" s="69">
        <f t="shared" si="17"/>
        <v>0</v>
      </c>
      <c r="J58" s="68">
        <f t="shared" si="17"/>
        <v>0</v>
      </c>
      <c r="K58" s="68">
        <f t="shared" si="17"/>
        <v>0</v>
      </c>
      <c r="L58" s="69">
        <f t="shared" si="17"/>
        <v>0</v>
      </c>
      <c r="M58" s="68">
        <f t="shared" si="17"/>
        <v>0</v>
      </c>
      <c r="N58" s="68">
        <f t="shared" si="17"/>
        <v>0</v>
      </c>
      <c r="O58" s="69">
        <f t="shared" si="17"/>
        <v>0</v>
      </c>
      <c r="P58" s="68">
        <f t="shared" si="17"/>
        <v>0</v>
      </c>
      <c r="Q58" s="68">
        <f t="shared" si="17"/>
        <v>0</v>
      </c>
      <c r="R58" s="69">
        <f t="shared" si="17"/>
        <v>0</v>
      </c>
      <c r="S58" s="68">
        <f t="shared" si="17"/>
        <v>0</v>
      </c>
      <c r="T58" s="68">
        <f t="shared" si="17"/>
        <v>0</v>
      </c>
      <c r="U58" s="69">
        <f t="shared" si="17"/>
        <v>0</v>
      </c>
      <c r="V58" s="68">
        <f t="shared" si="17"/>
        <v>0</v>
      </c>
      <c r="W58" s="68">
        <f t="shared" si="17"/>
        <v>0</v>
      </c>
    </row>
    <row r="59" spans="1:23" ht="15.75" hidden="1" thickBot="1" x14ac:dyDescent="0.3">
      <c r="A59" s="475" t="s">
        <v>352</v>
      </c>
      <c r="B59" s="309">
        <f>IFERROR(+GETPIVOTDATA("Unique Billed Hours",'County allocation'!$A$3,"County",A59,"HHA/CDPAP","HHA"),0)</f>
        <v>0</v>
      </c>
    </row>
    <row r="60" spans="1:23" ht="15" hidden="1" customHeight="1" x14ac:dyDescent="0.25">
      <c r="A60" s="475" t="s">
        <v>353</v>
      </c>
      <c r="B60" s="309">
        <f>IFERROR(+GETPIVOTDATA("Unique Billed Hours",'County allocation'!$A$3,"County",A60,"HHA/CDPAP","HHA"),0)</f>
        <v>0</v>
      </c>
      <c r="C60" s="62">
        <f>IF(E60&gt;0,1,0)</f>
        <v>0</v>
      </c>
      <c r="D60" s="936" t="str">
        <f>+A9</f>
        <v>Cattaraugus</v>
      </c>
      <c r="E60" s="938">
        <f>SUMIF(A:A,D60,B:B)</f>
        <v>0</v>
      </c>
      <c r="F60" s="940" t="s">
        <v>103</v>
      </c>
      <c r="G60" s="941"/>
      <c r="H60" s="942"/>
      <c r="I60" s="940" t="s">
        <v>102</v>
      </c>
      <c r="J60" s="941"/>
      <c r="K60" s="942"/>
      <c r="L60" s="940" t="s">
        <v>101</v>
      </c>
      <c r="M60" s="941"/>
      <c r="N60" s="942"/>
      <c r="O60" s="940" t="s">
        <v>100</v>
      </c>
      <c r="P60" s="941"/>
      <c r="Q60" s="942"/>
      <c r="R60" s="940" t="s">
        <v>99</v>
      </c>
      <c r="S60" s="941"/>
      <c r="T60" s="942"/>
      <c r="U60" s="940" t="s">
        <v>98</v>
      </c>
      <c r="V60" s="941"/>
      <c r="W60" s="943"/>
    </row>
    <row r="61" spans="1:23" ht="30.75" hidden="1" thickBot="1" x14ac:dyDescent="0.3">
      <c r="A61" s="475" t="s">
        <v>354</v>
      </c>
      <c r="B61" s="309">
        <f>IFERROR(+GETPIVOTDATA("Unique Billed Hours",'County allocation'!$A$3,"County",A61,"HHA/CDPAP","HHA"),0)</f>
        <v>0</v>
      </c>
      <c r="C61" s="62">
        <f>IF(E60&gt;0,1,0)</f>
        <v>0</v>
      </c>
      <c r="D61" s="937"/>
      <c r="E61" s="939"/>
      <c r="F61" s="88" t="s">
        <v>97</v>
      </c>
      <c r="G61" s="88" t="s">
        <v>96</v>
      </c>
      <c r="H61" s="88" t="s">
        <v>95</v>
      </c>
      <c r="I61" s="88" t="s">
        <v>97</v>
      </c>
      <c r="J61" s="88" t="s">
        <v>96</v>
      </c>
      <c r="K61" s="88" t="s">
        <v>95</v>
      </c>
      <c r="L61" s="88" t="s">
        <v>97</v>
      </c>
      <c r="M61" s="88" t="s">
        <v>96</v>
      </c>
      <c r="N61" s="88" t="s">
        <v>95</v>
      </c>
      <c r="O61" s="88" t="s">
        <v>97</v>
      </c>
      <c r="P61" s="88" t="s">
        <v>96</v>
      </c>
      <c r="Q61" s="88" t="s">
        <v>95</v>
      </c>
      <c r="R61" s="88" t="s">
        <v>97</v>
      </c>
      <c r="S61" s="88" t="s">
        <v>96</v>
      </c>
      <c r="T61" s="88" t="s">
        <v>95</v>
      </c>
      <c r="U61" s="88" t="s">
        <v>97</v>
      </c>
      <c r="V61" s="88" t="s">
        <v>96</v>
      </c>
      <c r="W61" s="87" t="s">
        <v>95</v>
      </c>
    </row>
    <row r="62" spans="1:23" ht="15.75" hidden="1" thickBot="1" x14ac:dyDescent="0.3">
      <c r="A62" s="475" t="s">
        <v>355</v>
      </c>
      <c r="B62" s="309">
        <f>IFERROR(+GETPIVOTDATA("Unique Billed Hours",'County allocation'!$A$3,"County",A62,"HHA/CDPAP","HHA"),0)</f>
        <v>0</v>
      </c>
      <c r="C62" s="62">
        <f>C61</f>
        <v>0</v>
      </c>
      <c r="D62" s="86"/>
      <c r="E62" s="85"/>
      <c r="F62" s="84" t="s">
        <v>57</v>
      </c>
      <c r="G62" s="84" t="s">
        <v>56</v>
      </c>
      <c r="H62" s="84" t="s">
        <v>55</v>
      </c>
      <c r="I62" s="84" t="s">
        <v>54</v>
      </c>
      <c r="J62" s="84" t="s">
        <v>53</v>
      </c>
      <c r="K62" s="84" t="s">
        <v>52</v>
      </c>
      <c r="L62" s="84" t="s">
        <v>51</v>
      </c>
      <c r="M62" s="84" t="s">
        <v>50</v>
      </c>
      <c r="N62" s="84" t="s">
        <v>49</v>
      </c>
      <c r="O62" s="84" t="s">
        <v>47</v>
      </c>
      <c r="P62" s="84" t="s">
        <v>77</v>
      </c>
      <c r="Q62" s="84" t="s">
        <v>78</v>
      </c>
      <c r="R62" s="84" t="s">
        <v>79</v>
      </c>
      <c r="S62" s="84" t="s">
        <v>81</v>
      </c>
      <c r="T62" s="84" t="s">
        <v>83</v>
      </c>
      <c r="U62" s="84" t="s">
        <v>85</v>
      </c>
      <c r="V62" s="84" t="s">
        <v>87</v>
      </c>
      <c r="W62" s="83" t="s">
        <v>88</v>
      </c>
    </row>
    <row r="63" spans="1:23" ht="15.75" hidden="1" thickBot="1" x14ac:dyDescent="0.3">
      <c r="A63" s="475" t="s">
        <v>361</v>
      </c>
      <c r="B63" s="309">
        <f>IFERROR(+GETPIVOTDATA("Unique Billed Hours",'County allocation'!$A$3,"County",A63,"HHA/CDPAP","HHA"),0)</f>
        <v>0</v>
      </c>
      <c r="C63" s="62">
        <f t="shared" ref="C63:C68" si="18">C62</f>
        <v>0</v>
      </c>
      <c r="D63" s="82" t="s">
        <v>26</v>
      </c>
      <c r="E63" s="80"/>
      <c r="F63" s="79"/>
      <c r="G63" s="79"/>
      <c r="H63" s="79"/>
      <c r="I63" s="79"/>
      <c r="J63" s="79"/>
      <c r="K63" s="79"/>
      <c r="L63" s="79"/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8"/>
    </row>
    <row r="64" spans="1:23" ht="15.75" hidden="1" thickBot="1" x14ac:dyDescent="0.3">
      <c r="A64" s="473" t="s">
        <v>362</v>
      </c>
      <c r="B64" s="309">
        <f>IFERROR(+GETPIVOTDATA("Unique Billed Hours",'County allocation'!$A$3,"County",A64,"HHA/CDPAP","HHA"),0)</f>
        <v>3.234950600513449E-2</v>
      </c>
      <c r="C64" s="62">
        <f t="shared" si="18"/>
        <v>0</v>
      </c>
      <c r="D64" s="81" t="s">
        <v>94</v>
      </c>
      <c r="E64" s="80"/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8"/>
    </row>
    <row r="65" spans="1:23" ht="15.75" hidden="1" thickBot="1" x14ac:dyDescent="0.3">
      <c r="A65" s="475" t="s">
        <v>363</v>
      </c>
      <c r="B65" s="309">
        <f>IFERROR(+GETPIVOTDATA("Unique Billed Hours",'County allocation'!$A$3,"County",A65,"HHA/CDPAP","HHA"),0)</f>
        <v>0</v>
      </c>
      <c r="C65" s="62">
        <f t="shared" si="18"/>
        <v>0</v>
      </c>
      <c r="D65" s="268" t="s">
        <v>93</v>
      </c>
      <c r="E65" s="76" t="s">
        <v>57</v>
      </c>
      <c r="F65" s="75">
        <f t="shared" ref="F65:T67" si="19">+F8*$E$60</f>
        <v>0</v>
      </c>
      <c r="G65" s="74">
        <f t="shared" si="19"/>
        <v>0</v>
      </c>
      <c r="H65" s="74">
        <f t="shared" si="19"/>
        <v>0</v>
      </c>
      <c r="I65" s="75">
        <f t="shared" si="19"/>
        <v>0</v>
      </c>
      <c r="J65" s="74">
        <f t="shared" si="19"/>
        <v>0</v>
      </c>
      <c r="K65" s="74">
        <f t="shared" si="19"/>
        <v>0</v>
      </c>
      <c r="L65" s="75">
        <f t="shared" si="19"/>
        <v>0</v>
      </c>
      <c r="M65" s="74">
        <f t="shared" ca="1" si="19"/>
        <v>0</v>
      </c>
      <c r="N65" s="74">
        <f t="shared" ca="1" si="19"/>
        <v>0</v>
      </c>
      <c r="O65" s="75">
        <f t="shared" si="19"/>
        <v>0</v>
      </c>
      <c r="P65" s="74">
        <f t="shared" si="19"/>
        <v>0</v>
      </c>
      <c r="Q65" s="74">
        <f t="shared" si="19"/>
        <v>0</v>
      </c>
      <c r="R65" s="75">
        <f t="shared" si="19"/>
        <v>0</v>
      </c>
      <c r="S65" s="74">
        <f t="shared" si="19"/>
        <v>0</v>
      </c>
      <c r="T65" s="74">
        <f t="shared" si="19"/>
        <v>0</v>
      </c>
      <c r="U65" s="73">
        <f t="shared" ref="U65:W67" si="20">+R65+O65+L65+I65+F65</f>
        <v>0</v>
      </c>
      <c r="V65" s="72">
        <f t="shared" ca="1" si="20"/>
        <v>0</v>
      </c>
      <c r="W65" s="72">
        <f t="shared" ca="1" si="20"/>
        <v>0</v>
      </c>
    </row>
    <row r="66" spans="1:23" ht="15.75" hidden="1" thickBot="1" x14ac:dyDescent="0.3">
      <c r="A66" s="475" t="s">
        <v>364</v>
      </c>
      <c r="B66" s="309">
        <f>IFERROR(+GETPIVOTDATA("Unique Billed Hours",'County allocation'!$A$3,"County",A66,"HHA/CDPAP","HHA"),0)</f>
        <v>0</v>
      </c>
      <c r="C66" s="62">
        <f t="shared" si="18"/>
        <v>0</v>
      </c>
      <c r="D66" s="268" t="s">
        <v>92</v>
      </c>
      <c r="E66" s="76" t="s">
        <v>56</v>
      </c>
      <c r="F66" s="75">
        <f t="shared" si="19"/>
        <v>0</v>
      </c>
      <c r="G66" s="74">
        <f t="shared" si="19"/>
        <v>0</v>
      </c>
      <c r="H66" s="74">
        <f t="shared" si="19"/>
        <v>0</v>
      </c>
      <c r="I66" s="75">
        <f t="shared" si="19"/>
        <v>0</v>
      </c>
      <c r="J66" s="74">
        <f t="shared" si="19"/>
        <v>0</v>
      </c>
      <c r="K66" s="74">
        <f t="shared" si="19"/>
        <v>0</v>
      </c>
      <c r="L66" s="75">
        <f t="shared" si="19"/>
        <v>0</v>
      </c>
      <c r="M66" s="74">
        <f t="shared" si="19"/>
        <v>0</v>
      </c>
      <c r="N66" s="74">
        <f t="shared" si="19"/>
        <v>0</v>
      </c>
      <c r="O66" s="75">
        <f t="shared" si="19"/>
        <v>0</v>
      </c>
      <c r="P66" s="74">
        <f t="shared" si="19"/>
        <v>0</v>
      </c>
      <c r="Q66" s="74">
        <f t="shared" si="19"/>
        <v>0</v>
      </c>
      <c r="R66" s="75">
        <f t="shared" si="19"/>
        <v>0</v>
      </c>
      <c r="S66" s="74">
        <f t="shared" si="19"/>
        <v>0</v>
      </c>
      <c r="T66" s="74">
        <f t="shared" si="19"/>
        <v>0</v>
      </c>
      <c r="U66" s="73">
        <f t="shared" si="20"/>
        <v>0</v>
      </c>
      <c r="V66" s="72">
        <f t="shared" si="20"/>
        <v>0</v>
      </c>
      <c r="W66" s="72">
        <f t="shared" si="20"/>
        <v>0</v>
      </c>
    </row>
    <row r="67" spans="1:23" ht="15.75" hidden="1" thickBot="1" x14ac:dyDescent="0.3">
      <c r="C67" s="62">
        <f t="shared" si="18"/>
        <v>0</v>
      </c>
      <c r="D67" s="268" t="s">
        <v>91</v>
      </c>
      <c r="E67" s="76" t="s">
        <v>55</v>
      </c>
      <c r="F67" s="75">
        <f t="shared" si="19"/>
        <v>0</v>
      </c>
      <c r="G67" s="74">
        <f t="shared" si="19"/>
        <v>0</v>
      </c>
      <c r="H67" s="74">
        <f t="shared" si="19"/>
        <v>0</v>
      </c>
      <c r="I67" s="75">
        <f t="shared" si="19"/>
        <v>0</v>
      </c>
      <c r="J67" s="74">
        <f t="shared" si="19"/>
        <v>0</v>
      </c>
      <c r="K67" s="74">
        <f t="shared" si="19"/>
        <v>0</v>
      </c>
      <c r="L67" s="75">
        <f t="shared" si="19"/>
        <v>0</v>
      </c>
      <c r="M67" s="74">
        <f t="shared" ca="1" si="19"/>
        <v>0</v>
      </c>
      <c r="N67" s="74">
        <f t="shared" si="19"/>
        <v>0</v>
      </c>
      <c r="O67" s="75">
        <f t="shared" si="19"/>
        <v>0</v>
      </c>
      <c r="P67" s="74">
        <f t="shared" si="19"/>
        <v>0</v>
      </c>
      <c r="Q67" s="74">
        <f t="shared" si="19"/>
        <v>0</v>
      </c>
      <c r="R67" s="75">
        <f t="shared" si="19"/>
        <v>0</v>
      </c>
      <c r="S67" s="74">
        <f t="shared" si="19"/>
        <v>0</v>
      </c>
      <c r="T67" s="74">
        <f t="shared" si="19"/>
        <v>0</v>
      </c>
      <c r="U67" s="73">
        <f t="shared" si="20"/>
        <v>0</v>
      </c>
      <c r="V67" s="72">
        <f t="shared" ca="1" si="20"/>
        <v>0</v>
      </c>
      <c r="W67" s="72">
        <f t="shared" si="20"/>
        <v>0</v>
      </c>
    </row>
    <row r="68" spans="1:23" ht="15.75" hidden="1" thickBot="1" x14ac:dyDescent="0.3">
      <c r="C68" s="62">
        <f t="shared" si="18"/>
        <v>0</v>
      </c>
      <c r="D68" s="71" t="s">
        <v>48</v>
      </c>
      <c r="E68" s="70" t="s">
        <v>54</v>
      </c>
      <c r="F68" s="69">
        <f t="shared" ref="F68:W68" si="21">SUBTOTAL(9,F65:F67)</f>
        <v>0</v>
      </c>
      <c r="G68" s="68">
        <f t="shared" si="21"/>
        <v>0</v>
      </c>
      <c r="H68" s="68">
        <f t="shared" si="21"/>
        <v>0</v>
      </c>
      <c r="I68" s="69">
        <f t="shared" si="21"/>
        <v>0</v>
      </c>
      <c r="J68" s="68">
        <f t="shared" si="21"/>
        <v>0</v>
      </c>
      <c r="K68" s="68">
        <f t="shared" si="21"/>
        <v>0</v>
      </c>
      <c r="L68" s="69">
        <f t="shared" si="21"/>
        <v>0</v>
      </c>
      <c r="M68" s="68">
        <f t="shared" si="21"/>
        <v>0</v>
      </c>
      <c r="N68" s="68">
        <f t="shared" si="21"/>
        <v>0</v>
      </c>
      <c r="O68" s="69">
        <f t="shared" si="21"/>
        <v>0</v>
      </c>
      <c r="P68" s="68">
        <f t="shared" si="21"/>
        <v>0</v>
      </c>
      <c r="Q68" s="68">
        <f t="shared" si="21"/>
        <v>0</v>
      </c>
      <c r="R68" s="69">
        <f t="shared" si="21"/>
        <v>0</v>
      </c>
      <c r="S68" s="68">
        <f t="shared" si="21"/>
        <v>0</v>
      </c>
      <c r="T68" s="68">
        <f t="shared" si="21"/>
        <v>0</v>
      </c>
      <c r="U68" s="69">
        <f t="shared" si="21"/>
        <v>0</v>
      </c>
      <c r="V68" s="68">
        <f t="shared" si="21"/>
        <v>0</v>
      </c>
      <c r="W68" s="68">
        <f t="shared" si="21"/>
        <v>0</v>
      </c>
    </row>
    <row r="69" spans="1:23" ht="15.75" hidden="1" thickBot="1" x14ac:dyDescent="0.3"/>
    <row r="70" spans="1:23" ht="15" hidden="1" customHeight="1" x14ac:dyDescent="0.25">
      <c r="C70" s="62">
        <f>IF(E70&gt;0,1,0)</f>
        <v>0</v>
      </c>
      <c r="D70" s="936" t="str">
        <f>+A10</f>
        <v>Cayuga</v>
      </c>
      <c r="E70" s="938">
        <f>SUMIF(A:A,D70,B:B)</f>
        <v>0</v>
      </c>
      <c r="F70" s="940" t="s">
        <v>103</v>
      </c>
      <c r="G70" s="941"/>
      <c r="H70" s="942"/>
      <c r="I70" s="940" t="s">
        <v>102</v>
      </c>
      <c r="J70" s="941"/>
      <c r="K70" s="942"/>
      <c r="L70" s="940" t="s">
        <v>101</v>
      </c>
      <c r="M70" s="941"/>
      <c r="N70" s="942"/>
      <c r="O70" s="940" t="s">
        <v>100</v>
      </c>
      <c r="P70" s="941"/>
      <c r="Q70" s="942"/>
      <c r="R70" s="940" t="s">
        <v>99</v>
      </c>
      <c r="S70" s="941"/>
      <c r="T70" s="942"/>
      <c r="U70" s="940" t="s">
        <v>98</v>
      </c>
      <c r="V70" s="941"/>
      <c r="W70" s="943"/>
    </row>
    <row r="71" spans="1:23" ht="30.75" hidden="1" thickBot="1" x14ac:dyDescent="0.3">
      <c r="C71" s="62">
        <f>IF(E70&gt;0,1,0)</f>
        <v>0</v>
      </c>
      <c r="D71" s="937"/>
      <c r="E71" s="939"/>
      <c r="F71" s="88" t="s">
        <v>97</v>
      </c>
      <c r="G71" s="88" t="s">
        <v>96</v>
      </c>
      <c r="H71" s="88" t="s">
        <v>95</v>
      </c>
      <c r="I71" s="88" t="s">
        <v>97</v>
      </c>
      <c r="J71" s="88" t="s">
        <v>96</v>
      </c>
      <c r="K71" s="88" t="s">
        <v>95</v>
      </c>
      <c r="L71" s="88" t="s">
        <v>97</v>
      </c>
      <c r="M71" s="88" t="s">
        <v>96</v>
      </c>
      <c r="N71" s="88" t="s">
        <v>95</v>
      </c>
      <c r="O71" s="88" t="s">
        <v>97</v>
      </c>
      <c r="P71" s="88" t="s">
        <v>96</v>
      </c>
      <c r="Q71" s="88" t="s">
        <v>95</v>
      </c>
      <c r="R71" s="88" t="s">
        <v>97</v>
      </c>
      <c r="S71" s="88" t="s">
        <v>96</v>
      </c>
      <c r="T71" s="88" t="s">
        <v>95</v>
      </c>
      <c r="U71" s="88" t="s">
        <v>97</v>
      </c>
      <c r="V71" s="88" t="s">
        <v>96</v>
      </c>
      <c r="W71" s="87" t="s">
        <v>95</v>
      </c>
    </row>
    <row r="72" spans="1:23" ht="15.75" hidden="1" thickBot="1" x14ac:dyDescent="0.3">
      <c r="C72" s="62">
        <f>C71</f>
        <v>0</v>
      </c>
      <c r="D72" s="86"/>
      <c r="E72" s="85"/>
      <c r="F72" s="84" t="s">
        <v>57</v>
      </c>
      <c r="G72" s="84" t="s">
        <v>56</v>
      </c>
      <c r="H72" s="84" t="s">
        <v>55</v>
      </c>
      <c r="I72" s="84" t="s">
        <v>54</v>
      </c>
      <c r="J72" s="84" t="s">
        <v>53</v>
      </c>
      <c r="K72" s="84" t="s">
        <v>52</v>
      </c>
      <c r="L72" s="84" t="s">
        <v>51</v>
      </c>
      <c r="M72" s="84" t="s">
        <v>50</v>
      </c>
      <c r="N72" s="84" t="s">
        <v>49</v>
      </c>
      <c r="O72" s="84" t="s">
        <v>47</v>
      </c>
      <c r="P72" s="84" t="s">
        <v>77</v>
      </c>
      <c r="Q72" s="84" t="s">
        <v>78</v>
      </c>
      <c r="R72" s="84" t="s">
        <v>79</v>
      </c>
      <c r="S72" s="84" t="s">
        <v>81</v>
      </c>
      <c r="T72" s="84" t="s">
        <v>83</v>
      </c>
      <c r="U72" s="84" t="s">
        <v>85</v>
      </c>
      <c r="V72" s="84" t="s">
        <v>87</v>
      </c>
      <c r="W72" s="83" t="s">
        <v>88</v>
      </c>
    </row>
    <row r="73" spans="1:23" ht="15.75" hidden="1" thickBot="1" x14ac:dyDescent="0.3">
      <c r="C73" s="62">
        <f t="shared" ref="C73:C78" si="22">C72</f>
        <v>0</v>
      </c>
      <c r="D73" s="82" t="s">
        <v>26</v>
      </c>
      <c r="E73" s="80"/>
      <c r="F73" s="79"/>
      <c r="G73" s="79"/>
      <c r="H73" s="79"/>
      <c r="I73" s="79"/>
      <c r="J73" s="79"/>
      <c r="K73" s="79"/>
      <c r="L73" s="79"/>
      <c r="M73" s="79"/>
      <c r="N73" s="79"/>
      <c r="O73" s="79"/>
      <c r="P73" s="79"/>
      <c r="Q73" s="79"/>
      <c r="R73" s="79"/>
      <c r="S73" s="79"/>
      <c r="T73" s="79"/>
      <c r="U73" s="79"/>
      <c r="V73" s="79"/>
      <c r="W73" s="78"/>
    </row>
    <row r="74" spans="1:23" ht="15.75" hidden="1" thickBot="1" x14ac:dyDescent="0.3">
      <c r="C74" s="62">
        <f t="shared" si="22"/>
        <v>0</v>
      </c>
      <c r="D74" s="81" t="s">
        <v>94</v>
      </c>
      <c r="E74" s="80"/>
      <c r="F74" s="79"/>
      <c r="G74" s="79"/>
      <c r="H74" s="79"/>
      <c r="I74" s="79"/>
      <c r="J74" s="79"/>
      <c r="K74" s="79"/>
      <c r="L74" s="79"/>
      <c r="M74" s="79"/>
      <c r="N74" s="79"/>
      <c r="O74" s="79"/>
      <c r="P74" s="79"/>
      <c r="Q74" s="79"/>
      <c r="R74" s="79"/>
      <c r="S74" s="79"/>
      <c r="T74" s="79"/>
      <c r="U74" s="79"/>
      <c r="V74" s="79"/>
      <c r="W74" s="78"/>
    </row>
    <row r="75" spans="1:23" ht="15.75" hidden="1" thickBot="1" x14ac:dyDescent="0.3">
      <c r="C75" s="62">
        <f t="shared" si="22"/>
        <v>0</v>
      </c>
      <c r="D75" s="268" t="s">
        <v>93</v>
      </c>
      <c r="E75" s="76" t="s">
        <v>57</v>
      </c>
      <c r="F75" s="75">
        <f t="shared" ref="F75:T77" si="23">+F8*$E$70</f>
        <v>0</v>
      </c>
      <c r="G75" s="74">
        <f t="shared" si="23"/>
        <v>0</v>
      </c>
      <c r="H75" s="74">
        <f t="shared" si="23"/>
        <v>0</v>
      </c>
      <c r="I75" s="75">
        <f t="shared" si="23"/>
        <v>0</v>
      </c>
      <c r="J75" s="74">
        <f t="shared" si="23"/>
        <v>0</v>
      </c>
      <c r="K75" s="74">
        <f t="shared" si="23"/>
        <v>0</v>
      </c>
      <c r="L75" s="75">
        <f t="shared" si="23"/>
        <v>0</v>
      </c>
      <c r="M75" s="74">
        <f t="shared" ca="1" si="23"/>
        <v>0</v>
      </c>
      <c r="N75" s="74">
        <f t="shared" ca="1" si="23"/>
        <v>0</v>
      </c>
      <c r="O75" s="75">
        <f t="shared" si="23"/>
        <v>0</v>
      </c>
      <c r="P75" s="74">
        <f t="shared" si="23"/>
        <v>0</v>
      </c>
      <c r="Q75" s="74">
        <f t="shared" si="23"/>
        <v>0</v>
      </c>
      <c r="R75" s="75">
        <f t="shared" si="23"/>
        <v>0</v>
      </c>
      <c r="S75" s="74">
        <f t="shared" si="23"/>
        <v>0</v>
      </c>
      <c r="T75" s="74">
        <f t="shared" si="23"/>
        <v>0</v>
      </c>
      <c r="U75" s="73">
        <f t="shared" ref="U75:W77" si="24">+R75+O75+L75+I75+F75</f>
        <v>0</v>
      </c>
      <c r="V75" s="72">
        <f t="shared" ca="1" si="24"/>
        <v>0</v>
      </c>
      <c r="W75" s="72">
        <f t="shared" ca="1" si="24"/>
        <v>0</v>
      </c>
    </row>
    <row r="76" spans="1:23" ht="15.75" hidden="1" thickBot="1" x14ac:dyDescent="0.3">
      <c r="C76" s="62">
        <f t="shared" si="22"/>
        <v>0</v>
      </c>
      <c r="D76" s="268" t="s">
        <v>92</v>
      </c>
      <c r="E76" s="76" t="s">
        <v>56</v>
      </c>
      <c r="F76" s="75">
        <f t="shared" si="23"/>
        <v>0</v>
      </c>
      <c r="G76" s="74">
        <f t="shared" si="23"/>
        <v>0</v>
      </c>
      <c r="H76" s="74">
        <f t="shared" si="23"/>
        <v>0</v>
      </c>
      <c r="I76" s="75">
        <f t="shared" si="23"/>
        <v>0</v>
      </c>
      <c r="J76" s="74">
        <f t="shared" si="23"/>
        <v>0</v>
      </c>
      <c r="K76" s="74">
        <f t="shared" si="23"/>
        <v>0</v>
      </c>
      <c r="L76" s="75">
        <f t="shared" si="23"/>
        <v>0</v>
      </c>
      <c r="M76" s="74">
        <f t="shared" si="23"/>
        <v>0</v>
      </c>
      <c r="N76" s="74">
        <f t="shared" si="23"/>
        <v>0</v>
      </c>
      <c r="O76" s="75">
        <f t="shared" si="23"/>
        <v>0</v>
      </c>
      <c r="P76" s="74">
        <f t="shared" si="23"/>
        <v>0</v>
      </c>
      <c r="Q76" s="74">
        <f t="shared" si="23"/>
        <v>0</v>
      </c>
      <c r="R76" s="75">
        <f t="shared" si="23"/>
        <v>0</v>
      </c>
      <c r="S76" s="74">
        <f t="shared" si="23"/>
        <v>0</v>
      </c>
      <c r="T76" s="74">
        <f t="shared" si="23"/>
        <v>0</v>
      </c>
      <c r="U76" s="73">
        <f t="shared" si="24"/>
        <v>0</v>
      </c>
      <c r="V76" s="72">
        <f t="shared" si="24"/>
        <v>0</v>
      </c>
      <c r="W76" s="72">
        <f t="shared" si="24"/>
        <v>0</v>
      </c>
    </row>
    <row r="77" spans="1:23" ht="15.75" hidden="1" thickBot="1" x14ac:dyDescent="0.3">
      <c r="C77" s="62">
        <f t="shared" si="22"/>
        <v>0</v>
      </c>
      <c r="D77" s="268" t="s">
        <v>91</v>
      </c>
      <c r="E77" s="76" t="s">
        <v>55</v>
      </c>
      <c r="F77" s="75">
        <f t="shared" si="23"/>
        <v>0</v>
      </c>
      <c r="G77" s="74">
        <f t="shared" si="23"/>
        <v>0</v>
      </c>
      <c r="H77" s="74">
        <f t="shared" si="23"/>
        <v>0</v>
      </c>
      <c r="I77" s="75">
        <f t="shared" si="23"/>
        <v>0</v>
      </c>
      <c r="J77" s="74">
        <f t="shared" si="23"/>
        <v>0</v>
      </c>
      <c r="K77" s="74">
        <f t="shared" si="23"/>
        <v>0</v>
      </c>
      <c r="L77" s="75">
        <f t="shared" si="23"/>
        <v>0</v>
      </c>
      <c r="M77" s="74">
        <f t="shared" ca="1" si="23"/>
        <v>0</v>
      </c>
      <c r="N77" s="74">
        <f t="shared" si="23"/>
        <v>0</v>
      </c>
      <c r="O77" s="75">
        <f t="shared" si="23"/>
        <v>0</v>
      </c>
      <c r="P77" s="74">
        <f t="shared" si="23"/>
        <v>0</v>
      </c>
      <c r="Q77" s="74">
        <f t="shared" si="23"/>
        <v>0</v>
      </c>
      <c r="R77" s="75">
        <f t="shared" si="23"/>
        <v>0</v>
      </c>
      <c r="S77" s="74">
        <f t="shared" si="23"/>
        <v>0</v>
      </c>
      <c r="T77" s="74">
        <f t="shared" si="23"/>
        <v>0</v>
      </c>
      <c r="U77" s="73">
        <f t="shared" si="24"/>
        <v>0</v>
      </c>
      <c r="V77" s="72">
        <f t="shared" ca="1" si="24"/>
        <v>0</v>
      </c>
      <c r="W77" s="72">
        <f t="shared" si="24"/>
        <v>0</v>
      </c>
    </row>
    <row r="78" spans="1:23" ht="15.75" hidden="1" thickBot="1" x14ac:dyDescent="0.3">
      <c r="C78" s="62">
        <f t="shared" si="22"/>
        <v>0</v>
      </c>
      <c r="D78" s="71" t="s">
        <v>48</v>
      </c>
      <c r="E78" s="70" t="s">
        <v>54</v>
      </c>
      <c r="F78" s="69">
        <f t="shared" ref="F78:W78" si="25">SUBTOTAL(9,F75:F77)</f>
        <v>0</v>
      </c>
      <c r="G78" s="68">
        <f t="shared" si="25"/>
        <v>0</v>
      </c>
      <c r="H78" s="68">
        <f t="shared" si="25"/>
        <v>0</v>
      </c>
      <c r="I78" s="69">
        <f t="shared" si="25"/>
        <v>0</v>
      </c>
      <c r="J78" s="68">
        <f t="shared" si="25"/>
        <v>0</v>
      </c>
      <c r="K78" s="68">
        <f t="shared" si="25"/>
        <v>0</v>
      </c>
      <c r="L78" s="69">
        <f t="shared" si="25"/>
        <v>0</v>
      </c>
      <c r="M78" s="68">
        <f t="shared" si="25"/>
        <v>0</v>
      </c>
      <c r="N78" s="68">
        <f t="shared" si="25"/>
        <v>0</v>
      </c>
      <c r="O78" s="69">
        <f t="shared" si="25"/>
        <v>0</v>
      </c>
      <c r="P78" s="68">
        <f t="shared" si="25"/>
        <v>0</v>
      </c>
      <c r="Q78" s="68">
        <f t="shared" si="25"/>
        <v>0</v>
      </c>
      <c r="R78" s="69">
        <f t="shared" si="25"/>
        <v>0</v>
      </c>
      <c r="S78" s="68">
        <f t="shared" si="25"/>
        <v>0</v>
      </c>
      <c r="T78" s="68">
        <f t="shared" si="25"/>
        <v>0</v>
      </c>
      <c r="U78" s="69">
        <f t="shared" si="25"/>
        <v>0</v>
      </c>
      <c r="V78" s="68">
        <f t="shared" si="25"/>
        <v>0</v>
      </c>
      <c r="W78" s="68">
        <f t="shared" si="25"/>
        <v>0</v>
      </c>
    </row>
    <row r="79" spans="1:23" ht="15.75" hidden="1" thickBot="1" x14ac:dyDescent="0.3"/>
    <row r="80" spans="1:23" ht="15" hidden="1" customHeight="1" x14ac:dyDescent="0.25">
      <c r="C80" s="62">
        <f>IF(E80&gt;0,1,0)</f>
        <v>0</v>
      </c>
      <c r="D80" s="936" t="str">
        <f>+A11</f>
        <v>Chautauqua</v>
      </c>
      <c r="E80" s="938">
        <f>SUMIF(A:A,D80,B:B)</f>
        <v>0</v>
      </c>
      <c r="F80" s="940" t="s">
        <v>103</v>
      </c>
      <c r="G80" s="941"/>
      <c r="H80" s="942"/>
      <c r="I80" s="940" t="s">
        <v>102</v>
      </c>
      <c r="J80" s="941"/>
      <c r="K80" s="942"/>
      <c r="L80" s="940" t="s">
        <v>101</v>
      </c>
      <c r="M80" s="941"/>
      <c r="N80" s="942"/>
      <c r="O80" s="940" t="s">
        <v>100</v>
      </c>
      <c r="P80" s="941"/>
      <c r="Q80" s="942"/>
      <c r="R80" s="940" t="s">
        <v>99</v>
      </c>
      <c r="S80" s="941"/>
      <c r="T80" s="942"/>
      <c r="U80" s="940" t="s">
        <v>98</v>
      </c>
      <c r="V80" s="941"/>
      <c r="W80" s="943"/>
    </row>
    <row r="81" spans="3:23" ht="30.75" hidden="1" thickBot="1" x14ac:dyDescent="0.3">
      <c r="C81" s="62">
        <f>IF(E80&gt;0,1,0)</f>
        <v>0</v>
      </c>
      <c r="D81" s="937"/>
      <c r="E81" s="939"/>
      <c r="F81" s="88" t="s">
        <v>97</v>
      </c>
      <c r="G81" s="88" t="s">
        <v>96</v>
      </c>
      <c r="H81" s="88" t="s">
        <v>95</v>
      </c>
      <c r="I81" s="88" t="s">
        <v>97</v>
      </c>
      <c r="J81" s="88" t="s">
        <v>96</v>
      </c>
      <c r="K81" s="88" t="s">
        <v>95</v>
      </c>
      <c r="L81" s="88" t="s">
        <v>97</v>
      </c>
      <c r="M81" s="88" t="s">
        <v>96</v>
      </c>
      <c r="N81" s="88" t="s">
        <v>95</v>
      </c>
      <c r="O81" s="88" t="s">
        <v>97</v>
      </c>
      <c r="P81" s="88" t="s">
        <v>96</v>
      </c>
      <c r="Q81" s="88" t="s">
        <v>95</v>
      </c>
      <c r="R81" s="88" t="s">
        <v>97</v>
      </c>
      <c r="S81" s="88" t="s">
        <v>96</v>
      </c>
      <c r="T81" s="88" t="s">
        <v>95</v>
      </c>
      <c r="U81" s="88" t="s">
        <v>97</v>
      </c>
      <c r="V81" s="88" t="s">
        <v>96</v>
      </c>
      <c r="W81" s="87" t="s">
        <v>95</v>
      </c>
    </row>
    <row r="82" spans="3:23" ht="15.75" hidden="1" thickBot="1" x14ac:dyDescent="0.3">
      <c r="C82" s="62">
        <f>C81</f>
        <v>0</v>
      </c>
      <c r="D82" s="86"/>
      <c r="E82" s="85"/>
      <c r="F82" s="84" t="s">
        <v>57</v>
      </c>
      <c r="G82" s="84" t="s">
        <v>56</v>
      </c>
      <c r="H82" s="84" t="s">
        <v>55</v>
      </c>
      <c r="I82" s="84" t="s">
        <v>54</v>
      </c>
      <c r="J82" s="84" t="s">
        <v>53</v>
      </c>
      <c r="K82" s="84" t="s">
        <v>52</v>
      </c>
      <c r="L82" s="84" t="s">
        <v>51</v>
      </c>
      <c r="M82" s="84" t="s">
        <v>50</v>
      </c>
      <c r="N82" s="84" t="s">
        <v>49</v>
      </c>
      <c r="O82" s="84" t="s">
        <v>47</v>
      </c>
      <c r="P82" s="84" t="s">
        <v>77</v>
      </c>
      <c r="Q82" s="84" t="s">
        <v>78</v>
      </c>
      <c r="R82" s="84" t="s">
        <v>79</v>
      </c>
      <c r="S82" s="84" t="s">
        <v>81</v>
      </c>
      <c r="T82" s="84" t="s">
        <v>83</v>
      </c>
      <c r="U82" s="84" t="s">
        <v>85</v>
      </c>
      <c r="V82" s="84" t="s">
        <v>87</v>
      </c>
      <c r="W82" s="83" t="s">
        <v>88</v>
      </c>
    </row>
    <row r="83" spans="3:23" ht="15.75" hidden="1" thickBot="1" x14ac:dyDescent="0.3">
      <c r="C83" s="62">
        <f t="shared" ref="C83:C88" si="26">C82</f>
        <v>0</v>
      </c>
      <c r="D83" s="82" t="s">
        <v>26</v>
      </c>
      <c r="E83" s="80"/>
      <c r="F83" s="79"/>
      <c r="G83" s="79"/>
      <c r="H83" s="79"/>
      <c r="I83" s="79"/>
      <c r="J83" s="79"/>
      <c r="K83" s="79"/>
      <c r="L83" s="79"/>
      <c r="M83" s="79"/>
      <c r="N83" s="79"/>
      <c r="O83" s="79"/>
      <c r="P83" s="79"/>
      <c r="Q83" s="79"/>
      <c r="R83" s="79"/>
      <c r="S83" s="79"/>
      <c r="T83" s="79"/>
      <c r="U83" s="79"/>
      <c r="V83" s="79"/>
      <c r="W83" s="78"/>
    </row>
    <row r="84" spans="3:23" ht="15.75" hidden="1" thickBot="1" x14ac:dyDescent="0.3">
      <c r="C84" s="62">
        <f t="shared" si="26"/>
        <v>0</v>
      </c>
      <c r="D84" s="81" t="s">
        <v>94</v>
      </c>
      <c r="E84" s="80"/>
      <c r="F84" s="79"/>
      <c r="G84" s="79"/>
      <c r="H84" s="79"/>
      <c r="I84" s="79"/>
      <c r="J84" s="79"/>
      <c r="K84" s="79"/>
      <c r="L84" s="79"/>
      <c r="M84" s="79"/>
      <c r="N84" s="79"/>
      <c r="O84" s="79"/>
      <c r="P84" s="79"/>
      <c r="Q84" s="79"/>
      <c r="R84" s="79"/>
      <c r="S84" s="79"/>
      <c r="T84" s="79"/>
      <c r="U84" s="79"/>
      <c r="V84" s="79"/>
      <c r="W84" s="78"/>
    </row>
    <row r="85" spans="3:23" ht="15.75" hidden="1" thickBot="1" x14ac:dyDescent="0.3">
      <c r="C85" s="62">
        <f t="shared" si="26"/>
        <v>0</v>
      </c>
      <c r="D85" s="268" t="s">
        <v>93</v>
      </c>
      <c r="E85" s="76" t="s">
        <v>57</v>
      </c>
      <c r="F85" s="75">
        <f t="shared" ref="F85:T87" si="27">+F8*$E$80</f>
        <v>0</v>
      </c>
      <c r="G85" s="74">
        <f t="shared" si="27"/>
        <v>0</v>
      </c>
      <c r="H85" s="74">
        <f t="shared" si="27"/>
        <v>0</v>
      </c>
      <c r="I85" s="75">
        <f t="shared" si="27"/>
        <v>0</v>
      </c>
      <c r="J85" s="74">
        <f t="shared" si="27"/>
        <v>0</v>
      </c>
      <c r="K85" s="74">
        <f t="shared" si="27"/>
        <v>0</v>
      </c>
      <c r="L85" s="75">
        <f t="shared" si="27"/>
        <v>0</v>
      </c>
      <c r="M85" s="74">
        <f t="shared" ca="1" si="27"/>
        <v>0</v>
      </c>
      <c r="N85" s="74">
        <f t="shared" ca="1" si="27"/>
        <v>0</v>
      </c>
      <c r="O85" s="75">
        <f t="shared" si="27"/>
        <v>0</v>
      </c>
      <c r="P85" s="74">
        <f t="shared" si="27"/>
        <v>0</v>
      </c>
      <c r="Q85" s="74">
        <f t="shared" si="27"/>
        <v>0</v>
      </c>
      <c r="R85" s="75">
        <f t="shared" si="27"/>
        <v>0</v>
      </c>
      <c r="S85" s="74">
        <f t="shared" si="27"/>
        <v>0</v>
      </c>
      <c r="T85" s="74">
        <f t="shared" si="27"/>
        <v>0</v>
      </c>
      <c r="U85" s="73">
        <f t="shared" ref="U85:W87" si="28">+R85+O85+L85+I85+F85</f>
        <v>0</v>
      </c>
      <c r="V85" s="72">
        <f t="shared" ca="1" si="28"/>
        <v>0</v>
      </c>
      <c r="W85" s="72">
        <f t="shared" ca="1" si="28"/>
        <v>0</v>
      </c>
    </row>
    <row r="86" spans="3:23" ht="15.75" hidden="1" thickBot="1" x14ac:dyDescent="0.3">
      <c r="C86" s="62">
        <f t="shared" si="26"/>
        <v>0</v>
      </c>
      <c r="D86" s="268" t="s">
        <v>92</v>
      </c>
      <c r="E86" s="76" t="s">
        <v>56</v>
      </c>
      <c r="F86" s="75">
        <f t="shared" si="27"/>
        <v>0</v>
      </c>
      <c r="G86" s="74">
        <f t="shared" si="27"/>
        <v>0</v>
      </c>
      <c r="H86" s="74">
        <f t="shared" si="27"/>
        <v>0</v>
      </c>
      <c r="I86" s="75">
        <f t="shared" si="27"/>
        <v>0</v>
      </c>
      <c r="J86" s="74">
        <f t="shared" si="27"/>
        <v>0</v>
      </c>
      <c r="K86" s="74">
        <f t="shared" si="27"/>
        <v>0</v>
      </c>
      <c r="L86" s="75">
        <f t="shared" si="27"/>
        <v>0</v>
      </c>
      <c r="M86" s="74">
        <f t="shared" si="27"/>
        <v>0</v>
      </c>
      <c r="N86" s="74">
        <f t="shared" si="27"/>
        <v>0</v>
      </c>
      <c r="O86" s="75">
        <f t="shared" si="27"/>
        <v>0</v>
      </c>
      <c r="P86" s="74">
        <f t="shared" si="27"/>
        <v>0</v>
      </c>
      <c r="Q86" s="74">
        <f t="shared" si="27"/>
        <v>0</v>
      </c>
      <c r="R86" s="75">
        <f t="shared" si="27"/>
        <v>0</v>
      </c>
      <c r="S86" s="74">
        <f t="shared" si="27"/>
        <v>0</v>
      </c>
      <c r="T86" s="74">
        <f t="shared" si="27"/>
        <v>0</v>
      </c>
      <c r="U86" s="73">
        <f t="shared" si="28"/>
        <v>0</v>
      </c>
      <c r="V86" s="72">
        <f t="shared" si="28"/>
        <v>0</v>
      </c>
      <c r="W86" s="72">
        <f t="shared" si="28"/>
        <v>0</v>
      </c>
    </row>
    <row r="87" spans="3:23" ht="15.75" hidden="1" thickBot="1" x14ac:dyDescent="0.3">
      <c r="C87" s="62">
        <f t="shared" si="26"/>
        <v>0</v>
      </c>
      <c r="D87" s="268" t="s">
        <v>91</v>
      </c>
      <c r="E87" s="76" t="s">
        <v>55</v>
      </c>
      <c r="F87" s="75">
        <f t="shared" si="27"/>
        <v>0</v>
      </c>
      <c r="G87" s="74">
        <f t="shared" si="27"/>
        <v>0</v>
      </c>
      <c r="H87" s="74">
        <f t="shared" si="27"/>
        <v>0</v>
      </c>
      <c r="I87" s="75">
        <f t="shared" si="27"/>
        <v>0</v>
      </c>
      <c r="J87" s="74">
        <f t="shared" si="27"/>
        <v>0</v>
      </c>
      <c r="K87" s="74">
        <f t="shared" si="27"/>
        <v>0</v>
      </c>
      <c r="L87" s="75">
        <f t="shared" si="27"/>
        <v>0</v>
      </c>
      <c r="M87" s="74">
        <f t="shared" ca="1" si="27"/>
        <v>0</v>
      </c>
      <c r="N87" s="74">
        <f t="shared" si="27"/>
        <v>0</v>
      </c>
      <c r="O87" s="75">
        <f t="shared" si="27"/>
        <v>0</v>
      </c>
      <c r="P87" s="74">
        <f t="shared" si="27"/>
        <v>0</v>
      </c>
      <c r="Q87" s="74">
        <f t="shared" si="27"/>
        <v>0</v>
      </c>
      <c r="R87" s="75">
        <f t="shared" si="27"/>
        <v>0</v>
      </c>
      <c r="S87" s="74">
        <f t="shared" si="27"/>
        <v>0</v>
      </c>
      <c r="T87" s="74">
        <f t="shared" si="27"/>
        <v>0</v>
      </c>
      <c r="U87" s="73">
        <f t="shared" si="28"/>
        <v>0</v>
      </c>
      <c r="V87" s="72">
        <f t="shared" ca="1" si="28"/>
        <v>0</v>
      </c>
      <c r="W87" s="72">
        <f t="shared" si="28"/>
        <v>0</v>
      </c>
    </row>
    <row r="88" spans="3:23" ht="15.75" hidden="1" thickBot="1" x14ac:dyDescent="0.3">
      <c r="C88" s="62">
        <f t="shared" si="26"/>
        <v>0</v>
      </c>
      <c r="D88" s="71" t="s">
        <v>48</v>
      </c>
      <c r="E88" s="70" t="s">
        <v>54</v>
      </c>
      <c r="F88" s="69">
        <f t="shared" ref="F88:W88" si="29">SUBTOTAL(9,F85:F87)</f>
        <v>0</v>
      </c>
      <c r="G88" s="68">
        <f t="shared" si="29"/>
        <v>0</v>
      </c>
      <c r="H88" s="68">
        <f t="shared" si="29"/>
        <v>0</v>
      </c>
      <c r="I88" s="69">
        <f t="shared" si="29"/>
        <v>0</v>
      </c>
      <c r="J88" s="68">
        <f t="shared" si="29"/>
        <v>0</v>
      </c>
      <c r="K88" s="68">
        <f t="shared" si="29"/>
        <v>0</v>
      </c>
      <c r="L88" s="69">
        <f t="shared" si="29"/>
        <v>0</v>
      </c>
      <c r="M88" s="68">
        <f t="shared" si="29"/>
        <v>0</v>
      </c>
      <c r="N88" s="68">
        <f t="shared" si="29"/>
        <v>0</v>
      </c>
      <c r="O88" s="69">
        <f t="shared" si="29"/>
        <v>0</v>
      </c>
      <c r="P88" s="68">
        <f t="shared" si="29"/>
        <v>0</v>
      </c>
      <c r="Q88" s="68">
        <f t="shared" si="29"/>
        <v>0</v>
      </c>
      <c r="R88" s="69">
        <f t="shared" si="29"/>
        <v>0</v>
      </c>
      <c r="S88" s="68">
        <f t="shared" si="29"/>
        <v>0</v>
      </c>
      <c r="T88" s="68">
        <f t="shared" si="29"/>
        <v>0</v>
      </c>
      <c r="U88" s="69">
        <f t="shared" si="29"/>
        <v>0</v>
      </c>
      <c r="V88" s="68">
        <f t="shared" si="29"/>
        <v>0</v>
      </c>
      <c r="W88" s="68">
        <f t="shared" si="29"/>
        <v>0</v>
      </c>
    </row>
    <row r="89" spans="3:23" ht="15.75" hidden="1" thickBot="1" x14ac:dyDescent="0.3"/>
    <row r="90" spans="3:23" ht="15" hidden="1" customHeight="1" x14ac:dyDescent="0.25">
      <c r="C90" s="62">
        <f>IF(E90&gt;0,1,0)</f>
        <v>0</v>
      </c>
      <c r="D90" s="936" t="str">
        <f>+A12</f>
        <v>Chemung</v>
      </c>
      <c r="E90" s="938">
        <f>SUMIF(A:A,D90,B:B)</f>
        <v>0</v>
      </c>
      <c r="F90" s="940" t="s">
        <v>103</v>
      </c>
      <c r="G90" s="941"/>
      <c r="H90" s="942"/>
      <c r="I90" s="940" t="s">
        <v>102</v>
      </c>
      <c r="J90" s="941"/>
      <c r="K90" s="942"/>
      <c r="L90" s="940" t="s">
        <v>101</v>
      </c>
      <c r="M90" s="941"/>
      <c r="N90" s="942"/>
      <c r="O90" s="940" t="s">
        <v>100</v>
      </c>
      <c r="P90" s="941"/>
      <c r="Q90" s="942"/>
      <c r="R90" s="940" t="s">
        <v>99</v>
      </c>
      <c r="S90" s="941"/>
      <c r="T90" s="942"/>
      <c r="U90" s="940" t="s">
        <v>98</v>
      </c>
      <c r="V90" s="941"/>
      <c r="W90" s="943"/>
    </row>
    <row r="91" spans="3:23" ht="30.75" hidden="1" thickBot="1" x14ac:dyDescent="0.3">
      <c r="C91" s="62">
        <f>IF(E90&gt;0,1,0)</f>
        <v>0</v>
      </c>
      <c r="D91" s="937"/>
      <c r="E91" s="939"/>
      <c r="F91" s="88" t="s">
        <v>97</v>
      </c>
      <c r="G91" s="88" t="s">
        <v>96</v>
      </c>
      <c r="H91" s="88" t="s">
        <v>95</v>
      </c>
      <c r="I91" s="88" t="s">
        <v>97</v>
      </c>
      <c r="J91" s="88" t="s">
        <v>96</v>
      </c>
      <c r="K91" s="88" t="s">
        <v>95</v>
      </c>
      <c r="L91" s="88" t="s">
        <v>97</v>
      </c>
      <c r="M91" s="88" t="s">
        <v>96</v>
      </c>
      <c r="N91" s="88" t="s">
        <v>95</v>
      </c>
      <c r="O91" s="88" t="s">
        <v>97</v>
      </c>
      <c r="P91" s="88" t="s">
        <v>96</v>
      </c>
      <c r="Q91" s="88" t="s">
        <v>95</v>
      </c>
      <c r="R91" s="88" t="s">
        <v>97</v>
      </c>
      <c r="S91" s="88" t="s">
        <v>96</v>
      </c>
      <c r="T91" s="88" t="s">
        <v>95</v>
      </c>
      <c r="U91" s="88" t="s">
        <v>97</v>
      </c>
      <c r="V91" s="88" t="s">
        <v>96</v>
      </c>
      <c r="W91" s="87" t="s">
        <v>95</v>
      </c>
    </row>
    <row r="92" spans="3:23" ht="15.75" hidden="1" thickBot="1" x14ac:dyDescent="0.3">
      <c r="C92" s="62">
        <f>C91</f>
        <v>0</v>
      </c>
      <c r="D92" s="86"/>
      <c r="E92" s="85"/>
      <c r="F92" s="84" t="s">
        <v>57</v>
      </c>
      <c r="G92" s="84" t="s">
        <v>56</v>
      </c>
      <c r="H92" s="84" t="s">
        <v>55</v>
      </c>
      <c r="I92" s="84" t="s">
        <v>54</v>
      </c>
      <c r="J92" s="84" t="s">
        <v>53</v>
      </c>
      <c r="K92" s="84" t="s">
        <v>52</v>
      </c>
      <c r="L92" s="84" t="s">
        <v>51</v>
      </c>
      <c r="M92" s="84" t="s">
        <v>50</v>
      </c>
      <c r="N92" s="84" t="s">
        <v>49</v>
      </c>
      <c r="O92" s="84" t="s">
        <v>47</v>
      </c>
      <c r="P92" s="84" t="s">
        <v>77</v>
      </c>
      <c r="Q92" s="84" t="s">
        <v>78</v>
      </c>
      <c r="R92" s="84" t="s">
        <v>79</v>
      </c>
      <c r="S92" s="84" t="s">
        <v>81</v>
      </c>
      <c r="T92" s="84" t="s">
        <v>83</v>
      </c>
      <c r="U92" s="84" t="s">
        <v>85</v>
      </c>
      <c r="V92" s="84" t="s">
        <v>87</v>
      </c>
      <c r="W92" s="83" t="s">
        <v>88</v>
      </c>
    </row>
    <row r="93" spans="3:23" ht="15.75" hidden="1" thickBot="1" x14ac:dyDescent="0.3">
      <c r="C93" s="62">
        <f t="shared" ref="C93:C98" si="30">C92</f>
        <v>0</v>
      </c>
      <c r="D93" s="82" t="s">
        <v>26</v>
      </c>
      <c r="E93" s="80"/>
      <c r="F93" s="79"/>
      <c r="G93" s="79"/>
      <c r="H93" s="79"/>
      <c r="I93" s="79"/>
      <c r="J93" s="79"/>
      <c r="K93" s="79"/>
      <c r="L93" s="79"/>
      <c r="M93" s="79"/>
      <c r="N93" s="79"/>
      <c r="O93" s="79"/>
      <c r="P93" s="79"/>
      <c r="Q93" s="79"/>
      <c r="R93" s="79"/>
      <c r="S93" s="79"/>
      <c r="T93" s="79"/>
      <c r="U93" s="79"/>
      <c r="V93" s="79"/>
      <c r="W93" s="78"/>
    </row>
    <row r="94" spans="3:23" ht="15.75" hidden="1" thickBot="1" x14ac:dyDescent="0.3">
      <c r="C94" s="62">
        <f t="shared" si="30"/>
        <v>0</v>
      </c>
      <c r="D94" s="81" t="s">
        <v>94</v>
      </c>
      <c r="E94" s="80"/>
      <c r="F94" s="79"/>
      <c r="G94" s="79"/>
      <c r="H94" s="79"/>
      <c r="I94" s="79"/>
      <c r="J94" s="79"/>
      <c r="K94" s="79"/>
      <c r="L94" s="79"/>
      <c r="M94" s="79"/>
      <c r="N94" s="79"/>
      <c r="O94" s="79"/>
      <c r="P94" s="79"/>
      <c r="Q94" s="79"/>
      <c r="R94" s="79"/>
      <c r="S94" s="79"/>
      <c r="T94" s="79"/>
      <c r="U94" s="79"/>
      <c r="V94" s="79"/>
      <c r="W94" s="78"/>
    </row>
    <row r="95" spans="3:23" ht="15.75" hidden="1" thickBot="1" x14ac:dyDescent="0.3">
      <c r="C95" s="62">
        <f t="shared" si="30"/>
        <v>0</v>
      </c>
      <c r="D95" s="268" t="s">
        <v>93</v>
      </c>
      <c r="E95" s="76" t="s">
        <v>57</v>
      </c>
      <c r="F95" s="75">
        <f t="shared" ref="F95:T97" si="31">+F8*$E$90</f>
        <v>0</v>
      </c>
      <c r="G95" s="74">
        <f t="shared" si="31"/>
        <v>0</v>
      </c>
      <c r="H95" s="74">
        <f t="shared" si="31"/>
        <v>0</v>
      </c>
      <c r="I95" s="75">
        <f t="shared" si="31"/>
        <v>0</v>
      </c>
      <c r="J95" s="74">
        <f t="shared" si="31"/>
        <v>0</v>
      </c>
      <c r="K95" s="74">
        <f t="shared" si="31"/>
        <v>0</v>
      </c>
      <c r="L95" s="75">
        <f t="shared" si="31"/>
        <v>0</v>
      </c>
      <c r="M95" s="74">
        <f t="shared" ca="1" si="31"/>
        <v>0</v>
      </c>
      <c r="N95" s="74">
        <f t="shared" ca="1" si="31"/>
        <v>0</v>
      </c>
      <c r="O95" s="75">
        <f t="shared" si="31"/>
        <v>0</v>
      </c>
      <c r="P95" s="74">
        <f t="shared" si="31"/>
        <v>0</v>
      </c>
      <c r="Q95" s="74">
        <f t="shared" si="31"/>
        <v>0</v>
      </c>
      <c r="R95" s="75">
        <f t="shared" si="31"/>
        <v>0</v>
      </c>
      <c r="S95" s="74">
        <f t="shared" si="31"/>
        <v>0</v>
      </c>
      <c r="T95" s="74">
        <f t="shared" si="31"/>
        <v>0</v>
      </c>
      <c r="U95" s="73">
        <f t="shared" ref="U95:W97" si="32">+R95+O95+L95+I95+F95</f>
        <v>0</v>
      </c>
      <c r="V95" s="72">
        <f t="shared" ca="1" si="32"/>
        <v>0</v>
      </c>
      <c r="W95" s="72">
        <f t="shared" ca="1" si="32"/>
        <v>0</v>
      </c>
    </row>
    <row r="96" spans="3:23" ht="15.75" hidden="1" thickBot="1" x14ac:dyDescent="0.3">
      <c r="C96" s="62">
        <f t="shared" si="30"/>
        <v>0</v>
      </c>
      <c r="D96" s="268" t="s">
        <v>92</v>
      </c>
      <c r="E96" s="76" t="s">
        <v>56</v>
      </c>
      <c r="F96" s="75">
        <f t="shared" si="31"/>
        <v>0</v>
      </c>
      <c r="G96" s="74">
        <f t="shared" si="31"/>
        <v>0</v>
      </c>
      <c r="H96" s="74">
        <f t="shared" si="31"/>
        <v>0</v>
      </c>
      <c r="I96" s="75">
        <f t="shared" si="31"/>
        <v>0</v>
      </c>
      <c r="J96" s="74">
        <f t="shared" si="31"/>
        <v>0</v>
      </c>
      <c r="K96" s="74">
        <f t="shared" si="31"/>
        <v>0</v>
      </c>
      <c r="L96" s="75">
        <f t="shared" si="31"/>
        <v>0</v>
      </c>
      <c r="M96" s="74">
        <f t="shared" si="31"/>
        <v>0</v>
      </c>
      <c r="N96" s="74">
        <f t="shared" si="31"/>
        <v>0</v>
      </c>
      <c r="O96" s="75">
        <f t="shared" si="31"/>
        <v>0</v>
      </c>
      <c r="P96" s="74">
        <f t="shared" si="31"/>
        <v>0</v>
      </c>
      <c r="Q96" s="74">
        <f t="shared" si="31"/>
        <v>0</v>
      </c>
      <c r="R96" s="75">
        <f t="shared" si="31"/>
        <v>0</v>
      </c>
      <c r="S96" s="74">
        <f t="shared" si="31"/>
        <v>0</v>
      </c>
      <c r="T96" s="74">
        <f t="shared" si="31"/>
        <v>0</v>
      </c>
      <c r="U96" s="73">
        <f t="shared" si="32"/>
        <v>0</v>
      </c>
      <c r="V96" s="72">
        <f t="shared" si="32"/>
        <v>0</v>
      </c>
      <c r="W96" s="72">
        <f t="shared" si="32"/>
        <v>0</v>
      </c>
    </row>
    <row r="97" spans="3:23" ht="15.75" hidden="1" thickBot="1" x14ac:dyDescent="0.3">
      <c r="C97" s="62">
        <f t="shared" si="30"/>
        <v>0</v>
      </c>
      <c r="D97" s="268" t="s">
        <v>91</v>
      </c>
      <c r="E97" s="76" t="s">
        <v>55</v>
      </c>
      <c r="F97" s="75">
        <f t="shared" si="31"/>
        <v>0</v>
      </c>
      <c r="G97" s="74">
        <f t="shared" si="31"/>
        <v>0</v>
      </c>
      <c r="H97" s="74">
        <f t="shared" si="31"/>
        <v>0</v>
      </c>
      <c r="I97" s="75">
        <f t="shared" si="31"/>
        <v>0</v>
      </c>
      <c r="J97" s="74">
        <f t="shared" si="31"/>
        <v>0</v>
      </c>
      <c r="K97" s="74">
        <f t="shared" si="31"/>
        <v>0</v>
      </c>
      <c r="L97" s="75">
        <f t="shared" si="31"/>
        <v>0</v>
      </c>
      <c r="M97" s="74">
        <f t="shared" ca="1" si="31"/>
        <v>0</v>
      </c>
      <c r="N97" s="74">
        <f t="shared" si="31"/>
        <v>0</v>
      </c>
      <c r="O97" s="75">
        <f t="shared" si="31"/>
        <v>0</v>
      </c>
      <c r="P97" s="74">
        <f t="shared" si="31"/>
        <v>0</v>
      </c>
      <c r="Q97" s="74">
        <f t="shared" si="31"/>
        <v>0</v>
      </c>
      <c r="R97" s="75">
        <f t="shared" si="31"/>
        <v>0</v>
      </c>
      <c r="S97" s="74">
        <f t="shared" si="31"/>
        <v>0</v>
      </c>
      <c r="T97" s="74">
        <f t="shared" si="31"/>
        <v>0</v>
      </c>
      <c r="U97" s="73">
        <f t="shared" si="32"/>
        <v>0</v>
      </c>
      <c r="V97" s="72">
        <f t="shared" ca="1" si="32"/>
        <v>0</v>
      </c>
      <c r="W97" s="72">
        <f t="shared" si="32"/>
        <v>0</v>
      </c>
    </row>
    <row r="98" spans="3:23" ht="15.75" hidden="1" thickBot="1" x14ac:dyDescent="0.3">
      <c r="C98" s="62">
        <f t="shared" si="30"/>
        <v>0</v>
      </c>
      <c r="D98" s="71" t="s">
        <v>48</v>
      </c>
      <c r="E98" s="70" t="s">
        <v>54</v>
      </c>
      <c r="F98" s="69">
        <f t="shared" ref="F98:W98" si="33">SUBTOTAL(9,F95:F97)</f>
        <v>0</v>
      </c>
      <c r="G98" s="68">
        <f t="shared" si="33"/>
        <v>0</v>
      </c>
      <c r="H98" s="68">
        <f t="shared" si="33"/>
        <v>0</v>
      </c>
      <c r="I98" s="69">
        <f t="shared" si="33"/>
        <v>0</v>
      </c>
      <c r="J98" s="68">
        <f t="shared" si="33"/>
        <v>0</v>
      </c>
      <c r="K98" s="68">
        <f t="shared" si="33"/>
        <v>0</v>
      </c>
      <c r="L98" s="69">
        <f t="shared" si="33"/>
        <v>0</v>
      </c>
      <c r="M98" s="68">
        <f t="shared" si="33"/>
        <v>0</v>
      </c>
      <c r="N98" s="68">
        <f t="shared" si="33"/>
        <v>0</v>
      </c>
      <c r="O98" s="69">
        <f t="shared" si="33"/>
        <v>0</v>
      </c>
      <c r="P98" s="68">
        <f t="shared" si="33"/>
        <v>0</v>
      </c>
      <c r="Q98" s="68">
        <f t="shared" si="33"/>
        <v>0</v>
      </c>
      <c r="R98" s="69">
        <f t="shared" si="33"/>
        <v>0</v>
      </c>
      <c r="S98" s="68">
        <f t="shared" si="33"/>
        <v>0</v>
      </c>
      <c r="T98" s="68">
        <f t="shared" si="33"/>
        <v>0</v>
      </c>
      <c r="U98" s="69">
        <f t="shared" si="33"/>
        <v>0</v>
      </c>
      <c r="V98" s="68">
        <f t="shared" si="33"/>
        <v>0</v>
      </c>
      <c r="W98" s="68">
        <f t="shared" si="33"/>
        <v>0</v>
      </c>
    </row>
    <row r="99" spans="3:23" ht="15.75" hidden="1" thickBot="1" x14ac:dyDescent="0.3"/>
    <row r="100" spans="3:23" ht="15" hidden="1" customHeight="1" x14ac:dyDescent="0.25">
      <c r="C100" s="62">
        <f>IF(E100&gt;0,1,0)</f>
        <v>0</v>
      </c>
      <c r="D100" s="936" t="str">
        <f>A13</f>
        <v>Chenango</v>
      </c>
      <c r="E100" s="938">
        <f>SUMIF(A:A,D100,B:B)</f>
        <v>0</v>
      </c>
      <c r="F100" s="940" t="s">
        <v>103</v>
      </c>
      <c r="G100" s="941"/>
      <c r="H100" s="942"/>
      <c r="I100" s="940" t="s">
        <v>102</v>
      </c>
      <c r="J100" s="941"/>
      <c r="K100" s="942"/>
      <c r="L100" s="940" t="s">
        <v>101</v>
      </c>
      <c r="M100" s="941"/>
      <c r="N100" s="942"/>
      <c r="O100" s="940" t="s">
        <v>100</v>
      </c>
      <c r="P100" s="941"/>
      <c r="Q100" s="942"/>
      <c r="R100" s="940" t="s">
        <v>99</v>
      </c>
      <c r="S100" s="941"/>
      <c r="T100" s="942"/>
      <c r="U100" s="940" t="s">
        <v>98</v>
      </c>
      <c r="V100" s="941"/>
      <c r="W100" s="943"/>
    </row>
    <row r="101" spans="3:23" ht="30.75" hidden="1" thickBot="1" x14ac:dyDescent="0.3">
      <c r="C101" s="62">
        <f>IF(E100&gt;0,1,0)</f>
        <v>0</v>
      </c>
      <c r="D101" s="937"/>
      <c r="E101" s="939"/>
      <c r="F101" s="88" t="s">
        <v>97</v>
      </c>
      <c r="G101" s="88" t="s">
        <v>96</v>
      </c>
      <c r="H101" s="88" t="s">
        <v>95</v>
      </c>
      <c r="I101" s="88" t="s">
        <v>97</v>
      </c>
      <c r="J101" s="88" t="s">
        <v>96</v>
      </c>
      <c r="K101" s="88" t="s">
        <v>95</v>
      </c>
      <c r="L101" s="88" t="s">
        <v>97</v>
      </c>
      <c r="M101" s="88" t="s">
        <v>96</v>
      </c>
      <c r="N101" s="88" t="s">
        <v>95</v>
      </c>
      <c r="O101" s="88" t="s">
        <v>97</v>
      </c>
      <c r="P101" s="88" t="s">
        <v>96</v>
      </c>
      <c r="Q101" s="88" t="s">
        <v>95</v>
      </c>
      <c r="R101" s="88" t="s">
        <v>97</v>
      </c>
      <c r="S101" s="88" t="s">
        <v>96</v>
      </c>
      <c r="T101" s="88" t="s">
        <v>95</v>
      </c>
      <c r="U101" s="88" t="s">
        <v>97</v>
      </c>
      <c r="V101" s="88" t="s">
        <v>96</v>
      </c>
      <c r="W101" s="87" t="s">
        <v>95</v>
      </c>
    </row>
    <row r="102" spans="3:23" ht="15.75" hidden="1" thickBot="1" x14ac:dyDescent="0.3">
      <c r="C102" s="62">
        <f>C101</f>
        <v>0</v>
      </c>
      <c r="D102" s="86"/>
      <c r="E102" s="85"/>
      <c r="F102" s="84" t="s">
        <v>57</v>
      </c>
      <c r="G102" s="84" t="s">
        <v>56</v>
      </c>
      <c r="H102" s="84" t="s">
        <v>55</v>
      </c>
      <c r="I102" s="84" t="s">
        <v>54</v>
      </c>
      <c r="J102" s="84" t="s">
        <v>53</v>
      </c>
      <c r="K102" s="84" t="s">
        <v>52</v>
      </c>
      <c r="L102" s="84" t="s">
        <v>51</v>
      </c>
      <c r="M102" s="84" t="s">
        <v>50</v>
      </c>
      <c r="N102" s="84" t="s">
        <v>49</v>
      </c>
      <c r="O102" s="84" t="s">
        <v>47</v>
      </c>
      <c r="P102" s="84" t="s">
        <v>77</v>
      </c>
      <c r="Q102" s="84" t="s">
        <v>78</v>
      </c>
      <c r="R102" s="84" t="s">
        <v>79</v>
      </c>
      <c r="S102" s="84" t="s">
        <v>81</v>
      </c>
      <c r="T102" s="84" t="s">
        <v>83</v>
      </c>
      <c r="U102" s="84" t="s">
        <v>85</v>
      </c>
      <c r="V102" s="84" t="s">
        <v>87</v>
      </c>
      <c r="W102" s="83" t="s">
        <v>88</v>
      </c>
    </row>
    <row r="103" spans="3:23" ht="15.75" hidden="1" thickBot="1" x14ac:dyDescent="0.3">
      <c r="C103" s="62">
        <f t="shared" ref="C103:C108" si="34">C102</f>
        <v>0</v>
      </c>
      <c r="D103" s="82" t="s">
        <v>26</v>
      </c>
      <c r="E103" s="80"/>
      <c r="F103" s="79"/>
      <c r="G103" s="79"/>
      <c r="H103" s="79"/>
      <c r="I103" s="79"/>
      <c r="J103" s="79"/>
      <c r="K103" s="79"/>
      <c r="L103" s="79"/>
      <c r="M103" s="79"/>
      <c r="N103" s="79"/>
      <c r="O103" s="79"/>
      <c r="P103" s="79"/>
      <c r="Q103" s="79"/>
      <c r="R103" s="79"/>
      <c r="S103" s="79"/>
      <c r="T103" s="79"/>
      <c r="U103" s="79"/>
      <c r="V103" s="79"/>
      <c r="W103" s="78"/>
    </row>
    <row r="104" spans="3:23" ht="15.75" hidden="1" thickBot="1" x14ac:dyDescent="0.3">
      <c r="C104" s="62">
        <f t="shared" si="34"/>
        <v>0</v>
      </c>
      <c r="D104" s="81" t="s">
        <v>94</v>
      </c>
      <c r="E104" s="80"/>
      <c r="F104" s="79"/>
      <c r="G104" s="79"/>
      <c r="H104" s="79"/>
      <c r="I104" s="79"/>
      <c r="J104" s="79"/>
      <c r="K104" s="79"/>
      <c r="L104" s="79"/>
      <c r="M104" s="79"/>
      <c r="N104" s="79"/>
      <c r="O104" s="79"/>
      <c r="P104" s="79"/>
      <c r="Q104" s="79"/>
      <c r="R104" s="79"/>
      <c r="S104" s="79"/>
      <c r="T104" s="79"/>
      <c r="U104" s="79"/>
      <c r="V104" s="79"/>
      <c r="W104" s="78"/>
    </row>
    <row r="105" spans="3:23" ht="15.75" hidden="1" thickBot="1" x14ac:dyDescent="0.3">
      <c r="C105" s="62">
        <f t="shared" si="34"/>
        <v>0</v>
      </c>
      <c r="D105" s="268" t="s">
        <v>93</v>
      </c>
      <c r="E105" s="76" t="s">
        <v>57</v>
      </c>
      <c r="F105" s="75">
        <f t="shared" ref="F105:T107" si="35">+F8*$E$100</f>
        <v>0</v>
      </c>
      <c r="G105" s="74">
        <f t="shared" si="35"/>
        <v>0</v>
      </c>
      <c r="H105" s="74">
        <f t="shared" si="35"/>
        <v>0</v>
      </c>
      <c r="I105" s="75">
        <f t="shared" si="35"/>
        <v>0</v>
      </c>
      <c r="J105" s="74">
        <f t="shared" si="35"/>
        <v>0</v>
      </c>
      <c r="K105" s="74">
        <f t="shared" si="35"/>
        <v>0</v>
      </c>
      <c r="L105" s="75">
        <f t="shared" si="35"/>
        <v>0</v>
      </c>
      <c r="M105" s="74">
        <f t="shared" ca="1" si="35"/>
        <v>0</v>
      </c>
      <c r="N105" s="74">
        <f t="shared" ca="1" si="35"/>
        <v>0</v>
      </c>
      <c r="O105" s="75">
        <f t="shared" si="35"/>
        <v>0</v>
      </c>
      <c r="P105" s="74">
        <f t="shared" si="35"/>
        <v>0</v>
      </c>
      <c r="Q105" s="74">
        <f t="shared" si="35"/>
        <v>0</v>
      </c>
      <c r="R105" s="75">
        <f t="shared" si="35"/>
        <v>0</v>
      </c>
      <c r="S105" s="74">
        <f t="shared" si="35"/>
        <v>0</v>
      </c>
      <c r="T105" s="74">
        <f t="shared" si="35"/>
        <v>0</v>
      </c>
      <c r="U105" s="73">
        <f t="shared" ref="U105:W107" si="36">+R105+O105+L105+I105+F105</f>
        <v>0</v>
      </c>
      <c r="V105" s="72">
        <f t="shared" ca="1" si="36"/>
        <v>0</v>
      </c>
      <c r="W105" s="72">
        <f t="shared" ca="1" si="36"/>
        <v>0</v>
      </c>
    </row>
    <row r="106" spans="3:23" ht="15.75" hidden="1" thickBot="1" x14ac:dyDescent="0.3">
      <c r="C106" s="62">
        <f t="shared" si="34"/>
        <v>0</v>
      </c>
      <c r="D106" s="268" t="s">
        <v>92</v>
      </c>
      <c r="E106" s="76" t="s">
        <v>56</v>
      </c>
      <c r="F106" s="75">
        <f t="shared" si="35"/>
        <v>0</v>
      </c>
      <c r="G106" s="74">
        <f t="shared" si="35"/>
        <v>0</v>
      </c>
      <c r="H106" s="74">
        <f t="shared" si="35"/>
        <v>0</v>
      </c>
      <c r="I106" s="75">
        <f t="shared" si="35"/>
        <v>0</v>
      </c>
      <c r="J106" s="74">
        <f t="shared" si="35"/>
        <v>0</v>
      </c>
      <c r="K106" s="74">
        <f t="shared" si="35"/>
        <v>0</v>
      </c>
      <c r="L106" s="75">
        <f t="shared" si="35"/>
        <v>0</v>
      </c>
      <c r="M106" s="74">
        <f t="shared" si="35"/>
        <v>0</v>
      </c>
      <c r="N106" s="74">
        <f t="shared" si="35"/>
        <v>0</v>
      </c>
      <c r="O106" s="75">
        <f t="shared" si="35"/>
        <v>0</v>
      </c>
      <c r="P106" s="74">
        <f t="shared" si="35"/>
        <v>0</v>
      </c>
      <c r="Q106" s="74">
        <f t="shared" si="35"/>
        <v>0</v>
      </c>
      <c r="R106" s="75">
        <f t="shared" si="35"/>
        <v>0</v>
      </c>
      <c r="S106" s="74">
        <f t="shared" si="35"/>
        <v>0</v>
      </c>
      <c r="T106" s="74">
        <f t="shared" si="35"/>
        <v>0</v>
      </c>
      <c r="U106" s="73">
        <f t="shared" si="36"/>
        <v>0</v>
      </c>
      <c r="V106" s="72">
        <f t="shared" si="36"/>
        <v>0</v>
      </c>
      <c r="W106" s="72">
        <f t="shared" si="36"/>
        <v>0</v>
      </c>
    </row>
    <row r="107" spans="3:23" ht="15.75" hidden="1" thickBot="1" x14ac:dyDescent="0.3">
      <c r="C107" s="62">
        <f t="shared" si="34"/>
        <v>0</v>
      </c>
      <c r="D107" s="268" t="s">
        <v>91</v>
      </c>
      <c r="E107" s="76" t="s">
        <v>55</v>
      </c>
      <c r="F107" s="75">
        <f t="shared" si="35"/>
        <v>0</v>
      </c>
      <c r="G107" s="74">
        <f t="shared" si="35"/>
        <v>0</v>
      </c>
      <c r="H107" s="74">
        <f t="shared" si="35"/>
        <v>0</v>
      </c>
      <c r="I107" s="75">
        <f t="shared" si="35"/>
        <v>0</v>
      </c>
      <c r="J107" s="74">
        <f t="shared" si="35"/>
        <v>0</v>
      </c>
      <c r="K107" s="74">
        <f t="shared" si="35"/>
        <v>0</v>
      </c>
      <c r="L107" s="75">
        <f t="shared" si="35"/>
        <v>0</v>
      </c>
      <c r="M107" s="74">
        <f t="shared" ca="1" si="35"/>
        <v>0</v>
      </c>
      <c r="N107" s="74">
        <f t="shared" si="35"/>
        <v>0</v>
      </c>
      <c r="O107" s="75">
        <f t="shared" si="35"/>
        <v>0</v>
      </c>
      <c r="P107" s="74">
        <f t="shared" si="35"/>
        <v>0</v>
      </c>
      <c r="Q107" s="74">
        <f t="shared" si="35"/>
        <v>0</v>
      </c>
      <c r="R107" s="75">
        <f t="shared" si="35"/>
        <v>0</v>
      </c>
      <c r="S107" s="74">
        <f t="shared" si="35"/>
        <v>0</v>
      </c>
      <c r="T107" s="74">
        <f t="shared" si="35"/>
        <v>0</v>
      </c>
      <c r="U107" s="73">
        <f t="shared" si="36"/>
        <v>0</v>
      </c>
      <c r="V107" s="72">
        <f t="shared" ca="1" si="36"/>
        <v>0</v>
      </c>
      <c r="W107" s="72">
        <f t="shared" si="36"/>
        <v>0</v>
      </c>
    </row>
    <row r="108" spans="3:23" ht="15.75" hidden="1" thickBot="1" x14ac:dyDescent="0.3">
      <c r="C108" s="62">
        <f t="shared" si="34"/>
        <v>0</v>
      </c>
      <c r="D108" s="71" t="s">
        <v>48</v>
      </c>
      <c r="E108" s="70" t="s">
        <v>54</v>
      </c>
      <c r="F108" s="69">
        <f t="shared" ref="F108:W108" si="37">SUBTOTAL(9,F105:F107)</f>
        <v>0</v>
      </c>
      <c r="G108" s="68">
        <f t="shared" si="37"/>
        <v>0</v>
      </c>
      <c r="H108" s="68">
        <f t="shared" si="37"/>
        <v>0</v>
      </c>
      <c r="I108" s="69">
        <f t="shared" si="37"/>
        <v>0</v>
      </c>
      <c r="J108" s="68">
        <f t="shared" si="37"/>
        <v>0</v>
      </c>
      <c r="K108" s="68">
        <f t="shared" si="37"/>
        <v>0</v>
      </c>
      <c r="L108" s="69">
        <f t="shared" si="37"/>
        <v>0</v>
      </c>
      <c r="M108" s="68">
        <f t="shared" si="37"/>
        <v>0</v>
      </c>
      <c r="N108" s="68">
        <f t="shared" si="37"/>
        <v>0</v>
      </c>
      <c r="O108" s="69">
        <f t="shared" si="37"/>
        <v>0</v>
      </c>
      <c r="P108" s="68">
        <f t="shared" si="37"/>
        <v>0</v>
      </c>
      <c r="Q108" s="68">
        <f t="shared" si="37"/>
        <v>0</v>
      </c>
      <c r="R108" s="69">
        <f t="shared" si="37"/>
        <v>0</v>
      </c>
      <c r="S108" s="68">
        <f t="shared" si="37"/>
        <v>0</v>
      </c>
      <c r="T108" s="68">
        <f t="shared" si="37"/>
        <v>0</v>
      </c>
      <c r="U108" s="69">
        <f t="shared" si="37"/>
        <v>0</v>
      </c>
      <c r="V108" s="68">
        <f t="shared" si="37"/>
        <v>0</v>
      </c>
      <c r="W108" s="68">
        <f t="shared" si="37"/>
        <v>0</v>
      </c>
    </row>
    <row r="109" spans="3:23" ht="15.75" hidden="1" thickBot="1" x14ac:dyDescent="0.3"/>
    <row r="110" spans="3:23" ht="15" hidden="1" customHeight="1" x14ac:dyDescent="0.25">
      <c r="C110" s="62">
        <f>IF(E110&gt;0,1,0)</f>
        <v>0</v>
      </c>
      <c r="D110" s="936" t="str">
        <f>A14</f>
        <v>Clinton</v>
      </c>
      <c r="E110" s="938">
        <f>SUMIF(A:A,D110,B:B)</f>
        <v>0</v>
      </c>
      <c r="F110" s="940" t="s">
        <v>103</v>
      </c>
      <c r="G110" s="941"/>
      <c r="H110" s="942"/>
      <c r="I110" s="940" t="s">
        <v>102</v>
      </c>
      <c r="J110" s="941"/>
      <c r="K110" s="942"/>
      <c r="L110" s="940" t="s">
        <v>101</v>
      </c>
      <c r="M110" s="941"/>
      <c r="N110" s="942"/>
      <c r="O110" s="940" t="s">
        <v>100</v>
      </c>
      <c r="P110" s="941"/>
      <c r="Q110" s="942"/>
      <c r="R110" s="940" t="s">
        <v>99</v>
      </c>
      <c r="S110" s="941"/>
      <c r="T110" s="942"/>
      <c r="U110" s="940" t="s">
        <v>98</v>
      </c>
      <c r="V110" s="941"/>
      <c r="W110" s="943"/>
    </row>
    <row r="111" spans="3:23" ht="30.75" hidden="1" thickBot="1" x14ac:dyDescent="0.3">
      <c r="C111" s="62">
        <f>IF(E110&gt;0,1,0)</f>
        <v>0</v>
      </c>
      <c r="D111" s="937"/>
      <c r="E111" s="939"/>
      <c r="F111" s="88" t="s">
        <v>97</v>
      </c>
      <c r="G111" s="88" t="s">
        <v>96</v>
      </c>
      <c r="H111" s="88" t="s">
        <v>95</v>
      </c>
      <c r="I111" s="88" t="s">
        <v>97</v>
      </c>
      <c r="J111" s="88" t="s">
        <v>96</v>
      </c>
      <c r="K111" s="88" t="s">
        <v>95</v>
      </c>
      <c r="L111" s="88" t="s">
        <v>97</v>
      </c>
      <c r="M111" s="88" t="s">
        <v>96</v>
      </c>
      <c r="N111" s="88" t="s">
        <v>95</v>
      </c>
      <c r="O111" s="88" t="s">
        <v>97</v>
      </c>
      <c r="P111" s="88" t="s">
        <v>96</v>
      </c>
      <c r="Q111" s="88" t="s">
        <v>95</v>
      </c>
      <c r="R111" s="88" t="s">
        <v>97</v>
      </c>
      <c r="S111" s="88" t="s">
        <v>96</v>
      </c>
      <c r="T111" s="88" t="s">
        <v>95</v>
      </c>
      <c r="U111" s="88" t="s">
        <v>97</v>
      </c>
      <c r="V111" s="88" t="s">
        <v>96</v>
      </c>
      <c r="W111" s="87" t="s">
        <v>95</v>
      </c>
    </row>
    <row r="112" spans="3:23" ht="15.75" hidden="1" thickBot="1" x14ac:dyDescent="0.3">
      <c r="C112" s="62">
        <f>C111</f>
        <v>0</v>
      </c>
      <c r="D112" s="86"/>
      <c r="E112" s="85"/>
      <c r="F112" s="84" t="s">
        <v>57</v>
      </c>
      <c r="G112" s="84" t="s">
        <v>56</v>
      </c>
      <c r="H112" s="84" t="s">
        <v>55</v>
      </c>
      <c r="I112" s="84" t="s">
        <v>54</v>
      </c>
      <c r="J112" s="84" t="s">
        <v>53</v>
      </c>
      <c r="K112" s="84" t="s">
        <v>52</v>
      </c>
      <c r="L112" s="84" t="s">
        <v>51</v>
      </c>
      <c r="M112" s="84" t="s">
        <v>50</v>
      </c>
      <c r="N112" s="84" t="s">
        <v>49</v>
      </c>
      <c r="O112" s="84" t="s">
        <v>47</v>
      </c>
      <c r="P112" s="84" t="s">
        <v>77</v>
      </c>
      <c r="Q112" s="84" t="s">
        <v>78</v>
      </c>
      <c r="R112" s="84" t="s">
        <v>79</v>
      </c>
      <c r="S112" s="84" t="s">
        <v>81</v>
      </c>
      <c r="T112" s="84" t="s">
        <v>83</v>
      </c>
      <c r="U112" s="84" t="s">
        <v>85</v>
      </c>
      <c r="V112" s="84" t="s">
        <v>87</v>
      </c>
      <c r="W112" s="83" t="s">
        <v>88</v>
      </c>
    </row>
    <row r="113" spans="3:23" ht="15.75" hidden="1" thickBot="1" x14ac:dyDescent="0.3">
      <c r="C113" s="62">
        <f t="shared" ref="C113:C118" si="38">C112</f>
        <v>0</v>
      </c>
      <c r="D113" s="82" t="s">
        <v>26</v>
      </c>
      <c r="E113" s="80"/>
      <c r="F113" s="79"/>
      <c r="G113" s="79"/>
      <c r="H113" s="79"/>
      <c r="I113" s="79"/>
      <c r="J113" s="79"/>
      <c r="K113" s="79"/>
      <c r="L113" s="79"/>
      <c r="M113" s="79"/>
      <c r="N113" s="79"/>
      <c r="O113" s="79"/>
      <c r="P113" s="79"/>
      <c r="Q113" s="79"/>
      <c r="R113" s="79"/>
      <c r="S113" s="79"/>
      <c r="T113" s="79"/>
      <c r="U113" s="79"/>
      <c r="V113" s="79"/>
      <c r="W113" s="78"/>
    </row>
    <row r="114" spans="3:23" ht="15.75" hidden="1" thickBot="1" x14ac:dyDescent="0.3">
      <c r="C114" s="62">
        <f t="shared" si="38"/>
        <v>0</v>
      </c>
      <c r="D114" s="81" t="s">
        <v>94</v>
      </c>
      <c r="E114" s="80"/>
      <c r="F114" s="79"/>
      <c r="G114" s="79"/>
      <c r="H114" s="79"/>
      <c r="I114" s="79"/>
      <c r="J114" s="79"/>
      <c r="K114" s="79"/>
      <c r="L114" s="79"/>
      <c r="M114" s="79"/>
      <c r="N114" s="79"/>
      <c r="O114" s="79"/>
      <c r="P114" s="79"/>
      <c r="Q114" s="79"/>
      <c r="R114" s="79"/>
      <c r="S114" s="79"/>
      <c r="T114" s="79"/>
      <c r="U114" s="79"/>
      <c r="V114" s="79"/>
      <c r="W114" s="78"/>
    </row>
    <row r="115" spans="3:23" ht="15.75" hidden="1" thickBot="1" x14ac:dyDescent="0.3">
      <c r="C115" s="62">
        <f t="shared" si="38"/>
        <v>0</v>
      </c>
      <c r="D115" s="268" t="s">
        <v>93</v>
      </c>
      <c r="E115" s="76" t="s">
        <v>57</v>
      </c>
      <c r="F115" s="75">
        <f t="shared" ref="F115:T117" si="39">+F8*$E$110</f>
        <v>0</v>
      </c>
      <c r="G115" s="74">
        <f t="shared" si="39"/>
        <v>0</v>
      </c>
      <c r="H115" s="74">
        <f t="shared" si="39"/>
        <v>0</v>
      </c>
      <c r="I115" s="75">
        <f t="shared" si="39"/>
        <v>0</v>
      </c>
      <c r="J115" s="74">
        <f t="shared" si="39"/>
        <v>0</v>
      </c>
      <c r="K115" s="74">
        <f t="shared" si="39"/>
        <v>0</v>
      </c>
      <c r="L115" s="75">
        <f t="shared" si="39"/>
        <v>0</v>
      </c>
      <c r="M115" s="74">
        <f t="shared" ca="1" si="39"/>
        <v>0</v>
      </c>
      <c r="N115" s="74">
        <f t="shared" ca="1" si="39"/>
        <v>0</v>
      </c>
      <c r="O115" s="75">
        <f t="shared" si="39"/>
        <v>0</v>
      </c>
      <c r="P115" s="74">
        <f t="shared" si="39"/>
        <v>0</v>
      </c>
      <c r="Q115" s="74">
        <f t="shared" si="39"/>
        <v>0</v>
      </c>
      <c r="R115" s="75">
        <f t="shared" si="39"/>
        <v>0</v>
      </c>
      <c r="S115" s="74">
        <f t="shared" si="39"/>
        <v>0</v>
      </c>
      <c r="T115" s="74">
        <f t="shared" si="39"/>
        <v>0</v>
      </c>
      <c r="U115" s="73">
        <f t="shared" ref="U115:W117" si="40">+R115+O115+L115+I115+F115</f>
        <v>0</v>
      </c>
      <c r="V115" s="72">
        <f t="shared" ca="1" si="40"/>
        <v>0</v>
      </c>
      <c r="W115" s="72">
        <f t="shared" ca="1" si="40"/>
        <v>0</v>
      </c>
    </row>
    <row r="116" spans="3:23" ht="15.75" hidden="1" thickBot="1" x14ac:dyDescent="0.3">
      <c r="C116" s="62">
        <f t="shared" si="38"/>
        <v>0</v>
      </c>
      <c r="D116" s="268" t="s">
        <v>92</v>
      </c>
      <c r="E116" s="76" t="s">
        <v>56</v>
      </c>
      <c r="F116" s="75">
        <f t="shared" si="39"/>
        <v>0</v>
      </c>
      <c r="G116" s="74">
        <f t="shared" si="39"/>
        <v>0</v>
      </c>
      <c r="H116" s="74">
        <f t="shared" si="39"/>
        <v>0</v>
      </c>
      <c r="I116" s="75">
        <f t="shared" si="39"/>
        <v>0</v>
      </c>
      <c r="J116" s="74">
        <f t="shared" si="39"/>
        <v>0</v>
      </c>
      <c r="K116" s="74">
        <f t="shared" si="39"/>
        <v>0</v>
      </c>
      <c r="L116" s="75">
        <f t="shared" si="39"/>
        <v>0</v>
      </c>
      <c r="M116" s="74">
        <f t="shared" si="39"/>
        <v>0</v>
      </c>
      <c r="N116" s="74">
        <f t="shared" si="39"/>
        <v>0</v>
      </c>
      <c r="O116" s="75">
        <f t="shared" si="39"/>
        <v>0</v>
      </c>
      <c r="P116" s="74">
        <f t="shared" si="39"/>
        <v>0</v>
      </c>
      <c r="Q116" s="74">
        <f t="shared" si="39"/>
        <v>0</v>
      </c>
      <c r="R116" s="75">
        <f t="shared" si="39"/>
        <v>0</v>
      </c>
      <c r="S116" s="74">
        <f t="shared" si="39"/>
        <v>0</v>
      </c>
      <c r="T116" s="74">
        <f t="shared" si="39"/>
        <v>0</v>
      </c>
      <c r="U116" s="73">
        <f t="shared" si="40"/>
        <v>0</v>
      </c>
      <c r="V116" s="72">
        <f t="shared" si="40"/>
        <v>0</v>
      </c>
      <c r="W116" s="72">
        <f t="shared" si="40"/>
        <v>0</v>
      </c>
    </row>
    <row r="117" spans="3:23" ht="15.75" hidden="1" thickBot="1" x14ac:dyDescent="0.3">
      <c r="C117" s="62">
        <f t="shared" si="38"/>
        <v>0</v>
      </c>
      <c r="D117" s="268" t="s">
        <v>91</v>
      </c>
      <c r="E117" s="76" t="s">
        <v>55</v>
      </c>
      <c r="F117" s="75">
        <f t="shared" si="39"/>
        <v>0</v>
      </c>
      <c r="G117" s="74">
        <f t="shared" si="39"/>
        <v>0</v>
      </c>
      <c r="H117" s="74">
        <f t="shared" si="39"/>
        <v>0</v>
      </c>
      <c r="I117" s="75">
        <f t="shared" si="39"/>
        <v>0</v>
      </c>
      <c r="J117" s="74">
        <f t="shared" si="39"/>
        <v>0</v>
      </c>
      <c r="K117" s="74">
        <f t="shared" si="39"/>
        <v>0</v>
      </c>
      <c r="L117" s="75">
        <f t="shared" si="39"/>
        <v>0</v>
      </c>
      <c r="M117" s="74">
        <f t="shared" ca="1" si="39"/>
        <v>0</v>
      </c>
      <c r="N117" s="74">
        <f t="shared" si="39"/>
        <v>0</v>
      </c>
      <c r="O117" s="75">
        <f t="shared" si="39"/>
        <v>0</v>
      </c>
      <c r="P117" s="74">
        <f t="shared" si="39"/>
        <v>0</v>
      </c>
      <c r="Q117" s="74">
        <f t="shared" si="39"/>
        <v>0</v>
      </c>
      <c r="R117" s="75">
        <f t="shared" si="39"/>
        <v>0</v>
      </c>
      <c r="S117" s="74">
        <f t="shared" si="39"/>
        <v>0</v>
      </c>
      <c r="T117" s="74">
        <f t="shared" si="39"/>
        <v>0</v>
      </c>
      <c r="U117" s="73">
        <f t="shared" si="40"/>
        <v>0</v>
      </c>
      <c r="V117" s="72">
        <f t="shared" ca="1" si="40"/>
        <v>0</v>
      </c>
      <c r="W117" s="72">
        <f t="shared" si="40"/>
        <v>0</v>
      </c>
    </row>
    <row r="118" spans="3:23" ht="15.75" hidden="1" thickBot="1" x14ac:dyDescent="0.3">
      <c r="C118" s="62">
        <f t="shared" si="38"/>
        <v>0</v>
      </c>
      <c r="D118" s="71" t="s">
        <v>48</v>
      </c>
      <c r="E118" s="70" t="s">
        <v>54</v>
      </c>
      <c r="F118" s="69">
        <f t="shared" ref="F118:W118" si="41">SUBTOTAL(9,F115:F117)</f>
        <v>0</v>
      </c>
      <c r="G118" s="68">
        <f t="shared" si="41"/>
        <v>0</v>
      </c>
      <c r="H118" s="68">
        <f t="shared" si="41"/>
        <v>0</v>
      </c>
      <c r="I118" s="69">
        <f t="shared" si="41"/>
        <v>0</v>
      </c>
      <c r="J118" s="68">
        <f t="shared" si="41"/>
        <v>0</v>
      </c>
      <c r="K118" s="68">
        <f t="shared" si="41"/>
        <v>0</v>
      </c>
      <c r="L118" s="69">
        <f t="shared" si="41"/>
        <v>0</v>
      </c>
      <c r="M118" s="68">
        <f t="shared" si="41"/>
        <v>0</v>
      </c>
      <c r="N118" s="68">
        <f t="shared" si="41"/>
        <v>0</v>
      </c>
      <c r="O118" s="69">
        <f t="shared" si="41"/>
        <v>0</v>
      </c>
      <c r="P118" s="68">
        <f t="shared" si="41"/>
        <v>0</v>
      </c>
      <c r="Q118" s="68">
        <f t="shared" si="41"/>
        <v>0</v>
      </c>
      <c r="R118" s="69">
        <f t="shared" si="41"/>
        <v>0</v>
      </c>
      <c r="S118" s="68">
        <f t="shared" si="41"/>
        <v>0</v>
      </c>
      <c r="T118" s="68">
        <f t="shared" si="41"/>
        <v>0</v>
      </c>
      <c r="U118" s="69">
        <f t="shared" si="41"/>
        <v>0</v>
      </c>
      <c r="V118" s="68">
        <f t="shared" si="41"/>
        <v>0</v>
      </c>
      <c r="W118" s="68">
        <f t="shared" si="41"/>
        <v>0</v>
      </c>
    </row>
    <row r="119" spans="3:23" ht="15.75" hidden="1" thickBot="1" x14ac:dyDescent="0.3"/>
    <row r="120" spans="3:23" ht="15" customHeight="1" x14ac:dyDescent="0.25">
      <c r="C120" s="62">
        <f>IF(E120&gt;0,1,0)</f>
        <v>1</v>
      </c>
      <c r="D120" s="936" t="str">
        <f>A15</f>
        <v>Columbia</v>
      </c>
      <c r="E120" s="938">
        <f>SUMIF(A:A,D120,B:B)</f>
        <v>1.1018389345949667E-4</v>
      </c>
      <c r="F120" s="940" t="s">
        <v>103</v>
      </c>
      <c r="G120" s="941"/>
      <c r="H120" s="942"/>
      <c r="I120" s="940" t="s">
        <v>102</v>
      </c>
      <c r="J120" s="941"/>
      <c r="K120" s="942"/>
      <c r="L120" s="940" t="s">
        <v>101</v>
      </c>
      <c r="M120" s="941"/>
      <c r="N120" s="942"/>
      <c r="O120" s="940" t="s">
        <v>100</v>
      </c>
      <c r="P120" s="941"/>
      <c r="Q120" s="942"/>
      <c r="R120" s="940" t="s">
        <v>99</v>
      </c>
      <c r="S120" s="941"/>
      <c r="T120" s="942"/>
      <c r="U120" s="940" t="s">
        <v>98</v>
      </c>
      <c r="V120" s="941"/>
      <c r="W120" s="943"/>
    </row>
    <row r="121" spans="3:23" ht="30" x14ac:dyDescent="0.25">
      <c r="C121" s="62">
        <f>IF(E120&gt;0,1,0)</f>
        <v>1</v>
      </c>
      <c r="D121" s="937"/>
      <c r="E121" s="939"/>
      <c r="F121" s="88" t="s">
        <v>97</v>
      </c>
      <c r="G121" s="88" t="s">
        <v>96</v>
      </c>
      <c r="H121" s="88" t="s">
        <v>95</v>
      </c>
      <c r="I121" s="88" t="s">
        <v>97</v>
      </c>
      <c r="J121" s="88" t="s">
        <v>96</v>
      </c>
      <c r="K121" s="88" t="s">
        <v>95</v>
      </c>
      <c r="L121" s="88" t="s">
        <v>97</v>
      </c>
      <c r="M121" s="88" t="s">
        <v>96</v>
      </c>
      <c r="N121" s="88" t="s">
        <v>95</v>
      </c>
      <c r="O121" s="88" t="s">
        <v>97</v>
      </c>
      <c r="P121" s="88" t="s">
        <v>96</v>
      </c>
      <c r="Q121" s="88" t="s">
        <v>95</v>
      </c>
      <c r="R121" s="88" t="s">
        <v>97</v>
      </c>
      <c r="S121" s="88" t="s">
        <v>96</v>
      </c>
      <c r="T121" s="88" t="s">
        <v>95</v>
      </c>
      <c r="U121" s="88" t="s">
        <v>97</v>
      </c>
      <c r="V121" s="88" t="s">
        <v>96</v>
      </c>
      <c r="W121" s="87" t="s">
        <v>95</v>
      </c>
    </row>
    <row r="122" spans="3:23" x14ac:dyDescent="0.25">
      <c r="C122" s="62">
        <f>C121</f>
        <v>1</v>
      </c>
      <c r="D122" s="86"/>
      <c r="E122" s="85"/>
      <c r="F122" s="84" t="s">
        <v>57</v>
      </c>
      <c r="G122" s="84" t="s">
        <v>56</v>
      </c>
      <c r="H122" s="84" t="s">
        <v>55</v>
      </c>
      <c r="I122" s="84" t="s">
        <v>54</v>
      </c>
      <c r="J122" s="84" t="s">
        <v>53</v>
      </c>
      <c r="K122" s="84" t="s">
        <v>52</v>
      </c>
      <c r="L122" s="84" t="s">
        <v>51</v>
      </c>
      <c r="M122" s="84" t="s">
        <v>50</v>
      </c>
      <c r="N122" s="84" t="s">
        <v>49</v>
      </c>
      <c r="O122" s="84" t="s">
        <v>47</v>
      </c>
      <c r="P122" s="84" t="s">
        <v>77</v>
      </c>
      <c r="Q122" s="84" t="s">
        <v>78</v>
      </c>
      <c r="R122" s="84" t="s">
        <v>79</v>
      </c>
      <c r="S122" s="84" t="s">
        <v>81</v>
      </c>
      <c r="T122" s="84" t="s">
        <v>83</v>
      </c>
      <c r="U122" s="84" t="s">
        <v>85</v>
      </c>
      <c r="V122" s="84" t="s">
        <v>87</v>
      </c>
      <c r="W122" s="83" t="s">
        <v>88</v>
      </c>
    </row>
    <row r="123" spans="3:23" x14ac:dyDescent="0.25">
      <c r="C123" s="62">
        <f t="shared" ref="C123:C128" si="42">C122</f>
        <v>1</v>
      </c>
      <c r="D123" s="82" t="s">
        <v>26</v>
      </c>
      <c r="E123" s="80"/>
      <c r="F123" s="79"/>
      <c r="G123" s="79"/>
      <c r="H123" s="79"/>
      <c r="I123" s="79"/>
      <c r="J123" s="79"/>
      <c r="K123" s="79"/>
      <c r="L123" s="79"/>
      <c r="M123" s="79"/>
      <c r="N123" s="79"/>
      <c r="O123" s="79"/>
      <c r="P123" s="79"/>
      <c r="Q123" s="79"/>
      <c r="R123" s="79"/>
      <c r="S123" s="79"/>
      <c r="T123" s="79"/>
      <c r="U123" s="79"/>
      <c r="V123" s="79"/>
      <c r="W123" s="78"/>
    </row>
    <row r="124" spans="3:23" x14ac:dyDescent="0.25">
      <c r="C124" s="62">
        <f t="shared" si="42"/>
        <v>1</v>
      </c>
      <c r="D124" s="81" t="s">
        <v>94</v>
      </c>
      <c r="E124" s="80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8"/>
    </row>
    <row r="125" spans="3:23" x14ac:dyDescent="0.25">
      <c r="C125" s="62">
        <f t="shared" si="42"/>
        <v>1</v>
      </c>
      <c r="D125" s="268" t="s">
        <v>93</v>
      </c>
      <c r="E125" s="76" t="s">
        <v>57</v>
      </c>
      <c r="F125" s="75">
        <f t="shared" ref="F125:T127" si="43">+F8*$E$120</f>
        <v>0</v>
      </c>
      <c r="G125" s="74">
        <f t="shared" si="43"/>
        <v>0</v>
      </c>
      <c r="H125" s="74">
        <f t="shared" si="43"/>
        <v>0</v>
      </c>
      <c r="I125" s="75">
        <f t="shared" si="43"/>
        <v>0</v>
      </c>
      <c r="J125" s="74">
        <f t="shared" si="43"/>
        <v>0</v>
      </c>
      <c r="K125" s="74">
        <f t="shared" si="43"/>
        <v>0</v>
      </c>
      <c r="L125" s="75">
        <f t="shared" si="43"/>
        <v>0.38419257250711947</v>
      </c>
      <c r="M125" s="74">
        <f t="shared" ca="1" si="43"/>
        <v>15560.825445011318</v>
      </c>
      <c r="N125" s="74">
        <f t="shared" ca="1" si="43"/>
        <v>369.95510669807459</v>
      </c>
      <c r="O125" s="75">
        <f t="shared" si="43"/>
        <v>0</v>
      </c>
      <c r="P125" s="74">
        <f t="shared" si="43"/>
        <v>0</v>
      </c>
      <c r="Q125" s="74">
        <f t="shared" si="43"/>
        <v>0</v>
      </c>
      <c r="R125" s="75">
        <f t="shared" si="43"/>
        <v>0</v>
      </c>
      <c r="S125" s="74">
        <f t="shared" si="43"/>
        <v>0</v>
      </c>
      <c r="T125" s="74">
        <f t="shared" si="43"/>
        <v>0</v>
      </c>
      <c r="U125" s="73">
        <f t="shared" ref="U125:W127" si="44">+R125+O125+L125+I125+F125</f>
        <v>0.38419257250711947</v>
      </c>
      <c r="V125" s="72">
        <f t="shared" ca="1" si="44"/>
        <v>15560.825445011318</v>
      </c>
      <c r="W125" s="72">
        <f t="shared" ca="1" si="44"/>
        <v>369.95510669807459</v>
      </c>
    </row>
    <row r="126" spans="3:23" x14ac:dyDescent="0.25">
      <c r="C126" s="62">
        <f t="shared" si="42"/>
        <v>1</v>
      </c>
      <c r="D126" s="268" t="s">
        <v>92</v>
      </c>
      <c r="E126" s="76" t="s">
        <v>56</v>
      </c>
      <c r="F126" s="75">
        <f t="shared" si="43"/>
        <v>0</v>
      </c>
      <c r="G126" s="74">
        <f t="shared" si="43"/>
        <v>0</v>
      </c>
      <c r="H126" s="74">
        <f t="shared" si="43"/>
        <v>0</v>
      </c>
      <c r="I126" s="75">
        <f t="shared" si="43"/>
        <v>0</v>
      </c>
      <c r="J126" s="74">
        <f t="shared" si="43"/>
        <v>0</v>
      </c>
      <c r="K126" s="74">
        <f t="shared" si="43"/>
        <v>0</v>
      </c>
      <c r="L126" s="75">
        <f t="shared" si="43"/>
        <v>0</v>
      </c>
      <c r="M126" s="74">
        <f t="shared" si="43"/>
        <v>0</v>
      </c>
      <c r="N126" s="74">
        <f t="shared" si="43"/>
        <v>0</v>
      </c>
      <c r="O126" s="75">
        <f t="shared" si="43"/>
        <v>0</v>
      </c>
      <c r="P126" s="74">
        <f t="shared" si="43"/>
        <v>0</v>
      </c>
      <c r="Q126" s="74">
        <f t="shared" si="43"/>
        <v>0</v>
      </c>
      <c r="R126" s="75">
        <f t="shared" si="43"/>
        <v>0</v>
      </c>
      <c r="S126" s="74">
        <f t="shared" si="43"/>
        <v>0</v>
      </c>
      <c r="T126" s="74">
        <f t="shared" si="43"/>
        <v>0</v>
      </c>
      <c r="U126" s="73">
        <f t="shared" si="44"/>
        <v>0</v>
      </c>
      <c r="V126" s="72">
        <f t="shared" si="44"/>
        <v>0</v>
      </c>
      <c r="W126" s="72">
        <f t="shared" si="44"/>
        <v>0</v>
      </c>
    </row>
    <row r="127" spans="3:23" x14ac:dyDescent="0.25">
      <c r="C127" s="62">
        <f t="shared" si="42"/>
        <v>1</v>
      </c>
      <c r="D127" s="268" t="s">
        <v>91</v>
      </c>
      <c r="E127" s="76" t="s">
        <v>55</v>
      </c>
      <c r="F127" s="75">
        <f t="shared" si="43"/>
        <v>0</v>
      </c>
      <c r="G127" s="74">
        <f t="shared" si="43"/>
        <v>0</v>
      </c>
      <c r="H127" s="74">
        <f t="shared" si="43"/>
        <v>0</v>
      </c>
      <c r="I127" s="75">
        <f t="shared" si="43"/>
        <v>0</v>
      </c>
      <c r="J127" s="74">
        <f t="shared" si="43"/>
        <v>0</v>
      </c>
      <c r="K127" s="74">
        <f t="shared" si="43"/>
        <v>0</v>
      </c>
      <c r="L127" s="75">
        <f t="shared" si="43"/>
        <v>4.8013426170361191E-4</v>
      </c>
      <c r="M127" s="74">
        <f t="shared" ca="1" si="43"/>
        <v>129.58562433931215</v>
      </c>
      <c r="N127" s="74">
        <f t="shared" si="43"/>
        <v>0</v>
      </c>
      <c r="O127" s="75">
        <f t="shared" si="43"/>
        <v>0</v>
      </c>
      <c r="P127" s="74">
        <f t="shared" si="43"/>
        <v>0</v>
      </c>
      <c r="Q127" s="74">
        <f t="shared" si="43"/>
        <v>0</v>
      </c>
      <c r="R127" s="75">
        <f t="shared" si="43"/>
        <v>0</v>
      </c>
      <c r="S127" s="74">
        <f t="shared" si="43"/>
        <v>0</v>
      </c>
      <c r="T127" s="74">
        <f t="shared" si="43"/>
        <v>0</v>
      </c>
      <c r="U127" s="73">
        <f t="shared" si="44"/>
        <v>4.8013426170361191E-4</v>
      </c>
      <c r="V127" s="72">
        <f t="shared" ca="1" si="44"/>
        <v>129.58562433931215</v>
      </c>
      <c r="W127" s="72">
        <f t="shared" si="44"/>
        <v>0</v>
      </c>
    </row>
    <row r="128" spans="3:23" ht="15.75" thickBot="1" x14ac:dyDescent="0.3">
      <c r="C128" s="62">
        <f t="shared" si="42"/>
        <v>1</v>
      </c>
      <c r="D128" s="71" t="s">
        <v>48</v>
      </c>
      <c r="E128" s="70" t="s">
        <v>54</v>
      </c>
      <c r="F128" s="69">
        <f t="shared" ref="F128:W128" si="45">SUBTOTAL(9,F125:F127)</f>
        <v>0</v>
      </c>
      <c r="G128" s="68">
        <f t="shared" si="45"/>
        <v>0</v>
      </c>
      <c r="H128" s="68">
        <f t="shared" si="45"/>
        <v>0</v>
      </c>
      <c r="I128" s="69">
        <f t="shared" si="45"/>
        <v>0</v>
      </c>
      <c r="J128" s="68">
        <f t="shared" si="45"/>
        <v>0</v>
      </c>
      <c r="K128" s="68">
        <f t="shared" si="45"/>
        <v>0</v>
      </c>
      <c r="L128" s="69">
        <f t="shared" si="45"/>
        <v>0.38467270676882309</v>
      </c>
      <c r="M128" s="68">
        <f t="shared" ca="1" si="45"/>
        <v>15690.41106935063</v>
      </c>
      <c r="N128" s="68">
        <f t="shared" ca="1" si="45"/>
        <v>369.95510669807459</v>
      </c>
      <c r="O128" s="69">
        <f t="shared" si="45"/>
        <v>0</v>
      </c>
      <c r="P128" s="68">
        <f t="shared" si="45"/>
        <v>0</v>
      </c>
      <c r="Q128" s="68">
        <f t="shared" si="45"/>
        <v>0</v>
      </c>
      <c r="R128" s="69">
        <f t="shared" si="45"/>
        <v>0</v>
      </c>
      <c r="S128" s="68">
        <f t="shared" si="45"/>
        <v>0</v>
      </c>
      <c r="T128" s="68">
        <f t="shared" si="45"/>
        <v>0</v>
      </c>
      <c r="U128" s="69">
        <f t="shared" si="45"/>
        <v>0.38467270676882309</v>
      </c>
      <c r="V128" s="68">
        <f t="shared" ca="1" si="45"/>
        <v>15690.41106935063</v>
      </c>
      <c r="W128" s="68">
        <f t="shared" ca="1" si="45"/>
        <v>369.95510669807459</v>
      </c>
    </row>
    <row r="129" spans="3:23" ht="15.75" hidden="1" thickBot="1" x14ac:dyDescent="0.3"/>
    <row r="130" spans="3:23" ht="15" hidden="1" customHeight="1" x14ac:dyDescent="0.25">
      <c r="C130" s="62">
        <f>IF(E130&gt;0,1,0)</f>
        <v>0</v>
      </c>
      <c r="D130" s="936" t="str">
        <f>+A16</f>
        <v>Cortland</v>
      </c>
      <c r="E130" s="938">
        <f>SUMIF(A:A,D130,B:B)</f>
        <v>0</v>
      </c>
      <c r="F130" s="940" t="s">
        <v>103</v>
      </c>
      <c r="G130" s="941"/>
      <c r="H130" s="942"/>
      <c r="I130" s="940" t="s">
        <v>102</v>
      </c>
      <c r="J130" s="941"/>
      <c r="K130" s="942"/>
      <c r="L130" s="940" t="s">
        <v>101</v>
      </c>
      <c r="M130" s="941"/>
      <c r="N130" s="942"/>
      <c r="O130" s="940" t="s">
        <v>100</v>
      </c>
      <c r="P130" s="941"/>
      <c r="Q130" s="942"/>
      <c r="R130" s="940" t="s">
        <v>99</v>
      </c>
      <c r="S130" s="941"/>
      <c r="T130" s="942"/>
      <c r="U130" s="940" t="s">
        <v>98</v>
      </c>
      <c r="V130" s="941"/>
      <c r="W130" s="943"/>
    </row>
    <row r="131" spans="3:23" ht="30.75" hidden="1" thickBot="1" x14ac:dyDescent="0.3">
      <c r="C131" s="62">
        <f>IF(E130&gt;0,1,0)</f>
        <v>0</v>
      </c>
      <c r="D131" s="937"/>
      <c r="E131" s="939"/>
      <c r="F131" s="88" t="s">
        <v>97</v>
      </c>
      <c r="G131" s="88" t="s">
        <v>96</v>
      </c>
      <c r="H131" s="88" t="s">
        <v>95</v>
      </c>
      <c r="I131" s="88" t="s">
        <v>97</v>
      </c>
      <c r="J131" s="88" t="s">
        <v>96</v>
      </c>
      <c r="K131" s="88" t="s">
        <v>95</v>
      </c>
      <c r="L131" s="88" t="s">
        <v>97</v>
      </c>
      <c r="M131" s="88" t="s">
        <v>96</v>
      </c>
      <c r="N131" s="88" t="s">
        <v>95</v>
      </c>
      <c r="O131" s="88" t="s">
        <v>97</v>
      </c>
      <c r="P131" s="88" t="s">
        <v>96</v>
      </c>
      <c r="Q131" s="88" t="s">
        <v>95</v>
      </c>
      <c r="R131" s="88" t="s">
        <v>97</v>
      </c>
      <c r="S131" s="88" t="s">
        <v>96</v>
      </c>
      <c r="T131" s="88" t="s">
        <v>95</v>
      </c>
      <c r="U131" s="88" t="s">
        <v>97</v>
      </c>
      <c r="V131" s="88" t="s">
        <v>96</v>
      </c>
      <c r="W131" s="87" t="s">
        <v>95</v>
      </c>
    </row>
    <row r="132" spans="3:23" ht="15.75" hidden="1" thickBot="1" x14ac:dyDescent="0.3">
      <c r="C132" s="62">
        <f>C131</f>
        <v>0</v>
      </c>
      <c r="D132" s="86"/>
      <c r="E132" s="85"/>
      <c r="F132" s="84" t="s">
        <v>57</v>
      </c>
      <c r="G132" s="84" t="s">
        <v>56</v>
      </c>
      <c r="H132" s="84" t="s">
        <v>55</v>
      </c>
      <c r="I132" s="84" t="s">
        <v>54</v>
      </c>
      <c r="J132" s="84" t="s">
        <v>53</v>
      </c>
      <c r="K132" s="84" t="s">
        <v>52</v>
      </c>
      <c r="L132" s="84" t="s">
        <v>51</v>
      </c>
      <c r="M132" s="84" t="s">
        <v>50</v>
      </c>
      <c r="N132" s="84" t="s">
        <v>49</v>
      </c>
      <c r="O132" s="84" t="s">
        <v>47</v>
      </c>
      <c r="P132" s="84" t="s">
        <v>77</v>
      </c>
      <c r="Q132" s="84" t="s">
        <v>78</v>
      </c>
      <c r="R132" s="84" t="s">
        <v>79</v>
      </c>
      <c r="S132" s="84" t="s">
        <v>81</v>
      </c>
      <c r="T132" s="84" t="s">
        <v>83</v>
      </c>
      <c r="U132" s="84" t="s">
        <v>85</v>
      </c>
      <c r="V132" s="84" t="s">
        <v>87</v>
      </c>
      <c r="W132" s="83" t="s">
        <v>88</v>
      </c>
    </row>
    <row r="133" spans="3:23" ht="15.75" hidden="1" thickBot="1" x14ac:dyDescent="0.3">
      <c r="C133" s="62">
        <f t="shared" ref="C133:C138" si="46">C132</f>
        <v>0</v>
      </c>
      <c r="D133" s="82" t="s">
        <v>26</v>
      </c>
      <c r="E133" s="80"/>
      <c r="F133" s="79"/>
      <c r="G133" s="79"/>
      <c r="H133" s="79"/>
      <c r="I133" s="79"/>
      <c r="J133" s="79"/>
      <c r="K133" s="79"/>
      <c r="L133" s="79"/>
      <c r="M133" s="79"/>
      <c r="N133" s="79"/>
      <c r="O133" s="79"/>
      <c r="P133" s="79"/>
      <c r="Q133" s="79"/>
      <c r="R133" s="79"/>
      <c r="S133" s="79"/>
      <c r="T133" s="79"/>
      <c r="U133" s="79"/>
      <c r="V133" s="79"/>
      <c r="W133" s="78"/>
    </row>
    <row r="134" spans="3:23" ht="15.75" hidden="1" thickBot="1" x14ac:dyDescent="0.3">
      <c r="C134" s="62">
        <f t="shared" si="46"/>
        <v>0</v>
      </c>
      <c r="D134" s="81" t="s">
        <v>94</v>
      </c>
      <c r="E134" s="80"/>
      <c r="F134" s="79"/>
      <c r="G134" s="79"/>
      <c r="H134" s="79"/>
      <c r="I134" s="79"/>
      <c r="J134" s="79"/>
      <c r="K134" s="79"/>
      <c r="L134" s="79"/>
      <c r="M134" s="79"/>
      <c r="N134" s="79"/>
      <c r="O134" s="79"/>
      <c r="P134" s="79"/>
      <c r="Q134" s="79"/>
      <c r="R134" s="79"/>
      <c r="S134" s="79"/>
      <c r="T134" s="79"/>
      <c r="U134" s="79"/>
      <c r="V134" s="79"/>
      <c r="W134" s="78"/>
    </row>
    <row r="135" spans="3:23" ht="15.75" hidden="1" thickBot="1" x14ac:dyDescent="0.3">
      <c r="C135" s="62">
        <f t="shared" si="46"/>
        <v>0</v>
      </c>
      <c r="D135" s="268" t="s">
        <v>93</v>
      </c>
      <c r="E135" s="76" t="s">
        <v>57</v>
      </c>
      <c r="F135" s="75">
        <f t="shared" ref="F135:T137" si="47">+F8*$E$130</f>
        <v>0</v>
      </c>
      <c r="G135" s="74">
        <f t="shared" si="47"/>
        <v>0</v>
      </c>
      <c r="H135" s="74">
        <f t="shared" si="47"/>
        <v>0</v>
      </c>
      <c r="I135" s="75">
        <f t="shared" si="47"/>
        <v>0</v>
      </c>
      <c r="J135" s="74">
        <f t="shared" si="47"/>
        <v>0</v>
      </c>
      <c r="K135" s="74">
        <f t="shared" si="47"/>
        <v>0</v>
      </c>
      <c r="L135" s="75">
        <f t="shared" si="47"/>
        <v>0</v>
      </c>
      <c r="M135" s="74">
        <f t="shared" ca="1" si="47"/>
        <v>0</v>
      </c>
      <c r="N135" s="74">
        <f t="shared" ca="1" si="47"/>
        <v>0</v>
      </c>
      <c r="O135" s="75">
        <f t="shared" si="47"/>
        <v>0</v>
      </c>
      <c r="P135" s="74">
        <f t="shared" si="47"/>
        <v>0</v>
      </c>
      <c r="Q135" s="74">
        <f t="shared" si="47"/>
        <v>0</v>
      </c>
      <c r="R135" s="75">
        <f t="shared" si="47"/>
        <v>0</v>
      </c>
      <c r="S135" s="74">
        <f t="shared" si="47"/>
        <v>0</v>
      </c>
      <c r="T135" s="74">
        <f t="shared" si="47"/>
        <v>0</v>
      </c>
      <c r="U135" s="73">
        <f t="shared" ref="U135:W137" si="48">+R135+O135+L135+I135+F135</f>
        <v>0</v>
      </c>
      <c r="V135" s="72">
        <f t="shared" ca="1" si="48"/>
        <v>0</v>
      </c>
      <c r="W135" s="72">
        <f t="shared" ca="1" si="48"/>
        <v>0</v>
      </c>
    </row>
    <row r="136" spans="3:23" ht="15.75" hidden="1" thickBot="1" x14ac:dyDescent="0.3">
      <c r="C136" s="62">
        <f t="shared" si="46"/>
        <v>0</v>
      </c>
      <c r="D136" s="268" t="s">
        <v>92</v>
      </c>
      <c r="E136" s="76" t="s">
        <v>56</v>
      </c>
      <c r="F136" s="75">
        <f t="shared" si="47"/>
        <v>0</v>
      </c>
      <c r="G136" s="74">
        <f t="shared" si="47"/>
        <v>0</v>
      </c>
      <c r="H136" s="74">
        <f t="shared" si="47"/>
        <v>0</v>
      </c>
      <c r="I136" s="75">
        <f t="shared" si="47"/>
        <v>0</v>
      </c>
      <c r="J136" s="74">
        <f t="shared" si="47"/>
        <v>0</v>
      </c>
      <c r="K136" s="74">
        <f t="shared" si="47"/>
        <v>0</v>
      </c>
      <c r="L136" s="75">
        <f t="shared" si="47"/>
        <v>0</v>
      </c>
      <c r="M136" s="74">
        <f t="shared" si="47"/>
        <v>0</v>
      </c>
      <c r="N136" s="74">
        <f t="shared" si="47"/>
        <v>0</v>
      </c>
      <c r="O136" s="75">
        <f t="shared" si="47"/>
        <v>0</v>
      </c>
      <c r="P136" s="74">
        <f t="shared" si="47"/>
        <v>0</v>
      </c>
      <c r="Q136" s="74">
        <f t="shared" si="47"/>
        <v>0</v>
      </c>
      <c r="R136" s="75">
        <f t="shared" si="47"/>
        <v>0</v>
      </c>
      <c r="S136" s="74">
        <f t="shared" si="47"/>
        <v>0</v>
      </c>
      <c r="T136" s="74">
        <f t="shared" si="47"/>
        <v>0</v>
      </c>
      <c r="U136" s="73">
        <f t="shared" si="48"/>
        <v>0</v>
      </c>
      <c r="V136" s="72">
        <f t="shared" si="48"/>
        <v>0</v>
      </c>
      <c r="W136" s="72">
        <f t="shared" si="48"/>
        <v>0</v>
      </c>
    </row>
    <row r="137" spans="3:23" ht="15.75" hidden="1" thickBot="1" x14ac:dyDescent="0.3">
      <c r="C137" s="62">
        <f t="shared" si="46"/>
        <v>0</v>
      </c>
      <c r="D137" s="268" t="s">
        <v>91</v>
      </c>
      <c r="E137" s="76" t="s">
        <v>55</v>
      </c>
      <c r="F137" s="75">
        <f t="shared" si="47"/>
        <v>0</v>
      </c>
      <c r="G137" s="74">
        <f t="shared" si="47"/>
        <v>0</v>
      </c>
      <c r="H137" s="74">
        <f t="shared" si="47"/>
        <v>0</v>
      </c>
      <c r="I137" s="75">
        <f t="shared" si="47"/>
        <v>0</v>
      </c>
      <c r="J137" s="74">
        <f t="shared" si="47"/>
        <v>0</v>
      </c>
      <c r="K137" s="74">
        <f t="shared" si="47"/>
        <v>0</v>
      </c>
      <c r="L137" s="75">
        <f t="shared" si="47"/>
        <v>0</v>
      </c>
      <c r="M137" s="74">
        <f t="shared" ca="1" si="47"/>
        <v>0</v>
      </c>
      <c r="N137" s="74">
        <f t="shared" si="47"/>
        <v>0</v>
      </c>
      <c r="O137" s="75">
        <f t="shared" si="47"/>
        <v>0</v>
      </c>
      <c r="P137" s="74">
        <f t="shared" si="47"/>
        <v>0</v>
      </c>
      <c r="Q137" s="74">
        <f t="shared" si="47"/>
        <v>0</v>
      </c>
      <c r="R137" s="75">
        <f t="shared" si="47"/>
        <v>0</v>
      </c>
      <c r="S137" s="74">
        <f t="shared" si="47"/>
        <v>0</v>
      </c>
      <c r="T137" s="74">
        <f t="shared" si="47"/>
        <v>0</v>
      </c>
      <c r="U137" s="73">
        <f t="shared" si="48"/>
        <v>0</v>
      </c>
      <c r="V137" s="72">
        <f t="shared" ca="1" si="48"/>
        <v>0</v>
      </c>
      <c r="W137" s="72">
        <f t="shared" si="48"/>
        <v>0</v>
      </c>
    </row>
    <row r="138" spans="3:23" ht="15.75" hidden="1" thickBot="1" x14ac:dyDescent="0.3">
      <c r="C138" s="62">
        <f t="shared" si="46"/>
        <v>0</v>
      </c>
      <c r="D138" s="71" t="s">
        <v>48</v>
      </c>
      <c r="E138" s="70" t="s">
        <v>54</v>
      </c>
      <c r="F138" s="69">
        <f t="shared" ref="F138:W138" si="49">SUBTOTAL(9,F135:F137)</f>
        <v>0</v>
      </c>
      <c r="G138" s="68">
        <f t="shared" si="49"/>
        <v>0</v>
      </c>
      <c r="H138" s="68">
        <f t="shared" si="49"/>
        <v>0</v>
      </c>
      <c r="I138" s="69">
        <f t="shared" si="49"/>
        <v>0</v>
      </c>
      <c r="J138" s="68">
        <f t="shared" si="49"/>
        <v>0</v>
      </c>
      <c r="K138" s="68">
        <f t="shared" si="49"/>
        <v>0</v>
      </c>
      <c r="L138" s="69">
        <f t="shared" si="49"/>
        <v>0</v>
      </c>
      <c r="M138" s="68">
        <f t="shared" si="49"/>
        <v>0</v>
      </c>
      <c r="N138" s="68">
        <f t="shared" si="49"/>
        <v>0</v>
      </c>
      <c r="O138" s="69">
        <f t="shared" si="49"/>
        <v>0</v>
      </c>
      <c r="P138" s="68">
        <f t="shared" si="49"/>
        <v>0</v>
      </c>
      <c r="Q138" s="68">
        <f t="shared" si="49"/>
        <v>0</v>
      </c>
      <c r="R138" s="69">
        <f t="shared" si="49"/>
        <v>0</v>
      </c>
      <c r="S138" s="68">
        <f t="shared" si="49"/>
        <v>0</v>
      </c>
      <c r="T138" s="68">
        <f t="shared" si="49"/>
        <v>0</v>
      </c>
      <c r="U138" s="69">
        <f t="shared" si="49"/>
        <v>0</v>
      </c>
      <c r="V138" s="68">
        <f t="shared" si="49"/>
        <v>0</v>
      </c>
      <c r="W138" s="68">
        <f t="shared" si="49"/>
        <v>0</v>
      </c>
    </row>
    <row r="139" spans="3:23" ht="15.75" hidden="1" thickBot="1" x14ac:dyDescent="0.3"/>
    <row r="140" spans="3:23" ht="15" hidden="1" customHeight="1" x14ac:dyDescent="0.25">
      <c r="C140" s="62">
        <f>IF(E140&gt;0,1,0)</f>
        <v>0</v>
      </c>
      <c r="D140" s="936" t="str">
        <f>+A17</f>
        <v>Delaware</v>
      </c>
      <c r="E140" s="938">
        <f>SUMIF(A:A,D140,B:B)</f>
        <v>0</v>
      </c>
      <c r="F140" s="940" t="s">
        <v>103</v>
      </c>
      <c r="G140" s="941"/>
      <c r="H140" s="942"/>
      <c r="I140" s="940" t="s">
        <v>102</v>
      </c>
      <c r="J140" s="941"/>
      <c r="K140" s="942"/>
      <c r="L140" s="940" t="s">
        <v>101</v>
      </c>
      <c r="M140" s="941"/>
      <c r="N140" s="942"/>
      <c r="O140" s="940" t="s">
        <v>100</v>
      </c>
      <c r="P140" s="941"/>
      <c r="Q140" s="942"/>
      <c r="R140" s="940" t="s">
        <v>99</v>
      </c>
      <c r="S140" s="941"/>
      <c r="T140" s="942"/>
      <c r="U140" s="940" t="s">
        <v>98</v>
      </c>
      <c r="V140" s="941"/>
      <c r="W140" s="943"/>
    </row>
    <row r="141" spans="3:23" ht="30.75" hidden="1" thickBot="1" x14ac:dyDescent="0.3">
      <c r="C141" s="62">
        <f>IF(E140&gt;0,1,0)</f>
        <v>0</v>
      </c>
      <c r="D141" s="937"/>
      <c r="E141" s="939"/>
      <c r="F141" s="88" t="s">
        <v>97</v>
      </c>
      <c r="G141" s="88" t="s">
        <v>96</v>
      </c>
      <c r="H141" s="88" t="s">
        <v>95</v>
      </c>
      <c r="I141" s="88" t="s">
        <v>97</v>
      </c>
      <c r="J141" s="88" t="s">
        <v>96</v>
      </c>
      <c r="K141" s="88" t="s">
        <v>95</v>
      </c>
      <c r="L141" s="88" t="s">
        <v>97</v>
      </c>
      <c r="M141" s="88" t="s">
        <v>96</v>
      </c>
      <c r="N141" s="88" t="s">
        <v>95</v>
      </c>
      <c r="O141" s="88" t="s">
        <v>97</v>
      </c>
      <c r="P141" s="88" t="s">
        <v>96</v>
      </c>
      <c r="Q141" s="88" t="s">
        <v>95</v>
      </c>
      <c r="R141" s="88" t="s">
        <v>97</v>
      </c>
      <c r="S141" s="88" t="s">
        <v>96</v>
      </c>
      <c r="T141" s="88" t="s">
        <v>95</v>
      </c>
      <c r="U141" s="88" t="s">
        <v>97</v>
      </c>
      <c r="V141" s="88" t="s">
        <v>96</v>
      </c>
      <c r="W141" s="87" t="s">
        <v>95</v>
      </c>
    </row>
    <row r="142" spans="3:23" ht="15.75" hidden="1" thickBot="1" x14ac:dyDescent="0.3">
      <c r="C142" s="62">
        <f>C141</f>
        <v>0</v>
      </c>
      <c r="D142" s="86"/>
      <c r="E142" s="85"/>
      <c r="F142" s="84" t="s">
        <v>57</v>
      </c>
      <c r="G142" s="84" t="s">
        <v>56</v>
      </c>
      <c r="H142" s="84" t="s">
        <v>55</v>
      </c>
      <c r="I142" s="84" t="s">
        <v>54</v>
      </c>
      <c r="J142" s="84" t="s">
        <v>53</v>
      </c>
      <c r="K142" s="84" t="s">
        <v>52</v>
      </c>
      <c r="L142" s="84" t="s">
        <v>51</v>
      </c>
      <c r="M142" s="84" t="s">
        <v>50</v>
      </c>
      <c r="N142" s="84" t="s">
        <v>49</v>
      </c>
      <c r="O142" s="84" t="s">
        <v>47</v>
      </c>
      <c r="P142" s="84" t="s">
        <v>77</v>
      </c>
      <c r="Q142" s="84" t="s">
        <v>78</v>
      </c>
      <c r="R142" s="84" t="s">
        <v>79</v>
      </c>
      <c r="S142" s="84" t="s">
        <v>81</v>
      </c>
      <c r="T142" s="84" t="s">
        <v>83</v>
      </c>
      <c r="U142" s="84" t="s">
        <v>85</v>
      </c>
      <c r="V142" s="84" t="s">
        <v>87</v>
      </c>
      <c r="W142" s="83" t="s">
        <v>88</v>
      </c>
    </row>
    <row r="143" spans="3:23" ht="15.75" hidden="1" thickBot="1" x14ac:dyDescent="0.3">
      <c r="C143" s="62">
        <f t="shared" ref="C143:C148" si="50">C142</f>
        <v>0</v>
      </c>
      <c r="D143" s="82" t="s">
        <v>26</v>
      </c>
      <c r="E143" s="80"/>
      <c r="F143" s="79"/>
      <c r="G143" s="79"/>
      <c r="H143" s="79"/>
      <c r="I143" s="79"/>
      <c r="J143" s="79"/>
      <c r="K143" s="79"/>
      <c r="L143" s="79"/>
      <c r="M143" s="79"/>
      <c r="N143" s="79"/>
      <c r="O143" s="79"/>
      <c r="P143" s="79"/>
      <c r="Q143" s="79"/>
      <c r="R143" s="79"/>
      <c r="S143" s="79"/>
      <c r="T143" s="79"/>
      <c r="U143" s="79"/>
      <c r="V143" s="79"/>
      <c r="W143" s="78"/>
    </row>
    <row r="144" spans="3:23" ht="15.75" hidden="1" thickBot="1" x14ac:dyDescent="0.3">
      <c r="C144" s="62">
        <f t="shared" si="50"/>
        <v>0</v>
      </c>
      <c r="D144" s="81" t="s">
        <v>94</v>
      </c>
      <c r="E144" s="80"/>
      <c r="F144" s="79"/>
      <c r="G144" s="79"/>
      <c r="H144" s="79"/>
      <c r="I144" s="79"/>
      <c r="J144" s="79"/>
      <c r="K144" s="79"/>
      <c r="L144" s="79"/>
      <c r="M144" s="79"/>
      <c r="N144" s="79"/>
      <c r="O144" s="79"/>
      <c r="P144" s="79"/>
      <c r="Q144" s="79"/>
      <c r="R144" s="79"/>
      <c r="S144" s="79"/>
      <c r="T144" s="79"/>
      <c r="U144" s="79"/>
      <c r="V144" s="79"/>
      <c r="W144" s="78"/>
    </row>
    <row r="145" spans="3:23" ht="15.75" hidden="1" thickBot="1" x14ac:dyDescent="0.3">
      <c r="C145" s="62">
        <f t="shared" si="50"/>
        <v>0</v>
      </c>
      <c r="D145" s="268" t="s">
        <v>93</v>
      </c>
      <c r="E145" s="76" t="s">
        <v>57</v>
      </c>
      <c r="F145" s="75">
        <f t="shared" ref="F145:T147" si="51">+F8*$E$140</f>
        <v>0</v>
      </c>
      <c r="G145" s="74">
        <f t="shared" si="51"/>
        <v>0</v>
      </c>
      <c r="H145" s="74">
        <f t="shared" si="51"/>
        <v>0</v>
      </c>
      <c r="I145" s="75">
        <f t="shared" si="51"/>
        <v>0</v>
      </c>
      <c r="J145" s="74">
        <f t="shared" si="51"/>
        <v>0</v>
      </c>
      <c r="K145" s="74">
        <f t="shared" si="51"/>
        <v>0</v>
      </c>
      <c r="L145" s="75">
        <f t="shared" si="51"/>
        <v>0</v>
      </c>
      <c r="M145" s="74">
        <f t="shared" ca="1" si="51"/>
        <v>0</v>
      </c>
      <c r="N145" s="74">
        <f t="shared" ca="1" si="51"/>
        <v>0</v>
      </c>
      <c r="O145" s="75">
        <f t="shared" si="51"/>
        <v>0</v>
      </c>
      <c r="P145" s="74">
        <f t="shared" si="51"/>
        <v>0</v>
      </c>
      <c r="Q145" s="74">
        <f t="shared" si="51"/>
        <v>0</v>
      </c>
      <c r="R145" s="75">
        <f t="shared" si="51"/>
        <v>0</v>
      </c>
      <c r="S145" s="74">
        <f t="shared" si="51"/>
        <v>0</v>
      </c>
      <c r="T145" s="74">
        <f t="shared" si="51"/>
        <v>0</v>
      </c>
      <c r="U145" s="73">
        <f t="shared" ref="U145:W147" si="52">+R145+O145+L145+I145+F145</f>
        <v>0</v>
      </c>
      <c r="V145" s="72">
        <f t="shared" ca="1" si="52"/>
        <v>0</v>
      </c>
      <c r="W145" s="72">
        <f t="shared" ca="1" si="52"/>
        <v>0</v>
      </c>
    </row>
    <row r="146" spans="3:23" ht="15.75" hidden="1" thickBot="1" x14ac:dyDescent="0.3">
      <c r="C146" s="62">
        <f t="shared" si="50"/>
        <v>0</v>
      </c>
      <c r="D146" s="268" t="s">
        <v>92</v>
      </c>
      <c r="E146" s="76" t="s">
        <v>56</v>
      </c>
      <c r="F146" s="75">
        <f t="shared" si="51"/>
        <v>0</v>
      </c>
      <c r="G146" s="74">
        <f t="shared" si="51"/>
        <v>0</v>
      </c>
      <c r="H146" s="74">
        <f t="shared" si="51"/>
        <v>0</v>
      </c>
      <c r="I146" s="75">
        <f t="shared" si="51"/>
        <v>0</v>
      </c>
      <c r="J146" s="74">
        <f t="shared" si="51"/>
        <v>0</v>
      </c>
      <c r="K146" s="74">
        <f t="shared" si="51"/>
        <v>0</v>
      </c>
      <c r="L146" s="75">
        <f t="shared" si="51"/>
        <v>0</v>
      </c>
      <c r="M146" s="74">
        <f t="shared" si="51"/>
        <v>0</v>
      </c>
      <c r="N146" s="74">
        <f t="shared" si="51"/>
        <v>0</v>
      </c>
      <c r="O146" s="75">
        <f t="shared" si="51"/>
        <v>0</v>
      </c>
      <c r="P146" s="74">
        <f t="shared" si="51"/>
        <v>0</v>
      </c>
      <c r="Q146" s="74">
        <f t="shared" si="51"/>
        <v>0</v>
      </c>
      <c r="R146" s="75">
        <f t="shared" si="51"/>
        <v>0</v>
      </c>
      <c r="S146" s="74">
        <f t="shared" si="51"/>
        <v>0</v>
      </c>
      <c r="T146" s="74">
        <f t="shared" si="51"/>
        <v>0</v>
      </c>
      <c r="U146" s="73">
        <f t="shared" si="52"/>
        <v>0</v>
      </c>
      <c r="V146" s="72">
        <f t="shared" si="52"/>
        <v>0</v>
      </c>
      <c r="W146" s="72">
        <f t="shared" si="52"/>
        <v>0</v>
      </c>
    </row>
    <row r="147" spans="3:23" ht="15.75" hidden="1" thickBot="1" x14ac:dyDescent="0.3">
      <c r="C147" s="62">
        <f t="shared" si="50"/>
        <v>0</v>
      </c>
      <c r="D147" s="268" t="s">
        <v>91</v>
      </c>
      <c r="E147" s="76" t="s">
        <v>55</v>
      </c>
      <c r="F147" s="75">
        <f t="shared" si="51"/>
        <v>0</v>
      </c>
      <c r="G147" s="74">
        <f t="shared" si="51"/>
        <v>0</v>
      </c>
      <c r="H147" s="74">
        <f t="shared" si="51"/>
        <v>0</v>
      </c>
      <c r="I147" s="75">
        <f t="shared" si="51"/>
        <v>0</v>
      </c>
      <c r="J147" s="74">
        <f t="shared" si="51"/>
        <v>0</v>
      </c>
      <c r="K147" s="74">
        <f t="shared" si="51"/>
        <v>0</v>
      </c>
      <c r="L147" s="75">
        <f t="shared" si="51"/>
        <v>0</v>
      </c>
      <c r="M147" s="74">
        <f t="shared" ca="1" si="51"/>
        <v>0</v>
      </c>
      <c r="N147" s="74">
        <f t="shared" si="51"/>
        <v>0</v>
      </c>
      <c r="O147" s="75">
        <f t="shared" si="51"/>
        <v>0</v>
      </c>
      <c r="P147" s="74">
        <f t="shared" si="51"/>
        <v>0</v>
      </c>
      <c r="Q147" s="74">
        <f t="shared" si="51"/>
        <v>0</v>
      </c>
      <c r="R147" s="75">
        <f t="shared" si="51"/>
        <v>0</v>
      </c>
      <c r="S147" s="74">
        <f t="shared" si="51"/>
        <v>0</v>
      </c>
      <c r="T147" s="74">
        <f t="shared" si="51"/>
        <v>0</v>
      </c>
      <c r="U147" s="73">
        <f t="shared" si="52"/>
        <v>0</v>
      </c>
      <c r="V147" s="72">
        <f t="shared" ca="1" si="52"/>
        <v>0</v>
      </c>
      <c r="W147" s="72">
        <f t="shared" si="52"/>
        <v>0</v>
      </c>
    </row>
    <row r="148" spans="3:23" ht="15.75" hidden="1" thickBot="1" x14ac:dyDescent="0.3">
      <c r="C148" s="62">
        <f t="shared" si="50"/>
        <v>0</v>
      </c>
      <c r="D148" s="71" t="s">
        <v>48</v>
      </c>
      <c r="E148" s="70" t="s">
        <v>54</v>
      </c>
      <c r="F148" s="69">
        <f t="shared" ref="F148:W148" si="53">SUBTOTAL(9,F145:F147)</f>
        <v>0</v>
      </c>
      <c r="G148" s="68">
        <f t="shared" si="53"/>
        <v>0</v>
      </c>
      <c r="H148" s="68">
        <f t="shared" si="53"/>
        <v>0</v>
      </c>
      <c r="I148" s="69">
        <f t="shared" si="53"/>
        <v>0</v>
      </c>
      <c r="J148" s="68">
        <f t="shared" si="53"/>
        <v>0</v>
      </c>
      <c r="K148" s="68">
        <f t="shared" si="53"/>
        <v>0</v>
      </c>
      <c r="L148" s="69">
        <f t="shared" si="53"/>
        <v>0</v>
      </c>
      <c r="M148" s="68">
        <f t="shared" si="53"/>
        <v>0</v>
      </c>
      <c r="N148" s="68">
        <f t="shared" si="53"/>
        <v>0</v>
      </c>
      <c r="O148" s="69">
        <f t="shared" si="53"/>
        <v>0</v>
      </c>
      <c r="P148" s="68">
        <f t="shared" si="53"/>
        <v>0</v>
      </c>
      <c r="Q148" s="68">
        <f t="shared" si="53"/>
        <v>0</v>
      </c>
      <c r="R148" s="69">
        <f t="shared" si="53"/>
        <v>0</v>
      </c>
      <c r="S148" s="68">
        <f t="shared" si="53"/>
        <v>0</v>
      </c>
      <c r="T148" s="68">
        <f t="shared" si="53"/>
        <v>0</v>
      </c>
      <c r="U148" s="69">
        <f t="shared" si="53"/>
        <v>0</v>
      </c>
      <c r="V148" s="68">
        <f t="shared" si="53"/>
        <v>0</v>
      </c>
      <c r="W148" s="68">
        <f t="shared" si="53"/>
        <v>0</v>
      </c>
    </row>
    <row r="149" spans="3:23" ht="15.75" hidden="1" thickBot="1" x14ac:dyDescent="0.3"/>
    <row r="150" spans="3:23" ht="15" hidden="1" customHeight="1" x14ac:dyDescent="0.25">
      <c r="C150" s="62">
        <f>IF(E150&gt;0,1,0)</f>
        <v>0</v>
      </c>
      <c r="D150" s="936" t="str">
        <f>+A18</f>
        <v>Dutchess</v>
      </c>
      <c r="E150" s="938">
        <f>SUMIF(A:A,D150,B:B)</f>
        <v>0</v>
      </c>
      <c r="F150" s="940" t="s">
        <v>103</v>
      </c>
      <c r="G150" s="941"/>
      <c r="H150" s="942"/>
      <c r="I150" s="940" t="s">
        <v>102</v>
      </c>
      <c r="J150" s="941"/>
      <c r="K150" s="942"/>
      <c r="L150" s="940" t="s">
        <v>101</v>
      </c>
      <c r="M150" s="941"/>
      <c r="N150" s="942"/>
      <c r="O150" s="940" t="s">
        <v>100</v>
      </c>
      <c r="P150" s="941"/>
      <c r="Q150" s="942"/>
      <c r="R150" s="940" t="s">
        <v>99</v>
      </c>
      <c r="S150" s="941"/>
      <c r="T150" s="942"/>
      <c r="U150" s="940" t="s">
        <v>98</v>
      </c>
      <c r="V150" s="941"/>
      <c r="W150" s="943"/>
    </row>
    <row r="151" spans="3:23" ht="30.75" hidden="1" thickBot="1" x14ac:dyDescent="0.3">
      <c r="C151" s="62">
        <f>IF(E150&gt;0,1,0)</f>
        <v>0</v>
      </c>
      <c r="D151" s="937"/>
      <c r="E151" s="939"/>
      <c r="F151" s="88" t="s">
        <v>97</v>
      </c>
      <c r="G151" s="88" t="s">
        <v>96</v>
      </c>
      <c r="H151" s="88" t="s">
        <v>95</v>
      </c>
      <c r="I151" s="88" t="s">
        <v>97</v>
      </c>
      <c r="J151" s="88" t="s">
        <v>96</v>
      </c>
      <c r="K151" s="88" t="s">
        <v>95</v>
      </c>
      <c r="L151" s="88" t="s">
        <v>97</v>
      </c>
      <c r="M151" s="88" t="s">
        <v>96</v>
      </c>
      <c r="N151" s="88" t="s">
        <v>95</v>
      </c>
      <c r="O151" s="88" t="s">
        <v>97</v>
      </c>
      <c r="P151" s="88" t="s">
        <v>96</v>
      </c>
      <c r="Q151" s="88" t="s">
        <v>95</v>
      </c>
      <c r="R151" s="88" t="s">
        <v>97</v>
      </c>
      <c r="S151" s="88" t="s">
        <v>96</v>
      </c>
      <c r="T151" s="88" t="s">
        <v>95</v>
      </c>
      <c r="U151" s="88" t="s">
        <v>97</v>
      </c>
      <c r="V151" s="88" t="s">
        <v>96</v>
      </c>
      <c r="W151" s="87" t="s">
        <v>95</v>
      </c>
    </row>
    <row r="152" spans="3:23" ht="15.75" hidden="1" thickBot="1" x14ac:dyDescent="0.3">
      <c r="C152" s="62">
        <f>C151</f>
        <v>0</v>
      </c>
      <c r="D152" s="86"/>
      <c r="E152" s="85"/>
      <c r="F152" s="84" t="s">
        <v>57</v>
      </c>
      <c r="G152" s="84" t="s">
        <v>56</v>
      </c>
      <c r="H152" s="84" t="s">
        <v>55</v>
      </c>
      <c r="I152" s="84" t="s">
        <v>54</v>
      </c>
      <c r="J152" s="84" t="s">
        <v>53</v>
      </c>
      <c r="K152" s="84" t="s">
        <v>52</v>
      </c>
      <c r="L152" s="84" t="s">
        <v>51</v>
      </c>
      <c r="M152" s="84" t="s">
        <v>50</v>
      </c>
      <c r="N152" s="84" t="s">
        <v>49</v>
      </c>
      <c r="O152" s="84" t="s">
        <v>47</v>
      </c>
      <c r="P152" s="84" t="s">
        <v>77</v>
      </c>
      <c r="Q152" s="84" t="s">
        <v>78</v>
      </c>
      <c r="R152" s="84" t="s">
        <v>79</v>
      </c>
      <c r="S152" s="84" t="s">
        <v>81</v>
      </c>
      <c r="T152" s="84" t="s">
        <v>83</v>
      </c>
      <c r="U152" s="84" t="s">
        <v>85</v>
      </c>
      <c r="V152" s="84" t="s">
        <v>87</v>
      </c>
      <c r="W152" s="83" t="s">
        <v>88</v>
      </c>
    </row>
    <row r="153" spans="3:23" ht="15.75" hidden="1" thickBot="1" x14ac:dyDescent="0.3">
      <c r="C153" s="62">
        <f t="shared" ref="C153:C158" si="54">C152</f>
        <v>0</v>
      </c>
      <c r="D153" s="82" t="s">
        <v>26</v>
      </c>
      <c r="E153" s="80"/>
      <c r="F153" s="79"/>
      <c r="G153" s="79"/>
      <c r="H153" s="79"/>
      <c r="I153" s="79"/>
      <c r="J153" s="79"/>
      <c r="K153" s="79"/>
      <c r="L153" s="79"/>
      <c r="M153" s="79"/>
      <c r="N153" s="79"/>
      <c r="O153" s="79"/>
      <c r="P153" s="79"/>
      <c r="Q153" s="79"/>
      <c r="R153" s="79"/>
      <c r="S153" s="79"/>
      <c r="T153" s="79"/>
      <c r="U153" s="79"/>
      <c r="V153" s="79"/>
      <c r="W153" s="78"/>
    </row>
    <row r="154" spans="3:23" ht="15.75" hidden="1" thickBot="1" x14ac:dyDescent="0.3">
      <c r="C154" s="62">
        <f t="shared" si="54"/>
        <v>0</v>
      </c>
      <c r="D154" s="81" t="s">
        <v>94</v>
      </c>
      <c r="E154" s="80"/>
      <c r="F154" s="79"/>
      <c r="G154" s="79"/>
      <c r="H154" s="79"/>
      <c r="I154" s="79"/>
      <c r="J154" s="79"/>
      <c r="K154" s="79"/>
      <c r="L154" s="79"/>
      <c r="M154" s="79"/>
      <c r="N154" s="79"/>
      <c r="O154" s="79"/>
      <c r="P154" s="79"/>
      <c r="Q154" s="79"/>
      <c r="R154" s="79"/>
      <c r="S154" s="79"/>
      <c r="T154" s="79"/>
      <c r="U154" s="79"/>
      <c r="V154" s="79"/>
      <c r="W154" s="78"/>
    </row>
    <row r="155" spans="3:23" ht="15.75" hidden="1" thickBot="1" x14ac:dyDescent="0.3">
      <c r="C155" s="62">
        <f t="shared" si="54"/>
        <v>0</v>
      </c>
      <c r="D155" s="268" t="s">
        <v>93</v>
      </c>
      <c r="E155" s="76" t="s">
        <v>57</v>
      </c>
      <c r="F155" s="75">
        <f>+F8*$E$150</f>
        <v>0</v>
      </c>
      <c r="G155" s="75">
        <f t="shared" ref="G155:T155" si="55">+G8*$E$150</f>
        <v>0</v>
      </c>
      <c r="H155" s="75">
        <f t="shared" si="55"/>
        <v>0</v>
      </c>
      <c r="I155" s="75">
        <f t="shared" si="55"/>
        <v>0</v>
      </c>
      <c r="J155" s="75">
        <f t="shared" si="55"/>
        <v>0</v>
      </c>
      <c r="K155" s="75">
        <f t="shared" si="55"/>
        <v>0</v>
      </c>
      <c r="L155" s="75">
        <f t="shared" si="55"/>
        <v>0</v>
      </c>
      <c r="M155" s="75">
        <f t="shared" ca="1" si="55"/>
        <v>0</v>
      </c>
      <c r="N155" s="75">
        <f t="shared" ca="1" si="55"/>
        <v>0</v>
      </c>
      <c r="O155" s="75">
        <f t="shared" si="55"/>
        <v>0</v>
      </c>
      <c r="P155" s="75">
        <f t="shared" si="55"/>
        <v>0</v>
      </c>
      <c r="Q155" s="75">
        <f t="shared" si="55"/>
        <v>0</v>
      </c>
      <c r="R155" s="75">
        <f t="shared" si="55"/>
        <v>0</v>
      </c>
      <c r="S155" s="75">
        <f t="shared" si="55"/>
        <v>0</v>
      </c>
      <c r="T155" s="75">
        <f t="shared" si="55"/>
        <v>0</v>
      </c>
      <c r="U155" s="73">
        <f t="shared" ref="U155:W157" si="56">+R155+O155+L155+I155+F155</f>
        <v>0</v>
      </c>
      <c r="V155" s="72">
        <f t="shared" ca="1" si="56"/>
        <v>0</v>
      </c>
      <c r="W155" s="72">
        <f t="shared" ca="1" si="56"/>
        <v>0</v>
      </c>
    </row>
    <row r="156" spans="3:23" ht="15.75" hidden="1" thickBot="1" x14ac:dyDescent="0.3">
      <c r="C156" s="62">
        <f t="shared" si="54"/>
        <v>0</v>
      </c>
      <c r="D156" s="268" t="s">
        <v>92</v>
      </c>
      <c r="E156" s="76" t="s">
        <v>56</v>
      </c>
      <c r="F156" s="75">
        <f t="shared" ref="F156:T157" si="57">+F9*$E$150</f>
        <v>0</v>
      </c>
      <c r="G156" s="75">
        <f t="shared" si="57"/>
        <v>0</v>
      </c>
      <c r="H156" s="75">
        <f t="shared" si="57"/>
        <v>0</v>
      </c>
      <c r="I156" s="75">
        <f t="shared" si="57"/>
        <v>0</v>
      </c>
      <c r="J156" s="75">
        <f t="shared" si="57"/>
        <v>0</v>
      </c>
      <c r="K156" s="75">
        <f t="shared" si="57"/>
        <v>0</v>
      </c>
      <c r="L156" s="75">
        <f t="shared" si="57"/>
        <v>0</v>
      </c>
      <c r="M156" s="75">
        <f t="shared" si="57"/>
        <v>0</v>
      </c>
      <c r="N156" s="75">
        <f t="shared" si="57"/>
        <v>0</v>
      </c>
      <c r="O156" s="75">
        <f t="shared" si="57"/>
        <v>0</v>
      </c>
      <c r="P156" s="75">
        <f t="shared" si="57"/>
        <v>0</v>
      </c>
      <c r="Q156" s="75">
        <f t="shared" si="57"/>
        <v>0</v>
      </c>
      <c r="R156" s="75">
        <f t="shared" si="57"/>
        <v>0</v>
      </c>
      <c r="S156" s="75">
        <f t="shared" si="57"/>
        <v>0</v>
      </c>
      <c r="T156" s="75">
        <f t="shared" si="57"/>
        <v>0</v>
      </c>
      <c r="U156" s="73">
        <f t="shared" si="56"/>
        <v>0</v>
      </c>
      <c r="V156" s="72">
        <f t="shared" si="56"/>
        <v>0</v>
      </c>
      <c r="W156" s="72">
        <f t="shared" si="56"/>
        <v>0</v>
      </c>
    </row>
    <row r="157" spans="3:23" ht="15.75" hidden="1" thickBot="1" x14ac:dyDescent="0.3">
      <c r="C157" s="62">
        <f t="shared" si="54"/>
        <v>0</v>
      </c>
      <c r="D157" s="268" t="s">
        <v>91</v>
      </c>
      <c r="E157" s="76" t="s">
        <v>55</v>
      </c>
      <c r="F157" s="75">
        <f t="shared" si="57"/>
        <v>0</v>
      </c>
      <c r="G157" s="75">
        <f t="shared" si="57"/>
        <v>0</v>
      </c>
      <c r="H157" s="75">
        <f t="shared" si="57"/>
        <v>0</v>
      </c>
      <c r="I157" s="75">
        <f t="shared" si="57"/>
        <v>0</v>
      </c>
      <c r="J157" s="75">
        <f t="shared" si="57"/>
        <v>0</v>
      </c>
      <c r="K157" s="75">
        <f t="shared" si="57"/>
        <v>0</v>
      </c>
      <c r="L157" s="75">
        <f t="shared" si="57"/>
        <v>0</v>
      </c>
      <c r="M157" s="75">
        <f t="shared" ca="1" si="57"/>
        <v>0</v>
      </c>
      <c r="N157" s="75">
        <f t="shared" si="57"/>
        <v>0</v>
      </c>
      <c r="O157" s="75">
        <f t="shared" si="57"/>
        <v>0</v>
      </c>
      <c r="P157" s="75">
        <f t="shared" si="57"/>
        <v>0</v>
      </c>
      <c r="Q157" s="75">
        <f t="shared" si="57"/>
        <v>0</v>
      </c>
      <c r="R157" s="75">
        <f t="shared" si="57"/>
        <v>0</v>
      </c>
      <c r="S157" s="75">
        <f t="shared" si="57"/>
        <v>0</v>
      </c>
      <c r="T157" s="75">
        <f t="shared" si="57"/>
        <v>0</v>
      </c>
      <c r="U157" s="73">
        <f t="shared" si="56"/>
        <v>0</v>
      </c>
      <c r="V157" s="72">
        <f t="shared" ca="1" si="56"/>
        <v>0</v>
      </c>
      <c r="W157" s="72">
        <f t="shared" si="56"/>
        <v>0</v>
      </c>
    </row>
    <row r="158" spans="3:23" ht="15.75" hidden="1" thickBot="1" x14ac:dyDescent="0.3">
      <c r="C158" s="62">
        <f t="shared" si="54"/>
        <v>0</v>
      </c>
      <c r="D158" s="71" t="s">
        <v>48</v>
      </c>
      <c r="E158" s="70" t="s">
        <v>54</v>
      </c>
      <c r="F158" s="69">
        <f t="shared" ref="F158:W158" si="58">SUBTOTAL(9,F155:F157)</f>
        <v>0</v>
      </c>
      <c r="G158" s="68">
        <f t="shared" si="58"/>
        <v>0</v>
      </c>
      <c r="H158" s="68">
        <f t="shared" si="58"/>
        <v>0</v>
      </c>
      <c r="I158" s="69">
        <f t="shared" si="58"/>
        <v>0</v>
      </c>
      <c r="J158" s="68">
        <f t="shared" si="58"/>
        <v>0</v>
      </c>
      <c r="K158" s="68">
        <f t="shared" si="58"/>
        <v>0</v>
      </c>
      <c r="L158" s="69">
        <f t="shared" si="58"/>
        <v>0</v>
      </c>
      <c r="M158" s="68">
        <f t="shared" si="58"/>
        <v>0</v>
      </c>
      <c r="N158" s="68">
        <f t="shared" si="58"/>
        <v>0</v>
      </c>
      <c r="O158" s="69">
        <f t="shared" si="58"/>
        <v>0</v>
      </c>
      <c r="P158" s="68">
        <f t="shared" si="58"/>
        <v>0</v>
      </c>
      <c r="Q158" s="68">
        <f t="shared" si="58"/>
        <v>0</v>
      </c>
      <c r="R158" s="69">
        <f t="shared" si="58"/>
        <v>0</v>
      </c>
      <c r="S158" s="68">
        <f t="shared" si="58"/>
        <v>0</v>
      </c>
      <c r="T158" s="68">
        <f t="shared" si="58"/>
        <v>0</v>
      </c>
      <c r="U158" s="69">
        <f t="shared" si="58"/>
        <v>0</v>
      </c>
      <c r="V158" s="68">
        <f t="shared" si="58"/>
        <v>0</v>
      </c>
      <c r="W158" s="68">
        <f t="shared" si="58"/>
        <v>0</v>
      </c>
    </row>
    <row r="159" spans="3:23" ht="15.75" hidden="1" thickBot="1" x14ac:dyDescent="0.3"/>
    <row r="160" spans="3:23" ht="15" hidden="1" customHeight="1" x14ac:dyDescent="0.25">
      <c r="C160" s="62">
        <f>IF(E160&gt;0,1,0)</f>
        <v>0</v>
      </c>
      <c r="D160" s="936" t="str">
        <f>+A19</f>
        <v>Erie</v>
      </c>
      <c r="E160" s="938">
        <f>SUMIF(A:A,D160,B:B)</f>
        <v>0</v>
      </c>
      <c r="F160" s="940" t="s">
        <v>103</v>
      </c>
      <c r="G160" s="941"/>
      <c r="H160" s="942"/>
      <c r="I160" s="940" t="s">
        <v>102</v>
      </c>
      <c r="J160" s="941"/>
      <c r="K160" s="942"/>
      <c r="L160" s="940" t="s">
        <v>101</v>
      </c>
      <c r="M160" s="941"/>
      <c r="N160" s="942"/>
      <c r="O160" s="940" t="s">
        <v>100</v>
      </c>
      <c r="P160" s="941"/>
      <c r="Q160" s="942"/>
      <c r="R160" s="940" t="s">
        <v>99</v>
      </c>
      <c r="S160" s="941"/>
      <c r="T160" s="942"/>
      <c r="U160" s="940" t="s">
        <v>98</v>
      </c>
      <c r="V160" s="941"/>
      <c r="W160" s="943"/>
    </row>
    <row r="161" spans="3:23" ht="30.75" hidden="1" thickBot="1" x14ac:dyDescent="0.3">
      <c r="C161" s="62">
        <f>IF(E160&gt;0,1,0)</f>
        <v>0</v>
      </c>
      <c r="D161" s="937"/>
      <c r="E161" s="939"/>
      <c r="F161" s="88" t="s">
        <v>97</v>
      </c>
      <c r="G161" s="88" t="s">
        <v>96</v>
      </c>
      <c r="H161" s="88" t="s">
        <v>95</v>
      </c>
      <c r="I161" s="88" t="s">
        <v>97</v>
      </c>
      <c r="J161" s="88" t="s">
        <v>96</v>
      </c>
      <c r="K161" s="88" t="s">
        <v>95</v>
      </c>
      <c r="L161" s="88" t="s">
        <v>97</v>
      </c>
      <c r="M161" s="88" t="s">
        <v>96</v>
      </c>
      <c r="N161" s="88" t="s">
        <v>95</v>
      </c>
      <c r="O161" s="88" t="s">
        <v>97</v>
      </c>
      <c r="P161" s="88" t="s">
        <v>96</v>
      </c>
      <c r="Q161" s="88" t="s">
        <v>95</v>
      </c>
      <c r="R161" s="88" t="s">
        <v>97</v>
      </c>
      <c r="S161" s="88" t="s">
        <v>96</v>
      </c>
      <c r="T161" s="88" t="s">
        <v>95</v>
      </c>
      <c r="U161" s="88" t="s">
        <v>97</v>
      </c>
      <c r="V161" s="88" t="s">
        <v>96</v>
      </c>
      <c r="W161" s="87" t="s">
        <v>95</v>
      </c>
    </row>
    <row r="162" spans="3:23" ht="15.75" hidden="1" thickBot="1" x14ac:dyDescent="0.3">
      <c r="C162" s="62">
        <f>C161</f>
        <v>0</v>
      </c>
      <c r="D162" s="86"/>
      <c r="E162" s="85"/>
      <c r="F162" s="84" t="s">
        <v>57</v>
      </c>
      <c r="G162" s="84" t="s">
        <v>56</v>
      </c>
      <c r="H162" s="84" t="s">
        <v>55</v>
      </c>
      <c r="I162" s="84" t="s">
        <v>54</v>
      </c>
      <c r="J162" s="84" t="s">
        <v>53</v>
      </c>
      <c r="K162" s="84" t="s">
        <v>52</v>
      </c>
      <c r="L162" s="84" t="s">
        <v>51</v>
      </c>
      <c r="M162" s="84" t="s">
        <v>50</v>
      </c>
      <c r="N162" s="84" t="s">
        <v>49</v>
      </c>
      <c r="O162" s="84" t="s">
        <v>47</v>
      </c>
      <c r="P162" s="84" t="s">
        <v>77</v>
      </c>
      <c r="Q162" s="84" t="s">
        <v>78</v>
      </c>
      <c r="R162" s="84" t="s">
        <v>79</v>
      </c>
      <c r="S162" s="84" t="s">
        <v>81</v>
      </c>
      <c r="T162" s="84" t="s">
        <v>83</v>
      </c>
      <c r="U162" s="84" t="s">
        <v>85</v>
      </c>
      <c r="V162" s="84" t="s">
        <v>87</v>
      </c>
      <c r="W162" s="83" t="s">
        <v>88</v>
      </c>
    </row>
    <row r="163" spans="3:23" ht="15.75" hidden="1" thickBot="1" x14ac:dyDescent="0.3">
      <c r="C163" s="62">
        <f t="shared" ref="C163:C168" si="59">C162</f>
        <v>0</v>
      </c>
      <c r="D163" s="82" t="s">
        <v>26</v>
      </c>
      <c r="E163" s="80"/>
      <c r="F163" s="79"/>
      <c r="G163" s="79"/>
      <c r="H163" s="79"/>
      <c r="I163" s="79"/>
      <c r="J163" s="79"/>
      <c r="K163" s="79"/>
      <c r="L163" s="79"/>
      <c r="M163" s="79"/>
      <c r="N163" s="79"/>
      <c r="O163" s="79"/>
      <c r="P163" s="79"/>
      <c r="Q163" s="79"/>
      <c r="R163" s="79"/>
      <c r="S163" s="79"/>
      <c r="T163" s="79"/>
      <c r="U163" s="79"/>
      <c r="V163" s="79"/>
      <c r="W163" s="78"/>
    </row>
    <row r="164" spans="3:23" ht="15.75" hidden="1" thickBot="1" x14ac:dyDescent="0.3">
      <c r="C164" s="62">
        <f t="shared" si="59"/>
        <v>0</v>
      </c>
      <c r="D164" s="81" t="s">
        <v>94</v>
      </c>
      <c r="E164" s="80"/>
      <c r="F164" s="79"/>
      <c r="G164" s="79"/>
      <c r="H164" s="79"/>
      <c r="I164" s="79"/>
      <c r="J164" s="79"/>
      <c r="K164" s="79"/>
      <c r="L164" s="79"/>
      <c r="M164" s="79"/>
      <c r="N164" s="79"/>
      <c r="O164" s="79"/>
      <c r="P164" s="79"/>
      <c r="Q164" s="79"/>
      <c r="R164" s="79"/>
      <c r="S164" s="79"/>
      <c r="T164" s="79"/>
      <c r="U164" s="79"/>
      <c r="V164" s="79"/>
      <c r="W164" s="78"/>
    </row>
    <row r="165" spans="3:23" ht="15.75" hidden="1" thickBot="1" x14ac:dyDescent="0.3">
      <c r="C165" s="62">
        <f t="shared" si="59"/>
        <v>0</v>
      </c>
      <c r="D165" s="268" t="s">
        <v>93</v>
      </c>
      <c r="E165" s="76" t="s">
        <v>57</v>
      </c>
      <c r="F165" s="75">
        <f>+F8*$E$160</f>
        <v>0</v>
      </c>
      <c r="G165" s="75">
        <f t="shared" ref="G165:T165" si="60">+G8*$E$160</f>
        <v>0</v>
      </c>
      <c r="H165" s="75">
        <f t="shared" si="60"/>
        <v>0</v>
      </c>
      <c r="I165" s="75">
        <f t="shared" si="60"/>
        <v>0</v>
      </c>
      <c r="J165" s="75">
        <f t="shared" si="60"/>
        <v>0</v>
      </c>
      <c r="K165" s="75">
        <f t="shared" si="60"/>
        <v>0</v>
      </c>
      <c r="L165" s="75">
        <f t="shared" si="60"/>
        <v>0</v>
      </c>
      <c r="M165" s="75">
        <f t="shared" ca="1" si="60"/>
        <v>0</v>
      </c>
      <c r="N165" s="75">
        <f t="shared" ca="1" si="60"/>
        <v>0</v>
      </c>
      <c r="O165" s="75">
        <f t="shared" si="60"/>
        <v>0</v>
      </c>
      <c r="P165" s="75">
        <f t="shared" si="60"/>
        <v>0</v>
      </c>
      <c r="Q165" s="75">
        <f t="shared" si="60"/>
        <v>0</v>
      </c>
      <c r="R165" s="75">
        <f t="shared" si="60"/>
        <v>0</v>
      </c>
      <c r="S165" s="75">
        <f t="shared" si="60"/>
        <v>0</v>
      </c>
      <c r="T165" s="75">
        <f t="shared" si="60"/>
        <v>0</v>
      </c>
      <c r="U165" s="73">
        <f t="shared" ref="U165:W167" si="61">+R165+O165+L165+I165+F165</f>
        <v>0</v>
      </c>
      <c r="V165" s="72">
        <f t="shared" ca="1" si="61"/>
        <v>0</v>
      </c>
      <c r="W165" s="72">
        <f t="shared" ca="1" si="61"/>
        <v>0</v>
      </c>
    </row>
    <row r="166" spans="3:23" ht="15.75" hidden="1" thickBot="1" x14ac:dyDescent="0.3">
      <c r="C166" s="62">
        <f t="shared" si="59"/>
        <v>0</v>
      </c>
      <c r="D166" s="268" t="s">
        <v>92</v>
      </c>
      <c r="E166" s="76" t="s">
        <v>56</v>
      </c>
      <c r="F166" s="75">
        <f t="shared" ref="F166:T167" si="62">+F9*$E$160</f>
        <v>0</v>
      </c>
      <c r="G166" s="75">
        <f t="shared" si="62"/>
        <v>0</v>
      </c>
      <c r="H166" s="75">
        <f t="shared" si="62"/>
        <v>0</v>
      </c>
      <c r="I166" s="75">
        <f t="shared" si="62"/>
        <v>0</v>
      </c>
      <c r="J166" s="75">
        <f t="shared" si="62"/>
        <v>0</v>
      </c>
      <c r="K166" s="75">
        <f t="shared" si="62"/>
        <v>0</v>
      </c>
      <c r="L166" s="75">
        <f t="shared" si="62"/>
        <v>0</v>
      </c>
      <c r="M166" s="75">
        <f t="shared" si="62"/>
        <v>0</v>
      </c>
      <c r="N166" s="75">
        <f t="shared" si="62"/>
        <v>0</v>
      </c>
      <c r="O166" s="75">
        <f t="shared" si="62"/>
        <v>0</v>
      </c>
      <c r="P166" s="75">
        <f t="shared" si="62"/>
        <v>0</v>
      </c>
      <c r="Q166" s="75">
        <f t="shared" si="62"/>
        <v>0</v>
      </c>
      <c r="R166" s="75">
        <f t="shared" si="62"/>
        <v>0</v>
      </c>
      <c r="S166" s="75">
        <f t="shared" si="62"/>
        <v>0</v>
      </c>
      <c r="T166" s="75">
        <f t="shared" si="62"/>
        <v>0</v>
      </c>
      <c r="U166" s="73">
        <f t="shared" si="61"/>
        <v>0</v>
      </c>
      <c r="V166" s="72">
        <f t="shared" si="61"/>
        <v>0</v>
      </c>
      <c r="W166" s="72">
        <f t="shared" si="61"/>
        <v>0</v>
      </c>
    </row>
    <row r="167" spans="3:23" ht="15.75" hidden="1" thickBot="1" x14ac:dyDescent="0.3">
      <c r="C167" s="62">
        <f t="shared" si="59"/>
        <v>0</v>
      </c>
      <c r="D167" s="268" t="s">
        <v>91</v>
      </c>
      <c r="E167" s="76" t="s">
        <v>55</v>
      </c>
      <c r="F167" s="75">
        <f t="shared" si="62"/>
        <v>0</v>
      </c>
      <c r="G167" s="75">
        <f t="shared" si="62"/>
        <v>0</v>
      </c>
      <c r="H167" s="75">
        <f t="shared" si="62"/>
        <v>0</v>
      </c>
      <c r="I167" s="75">
        <f t="shared" si="62"/>
        <v>0</v>
      </c>
      <c r="J167" s="75">
        <f t="shared" si="62"/>
        <v>0</v>
      </c>
      <c r="K167" s="75">
        <f t="shared" si="62"/>
        <v>0</v>
      </c>
      <c r="L167" s="75">
        <f t="shared" si="62"/>
        <v>0</v>
      </c>
      <c r="M167" s="75">
        <f t="shared" ca="1" si="62"/>
        <v>0</v>
      </c>
      <c r="N167" s="75">
        <f t="shared" si="62"/>
        <v>0</v>
      </c>
      <c r="O167" s="75">
        <f t="shared" si="62"/>
        <v>0</v>
      </c>
      <c r="P167" s="75">
        <f t="shared" si="62"/>
        <v>0</v>
      </c>
      <c r="Q167" s="75">
        <f t="shared" si="62"/>
        <v>0</v>
      </c>
      <c r="R167" s="75">
        <f t="shared" si="62"/>
        <v>0</v>
      </c>
      <c r="S167" s="75">
        <f t="shared" si="62"/>
        <v>0</v>
      </c>
      <c r="T167" s="75">
        <f t="shared" si="62"/>
        <v>0</v>
      </c>
      <c r="U167" s="73">
        <f t="shared" si="61"/>
        <v>0</v>
      </c>
      <c r="V167" s="72">
        <f t="shared" ca="1" si="61"/>
        <v>0</v>
      </c>
      <c r="W167" s="72">
        <f t="shared" si="61"/>
        <v>0</v>
      </c>
    </row>
    <row r="168" spans="3:23" ht="15.75" hidden="1" thickBot="1" x14ac:dyDescent="0.3">
      <c r="C168" s="62">
        <f t="shared" si="59"/>
        <v>0</v>
      </c>
      <c r="D168" s="71" t="s">
        <v>48</v>
      </c>
      <c r="E168" s="70" t="s">
        <v>54</v>
      </c>
      <c r="F168" s="69">
        <f t="shared" ref="F168:W168" si="63">SUBTOTAL(9,F165:F167)</f>
        <v>0</v>
      </c>
      <c r="G168" s="68">
        <f t="shared" si="63"/>
        <v>0</v>
      </c>
      <c r="H168" s="68">
        <f t="shared" si="63"/>
        <v>0</v>
      </c>
      <c r="I168" s="69">
        <f t="shared" si="63"/>
        <v>0</v>
      </c>
      <c r="J168" s="68">
        <f t="shared" si="63"/>
        <v>0</v>
      </c>
      <c r="K168" s="68">
        <f t="shared" si="63"/>
        <v>0</v>
      </c>
      <c r="L168" s="69">
        <f t="shared" si="63"/>
        <v>0</v>
      </c>
      <c r="M168" s="68">
        <f t="shared" si="63"/>
        <v>0</v>
      </c>
      <c r="N168" s="68">
        <f t="shared" si="63"/>
        <v>0</v>
      </c>
      <c r="O168" s="69">
        <f t="shared" si="63"/>
        <v>0</v>
      </c>
      <c r="P168" s="68">
        <f t="shared" si="63"/>
        <v>0</v>
      </c>
      <c r="Q168" s="68">
        <f t="shared" si="63"/>
        <v>0</v>
      </c>
      <c r="R168" s="69">
        <f t="shared" si="63"/>
        <v>0</v>
      </c>
      <c r="S168" s="68">
        <f t="shared" si="63"/>
        <v>0</v>
      </c>
      <c r="T168" s="68">
        <f t="shared" si="63"/>
        <v>0</v>
      </c>
      <c r="U168" s="69">
        <f t="shared" si="63"/>
        <v>0</v>
      </c>
      <c r="V168" s="68">
        <f t="shared" si="63"/>
        <v>0</v>
      </c>
      <c r="W168" s="68">
        <f t="shared" si="63"/>
        <v>0</v>
      </c>
    </row>
    <row r="169" spans="3:23" ht="15.75" hidden="1" thickBot="1" x14ac:dyDescent="0.3"/>
    <row r="170" spans="3:23" ht="15.75" hidden="1" thickBot="1" x14ac:dyDescent="0.3">
      <c r="C170" s="62">
        <f>IF(E170&gt;0,1,0)</f>
        <v>0</v>
      </c>
      <c r="D170" s="936" t="str">
        <f>+A20</f>
        <v>Essex</v>
      </c>
      <c r="E170" s="938">
        <f>SUMIF(A:A,D170,B:B)</f>
        <v>0</v>
      </c>
      <c r="F170" s="940" t="s">
        <v>103</v>
      </c>
      <c r="G170" s="941"/>
      <c r="H170" s="942"/>
      <c r="I170" s="940" t="s">
        <v>102</v>
      </c>
      <c r="J170" s="941"/>
      <c r="K170" s="942"/>
      <c r="L170" s="940" t="s">
        <v>101</v>
      </c>
      <c r="M170" s="941"/>
      <c r="N170" s="942"/>
      <c r="O170" s="940" t="s">
        <v>100</v>
      </c>
      <c r="P170" s="941"/>
      <c r="Q170" s="942"/>
      <c r="R170" s="940" t="s">
        <v>99</v>
      </c>
      <c r="S170" s="941"/>
      <c r="T170" s="942"/>
      <c r="U170" s="940" t="s">
        <v>98</v>
      </c>
      <c r="V170" s="941"/>
      <c r="W170" s="943"/>
    </row>
    <row r="171" spans="3:23" ht="30.75" hidden="1" thickBot="1" x14ac:dyDescent="0.3">
      <c r="C171" s="62">
        <f>IF(E170&gt;0,1,0)</f>
        <v>0</v>
      </c>
      <c r="D171" s="937"/>
      <c r="E171" s="939"/>
      <c r="F171" s="88" t="s">
        <v>97</v>
      </c>
      <c r="G171" s="88" t="s">
        <v>96</v>
      </c>
      <c r="H171" s="88" t="s">
        <v>95</v>
      </c>
      <c r="I171" s="88" t="s">
        <v>97</v>
      </c>
      <c r="J171" s="88" t="s">
        <v>96</v>
      </c>
      <c r="K171" s="88" t="s">
        <v>95</v>
      </c>
      <c r="L171" s="88" t="s">
        <v>97</v>
      </c>
      <c r="M171" s="88" t="s">
        <v>96</v>
      </c>
      <c r="N171" s="88" t="s">
        <v>95</v>
      </c>
      <c r="O171" s="88" t="s">
        <v>97</v>
      </c>
      <c r="P171" s="88" t="s">
        <v>96</v>
      </c>
      <c r="Q171" s="88" t="s">
        <v>95</v>
      </c>
      <c r="R171" s="88" t="s">
        <v>97</v>
      </c>
      <c r="S171" s="88" t="s">
        <v>96</v>
      </c>
      <c r="T171" s="88" t="s">
        <v>95</v>
      </c>
      <c r="U171" s="88" t="s">
        <v>97</v>
      </c>
      <c r="V171" s="88" t="s">
        <v>96</v>
      </c>
      <c r="W171" s="87" t="s">
        <v>95</v>
      </c>
    </row>
    <row r="172" spans="3:23" ht="15.75" hidden="1" thickBot="1" x14ac:dyDescent="0.3">
      <c r="C172" s="62">
        <f>C171</f>
        <v>0</v>
      </c>
      <c r="D172" s="86"/>
      <c r="E172" s="85"/>
      <c r="F172" s="84" t="s">
        <v>57</v>
      </c>
      <c r="G172" s="84" t="s">
        <v>56</v>
      </c>
      <c r="H172" s="84" t="s">
        <v>55</v>
      </c>
      <c r="I172" s="84" t="s">
        <v>54</v>
      </c>
      <c r="J172" s="84" t="s">
        <v>53</v>
      </c>
      <c r="K172" s="84" t="s">
        <v>52</v>
      </c>
      <c r="L172" s="84" t="s">
        <v>51</v>
      </c>
      <c r="M172" s="84" t="s">
        <v>50</v>
      </c>
      <c r="N172" s="84" t="s">
        <v>49</v>
      </c>
      <c r="O172" s="84" t="s">
        <v>47</v>
      </c>
      <c r="P172" s="84" t="s">
        <v>77</v>
      </c>
      <c r="Q172" s="84" t="s">
        <v>78</v>
      </c>
      <c r="R172" s="84" t="s">
        <v>79</v>
      </c>
      <c r="S172" s="84" t="s">
        <v>81</v>
      </c>
      <c r="T172" s="84" t="s">
        <v>83</v>
      </c>
      <c r="U172" s="84" t="s">
        <v>85</v>
      </c>
      <c r="V172" s="84" t="s">
        <v>87</v>
      </c>
      <c r="W172" s="83" t="s">
        <v>88</v>
      </c>
    </row>
    <row r="173" spans="3:23" ht="15.75" hidden="1" thickBot="1" x14ac:dyDescent="0.3">
      <c r="C173" s="62">
        <f t="shared" ref="C173:C178" si="64">C172</f>
        <v>0</v>
      </c>
      <c r="D173" s="82" t="s">
        <v>26</v>
      </c>
      <c r="E173" s="80"/>
      <c r="F173" s="79"/>
      <c r="G173" s="79"/>
      <c r="H173" s="79"/>
      <c r="I173" s="79"/>
      <c r="J173" s="79"/>
      <c r="K173" s="79"/>
      <c r="L173" s="79"/>
      <c r="M173" s="79"/>
      <c r="N173" s="79"/>
      <c r="O173" s="79"/>
      <c r="P173" s="79"/>
      <c r="Q173" s="79"/>
      <c r="R173" s="79"/>
      <c r="S173" s="79"/>
      <c r="T173" s="79"/>
      <c r="U173" s="79"/>
      <c r="V173" s="79"/>
      <c r="W173" s="78"/>
    </row>
    <row r="174" spans="3:23" ht="15.75" hidden="1" thickBot="1" x14ac:dyDescent="0.3">
      <c r="C174" s="62">
        <f t="shared" si="64"/>
        <v>0</v>
      </c>
      <c r="D174" s="81" t="s">
        <v>94</v>
      </c>
      <c r="E174" s="80"/>
      <c r="F174" s="79"/>
      <c r="G174" s="79"/>
      <c r="H174" s="79"/>
      <c r="I174" s="79"/>
      <c r="J174" s="79"/>
      <c r="K174" s="79"/>
      <c r="L174" s="79"/>
      <c r="M174" s="79"/>
      <c r="N174" s="79"/>
      <c r="O174" s="79"/>
      <c r="P174" s="79"/>
      <c r="Q174" s="79"/>
      <c r="R174" s="79"/>
      <c r="S174" s="79"/>
      <c r="T174" s="79"/>
      <c r="U174" s="79"/>
      <c r="V174" s="79"/>
      <c r="W174" s="78"/>
    </row>
    <row r="175" spans="3:23" ht="15.75" hidden="1" thickBot="1" x14ac:dyDescent="0.3">
      <c r="C175" s="62">
        <f t="shared" si="64"/>
        <v>0</v>
      </c>
      <c r="D175" s="268" t="s">
        <v>93</v>
      </c>
      <c r="E175" s="76" t="s">
        <v>53</v>
      </c>
      <c r="F175" s="75">
        <f>+F8*$E$170</f>
        <v>0</v>
      </c>
      <c r="G175" s="75">
        <f t="shared" ref="G175:T175" si="65">+G8*$E$170</f>
        <v>0</v>
      </c>
      <c r="H175" s="75">
        <f t="shared" si="65"/>
        <v>0</v>
      </c>
      <c r="I175" s="75">
        <f t="shared" si="65"/>
        <v>0</v>
      </c>
      <c r="J175" s="75">
        <f t="shared" si="65"/>
        <v>0</v>
      </c>
      <c r="K175" s="75">
        <f t="shared" si="65"/>
        <v>0</v>
      </c>
      <c r="L175" s="75">
        <f t="shared" si="65"/>
        <v>0</v>
      </c>
      <c r="M175" s="75">
        <f t="shared" ca="1" si="65"/>
        <v>0</v>
      </c>
      <c r="N175" s="75">
        <f t="shared" ca="1" si="65"/>
        <v>0</v>
      </c>
      <c r="O175" s="75">
        <f t="shared" si="65"/>
        <v>0</v>
      </c>
      <c r="P175" s="75">
        <f t="shared" si="65"/>
        <v>0</v>
      </c>
      <c r="Q175" s="75">
        <f t="shared" si="65"/>
        <v>0</v>
      </c>
      <c r="R175" s="75">
        <f t="shared" si="65"/>
        <v>0</v>
      </c>
      <c r="S175" s="75">
        <f t="shared" si="65"/>
        <v>0</v>
      </c>
      <c r="T175" s="75">
        <f t="shared" si="65"/>
        <v>0</v>
      </c>
      <c r="U175" s="73">
        <f t="shared" ref="U175:W177" si="66">+R175+O175+L175+I175+F175</f>
        <v>0</v>
      </c>
      <c r="V175" s="72">
        <f t="shared" ca="1" si="66"/>
        <v>0</v>
      </c>
      <c r="W175" s="72">
        <f t="shared" ca="1" si="66"/>
        <v>0</v>
      </c>
    </row>
    <row r="176" spans="3:23" ht="15.75" hidden="1" thickBot="1" x14ac:dyDescent="0.3">
      <c r="C176" s="62">
        <f t="shared" si="64"/>
        <v>0</v>
      </c>
      <c r="D176" s="268" t="s">
        <v>92</v>
      </c>
      <c r="E176" s="76" t="s">
        <v>52</v>
      </c>
      <c r="F176" s="75">
        <f t="shared" ref="F176:T177" si="67">+F9*$E$170</f>
        <v>0</v>
      </c>
      <c r="G176" s="75">
        <f t="shared" si="67"/>
        <v>0</v>
      </c>
      <c r="H176" s="75">
        <f t="shared" si="67"/>
        <v>0</v>
      </c>
      <c r="I176" s="75">
        <f t="shared" si="67"/>
        <v>0</v>
      </c>
      <c r="J176" s="75">
        <f t="shared" si="67"/>
        <v>0</v>
      </c>
      <c r="K176" s="75">
        <f t="shared" si="67"/>
        <v>0</v>
      </c>
      <c r="L176" s="75">
        <f t="shared" si="67"/>
        <v>0</v>
      </c>
      <c r="M176" s="75">
        <f t="shared" si="67"/>
        <v>0</v>
      </c>
      <c r="N176" s="75">
        <f t="shared" si="67"/>
        <v>0</v>
      </c>
      <c r="O176" s="75">
        <f t="shared" si="67"/>
        <v>0</v>
      </c>
      <c r="P176" s="75">
        <f t="shared" si="67"/>
        <v>0</v>
      </c>
      <c r="Q176" s="75">
        <f t="shared" si="67"/>
        <v>0</v>
      </c>
      <c r="R176" s="75">
        <f t="shared" si="67"/>
        <v>0</v>
      </c>
      <c r="S176" s="75">
        <f t="shared" si="67"/>
        <v>0</v>
      </c>
      <c r="T176" s="75">
        <f t="shared" si="67"/>
        <v>0</v>
      </c>
      <c r="U176" s="73">
        <f t="shared" si="66"/>
        <v>0</v>
      </c>
      <c r="V176" s="72">
        <f t="shared" si="66"/>
        <v>0</v>
      </c>
      <c r="W176" s="72">
        <f t="shared" si="66"/>
        <v>0</v>
      </c>
    </row>
    <row r="177" spans="3:23" ht="15.75" hidden="1" thickBot="1" x14ac:dyDescent="0.3">
      <c r="C177" s="62">
        <f t="shared" si="64"/>
        <v>0</v>
      </c>
      <c r="D177" s="268" t="s">
        <v>91</v>
      </c>
      <c r="E177" s="76" t="s">
        <v>51</v>
      </c>
      <c r="F177" s="75">
        <f t="shared" si="67"/>
        <v>0</v>
      </c>
      <c r="G177" s="75">
        <f t="shared" si="67"/>
        <v>0</v>
      </c>
      <c r="H177" s="75">
        <f t="shared" si="67"/>
        <v>0</v>
      </c>
      <c r="I177" s="75">
        <f t="shared" si="67"/>
        <v>0</v>
      </c>
      <c r="J177" s="75">
        <f t="shared" si="67"/>
        <v>0</v>
      </c>
      <c r="K177" s="75">
        <f t="shared" si="67"/>
        <v>0</v>
      </c>
      <c r="L177" s="75">
        <f t="shared" si="67"/>
        <v>0</v>
      </c>
      <c r="M177" s="75">
        <f t="shared" ca="1" si="67"/>
        <v>0</v>
      </c>
      <c r="N177" s="75">
        <f t="shared" si="67"/>
        <v>0</v>
      </c>
      <c r="O177" s="75">
        <f t="shared" si="67"/>
        <v>0</v>
      </c>
      <c r="P177" s="75">
        <f t="shared" si="67"/>
        <v>0</v>
      </c>
      <c r="Q177" s="75">
        <f t="shared" si="67"/>
        <v>0</v>
      </c>
      <c r="R177" s="75">
        <f t="shared" si="67"/>
        <v>0</v>
      </c>
      <c r="S177" s="75">
        <f t="shared" si="67"/>
        <v>0</v>
      </c>
      <c r="T177" s="75">
        <f t="shared" si="67"/>
        <v>0</v>
      </c>
      <c r="U177" s="73">
        <f t="shared" si="66"/>
        <v>0</v>
      </c>
      <c r="V177" s="72">
        <f t="shared" ca="1" si="66"/>
        <v>0</v>
      </c>
      <c r="W177" s="72">
        <f t="shared" si="66"/>
        <v>0</v>
      </c>
    </row>
    <row r="178" spans="3:23" ht="15.75" hidden="1" thickBot="1" x14ac:dyDescent="0.3">
      <c r="C178" s="62">
        <f t="shared" si="64"/>
        <v>0</v>
      </c>
      <c r="D178" s="71" t="s">
        <v>48</v>
      </c>
      <c r="E178" s="70" t="s">
        <v>50</v>
      </c>
      <c r="F178" s="69">
        <f t="shared" ref="F178:W178" si="68">SUBTOTAL(9,F175:F177)</f>
        <v>0</v>
      </c>
      <c r="G178" s="68">
        <f t="shared" si="68"/>
        <v>0</v>
      </c>
      <c r="H178" s="68">
        <f t="shared" si="68"/>
        <v>0</v>
      </c>
      <c r="I178" s="69">
        <f t="shared" si="68"/>
        <v>0</v>
      </c>
      <c r="J178" s="68">
        <f t="shared" si="68"/>
        <v>0</v>
      </c>
      <c r="K178" s="68">
        <f t="shared" si="68"/>
        <v>0</v>
      </c>
      <c r="L178" s="69">
        <f t="shared" si="68"/>
        <v>0</v>
      </c>
      <c r="M178" s="68">
        <f t="shared" si="68"/>
        <v>0</v>
      </c>
      <c r="N178" s="68">
        <f t="shared" si="68"/>
        <v>0</v>
      </c>
      <c r="O178" s="69">
        <f t="shared" si="68"/>
        <v>0</v>
      </c>
      <c r="P178" s="68">
        <f t="shared" si="68"/>
        <v>0</v>
      </c>
      <c r="Q178" s="68">
        <f t="shared" si="68"/>
        <v>0</v>
      </c>
      <c r="R178" s="69">
        <f t="shared" si="68"/>
        <v>0</v>
      </c>
      <c r="S178" s="68">
        <f t="shared" si="68"/>
        <v>0</v>
      </c>
      <c r="T178" s="68">
        <f t="shared" si="68"/>
        <v>0</v>
      </c>
      <c r="U178" s="69">
        <f t="shared" si="68"/>
        <v>0</v>
      </c>
      <c r="V178" s="68">
        <f t="shared" si="68"/>
        <v>0</v>
      </c>
      <c r="W178" s="68">
        <f t="shared" si="68"/>
        <v>0</v>
      </c>
    </row>
    <row r="179" spans="3:23" ht="15.75" hidden="1" thickBot="1" x14ac:dyDescent="0.3"/>
    <row r="180" spans="3:23" ht="15.75" hidden="1" thickBot="1" x14ac:dyDescent="0.3">
      <c r="C180" s="62">
        <f>IF(E180&gt;0,1,0)</f>
        <v>0</v>
      </c>
      <c r="D180" s="936" t="str">
        <f>+A21</f>
        <v>Franklin</v>
      </c>
      <c r="E180" s="938">
        <f>SUMIF(A:A,D180,B:B)</f>
        <v>0</v>
      </c>
      <c r="F180" s="940" t="s">
        <v>103</v>
      </c>
      <c r="G180" s="941"/>
      <c r="H180" s="942"/>
      <c r="I180" s="940" t="s">
        <v>102</v>
      </c>
      <c r="J180" s="941"/>
      <c r="K180" s="942"/>
      <c r="L180" s="940" t="s">
        <v>101</v>
      </c>
      <c r="M180" s="941"/>
      <c r="N180" s="942"/>
      <c r="O180" s="940" t="s">
        <v>100</v>
      </c>
      <c r="P180" s="941"/>
      <c r="Q180" s="942"/>
      <c r="R180" s="940" t="s">
        <v>99</v>
      </c>
      <c r="S180" s="941"/>
      <c r="T180" s="942"/>
      <c r="U180" s="940" t="s">
        <v>98</v>
      </c>
      <c r="V180" s="941"/>
      <c r="W180" s="943"/>
    </row>
    <row r="181" spans="3:23" ht="30.75" hidden="1" thickBot="1" x14ac:dyDescent="0.3">
      <c r="C181" s="62">
        <f>IF(E180&gt;0,1,0)</f>
        <v>0</v>
      </c>
      <c r="D181" s="937"/>
      <c r="E181" s="939"/>
      <c r="F181" s="88" t="s">
        <v>97</v>
      </c>
      <c r="G181" s="88" t="s">
        <v>96</v>
      </c>
      <c r="H181" s="88" t="s">
        <v>95</v>
      </c>
      <c r="I181" s="88" t="s">
        <v>97</v>
      </c>
      <c r="J181" s="88" t="s">
        <v>96</v>
      </c>
      <c r="K181" s="88" t="s">
        <v>95</v>
      </c>
      <c r="L181" s="88" t="s">
        <v>97</v>
      </c>
      <c r="M181" s="88" t="s">
        <v>96</v>
      </c>
      <c r="N181" s="88" t="s">
        <v>95</v>
      </c>
      <c r="O181" s="88" t="s">
        <v>97</v>
      </c>
      <c r="P181" s="88" t="s">
        <v>96</v>
      </c>
      <c r="Q181" s="88" t="s">
        <v>95</v>
      </c>
      <c r="R181" s="88" t="s">
        <v>97</v>
      </c>
      <c r="S181" s="88" t="s">
        <v>96</v>
      </c>
      <c r="T181" s="88" t="s">
        <v>95</v>
      </c>
      <c r="U181" s="88" t="s">
        <v>97</v>
      </c>
      <c r="V181" s="88" t="s">
        <v>96</v>
      </c>
      <c r="W181" s="87" t="s">
        <v>95</v>
      </c>
    </row>
    <row r="182" spans="3:23" ht="15.75" hidden="1" thickBot="1" x14ac:dyDescent="0.3">
      <c r="C182" s="62">
        <f>C181</f>
        <v>0</v>
      </c>
      <c r="D182" s="86"/>
      <c r="E182" s="85"/>
      <c r="F182" s="84" t="s">
        <v>57</v>
      </c>
      <c r="G182" s="84" t="s">
        <v>56</v>
      </c>
      <c r="H182" s="84" t="s">
        <v>55</v>
      </c>
      <c r="I182" s="84" t="s">
        <v>54</v>
      </c>
      <c r="J182" s="84" t="s">
        <v>53</v>
      </c>
      <c r="K182" s="84" t="s">
        <v>52</v>
      </c>
      <c r="L182" s="84" t="s">
        <v>51</v>
      </c>
      <c r="M182" s="84" t="s">
        <v>50</v>
      </c>
      <c r="N182" s="84" t="s">
        <v>49</v>
      </c>
      <c r="O182" s="84" t="s">
        <v>47</v>
      </c>
      <c r="P182" s="84" t="s">
        <v>77</v>
      </c>
      <c r="Q182" s="84" t="s">
        <v>78</v>
      </c>
      <c r="R182" s="84" t="s">
        <v>79</v>
      </c>
      <c r="S182" s="84" t="s">
        <v>81</v>
      </c>
      <c r="T182" s="84" t="s">
        <v>83</v>
      </c>
      <c r="U182" s="84" t="s">
        <v>85</v>
      </c>
      <c r="V182" s="84" t="s">
        <v>87</v>
      </c>
      <c r="W182" s="83" t="s">
        <v>88</v>
      </c>
    </row>
    <row r="183" spans="3:23" ht="15.75" hidden="1" thickBot="1" x14ac:dyDescent="0.3">
      <c r="C183" s="62">
        <f t="shared" ref="C183:C188" si="69">C182</f>
        <v>0</v>
      </c>
      <c r="D183" s="82" t="s">
        <v>26</v>
      </c>
      <c r="E183" s="80"/>
      <c r="F183" s="79"/>
      <c r="G183" s="79"/>
      <c r="H183" s="79"/>
      <c r="I183" s="79"/>
      <c r="J183" s="79"/>
      <c r="K183" s="79"/>
      <c r="L183" s="79"/>
      <c r="M183" s="79"/>
      <c r="N183" s="79"/>
      <c r="O183" s="79"/>
      <c r="P183" s="79"/>
      <c r="Q183" s="79"/>
      <c r="R183" s="79"/>
      <c r="S183" s="79"/>
      <c r="T183" s="79"/>
      <c r="U183" s="79"/>
      <c r="V183" s="79"/>
      <c r="W183" s="78"/>
    </row>
    <row r="184" spans="3:23" ht="15.75" hidden="1" thickBot="1" x14ac:dyDescent="0.3">
      <c r="C184" s="62">
        <f t="shared" si="69"/>
        <v>0</v>
      </c>
      <c r="D184" s="81" t="s">
        <v>94</v>
      </c>
      <c r="E184" s="80"/>
      <c r="F184" s="79"/>
      <c r="G184" s="79"/>
      <c r="H184" s="79"/>
      <c r="I184" s="79"/>
      <c r="J184" s="79"/>
      <c r="K184" s="79"/>
      <c r="L184" s="79"/>
      <c r="M184" s="79"/>
      <c r="N184" s="79"/>
      <c r="O184" s="79"/>
      <c r="P184" s="79"/>
      <c r="Q184" s="79"/>
      <c r="R184" s="79"/>
      <c r="S184" s="79"/>
      <c r="T184" s="79"/>
      <c r="U184" s="79"/>
      <c r="V184" s="79"/>
      <c r="W184" s="78"/>
    </row>
    <row r="185" spans="3:23" ht="15.75" hidden="1" thickBot="1" x14ac:dyDescent="0.3">
      <c r="C185" s="62">
        <f t="shared" si="69"/>
        <v>0</v>
      </c>
      <c r="D185" s="268" t="s">
        <v>93</v>
      </c>
      <c r="E185" s="76" t="s">
        <v>49</v>
      </c>
      <c r="F185" s="75">
        <f>+F8*$E$180</f>
        <v>0</v>
      </c>
      <c r="G185" s="75">
        <f t="shared" ref="G185:T185" si="70">+G8*$E$180</f>
        <v>0</v>
      </c>
      <c r="H185" s="75">
        <f t="shared" si="70"/>
        <v>0</v>
      </c>
      <c r="I185" s="75">
        <f t="shared" si="70"/>
        <v>0</v>
      </c>
      <c r="J185" s="75">
        <f t="shared" si="70"/>
        <v>0</v>
      </c>
      <c r="K185" s="75">
        <f t="shared" si="70"/>
        <v>0</v>
      </c>
      <c r="L185" s="75">
        <f t="shared" si="70"/>
        <v>0</v>
      </c>
      <c r="M185" s="75">
        <f t="shared" ca="1" si="70"/>
        <v>0</v>
      </c>
      <c r="N185" s="75">
        <f t="shared" ca="1" si="70"/>
        <v>0</v>
      </c>
      <c r="O185" s="75">
        <f t="shared" si="70"/>
        <v>0</v>
      </c>
      <c r="P185" s="75">
        <f t="shared" si="70"/>
        <v>0</v>
      </c>
      <c r="Q185" s="75">
        <f t="shared" si="70"/>
        <v>0</v>
      </c>
      <c r="R185" s="75">
        <f t="shared" si="70"/>
        <v>0</v>
      </c>
      <c r="S185" s="75">
        <f t="shared" si="70"/>
        <v>0</v>
      </c>
      <c r="T185" s="75">
        <f t="shared" si="70"/>
        <v>0</v>
      </c>
      <c r="U185" s="73">
        <f t="shared" ref="U185:W187" si="71">+R185+O185+L185+I185+F185</f>
        <v>0</v>
      </c>
      <c r="V185" s="72">
        <f t="shared" ca="1" si="71"/>
        <v>0</v>
      </c>
      <c r="W185" s="72">
        <f t="shared" ca="1" si="71"/>
        <v>0</v>
      </c>
    </row>
    <row r="186" spans="3:23" ht="15.75" hidden="1" thickBot="1" x14ac:dyDescent="0.3">
      <c r="C186" s="62">
        <f t="shared" si="69"/>
        <v>0</v>
      </c>
      <c r="D186" s="268" t="s">
        <v>92</v>
      </c>
      <c r="E186" s="76" t="s">
        <v>47</v>
      </c>
      <c r="F186" s="75">
        <f t="shared" ref="F186:T187" si="72">+F9*$E$180</f>
        <v>0</v>
      </c>
      <c r="G186" s="75">
        <f t="shared" si="72"/>
        <v>0</v>
      </c>
      <c r="H186" s="75">
        <f t="shared" si="72"/>
        <v>0</v>
      </c>
      <c r="I186" s="75">
        <f t="shared" si="72"/>
        <v>0</v>
      </c>
      <c r="J186" s="75">
        <f t="shared" si="72"/>
        <v>0</v>
      </c>
      <c r="K186" s="75">
        <f t="shared" si="72"/>
        <v>0</v>
      </c>
      <c r="L186" s="75">
        <f t="shared" si="72"/>
        <v>0</v>
      </c>
      <c r="M186" s="75">
        <f t="shared" si="72"/>
        <v>0</v>
      </c>
      <c r="N186" s="75">
        <f t="shared" si="72"/>
        <v>0</v>
      </c>
      <c r="O186" s="75">
        <f t="shared" si="72"/>
        <v>0</v>
      </c>
      <c r="P186" s="75">
        <f t="shared" si="72"/>
        <v>0</v>
      </c>
      <c r="Q186" s="75">
        <f t="shared" si="72"/>
        <v>0</v>
      </c>
      <c r="R186" s="75">
        <f t="shared" si="72"/>
        <v>0</v>
      </c>
      <c r="S186" s="75">
        <f t="shared" si="72"/>
        <v>0</v>
      </c>
      <c r="T186" s="75">
        <f t="shared" si="72"/>
        <v>0</v>
      </c>
      <c r="U186" s="73">
        <f t="shared" si="71"/>
        <v>0</v>
      </c>
      <c r="V186" s="72">
        <f t="shared" si="71"/>
        <v>0</v>
      </c>
      <c r="W186" s="72">
        <f t="shared" si="71"/>
        <v>0</v>
      </c>
    </row>
    <row r="187" spans="3:23" ht="15.75" hidden="1" thickBot="1" x14ac:dyDescent="0.3">
      <c r="C187" s="62">
        <f t="shared" si="69"/>
        <v>0</v>
      </c>
      <c r="D187" s="268" t="s">
        <v>91</v>
      </c>
      <c r="E187" s="76" t="s">
        <v>77</v>
      </c>
      <c r="F187" s="75">
        <f t="shared" si="72"/>
        <v>0</v>
      </c>
      <c r="G187" s="75">
        <f t="shared" si="72"/>
        <v>0</v>
      </c>
      <c r="H187" s="75">
        <f t="shared" si="72"/>
        <v>0</v>
      </c>
      <c r="I187" s="75">
        <f t="shared" si="72"/>
        <v>0</v>
      </c>
      <c r="J187" s="75">
        <f t="shared" si="72"/>
        <v>0</v>
      </c>
      <c r="K187" s="75">
        <f t="shared" si="72"/>
        <v>0</v>
      </c>
      <c r="L187" s="75">
        <f t="shared" si="72"/>
        <v>0</v>
      </c>
      <c r="M187" s="75">
        <f t="shared" ca="1" si="72"/>
        <v>0</v>
      </c>
      <c r="N187" s="75">
        <f t="shared" si="72"/>
        <v>0</v>
      </c>
      <c r="O187" s="75">
        <f t="shared" si="72"/>
        <v>0</v>
      </c>
      <c r="P187" s="75">
        <f t="shared" si="72"/>
        <v>0</v>
      </c>
      <c r="Q187" s="75">
        <f t="shared" si="72"/>
        <v>0</v>
      </c>
      <c r="R187" s="75">
        <f t="shared" si="72"/>
        <v>0</v>
      </c>
      <c r="S187" s="75">
        <f t="shared" si="72"/>
        <v>0</v>
      </c>
      <c r="T187" s="75">
        <f t="shared" si="72"/>
        <v>0</v>
      </c>
      <c r="U187" s="73">
        <f t="shared" si="71"/>
        <v>0</v>
      </c>
      <c r="V187" s="72">
        <f t="shared" ca="1" si="71"/>
        <v>0</v>
      </c>
      <c r="W187" s="72">
        <f t="shared" si="71"/>
        <v>0</v>
      </c>
    </row>
    <row r="188" spans="3:23" ht="15.75" hidden="1" thickBot="1" x14ac:dyDescent="0.3">
      <c r="C188" s="62">
        <f t="shared" si="69"/>
        <v>0</v>
      </c>
      <c r="D188" s="71" t="s">
        <v>48</v>
      </c>
      <c r="E188" s="70" t="s">
        <v>78</v>
      </c>
      <c r="F188" s="69">
        <f t="shared" ref="F188:W188" si="73">SUBTOTAL(9,F185:F187)</f>
        <v>0</v>
      </c>
      <c r="G188" s="68">
        <f t="shared" si="73"/>
        <v>0</v>
      </c>
      <c r="H188" s="68">
        <f t="shared" si="73"/>
        <v>0</v>
      </c>
      <c r="I188" s="69">
        <f t="shared" si="73"/>
        <v>0</v>
      </c>
      <c r="J188" s="68">
        <f t="shared" si="73"/>
        <v>0</v>
      </c>
      <c r="K188" s="68">
        <f t="shared" si="73"/>
        <v>0</v>
      </c>
      <c r="L188" s="69">
        <f t="shared" si="73"/>
        <v>0</v>
      </c>
      <c r="M188" s="68">
        <f t="shared" si="73"/>
        <v>0</v>
      </c>
      <c r="N188" s="68">
        <f t="shared" si="73"/>
        <v>0</v>
      </c>
      <c r="O188" s="69">
        <f t="shared" si="73"/>
        <v>0</v>
      </c>
      <c r="P188" s="68">
        <f t="shared" si="73"/>
        <v>0</v>
      </c>
      <c r="Q188" s="68">
        <f t="shared" si="73"/>
        <v>0</v>
      </c>
      <c r="R188" s="69">
        <f t="shared" si="73"/>
        <v>0</v>
      </c>
      <c r="S188" s="68">
        <f t="shared" si="73"/>
        <v>0</v>
      </c>
      <c r="T188" s="68">
        <f t="shared" si="73"/>
        <v>0</v>
      </c>
      <c r="U188" s="69">
        <f t="shared" si="73"/>
        <v>0</v>
      </c>
      <c r="V188" s="68">
        <f t="shared" si="73"/>
        <v>0</v>
      </c>
      <c r="W188" s="68">
        <f t="shared" si="73"/>
        <v>0</v>
      </c>
    </row>
    <row r="189" spans="3:23" ht="15.75" hidden="1" thickBot="1" x14ac:dyDescent="0.3"/>
    <row r="190" spans="3:23" ht="15.75" hidden="1" thickBot="1" x14ac:dyDescent="0.3">
      <c r="C190" s="62">
        <f>IF(E190&gt;0,1,0)</f>
        <v>0</v>
      </c>
      <c r="D190" s="936" t="str">
        <f>+A22</f>
        <v>Fulton</v>
      </c>
      <c r="E190" s="938">
        <f>SUMIF(A:A,D190,B:B)</f>
        <v>0</v>
      </c>
      <c r="F190" s="940" t="s">
        <v>103</v>
      </c>
      <c r="G190" s="941"/>
      <c r="H190" s="942"/>
      <c r="I190" s="940" t="s">
        <v>102</v>
      </c>
      <c r="J190" s="941"/>
      <c r="K190" s="942"/>
      <c r="L190" s="940" t="s">
        <v>101</v>
      </c>
      <c r="M190" s="941"/>
      <c r="N190" s="942"/>
      <c r="O190" s="940" t="s">
        <v>100</v>
      </c>
      <c r="P190" s="941"/>
      <c r="Q190" s="942"/>
      <c r="R190" s="940" t="s">
        <v>99</v>
      </c>
      <c r="S190" s="941"/>
      <c r="T190" s="942"/>
      <c r="U190" s="940" t="s">
        <v>98</v>
      </c>
      <c r="V190" s="941"/>
      <c r="W190" s="943"/>
    </row>
    <row r="191" spans="3:23" ht="30.75" hidden="1" thickBot="1" x14ac:dyDescent="0.3">
      <c r="C191" s="62">
        <f>IF(E190&gt;0,1,0)</f>
        <v>0</v>
      </c>
      <c r="D191" s="937"/>
      <c r="E191" s="939"/>
      <c r="F191" s="88" t="s">
        <v>97</v>
      </c>
      <c r="G191" s="88" t="s">
        <v>96</v>
      </c>
      <c r="H191" s="88" t="s">
        <v>95</v>
      </c>
      <c r="I191" s="88" t="s">
        <v>97</v>
      </c>
      <c r="J191" s="88" t="s">
        <v>96</v>
      </c>
      <c r="K191" s="88" t="s">
        <v>95</v>
      </c>
      <c r="L191" s="88" t="s">
        <v>97</v>
      </c>
      <c r="M191" s="88" t="s">
        <v>96</v>
      </c>
      <c r="N191" s="88" t="s">
        <v>95</v>
      </c>
      <c r="O191" s="88" t="s">
        <v>97</v>
      </c>
      <c r="P191" s="88" t="s">
        <v>96</v>
      </c>
      <c r="Q191" s="88" t="s">
        <v>95</v>
      </c>
      <c r="R191" s="88" t="s">
        <v>97</v>
      </c>
      <c r="S191" s="88" t="s">
        <v>96</v>
      </c>
      <c r="T191" s="88" t="s">
        <v>95</v>
      </c>
      <c r="U191" s="88" t="s">
        <v>97</v>
      </c>
      <c r="V191" s="88" t="s">
        <v>96</v>
      </c>
      <c r="W191" s="87" t="s">
        <v>95</v>
      </c>
    </row>
    <row r="192" spans="3:23" ht="15.75" hidden="1" thickBot="1" x14ac:dyDescent="0.3">
      <c r="C192" s="62">
        <f>C191</f>
        <v>0</v>
      </c>
      <c r="D192" s="86"/>
      <c r="E192" s="85"/>
      <c r="F192" s="84" t="s">
        <v>57</v>
      </c>
      <c r="G192" s="84" t="s">
        <v>56</v>
      </c>
      <c r="H192" s="84" t="s">
        <v>55</v>
      </c>
      <c r="I192" s="84" t="s">
        <v>54</v>
      </c>
      <c r="J192" s="84" t="s">
        <v>53</v>
      </c>
      <c r="K192" s="84" t="s">
        <v>52</v>
      </c>
      <c r="L192" s="84" t="s">
        <v>51</v>
      </c>
      <c r="M192" s="84" t="s">
        <v>50</v>
      </c>
      <c r="N192" s="84" t="s">
        <v>49</v>
      </c>
      <c r="O192" s="84" t="s">
        <v>47</v>
      </c>
      <c r="P192" s="84" t="s">
        <v>77</v>
      </c>
      <c r="Q192" s="84" t="s">
        <v>78</v>
      </c>
      <c r="R192" s="84" t="s">
        <v>79</v>
      </c>
      <c r="S192" s="84" t="s">
        <v>81</v>
      </c>
      <c r="T192" s="84" t="s">
        <v>83</v>
      </c>
      <c r="U192" s="84" t="s">
        <v>85</v>
      </c>
      <c r="V192" s="84" t="s">
        <v>87</v>
      </c>
      <c r="W192" s="83" t="s">
        <v>88</v>
      </c>
    </row>
    <row r="193" spans="3:23" ht="15.75" hidden="1" thickBot="1" x14ac:dyDescent="0.3">
      <c r="C193" s="62">
        <f t="shared" ref="C193:C198" si="74">C192</f>
        <v>0</v>
      </c>
      <c r="D193" s="82" t="s">
        <v>26</v>
      </c>
      <c r="E193" s="80"/>
      <c r="F193" s="79"/>
      <c r="G193" s="79"/>
      <c r="H193" s="79"/>
      <c r="I193" s="79"/>
      <c r="J193" s="79"/>
      <c r="K193" s="79"/>
      <c r="L193" s="79"/>
      <c r="M193" s="79"/>
      <c r="N193" s="79"/>
      <c r="O193" s="79"/>
      <c r="P193" s="79"/>
      <c r="Q193" s="79"/>
      <c r="R193" s="79"/>
      <c r="S193" s="79"/>
      <c r="T193" s="79"/>
      <c r="U193" s="79"/>
      <c r="V193" s="79"/>
      <c r="W193" s="78"/>
    </row>
    <row r="194" spans="3:23" ht="15.75" hidden="1" thickBot="1" x14ac:dyDescent="0.3">
      <c r="C194" s="62">
        <f t="shared" si="74"/>
        <v>0</v>
      </c>
      <c r="D194" s="81" t="s">
        <v>94</v>
      </c>
      <c r="E194" s="80"/>
      <c r="F194" s="79"/>
      <c r="G194" s="79"/>
      <c r="H194" s="79"/>
      <c r="I194" s="79"/>
      <c r="J194" s="79"/>
      <c r="K194" s="79"/>
      <c r="L194" s="79"/>
      <c r="M194" s="79"/>
      <c r="N194" s="79"/>
      <c r="O194" s="79"/>
      <c r="P194" s="79"/>
      <c r="Q194" s="79"/>
      <c r="R194" s="79"/>
      <c r="S194" s="79"/>
      <c r="T194" s="79"/>
      <c r="U194" s="79"/>
      <c r="V194" s="79"/>
      <c r="W194" s="78"/>
    </row>
    <row r="195" spans="3:23" ht="15.75" hidden="1" thickBot="1" x14ac:dyDescent="0.3">
      <c r="C195" s="62">
        <f t="shared" si="74"/>
        <v>0</v>
      </c>
      <c r="D195" s="268" t="s">
        <v>93</v>
      </c>
      <c r="E195" s="76" t="s">
        <v>79</v>
      </c>
      <c r="F195" s="75">
        <f>+F8*$E$190</f>
        <v>0</v>
      </c>
      <c r="G195" s="75">
        <f t="shared" ref="G195:T195" si="75">+G8*$E$190</f>
        <v>0</v>
      </c>
      <c r="H195" s="75">
        <f t="shared" si="75"/>
        <v>0</v>
      </c>
      <c r="I195" s="75">
        <f t="shared" si="75"/>
        <v>0</v>
      </c>
      <c r="J195" s="75">
        <f t="shared" si="75"/>
        <v>0</v>
      </c>
      <c r="K195" s="75">
        <f t="shared" si="75"/>
        <v>0</v>
      </c>
      <c r="L195" s="75">
        <f t="shared" si="75"/>
        <v>0</v>
      </c>
      <c r="M195" s="75">
        <f t="shared" ca="1" si="75"/>
        <v>0</v>
      </c>
      <c r="N195" s="75">
        <f t="shared" ca="1" si="75"/>
        <v>0</v>
      </c>
      <c r="O195" s="75">
        <f t="shared" si="75"/>
        <v>0</v>
      </c>
      <c r="P195" s="75">
        <f t="shared" si="75"/>
        <v>0</v>
      </c>
      <c r="Q195" s="75">
        <f t="shared" si="75"/>
        <v>0</v>
      </c>
      <c r="R195" s="75">
        <f t="shared" si="75"/>
        <v>0</v>
      </c>
      <c r="S195" s="75">
        <f t="shared" si="75"/>
        <v>0</v>
      </c>
      <c r="T195" s="75">
        <f t="shared" si="75"/>
        <v>0</v>
      </c>
      <c r="U195" s="73">
        <f t="shared" ref="U195:W197" si="76">+R195+O195+L195+I195+F195</f>
        <v>0</v>
      </c>
      <c r="V195" s="72">
        <f t="shared" ca="1" si="76"/>
        <v>0</v>
      </c>
      <c r="W195" s="72">
        <f t="shared" ca="1" si="76"/>
        <v>0</v>
      </c>
    </row>
    <row r="196" spans="3:23" ht="15.75" hidden="1" thickBot="1" x14ac:dyDescent="0.3">
      <c r="C196" s="62">
        <f t="shared" si="74"/>
        <v>0</v>
      </c>
      <c r="D196" s="268" t="s">
        <v>92</v>
      </c>
      <c r="E196" s="76" t="s">
        <v>81</v>
      </c>
      <c r="F196" s="75">
        <f t="shared" ref="F196:T197" si="77">+F9*$E$190</f>
        <v>0</v>
      </c>
      <c r="G196" s="75">
        <f t="shared" si="77"/>
        <v>0</v>
      </c>
      <c r="H196" s="75">
        <f t="shared" si="77"/>
        <v>0</v>
      </c>
      <c r="I196" s="75">
        <f t="shared" si="77"/>
        <v>0</v>
      </c>
      <c r="J196" s="75">
        <f t="shared" si="77"/>
        <v>0</v>
      </c>
      <c r="K196" s="75">
        <f t="shared" si="77"/>
        <v>0</v>
      </c>
      <c r="L196" s="75">
        <f t="shared" si="77"/>
        <v>0</v>
      </c>
      <c r="M196" s="75">
        <f t="shared" si="77"/>
        <v>0</v>
      </c>
      <c r="N196" s="75">
        <f t="shared" si="77"/>
        <v>0</v>
      </c>
      <c r="O196" s="75">
        <f t="shared" si="77"/>
        <v>0</v>
      </c>
      <c r="P196" s="75">
        <f t="shared" si="77"/>
        <v>0</v>
      </c>
      <c r="Q196" s="75">
        <f t="shared" si="77"/>
        <v>0</v>
      </c>
      <c r="R196" s="75">
        <f t="shared" si="77"/>
        <v>0</v>
      </c>
      <c r="S196" s="75">
        <f t="shared" si="77"/>
        <v>0</v>
      </c>
      <c r="T196" s="75">
        <f t="shared" si="77"/>
        <v>0</v>
      </c>
      <c r="U196" s="73">
        <f t="shared" si="76"/>
        <v>0</v>
      </c>
      <c r="V196" s="72">
        <f t="shared" si="76"/>
        <v>0</v>
      </c>
      <c r="W196" s="72">
        <f t="shared" si="76"/>
        <v>0</v>
      </c>
    </row>
    <row r="197" spans="3:23" ht="15.75" hidden="1" thickBot="1" x14ac:dyDescent="0.3">
      <c r="C197" s="62">
        <f t="shared" si="74"/>
        <v>0</v>
      </c>
      <c r="D197" s="268" t="s">
        <v>91</v>
      </c>
      <c r="E197" s="76" t="s">
        <v>83</v>
      </c>
      <c r="F197" s="75">
        <f t="shared" si="77"/>
        <v>0</v>
      </c>
      <c r="G197" s="75">
        <f t="shared" si="77"/>
        <v>0</v>
      </c>
      <c r="H197" s="75">
        <f t="shared" si="77"/>
        <v>0</v>
      </c>
      <c r="I197" s="75">
        <f t="shared" si="77"/>
        <v>0</v>
      </c>
      <c r="J197" s="75">
        <f t="shared" si="77"/>
        <v>0</v>
      </c>
      <c r="K197" s="75">
        <f t="shared" si="77"/>
        <v>0</v>
      </c>
      <c r="L197" s="75">
        <f t="shared" si="77"/>
        <v>0</v>
      </c>
      <c r="M197" s="75">
        <f t="shared" ca="1" si="77"/>
        <v>0</v>
      </c>
      <c r="N197" s="75">
        <f t="shared" si="77"/>
        <v>0</v>
      </c>
      <c r="O197" s="75">
        <f t="shared" si="77"/>
        <v>0</v>
      </c>
      <c r="P197" s="75">
        <f t="shared" si="77"/>
        <v>0</v>
      </c>
      <c r="Q197" s="75">
        <f t="shared" si="77"/>
        <v>0</v>
      </c>
      <c r="R197" s="75">
        <f t="shared" si="77"/>
        <v>0</v>
      </c>
      <c r="S197" s="75">
        <f t="shared" si="77"/>
        <v>0</v>
      </c>
      <c r="T197" s="75">
        <f t="shared" si="77"/>
        <v>0</v>
      </c>
      <c r="U197" s="73">
        <f t="shared" si="76"/>
        <v>0</v>
      </c>
      <c r="V197" s="72">
        <f t="shared" ca="1" si="76"/>
        <v>0</v>
      </c>
      <c r="W197" s="72">
        <f t="shared" si="76"/>
        <v>0</v>
      </c>
    </row>
    <row r="198" spans="3:23" ht="15.75" hidden="1" thickBot="1" x14ac:dyDescent="0.3">
      <c r="C198" s="62">
        <f t="shared" si="74"/>
        <v>0</v>
      </c>
      <c r="D198" s="71" t="s">
        <v>48</v>
      </c>
      <c r="E198" s="70" t="s">
        <v>85</v>
      </c>
      <c r="F198" s="69">
        <f t="shared" ref="F198:W198" si="78">SUBTOTAL(9,F195:F197)</f>
        <v>0</v>
      </c>
      <c r="G198" s="68">
        <f t="shared" si="78"/>
        <v>0</v>
      </c>
      <c r="H198" s="68">
        <f t="shared" si="78"/>
        <v>0</v>
      </c>
      <c r="I198" s="69">
        <f t="shared" si="78"/>
        <v>0</v>
      </c>
      <c r="J198" s="68">
        <f t="shared" si="78"/>
        <v>0</v>
      </c>
      <c r="K198" s="68">
        <f t="shared" si="78"/>
        <v>0</v>
      </c>
      <c r="L198" s="69">
        <f t="shared" si="78"/>
        <v>0</v>
      </c>
      <c r="M198" s="68">
        <f t="shared" si="78"/>
        <v>0</v>
      </c>
      <c r="N198" s="68">
        <f t="shared" si="78"/>
        <v>0</v>
      </c>
      <c r="O198" s="69">
        <f t="shared" si="78"/>
        <v>0</v>
      </c>
      <c r="P198" s="68">
        <f t="shared" si="78"/>
        <v>0</v>
      </c>
      <c r="Q198" s="68">
        <f t="shared" si="78"/>
        <v>0</v>
      </c>
      <c r="R198" s="69">
        <f t="shared" si="78"/>
        <v>0</v>
      </c>
      <c r="S198" s="68">
        <f t="shared" si="78"/>
        <v>0</v>
      </c>
      <c r="T198" s="68">
        <f t="shared" si="78"/>
        <v>0</v>
      </c>
      <c r="U198" s="69">
        <f t="shared" si="78"/>
        <v>0</v>
      </c>
      <c r="V198" s="68">
        <f t="shared" si="78"/>
        <v>0</v>
      </c>
      <c r="W198" s="68">
        <f t="shared" si="78"/>
        <v>0</v>
      </c>
    </row>
    <row r="199" spans="3:23" ht="15.75" hidden="1" thickBot="1" x14ac:dyDescent="0.3"/>
    <row r="200" spans="3:23" ht="15.75" hidden="1" thickBot="1" x14ac:dyDescent="0.3">
      <c r="C200" s="62">
        <f>IF(E200&gt;0,1,0)</f>
        <v>0</v>
      </c>
      <c r="D200" s="936" t="str">
        <f>+A23</f>
        <v>Genesee</v>
      </c>
      <c r="E200" s="938">
        <f>SUMIF(A:A,D200,B:B)</f>
        <v>0</v>
      </c>
      <c r="F200" s="940" t="s">
        <v>103</v>
      </c>
      <c r="G200" s="941"/>
      <c r="H200" s="942"/>
      <c r="I200" s="940" t="s">
        <v>102</v>
      </c>
      <c r="J200" s="941"/>
      <c r="K200" s="942"/>
      <c r="L200" s="940" t="s">
        <v>101</v>
      </c>
      <c r="M200" s="941"/>
      <c r="N200" s="942"/>
      <c r="O200" s="940" t="s">
        <v>100</v>
      </c>
      <c r="P200" s="941"/>
      <c r="Q200" s="942"/>
      <c r="R200" s="940" t="s">
        <v>99</v>
      </c>
      <c r="S200" s="941"/>
      <c r="T200" s="942"/>
      <c r="U200" s="940" t="s">
        <v>98</v>
      </c>
      <c r="V200" s="941"/>
      <c r="W200" s="943"/>
    </row>
    <row r="201" spans="3:23" ht="30.75" hidden="1" thickBot="1" x14ac:dyDescent="0.3">
      <c r="C201" s="62">
        <f>IF(E200&gt;0,1,0)</f>
        <v>0</v>
      </c>
      <c r="D201" s="937"/>
      <c r="E201" s="939"/>
      <c r="F201" s="88" t="s">
        <v>97</v>
      </c>
      <c r="G201" s="88" t="s">
        <v>96</v>
      </c>
      <c r="H201" s="88" t="s">
        <v>95</v>
      </c>
      <c r="I201" s="88" t="s">
        <v>97</v>
      </c>
      <c r="J201" s="88" t="s">
        <v>96</v>
      </c>
      <c r="K201" s="88" t="s">
        <v>95</v>
      </c>
      <c r="L201" s="88" t="s">
        <v>97</v>
      </c>
      <c r="M201" s="88" t="s">
        <v>96</v>
      </c>
      <c r="N201" s="88" t="s">
        <v>95</v>
      </c>
      <c r="O201" s="88" t="s">
        <v>97</v>
      </c>
      <c r="P201" s="88" t="s">
        <v>96</v>
      </c>
      <c r="Q201" s="88" t="s">
        <v>95</v>
      </c>
      <c r="R201" s="88" t="s">
        <v>97</v>
      </c>
      <c r="S201" s="88" t="s">
        <v>96</v>
      </c>
      <c r="T201" s="88" t="s">
        <v>95</v>
      </c>
      <c r="U201" s="88" t="s">
        <v>97</v>
      </c>
      <c r="V201" s="88" t="s">
        <v>96</v>
      </c>
      <c r="W201" s="87" t="s">
        <v>95</v>
      </c>
    </row>
    <row r="202" spans="3:23" ht="15.75" hidden="1" thickBot="1" x14ac:dyDescent="0.3">
      <c r="C202" s="62">
        <f>C201</f>
        <v>0</v>
      </c>
      <c r="D202" s="86"/>
      <c r="E202" s="85"/>
      <c r="F202" s="84" t="s">
        <v>57</v>
      </c>
      <c r="G202" s="84" t="s">
        <v>56</v>
      </c>
      <c r="H202" s="84" t="s">
        <v>55</v>
      </c>
      <c r="I202" s="84" t="s">
        <v>54</v>
      </c>
      <c r="J202" s="84" t="s">
        <v>53</v>
      </c>
      <c r="K202" s="84" t="s">
        <v>52</v>
      </c>
      <c r="L202" s="84" t="s">
        <v>51</v>
      </c>
      <c r="M202" s="84" t="s">
        <v>50</v>
      </c>
      <c r="N202" s="84" t="s">
        <v>49</v>
      </c>
      <c r="O202" s="84" t="s">
        <v>47</v>
      </c>
      <c r="P202" s="84" t="s">
        <v>77</v>
      </c>
      <c r="Q202" s="84" t="s">
        <v>78</v>
      </c>
      <c r="R202" s="84" t="s">
        <v>79</v>
      </c>
      <c r="S202" s="84" t="s">
        <v>81</v>
      </c>
      <c r="T202" s="84" t="s">
        <v>83</v>
      </c>
      <c r="U202" s="84" t="s">
        <v>85</v>
      </c>
      <c r="V202" s="84" t="s">
        <v>87</v>
      </c>
      <c r="W202" s="83" t="s">
        <v>88</v>
      </c>
    </row>
    <row r="203" spans="3:23" ht="15.75" hidden="1" thickBot="1" x14ac:dyDescent="0.3">
      <c r="C203" s="62">
        <f t="shared" ref="C203:C208" si="79">C202</f>
        <v>0</v>
      </c>
      <c r="D203" s="82" t="s">
        <v>26</v>
      </c>
      <c r="E203" s="80"/>
      <c r="F203" s="79"/>
      <c r="G203" s="79"/>
      <c r="H203" s="79"/>
      <c r="I203" s="79"/>
      <c r="J203" s="79"/>
      <c r="K203" s="79"/>
      <c r="L203" s="79"/>
      <c r="M203" s="79"/>
      <c r="N203" s="79"/>
      <c r="O203" s="79"/>
      <c r="P203" s="79"/>
      <c r="Q203" s="79"/>
      <c r="R203" s="79"/>
      <c r="S203" s="79"/>
      <c r="T203" s="79"/>
      <c r="U203" s="79"/>
      <c r="V203" s="79"/>
      <c r="W203" s="78"/>
    </row>
    <row r="204" spans="3:23" ht="15.75" hidden="1" thickBot="1" x14ac:dyDescent="0.3">
      <c r="C204" s="62">
        <f t="shared" si="79"/>
        <v>0</v>
      </c>
      <c r="D204" s="81" t="s">
        <v>94</v>
      </c>
      <c r="E204" s="80"/>
      <c r="F204" s="79"/>
      <c r="G204" s="79"/>
      <c r="H204" s="79"/>
      <c r="I204" s="79"/>
      <c r="J204" s="79"/>
      <c r="K204" s="79"/>
      <c r="L204" s="79"/>
      <c r="M204" s="79"/>
      <c r="N204" s="79"/>
      <c r="O204" s="79"/>
      <c r="P204" s="79"/>
      <c r="Q204" s="79"/>
      <c r="R204" s="79"/>
      <c r="S204" s="79"/>
      <c r="T204" s="79"/>
      <c r="U204" s="79"/>
      <c r="V204" s="79"/>
      <c r="W204" s="78"/>
    </row>
    <row r="205" spans="3:23" ht="15.75" hidden="1" thickBot="1" x14ac:dyDescent="0.3">
      <c r="C205" s="62">
        <f t="shared" si="79"/>
        <v>0</v>
      </c>
      <c r="D205" s="268" t="s">
        <v>93</v>
      </c>
      <c r="E205" s="76" t="s">
        <v>87</v>
      </c>
      <c r="F205" s="75">
        <f>+F8*$E$200</f>
        <v>0</v>
      </c>
      <c r="G205" s="75">
        <f t="shared" ref="G205:T205" si="80">+G8*$E$200</f>
        <v>0</v>
      </c>
      <c r="H205" s="75">
        <f t="shared" si="80"/>
        <v>0</v>
      </c>
      <c r="I205" s="75">
        <f t="shared" si="80"/>
        <v>0</v>
      </c>
      <c r="J205" s="75">
        <f t="shared" si="80"/>
        <v>0</v>
      </c>
      <c r="K205" s="75">
        <f t="shared" si="80"/>
        <v>0</v>
      </c>
      <c r="L205" s="75">
        <f t="shared" si="80"/>
        <v>0</v>
      </c>
      <c r="M205" s="75">
        <f t="shared" ca="1" si="80"/>
        <v>0</v>
      </c>
      <c r="N205" s="75">
        <f t="shared" ca="1" si="80"/>
        <v>0</v>
      </c>
      <c r="O205" s="75">
        <f t="shared" si="80"/>
        <v>0</v>
      </c>
      <c r="P205" s="75">
        <f t="shared" si="80"/>
        <v>0</v>
      </c>
      <c r="Q205" s="75">
        <f t="shared" si="80"/>
        <v>0</v>
      </c>
      <c r="R205" s="75">
        <f t="shared" si="80"/>
        <v>0</v>
      </c>
      <c r="S205" s="75">
        <f t="shared" si="80"/>
        <v>0</v>
      </c>
      <c r="T205" s="75">
        <f t="shared" si="80"/>
        <v>0</v>
      </c>
      <c r="U205" s="73">
        <f t="shared" ref="U205:W207" si="81">+R205+O205+L205+I205+F205</f>
        <v>0</v>
      </c>
      <c r="V205" s="72">
        <f t="shared" ca="1" si="81"/>
        <v>0</v>
      </c>
      <c r="W205" s="72">
        <f t="shared" ca="1" si="81"/>
        <v>0</v>
      </c>
    </row>
    <row r="206" spans="3:23" ht="15.75" hidden="1" thickBot="1" x14ac:dyDescent="0.3">
      <c r="C206" s="62">
        <f t="shared" si="79"/>
        <v>0</v>
      </c>
      <c r="D206" s="268" t="s">
        <v>92</v>
      </c>
      <c r="E206" s="76" t="s">
        <v>88</v>
      </c>
      <c r="F206" s="75">
        <f t="shared" ref="F206:T207" si="82">+F9*$E$200</f>
        <v>0</v>
      </c>
      <c r="G206" s="75">
        <f t="shared" si="82"/>
        <v>0</v>
      </c>
      <c r="H206" s="75">
        <f t="shared" si="82"/>
        <v>0</v>
      </c>
      <c r="I206" s="75">
        <f t="shared" si="82"/>
        <v>0</v>
      </c>
      <c r="J206" s="75">
        <f t="shared" si="82"/>
        <v>0</v>
      </c>
      <c r="K206" s="75">
        <f t="shared" si="82"/>
        <v>0</v>
      </c>
      <c r="L206" s="75">
        <f t="shared" si="82"/>
        <v>0</v>
      </c>
      <c r="M206" s="75">
        <f t="shared" si="82"/>
        <v>0</v>
      </c>
      <c r="N206" s="75">
        <f t="shared" si="82"/>
        <v>0</v>
      </c>
      <c r="O206" s="75">
        <f t="shared" si="82"/>
        <v>0</v>
      </c>
      <c r="P206" s="75">
        <f t="shared" si="82"/>
        <v>0</v>
      </c>
      <c r="Q206" s="75">
        <f t="shared" si="82"/>
        <v>0</v>
      </c>
      <c r="R206" s="75">
        <f t="shared" si="82"/>
        <v>0</v>
      </c>
      <c r="S206" s="75">
        <f t="shared" si="82"/>
        <v>0</v>
      </c>
      <c r="T206" s="75">
        <f t="shared" si="82"/>
        <v>0</v>
      </c>
      <c r="U206" s="73">
        <f t="shared" si="81"/>
        <v>0</v>
      </c>
      <c r="V206" s="72">
        <f t="shared" si="81"/>
        <v>0</v>
      </c>
      <c r="W206" s="72">
        <f t="shared" si="81"/>
        <v>0</v>
      </c>
    </row>
    <row r="207" spans="3:23" ht="15.75" hidden="1" thickBot="1" x14ac:dyDescent="0.3">
      <c r="C207" s="62">
        <f t="shared" si="79"/>
        <v>0</v>
      </c>
      <c r="D207" s="268" t="s">
        <v>91</v>
      </c>
      <c r="E207" s="76" t="s">
        <v>89</v>
      </c>
      <c r="F207" s="75">
        <f t="shared" si="82"/>
        <v>0</v>
      </c>
      <c r="G207" s="75">
        <f t="shared" si="82"/>
        <v>0</v>
      </c>
      <c r="H207" s="75">
        <f t="shared" si="82"/>
        <v>0</v>
      </c>
      <c r="I207" s="75">
        <f t="shared" si="82"/>
        <v>0</v>
      </c>
      <c r="J207" s="75">
        <f t="shared" si="82"/>
        <v>0</v>
      </c>
      <c r="K207" s="75">
        <f t="shared" si="82"/>
        <v>0</v>
      </c>
      <c r="L207" s="75">
        <f t="shared" si="82"/>
        <v>0</v>
      </c>
      <c r="M207" s="75">
        <f t="shared" ca="1" si="82"/>
        <v>0</v>
      </c>
      <c r="N207" s="75">
        <f t="shared" si="82"/>
        <v>0</v>
      </c>
      <c r="O207" s="75">
        <f t="shared" si="82"/>
        <v>0</v>
      </c>
      <c r="P207" s="75">
        <f t="shared" si="82"/>
        <v>0</v>
      </c>
      <c r="Q207" s="75">
        <f t="shared" si="82"/>
        <v>0</v>
      </c>
      <c r="R207" s="75">
        <f t="shared" si="82"/>
        <v>0</v>
      </c>
      <c r="S207" s="75">
        <f t="shared" si="82"/>
        <v>0</v>
      </c>
      <c r="T207" s="75">
        <f t="shared" si="82"/>
        <v>0</v>
      </c>
      <c r="U207" s="73">
        <f t="shared" si="81"/>
        <v>0</v>
      </c>
      <c r="V207" s="72">
        <f t="shared" ca="1" si="81"/>
        <v>0</v>
      </c>
      <c r="W207" s="72">
        <f t="shared" si="81"/>
        <v>0</v>
      </c>
    </row>
    <row r="208" spans="3:23" ht="15.75" hidden="1" thickBot="1" x14ac:dyDescent="0.3">
      <c r="C208" s="62">
        <f t="shared" si="79"/>
        <v>0</v>
      </c>
      <c r="D208" s="71" t="s">
        <v>48</v>
      </c>
      <c r="E208" s="70" t="s">
        <v>154</v>
      </c>
      <c r="F208" s="69">
        <f t="shared" ref="F208:W208" si="83">SUBTOTAL(9,F205:F207)</f>
        <v>0</v>
      </c>
      <c r="G208" s="68">
        <f t="shared" si="83"/>
        <v>0</v>
      </c>
      <c r="H208" s="68">
        <f t="shared" si="83"/>
        <v>0</v>
      </c>
      <c r="I208" s="69">
        <f t="shared" si="83"/>
        <v>0</v>
      </c>
      <c r="J208" s="68">
        <f t="shared" si="83"/>
        <v>0</v>
      </c>
      <c r="K208" s="68">
        <f t="shared" si="83"/>
        <v>0</v>
      </c>
      <c r="L208" s="69">
        <f t="shared" si="83"/>
        <v>0</v>
      </c>
      <c r="M208" s="68">
        <f t="shared" si="83"/>
        <v>0</v>
      </c>
      <c r="N208" s="68">
        <f t="shared" si="83"/>
        <v>0</v>
      </c>
      <c r="O208" s="69">
        <f t="shared" si="83"/>
        <v>0</v>
      </c>
      <c r="P208" s="68">
        <f t="shared" si="83"/>
        <v>0</v>
      </c>
      <c r="Q208" s="68">
        <f t="shared" si="83"/>
        <v>0</v>
      </c>
      <c r="R208" s="69">
        <f t="shared" si="83"/>
        <v>0</v>
      </c>
      <c r="S208" s="68">
        <f t="shared" si="83"/>
        <v>0</v>
      </c>
      <c r="T208" s="68">
        <f t="shared" si="83"/>
        <v>0</v>
      </c>
      <c r="U208" s="69">
        <f t="shared" si="83"/>
        <v>0</v>
      </c>
      <c r="V208" s="68">
        <f t="shared" si="83"/>
        <v>0</v>
      </c>
      <c r="W208" s="68">
        <f t="shared" si="83"/>
        <v>0</v>
      </c>
    </row>
    <row r="209" spans="3:23" ht="15.75" hidden="1" thickBot="1" x14ac:dyDescent="0.3"/>
    <row r="210" spans="3:23" ht="15.75" hidden="1" thickBot="1" x14ac:dyDescent="0.3">
      <c r="C210" s="62">
        <f>IF(E210&gt;0,1,0)</f>
        <v>0</v>
      </c>
      <c r="D210" s="936" t="str">
        <f>+A24</f>
        <v>Greene</v>
      </c>
      <c r="E210" s="938">
        <f>SUMIF(A:A,D210,B:B)</f>
        <v>0</v>
      </c>
      <c r="F210" s="940" t="s">
        <v>103</v>
      </c>
      <c r="G210" s="941"/>
      <c r="H210" s="942"/>
      <c r="I210" s="940" t="s">
        <v>102</v>
      </c>
      <c r="J210" s="941"/>
      <c r="K210" s="942"/>
      <c r="L210" s="940" t="s">
        <v>101</v>
      </c>
      <c r="M210" s="941"/>
      <c r="N210" s="942"/>
      <c r="O210" s="940" t="s">
        <v>100</v>
      </c>
      <c r="P210" s="941"/>
      <c r="Q210" s="942"/>
      <c r="R210" s="940" t="s">
        <v>99</v>
      </c>
      <c r="S210" s="941"/>
      <c r="T210" s="942"/>
      <c r="U210" s="940" t="s">
        <v>98</v>
      </c>
      <c r="V210" s="941"/>
      <c r="W210" s="943"/>
    </row>
    <row r="211" spans="3:23" ht="30.75" hidden="1" thickBot="1" x14ac:dyDescent="0.3">
      <c r="C211" s="62">
        <f>IF(E210&gt;0,1,0)</f>
        <v>0</v>
      </c>
      <c r="D211" s="937"/>
      <c r="E211" s="939"/>
      <c r="F211" s="88" t="s">
        <v>97</v>
      </c>
      <c r="G211" s="88" t="s">
        <v>96</v>
      </c>
      <c r="H211" s="88" t="s">
        <v>95</v>
      </c>
      <c r="I211" s="88" t="s">
        <v>97</v>
      </c>
      <c r="J211" s="88" t="s">
        <v>96</v>
      </c>
      <c r="K211" s="88" t="s">
        <v>95</v>
      </c>
      <c r="L211" s="88" t="s">
        <v>97</v>
      </c>
      <c r="M211" s="88" t="s">
        <v>96</v>
      </c>
      <c r="N211" s="88" t="s">
        <v>95</v>
      </c>
      <c r="O211" s="88" t="s">
        <v>97</v>
      </c>
      <c r="P211" s="88" t="s">
        <v>96</v>
      </c>
      <c r="Q211" s="88" t="s">
        <v>95</v>
      </c>
      <c r="R211" s="88" t="s">
        <v>97</v>
      </c>
      <c r="S211" s="88" t="s">
        <v>96</v>
      </c>
      <c r="T211" s="88" t="s">
        <v>95</v>
      </c>
      <c r="U211" s="88" t="s">
        <v>97</v>
      </c>
      <c r="V211" s="88" t="s">
        <v>96</v>
      </c>
      <c r="W211" s="87" t="s">
        <v>95</v>
      </c>
    </row>
    <row r="212" spans="3:23" ht="15.75" hidden="1" thickBot="1" x14ac:dyDescent="0.3">
      <c r="C212" s="62">
        <f>C211</f>
        <v>0</v>
      </c>
      <c r="D212" s="86"/>
      <c r="E212" s="85"/>
      <c r="F212" s="84" t="s">
        <v>57</v>
      </c>
      <c r="G212" s="84" t="s">
        <v>56</v>
      </c>
      <c r="H212" s="84" t="s">
        <v>55</v>
      </c>
      <c r="I212" s="84" t="s">
        <v>54</v>
      </c>
      <c r="J212" s="84" t="s">
        <v>53</v>
      </c>
      <c r="K212" s="84" t="s">
        <v>52</v>
      </c>
      <c r="L212" s="84" t="s">
        <v>51</v>
      </c>
      <c r="M212" s="84" t="s">
        <v>50</v>
      </c>
      <c r="N212" s="84" t="s">
        <v>49</v>
      </c>
      <c r="O212" s="84" t="s">
        <v>47</v>
      </c>
      <c r="P212" s="84" t="s">
        <v>77</v>
      </c>
      <c r="Q212" s="84" t="s">
        <v>78</v>
      </c>
      <c r="R212" s="84" t="s">
        <v>79</v>
      </c>
      <c r="S212" s="84" t="s">
        <v>81</v>
      </c>
      <c r="T212" s="84" t="s">
        <v>83</v>
      </c>
      <c r="U212" s="84" t="s">
        <v>85</v>
      </c>
      <c r="V212" s="84" t="s">
        <v>87</v>
      </c>
      <c r="W212" s="83" t="s">
        <v>88</v>
      </c>
    </row>
    <row r="213" spans="3:23" ht="15.75" hidden="1" thickBot="1" x14ac:dyDescent="0.3">
      <c r="C213" s="62">
        <f t="shared" ref="C213:C218" si="84">C212</f>
        <v>0</v>
      </c>
      <c r="D213" s="82" t="s">
        <v>26</v>
      </c>
      <c r="E213" s="80"/>
      <c r="F213" s="79"/>
      <c r="G213" s="79"/>
      <c r="H213" s="79"/>
      <c r="I213" s="79"/>
      <c r="J213" s="79"/>
      <c r="K213" s="79"/>
      <c r="L213" s="79"/>
      <c r="M213" s="79"/>
      <c r="N213" s="79"/>
      <c r="O213" s="79"/>
      <c r="P213" s="79"/>
      <c r="Q213" s="79"/>
      <c r="R213" s="79"/>
      <c r="S213" s="79"/>
      <c r="T213" s="79"/>
      <c r="U213" s="79"/>
      <c r="V213" s="79"/>
      <c r="W213" s="78"/>
    </row>
    <row r="214" spans="3:23" ht="15.75" hidden="1" thickBot="1" x14ac:dyDescent="0.3">
      <c r="C214" s="62">
        <f t="shared" si="84"/>
        <v>0</v>
      </c>
      <c r="D214" s="81" t="s">
        <v>94</v>
      </c>
      <c r="E214" s="80"/>
      <c r="F214" s="79"/>
      <c r="G214" s="79"/>
      <c r="H214" s="79"/>
      <c r="I214" s="79"/>
      <c r="J214" s="79"/>
      <c r="K214" s="79"/>
      <c r="L214" s="79"/>
      <c r="M214" s="79"/>
      <c r="N214" s="79"/>
      <c r="O214" s="79"/>
      <c r="P214" s="79"/>
      <c r="Q214" s="79"/>
      <c r="R214" s="79"/>
      <c r="S214" s="79"/>
      <c r="T214" s="79"/>
      <c r="U214" s="79"/>
      <c r="V214" s="79"/>
      <c r="W214" s="78"/>
    </row>
    <row r="215" spans="3:23" ht="15.75" hidden="1" thickBot="1" x14ac:dyDescent="0.3">
      <c r="C215" s="62">
        <f t="shared" si="84"/>
        <v>0</v>
      </c>
      <c r="D215" s="268" t="s">
        <v>93</v>
      </c>
      <c r="E215" s="76" t="s">
        <v>155</v>
      </c>
      <c r="F215" s="75">
        <f t="shared" ref="F215:T215" si="85">+F$8*$E210</f>
        <v>0</v>
      </c>
      <c r="G215" s="75">
        <f t="shared" si="85"/>
        <v>0</v>
      </c>
      <c r="H215" s="75">
        <f t="shared" si="85"/>
        <v>0</v>
      </c>
      <c r="I215" s="75">
        <f t="shared" si="85"/>
        <v>0</v>
      </c>
      <c r="J215" s="75">
        <f t="shared" si="85"/>
        <v>0</v>
      </c>
      <c r="K215" s="75">
        <f t="shared" si="85"/>
        <v>0</v>
      </c>
      <c r="L215" s="75">
        <f t="shared" si="85"/>
        <v>0</v>
      </c>
      <c r="M215" s="75">
        <f t="shared" ca="1" si="85"/>
        <v>0</v>
      </c>
      <c r="N215" s="75">
        <f t="shared" ca="1" si="85"/>
        <v>0</v>
      </c>
      <c r="O215" s="75">
        <f t="shared" si="85"/>
        <v>0</v>
      </c>
      <c r="P215" s="75">
        <f t="shared" si="85"/>
        <v>0</v>
      </c>
      <c r="Q215" s="75">
        <f t="shared" si="85"/>
        <v>0</v>
      </c>
      <c r="R215" s="75">
        <f t="shared" si="85"/>
        <v>0</v>
      </c>
      <c r="S215" s="75">
        <f t="shared" si="85"/>
        <v>0</v>
      </c>
      <c r="T215" s="75">
        <f t="shared" si="85"/>
        <v>0</v>
      </c>
      <c r="U215" s="73">
        <f t="shared" ref="U215:W217" si="86">+R215+O215+L215+I215+F215</f>
        <v>0</v>
      </c>
      <c r="V215" s="72">
        <f t="shared" ca="1" si="86"/>
        <v>0</v>
      </c>
      <c r="W215" s="72">
        <f t="shared" ca="1" si="86"/>
        <v>0</v>
      </c>
    </row>
    <row r="216" spans="3:23" ht="15.75" hidden="1" thickBot="1" x14ac:dyDescent="0.3">
      <c r="C216" s="62">
        <f t="shared" si="84"/>
        <v>0</v>
      </c>
      <c r="D216" s="268" t="s">
        <v>92</v>
      </c>
      <c r="E216" s="76" t="s">
        <v>156</v>
      </c>
      <c r="F216" s="75">
        <f t="shared" ref="F216:T216" si="87">+F$9*$E210</f>
        <v>0</v>
      </c>
      <c r="G216" s="75">
        <f t="shared" si="87"/>
        <v>0</v>
      </c>
      <c r="H216" s="75">
        <f t="shared" si="87"/>
        <v>0</v>
      </c>
      <c r="I216" s="75">
        <f t="shared" si="87"/>
        <v>0</v>
      </c>
      <c r="J216" s="75">
        <f t="shared" si="87"/>
        <v>0</v>
      </c>
      <c r="K216" s="75">
        <f t="shared" si="87"/>
        <v>0</v>
      </c>
      <c r="L216" s="75">
        <f t="shared" si="87"/>
        <v>0</v>
      </c>
      <c r="M216" s="75">
        <f t="shared" si="87"/>
        <v>0</v>
      </c>
      <c r="N216" s="75">
        <f t="shared" si="87"/>
        <v>0</v>
      </c>
      <c r="O216" s="75">
        <f t="shared" si="87"/>
        <v>0</v>
      </c>
      <c r="P216" s="75">
        <f t="shared" si="87"/>
        <v>0</v>
      </c>
      <c r="Q216" s="75">
        <f t="shared" si="87"/>
        <v>0</v>
      </c>
      <c r="R216" s="75">
        <f t="shared" si="87"/>
        <v>0</v>
      </c>
      <c r="S216" s="75">
        <f t="shared" si="87"/>
        <v>0</v>
      </c>
      <c r="T216" s="75">
        <f t="shared" si="87"/>
        <v>0</v>
      </c>
      <c r="U216" s="73">
        <f t="shared" si="86"/>
        <v>0</v>
      </c>
      <c r="V216" s="72">
        <f t="shared" si="86"/>
        <v>0</v>
      </c>
      <c r="W216" s="72">
        <f t="shared" si="86"/>
        <v>0</v>
      </c>
    </row>
    <row r="217" spans="3:23" ht="15.75" hidden="1" thickBot="1" x14ac:dyDescent="0.3">
      <c r="C217" s="62">
        <f t="shared" si="84"/>
        <v>0</v>
      </c>
      <c r="D217" s="268" t="s">
        <v>91</v>
      </c>
      <c r="E217" s="76" t="s">
        <v>157</v>
      </c>
      <c r="F217" s="75">
        <f t="shared" ref="F217:T217" si="88">+F$10*$E210</f>
        <v>0</v>
      </c>
      <c r="G217" s="75">
        <f t="shared" si="88"/>
        <v>0</v>
      </c>
      <c r="H217" s="75">
        <f t="shared" si="88"/>
        <v>0</v>
      </c>
      <c r="I217" s="75">
        <f t="shared" si="88"/>
        <v>0</v>
      </c>
      <c r="J217" s="75">
        <f t="shared" si="88"/>
        <v>0</v>
      </c>
      <c r="K217" s="75">
        <f t="shared" si="88"/>
        <v>0</v>
      </c>
      <c r="L217" s="75">
        <f t="shared" si="88"/>
        <v>0</v>
      </c>
      <c r="M217" s="75">
        <f t="shared" ca="1" si="88"/>
        <v>0</v>
      </c>
      <c r="N217" s="75">
        <f t="shared" si="88"/>
        <v>0</v>
      </c>
      <c r="O217" s="75">
        <f t="shared" si="88"/>
        <v>0</v>
      </c>
      <c r="P217" s="75">
        <f t="shared" si="88"/>
        <v>0</v>
      </c>
      <c r="Q217" s="75">
        <f t="shared" si="88"/>
        <v>0</v>
      </c>
      <c r="R217" s="75">
        <f t="shared" si="88"/>
        <v>0</v>
      </c>
      <c r="S217" s="75">
        <f t="shared" si="88"/>
        <v>0</v>
      </c>
      <c r="T217" s="75">
        <f t="shared" si="88"/>
        <v>0</v>
      </c>
      <c r="U217" s="73">
        <f t="shared" si="86"/>
        <v>0</v>
      </c>
      <c r="V217" s="72">
        <f t="shared" ca="1" si="86"/>
        <v>0</v>
      </c>
      <c r="W217" s="72">
        <f t="shared" si="86"/>
        <v>0</v>
      </c>
    </row>
    <row r="218" spans="3:23" ht="15.75" hidden="1" thickBot="1" x14ac:dyDescent="0.3">
      <c r="C218" s="62">
        <f t="shared" si="84"/>
        <v>0</v>
      </c>
      <c r="D218" s="71" t="s">
        <v>48</v>
      </c>
      <c r="E218" s="70" t="s">
        <v>158</v>
      </c>
      <c r="F218" s="69">
        <f>SUBTOTAL(9,F215:F217)</f>
        <v>0</v>
      </c>
      <c r="G218" s="68">
        <f t="shared" ref="G218:W218" si="89">SUBTOTAL(9,G215:G217)</f>
        <v>0</v>
      </c>
      <c r="H218" s="68">
        <f t="shared" si="89"/>
        <v>0</v>
      </c>
      <c r="I218" s="69">
        <f t="shared" si="89"/>
        <v>0</v>
      </c>
      <c r="J218" s="68">
        <f t="shared" si="89"/>
        <v>0</v>
      </c>
      <c r="K218" s="68">
        <f t="shared" si="89"/>
        <v>0</v>
      </c>
      <c r="L218" s="69">
        <f t="shared" si="89"/>
        <v>0</v>
      </c>
      <c r="M218" s="68">
        <f t="shared" si="89"/>
        <v>0</v>
      </c>
      <c r="N218" s="68">
        <f t="shared" si="89"/>
        <v>0</v>
      </c>
      <c r="O218" s="69">
        <f t="shared" si="89"/>
        <v>0</v>
      </c>
      <c r="P218" s="68">
        <f t="shared" si="89"/>
        <v>0</v>
      </c>
      <c r="Q218" s="68">
        <f t="shared" si="89"/>
        <v>0</v>
      </c>
      <c r="R218" s="69">
        <f t="shared" si="89"/>
        <v>0</v>
      </c>
      <c r="S218" s="68">
        <f t="shared" si="89"/>
        <v>0</v>
      </c>
      <c r="T218" s="68">
        <f t="shared" si="89"/>
        <v>0</v>
      </c>
      <c r="U218" s="69">
        <f t="shared" si="89"/>
        <v>0</v>
      </c>
      <c r="V218" s="68">
        <f t="shared" si="89"/>
        <v>0</v>
      </c>
      <c r="W218" s="68">
        <f t="shared" si="89"/>
        <v>0</v>
      </c>
    </row>
    <row r="219" spans="3:23" ht="15.75" hidden="1" thickBot="1" x14ac:dyDescent="0.3">
      <c r="D219" s="328"/>
      <c r="E219" s="329"/>
      <c r="F219" s="330"/>
      <c r="G219" s="331"/>
      <c r="H219" s="331"/>
      <c r="I219" s="330"/>
      <c r="J219" s="331"/>
      <c r="K219" s="331"/>
      <c r="L219" s="330"/>
      <c r="M219" s="331"/>
      <c r="N219" s="331"/>
      <c r="O219" s="330"/>
      <c r="P219" s="331"/>
      <c r="Q219" s="331"/>
      <c r="R219" s="330"/>
      <c r="S219" s="331"/>
      <c r="T219" s="331"/>
      <c r="U219" s="330"/>
      <c r="V219" s="331"/>
      <c r="W219" s="331"/>
    </row>
    <row r="220" spans="3:23" ht="15.75" hidden="1" thickBot="1" x14ac:dyDescent="0.3">
      <c r="C220" s="62">
        <f>IF(E220&gt;0,1,0)</f>
        <v>0</v>
      </c>
      <c r="D220" s="936" t="str">
        <f>+A25</f>
        <v>Hamilton</v>
      </c>
      <c r="E220" s="938">
        <f>SUMIF(A:A,D220,B:B)</f>
        <v>0</v>
      </c>
      <c r="F220" s="940" t="s">
        <v>103</v>
      </c>
      <c r="G220" s="941"/>
      <c r="H220" s="942"/>
      <c r="I220" s="940" t="s">
        <v>102</v>
      </c>
      <c r="J220" s="941"/>
      <c r="K220" s="942"/>
      <c r="L220" s="940" t="s">
        <v>101</v>
      </c>
      <c r="M220" s="941"/>
      <c r="N220" s="942"/>
      <c r="O220" s="940" t="s">
        <v>100</v>
      </c>
      <c r="P220" s="941"/>
      <c r="Q220" s="942"/>
      <c r="R220" s="940" t="s">
        <v>99</v>
      </c>
      <c r="S220" s="941"/>
      <c r="T220" s="942"/>
      <c r="U220" s="940" t="s">
        <v>98</v>
      </c>
      <c r="V220" s="941"/>
      <c r="W220" s="943"/>
    </row>
    <row r="221" spans="3:23" ht="30.75" hidden="1" thickBot="1" x14ac:dyDescent="0.3">
      <c r="C221" s="62">
        <f>IF(E220&gt;0,1,0)</f>
        <v>0</v>
      </c>
      <c r="D221" s="937"/>
      <c r="E221" s="939"/>
      <c r="F221" s="88" t="s">
        <v>97</v>
      </c>
      <c r="G221" s="88" t="s">
        <v>96</v>
      </c>
      <c r="H221" s="88" t="s">
        <v>95</v>
      </c>
      <c r="I221" s="88" t="s">
        <v>97</v>
      </c>
      <c r="J221" s="88" t="s">
        <v>96</v>
      </c>
      <c r="K221" s="88" t="s">
        <v>95</v>
      </c>
      <c r="L221" s="88" t="s">
        <v>97</v>
      </c>
      <c r="M221" s="88" t="s">
        <v>96</v>
      </c>
      <c r="N221" s="88" t="s">
        <v>95</v>
      </c>
      <c r="O221" s="88" t="s">
        <v>97</v>
      </c>
      <c r="P221" s="88" t="s">
        <v>96</v>
      </c>
      <c r="Q221" s="88" t="s">
        <v>95</v>
      </c>
      <c r="R221" s="88" t="s">
        <v>97</v>
      </c>
      <c r="S221" s="88" t="s">
        <v>96</v>
      </c>
      <c r="T221" s="88" t="s">
        <v>95</v>
      </c>
      <c r="U221" s="88" t="s">
        <v>97</v>
      </c>
      <c r="V221" s="88" t="s">
        <v>96</v>
      </c>
      <c r="W221" s="87" t="s">
        <v>95</v>
      </c>
    </row>
    <row r="222" spans="3:23" ht="15.75" hidden="1" thickBot="1" x14ac:dyDescent="0.3">
      <c r="C222" s="62">
        <f>C221</f>
        <v>0</v>
      </c>
      <c r="D222" s="86"/>
      <c r="E222" s="85"/>
      <c r="F222" s="84" t="s">
        <v>57</v>
      </c>
      <c r="G222" s="84" t="s">
        <v>56</v>
      </c>
      <c r="H222" s="84" t="s">
        <v>55</v>
      </c>
      <c r="I222" s="84" t="s">
        <v>54</v>
      </c>
      <c r="J222" s="84" t="s">
        <v>53</v>
      </c>
      <c r="K222" s="84" t="s">
        <v>52</v>
      </c>
      <c r="L222" s="84" t="s">
        <v>51</v>
      </c>
      <c r="M222" s="84" t="s">
        <v>50</v>
      </c>
      <c r="N222" s="84" t="s">
        <v>49</v>
      </c>
      <c r="O222" s="84" t="s">
        <v>47</v>
      </c>
      <c r="P222" s="84" t="s">
        <v>77</v>
      </c>
      <c r="Q222" s="84" t="s">
        <v>78</v>
      </c>
      <c r="R222" s="84" t="s">
        <v>79</v>
      </c>
      <c r="S222" s="84" t="s">
        <v>81</v>
      </c>
      <c r="T222" s="84" t="s">
        <v>83</v>
      </c>
      <c r="U222" s="84" t="s">
        <v>85</v>
      </c>
      <c r="V222" s="84" t="s">
        <v>87</v>
      </c>
      <c r="W222" s="83" t="s">
        <v>88</v>
      </c>
    </row>
    <row r="223" spans="3:23" ht="15.75" hidden="1" thickBot="1" x14ac:dyDescent="0.3">
      <c r="C223" s="62">
        <f t="shared" ref="C223:C228" si="90">C222</f>
        <v>0</v>
      </c>
      <c r="D223" s="82" t="s">
        <v>26</v>
      </c>
      <c r="E223" s="80"/>
      <c r="F223" s="79"/>
      <c r="G223" s="79"/>
      <c r="H223" s="79"/>
      <c r="I223" s="79"/>
      <c r="J223" s="79"/>
      <c r="K223" s="79"/>
      <c r="L223" s="79"/>
      <c r="M223" s="79"/>
      <c r="N223" s="79"/>
      <c r="O223" s="79"/>
      <c r="P223" s="79"/>
      <c r="Q223" s="79"/>
      <c r="R223" s="79"/>
      <c r="S223" s="79"/>
      <c r="T223" s="79"/>
      <c r="U223" s="79"/>
      <c r="V223" s="79"/>
      <c r="W223" s="78"/>
    </row>
    <row r="224" spans="3:23" ht="15.75" hidden="1" thickBot="1" x14ac:dyDescent="0.3">
      <c r="C224" s="62">
        <f t="shared" si="90"/>
        <v>0</v>
      </c>
      <c r="D224" s="81" t="s">
        <v>94</v>
      </c>
      <c r="E224" s="80"/>
      <c r="F224" s="79"/>
      <c r="G224" s="79"/>
      <c r="H224" s="79"/>
      <c r="I224" s="79"/>
      <c r="J224" s="79"/>
      <c r="K224" s="79"/>
      <c r="L224" s="79"/>
      <c r="M224" s="79"/>
      <c r="N224" s="79"/>
      <c r="O224" s="79"/>
      <c r="P224" s="79"/>
      <c r="Q224" s="79"/>
      <c r="R224" s="79"/>
      <c r="S224" s="79"/>
      <c r="T224" s="79"/>
      <c r="U224" s="79"/>
      <c r="V224" s="79"/>
      <c r="W224" s="78"/>
    </row>
    <row r="225" spans="3:23" ht="15.75" hidden="1" thickBot="1" x14ac:dyDescent="0.3">
      <c r="C225" s="62">
        <f t="shared" si="90"/>
        <v>0</v>
      </c>
      <c r="D225" s="268" t="s">
        <v>93</v>
      </c>
      <c r="E225" s="76" t="s">
        <v>155</v>
      </c>
      <c r="F225" s="75">
        <f t="shared" ref="F225:T225" si="91">+F$8*$E220</f>
        <v>0</v>
      </c>
      <c r="G225" s="75">
        <f t="shared" si="91"/>
        <v>0</v>
      </c>
      <c r="H225" s="75">
        <f t="shared" si="91"/>
        <v>0</v>
      </c>
      <c r="I225" s="75">
        <f t="shared" si="91"/>
        <v>0</v>
      </c>
      <c r="J225" s="75">
        <f t="shared" si="91"/>
        <v>0</v>
      </c>
      <c r="K225" s="75">
        <f t="shared" si="91"/>
        <v>0</v>
      </c>
      <c r="L225" s="75">
        <f t="shared" si="91"/>
        <v>0</v>
      </c>
      <c r="M225" s="75">
        <f t="shared" ca="1" si="91"/>
        <v>0</v>
      </c>
      <c r="N225" s="75">
        <f t="shared" ca="1" si="91"/>
        <v>0</v>
      </c>
      <c r="O225" s="75">
        <f t="shared" si="91"/>
        <v>0</v>
      </c>
      <c r="P225" s="75">
        <f t="shared" si="91"/>
        <v>0</v>
      </c>
      <c r="Q225" s="75">
        <f t="shared" si="91"/>
        <v>0</v>
      </c>
      <c r="R225" s="75">
        <f t="shared" si="91"/>
        <v>0</v>
      </c>
      <c r="S225" s="75">
        <f t="shared" si="91"/>
        <v>0</v>
      </c>
      <c r="T225" s="75">
        <f t="shared" si="91"/>
        <v>0</v>
      </c>
      <c r="U225" s="73">
        <f t="shared" ref="U225:U227" si="92">+R225+O225+L225+I225+F225</f>
        <v>0</v>
      </c>
      <c r="V225" s="72">
        <f t="shared" ref="V225:V227" ca="1" si="93">+S225+P225+M225+J225+G225</f>
        <v>0</v>
      </c>
      <c r="W225" s="72">
        <f t="shared" ref="W225:W227" ca="1" si="94">+T225+Q225+N225+K225+H225</f>
        <v>0</v>
      </c>
    </row>
    <row r="226" spans="3:23" ht="15.75" hidden="1" thickBot="1" x14ac:dyDescent="0.3">
      <c r="C226" s="62">
        <f t="shared" si="90"/>
        <v>0</v>
      </c>
      <c r="D226" s="268" t="s">
        <v>92</v>
      </c>
      <c r="E226" s="76" t="s">
        <v>156</v>
      </c>
      <c r="F226" s="75">
        <f t="shared" ref="F226:T226" si="95">+F$9*$E220</f>
        <v>0</v>
      </c>
      <c r="G226" s="75">
        <f t="shared" si="95"/>
        <v>0</v>
      </c>
      <c r="H226" s="75">
        <f t="shared" si="95"/>
        <v>0</v>
      </c>
      <c r="I226" s="75">
        <f t="shared" si="95"/>
        <v>0</v>
      </c>
      <c r="J226" s="75">
        <f t="shared" si="95"/>
        <v>0</v>
      </c>
      <c r="K226" s="75">
        <f t="shared" si="95"/>
        <v>0</v>
      </c>
      <c r="L226" s="75">
        <f t="shared" si="95"/>
        <v>0</v>
      </c>
      <c r="M226" s="75">
        <f t="shared" si="95"/>
        <v>0</v>
      </c>
      <c r="N226" s="75">
        <f t="shared" si="95"/>
        <v>0</v>
      </c>
      <c r="O226" s="75">
        <f t="shared" si="95"/>
        <v>0</v>
      </c>
      <c r="P226" s="75">
        <f t="shared" si="95"/>
        <v>0</v>
      </c>
      <c r="Q226" s="75">
        <f t="shared" si="95"/>
        <v>0</v>
      </c>
      <c r="R226" s="75">
        <f t="shared" si="95"/>
        <v>0</v>
      </c>
      <c r="S226" s="75">
        <f t="shared" si="95"/>
        <v>0</v>
      </c>
      <c r="T226" s="75">
        <f t="shared" si="95"/>
        <v>0</v>
      </c>
      <c r="U226" s="73">
        <f t="shared" si="92"/>
        <v>0</v>
      </c>
      <c r="V226" s="72">
        <f t="shared" si="93"/>
        <v>0</v>
      </c>
      <c r="W226" s="72">
        <f t="shared" si="94"/>
        <v>0</v>
      </c>
    </row>
    <row r="227" spans="3:23" ht="15.75" hidden="1" thickBot="1" x14ac:dyDescent="0.3">
      <c r="C227" s="62">
        <f t="shared" si="90"/>
        <v>0</v>
      </c>
      <c r="D227" s="268" t="s">
        <v>91</v>
      </c>
      <c r="E227" s="76" t="s">
        <v>157</v>
      </c>
      <c r="F227" s="75">
        <f t="shared" ref="F227:T227" si="96">+F$10*$E220</f>
        <v>0</v>
      </c>
      <c r="G227" s="75">
        <f t="shared" si="96"/>
        <v>0</v>
      </c>
      <c r="H227" s="75">
        <f t="shared" si="96"/>
        <v>0</v>
      </c>
      <c r="I227" s="75">
        <f t="shared" si="96"/>
        <v>0</v>
      </c>
      <c r="J227" s="75">
        <f t="shared" si="96"/>
        <v>0</v>
      </c>
      <c r="K227" s="75">
        <f t="shared" si="96"/>
        <v>0</v>
      </c>
      <c r="L227" s="75">
        <f t="shared" si="96"/>
        <v>0</v>
      </c>
      <c r="M227" s="75">
        <f t="shared" ca="1" si="96"/>
        <v>0</v>
      </c>
      <c r="N227" s="75">
        <f t="shared" si="96"/>
        <v>0</v>
      </c>
      <c r="O227" s="75">
        <f t="shared" si="96"/>
        <v>0</v>
      </c>
      <c r="P227" s="75">
        <f t="shared" si="96"/>
        <v>0</v>
      </c>
      <c r="Q227" s="75">
        <f t="shared" si="96"/>
        <v>0</v>
      </c>
      <c r="R227" s="75">
        <f t="shared" si="96"/>
        <v>0</v>
      </c>
      <c r="S227" s="75">
        <f t="shared" si="96"/>
        <v>0</v>
      </c>
      <c r="T227" s="75">
        <f t="shared" si="96"/>
        <v>0</v>
      </c>
      <c r="U227" s="73">
        <f t="shared" si="92"/>
        <v>0</v>
      </c>
      <c r="V227" s="72">
        <f t="shared" ca="1" si="93"/>
        <v>0</v>
      </c>
      <c r="W227" s="72">
        <f t="shared" si="94"/>
        <v>0</v>
      </c>
    </row>
    <row r="228" spans="3:23" ht="15.75" hidden="1" thickBot="1" x14ac:dyDescent="0.3">
      <c r="C228" s="62">
        <f t="shared" si="90"/>
        <v>0</v>
      </c>
      <c r="D228" s="71" t="s">
        <v>48</v>
      </c>
      <c r="E228" s="70" t="s">
        <v>158</v>
      </c>
      <c r="F228" s="69">
        <f>SUBTOTAL(9,F225:F227)</f>
        <v>0</v>
      </c>
      <c r="G228" s="68">
        <f t="shared" ref="G228:W228" si="97">SUBTOTAL(9,G225:G227)</f>
        <v>0</v>
      </c>
      <c r="H228" s="68">
        <f t="shared" si="97"/>
        <v>0</v>
      </c>
      <c r="I228" s="69">
        <f t="shared" si="97"/>
        <v>0</v>
      </c>
      <c r="J228" s="68">
        <f t="shared" si="97"/>
        <v>0</v>
      </c>
      <c r="K228" s="68">
        <f t="shared" si="97"/>
        <v>0</v>
      </c>
      <c r="L228" s="69">
        <f t="shared" si="97"/>
        <v>0</v>
      </c>
      <c r="M228" s="68">
        <f t="shared" si="97"/>
        <v>0</v>
      </c>
      <c r="N228" s="68">
        <f t="shared" si="97"/>
        <v>0</v>
      </c>
      <c r="O228" s="69">
        <f t="shared" si="97"/>
        <v>0</v>
      </c>
      <c r="P228" s="68">
        <f t="shared" si="97"/>
        <v>0</v>
      </c>
      <c r="Q228" s="68">
        <f t="shared" si="97"/>
        <v>0</v>
      </c>
      <c r="R228" s="69">
        <f t="shared" si="97"/>
        <v>0</v>
      </c>
      <c r="S228" s="68">
        <f t="shared" si="97"/>
        <v>0</v>
      </c>
      <c r="T228" s="68">
        <f t="shared" si="97"/>
        <v>0</v>
      </c>
      <c r="U228" s="69">
        <f t="shared" si="97"/>
        <v>0</v>
      </c>
      <c r="V228" s="68">
        <f t="shared" si="97"/>
        <v>0</v>
      </c>
      <c r="W228" s="68">
        <f t="shared" si="97"/>
        <v>0</v>
      </c>
    </row>
    <row r="229" spans="3:23" ht="15.75" hidden="1" thickBot="1" x14ac:dyDescent="0.3">
      <c r="D229" s="328"/>
      <c r="E229" s="329"/>
      <c r="F229" s="330"/>
      <c r="G229" s="331"/>
      <c r="H229" s="331"/>
      <c r="I229" s="330"/>
      <c r="J229" s="331"/>
      <c r="K229" s="331"/>
      <c r="L229" s="330"/>
      <c r="M229" s="331"/>
      <c r="N229" s="331"/>
      <c r="O229" s="330"/>
      <c r="P229" s="331"/>
      <c r="Q229" s="331"/>
      <c r="R229" s="330"/>
      <c r="S229" s="331"/>
      <c r="T229" s="331"/>
      <c r="U229" s="330"/>
      <c r="V229" s="331"/>
      <c r="W229" s="331"/>
    </row>
    <row r="230" spans="3:23" ht="15.75" hidden="1" thickBot="1" x14ac:dyDescent="0.3">
      <c r="C230" s="62">
        <f>IF(E230&gt;0,1,0)</f>
        <v>0</v>
      </c>
      <c r="D230" s="936" t="str">
        <f>+A26</f>
        <v>Herkimer</v>
      </c>
      <c r="E230" s="938">
        <f>SUMIF(A:A,D230,B:B)</f>
        <v>0</v>
      </c>
      <c r="F230" s="940" t="s">
        <v>103</v>
      </c>
      <c r="G230" s="941"/>
      <c r="H230" s="942"/>
      <c r="I230" s="940" t="s">
        <v>102</v>
      </c>
      <c r="J230" s="941"/>
      <c r="K230" s="942"/>
      <c r="L230" s="940" t="s">
        <v>101</v>
      </c>
      <c r="M230" s="941"/>
      <c r="N230" s="942"/>
      <c r="O230" s="940" t="s">
        <v>100</v>
      </c>
      <c r="P230" s="941"/>
      <c r="Q230" s="942"/>
      <c r="R230" s="940" t="s">
        <v>99</v>
      </c>
      <c r="S230" s="941"/>
      <c r="T230" s="942"/>
      <c r="U230" s="940" t="s">
        <v>98</v>
      </c>
      <c r="V230" s="941"/>
      <c r="W230" s="943"/>
    </row>
    <row r="231" spans="3:23" ht="30.75" hidden="1" thickBot="1" x14ac:dyDescent="0.3">
      <c r="C231" s="62">
        <f>IF(E230&gt;0,1,0)</f>
        <v>0</v>
      </c>
      <c r="D231" s="937"/>
      <c r="E231" s="939"/>
      <c r="F231" s="88" t="s">
        <v>97</v>
      </c>
      <c r="G231" s="88" t="s">
        <v>96</v>
      </c>
      <c r="H231" s="88" t="s">
        <v>95</v>
      </c>
      <c r="I231" s="88" t="s">
        <v>97</v>
      </c>
      <c r="J231" s="88" t="s">
        <v>96</v>
      </c>
      <c r="K231" s="88" t="s">
        <v>95</v>
      </c>
      <c r="L231" s="88" t="s">
        <v>97</v>
      </c>
      <c r="M231" s="88" t="s">
        <v>96</v>
      </c>
      <c r="N231" s="88" t="s">
        <v>95</v>
      </c>
      <c r="O231" s="88" t="s">
        <v>97</v>
      </c>
      <c r="P231" s="88" t="s">
        <v>96</v>
      </c>
      <c r="Q231" s="88" t="s">
        <v>95</v>
      </c>
      <c r="R231" s="88" t="s">
        <v>97</v>
      </c>
      <c r="S231" s="88" t="s">
        <v>96</v>
      </c>
      <c r="T231" s="88" t="s">
        <v>95</v>
      </c>
      <c r="U231" s="88" t="s">
        <v>97</v>
      </c>
      <c r="V231" s="88" t="s">
        <v>96</v>
      </c>
      <c r="W231" s="87" t="s">
        <v>95</v>
      </c>
    </row>
    <row r="232" spans="3:23" ht="15.75" hidden="1" thickBot="1" x14ac:dyDescent="0.3">
      <c r="C232" s="62">
        <f>C231</f>
        <v>0</v>
      </c>
      <c r="D232" s="86"/>
      <c r="E232" s="85"/>
      <c r="F232" s="84" t="s">
        <v>57</v>
      </c>
      <c r="G232" s="84" t="s">
        <v>56</v>
      </c>
      <c r="H232" s="84" t="s">
        <v>55</v>
      </c>
      <c r="I232" s="84" t="s">
        <v>54</v>
      </c>
      <c r="J232" s="84" t="s">
        <v>53</v>
      </c>
      <c r="K232" s="84" t="s">
        <v>52</v>
      </c>
      <c r="L232" s="84" t="s">
        <v>51</v>
      </c>
      <c r="M232" s="84" t="s">
        <v>50</v>
      </c>
      <c r="N232" s="84" t="s">
        <v>49</v>
      </c>
      <c r="O232" s="84" t="s">
        <v>47</v>
      </c>
      <c r="P232" s="84" t="s">
        <v>77</v>
      </c>
      <c r="Q232" s="84" t="s">
        <v>78</v>
      </c>
      <c r="R232" s="84" t="s">
        <v>79</v>
      </c>
      <c r="S232" s="84" t="s">
        <v>81</v>
      </c>
      <c r="T232" s="84" t="s">
        <v>83</v>
      </c>
      <c r="U232" s="84" t="s">
        <v>85</v>
      </c>
      <c r="V232" s="84" t="s">
        <v>87</v>
      </c>
      <c r="W232" s="83" t="s">
        <v>88</v>
      </c>
    </row>
    <row r="233" spans="3:23" ht="15.75" hidden="1" thickBot="1" x14ac:dyDescent="0.3">
      <c r="C233" s="62">
        <f t="shared" ref="C233:C238" si="98">C232</f>
        <v>0</v>
      </c>
      <c r="D233" s="82" t="s">
        <v>26</v>
      </c>
      <c r="E233" s="80"/>
      <c r="F233" s="79"/>
      <c r="G233" s="79"/>
      <c r="H233" s="79"/>
      <c r="I233" s="79"/>
      <c r="J233" s="79"/>
      <c r="K233" s="79"/>
      <c r="L233" s="79"/>
      <c r="M233" s="79"/>
      <c r="N233" s="79"/>
      <c r="O233" s="79"/>
      <c r="P233" s="79"/>
      <c r="Q233" s="79"/>
      <c r="R233" s="79"/>
      <c r="S233" s="79"/>
      <c r="T233" s="79"/>
      <c r="U233" s="79"/>
      <c r="V233" s="79"/>
      <c r="W233" s="78"/>
    </row>
    <row r="234" spans="3:23" ht="15.75" hidden="1" thickBot="1" x14ac:dyDescent="0.3">
      <c r="C234" s="62">
        <f t="shared" si="98"/>
        <v>0</v>
      </c>
      <c r="D234" s="81" t="s">
        <v>94</v>
      </c>
      <c r="E234" s="80"/>
      <c r="F234" s="79"/>
      <c r="G234" s="79"/>
      <c r="H234" s="79"/>
      <c r="I234" s="79"/>
      <c r="J234" s="79"/>
      <c r="K234" s="79"/>
      <c r="L234" s="79"/>
      <c r="M234" s="79"/>
      <c r="N234" s="79"/>
      <c r="O234" s="79"/>
      <c r="P234" s="79"/>
      <c r="Q234" s="79"/>
      <c r="R234" s="79"/>
      <c r="S234" s="79"/>
      <c r="T234" s="79"/>
      <c r="U234" s="79"/>
      <c r="V234" s="79"/>
      <c r="W234" s="78"/>
    </row>
    <row r="235" spans="3:23" ht="15.75" hidden="1" thickBot="1" x14ac:dyDescent="0.3">
      <c r="C235" s="62">
        <f t="shared" si="98"/>
        <v>0</v>
      </c>
      <c r="D235" s="268" t="s">
        <v>93</v>
      </c>
      <c r="E235" s="76" t="s">
        <v>155</v>
      </c>
      <c r="F235" s="75">
        <f t="shared" ref="F235:T235" si="99">+F$8*$E230</f>
        <v>0</v>
      </c>
      <c r="G235" s="75">
        <f t="shared" si="99"/>
        <v>0</v>
      </c>
      <c r="H235" s="75">
        <f t="shared" si="99"/>
        <v>0</v>
      </c>
      <c r="I235" s="75">
        <f t="shared" si="99"/>
        <v>0</v>
      </c>
      <c r="J235" s="75">
        <f t="shared" si="99"/>
        <v>0</v>
      </c>
      <c r="K235" s="75">
        <f t="shared" si="99"/>
        <v>0</v>
      </c>
      <c r="L235" s="75">
        <f t="shared" si="99"/>
        <v>0</v>
      </c>
      <c r="M235" s="75">
        <f t="shared" ca="1" si="99"/>
        <v>0</v>
      </c>
      <c r="N235" s="75">
        <f t="shared" ca="1" si="99"/>
        <v>0</v>
      </c>
      <c r="O235" s="75">
        <f t="shared" si="99"/>
        <v>0</v>
      </c>
      <c r="P235" s="75">
        <f t="shared" si="99"/>
        <v>0</v>
      </c>
      <c r="Q235" s="75">
        <f t="shared" si="99"/>
        <v>0</v>
      </c>
      <c r="R235" s="75">
        <f t="shared" si="99"/>
        <v>0</v>
      </c>
      <c r="S235" s="75">
        <f t="shared" si="99"/>
        <v>0</v>
      </c>
      <c r="T235" s="75">
        <f t="shared" si="99"/>
        <v>0</v>
      </c>
      <c r="U235" s="73">
        <f t="shared" ref="U235:U237" si="100">+R235+O235+L235+I235+F235</f>
        <v>0</v>
      </c>
      <c r="V235" s="72">
        <f t="shared" ref="V235:V237" ca="1" si="101">+S235+P235+M235+J235+G235</f>
        <v>0</v>
      </c>
      <c r="W235" s="72">
        <f t="shared" ref="W235:W237" ca="1" si="102">+T235+Q235+N235+K235+H235</f>
        <v>0</v>
      </c>
    </row>
    <row r="236" spans="3:23" ht="15.75" hidden="1" thickBot="1" x14ac:dyDescent="0.3">
      <c r="C236" s="62">
        <f t="shared" si="98"/>
        <v>0</v>
      </c>
      <c r="D236" s="268" t="s">
        <v>92</v>
      </c>
      <c r="E236" s="76" t="s">
        <v>156</v>
      </c>
      <c r="F236" s="75">
        <f t="shared" ref="F236:T236" si="103">+F$9*$E230</f>
        <v>0</v>
      </c>
      <c r="G236" s="75">
        <f t="shared" si="103"/>
        <v>0</v>
      </c>
      <c r="H236" s="75">
        <f t="shared" si="103"/>
        <v>0</v>
      </c>
      <c r="I236" s="75">
        <f t="shared" si="103"/>
        <v>0</v>
      </c>
      <c r="J236" s="75">
        <f t="shared" si="103"/>
        <v>0</v>
      </c>
      <c r="K236" s="75">
        <f t="shared" si="103"/>
        <v>0</v>
      </c>
      <c r="L236" s="75">
        <f t="shared" si="103"/>
        <v>0</v>
      </c>
      <c r="M236" s="75">
        <f t="shared" si="103"/>
        <v>0</v>
      </c>
      <c r="N236" s="75">
        <f t="shared" si="103"/>
        <v>0</v>
      </c>
      <c r="O236" s="75">
        <f t="shared" si="103"/>
        <v>0</v>
      </c>
      <c r="P236" s="75">
        <f t="shared" si="103"/>
        <v>0</v>
      </c>
      <c r="Q236" s="75">
        <f t="shared" si="103"/>
        <v>0</v>
      </c>
      <c r="R236" s="75">
        <f t="shared" si="103"/>
        <v>0</v>
      </c>
      <c r="S236" s="75">
        <f t="shared" si="103"/>
        <v>0</v>
      </c>
      <c r="T236" s="75">
        <f t="shared" si="103"/>
        <v>0</v>
      </c>
      <c r="U236" s="73">
        <f t="shared" si="100"/>
        <v>0</v>
      </c>
      <c r="V236" s="72">
        <f t="shared" si="101"/>
        <v>0</v>
      </c>
      <c r="W236" s="72">
        <f t="shared" si="102"/>
        <v>0</v>
      </c>
    </row>
    <row r="237" spans="3:23" ht="15.75" hidden="1" thickBot="1" x14ac:dyDescent="0.3">
      <c r="C237" s="62">
        <f t="shared" si="98"/>
        <v>0</v>
      </c>
      <c r="D237" s="268" t="s">
        <v>91</v>
      </c>
      <c r="E237" s="76" t="s">
        <v>157</v>
      </c>
      <c r="F237" s="75">
        <f t="shared" ref="F237:T237" si="104">+F$10*$E230</f>
        <v>0</v>
      </c>
      <c r="G237" s="75">
        <f t="shared" si="104"/>
        <v>0</v>
      </c>
      <c r="H237" s="75">
        <f t="shared" si="104"/>
        <v>0</v>
      </c>
      <c r="I237" s="75">
        <f t="shared" si="104"/>
        <v>0</v>
      </c>
      <c r="J237" s="75">
        <f t="shared" si="104"/>
        <v>0</v>
      </c>
      <c r="K237" s="75">
        <f t="shared" si="104"/>
        <v>0</v>
      </c>
      <c r="L237" s="75">
        <f t="shared" si="104"/>
        <v>0</v>
      </c>
      <c r="M237" s="75">
        <f t="shared" ca="1" si="104"/>
        <v>0</v>
      </c>
      <c r="N237" s="75">
        <f t="shared" si="104"/>
        <v>0</v>
      </c>
      <c r="O237" s="75">
        <f t="shared" si="104"/>
        <v>0</v>
      </c>
      <c r="P237" s="75">
        <f t="shared" si="104"/>
        <v>0</v>
      </c>
      <c r="Q237" s="75">
        <f t="shared" si="104"/>
        <v>0</v>
      </c>
      <c r="R237" s="75">
        <f t="shared" si="104"/>
        <v>0</v>
      </c>
      <c r="S237" s="75">
        <f t="shared" si="104"/>
        <v>0</v>
      </c>
      <c r="T237" s="75">
        <f t="shared" si="104"/>
        <v>0</v>
      </c>
      <c r="U237" s="73">
        <f t="shared" si="100"/>
        <v>0</v>
      </c>
      <c r="V237" s="72">
        <f t="shared" ca="1" si="101"/>
        <v>0</v>
      </c>
      <c r="W237" s="72">
        <f t="shared" si="102"/>
        <v>0</v>
      </c>
    </row>
    <row r="238" spans="3:23" ht="15.75" hidden="1" thickBot="1" x14ac:dyDescent="0.3">
      <c r="C238" s="62">
        <f t="shared" si="98"/>
        <v>0</v>
      </c>
      <c r="D238" s="71" t="s">
        <v>48</v>
      </c>
      <c r="E238" s="70" t="s">
        <v>158</v>
      </c>
      <c r="F238" s="69">
        <f>SUBTOTAL(9,F235:F237)</f>
        <v>0</v>
      </c>
      <c r="G238" s="68">
        <f t="shared" ref="G238:W238" si="105">SUBTOTAL(9,G235:G237)</f>
        <v>0</v>
      </c>
      <c r="H238" s="68">
        <f t="shared" si="105"/>
        <v>0</v>
      </c>
      <c r="I238" s="69">
        <f t="shared" si="105"/>
        <v>0</v>
      </c>
      <c r="J238" s="68">
        <f t="shared" si="105"/>
        <v>0</v>
      </c>
      <c r="K238" s="68">
        <f t="shared" si="105"/>
        <v>0</v>
      </c>
      <c r="L238" s="69">
        <f t="shared" si="105"/>
        <v>0</v>
      </c>
      <c r="M238" s="68">
        <f t="shared" si="105"/>
        <v>0</v>
      </c>
      <c r="N238" s="68">
        <f t="shared" si="105"/>
        <v>0</v>
      </c>
      <c r="O238" s="69">
        <f t="shared" si="105"/>
        <v>0</v>
      </c>
      <c r="P238" s="68">
        <f t="shared" si="105"/>
        <v>0</v>
      </c>
      <c r="Q238" s="68">
        <f t="shared" si="105"/>
        <v>0</v>
      </c>
      <c r="R238" s="69">
        <f t="shared" si="105"/>
        <v>0</v>
      </c>
      <c r="S238" s="68">
        <f t="shared" si="105"/>
        <v>0</v>
      </c>
      <c r="T238" s="68">
        <f t="shared" si="105"/>
        <v>0</v>
      </c>
      <c r="U238" s="69">
        <f t="shared" si="105"/>
        <v>0</v>
      </c>
      <c r="V238" s="68">
        <f t="shared" si="105"/>
        <v>0</v>
      </c>
      <c r="W238" s="68">
        <f t="shared" si="105"/>
        <v>0</v>
      </c>
    </row>
    <row r="239" spans="3:23" ht="15.75" hidden="1" thickBot="1" x14ac:dyDescent="0.3">
      <c r="D239" s="328"/>
      <c r="E239" s="329"/>
      <c r="F239" s="330"/>
      <c r="G239" s="331"/>
      <c r="H239" s="331"/>
      <c r="I239" s="330"/>
      <c r="J239" s="331"/>
      <c r="K239" s="331"/>
      <c r="L239" s="330"/>
      <c r="M239" s="331"/>
      <c r="N239" s="331"/>
      <c r="O239" s="330"/>
      <c r="P239" s="331"/>
      <c r="Q239" s="331"/>
      <c r="R239" s="330"/>
      <c r="S239" s="331"/>
      <c r="T239" s="331"/>
      <c r="U239" s="330"/>
      <c r="V239" s="331"/>
      <c r="W239" s="331"/>
    </row>
    <row r="240" spans="3:23" ht="15.75" hidden="1" thickBot="1" x14ac:dyDescent="0.3">
      <c r="C240" s="62">
        <f>IF(E240&gt;0,1,0)</f>
        <v>0</v>
      </c>
      <c r="D240" s="936" t="str">
        <f>+A27</f>
        <v>Jefferson</v>
      </c>
      <c r="E240" s="938">
        <f>SUMIF(A:A,D240,B:B)</f>
        <v>0</v>
      </c>
      <c r="F240" s="940" t="s">
        <v>103</v>
      </c>
      <c r="G240" s="941"/>
      <c r="H240" s="942"/>
      <c r="I240" s="940" t="s">
        <v>102</v>
      </c>
      <c r="J240" s="941"/>
      <c r="K240" s="942"/>
      <c r="L240" s="940" t="s">
        <v>101</v>
      </c>
      <c r="M240" s="941"/>
      <c r="N240" s="942"/>
      <c r="O240" s="940" t="s">
        <v>100</v>
      </c>
      <c r="P240" s="941"/>
      <c r="Q240" s="942"/>
      <c r="R240" s="940" t="s">
        <v>99</v>
      </c>
      <c r="S240" s="941"/>
      <c r="T240" s="942"/>
      <c r="U240" s="940" t="s">
        <v>98</v>
      </c>
      <c r="V240" s="941"/>
      <c r="W240" s="943"/>
    </row>
    <row r="241" spans="3:23" ht="30.75" hidden="1" thickBot="1" x14ac:dyDescent="0.3">
      <c r="C241" s="62">
        <f>IF(E240&gt;0,1,0)</f>
        <v>0</v>
      </c>
      <c r="D241" s="937"/>
      <c r="E241" s="939"/>
      <c r="F241" s="88" t="s">
        <v>97</v>
      </c>
      <c r="G241" s="88" t="s">
        <v>96</v>
      </c>
      <c r="H241" s="88" t="s">
        <v>95</v>
      </c>
      <c r="I241" s="88" t="s">
        <v>97</v>
      </c>
      <c r="J241" s="88" t="s">
        <v>96</v>
      </c>
      <c r="K241" s="88" t="s">
        <v>95</v>
      </c>
      <c r="L241" s="88" t="s">
        <v>97</v>
      </c>
      <c r="M241" s="88" t="s">
        <v>96</v>
      </c>
      <c r="N241" s="88" t="s">
        <v>95</v>
      </c>
      <c r="O241" s="88" t="s">
        <v>97</v>
      </c>
      <c r="P241" s="88" t="s">
        <v>96</v>
      </c>
      <c r="Q241" s="88" t="s">
        <v>95</v>
      </c>
      <c r="R241" s="88" t="s">
        <v>97</v>
      </c>
      <c r="S241" s="88" t="s">
        <v>96</v>
      </c>
      <c r="T241" s="88" t="s">
        <v>95</v>
      </c>
      <c r="U241" s="88" t="s">
        <v>97</v>
      </c>
      <c r="V241" s="88" t="s">
        <v>96</v>
      </c>
      <c r="W241" s="87" t="s">
        <v>95</v>
      </c>
    </row>
    <row r="242" spans="3:23" ht="15.75" hidden="1" thickBot="1" x14ac:dyDescent="0.3">
      <c r="C242" s="62">
        <f>C241</f>
        <v>0</v>
      </c>
      <c r="D242" s="86"/>
      <c r="E242" s="85"/>
      <c r="F242" s="84" t="s">
        <v>57</v>
      </c>
      <c r="G242" s="84" t="s">
        <v>56</v>
      </c>
      <c r="H242" s="84" t="s">
        <v>55</v>
      </c>
      <c r="I242" s="84" t="s">
        <v>54</v>
      </c>
      <c r="J242" s="84" t="s">
        <v>53</v>
      </c>
      <c r="K242" s="84" t="s">
        <v>52</v>
      </c>
      <c r="L242" s="84" t="s">
        <v>51</v>
      </c>
      <c r="M242" s="84" t="s">
        <v>50</v>
      </c>
      <c r="N242" s="84" t="s">
        <v>49</v>
      </c>
      <c r="O242" s="84" t="s">
        <v>47</v>
      </c>
      <c r="P242" s="84" t="s">
        <v>77</v>
      </c>
      <c r="Q242" s="84" t="s">
        <v>78</v>
      </c>
      <c r="R242" s="84" t="s">
        <v>79</v>
      </c>
      <c r="S242" s="84" t="s">
        <v>81</v>
      </c>
      <c r="T242" s="84" t="s">
        <v>83</v>
      </c>
      <c r="U242" s="84" t="s">
        <v>85</v>
      </c>
      <c r="V242" s="84" t="s">
        <v>87</v>
      </c>
      <c r="W242" s="83" t="s">
        <v>88</v>
      </c>
    </row>
    <row r="243" spans="3:23" ht="15.75" hidden="1" thickBot="1" x14ac:dyDescent="0.3">
      <c r="C243" s="62">
        <f t="shared" ref="C243:C248" si="106">C242</f>
        <v>0</v>
      </c>
      <c r="D243" s="82" t="s">
        <v>26</v>
      </c>
      <c r="E243" s="80"/>
      <c r="F243" s="79"/>
      <c r="G243" s="79"/>
      <c r="H243" s="79"/>
      <c r="I243" s="79"/>
      <c r="J243" s="79"/>
      <c r="K243" s="79"/>
      <c r="L243" s="79"/>
      <c r="M243" s="79"/>
      <c r="N243" s="79"/>
      <c r="O243" s="79"/>
      <c r="P243" s="79"/>
      <c r="Q243" s="79"/>
      <c r="R243" s="79"/>
      <c r="S243" s="79"/>
      <c r="T243" s="79"/>
      <c r="U243" s="79"/>
      <c r="V243" s="79"/>
      <c r="W243" s="78"/>
    </row>
    <row r="244" spans="3:23" ht="15.75" hidden="1" thickBot="1" x14ac:dyDescent="0.3">
      <c r="C244" s="62">
        <f t="shared" si="106"/>
        <v>0</v>
      </c>
      <c r="D244" s="81" t="s">
        <v>94</v>
      </c>
      <c r="E244" s="80"/>
      <c r="F244" s="79"/>
      <c r="G244" s="79"/>
      <c r="H244" s="79"/>
      <c r="I244" s="79"/>
      <c r="J244" s="79"/>
      <c r="K244" s="79"/>
      <c r="L244" s="79"/>
      <c r="M244" s="79"/>
      <c r="N244" s="79"/>
      <c r="O244" s="79"/>
      <c r="P244" s="79"/>
      <c r="Q244" s="79"/>
      <c r="R244" s="79"/>
      <c r="S244" s="79"/>
      <c r="T244" s="79"/>
      <c r="U244" s="79"/>
      <c r="V244" s="79"/>
      <c r="W244" s="78"/>
    </row>
    <row r="245" spans="3:23" ht="15.75" hidden="1" thickBot="1" x14ac:dyDescent="0.3">
      <c r="C245" s="62">
        <f t="shared" si="106"/>
        <v>0</v>
      </c>
      <c r="D245" s="268" t="s">
        <v>93</v>
      </c>
      <c r="E245" s="76" t="s">
        <v>155</v>
      </c>
      <c r="F245" s="75">
        <f t="shared" ref="F245:T245" si="107">+F$8*$E240</f>
        <v>0</v>
      </c>
      <c r="G245" s="75">
        <f t="shared" si="107"/>
        <v>0</v>
      </c>
      <c r="H245" s="75">
        <f t="shared" si="107"/>
        <v>0</v>
      </c>
      <c r="I245" s="75">
        <f t="shared" si="107"/>
        <v>0</v>
      </c>
      <c r="J245" s="75">
        <f t="shared" si="107"/>
        <v>0</v>
      </c>
      <c r="K245" s="75">
        <f t="shared" si="107"/>
        <v>0</v>
      </c>
      <c r="L245" s="75">
        <f t="shared" si="107"/>
        <v>0</v>
      </c>
      <c r="M245" s="75">
        <f t="shared" ca="1" si="107"/>
        <v>0</v>
      </c>
      <c r="N245" s="75">
        <f t="shared" ca="1" si="107"/>
        <v>0</v>
      </c>
      <c r="O245" s="75">
        <f t="shared" si="107"/>
        <v>0</v>
      </c>
      <c r="P245" s="75">
        <f t="shared" si="107"/>
        <v>0</v>
      </c>
      <c r="Q245" s="75">
        <f t="shared" si="107"/>
        <v>0</v>
      </c>
      <c r="R245" s="75">
        <f t="shared" si="107"/>
        <v>0</v>
      </c>
      <c r="S245" s="75">
        <f t="shared" si="107"/>
        <v>0</v>
      </c>
      <c r="T245" s="75">
        <f t="shared" si="107"/>
        <v>0</v>
      </c>
      <c r="U245" s="73">
        <f t="shared" ref="U245:U247" si="108">+R245+O245+L245+I245+F245</f>
        <v>0</v>
      </c>
      <c r="V245" s="72">
        <f t="shared" ref="V245:V247" ca="1" si="109">+S245+P245+M245+J245+G245</f>
        <v>0</v>
      </c>
      <c r="W245" s="72">
        <f t="shared" ref="W245:W247" ca="1" si="110">+T245+Q245+N245+K245+H245</f>
        <v>0</v>
      </c>
    </row>
    <row r="246" spans="3:23" ht="15.75" hidden="1" thickBot="1" x14ac:dyDescent="0.3">
      <c r="C246" s="62">
        <f t="shared" si="106"/>
        <v>0</v>
      </c>
      <c r="D246" s="268" t="s">
        <v>92</v>
      </c>
      <c r="E246" s="76" t="s">
        <v>156</v>
      </c>
      <c r="F246" s="75">
        <f t="shared" ref="F246:T246" si="111">+F$9*$E240</f>
        <v>0</v>
      </c>
      <c r="G246" s="75">
        <f t="shared" si="111"/>
        <v>0</v>
      </c>
      <c r="H246" s="75">
        <f t="shared" si="111"/>
        <v>0</v>
      </c>
      <c r="I246" s="75">
        <f t="shared" si="111"/>
        <v>0</v>
      </c>
      <c r="J246" s="75">
        <f t="shared" si="111"/>
        <v>0</v>
      </c>
      <c r="K246" s="75">
        <f t="shared" si="111"/>
        <v>0</v>
      </c>
      <c r="L246" s="75">
        <f t="shared" si="111"/>
        <v>0</v>
      </c>
      <c r="M246" s="75">
        <f t="shared" si="111"/>
        <v>0</v>
      </c>
      <c r="N246" s="75">
        <f t="shared" si="111"/>
        <v>0</v>
      </c>
      <c r="O246" s="75">
        <f t="shared" si="111"/>
        <v>0</v>
      </c>
      <c r="P246" s="75">
        <f t="shared" si="111"/>
        <v>0</v>
      </c>
      <c r="Q246" s="75">
        <f t="shared" si="111"/>
        <v>0</v>
      </c>
      <c r="R246" s="75">
        <f t="shared" si="111"/>
        <v>0</v>
      </c>
      <c r="S246" s="75">
        <f t="shared" si="111"/>
        <v>0</v>
      </c>
      <c r="T246" s="75">
        <f t="shared" si="111"/>
        <v>0</v>
      </c>
      <c r="U246" s="73">
        <f t="shared" si="108"/>
        <v>0</v>
      </c>
      <c r="V246" s="72">
        <f t="shared" si="109"/>
        <v>0</v>
      </c>
      <c r="W246" s="72">
        <f t="shared" si="110"/>
        <v>0</v>
      </c>
    </row>
    <row r="247" spans="3:23" ht="15.75" hidden="1" thickBot="1" x14ac:dyDescent="0.3">
      <c r="C247" s="62">
        <f t="shared" si="106"/>
        <v>0</v>
      </c>
      <c r="D247" s="268" t="s">
        <v>91</v>
      </c>
      <c r="E247" s="76" t="s">
        <v>157</v>
      </c>
      <c r="F247" s="75">
        <f t="shared" ref="F247:T247" si="112">+F$10*$E240</f>
        <v>0</v>
      </c>
      <c r="G247" s="75">
        <f t="shared" si="112"/>
        <v>0</v>
      </c>
      <c r="H247" s="75">
        <f t="shared" si="112"/>
        <v>0</v>
      </c>
      <c r="I247" s="75">
        <f t="shared" si="112"/>
        <v>0</v>
      </c>
      <c r="J247" s="75">
        <f t="shared" si="112"/>
        <v>0</v>
      </c>
      <c r="K247" s="75">
        <f t="shared" si="112"/>
        <v>0</v>
      </c>
      <c r="L247" s="75">
        <f t="shared" si="112"/>
        <v>0</v>
      </c>
      <c r="M247" s="75">
        <f t="shared" ca="1" si="112"/>
        <v>0</v>
      </c>
      <c r="N247" s="75">
        <f t="shared" si="112"/>
        <v>0</v>
      </c>
      <c r="O247" s="75">
        <f t="shared" si="112"/>
        <v>0</v>
      </c>
      <c r="P247" s="75">
        <f t="shared" si="112"/>
        <v>0</v>
      </c>
      <c r="Q247" s="75">
        <f t="shared" si="112"/>
        <v>0</v>
      </c>
      <c r="R247" s="75">
        <f t="shared" si="112"/>
        <v>0</v>
      </c>
      <c r="S247" s="75">
        <f t="shared" si="112"/>
        <v>0</v>
      </c>
      <c r="T247" s="75">
        <f t="shared" si="112"/>
        <v>0</v>
      </c>
      <c r="U247" s="73">
        <f t="shared" si="108"/>
        <v>0</v>
      </c>
      <c r="V247" s="72">
        <f t="shared" ca="1" si="109"/>
        <v>0</v>
      </c>
      <c r="W247" s="72">
        <f t="shared" si="110"/>
        <v>0</v>
      </c>
    </row>
    <row r="248" spans="3:23" ht="15.75" hidden="1" thickBot="1" x14ac:dyDescent="0.3">
      <c r="C248" s="62">
        <f t="shared" si="106"/>
        <v>0</v>
      </c>
      <c r="D248" s="71" t="s">
        <v>48</v>
      </c>
      <c r="E248" s="70" t="s">
        <v>158</v>
      </c>
      <c r="F248" s="69">
        <f>SUBTOTAL(9,F245:F247)</f>
        <v>0</v>
      </c>
      <c r="G248" s="68">
        <f t="shared" ref="G248:W248" si="113">SUBTOTAL(9,G245:G247)</f>
        <v>0</v>
      </c>
      <c r="H248" s="68">
        <f t="shared" si="113"/>
        <v>0</v>
      </c>
      <c r="I248" s="69">
        <f t="shared" si="113"/>
        <v>0</v>
      </c>
      <c r="J248" s="68">
        <f t="shared" si="113"/>
        <v>0</v>
      </c>
      <c r="K248" s="68">
        <f t="shared" si="113"/>
        <v>0</v>
      </c>
      <c r="L248" s="69">
        <f t="shared" si="113"/>
        <v>0</v>
      </c>
      <c r="M248" s="68">
        <f t="shared" si="113"/>
        <v>0</v>
      </c>
      <c r="N248" s="68">
        <f t="shared" si="113"/>
        <v>0</v>
      </c>
      <c r="O248" s="69">
        <f t="shared" si="113"/>
        <v>0</v>
      </c>
      <c r="P248" s="68">
        <f t="shared" si="113"/>
        <v>0</v>
      </c>
      <c r="Q248" s="68">
        <f t="shared" si="113"/>
        <v>0</v>
      </c>
      <c r="R248" s="69">
        <f t="shared" si="113"/>
        <v>0</v>
      </c>
      <c r="S248" s="68">
        <f t="shared" si="113"/>
        <v>0</v>
      </c>
      <c r="T248" s="68">
        <f t="shared" si="113"/>
        <v>0</v>
      </c>
      <c r="U248" s="69">
        <f t="shared" si="113"/>
        <v>0</v>
      </c>
      <c r="V248" s="68">
        <f t="shared" si="113"/>
        <v>0</v>
      </c>
      <c r="W248" s="68">
        <f t="shared" si="113"/>
        <v>0</v>
      </c>
    </row>
    <row r="249" spans="3:23" ht="15.75" hidden="1" thickBot="1" x14ac:dyDescent="0.3"/>
    <row r="250" spans="3:23" x14ac:dyDescent="0.25">
      <c r="C250" s="62">
        <f>IF(E250&gt;0,1,0)</f>
        <v>1</v>
      </c>
      <c r="D250" s="936" t="str">
        <f>+A28</f>
        <v>Kings</v>
      </c>
      <c r="E250" s="938">
        <f>SUMIF(A:A,D250,B:B)</f>
        <v>0.29256738892740358</v>
      </c>
      <c r="F250" s="940" t="s">
        <v>103</v>
      </c>
      <c r="G250" s="941"/>
      <c r="H250" s="942"/>
      <c r="I250" s="940" t="s">
        <v>102</v>
      </c>
      <c r="J250" s="941"/>
      <c r="K250" s="942"/>
      <c r="L250" s="940" t="s">
        <v>101</v>
      </c>
      <c r="M250" s="941"/>
      <c r="N250" s="942"/>
      <c r="O250" s="940" t="s">
        <v>100</v>
      </c>
      <c r="P250" s="941"/>
      <c r="Q250" s="942"/>
      <c r="R250" s="940" t="s">
        <v>99</v>
      </c>
      <c r="S250" s="941"/>
      <c r="T250" s="942"/>
      <c r="U250" s="940" t="s">
        <v>98</v>
      </c>
      <c r="V250" s="941"/>
      <c r="W250" s="943"/>
    </row>
    <row r="251" spans="3:23" ht="30" x14ac:dyDescent="0.25">
      <c r="C251" s="62">
        <f>IF(E250&gt;0,1,0)</f>
        <v>1</v>
      </c>
      <c r="D251" s="937"/>
      <c r="E251" s="939"/>
      <c r="F251" s="88" t="s">
        <v>97</v>
      </c>
      <c r="G251" s="88" t="s">
        <v>96</v>
      </c>
      <c r="H251" s="88" t="s">
        <v>95</v>
      </c>
      <c r="I251" s="88" t="s">
        <v>97</v>
      </c>
      <c r="J251" s="88" t="s">
        <v>96</v>
      </c>
      <c r="K251" s="88" t="s">
        <v>95</v>
      </c>
      <c r="L251" s="88" t="s">
        <v>97</v>
      </c>
      <c r="M251" s="88" t="s">
        <v>96</v>
      </c>
      <c r="N251" s="88" t="s">
        <v>95</v>
      </c>
      <c r="O251" s="88" t="s">
        <v>97</v>
      </c>
      <c r="P251" s="88" t="s">
        <v>96</v>
      </c>
      <c r="Q251" s="88" t="s">
        <v>95</v>
      </c>
      <c r="R251" s="88" t="s">
        <v>97</v>
      </c>
      <c r="S251" s="88" t="s">
        <v>96</v>
      </c>
      <c r="T251" s="88" t="s">
        <v>95</v>
      </c>
      <c r="U251" s="88" t="s">
        <v>97</v>
      </c>
      <c r="V251" s="88" t="s">
        <v>96</v>
      </c>
      <c r="W251" s="87" t="s">
        <v>95</v>
      </c>
    </row>
    <row r="252" spans="3:23" x14ac:dyDescent="0.25">
      <c r="C252" s="62">
        <f>C251</f>
        <v>1</v>
      </c>
      <c r="D252" s="86"/>
      <c r="E252" s="85"/>
      <c r="F252" s="84" t="s">
        <v>57</v>
      </c>
      <c r="G252" s="84" t="s">
        <v>56</v>
      </c>
      <c r="H252" s="84" t="s">
        <v>55</v>
      </c>
      <c r="I252" s="84" t="s">
        <v>54</v>
      </c>
      <c r="J252" s="84" t="s">
        <v>53</v>
      </c>
      <c r="K252" s="84" t="s">
        <v>52</v>
      </c>
      <c r="L252" s="84" t="s">
        <v>51</v>
      </c>
      <c r="M252" s="84" t="s">
        <v>50</v>
      </c>
      <c r="N252" s="84" t="s">
        <v>49</v>
      </c>
      <c r="O252" s="84" t="s">
        <v>47</v>
      </c>
      <c r="P252" s="84" t="s">
        <v>77</v>
      </c>
      <c r="Q252" s="84" t="s">
        <v>78</v>
      </c>
      <c r="R252" s="84" t="s">
        <v>79</v>
      </c>
      <c r="S252" s="84" t="s">
        <v>81</v>
      </c>
      <c r="T252" s="84" t="s">
        <v>83</v>
      </c>
      <c r="U252" s="84" t="s">
        <v>85</v>
      </c>
      <c r="V252" s="84" t="s">
        <v>87</v>
      </c>
      <c r="W252" s="83" t="s">
        <v>88</v>
      </c>
    </row>
    <row r="253" spans="3:23" x14ac:dyDescent="0.25">
      <c r="C253" s="62">
        <f t="shared" ref="C253:C258" si="114">C252</f>
        <v>1</v>
      </c>
      <c r="D253" s="82" t="s">
        <v>26</v>
      </c>
      <c r="E253" s="80"/>
      <c r="F253" s="79"/>
      <c r="G253" s="79"/>
      <c r="H253" s="79"/>
      <c r="I253" s="79"/>
      <c r="J253" s="79"/>
      <c r="K253" s="79"/>
      <c r="L253" s="79"/>
      <c r="M253" s="79"/>
      <c r="N253" s="79"/>
      <c r="O253" s="79"/>
      <c r="P253" s="79"/>
      <c r="Q253" s="79"/>
      <c r="R253" s="79"/>
      <c r="S253" s="79"/>
      <c r="T253" s="79"/>
      <c r="U253" s="79"/>
      <c r="V253" s="79"/>
      <c r="W253" s="78"/>
    </row>
    <row r="254" spans="3:23" x14ac:dyDescent="0.25">
      <c r="C254" s="62">
        <f t="shared" si="114"/>
        <v>1</v>
      </c>
      <c r="D254" s="81" t="s">
        <v>94</v>
      </c>
      <c r="E254" s="80"/>
      <c r="F254" s="79"/>
      <c r="G254" s="79"/>
      <c r="H254" s="79"/>
      <c r="I254" s="79"/>
      <c r="J254" s="79"/>
      <c r="K254" s="79"/>
      <c r="L254" s="79"/>
      <c r="M254" s="79"/>
      <c r="N254" s="79"/>
      <c r="O254" s="79"/>
      <c r="P254" s="79"/>
      <c r="Q254" s="79"/>
      <c r="R254" s="79"/>
      <c r="S254" s="79"/>
      <c r="T254" s="79"/>
      <c r="U254" s="79"/>
      <c r="V254" s="79"/>
      <c r="W254" s="78"/>
    </row>
    <row r="255" spans="3:23" x14ac:dyDescent="0.25">
      <c r="C255" s="62">
        <f t="shared" si="114"/>
        <v>1</v>
      </c>
      <c r="D255" s="268" t="s">
        <v>93</v>
      </c>
      <c r="E255" s="76" t="s">
        <v>155</v>
      </c>
      <c r="F255" s="75">
        <f t="shared" ref="F255:T255" si="115">+F$8*$E250</f>
        <v>0</v>
      </c>
      <c r="G255" s="75">
        <f t="shared" si="115"/>
        <v>0</v>
      </c>
      <c r="H255" s="75">
        <f t="shared" si="115"/>
        <v>0</v>
      </c>
      <c r="I255" s="75">
        <f t="shared" si="115"/>
        <v>0</v>
      </c>
      <c r="J255" s="75">
        <f t="shared" si="115"/>
        <v>0</v>
      </c>
      <c r="K255" s="75">
        <f t="shared" si="115"/>
        <v>0</v>
      </c>
      <c r="L255" s="75">
        <f t="shared" si="115"/>
        <v>1020.132927368635</v>
      </c>
      <c r="M255" s="75">
        <f t="shared" ca="1" si="115"/>
        <v>41318108.546196774</v>
      </c>
      <c r="N255" s="75">
        <f t="shared" ca="1" si="115"/>
        <v>982328.68878246949</v>
      </c>
      <c r="O255" s="75">
        <f t="shared" si="115"/>
        <v>0</v>
      </c>
      <c r="P255" s="75">
        <f t="shared" si="115"/>
        <v>0</v>
      </c>
      <c r="Q255" s="75">
        <f t="shared" si="115"/>
        <v>0</v>
      </c>
      <c r="R255" s="75">
        <f t="shared" si="115"/>
        <v>0</v>
      </c>
      <c r="S255" s="75">
        <f t="shared" si="115"/>
        <v>0</v>
      </c>
      <c r="T255" s="75">
        <f t="shared" si="115"/>
        <v>0</v>
      </c>
      <c r="U255" s="73">
        <f t="shared" ref="U255:U257" si="116">+R255+O255+L255+I255+F255</f>
        <v>1020.132927368635</v>
      </c>
      <c r="V255" s="72">
        <f t="shared" ref="V255:V257" ca="1" si="117">+S255+P255+M255+J255+G255</f>
        <v>41318108.546196774</v>
      </c>
      <c r="W255" s="72">
        <f t="shared" ref="W255:W257" ca="1" si="118">+T255+Q255+N255+K255+H255</f>
        <v>982328.68878246949</v>
      </c>
    </row>
    <row r="256" spans="3:23" x14ac:dyDescent="0.25">
      <c r="C256" s="62">
        <f t="shared" si="114"/>
        <v>1</v>
      </c>
      <c r="D256" s="268" t="s">
        <v>92</v>
      </c>
      <c r="E256" s="76" t="s">
        <v>156</v>
      </c>
      <c r="F256" s="75">
        <f t="shared" ref="F256:T256" si="119">+F$9*$E250</f>
        <v>0</v>
      </c>
      <c r="G256" s="75">
        <f t="shared" si="119"/>
        <v>0</v>
      </c>
      <c r="H256" s="75">
        <f t="shared" si="119"/>
        <v>0</v>
      </c>
      <c r="I256" s="75">
        <f t="shared" si="119"/>
        <v>0</v>
      </c>
      <c r="J256" s="75">
        <f t="shared" si="119"/>
        <v>0</v>
      </c>
      <c r="K256" s="75">
        <f t="shared" si="119"/>
        <v>0</v>
      </c>
      <c r="L256" s="75">
        <f t="shared" si="119"/>
        <v>0</v>
      </c>
      <c r="M256" s="75">
        <f t="shared" si="119"/>
        <v>0</v>
      </c>
      <c r="N256" s="75">
        <f t="shared" si="119"/>
        <v>0</v>
      </c>
      <c r="O256" s="75">
        <f t="shared" si="119"/>
        <v>0</v>
      </c>
      <c r="P256" s="75">
        <f t="shared" si="119"/>
        <v>0</v>
      </c>
      <c r="Q256" s="75">
        <f t="shared" si="119"/>
        <v>0</v>
      </c>
      <c r="R256" s="75">
        <f t="shared" si="119"/>
        <v>0</v>
      </c>
      <c r="S256" s="75">
        <f t="shared" si="119"/>
        <v>0</v>
      </c>
      <c r="T256" s="75">
        <f t="shared" si="119"/>
        <v>0</v>
      </c>
      <c r="U256" s="73">
        <f t="shared" si="116"/>
        <v>0</v>
      </c>
      <c r="V256" s="72">
        <f t="shared" si="117"/>
        <v>0</v>
      </c>
      <c r="W256" s="72">
        <f t="shared" si="118"/>
        <v>0</v>
      </c>
    </row>
    <row r="257" spans="3:23" x14ac:dyDescent="0.25">
      <c r="C257" s="62">
        <f t="shared" si="114"/>
        <v>1</v>
      </c>
      <c r="D257" s="268" t="s">
        <v>91</v>
      </c>
      <c r="E257" s="76" t="s">
        <v>157</v>
      </c>
      <c r="F257" s="75">
        <f t="shared" ref="F257:T257" si="120">+F$10*$E250</f>
        <v>0</v>
      </c>
      <c r="G257" s="75">
        <f t="shared" si="120"/>
        <v>0</v>
      </c>
      <c r="H257" s="75">
        <f t="shared" si="120"/>
        <v>0</v>
      </c>
      <c r="I257" s="75">
        <f t="shared" si="120"/>
        <v>0</v>
      </c>
      <c r="J257" s="75">
        <f t="shared" si="120"/>
        <v>0</v>
      </c>
      <c r="K257" s="75">
        <f t="shared" si="120"/>
        <v>0</v>
      </c>
      <c r="L257" s="75">
        <f t="shared" si="120"/>
        <v>1.2748834958609394</v>
      </c>
      <c r="M257" s="75">
        <f t="shared" ca="1" si="120"/>
        <v>344084.11760668544</v>
      </c>
      <c r="N257" s="75">
        <f t="shared" si="120"/>
        <v>0</v>
      </c>
      <c r="O257" s="75">
        <f t="shared" si="120"/>
        <v>0</v>
      </c>
      <c r="P257" s="75">
        <f t="shared" si="120"/>
        <v>0</v>
      </c>
      <c r="Q257" s="75">
        <f t="shared" si="120"/>
        <v>0</v>
      </c>
      <c r="R257" s="75">
        <f t="shared" si="120"/>
        <v>0</v>
      </c>
      <c r="S257" s="75">
        <f t="shared" si="120"/>
        <v>0</v>
      </c>
      <c r="T257" s="75">
        <f t="shared" si="120"/>
        <v>0</v>
      </c>
      <c r="U257" s="73">
        <f t="shared" si="116"/>
        <v>1.2748834958609394</v>
      </c>
      <c r="V257" s="72">
        <f t="shared" ca="1" si="117"/>
        <v>344084.11760668544</v>
      </c>
      <c r="W257" s="72">
        <f t="shared" si="118"/>
        <v>0</v>
      </c>
    </row>
    <row r="258" spans="3:23" ht="15.75" thickBot="1" x14ac:dyDescent="0.3">
      <c r="C258" s="62">
        <f t="shared" si="114"/>
        <v>1</v>
      </c>
      <c r="D258" s="71" t="s">
        <v>48</v>
      </c>
      <c r="E258" s="70" t="s">
        <v>158</v>
      </c>
      <c r="F258" s="69">
        <f>SUBTOTAL(9,F255:F257)</f>
        <v>0</v>
      </c>
      <c r="G258" s="68">
        <f t="shared" ref="G258:W258" si="121">SUBTOTAL(9,G255:G257)</f>
        <v>0</v>
      </c>
      <c r="H258" s="68">
        <f t="shared" si="121"/>
        <v>0</v>
      </c>
      <c r="I258" s="69">
        <f t="shared" si="121"/>
        <v>0</v>
      </c>
      <c r="J258" s="68">
        <f t="shared" si="121"/>
        <v>0</v>
      </c>
      <c r="K258" s="68">
        <f t="shared" si="121"/>
        <v>0</v>
      </c>
      <c r="L258" s="69">
        <f t="shared" si="121"/>
        <v>1021.407810864496</v>
      </c>
      <c r="M258" s="68">
        <f t="shared" ca="1" si="121"/>
        <v>41662192.663803458</v>
      </c>
      <c r="N258" s="68">
        <f t="shared" ca="1" si="121"/>
        <v>982328.68878246949</v>
      </c>
      <c r="O258" s="69">
        <f t="shared" si="121"/>
        <v>0</v>
      </c>
      <c r="P258" s="68">
        <f t="shared" si="121"/>
        <v>0</v>
      </c>
      <c r="Q258" s="68">
        <f t="shared" si="121"/>
        <v>0</v>
      </c>
      <c r="R258" s="69">
        <f t="shared" si="121"/>
        <v>0</v>
      </c>
      <c r="S258" s="68">
        <f t="shared" si="121"/>
        <v>0</v>
      </c>
      <c r="T258" s="68">
        <f t="shared" si="121"/>
        <v>0</v>
      </c>
      <c r="U258" s="69">
        <f t="shared" si="121"/>
        <v>1021.407810864496</v>
      </c>
      <c r="V258" s="68">
        <f t="shared" ca="1" si="121"/>
        <v>41662192.663803458</v>
      </c>
      <c r="W258" s="68">
        <f t="shared" ca="1" si="121"/>
        <v>982328.68878246949</v>
      </c>
    </row>
    <row r="259" spans="3:23" ht="15.75" hidden="1" thickBot="1" x14ac:dyDescent="0.3"/>
    <row r="260" spans="3:23" ht="15.75" hidden="1" thickBot="1" x14ac:dyDescent="0.3">
      <c r="C260" s="62">
        <f>IF(E260&gt;0,1,0)</f>
        <v>0</v>
      </c>
      <c r="D260" s="936" t="str">
        <f>+A29</f>
        <v>Lewis</v>
      </c>
      <c r="E260" s="938">
        <f>SUMIF(A:A,D260,B:B)</f>
        <v>0</v>
      </c>
      <c r="F260" s="940" t="s">
        <v>103</v>
      </c>
      <c r="G260" s="941"/>
      <c r="H260" s="942"/>
      <c r="I260" s="940" t="s">
        <v>102</v>
      </c>
      <c r="J260" s="941"/>
      <c r="K260" s="942"/>
      <c r="L260" s="940" t="s">
        <v>101</v>
      </c>
      <c r="M260" s="941"/>
      <c r="N260" s="942"/>
      <c r="O260" s="940" t="s">
        <v>100</v>
      </c>
      <c r="P260" s="941"/>
      <c r="Q260" s="942"/>
      <c r="R260" s="940" t="s">
        <v>99</v>
      </c>
      <c r="S260" s="941"/>
      <c r="T260" s="942"/>
      <c r="U260" s="940" t="s">
        <v>98</v>
      </c>
      <c r="V260" s="941"/>
      <c r="W260" s="943"/>
    </row>
    <row r="261" spans="3:23" ht="30.75" hidden="1" thickBot="1" x14ac:dyDescent="0.3">
      <c r="C261" s="62">
        <f>IF(E260&gt;0,1,0)</f>
        <v>0</v>
      </c>
      <c r="D261" s="937"/>
      <c r="E261" s="939"/>
      <c r="F261" s="88" t="s">
        <v>97</v>
      </c>
      <c r="G261" s="88" t="s">
        <v>96</v>
      </c>
      <c r="H261" s="88" t="s">
        <v>95</v>
      </c>
      <c r="I261" s="88" t="s">
        <v>97</v>
      </c>
      <c r="J261" s="88" t="s">
        <v>96</v>
      </c>
      <c r="K261" s="88" t="s">
        <v>95</v>
      </c>
      <c r="L261" s="88" t="s">
        <v>97</v>
      </c>
      <c r="M261" s="88" t="s">
        <v>96</v>
      </c>
      <c r="N261" s="88" t="s">
        <v>95</v>
      </c>
      <c r="O261" s="88" t="s">
        <v>97</v>
      </c>
      <c r="P261" s="88" t="s">
        <v>96</v>
      </c>
      <c r="Q261" s="88" t="s">
        <v>95</v>
      </c>
      <c r="R261" s="88" t="s">
        <v>97</v>
      </c>
      <c r="S261" s="88" t="s">
        <v>96</v>
      </c>
      <c r="T261" s="88" t="s">
        <v>95</v>
      </c>
      <c r="U261" s="88" t="s">
        <v>97</v>
      </c>
      <c r="V261" s="88" t="s">
        <v>96</v>
      </c>
      <c r="W261" s="87" t="s">
        <v>95</v>
      </c>
    </row>
    <row r="262" spans="3:23" ht="15.75" hidden="1" thickBot="1" x14ac:dyDescent="0.3">
      <c r="C262" s="62">
        <f>C261</f>
        <v>0</v>
      </c>
      <c r="D262" s="86"/>
      <c r="E262" s="85"/>
      <c r="F262" s="84" t="s">
        <v>57</v>
      </c>
      <c r="G262" s="84" t="s">
        <v>56</v>
      </c>
      <c r="H262" s="84" t="s">
        <v>55</v>
      </c>
      <c r="I262" s="84" t="s">
        <v>54</v>
      </c>
      <c r="J262" s="84" t="s">
        <v>53</v>
      </c>
      <c r="K262" s="84" t="s">
        <v>52</v>
      </c>
      <c r="L262" s="84" t="s">
        <v>51</v>
      </c>
      <c r="M262" s="84" t="s">
        <v>50</v>
      </c>
      <c r="N262" s="84" t="s">
        <v>49</v>
      </c>
      <c r="O262" s="84" t="s">
        <v>47</v>
      </c>
      <c r="P262" s="84" t="s">
        <v>77</v>
      </c>
      <c r="Q262" s="84" t="s">
        <v>78</v>
      </c>
      <c r="R262" s="84" t="s">
        <v>79</v>
      </c>
      <c r="S262" s="84" t="s">
        <v>81</v>
      </c>
      <c r="T262" s="84" t="s">
        <v>83</v>
      </c>
      <c r="U262" s="84" t="s">
        <v>85</v>
      </c>
      <c r="V262" s="84" t="s">
        <v>87</v>
      </c>
      <c r="W262" s="83" t="s">
        <v>88</v>
      </c>
    </row>
    <row r="263" spans="3:23" ht="15.75" hidden="1" thickBot="1" x14ac:dyDescent="0.3">
      <c r="C263" s="62">
        <f t="shared" ref="C263:C268" si="122">C262</f>
        <v>0</v>
      </c>
      <c r="D263" s="82" t="s">
        <v>26</v>
      </c>
      <c r="E263" s="80"/>
      <c r="F263" s="79"/>
      <c r="G263" s="79"/>
      <c r="H263" s="79"/>
      <c r="I263" s="79"/>
      <c r="J263" s="79"/>
      <c r="K263" s="79"/>
      <c r="L263" s="79"/>
      <c r="M263" s="79"/>
      <c r="N263" s="79"/>
      <c r="O263" s="79"/>
      <c r="P263" s="79"/>
      <c r="Q263" s="79"/>
      <c r="R263" s="79"/>
      <c r="S263" s="79"/>
      <c r="T263" s="79"/>
      <c r="U263" s="79"/>
      <c r="V263" s="79"/>
      <c r="W263" s="78"/>
    </row>
    <row r="264" spans="3:23" ht="15.75" hidden="1" thickBot="1" x14ac:dyDescent="0.3">
      <c r="C264" s="62">
        <f t="shared" si="122"/>
        <v>0</v>
      </c>
      <c r="D264" s="81" t="s">
        <v>94</v>
      </c>
      <c r="E264" s="80"/>
      <c r="F264" s="79"/>
      <c r="G264" s="79"/>
      <c r="H264" s="79"/>
      <c r="I264" s="79"/>
      <c r="J264" s="79"/>
      <c r="K264" s="79"/>
      <c r="L264" s="79"/>
      <c r="M264" s="79"/>
      <c r="N264" s="79"/>
      <c r="O264" s="79"/>
      <c r="P264" s="79"/>
      <c r="Q264" s="79"/>
      <c r="R264" s="79"/>
      <c r="S264" s="79"/>
      <c r="T264" s="79"/>
      <c r="U264" s="79"/>
      <c r="V264" s="79"/>
      <c r="W264" s="78"/>
    </row>
    <row r="265" spans="3:23" ht="15.75" hidden="1" thickBot="1" x14ac:dyDescent="0.3">
      <c r="C265" s="62">
        <f t="shared" si="122"/>
        <v>0</v>
      </c>
      <c r="D265" s="268" t="s">
        <v>93</v>
      </c>
      <c r="E265" s="76" t="s">
        <v>155</v>
      </c>
      <c r="F265" s="75">
        <f t="shared" ref="F265:T265" si="123">+F$8*$E260</f>
        <v>0</v>
      </c>
      <c r="G265" s="75">
        <f t="shared" si="123"/>
        <v>0</v>
      </c>
      <c r="H265" s="75">
        <f t="shared" si="123"/>
        <v>0</v>
      </c>
      <c r="I265" s="75">
        <f t="shared" si="123"/>
        <v>0</v>
      </c>
      <c r="J265" s="75">
        <f t="shared" si="123"/>
        <v>0</v>
      </c>
      <c r="K265" s="75">
        <f t="shared" si="123"/>
        <v>0</v>
      </c>
      <c r="L265" s="75">
        <f t="shared" si="123"/>
        <v>0</v>
      </c>
      <c r="M265" s="75">
        <f t="shared" ca="1" si="123"/>
        <v>0</v>
      </c>
      <c r="N265" s="75">
        <f t="shared" ca="1" si="123"/>
        <v>0</v>
      </c>
      <c r="O265" s="75">
        <f t="shared" si="123"/>
        <v>0</v>
      </c>
      <c r="P265" s="75">
        <f t="shared" si="123"/>
        <v>0</v>
      </c>
      <c r="Q265" s="75">
        <f t="shared" si="123"/>
        <v>0</v>
      </c>
      <c r="R265" s="75">
        <f t="shared" si="123"/>
        <v>0</v>
      </c>
      <c r="S265" s="75">
        <f t="shared" si="123"/>
        <v>0</v>
      </c>
      <c r="T265" s="75">
        <f t="shared" si="123"/>
        <v>0</v>
      </c>
      <c r="U265" s="73">
        <f t="shared" ref="U265:U267" si="124">+R265+O265+L265+I265+F265</f>
        <v>0</v>
      </c>
      <c r="V265" s="72">
        <f t="shared" ref="V265:V267" ca="1" si="125">+S265+P265+M265+J265+G265</f>
        <v>0</v>
      </c>
      <c r="W265" s="72">
        <f t="shared" ref="W265:W267" ca="1" si="126">+T265+Q265+N265+K265+H265</f>
        <v>0</v>
      </c>
    </row>
    <row r="266" spans="3:23" ht="15.75" hidden="1" thickBot="1" x14ac:dyDescent="0.3">
      <c r="C266" s="62">
        <f t="shared" si="122"/>
        <v>0</v>
      </c>
      <c r="D266" s="268" t="s">
        <v>92</v>
      </c>
      <c r="E266" s="76" t="s">
        <v>156</v>
      </c>
      <c r="F266" s="75">
        <f t="shared" ref="F266:T266" si="127">+F$9*$E260</f>
        <v>0</v>
      </c>
      <c r="G266" s="75">
        <f t="shared" si="127"/>
        <v>0</v>
      </c>
      <c r="H266" s="75">
        <f t="shared" si="127"/>
        <v>0</v>
      </c>
      <c r="I266" s="75">
        <f t="shared" si="127"/>
        <v>0</v>
      </c>
      <c r="J266" s="75">
        <f t="shared" si="127"/>
        <v>0</v>
      </c>
      <c r="K266" s="75">
        <f t="shared" si="127"/>
        <v>0</v>
      </c>
      <c r="L266" s="75">
        <f t="shared" si="127"/>
        <v>0</v>
      </c>
      <c r="M266" s="75">
        <f t="shared" si="127"/>
        <v>0</v>
      </c>
      <c r="N266" s="75">
        <f t="shared" si="127"/>
        <v>0</v>
      </c>
      <c r="O266" s="75">
        <f t="shared" si="127"/>
        <v>0</v>
      </c>
      <c r="P266" s="75">
        <f t="shared" si="127"/>
        <v>0</v>
      </c>
      <c r="Q266" s="75">
        <f t="shared" si="127"/>
        <v>0</v>
      </c>
      <c r="R266" s="75">
        <f t="shared" si="127"/>
        <v>0</v>
      </c>
      <c r="S266" s="75">
        <f t="shared" si="127"/>
        <v>0</v>
      </c>
      <c r="T266" s="75">
        <f t="shared" si="127"/>
        <v>0</v>
      </c>
      <c r="U266" s="73">
        <f t="shared" si="124"/>
        <v>0</v>
      </c>
      <c r="V266" s="72">
        <f t="shared" si="125"/>
        <v>0</v>
      </c>
      <c r="W266" s="72">
        <f t="shared" si="126"/>
        <v>0</v>
      </c>
    </row>
    <row r="267" spans="3:23" ht="15.75" hidden="1" thickBot="1" x14ac:dyDescent="0.3">
      <c r="C267" s="62">
        <f t="shared" si="122"/>
        <v>0</v>
      </c>
      <c r="D267" s="268" t="s">
        <v>91</v>
      </c>
      <c r="E267" s="76" t="s">
        <v>157</v>
      </c>
      <c r="F267" s="75">
        <f t="shared" ref="F267:T267" si="128">+F$10*$E260</f>
        <v>0</v>
      </c>
      <c r="G267" s="75">
        <f t="shared" si="128"/>
        <v>0</v>
      </c>
      <c r="H267" s="75">
        <f t="shared" si="128"/>
        <v>0</v>
      </c>
      <c r="I267" s="75">
        <f t="shared" si="128"/>
        <v>0</v>
      </c>
      <c r="J267" s="75">
        <f t="shared" si="128"/>
        <v>0</v>
      </c>
      <c r="K267" s="75">
        <f t="shared" si="128"/>
        <v>0</v>
      </c>
      <c r="L267" s="75">
        <f t="shared" si="128"/>
        <v>0</v>
      </c>
      <c r="M267" s="75">
        <f t="shared" ca="1" si="128"/>
        <v>0</v>
      </c>
      <c r="N267" s="75">
        <f t="shared" si="128"/>
        <v>0</v>
      </c>
      <c r="O267" s="75">
        <f t="shared" si="128"/>
        <v>0</v>
      </c>
      <c r="P267" s="75">
        <f t="shared" si="128"/>
        <v>0</v>
      </c>
      <c r="Q267" s="75">
        <f t="shared" si="128"/>
        <v>0</v>
      </c>
      <c r="R267" s="75">
        <f t="shared" si="128"/>
        <v>0</v>
      </c>
      <c r="S267" s="75">
        <f t="shared" si="128"/>
        <v>0</v>
      </c>
      <c r="T267" s="75">
        <f t="shared" si="128"/>
        <v>0</v>
      </c>
      <c r="U267" s="73">
        <f t="shared" si="124"/>
        <v>0</v>
      </c>
      <c r="V267" s="72">
        <f t="shared" ca="1" si="125"/>
        <v>0</v>
      </c>
      <c r="W267" s="72">
        <f t="shared" si="126"/>
        <v>0</v>
      </c>
    </row>
    <row r="268" spans="3:23" ht="15.75" hidden="1" thickBot="1" x14ac:dyDescent="0.3">
      <c r="C268" s="62">
        <f t="shared" si="122"/>
        <v>0</v>
      </c>
      <c r="D268" s="71" t="s">
        <v>48</v>
      </c>
      <c r="E268" s="70" t="s">
        <v>158</v>
      </c>
      <c r="F268" s="69">
        <f>SUBTOTAL(9,F265:F267)</f>
        <v>0</v>
      </c>
      <c r="G268" s="68">
        <f t="shared" ref="G268:W268" si="129">SUBTOTAL(9,G265:G267)</f>
        <v>0</v>
      </c>
      <c r="H268" s="68">
        <f t="shared" si="129"/>
        <v>0</v>
      </c>
      <c r="I268" s="69">
        <f t="shared" si="129"/>
        <v>0</v>
      </c>
      <c r="J268" s="68">
        <f t="shared" si="129"/>
        <v>0</v>
      </c>
      <c r="K268" s="68">
        <f t="shared" si="129"/>
        <v>0</v>
      </c>
      <c r="L268" s="69">
        <f t="shared" si="129"/>
        <v>0</v>
      </c>
      <c r="M268" s="68">
        <f t="shared" si="129"/>
        <v>0</v>
      </c>
      <c r="N268" s="68">
        <f t="shared" si="129"/>
        <v>0</v>
      </c>
      <c r="O268" s="69">
        <f t="shared" si="129"/>
        <v>0</v>
      </c>
      <c r="P268" s="68">
        <f t="shared" si="129"/>
        <v>0</v>
      </c>
      <c r="Q268" s="68">
        <f t="shared" si="129"/>
        <v>0</v>
      </c>
      <c r="R268" s="69">
        <f t="shared" si="129"/>
        <v>0</v>
      </c>
      <c r="S268" s="68">
        <f t="shared" si="129"/>
        <v>0</v>
      </c>
      <c r="T268" s="68">
        <f t="shared" si="129"/>
        <v>0</v>
      </c>
      <c r="U268" s="69">
        <f t="shared" si="129"/>
        <v>0</v>
      </c>
      <c r="V268" s="68">
        <f t="shared" si="129"/>
        <v>0</v>
      </c>
      <c r="W268" s="68">
        <f t="shared" si="129"/>
        <v>0</v>
      </c>
    </row>
    <row r="269" spans="3:23" ht="15.75" hidden="1" thickBot="1" x14ac:dyDescent="0.3"/>
    <row r="270" spans="3:23" ht="15.75" hidden="1" thickBot="1" x14ac:dyDescent="0.3"/>
    <row r="271" spans="3:23" ht="15.75" hidden="1" thickBot="1" x14ac:dyDescent="0.3">
      <c r="C271" s="62">
        <f>IF(E271&gt;0,1,0)</f>
        <v>0</v>
      </c>
      <c r="D271" s="936" t="str">
        <f>+A30</f>
        <v>Livingston</v>
      </c>
      <c r="E271" s="938">
        <f>SUMIF(A:A,D271,B:B)</f>
        <v>0</v>
      </c>
      <c r="F271" s="940" t="s">
        <v>103</v>
      </c>
      <c r="G271" s="941"/>
      <c r="H271" s="942"/>
      <c r="I271" s="940" t="s">
        <v>102</v>
      </c>
      <c r="J271" s="941"/>
      <c r="K271" s="942"/>
      <c r="L271" s="940" t="s">
        <v>101</v>
      </c>
      <c r="M271" s="941"/>
      <c r="N271" s="942"/>
      <c r="O271" s="940" t="s">
        <v>100</v>
      </c>
      <c r="P271" s="941"/>
      <c r="Q271" s="942"/>
      <c r="R271" s="940" t="s">
        <v>99</v>
      </c>
      <c r="S271" s="941"/>
      <c r="T271" s="942"/>
      <c r="U271" s="940" t="s">
        <v>98</v>
      </c>
      <c r="V271" s="941"/>
      <c r="W271" s="943"/>
    </row>
    <row r="272" spans="3:23" ht="30.75" hidden="1" thickBot="1" x14ac:dyDescent="0.3">
      <c r="C272" s="62">
        <f>IF(E271&gt;0,1,0)</f>
        <v>0</v>
      </c>
      <c r="D272" s="937"/>
      <c r="E272" s="939"/>
      <c r="F272" s="88" t="s">
        <v>97</v>
      </c>
      <c r="G272" s="88" t="s">
        <v>96</v>
      </c>
      <c r="H272" s="88" t="s">
        <v>95</v>
      </c>
      <c r="I272" s="88" t="s">
        <v>97</v>
      </c>
      <c r="J272" s="88" t="s">
        <v>96</v>
      </c>
      <c r="K272" s="88" t="s">
        <v>95</v>
      </c>
      <c r="L272" s="88" t="s">
        <v>97</v>
      </c>
      <c r="M272" s="88" t="s">
        <v>96</v>
      </c>
      <c r="N272" s="88" t="s">
        <v>95</v>
      </c>
      <c r="O272" s="88" t="s">
        <v>97</v>
      </c>
      <c r="P272" s="88" t="s">
        <v>96</v>
      </c>
      <c r="Q272" s="88" t="s">
        <v>95</v>
      </c>
      <c r="R272" s="88" t="s">
        <v>97</v>
      </c>
      <c r="S272" s="88" t="s">
        <v>96</v>
      </c>
      <c r="T272" s="88" t="s">
        <v>95</v>
      </c>
      <c r="U272" s="88" t="s">
        <v>97</v>
      </c>
      <c r="V272" s="88" t="s">
        <v>96</v>
      </c>
      <c r="W272" s="87" t="s">
        <v>95</v>
      </c>
    </row>
    <row r="273" spans="3:23" ht="15.75" hidden="1" thickBot="1" x14ac:dyDescent="0.3">
      <c r="C273" s="62">
        <f>C272</f>
        <v>0</v>
      </c>
      <c r="D273" s="86"/>
      <c r="E273" s="85"/>
      <c r="F273" s="84" t="s">
        <v>57</v>
      </c>
      <c r="G273" s="84" t="s">
        <v>56</v>
      </c>
      <c r="H273" s="84" t="s">
        <v>55</v>
      </c>
      <c r="I273" s="84" t="s">
        <v>54</v>
      </c>
      <c r="J273" s="84" t="s">
        <v>53</v>
      </c>
      <c r="K273" s="84" t="s">
        <v>52</v>
      </c>
      <c r="L273" s="84" t="s">
        <v>51</v>
      </c>
      <c r="M273" s="84" t="s">
        <v>50</v>
      </c>
      <c r="N273" s="84" t="s">
        <v>49</v>
      </c>
      <c r="O273" s="84" t="s">
        <v>47</v>
      </c>
      <c r="P273" s="84" t="s">
        <v>77</v>
      </c>
      <c r="Q273" s="84" t="s">
        <v>78</v>
      </c>
      <c r="R273" s="84" t="s">
        <v>79</v>
      </c>
      <c r="S273" s="84" t="s">
        <v>81</v>
      </c>
      <c r="T273" s="84" t="s">
        <v>83</v>
      </c>
      <c r="U273" s="84" t="s">
        <v>85</v>
      </c>
      <c r="V273" s="84" t="s">
        <v>87</v>
      </c>
      <c r="W273" s="83" t="s">
        <v>88</v>
      </c>
    </row>
    <row r="274" spans="3:23" ht="15.75" hidden="1" thickBot="1" x14ac:dyDescent="0.3">
      <c r="C274" s="62">
        <f t="shared" ref="C274:C279" si="130">C273</f>
        <v>0</v>
      </c>
      <c r="D274" s="82" t="s">
        <v>26</v>
      </c>
      <c r="E274" s="80"/>
      <c r="F274" s="79"/>
      <c r="G274" s="79"/>
      <c r="H274" s="79"/>
      <c r="I274" s="79"/>
      <c r="J274" s="79"/>
      <c r="K274" s="79"/>
      <c r="L274" s="79"/>
      <c r="M274" s="79"/>
      <c r="N274" s="79"/>
      <c r="O274" s="79"/>
      <c r="P274" s="79"/>
      <c r="Q274" s="79"/>
      <c r="R274" s="79"/>
      <c r="S274" s="79"/>
      <c r="T274" s="79"/>
      <c r="U274" s="79"/>
      <c r="V274" s="79"/>
      <c r="W274" s="78"/>
    </row>
    <row r="275" spans="3:23" ht="15.75" hidden="1" thickBot="1" x14ac:dyDescent="0.3">
      <c r="C275" s="62">
        <f t="shared" si="130"/>
        <v>0</v>
      </c>
      <c r="D275" s="81" t="s">
        <v>94</v>
      </c>
      <c r="E275" s="80"/>
      <c r="F275" s="79"/>
      <c r="G275" s="79"/>
      <c r="H275" s="79"/>
      <c r="I275" s="79"/>
      <c r="J275" s="79"/>
      <c r="K275" s="79"/>
      <c r="L275" s="79"/>
      <c r="M275" s="79"/>
      <c r="N275" s="79"/>
      <c r="O275" s="79"/>
      <c r="P275" s="79"/>
      <c r="Q275" s="79"/>
      <c r="R275" s="79"/>
      <c r="S275" s="79"/>
      <c r="T275" s="79"/>
      <c r="U275" s="79"/>
      <c r="V275" s="79"/>
      <c r="W275" s="78"/>
    </row>
    <row r="276" spans="3:23" ht="15.75" hidden="1" thickBot="1" x14ac:dyDescent="0.3">
      <c r="C276" s="62">
        <f t="shared" si="130"/>
        <v>0</v>
      </c>
      <c r="D276" s="268" t="s">
        <v>93</v>
      </c>
      <c r="E276" s="76" t="s">
        <v>155</v>
      </c>
      <c r="F276" s="75">
        <f t="shared" ref="F276:T276" si="131">+F$8*$E271</f>
        <v>0</v>
      </c>
      <c r="G276" s="75">
        <f t="shared" si="131"/>
        <v>0</v>
      </c>
      <c r="H276" s="75">
        <f t="shared" si="131"/>
        <v>0</v>
      </c>
      <c r="I276" s="75">
        <f t="shared" si="131"/>
        <v>0</v>
      </c>
      <c r="J276" s="75">
        <f t="shared" si="131"/>
        <v>0</v>
      </c>
      <c r="K276" s="75">
        <f t="shared" si="131"/>
        <v>0</v>
      </c>
      <c r="L276" s="75">
        <f t="shared" si="131"/>
        <v>0</v>
      </c>
      <c r="M276" s="75">
        <f t="shared" ca="1" si="131"/>
        <v>0</v>
      </c>
      <c r="N276" s="75">
        <f t="shared" ca="1" si="131"/>
        <v>0</v>
      </c>
      <c r="O276" s="75">
        <f t="shared" si="131"/>
        <v>0</v>
      </c>
      <c r="P276" s="75">
        <f t="shared" si="131"/>
        <v>0</v>
      </c>
      <c r="Q276" s="75">
        <f t="shared" si="131"/>
        <v>0</v>
      </c>
      <c r="R276" s="75">
        <f t="shared" si="131"/>
        <v>0</v>
      </c>
      <c r="S276" s="75">
        <f t="shared" si="131"/>
        <v>0</v>
      </c>
      <c r="T276" s="75">
        <f t="shared" si="131"/>
        <v>0</v>
      </c>
      <c r="U276" s="73">
        <f t="shared" ref="U276:U278" si="132">+R276+O276+L276+I276+F276</f>
        <v>0</v>
      </c>
      <c r="V276" s="72">
        <f t="shared" ref="V276:V278" ca="1" si="133">+S276+P276+M276+J276+G276</f>
        <v>0</v>
      </c>
      <c r="W276" s="72">
        <f t="shared" ref="W276:W278" ca="1" si="134">+T276+Q276+N276+K276+H276</f>
        <v>0</v>
      </c>
    </row>
    <row r="277" spans="3:23" ht="15.75" hidden="1" thickBot="1" x14ac:dyDescent="0.3">
      <c r="C277" s="62">
        <f t="shared" si="130"/>
        <v>0</v>
      </c>
      <c r="D277" s="268" t="s">
        <v>92</v>
      </c>
      <c r="E277" s="76" t="s">
        <v>156</v>
      </c>
      <c r="F277" s="75">
        <f t="shared" ref="F277:T277" si="135">+F$9*$E271</f>
        <v>0</v>
      </c>
      <c r="G277" s="75">
        <f t="shared" si="135"/>
        <v>0</v>
      </c>
      <c r="H277" s="75">
        <f t="shared" si="135"/>
        <v>0</v>
      </c>
      <c r="I277" s="75">
        <f t="shared" si="135"/>
        <v>0</v>
      </c>
      <c r="J277" s="75">
        <f t="shared" si="135"/>
        <v>0</v>
      </c>
      <c r="K277" s="75">
        <f t="shared" si="135"/>
        <v>0</v>
      </c>
      <c r="L277" s="75">
        <f t="shared" si="135"/>
        <v>0</v>
      </c>
      <c r="M277" s="75">
        <f t="shared" si="135"/>
        <v>0</v>
      </c>
      <c r="N277" s="75">
        <f t="shared" si="135"/>
        <v>0</v>
      </c>
      <c r="O277" s="75">
        <f t="shared" si="135"/>
        <v>0</v>
      </c>
      <c r="P277" s="75">
        <f t="shared" si="135"/>
        <v>0</v>
      </c>
      <c r="Q277" s="75">
        <f t="shared" si="135"/>
        <v>0</v>
      </c>
      <c r="R277" s="75">
        <f t="shared" si="135"/>
        <v>0</v>
      </c>
      <c r="S277" s="75">
        <f t="shared" si="135"/>
        <v>0</v>
      </c>
      <c r="T277" s="75">
        <f t="shared" si="135"/>
        <v>0</v>
      </c>
      <c r="U277" s="73">
        <f t="shared" si="132"/>
        <v>0</v>
      </c>
      <c r="V277" s="72">
        <f t="shared" si="133"/>
        <v>0</v>
      </c>
      <c r="W277" s="72">
        <f t="shared" si="134"/>
        <v>0</v>
      </c>
    </row>
    <row r="278" spans="3:23" ht="15.75" hidden="1" thickBot="1" x14ac:dyDescent="0.3">
      <c r="C278" s="62">
        <f t="shared" si="130"/>
        <v>0</v>
      </c>
      <c r="D278" s="268" t="s">
        <v>91</v>
      </c>
      <c r="E278" s="76" t="s">
        <v>157</v>
      </c>
      <c r="F278" s="75">
        <f t="shared" ref="F278:T278" si="136">+F$10*$E271</f>
        <v>0</v>
      </c>
      <c r="G278" s="75">
        <f t="shared" si="136"/>
        <v>0</v>
      </c>
      <c r="H278" s="75">
        <f t="shared" si="136"/>
        <v>0</v>
      </c>
      <c r="I278" s="75">
        <f t="shared" si="136"/>
        <v>0</v>
      </c>
      <c r="J278" s="75">
        <f t="shared" si="136"/>
        <v>0</v>
      </c>
      <c r="K278" s="75">
        <f t="shared" si="136"/>
        <v>0</v>
      </c>
      <c r="L278" s="75">
        <f t="shared" si="136"/>
        <v>0</v>
      </c>
      <c r="M278" s="75">
        <f t="shared" ca="1" si="136"/>
        <v>0</v>
      </c>
      <c r="N278" s="75">
        <f t="shared" si="136"/>
        <v>0</v>
      </c>
      <c r="O278" s="75">
        <f t="shared" si="136"/>
        <v>0</v>
      </c>
      <c r="P278" s="75">
        <f t="shared" si="136"/>
        <v>0</v>
      </c>
      <c r="Q278" s="75">
        <f t="shared" si="136"/>
        <v>0</v>
      </c>
      <c r="R278" s="75">
        <f t="shared" si="136"/>
        <v>0</v>
      </c>
      <c r="S278" s="75">
        <f t="shared" si="136"/>
        <v>0</v>
      </c>
      <c r="T278" s="75">
        <f t="shared" si="136"/>
        <v>0</v>
      </c>
      <c r="U278" s="73">
        <f t="shared" si="132"/>
        <v>0</v>
      </c>
      <c r="V278" s="72">
        <f t="shared" ca="1" si="133"/>
        <v>0</v>
      </c>
      <c r="W278" s="72">
        <f t="shared" si="134"/>
        <v>0</v>
      </c>
    </row>
    <row r="279" spans="3:23" ht="15.75" hidden="1" thickBot="1" x14ac:dyDescent="0.3">
      <c r="C279" s="62">
        <f t="shared" si="130"/>
        <v>0</v>
      </c>
      <c r="D279" s="71" t="s">
        <v>48</v>
      </c>
      <c r="E279" s="70" t="s">
        <v>158</v>
      </c>
      <c r="F279" s="68">
        <f t="shared" ref="F279:W279" si="137">SUBTOTAL(9,F276:F278)</f>
        <v>0</v>
      </c>
      <c r="G279" s="68">
        <f t="shared" si="137"/>
        <v>0</v>
      </c>
      <c r="H279" s="68">
        <f t="shared" si="137"/>
        <v>0</v>
      </c>
      <c r="I279" s="69">
        <f t="shared" si="137"/>
        <v>0</v>
      </c>
      <c r="J279" s="68">
        <f t="shared" si="137"/>
        <v>0</v>
      </c>
      <c r="K279" s="68">
        <f t="shared" si="137"/>
        <v>0</v>
      </c>
      <c r="L279" s="69">
        <f t="shared" si="137"/>
        <v>0</v>
      </c>
      <c r="M279" s="68">
        <f t="shared" si="137"/>
        <v>0</v>
      </c>
      <c r="N279" s="68">
        <f t="shared" si="137"/>
        <v>0</v>
      </c>
      <c r="O279" s="69">
        <f t="shared" si="137"/>
        <v>0</v>
      </c>
      <c r="P279" s="68">
        <f t="shared" si="137"/>
        <v>0</v>
      </c>
      <c r="Q279" s="68">
        <f t="shared" si="137"/>
        <v>0</v>
      </c>
      <c r="R279" s="69">
        <f t="shared" si="137"/>
        <v>0</v>
      </c>
      <c r="S279" s="68">
        <f t="shared" si="137"/>
        <v>0</v>
      </c>
      <c r="T279" s="68">
        <f t="shared" si="137"/>
        <v>0</v>
      </c>
      <c r="U279" s="69">
        <f t="shared" si="137"/>
        <v>0</v>
      </c>
      <c r="V279" s="68">
        <f t="shared" si="137"/>
        <v>0</v>
      </c>
      <c r="W279" s="68">
        <f t="shared" si="137"/>
        <v>0</v>
      </c>
    </row>
    <row r="280" spans="3:23" ht="15.75" hidden="1" thickBot="1" x14ac:dyDescent="0.3"/>
    <row r="281" spans="3:23" ht="15.75" hidden="1" thickBot="1" x14ac:dyDescent="0.3">
      <c r="C281" s="62">
        <f>IF(E281&gt;0,1,0)</f>
        <v>0</v>
      </c>
      <c r="D281" s="936" t="str">
        <f>+A31</f>
        <v>Madison</v>
      </c>
      <c r="E281" s="938">
        <f>SUMIF(A:A,D281,B:B)</f>
        <v>0</v>
      </c>
      <c r="F281" s="940" t="s">
        <v>103</v>
      </c>
      <c r="G281" s="941"/>
      <c r="H281" s="942"/>
      <c r="I281" s="940" t="s">
        <v>102</v>
      </c>
      <c r="J281" s="941"/>
      <c r="K281" s="942"/>
      <c r="L281" s="940" t="s">
        <v>101</v>
      </c>
      <c r="M281" s="941"/>
      <c r="N281" s="942"/>
      <c r="O281" s="940" t="s">
        <v>100</v>
      </c>
      <c r="P281" s="941"/>
      <c r="Q281" s="942"/>
      <c r="R281" s="940" t="s">
        <v>99</v>
      </c>
      <c r="S281" s="941"/>
      <c r="T281" s="942"/>
      <c r="U281" s="940" t="s">
        <v>98</v>
      </c>
      <c r="V281" s="941"/>
      <c r="W281" s="943"/>
    </row>
    <row r="282" spans="3:23" ht="30.75" hidden="1" thickBot="1" x14ac:dyDescent="0.3">
      <c r="C282" s="62">
        <f>IF(E281&gt;0,1,0)</f>
        <v>0</v>
      </c>
      <c r="D282" s="937"/>
      <c r="E282" s="939"/>
      <c r="F282" s="88" t="s">
        <v>97</v>
      </c>
      <c r="G282" s="88" t="s">
        <v>96</v>
      </c>
      <c r="H282" s="88" t="s">
        <v>95</v>
      </c>
      <c r="I282" s="88" t="s">
        <v>97</v>
      </c>
      <c r="J282" s="88" t="s">
        <v>96</v>
      </c>
      <c r="K282" s="88" t="s">
        <v>95</v>
      </c>
      <c r="L282" s="88" t="s">
        <v>97</v>
      </c>
      <c r="M282" s="88" t="s">
        <v>96</v>
      </c>
      <c r="N282" s="88" t="s">
        <v>95</v>
      </c>
      <c r="O282" s="88" t="s">
        <v>97</v>
      </c>
      <c r="P282" s="88" t="s">
        <v>96</v>
      </c>
      <c r="Q282" s="88" t="s">
        <v>95</v>
      </c>
      <c r="R282" s="88" t="s">
        <v>97</v>
      </c>
      <c r="S282" s="88" t="s">
        <v>96</v>
      </c>
      <c r="T282" s="88" t="s">
        <v>95</v>
      </c>
      <c r="U282" s="88" t="s">
        <v>97</v>
      </c>
      <c r="V282" s="88" t="s">
        <v>96</v>
      </c>
      <c r="W282" s="87" t="s">
        <v>95</v>
      </c>
    </row>
    <row r="283" spans="3:23" ht="15.75" hidden="1" thickBot="1" x14ac:dyDescent="0.3">
      <c r="C283" s="62">
        <f>C282</f>
        <v>0</v>
      </c>
      <c r="D283" s="86"/>
      <c r="E283" s="85"/>
      <c r="F283" s="84" t="s">
        <v>57</v>
      </c>
      <c r="G283" s="84" t="s">
        <v>56</v>
      </c>
      <c r="H283" s="84" t="s">
        <v>55</v>
      </c>
      <c r="I283" s="84" t="s">
        <v>54</v>
      </c>
      <c r="J283" s="84" t="s">
        <v>53</v>
      </c>
      <c r="K283" s="84" t="s">
        <v>52</v>
      </c>
      <c r="L283" s="84" t="s">
        <v>51</v>
      </c>
      <c r="M283" s="84" t="s">
        <v>50</v>
      </c>
      <c r="N283" s="84" t="s">
        <v>49</v>
      </c>
      <c r="O283" s="84" t="s">
        <v>47</v>
      </c>
      <c r="P283" s="84" t="s">
        <v>77</v>
      </c>
      <c r="Q283" s="84" t="s">
        <v>78</v>
      </c>
      <c r="R283" s="84" t="s">
        <v>79</v>
      </c>
      <c r="S283" s="84" t="s">
        <v>81</v>
      </c>
      <c r="T283" s="84" t="s">
        <v>83</v>
      </c>
      <c r="U283" s="84" t="s">
        <v>85</v>
      </c>
      <c r="V283" s="84" t="s">
        <v>87</v>
      </c>
      <c r="W283" s="83" t="s">
        <v>88</v>
      </c>
    </row>
    <row r="284" spans="3:23" ht="15.75" hidden="1" thickBot="1" x14ac:dyDescent="0.3">
      <c r="C284" s="62">
        <f t="shared" ref="C284:C289" si="138">C283</f>
        <v>0</v>
      </c>
      <c r="D284" s="82" t="s">
        <v>26</v>
      </c>
      <c r="E284" s="80"/>
      <c r="F284" s="79"/>
      <c r="G284" s="79"/>
      <c r="H284" s="79"/>
      <c r="I284" s="79"/>
      <c r="J284" s="79"/>
      <c r="K284" s="79"/>
      <c r="L284" s="79"/>
      <c r="M284" s="79"/>
      <c r="N284" s="79"/>
      <c r="O284" s="79"/>
      <c r="P284" s="79"/>
      <c r="Q284" s="79"/>
      <c r="R284" s="79"/>
      <c r="S284" s="79"/>
      <c r="T284" s="79"/>
      <c r="U284" s="79"/>
      <c r="V284" s="79"/>
      <c r="W284" s="78"/>
    </row>
    <row r="285" spans="3:23" ht="15.75" hidden="1" thickBot="1" x14ac:dyDescent="0.3">
      <c r="C285" s="62">
        <f t="shared" si="138"/>
        <v>0</v>
      </c>
      <c r="D285" s="81" t="s">
        <v>94</v>
      </c>
      <c r="E285" s="80"/>
      <c r="F285" s="79"/>
      <c r="G285" s="79"/>
      <c r="H285" s="79"/>
      <c r="I285" s="79"/>
      <c r="J285" s="79"/>
      <c r="K285" s="79"/>
      <c r="L285" s="79"/>
      <c r="M285" s="79"/>
      <c r="N285" s="79"/>
      <c r="O285" s="79"/>
      <c r="P285" s="79"/>
      <c r="Q285" s="79"/>
      <c r="R285" s="79"/>
      <c r="S285" s="79"/>
      <c r="T285" s="79"/>
      <c r="U285" s="79"/>
      <c r="V285" s="79"/>
      <c r="W285" s="78"/>
    </row>
    <row r="286" spans="3:23" ht="15.75" hidden="1" thickBot="1" x14ac:dyDescent="0.3">
      <c r="C286" s="62">
        <f t="shared" si="138"/>
        <v>0</v>
      </c>
      <c r="D286" s="268" t="s">
        <v>93</v>
      </c>
      <c r="E286" s="76" t="s">
        <v>155</v>
      </c>
      <c r="F286" s="75">
        <f t="shared" ref="F286:T286" si="139">+F$8*$E281</f>
        <v>0</v>
      </c>
      <c r="G286" s="75">
        <f t="shared" si="139"/>
        <v>0</v>
      </c>
      <c r="H286" s="75">
        <f t="shared" si="139"/>
        <v>0</v>
      </c>
      <c r="I286" s="75">
        <f t="shared" si="139"/>
        <v>0</v>
      </c>
      <c r="J286" s="75">
        <f t="shared" si="139"/>
        <v>0</v>
      </c>
      <c r="K286" s="75">
        <f t="shared" si="139"/>
        <v>0</v>
      </c>
      <c r="L286" s="75">
        <f t="shared" si="139"/>
        <v>0</v>
      </c>
      <c r="M286" s="75">
        <f t="shared" ca="1" si="139"/>
        <v>0</v>
      </c>
      <c r="N286" s="75">
        <f t="shared" ca="1" si="139"/>
        <v>0</v>
      </c>
      <c r="O286" s="75">
        <f t="shared" si="139"/>
        <v>0</v>
      </c>
      <c r="P286" s="75">
        <f t="shared" si="139"/>
        <v>0</v>
      </c>
      <c r="Q286" s="75">
        <f t="shared" si="139"/>
        <v>0</v>
      </c>
      <c r="R286" s="75">
        <f t="shared" si="139"/>
        <v>0</v>
      </c>
      <c r="S286" s="75">
        <f t="shared" si="139"/>
        <v>0</v>
      </c>
      <c r="T286" s="75">
        <f t="shared" si="139"/>
        <v>0</v>
      </c>
      <c r="U286" s="73">
        <f t="shared" ref="U286:U288" si="140">+R286+O286+L286+I286+F286</f>
        <v>0</v>
      </c>
      <c r="V286" s="72">
        <f t="shared" ref="V286:V288" ca="1" si="141">+S286+P286+M286+J286+G286</f>
        <v>0</v>
      </c>
      <c r="W286" s="72">
        <f t="shared" ref="W286:W288" ca="1" si="142">+T286+Q286+N286+K286+H286</f>
        <v>0</v>
      </c>
    </row>
    <row r="287" spans="3:23" ht="15.75" hidden="1" thickBot="1" x14ac:dyDescent="0.3">
      <c r="C287" s="62">
        <f t="shared" si="138"/>
        <v>0</v>
      </c>
      <c r="D287" s="268" t="s">
        <v>92</v>
      </c>
      <c r="E287" s="76" t="s">
        <v>156</v>
      </c>
      <c r="F287" s="75">
        <f t="shared" ref="F287:T287" si="143">+F$9*$E281</f>
        <v>0</v>
      </c>
      <c r="G287" s="75">
        <f t="shared" si="143"/>
        <v>0</v>
      </c>
      <c r="H287" s="75">
        <f t="shared" si="143"/>
        <v>0</v>
      </c>
      <c r="I287" s="75">
        <f t="shared" si="143"/>
        <v>0</v>
      </c>
      <c r="J287" s="75">
        <f t="shared" si="143"/>
        <v>0</v>
      </c>
      <c r="K287" s="75">
        <f t="shared" si="143"/>
        <v>0</v>
      </c>
      <c r="L287" s="75">
        <f t="shared" si="143"/>
        <v>0</v>
      </c>
      <c r="M287" s="75">
        <f t="shared" si="143"/>
        <v>0</v>
      </c>
      <c r="N287" s="75">
        <f t="shared" si="143"/>
        <v>0</v>
      </c>
      <c r="O287" s="75">
        <f t="shared" si="143"/>
        <v>0</v>
      </c>
      <c r="P287" s="75">
        <f t="shared" si="143"/>
        <v>0</v>
      </c>
      <c r="Q287" s="75">
        <f t="shared" si="143"/>
        <v>0</v>
      </c>
      <c r="R287" s="75">
        <f t="shared" si="143"/>
        <v>0</v>
      </c>
      <c r="S287" s="75">
        <f t="shared" si="143"/>
        <v>0</v>
      </c>
      <c r="T287" s="75">
        <f t="shared" si="143"/>
        <v>0</v>
      </c>
      <c r="U287" s="73">
        <f t="shared" si="140"/>
        <v>0</v>
      </c>
      <c r="V287" s="72">
        <f t="shared" si="141"/>
        <v>0</v>
      </c>
      <c r="W287" s="72">
        <f t="shared" si="142"/>
        <v>0</v>
      </c>
    </row>
    <row r="288" spans="3:23" ht="15.75" hidden="1" thickBot="1" x14ac:dyDescent="0.3">
      <c r="C288" s="62">
        <f t="shared" si="138"/>
        <v>0</v>
      </c>
      <c r="D288" s="268" t="s">
        <v>91</v>
      </c>
      <c r="E288" s="76" t="s">
        <v>157</v>
      </c>
      <c r="F288" s="75">
        <f t="shared" ref="F288:T288" si="144">+F$10*$E281</f>
        <v>0</v>
      </c>
      <c r="G288" s="75">
        <f t="shared" si="144"/>
        <v>0</v>
      </c>
      <c r="H288" s="75">
        <f t="shared" si="144"/>
        <v>0</v>
      </c>
      <c r="I288" s="75">
        <f t="shared" si="144"/>
        <v>0</v>
      </c>
      <c r="J288" s="75">
        <f t="shared" si="144"/>
        <v>0</v>
      </c>
      <c r="K288" s="75">
        <f t="shared" si="144"/>
        <v>0</v>
      </c>
      <c r="L288" s="75">
        <f t="shared" si="144"/>
        <v>0</v>
      </c>
      <c r="M288" s="75">
        <f t="shared" ca="1" si="144"/>
        <v>0</v>
      </c>
      <c r="N288" s="75">
        <f t="shared" si="144"/>
        <v>0</v>
      </c>
      <c r="O288" s="75">
        <f t="shared" si="144"/>
        <v>0</v>
      </c>
      <c r="P288" s="75">
        <f t="shared" si="144"/>
        <v>0</v>
      </c>
      <c r="Q288" s="75">
        <f t="shared" si="144"/>
        <v>0</v>
      </c>
      <c r="R288" s="75">
        <f t="shared" si="144"/>
        <v>0</v>
      </c>
      <c r="S288" s="75">
        <f t="shared" si="144"/>
        <v>0</v>
      </c>
      <c r="T288" s="75">
        <f t="shared" si="144"/>
        <v>0</v>
      </c>
      <c r="U288" s="73">
        <f t="shared" si="140"/>
        <v>0</v>
      </c>
      <c r="V288" s="72">
        <f t="shared" ca="1" si="141"/>
        <v>0</v>
      </c>
      <c r="W288" s="72">
        <f t="shared" si="142"/>
        <v>0</v>
      </c>
    </row>
    <row r="289" spans="3:23" ht="15.75" hidden="1" thickBot="1" x14ac:dyDescent="0.3">
      <c r="C289" s="62">
        <f t="shared" si="138"/>
        <v>0</v>
      </c>
      <c r="D289" s="71" t="s">
        <v>48</v>
      </c>
      <c r="E289" s="70" t="s">
        <v>158</v>
      </c>
      <c r="F289" s="68">
        <f t="shared" ref="F289:W289" si="145">SUBTOTAL(9,F286:F288)</f>
        <v>0</v>
      </c>
      <c r="G289" s="68">
        <f t="shared" si="145"/>
        <v>0</v>
      </c>
      <c r="H289" s="68">
        <f t="shared" si="145"/>
        <v>0</v>
      </c>
      <c r="I289" s="69">
        <f t="shared" si="145"/>
        <v>0</v>
      </c>
      <c r="J289" s="68">
        <f t="shared" si="145"/>
        <v>0</v>
      </c>
      <c r="K289" s="68">
        <f t="shared" si="145"/>
        <v>0</v>
      </c>
      <c r="L289" s="69">
        <f t="shared" si="145"/>
        <v>0</v>
      </c>
      <c r="M289" s="68">
        <f t="shared" si="145"/>
        <v>0</v>
      </c>
      <c r="N289" s="68">
        <f t="shared" si="145"/>
        <v>0</v>
      </c>
      <c r="O289" s="69">
        <f t="shared" si="145"/>
        <v>0</v>
      </c>
      <c r="P289" s="68">
        <f t="shared" si="145"/>
        <v>0</v>
      </c>
      <c r="Q289" s="68">
        <f t="shared" si="145"/>
        <v>0</v>
      </c>
      <c r="R289" s="69">
        <f t="shared" si="145"/>
        <v>0</v>
      </c>
      <c r="S289" s="68">
        <f t="shared" si="145"/>
        <v>0</v>
      </c>
      <c r="T289" s="68">
        <f t="shared" si="145"/>
        <v>0</v>
      </c>
      <c r="U289" s="69">
        <f t="shared" si="145"/>
        <v>0</v>
      </c>
      <c r="V289" s="68">
        <f t="shared" si="145"/>
        <v>0</v>
      </c>
      <c r="W289" s="68">
        <f t="shared" si="145"/>
        <v>0</v>
      </c>
    </row>
    <row r="290" spans="3:23" ht="15.75" hidden="1" thickBot="1" x14ac:dyDescent="0.3"/>
    <row r="291" spans="3:23" ht="15.75" hidden="1" thickBot="1" x14ac:dyDescent="0.3">
      <c r="C291" s="62">
        <f>IF(E291&gt;0,1,0)</f>
        <v>0</v>
      </c>
      <c r="D291" s="936" t="str">
        <f>+A32</f>
        <v>Monroe</v>
      </c>
      <c r="E291" s="938">
        <f>SUMIF(A:A,D291,B:B)</f>
        <v>0</v>
      </c>
      <c r="F291" s="940" t="s">
        <v>103</v>
      </c>
      <c r="G291" s="941"/>
      <c r="H291" s="942"/>
      <c r="I291" s="940" t="s">
        <v>102</v>
      </c>
      <c r="J291" s="941"/>
      <c r="K291" s="942"/>
      <c r="L291" s="940" t="s">
        <v>101</v>
      </c>
      <c r="M291" s="941"/>
      <c r="N291" s="942"/>
      <c r="O291" s="940" t="s">
        <v>100</v>
      </c>
      <c r="P291" s="941"/>
      <c r="Q291" s="942"/>
      <c r="R291" s="940" t="s">
        <v>99</v>
      </c>
      <c r="S291" s="941"/>
      <c r="T291" s="942"/>
      <c r="U291" s="940" t="s">
        <v>98</v>
      </c>
      <c r="V291" s="941"/>
      <c r="W291" s="943"/>
    </row>
    <row r="292" spans="3:23" ht="30.75" hidden="1" thickBot="1" x14ac:dyDescent="0.3">
      <c r="C292" s="62">
        <f>IF(E291&gt;0,1,0)</f>
        <v>0</v>
      </c>
      <c r="D292" s="937"/>
      <c r="E292" s="939"/>
      <c r="F292" s="88" t="s">
        <v>97</v>
      </c>
      <c r="G292" s="88" t="s">
        <v>96</v>
      </c>
      <c r="H292" s="88" t="s">
        <v>95</v>
      </c>
      <c r="I292" s="88" t="s">
        <v>97</v>
      </c>
      <c r="J292" s="88" t="s">
        <v>96</v>
      </c>
      <c r="K292" s="88" t="s">
        <v>95</v>
      </c>
      <c r="L292" s="88" t="s">
        <v>97</v>
      </c>
      <c r="M292" s="88" t="s">
        <v>96</v>
      </c>
      <c r="N292" s="88" t="s">
        <v>95</v>
      </c>
      <c r="O292" s="88" t="s">
        <v>97</v>
      </c>
      <c r="P292" s="88" t="s">
        <v>96</v>
      </c>
      <c r="Q292" s="88" t="s">
        <v>95</v>
      </c>
      <c r="R292" s="88" t="s">
        <v>97</v>
      </c>
      <c r="S292" s="88" t="s">
        <v>96</v>
      </c>
      <c r="T292" s="88" t="s">
        <v>95</v>
      </c>
      <c r="U292" s="88" t="s">
        <v>97</v>
      </c>
      <c r="V292" s="88" t="s">
        <v>96</v>
      </c>
      <c r="W292" s="87" t="s">
        <v>95</v>
      </c>
    </row>
    <row r="293" spans="3:23" ht="15.75" hidden="1" thickBot="1" x14ac:dyDescent="0.3">
      <c r="C293" s="62">
        <f>C292</f>
        <v>0</v>
      </c>
      <c r="D293" s="86"/>
      <c r="E293" s="85"/>
      <c r="F293" s="84" t="s">
        <v>57</v>
      </c>
      <c r="G293" s="84" t="s">
        <v>56</v>
      </c>
      <c r="H293" s="84" t="s">
        <v>55</v>
      </c>
      <c r="I293" s="84" t="s">
        <v>54</v>
      </c>
      <c r="J293" s="84" t="s">
        <v>53</v>
      </c>
      <c r="K293" s="84" t="s">
        <v>52</v>
      </c>
      <c r="L293" s="84" t="s">
        <v>51</v>
      </c>
      <c r="M293" s="84" t="s">
        <v>50</v>
      </c>
      <c r="N293" s="84" t="s">
        <v>49</v>
      </c>
      <c r="O293" s="84" t="s">
        <v>47</v>
      </c>
      <c r="P293" s="84" t="s">
        <v>77</v>
      </c>
      <c r="Q293" s="84" t="s">
        <v>78</v>
      </c>
      <c r="R293" s="84" t="s">
        <v>79</v>
      </c>
      <c r="S293" s="84" t="s">
        <v>81</v>
      </c>
      <c r="T293" s="84" t="s">
        <v>83</v>
      </c>
      <c r="U293" s="84" t="s">
        <v>85</v>
      </c>
      <c r="V293" s="84" t="s">
        <v>87</v>
      </c>
      <c r="W293" s="83" t="s">
        <v>88</v>
      </c>
    </row>
    <row r="294" spans="3:23" ht="15.75" hidden="1" thickBot="1" x14ac:dyDescent="0.3">
      <c r="C294" s="62">
        <f t="shared" ref="C294:C299" si="146">C293</f>
        <v>0</v>
      </c>
      <c r="D294" s="82" t="s">
        <v>26</v>
      </c>
      <c r="E294" s="80"/>
      <c r="F294" s="79"/>
      <c r="G294" s="79"/>
      <c r="H294" s="79"/>
      <c r="I294" s="79"/>
      <c r="J294" s="79"/>
      <c r="K294" s="79"/>
      <c r="L294" s="79"/>
      <c r="M294" s="79"/>
      <c r="N294" s="79"/>
      <c r="O294" s="79"/>
      <c r="P294" s="79"/>
      <c r="Q294" s="79"/>
      <c r="R294" s="79"/>
      <c r="S294" s="79"/>
      <c r="T294" s="79"/>
      <c r="U294" s="79"/>
      <c r="V294" s="79"/>
      <c r="W294" s="78"/>
    </row>
    <row r="295" spans="3:23" ht="15.75" hidden="1" thickBot="1" x14ac:dyDescent="0.3">
      <c r="C295" s="62">
        <f t="shared" si="146"/>
        <v>0</v>
      </c>
      <c r="D295" s="81" t="s">
        <v>94</v>
      </c>
      <c r="E295" s="80"/>
      <c r="F295" s="79"/>
      <c r="G295" s="79"/>
      <c r="H295" s="79"/>
      <c r="I295" s="79"/>
      <c r="J295" s="79"/>
      <c r="K295" s="79"/>
      <c r="L295" s="79"/>
      <c r="M295" s="79"/>
      <c r="N295" s="79"/>
      <c r="O295" s="79"/>
      <c r="P295" s="79"/>
      <c r="Q295" s="79"/>
      <c r="R295" s="79"/>
      <c r="S295" s="79"/>
      <c r="T295" s="79"/>
      <c r="U295" s="79"/>
      <c r="V295" s="79"/>
      <c r="W295" s="78"/>
    </row>
    <row r="296" spans="3:23" ht="15.75" hidden="1" thickBot="1" x14ac:dyDescent="0.3">
      <c r="C296" s="62">
        <f t="shared" si="146"/>
        <v>0</v>
      </c>
      <c r="D296" s="268" t="s">
        <v>93</v>
      </c>
      <c r="E296" s="76" t="s">
        <v>155</v>
      </c>
      <c r="F296" s="75">
        <f t="shared" ref="F296:T296" si="147">+F$8*$E291</f>
        <v>0</v>
      </c>
      <c r="G296" s="75">
        <f t="shared" si="147"/>
        <v>0</v>
      </c>
      <c r="H296" s="75">
        <f t="shared" si="147"/>
        <v>0</v>
      </c>
      <c r="I296" s="75">
        <f t="shared" si="147"/>
        <v>0</v>
      </c>
      <c r="J296" s="75">
        <f t="shared" si="147"/>
        <v>0</v>
      </c>
      <c r="K296" s="75">
        <f t="shared" si="147"/>
        <v>0</v>
      </c>
      <c r="L296" s="75">
        <f t="shared" si="147"/>
        <v>0</v>
      </c>
      <c r="M296" s="75">
        <f t="shared" ca="1" si="147"/>
        <v>0</v>
      </c>
      <c r="N296" s="75">
        <f t="shared" ca="1" si="147"/>
        <v>0</v>
      </c>
      <c r="O296" s="75">
        <f t="shared" si="147"/>
        <v>0</v>
      </c>
      <c r="P296" s="75">
        <f t="shared" si="147"/>
        <v>0</v>
      </c>
      <c r="Q296" s="75">
        <f t="shared" si="147"/>
        <v>0</v>
      </c>
      <c r="R296" s="75">
        <f t="shared" si="147"/>
        <v>0</v>
      </c>
      <c r="S296" s="75">
        <f t="shared" si="147"/>
        <v>0</v>
      </c>
      <c r="T296" s="75">
        <f t="shared" si="147"/>
        <v>0</v>
      </c>
      <c r="U296" s="73">
        <f t="shared" ref="U296:U298" si="148">+R296+O296+L296+I296+F296</f>
        <v>0</v>
      </c>
      <c r="V296" s="72">
        <f t="shared" ref="V296:V298" ca="1" si="149">+S296+P296+M296+J296+G296</f>
        <v>0</v>
      </c>
      <c r="W296" s="72">
        <f t="shared" ref="W296:W298" ca="1" si="150">+T296+Q296+N296+K296+H296</f>
        <v>0</v>
      </c>
    </row>
    <row r="297" spans="3:23" ht="15.75" hidden="1" thickBot="1" x14ac:dyDescent="0.3">
      <c r="C297" s="62">
        <f t="shared" si="146"/>
        <v>0</v>
      </c>
      <c r="D297" s="268" t="s">
        <v>92</v>
      </c>
      <c r="E297" s="76" t="s">
        <v>156</v>
      </c>
      <c r="F297" s="75">
        <f t="shared" ref="F297:T297" si="151">+F$9*$E291</f>
        <v>0</v>
      </c>
      <c r="G297" s="75">
        <f t="shared" si="151"/>
        <v>0</v>
      </c>
      <c r="H297" s="75">
        <f t="shared" si="151"/>
        <v>0</v>
      </c>
      <c r="I297" s="75">
        <f t="shared" si="151"/>
        <v>0</v>
      </c>
      <c r="J297" s="75">
        <f t="shared" si="151"/>
        <v>0</v>
      </c>
      <c r="K297" s="75">
        <f t="shared" si="151"/>
        <v>0</v>
      </c>
      <c r="L297" s="75">
        <f t="shared" si="151"/>
        <v>0</v>
      </c>
      <c r="M297" s="75">
        <f t="shared" si="151"/>
        <v>0</v>
      </c>
      <c r="N297" s="75">
        <f t="shared" si="151"/>
        <v>0</v>
      </c>
      <c r="O297" s="75">
        <f t="shared" si="151"/>
        <v>0</v>
      </c>
      <c r="P297" s="75">
        <f t="shared" si="151"/>
        <v>0</v>
      </c>
      <c r="Q297" s="75">
        <f t="shared" si="151"/>
        <v>0</v>
      </c>
      <c r="R297" s="75">
        <f t="shared" si="151"/>
        <v>0</v>
      </c>
      <c r="S297" s="75">
        <f t="shared" si="151"/>
        <v>0</v>
      </c>
      <c r="T297" s="75">
        <f t="shared" si="151"/>
        <v>0</v>
      </c>
      <c r="U297" s="73">
        <f t="shared" si="148"/>
        <v>0</v>
      </c>
      <c r="V297" s="72">
        <f t="shared" si="149"/>
        <v>0</v>
      </c>
      <c r="W297" s="72">
        <f t="shared" si="150"/>
        <v>0</v>
      </c>
    </row>
    <row r="298" spans="3:23" ht="15.75" hidden="1" thickBot="1" x14ac:dyDescent="0.3">
      <c r="C298" s="62">
        <f t="shared" si="146"/>
        <v>0</v>
      </c>
      <c r="D298" s="268" t="s">
        <v>91</v>
      </c>
      <c r="E298" s="76" t="s">
        <v>157</v>
      </c>
      <c r="F298" s="75">
        <f t="shared" ref="F298:T298" si="152">+F$10*$E291</f>
        <v>0</v>
      </c>
      <c r="G298" s="75">
        <f t="shared" si="152"/>
        <v>0</v>
      </c>
      <c r="H298" s="75">
        <f t="shared" si="152"/>
        <v>0</v>
      </c>
      <c r="I298" s="75">
        <f t="shared" si="152"/>
        <v>0</v>
      </c>
      <c r="J298" s="75">
        <f t="shared" si="152"/>
        <v>0</v>
      </c>
      <c r="K298" s="75">
        <f t="shared" si="152"/>
        <v>0</v>
      </c>
      <c r="L298" s="75">
        <f t="shared" si="152"/>
        <v>0</v>
      </c>
      <c r="M298" s="75">
        <f t="shared" ca="1" si="152"/>
        <v>0</v>
      </c>
      <c r="N298" s="75">
        <f t="shared" si="152"/>
        <v>0</v>
      </c>
      <c r="O298" s="75">
        <f t="shared" si="152"/>
        <v>0</v>
      </c>
      <c r="P298" s="75">
        <f t="shared" si="152"/>
        <v>0</v>
      </c>
      <c r="Q298" s="75">
        <f t="shared" si="152"/>
        <v>0</v>
      </c>
      <c r="R298" s="75">
        <f t="shared" si="152"/>
        <v>0</v>
      </c>
      <c r="S298" s="75">
        <f t="shared" si="152"/>
        <v>0</v>
      </c>
      <c r="T298" s="75">
        <f t="shared" si="152"/>
        <v>0</v>
      </c>
      <c r="U298" s="73">
        <f t="shared" si="148"/>
        <v>0</v>
      </c>
      <c r="V298" s="72">
        <f t="shared" ca="1" si="149"/>
        <v>0</v>
      </c>
      <c r="W298" s="72">
        <f t="shared" si="150"/>
        <v>0</v>
      </c>
    </row>
    <row r="299" spans="3:23" ht="15.75" hidden="1" thickBot="1" x14ac:dyDescent="0.3">
      <c r="C299" s="62">
        <f t="shared" si="146"/>
        <v>0</v>
      </c>
      <c r="D299" s="71" t="s">
        <v>48</v>
      </c>
      <c r="E299" s="70" t="s">
        <v>158</v>
      </c>
      <c r="F299" s="68">
        <f t="shared" ref="F299:W299" si="153">SUBTOTAL(9,F296:F298)</f>
        <v>0</v>
      </c>
      <c r="G299" s="68">
        <f t="shared" si="153"/>
        <v>0</v>
      </c>
      <c r="H299" s="68">
        <f t="shared" si="153"/>
        <v>0</v>
      </c>
      <c r="I299" s="69">
        <f t="shared" si="153"/>
        <v>0</v>
      </c>
      <c r="J299" s="68">
        <f t="shared" si="153"/>
        <v>0</v>
      </c>
      <c r="K299" s="68">
        <f t="shared" si="153"/>
        <v>0</v>
      </c>
      <c r="L299" s="69">
        <f t="shared" si="153"/>
        <v>0</v>
      </c>
      <c r="M299" s="68">
        <f t="shared" si="153"/>
        <v>0</v>
      </c>
      <c r="N299" s="68">
        <f t="shared" si="153"/>
        <v>0</v>
      </c>
      <c r="O299" s="69">
        <f t="shared" si="153"/>
        <v>0</v>
      </c>
      <c r="P299" s="68">
        <f t="shared" si="153"/>
        <v>0</v>
      </c>
      <c r="Q299" s="68">
        <f t="shared" si="153"/>
        <v>0</v>
      </c>
      <c r="R299" s="69">
        <f t="shared" si="153"/>
        <v>0</v>
      </c>
      <c r="S299" s="68">
        <f t="shared" si="153"/>
        <v>0</v>
      </c>
      <c r="T299" s="68">
        <f t="shared" si="153"/>
        <v>0</v>
      </c>
      <c r="U299" s="69">
        <f t="shared" si="153"/>
        <v>0</v>
      </c>
      <c r="V299" s="68">
        <f t="shared" si="153"/>
        <v>0</v>
      </c>
      <c r="W299" s="68">
        <f t="shared" si="153"/>
        <v>0</v>
      </c>
    </row>
    <row r="300" spans="3:23" ht="15.75" hidden="1" thickBot="1" x14ac:dyDescent="0.3"/>
    <row r="301" spans="3:23" x14ac:dyDescent="0.25">
      <c r="C301" s="62">
        <f>IF(E301&gt;0,1,0)</f>
        <v>1</v>
      </c>
      <c r="D301" s="936" t="str">
        <f>+A33</f>
        <v>Montgomery</v>
      </c>
      <c r="E301" s="938">
        <f>SUMIF(A:A,D301,B:B)</f>
        <v>1.7109272327241044E-4</v>
      </c>
      <c r="F301" s="940" t="s">
        <v>103</v>
      </c>
      <c r="G301" s="941"/>
      <c r="H301" s="942"/>
      <c r="I301" s="940" t="s">
        <v>102</v>
      </c>
      <c r="J301" s="941"/>
      <c r="K301" s="942"/>
      <c r="L301" s="940" t="s">
        <v>101</v>
      </c>
      <c r="M301" s="941"/>
      <c r="N301" s="942"/>
      <c r="O301" s="940" t="s">
        <v>100</v>
      </c>
      <c r="P301" s="941"/>
      <c r="Q301" s="942"/>
      <c r="R301" s="940" t="s">
        <v>99</v>
      </c>
      <c r="S301" s="941"/>
      <c r="T301" s="942"/>
      <c r="U301" s="940" t="s">
        <v>98</v>
      </c>
      <c r="V301" s="941"/>
      <c r="W301" s="943"/>
    </row>
    <row r="302" spans="3:23" ht="30" x14ac:dyDescent="0.25">
      <c r="C302" s="62">
        <f>IF(E301&gt;0,1,0)</f>
        <v>1</v>
      </c>
      <c r="D302" s="937"/>
      <c r="E302" s="939"/>
      <c r="F302" s="88" t="s">
        <v>97</v>
      </c>
      <c r="G302" s="88" t="s">
        <v>96</v>
      </c>
      <c r="H302" s="88" t="s">
        <v>95</v>
      </c>
      <c r="I302" s="88" t="s">
        <v>97</v>
      </c>
      <c r="J302" s="88" t="s">
        <v>96</v>
      </c>
      <c r="K302" s="88" t="s">
        <v>95</v>
      </c>
      <c r="L302" s="88" t="s">
        <v>97</v>
      </c>
      <c r="M302" s="88" t="s">
        <v>96</v>
      </c>
      <c r="N302" s="88" t="s">
        <v>95</v>
      </c>
      <c r="O302" s="88" t="s">
        <v>97</v>
      </c>
      <c r="P302" s="88" t="s">
        <v>96</v>
      </c>
      <c r="Q302" s="88" t="s">
        <v>95</v>
      </c>
      <c r="R302" s="88" t="s">
        <v>97</v>
      </c>
      <c r="S302" s="88" t="s">
        <v>96</v>
      </c>
      <c r="T302" s="88" t="s">
        <v>95</v>
      </c>
      <c r="U302" s="88" t="s">
        <v>97</v>
      </c>
      <c r="V302" s="88" t="s">
        <v>96</v>
      </c>
      <c r="W302" s="87" t="s">
        <v>95</v>
      </c>
    </row>
    <row r="303" spans="3:23" x14ac:dyDescent="0.25">
      <c r="C303" s="62">
        <f>C302</f>
        <v>1</v>
      </c>
      <c r="D303" s="86"/>
      <c r="E303" s="85"/>
      <c r="F303" s="84" t="s">
        <v>57</v>
      </c>
      <c r="G303" s="84" t="s">
        <v>56</v>
      </c>
      <c r="H303" s="84" t="s">
        <v>55</v>
      </c>
      <c r="I303" s="84" t="s">
        <v>54</v>
      </c>
      <c r="J303" s="84" t="s">
        <v>53</v>
      </c>
      <c r="K303" s="84" t="s">
        <v>52</v>
      </c>
      <c r="L303" s="84" t="s">
        <v>51</v>
      </c>
      <c r="M303" s="84" t="s">
        <v>50</v>
      </c>
      <c r="N303" s="84" t="s">
        <v>49</v>
      </c>
      <c r="O303" s="84" t="s">
        <v>47</v>
      </c>
      <c r="P303" s="84" t="s">
        <v>77</v>
      </c>
      <c r="Q303" s="84" t="s">
        <v>78</v>
      </c>
      <c r="R303" s="84" t="s">
        <v>79</v>
      </c>
      <c r="S303" s="84" t="s">
        <v>81</v>
      </c>
      <c r="T303" s="84" t="s">
        <v>83</v>
      </c>
      <c r="U303" s="84" t="s">
        <v>85</v>
      </c>
      <c r="V303" s="84" t="s">
        <v>87</v>
      </c>
      <c r="W303" s="83" t="s">
        <v>88</v>
      </c>
    </row>
    <row r="304" spans="3:23" x14ac:dyDescent="0.25">
      <c r="C304" s="62">
        <f t="shared" ref="C304:C309" si="154">C303</f>
        <v>1</v>
      </c>
      <c r="D304" s="82" t="s">
        <v>26</v>
      </c>
      <c r="E304" s="80"/>
      <c r="F304" s="79"/>
      <c r="G304" s="79"/>
      <c r="H304" s="79"/>
      <c r="I304" s="79"/>
      <c r="J304" s="79"/>
      <c r="K304" s="79"/>
      <c r="L304" s="79"/>
      <c r="M304" s="79"/>
      <c r="N304" s="79"/>
      <c r="O304" s="79"/>
      <c r="P304" s="79"/>
      <c r="Q304" s="79"/>
      <c r="R304" s="79"/>
      <c r="S304" s="79"/>
      <c r="T304" s="79"/>
      <c r="U304" s="79"/>
      <c r="V304" s="79"/>
      <c r="W304" s="78"/>
    </row>
    <row r="305" spans="3:23" x14ac:dyDescent="0.25">
      <c r="C305" s="62">
        <f t="shared" si="154"/>
        <v>1</v>
      </c>
      <c r="D305" s="81" t="s">
        <v>94</v>
      </c>
      <c r="E305" s="80"/>
      <c r="F305" s="79"/>
      <c r="G305" s="79"/>
      <c r="H305" s="79"/>
      <c r="I305" s="79"/>
      <c r="J305" s="79"/>
      <c r="K305" s="79"/>
      <c r="L305" s="79"/>
      <c r="M305" s="79"/>
      <c r="N305" s="79"/>
      <c r="O305" s="79"/>
      <c r="P305" s="79"/>
      <c r="Q305" s="79"/>
      <c r="R305" s="79"/>
      <c r="S305" s="79"/>
      <c r="T305" s="79"/>
      <c r="U305" s="79"/>
      <c r="V305" s="79"/>
      <c r="W305" s="78"/>
    </row>
    <row r="306" spans="3:23" x14ac:dyDescent="0.25">
      <c r="C306" s="62">
        <f t="shared" si="154"/>
        <v>1</v>
      </c>
      <c r="D306" s="268" t="s">
        <v>93</v>
      </c>
      <c r="E306" s="76" t="s">
        <v>155</v>
      </c>
      <c r="F306" s="75">
        <f t="shared" ref="F306:T306" si="155">+F$8*$E301</f>
        <v>0</v>
      </c>
      <c r="G306" s="75">
        <f t="shared" si="155"/>
        <v>0</v>
      </c>
      <c r="H306" s="75">
        <f t="shared" si="155"/>
        <v>0</v>
      </c>
      <c r="I306" s="75">
        <f t="shared" si="155"/>
        <v>0</v>
      </c>
      <c r="J306" s="75">
        <f t="shared" si="155"/>
        <v>0</v>
      </c>
      <c r="K306" s="75">
        <f t="shared" si="155"/>
        <v>0</v>
      </c>
      <c r="L306" s="75">
        <f t="shared" si="155"/>
        <v>0.5965713447532075</v>
      </c>
      <c r="M306" s="75">
        <f t="shared" ca="1" si="155"/>
        <v>24162.733028963761</v>
      </c>
      <c r="N306" s="75">
        <f t="shared" ca="1" si="155"/>
        <v>574.46351464042641</v>
      </c>
      <c r="O306" s="75">
        <f t="shared" si="155"/>
        <v>0</v>
      </c>
      <c r="P306" s="75">
        <f t="shared" si="155"/>
        <v>0</v>
      </c>
      <c r="Q306" s="75">
        <f t="shared" si="155"/>
        <v>0</v>
      </c>
      <c r="R306" s="75">
        <f t="shared" si="155"/>
        <v>0</v>
      </c>
      <c r="S306" s="75">
        <f t="shared" si="155"/>
        <v>0</v>
      </c>
      <c r="T306" s="75">
        <f t="shared" si="155"/>
        <v>0</v>
      </c>
      <c r="U306" s="73">
        <f t="shared" ref="U306:U308" si="156">+R306+O306+L306+I306+F306</f>
        <v>0.5965713447532075</v>
      </c>
      <c r="V306" s="72">
        <f t="shared" ref="V306:V308" ca="1" si="157">+S306+P306+M306+J306+G306</f>
        <v>24162.733028963761</v>
      </c>
      <c r="W306" s="72">
        <f t="shared" ref="W306:W308" ca="1" si="158">+T306+Q306+N306+K306+H306</f>
        <v>574.46351464042641</v>
      </c>
    </row>
    <row r="307" spans="3:23" x14ac:dyDescent="0.25">
      <c r="C307" s="62">
        <f t="shared" si="154"/>
        <v>1</v>
      </c>
      <c r="D307" s="268" t="s">
        <v>92</v>
      </c>
      <c r="E307" s="76" t="s">
        <v>156</v>
      </c>
      <c r="F307" s="75">
        <f t="shared" ref="F307:T307" si="159">+F$9*$E301</f>
        <v>0</v>
      </c>
      <c r="G307" s="75">
        <f t="shared" si="159"/>
        <v>0</v>
      </c>
      <c r="H307" s="75">
        <f t="shared" si="159"/>
        <v>0</v>
      </c>
      <c r="I307" s="75">
        <f t="shared" si="159"/>
        <v>0</v>
      </c>
      <c r="J307" s="75">
        <f t="shared" si="159"/>
        <v>0</v>
      </c>
      <c r="K307" s="75">
        <f t="shared" si="159"/>
        <v>0</v>
      </c>
      <c r="L307" s="75">
        <f t="shared" si="159"/>
        <v>0</v>
      </c>
      <c r="M307" s="75">
        <f t="shared" si="159"/>
        <v>0</v>
      </c>
      <c r="N307" s="75">
        <f t="shared" si="159"/>
        <v>0</v>
      </c>
      <c r="O307" s="75">
        <f t="shared" si="159"/>
        <v>0</v>
      </c>
      <c r="P307" s="75">
        <f t="shared" si="159"/>
        <v>0</v>
      </c>
      <c r="Q307" s="75">
        <f t="shared" si="159"/>
        <v>0</v>
      </c>
      <c r="R307" s="75">
        <f t="shared" si="159"/>
        <v>0</v>
      </c>
      <c r="S307" s="75">
        <f t="shared" si="159"/>
        <v>0</v>
      </c>
      <c r="T307" s="75">
        <f t="shared" si="159"/>
        <v>0</v>
      </c>
      <c r="U307" s="73">
        <f t="shared" si="156"/>
        <v>0</v>
      </c>
      <c r="V307" s="72">
        <f t="shared" si="157"/>
        <v>0</v>
      </c>
      <c r="W307" s="72">
        <f t="shared" si="158"/>
        <v>0</v>
      </c>
    </row>
    <row r="308" spans="3:23" x14ac:dyDescent="0.25">
      <c r="C308" s="62">
        <f t="shared" si="154"/>
        <v>1</v>
      </c>
      <c r="D308" s="268" t="s">
        <v>91</v>
      </c>
      <c r="E308" s="76" t="s">
        <v>157</v>
      </c>
      <c r="F308" s="75">
        <f t="shared" ref="F308:T308" si="160">+F$10*$E301</f>
        <v>0</v>
      </c>
      <c r="G308" s="75">
        <f t="shared" si="160"/>
        <v>0</v>
      </c>
      <c r="H308" s="75">
        <f t="shared" si="160"/>
        <v>0</v>
      </c>
      <c r="I308" s="75">
        <f t="shared" si="160"/>
        <v>0</v>
      </c>
      <c r="J308" s="75">
        <f t="shared" si="160"/>
        <v>0</v>
      </c>
      <c r="K308" s="75">
        <f t="shared" si="160"/>
        <v>0</v>
      </c>
      <c r="L308" s="75">
        <f t="shared" si="160"/>
        <v>7.4554888007707205E-4</v>
      </c>
      <c r="M308" s="75">
        <f t="shared" ca="1" si="160"/>
        <v>201.21958544983283</v>
      </c>
      <c r="N308" s="75">
        <f t="shared" si="160"/>
        <v>0</v>
      </c>
      <c r="O308" s="75">
        <f t="shared" si="160"/>
        <v>0</v>
      </c>
      <c r="P308" s="75">
        <f t="shared" si="160"/>
        <v>0</v>
      </c>
      <c r="Q308" s="75">
        <f t="shared" si="160"/>
        <v>0</v>
      </c>
      <c r="R308" s="75">
        <f t="shared" si="160"/>
        <v>0</v>
      </c>
      <c r="S308" s="75">
        <f t="shared" si="160"/>
        <v>0</v>
      </c>
      <c r="T308" s="75">
        <f t="shared" si="160"/>
        <v>0</v>
      </c>
      <c r="U308" s="73">
        <f t="shared" si="156"/>
        <v>7.4554888007707205E-4</v>
      </c>
      <c r="V308" s="72">
        <f t="shared" ca="1" si="157"/>
        <v>201.21958544983283</v>
      </c>
      <c r="W308" s="72">
        <f t="shared" si="158"/>
        <v>0</v>
      </c>
    </row>
    <row r="309" spans="3:23" ht="15.75" thickBot="1" x14ac:dyDescent="0.3">
      <c r="C309" s="62">
        <f t="shared" si="154"/>
        <v>1</v>
      </c>
      <c r="D309" s="71" t="s">
        <v>48</v>
      </c>
      <c r="E309" s="70" t="s">
        <v>158</v>
      </c>
      <c r="F309" s="68">
        <f t="shared" ref="F309:W309" si="161">SUBTOTAL(9,F306:F308)</f>
        <v>0</v>
      </c>
      <c r="G309" s="68">
        <f t="shared" si="161"/>
        <v>0</v>
      </c>
      <c r="H309" s="68">
        <f t="shared" si="161"/>
        <v>0</v>
      </c>
      <c r="I309" s="69">
        <f t="shared" si="161"/>
        <v>0</v>
      </c>
      <c r="J309" s="68">
        <f t="shared" si="161"/>
        <v>0</v>
      </c>
      <c r="K309" s="68">
        <f t="shared" si="161"/>
        <v>0</v>
      </c>
      <c r="L309" s="69">
        <f t="shared" si="161"/>
        <v>0.59731689363328455</v>
      </c>
      <c r="M309" s="68">
        <f t="shared" ca="1" si="161"/>
        <v>24363.952614413593</v>
      </c>
      <c r="N309" s="68">
        <f t="shared" ca="1" si="161"/>
        <v>574.46351464042641</v>
      </c>
      <c r="O309" s="69">
        <f t="shared" si="161"/>
        <v>0</v>
      </c>
      <c r="P309" s="68">
        <f t="shared" si="161"/>
        <v>0</v>
      </c>
      <c r="Q309" s="68">
        <f t="shared" si="161"/>
        <v>0</v>
      </c>
      <c r="R309" s="69">
        <f t="shared" si="161"/>
        <v>0</v>
      </c>
      <c r="S309" s="68">
        <f t="shared" si="161"/>
        <v>0</v>
      </c>
      <c r="T309" s="68">
        <f t="shared" si="161"/>
        <v>0</v>
      </c>
      <c r="U309" s="69">
        <f t="shared" si="161"/>
        <v>0.59731689363328455</v>
      </c>
      <c r="V309" s="68">
        <f t="shared" ca="1" si="161"/>
        <v>24363.952614413593</v>
      </c>
      <c r="W309" s="68">
        <f t="shared" ca="1" si="161"/>
        <v>574.46351464042641</v>
      </c>
    </row>
    <row r="310" spans="3:23" ht="15.75" hidden="1" thickBot="1" x14ac:dyDescent="0.3"/>
    <row r="311" spans="3:23" x14ac:dyDescent="0.25">
      <c r="C311" s="62">
        <f>IF(E311&gt;0,1,0)</f>
        <v>1</v>
      </c>
      <c r="D311" s="936" t="str">
        <f>+A34</f>
        <v>Nassau</v>
      </c>
      <c r="E311" s="938">
        <f>SUMIF(A:A,D311,B:B)</f>
        <v>0.12769760760357801</v>
      </c>
      <c r="F311" s="940" t="s">
        <v>103</v>
      </c>
      <c r="G311" s="941"/>
      <c r="H311" s="942"/>
      <c r="I311" s="940" t="s">
        <v>102</v>
      </c>
      <c r="J311" s="941"/>
      <c r="K311" s="942"/>
      <c r="L311" s="940" t="s">
        <v>101</v>
      </c>
      <c r="M311" s="941"/>
      <c r="N311" s="942"/>
      <c r="O311" s="940" t="s">
        <v>100</v>
      </c>
      <c r="P311" s="941"/>
      <c r="Q311" s="942"/>
      <c r="R311" s="940" t="s">
        <v>99</v>
      </c>
      <c r="S311" s="941"/>
      <c r="T311" s="942"/>
      <c r="U311" s="940" t="s">
        <v>98</v>
      </c>
      <c r="V311" s="941"/>
      <c r="W311" s="943"/>
    </row>
    <row r="312" spans="3:23" ht="30" x14ac:dyDescent="0.25">
      <c r="C312" s="62">
        <f>IF(E311&gt;0,1,0)</f>
        <v>1</v>
      </c>
      <c r="D312" s="937"/>
      <c r="E312" s="939"/>
      <c r="F312" s="88" t="s">
        <v>97</v>
      </c>
      <c r="G312" s="88" t="s">
        <v>96</v>
      </c>
      <c r="H312" s="88" t="s">
        <v>95</v>
      </c>
      <c r="I312" s="88" t="s">
        <v>97</v>
      </c>
      <c r="J312" s="88" t="s">
        <v>96</v>
      </c>
      <c r="K312" s="88" t="s">
        <v>95</v>
      </c>
      <c r="L312" s="88" t="s">
        <v>97</v>
      </c>
      <c r="M312" s="88" t="s">
        <v>96</v>
      </c>
      <c r="N312" s="88" t="s">
        <v>95</v>
      </c>
      <c r="O312" s="88" t="s">
        <v>97</v>
      </c>
      <c r="P312" s="88" t="s">
        <v>96</v>
      </c>
      <c r="Q312" s="88" t="s">
        <v>95</v>
      </c>
      <c r="R312" s="88" t="s">
        <v>97</v>
      </c>
      <c r="S312" s="88" t="s">
        <v>96</v>
      </c>
      <c r="T312" s="88" t="s">
        <v>95</v>
      </c>
      <c r="U312" s="88" t="s">
        <v>97</v>
      </c>
      <c r="V312" s="88" t="s">
        <v>96</v>
      </c>
      <c r="W312" s="87" t="s">
        <v>95</v>
      </c>
    </row>
    <row r="313" spans="3:23" x14ac:dyDescent="0.25">
      <c r="C313" s="62">
        <f>C312</f>
        <v>1</v>
      </c>
      <c r="D313" s="86"/>
      <c r="E313" s="85"/>
      <c r="F313" s="84" t="s">
        <v>57</v>
      </c>
      <c r="G313" s="84" t="s">
        <v>56</v>
      </c>
      <c r="H313" s="84" t="s">
        <v>55</v>
      </c>
      <c r="I313" s="84" t="s">
        <v>54</v>
      </c>
      <c r="J313" s="84" t="s">
        <v>53</v>
      </c>
      <c r="K313" s="84" t="s">
        <v>52</v>
      </c>
      <c r="L313" s="84" t="s">
        <v>51</v>
      </c>
      <c r="M313" s="84" t="s">
        <v>50</v>
      </c>
      <c r="N313" s="84" t="s">
        <v>49</v>
      </c>
      <c r="O313" s="84" t="s">
        <v>47</v>
      </c>
      <c r="P313" s="84" t="s">
        <v>77</v>
      </c>
      <c r="Q313" s="84" t="s">
        <v>78</v>
      </c>
      <c r="R313" s="84" t="s">
        <v>79</v>
      </c>
      <c r="S313" s="84" t="s">
        <v>81</v>
      </c>
      <c r="T313" s="84" t="s">
        <v>83</v>
      </c>
      <c r="U313" s="84" t="s">
        <v>85</v>
      </c>
      <c r="V313" s="84" t="s">
        <v>87</v>
      </c>
      <c r="W313" s="83" t="s">
        <v>88</v>
      </c>
    </row>
    <row r="314" spans="3:23" x14ac:dyDescent="0.25">
      <c r="C314" s="62">
        <f t="shared" ref="C314:C319" si="162">C313</f>
        <v>1</v>
      </c>
      <c r="D314" s="82" t="s">
        <v>26</v>
      </c>
      <c r="E314" s="80"/>
      <c r="F314" s="79"/>
      <c r="G314" s="79"/>
      <c r="H314" s="79"/>
      <c r="I314" s="79"/>
      <c r="J314" s="79"/>
      <c r="K314" s="79"/>
      <c r="L314" s="79"/>
      <c r="M314" s="79"/>
      <c r="N314" s="79"/>
      <c r="O314" s="79"/>
      <c r="P314" s="79"/>
      <c r="Q314" s="79"/>
      <c r="R314" s="79"/>
      <c r="S314" s="79"/>
      <c r="T314" s="79"/>
      <c r="U314" s="79"/>
      <c r="V314" s="79"/>
      <c r="W314" s="78"/>
    </row>
    <row r="315" spans="3:23" x14ac:dyDescent="0.25">
      <c r="C315" s="62">
        <f t="shared" si="162"/>
        <v>1</v>
      </c>
      <c r="D315" s="81" t="s">
        <v>94</v>
      </c>
      <c r="E315" s="80"/>
      <c r="F315" s="79"/>
      <c r="G315" s="79"/>
      <c r="H315" s="79"/>
      <c r="I315" s="79"/>
      <c r="J315" s="79"/>
      <c r="K315" s="79"/>
      <c r="L315" s="79"/>
      <c r="M315" s="79"/>
      <c r="N315" s="79"/>
      <c r="O315" s="79"/>
      <c r="P315" s="79"/>
      <c r="Q315" s="79"/>
      <c r="R315" s="79"/>
      <c r="S315" s="79"/>
      <c r="T315" s="79"/>
      <c r="U315" s="79"/>
      <c r="V315" s="79"/>
      <c r="W315" s="78"/>
    </row>
    <row r="316" spans="3:23" x14ac:dyDescent="0.25">
      <c r="C316" s="62">
        <f t="shared" si="162"/>
        <v>1</v>
      </c>
      <c r="D316" s="268" t="s">
        <v>93</v>
      </c>
      <c r="E316" s="76" t="s">
        <v>155</v>
      </c>
      <c r="F316" s="75">
        <f t="shared" ref="F316:T316" si="163">+F$8*$E311</f>
        <v>0</v>
      </c>
      <c r="G316" s="75">
        <f t="shared" si="163"/>
        <v>0</v>
      </c>
      <c r="H316" s="75">
        <f t="shared" si="163"/>
        <v>0</v>
      </c>
      <c r="I316" s="75">
        <f t="shared" si="163"/>
        <v>0</v>
      </c>
      <c r="J316" s="75">
        <f t="shared" si="163"/>
        <v>0</v>
      </c>
      <c r="K316" s="75">
        <f t="shared" si="163"/>
        <v>0</v>
      </c>
      <c r="L316" s="75">
        <f t="shared" si="163"/>
        <v>445.25992708959637</v>
      </c>
      <c r="M316" s="75">
        <f t="shared" ca="1" si="163"/>
        <v>18034216.429239482</v>
      </c>
      <c r="N316" s="75">
        <f t="shared" ca="1" si="163"/>
        <v>428759.41812163999</v>
      </c>
      <c r="O316" s="75">
        <f t="shared" si="163"/>
        <v>0</v>
      </c>
      <c r="P316" s="75">
        <f t="shared" si="163"/>
        <v>0</v>
      </c>
      <c r="Q316" s="75">
        <f t="shared" si="163"/>
        <v>0</v>
      </c>
      <c r="R316" s="75">
        <f t="shared" si="163"/>
        <v>0</v>
      </c>
      <c r="S316" s="75">
        <f t="shared" si="163"/>
        <v>0</v>
      </c>
      <c r="T316" s="75">
        <f t="shared" si="163"/>
        <v>0</v>
      </c>
      <c r="U316" s="73">
        <f t="shared" ref="U316:U318" si="164">+R316+O316+L316+I316+F316</f>
        <v>445.25992708959637</v>
      </c>
      <c r="V316" s="72">
        <f t="shared" ref="V316:V318" ca="1" si="165">+S316+P316+M316+J316+G316</f>
        <v>18034216.429239482</v>
      </c>
      <c r="W316" s="72">
        <f t="shared" ref="W316:W318" ca="1" si="166">+T316+Q316+N316+K316+H316</f>
        <v>428759.41812163999</v>
      </c>
    </row>
    <row r="317" spans="3:23" x14ac:dyDescent="0.25">
      <c r="C317" s="62">
        <f t="shared" si="162"/>
        <v>1</v>
      </c>
      <c r="D317" s="268" t="s">
        <v>92</v>
      </c>
      <c r="E317" s="76" t="s">
        <v>156</v>
      </c>
      <c r="F317" s="75">
        <f t="shared" ref="F317:T317" si="167">+F$9*$E311</f>
        <v>0</v>
      </c>
      <c r="G317" s="75">
        <f t="shared" si="167"/>
        <v>0</v>
      </c>
      <c r="H317" s="75">
        <f t="shared" si="167"/>
        <v>0</v>
      </c>
      <c r="I317" s="75">
        <f t="shared" si="167"/>
        <v>0</v>
      </c>
      <c r="J317" s="75">
        <f t="shared" si="167"/>
        <v>0</v>
      </c>
      <c r="K317" s="75">
        <f t="shared" si="167"/>
        <v>0</v>
      </c>
      <c r="L317" s="75">
        <f t="shared" si="167"/>
        <v>0</v>
      </c>
      <c r="M317" s="75">
        <f t="shared" si="167"/>
        <v>0</v>
      </c>
      <c r="N317" s="75">
        <f t="shared" si="167"/>
        <v>0</v>
      </c>
      <c r="O317" s="75">
        <f t="shared" si="167"/>
        <v>0</v>
      </c>
      <c r="P317" s="75">
        <f t="shared" si="167"/>
        <v>0</v>
      </c>
      <c r="Q317" s="75">
        <f t="shared" si="167"/>
        <v>0</v>
      </c>
      <c r="R317" s="75">
        <f t="shared" si="167"/>
        <v>0</v>
      </c>
      <c r="S317" s="75">
        <f t="shared" si="167"/>
        <v>0</v>
      </c>
      <c r="T317" s="75">
        <f t="shared" si="167"/>
        <v>0</v>
      </c>
      <c r="U317" s="73">
        <f t="shared" si="164"/>
        <v>0</v>
      </c>
      <c r="V317" s="72">
        <f t="shared" si="165"/>
        <v>0</v>
      </c>
      <c r="W317" s="72">
        <f t="shared" si="166"/>
        <v>0</v>
      </c>
    </row>
    <row r="318" spans="3:23" x14ac:dyDescent="0.25">
      <c r="C318" s="62">
        <f t="shared" si="162"/>
        <v>1</v>
      </c>
      <c r="D318" s="268" t="s">
        <v>91</v>
      </c>
      <c r="E318" s="76" t="s">
        <v>157</v>
      </c>
      <c r="F318" s="75">
        <f t="shared" ref="F318:T318" si="168">+F$10*$E311</f>
        <v>0</v>
      </c>
      <c r="G318" s="75">
        <f t="shared" si="168"/>
        <v>0</v>
      </c>
      <c r="H318" s="75">
        <f t="shared" si="168"/>
        <v>0</v>
      </c>
      <c r="I318" s="75">
        <f t="shared" si="168"/>
        <v>0</v>
      </c>
      <c r="J318" s="75">
        <f t="shared" si="168"/>
        <v>0</v>
      </c>
      <c r="K318" s="75">
        <f t="shared" si="168"/>
        <v>0</v>
      </c>
      <c r="L318" s="75">
        <f t="shared" si="168"/>
        <v>0.55645153409467796</v>
      </c>
      <c r="M318" s="75">
        <f t="shared" ca="1" si="168"/>
        <v>150183.24083845405</v>
      </c>
      <c r="N318" s="75">
        <f t="shared" si="168"/>
        <v>0</v>
      </c>
      <c r="O318" s="75">
        <f t="shared" si="168"/>
        <v>0</v>
      </c>
      <c r="P318" s="75">
        <f t="shared" si="168"/>
        <v>0</v>
      </c>
      <c r="Q318" s="75">
        <f t="shared" si="168"/>
        <v>0</v>
      </c>
      <c r="R318" s="75">
        <f t="shared" si="168"/>
        <v>0</v>
      </c>
      <c r="S318" s="75">
        <f t="shared" si="168"/>
        <v>0</v>
      </c>
      <c r="T318" s="75">
        <f t="shared" si="168"/>
        <v>0</v>
      </c>
      <c r="U318" s="73">
        <f t="shared" si="164"/>
        <v>0.55645153409467796</v>
      </c>
      <c r="V318" s="72">
        <f t="shared" ca="1" si="165"/>
        <v>150183.24083845405</v>
      </c>
      <c r="W318" s="72">
        <f t="shared" si="166"/>
        <v>0</v>
      </c>
    </row>
    <row r="319" spans="3:23" ht="15.75" thickBot="1" x14ac:dyDescent="0.3">
      <c r="C319" s="62">
        <f t="shared" si="162"/>
        <v>1</v>
      </c>
      <c r="D319" s="71" t="s">
        <v>48</v>
      </c>
      <c r="E319" s="70" t="s">
        <v>158</v>
      </c>
      <c r="F319" s="68">
        <f t="shared" ref="F319:W319" si="169">SUBTOTAL(9,F316:F318)</f>
        <v>0</v>
      </c>
      <c r="G319" s="68">
        <f t="shared" si="169"/>
        <v>0</v>
      </c>
      <c r="H319" s="68">
        <f t="shared" si="169"/>
        <v>0</v>
      </c>
      <c r="I319" s="69">
        <f t="shared" si="169"/>
        <v>0</v>
      </c>
      <c r="J319" s="68">
        <f t="shared" si="169"/>
        <v>0</v>
      </c>
      <c r="K319" s="68">
        <f t="shared" si="169"/>
        <v>0</v>
      </c>
      <c r="L319" s="69">
        <f t="shared" si="169"/>
        <v>445.81637862369104</v>
      </c>
      <c r="M319" s="68">
        <f t="shared" ca="1" si="169"/>
        <v>18184399.670077935</v>
      </c>
      <c r="N319" s="68">
        <f t="shared" ca="1" si="169"/>
        <v>428759.41812163999</v>
      </c>
      <c r="O319" s="69">
        <f t="shared" si="169"/>
        <v>0</v>
      </c>
      <c r="P319" s="68">
        <f t="shared" si="169"/>
        <v>0</v>
      </c>
      <c r="Q319" s="68">
        <f t="shared" si="169"/>
        <v>0</v>
      </c>
      <c r="R319" s="69">
        <f t="shared" si="169"/>
        <v>0</v>
      </c>
      <c r="S319" s="68">
        <f t="shared" si="169"/>
        <v>0</v>
      </c>
      <c r="T319" s="68">
        <f t="shared" si="169"/>
        <v>0</v>
      </c>
      <c r="U319" s="69">
        <f t="shared" si="169"/>
        <v>445.81637862369104</v>
      </c>
      <c r="V319" s="68">
        <f t="shared" ca="1" si="169"/>
        <v>18184399.670077935</v>
      </c>
      <c r="W319" s="68">
        <f t="shared" ca="1" si="169"/>
        <v>428759.41812163999</v>
      </c>
    </row>
    <row r="320" spans="3:23" ht="15.75" hidden="1" thickBot="1" x14ac:dyDescent="0.3"/>
    <row r="321" spans="3:23" x14ac:dyDescent="0.25">
      <c r="C321" s="62">
        <f>IF(E321&gt;0,1,0)</f>
        <v>1</v>
      </c>
      <c r="D321" s="936" t="str">
        <f>+A35</f>
        <v>New York</v>
      </c>
      <c r="E321" s="938">
        <f>SUMIF(A:A,D321,B:B)</f>
        <v>0.11860817754043497</v>
      </c>
      <c r="F321" s="940" t="s">
        <v>103</v>
      </c>
      <c r="G321" s="941"/>
      <c r="H321" s="942"/>
      <c r="I321" s="940" t="s">
        <v>102</v>
      </c>
      <c r="J321" s="941"/>
      <c r="K321" s="942"/>
      <c r="L321" s="940" t="s">
        <v>101</v>
      </c>
      <c r="M321" s="941"/>
      <c r="N321" s="942"/>
      <c r="O321" s="940" t="s">
        <v>100</v>
      </c>
      <c r="P321" s="941"/>
      <c r="Q321" s="942"/>
      <c r="R321" s="940" t="s">
        <v>99</v>
      </c>
      <c r="S321" s="941"/>
      <c r="T321" s="942"/>
      <c r="U321" s="940" t="s">
        <v>98</v>
      </c>
      <c r="V321" s="941"/>
      <c r="W321" s="943"/>
    </row>
    <row r="322" spans="3:23" ht="30" x14ac:dyDescent="0.25">
      <c r="C322" s="62">
        <f>IF(E321&gt;0,1,0)</f>
        <v>1</v>
      </c>
      <c r="D322" s="937"/>
      <c r="E322" s="939"/>
      <c r="F322" s="88" t="s">
        <v>97</v>
      </c>
      <c r="G322" s="88" t="s">
        <v>96</v>
      </c>
      <c r="H322" s="88" t="s">
        <v>95</v>
      </c>
      <c r="I322" s="88" t="s">
        <v>97</v>
      </c>
      <c r="J322" s="88" t="s">
        <v>96</v>
      </c>
      <c r="K322" s="88" t="s">
        <v>95</v>
      </c>
      <c r="L322" s="88" t="s">
        <v>97</v>
      </c>
      <c r="M322" s="88" t="s">
        <v>96</v>
      </c>
      <c r="N322" s="88" t="s">
        <v>95</v>
      </c>
      <c r="O322" s="88" t="s">
        <v>97</v>
      </c>
      <c r="P322" s="88" t="s">
        <v>96</v>
      </c>
      <c r="Q322" s="88" t="s">
        <v>95</v>
      </c>
      <c r="R322" s="88" t="s">
        <v>97</v>
      </c>
      <c r="S322" s="88" t="s">
        <v>96</v>
      </c>
      <c r="T322" s="88" t="s">
        <v>95</v>
      </c>
      <c r="U322" s="88" t="s">
        <v>97</v>
      </c>
      <c r="V322" s="88" t="s">
        <v>96</v>
      </c>
      <c r="W322" s="87" t="s">
        <v>95</v>
      </c>
    </row>
    <row r="323" spans="3:23" x14ac:dyDescent="0.25">
      <c r="C323" s="62">
        <f>C322</f>
        <v>1</v>
      </c>
      <c r="D323" s="86"/>
      <c r="E323" s="85"/>
      <c r="F323" s="84" t="s">
        <v>57</v>
      </c>
      <c r="G323" s="84" t="s">
        <v>56</v>
      </c>
      <c r="H323" s="84" t="s">
        <v>55</v>
      </c>
      <c r="I323" s="84" t="s">
        <v>54</v>
      </c>
      <c r="J323" s="84" t="s">
        <v>53</v>
      </c>
      <c r="K323" s="84" t="s">
        <v>52</v>
      </c>
      <c r="L323" s="84" t="s">
        <v>51</v>
      </c>
      <c r="M323" s="84" t="s">
        <v>50</v>
      </c>
      <c r="N323" s="84" t="s">
        <v>49</v>
      </c>
      <c r="O323" s="84" t="s">
        <v>47</v>
      </c>
      <c r="P323" s="84" t="s">
        <v>77</v>
      </c>
      <c r="Q323" s="84" t="s">
        <v>78</v>
      </c>
      <c r="R323" s="84" t="s">
        <v>79</v>
      </c>
      <c r="S323" s="84" t="s">
        <v>81</v>
      </c>
      <c r="T323" s="84" t="s">
        <v>83</v>
      </c>
      <c r="U323" s="84" t="s">
        <v>85</v>
      </c>
      <c r="V323" s="84" t="s">
        <v>87</v>
      </c>
      <c r="W323" s="83" t="s">
        <v>88</v>
      </c>
    </row>
    <row r="324" spans="3:23" x14ac:dyDescent="0.25">
      <c r="C324" s="62">
        <f t="shared" ref="C324:C329" si="170">C323</f>
        <v>1</v>
      </c>
      <c r="D324" s="82" t="s">
        <v>26</v>
      </c>
      <c r="E324" s="80"/>
      <c r="F324" s="79"/>
      <c r="G324" s="79"/>
      <c r="H324" s="79"/>
      <c r="I324" s="79"/>
      <c r="J324" s="79"/>
      <c r="K324" s="79"/>
      <c r="L324" s="79"/>
      <c r="M324" s="79"/>
      <c r="N324" s="79"/>
      <c r="O324" s="79"/>
      <c r="P324" s="79"/>
      <c r="Q324" s="79"/>
      <c r="R324" s="79"/>
      <c r="S324" s="79"/>
      <c r="T324" s="79"/>
      <c r="U324" s="79"/>
      <c r="V324" s="79"/>
      <c r="W324" s="78"/>
    </row>
    <row r="325" spans="3:23" x14ac:dyDescent="0.25">
      <c r="C325" s="62">
        <f t="shared" si="170"/>
        <v>1</v>
      </c>
      <c r="D325" s="81" t="s">
        <v>94</v>
      </c>
      <c r="E325" s="80"/>
      <c r="F325" s="79"/>
      <c r="G325" s="79"/>
      <c r="H325" s="79"/>
      <c r="I325" s="79"/>
      <c r="J325" s="79"/>
      <c r="K325" s="79"/>
      <c r="L325" s="79"/>
      <c r="M325" s="79"/>
      <c r="N325" s="79"/>
      <c r="O325" s="79"/>
      <c r="P325" s="79"/>
      <c r="Q325" s="79"/>
      <c r="R325" s="79"/>
      <c r="S325" s="79"/>
      <c r="T325" s="79"/>
      <c r="U325" s="79"/>
      <c r="V325" s="79"/>
      <c r="W325" s="78"/>
    </row>
    <row r="326" spans="3:23" x14ac:dyDescent="0.25">
      <c r="C326" s="62">
        <f t="shared" si="170"/>
        <v>1</v>
      </c>
      <c r="D326" s="268" t="s">
        <v>93</v>
      </c>
      <c r="E326" s="76" t="s">
        <v>155</v>
      </c>
      <c r="F326" s="75">
        <f t="shared" ref="F326:T326" si="171">+F$8*$E321</f>
        <v>0</v>
      </c>
      <c r="G326" s="75">
        <f t="shared" si="171"/>
        <v>0</v>
      </c>
      <c r="H326" s="75">
        <f t="shared" si="171"/>
        <v>0</v>
      </c>
      <c r="I326" s="75">
        <f t="shared" si="171"/>
        <v>0</v>
      </c>
      <c r="J326" s="75">
        <f t="shared" si="171"/>
        <v>0</v>
      </c>
      <c r="K326" s="75">
        <f t="shared" si="171"/>
        <v>0</v>
      </c>
      <c r="L326" s="75">
        <f t="shared" si="171"/>
        <v>413.56662411273106</v>
      </c>
      <c r="M326" s="75">
        <f t="shared" ca="1" si="171"/>
        <v>16750552.999255499</v>
      </c>
      <c r="N326" s="75">
        <f t="shared" ca="1" si="171"/>
        <v>398240.61030631361</v>
      </c>
      <c r="O326" s="75">
        <f t="shared" si="171"/>
        <v>0</v>
      </c>
      <c r="P326" s="75">
        <f t="shared" si="171"/>
        <v>0</v>
      </c>
      <c r="Q326" s="75">
        <f t="shared" si="171"/>
        <v>0</v>
      </c>
      <c r="R326" s="75">
        <f t="shared" si="171"/>
        <v>0</v>
      </c>
      <c r="S326" s="75">
        <f t="shared" si="171"/>
        <v>0</v>
      </c>
      <c r="T326" s="75">
        <f t="shared" si="171"/>
        <v>0</v>
      </c>
      <c r="U326" s="73">
        <f t="shared" ref="U326:U328" si="172">+R326+O326+L326+I326+F326</f>
        <v>413.56662411273106</v>
      </c>
      <c r="V326" s="72">
        <f t="shared" ref="V326:V328" ca="1" si="173">+S326+P326+M326+J326+G326</f>
        <v>16750552.999255499</v>
      </c>
      <c r="W326" s="72">
        <f t="shared" ref="W326:W328" ca="1" si="174">+T326+Q326+N326+K326+H326</f>
        <v>398240.61030631361</v>
      </c>
    </row>
    <row r="327" spans="3:23" x14ac:dyDescent="0.25">
      <c r="C327" s="62">
        <f t="shared" si="170"/>
        <v>1</v>
      </c>
      <c r="D327" s="268" t="s">
        <v>92</v>
      </c>
      <c r="E327" s="76" t="s">
        <v>156</v>
      </c>
      <c r="F327" s="75">
        <f t="shared" ref="F327:T327" si="175">+F$9*$E321</f>
        <v>0</v>
      </c>
      <c r="G327" s="75">
        <f t="shared" si="175"/>
        <v>0</v>
      </c>
      <c r="H327" s="75">
        <f t="shared" si="175"/>
        <v>0</v>
      </c>
      <c r="I327" s="75">
        <f t="shared" si="175"/>
        <v>0</v>
      </c>
      <c r="J327" s="75">
        <f t="shared" si="175"/>
        <v>0</v>
      </c>
      <c r="K327" s="75">
        <f t="shared" si="175"/>
        <v>0</v>
      </c>
      <c r="L327" s="75">
        <f t="shared" si="175"/>
        <v>0</v>
      </c>
      <c r="M327" s="75">
        <f t="shared" si="175"/>
        <v>0</v>
      </c>
      <c r="N327" s="75">
        <f t="shared" si="175"/>
        <v>0</v>
      </c>
      <c r="O327" s="75">
        <f t="shared" si="175"/>
        <v>0</v>
      </c>
      <c r="P327" s="75">
        <f t="shared" si="175"/>
        <v>0</v>
      </c>
      <c r="Q327" s="75">
        <f t="shared" si="175"/>
        <v>0</v>
      </c>
      <c r="R327" s="75">
        <f t="shared" si="175"/>
        <v>0</v>
      </c>
      <c r="S327" s="75">
        <f t="shared" si="175"/>
        <v>0</v>
      </c>
      <c r="T327" s="75">
        <f t="shared" si="175"/>
        <v>0</v>
      </c>
      <c r="U327" s="73">
        <f t="shared" si="172"/>
        <v>0</v>
      </c>
      <c r="V327" s="72">
        <f t="shared" si="173"/>
        <v>0</v>
      </c>
      <c r="W327" s="72">
        <f t="shared" si="174"/>
        <v>0</v>
      </c>
    </row>
    <row r="328" spans="3:23" x14ac:dyDescent="0.25">
      <c r="C328" s="62">
        <f t="shared" si="170"/>
        <v>1</v>
      </c>
      <c r="D328" s="268" t="s">
        <v>91</v>
      </c>
      <c r="E328" s="76" t="s">
        <v>157</v>
      </c>
      <c r="F328" s="75">
        <f t="shared" ref="F328:T328" si="176">+F$10*$E321</f>
        <v>0</v>
      </c>
      <c r="G328" s="75">
        <f t="shared" si="176"/>
        <v>0</v>
      </c>
      <c r="H328" s="75">
        <f t="shared" si="176"/>
        <v>0</v>
      </c>
      <c r="I328" s="75">
        <f t="shared" si="176"/>
        <v>0</v>
      </c>
      <c r="J328" s="75">
        <f t="shared" si="176"/>
        <v>0</v>
      </c>
      <c r="K328" s="75">
        <f t="shared" si="176"/>
        <v>0</v>
      </c>
      <c r="L328" s="75">
        <f t="shared" si="176"/>
        <v>0.51684368710678719</v>
      </c>
      <c r="M328" s="75">
        <f t="shared" ca="1" si="176"/>
        <v>139493.29848264245</v>
      </c>
      <c r="N328" s="75">
        <f t="shared" si="176"/>
        <v>0</v>
      </c>
      <c r="O328" s="75">
        <f t="shared" si="176"/>
        <v>0</v>
      </c>
      <c r="P328" s="75">
        <f t="shared" si="176"/>
        <v>0</v>
      </c>
      <c r="Q328" s="75">
        <f t="shared" si="176"/>
        <v>0</v>
      </c>
      <c r="R328" s="75">
        <f t="shared" si="176"/>
        <v>0</v>
      </c>
      <c r="S328" s="75">
        <f t="shared" si="176"/>
        <v>0</v>
      </c>
      <c r="T328" s="75">
        <f t="shared" si="176"/>
        <v>0</v>
      </c>
      <c r="U328" s="73">
        <f t="shared" si="172"/>
        <v>0.51684368710678719</v>
      </c>
      <c r="V328" s="72">
        <f t="shared" ca="1" si="173"/>
        <v>139493.29848264245</v>
      </c>
      <c r="W328" s="72">
        <f t="shared" si="174"/>
        <v>0</v>
      </c>
    </row>
    <row r="329" spans="3:23" ht="15.75" thickBot="1" x14ac:dyDescent="0.3">
      <c r="C329" s="62">
        <f t="shared" si="170"/>
        <v>1</v>
      </c>
      <c r="D329" s="71" t="s">
        <v>48</v>
      </c>
      <c r="E329" s="70" t="s">
        <v>158</v>
      </c>
      <c r="F329" s="68">
        <f t="shared" ref="F329:W329" si="177">SUBTOTAL(9,F326:F328)</f>
        <v>0</v>
      </c>
      <c r="G329" s="68">
        <f t="shared" si="177"/>
        <v>0</v>
      </c>
      <c r="H329" s="68">
        <f t="shared" si="177"/>
        <v>0</v>
      </c>
      <c r="I329" s="69">
        <f t="shared" si="177"/>
        <v>0</v>
      </c>
      <c r="J329" s="68">
        <f t="shared" si="177"/>
        <v>0</v>
      </c>
      <c r="K329" s="68">
        <f t="shared" si="177"/>
        <v>0</v>
      </c>
      <c r="L329" s="69">
        <f t="shared" si="177"/>
        <v>414.08346779983788</v>
      </c>
      <c r="M329" s="68">
        <f t="shared" ca="1" si="177"/>
        <v>16890046.297738142</v>
      </c>
      <c r="N329" s="68">
        <f t="shared" ca="1" si="177"/>
        <v>398240.61030631361</v>
      </c>
      <c r="O329" s="69">
        <f t="shared" si="177"/>
        <v>0</v>
      </c>
      <c r="P329" s="68">
        <f t="shared" si="177"/>
        <v>0</v>
      </c>
      <c r="Q329" s="68">
        <f t="shared" si="177"/>
        <v>0</v>
      </c>
      <c r="R329" s="69">
        <f t="shared" si="177"/>
        <v>0</v>
      </c>
      <c r="S329" s="68">
        <f t="shared" si="177"/>
        <v>0</v>
      </c>
      <c r="T329" s="68">
        <f t="shared" si="177"/>
        <v>0</v>
      </c>
      <c r="U329" s="69">
        <f t="shared" si="177"/>
        <v>414.08346779983788</v>
      </c>
      <c r="V329" s="68">
        <f t="shared" ca="1" si="177"/>
        <v>16890046.297738142</v>
      </c>
      <c r="W329" s="68">
        <f t="shared" ca="1" si="177"/>
        <v>398240.61030631361</v>
      </c>
    </row>
    <row r="330" spans="3:23" ht="15.75" hidden="1" thickBot="1" x14ac:dyDescent="0.3"/>
    <row r="331" spans="3:23" ht="15.75" hidden="1" thickBot="1" x14ac:dyDescent="0.3">
      <c r="C331" s="62">
        <f>IF(E331&gt;0,1,0)</f>
        <v>0</v>
      </c>
      <c r="D331" s="936" t="str">
        <f>+A36</f>
        <v>Niagara</v>
      </c>
      <c r="E331" s="938">
        <f>SUMIF(A:A,D331,B:B)</f>
        <v>0</v>
      </c>
      <c r="F331" s="940" t="s">
        <v>103</v>
      </c>
      <c r="G331" s="941"/>
      <c r="H331" s="942"/>
      <c r="I331" s="940" t="s">
        <v>102</v>
      </c>
      <c r="J331" s="941"/>
      <c r="K331" s="942"/>
      <c r="L331" s="940" t="s">
        <v>101</v>
      </c>
      <c r="M331" s="941"/>
      <c r="N331" s="942"/>
      <c r="O331" s="940" t="s">
        <v>100</v>
      </c>
      <c r="P331" s="941"/>
      <c r="Q331" s="942"/>
      <c r="R331" s="940" t="s">
        <v>99</v>
      </c>
      <c r="S331" s="941"/>
      <c r="T331" s="942"/>
      <c r="U331" s="940" t="s">
        <v>98</v>
      </c>
      <c r="V331" s="941"/>
      <c r="W331" s="943"/>
    </row>
    <row r="332" spans="3:23" ht="30.75" hidden="1" thickBot="1" x14ac:dyDescent="0.3">
      <c r="C332" s="62">
        <f>IF(E331&gt;0,1,0)</f>
        <v>0</v>
      </c>
      <c r="D332" s="937"/>
      <c r="E332" s="939"/>
      <c r="F332" s="88" t="s">
        <v>97</v>
      </c>
      <c r="G332" s="88" t="s">
        <v>96</v>
      </c>
      <c r="H332" s="88" t="s">
        <v>95</v>
      </c>
      <c r="I332" s="88" t="s">
        <v>97</v>
      </c>
      <c r="J332" s="88" t="s">
        <v>96</v>
      </c>
      <c r="K332" s="88" t="s">
        <v>95</v>
      </c>
      <c r="L332" s="88" t="s">
        <v>97</v>
      </c>
      <c r="M332" s="88" t="s">
        <v>96</v>
      </c>
      <c r="N332" s="88" t="s">
        <v>95</v>
      </c>
      <c r="O332" s="88" t="s">
        <v>97</v>
      </c>
      <c r="P332" s="88" t="s">
        <v>96</v>
      </c>
      <c r="Q332" s="88" t="s">
        <v>95</v>
      </c>
      <c r="R332" s="88" t="s">
        <v>97</v>
      </c>
      <c r="S332" s="88" t="s">
        <v>96</v>
      </c>
      <c r="T332" s="88" t="s">
        <v>95</v>
      </c>
      <c r="U332" s="88" t="s">
        <v>97</v>
      </c>
      <c r="V332" s="88" t="s">
        <v>96</v>
      </c>
      <c r="W332" s="87" t="s">
        <v>95</v>
      </c>
    </row>
    <row r="333" spans="3:23" ht="15.75" hidden="1" thickBot="1" x14ac:dyDescent="0.3">
      <c r="C333" s="62">
        <f>C332</f>
        <v>0</v>
      </c>
      <c r="D333" s="86"/>
      <c r="E333" s="85"/>
      <c r="F333" s="84" t="s">
        <v>57</v>
      </c>
      <c r="G333" s="84" t="s">
        <v>56</v>
      </c>
      <c r="H333" s="84" t="s">
        <v>55</v>
      </c>
      <c r="I333" s="84" t="s">
        <v>54</v>
      </c>
      <c r="J333" s="84" t="s">
        <v>53</v>
      </c>
      <c r="K333" s="84" t="s">
        <v>52</v>
      </c>
      <c r="L333" s="84" t="s">
        <v>51</v>
      </c>
      <c r="M333" s="84" t="s">
        <v>50</v>
      </c>
      <c r="N333" s="84" t="s">
        <v>49</v>
      </c>
      <c r="O333" s="84" t="s">
        <v>47</v>
      </c>
      <c r="P333" s="84" t="s">
        <v>77</v>
      </c>
      <c r="Q333" s="84" t="s">
        <v>78</v>
      </c>
      <c r="R333" s="84" t="s">
        <v>79</v>
      </c>
      <c r="S333" s="84" t="s">
        <v>81</v>
      </c>
      <c r="T333" s="84" t="s">
        <v>83</v>
      </c>
      <c r="U333" s="84" t="s">
        <v>85</v>
      </c>
      <c r="V333" s="84" t="s">
        <v>87</v>
      </c>
      <c r="W333" s="83" t="s">
        <v>88</v>
      </c>
    </row>
    <row r="334" spans="3:23" ht="15.75" hidden="1" thickBot="1" x14ac:dyDescent="0.3">
      <c r="C334" s="62">
        <f t="shared" ref="C334:C339" si="178">C333</f>
        <v>0</v>
      </c>
      <c r="D334" s="82" t="s">
        <v>26</v>
      </c>
      <c r="E334" s="80"/>
      <c r="F334" s="79"/>
      <c r="G334" s="79"/>
      <c r="H334" s="79"/>
      <c r="I334" s="79"/>
      <c r="J334" s="79"/>
      <c r="K334" s="79"/>
      <c r="L334" s="79"/>
      <c r="M334" s="79"/>
      <c r="N334" s="79"/>
      <c r="O334" s="79"/>
      <c r="P334" s="79"/>
      <c r="Q334" s="79"/>
      <c r="R334" s="79"/>
      <c r="S334" s="79"/>
      <c r="T334" s="79"/>
      <c r="U334" s="79"/>
      <c r="V334" s="79"/>
      <c r="W334" s="78"/>
    </row>
    <row r="335" spans="3:23" ht="15.75" hidden="1" thickBot="1" x14ac:dyDescent="0.3">
      <c r="C335" s="62">
        <f t="shared" si="178"/>
        <v>0</v>
      </c>
      <c r="D335" s="81" t="s">
        <v>94</v>
      </c>
      <c r="E335" s="80"/>
      <c r="F335" s="79"/>
      <c r="G335" s="79"/>
      <c r="H335" s="79"/>
      <c r="I335" s="79"/>
      <c r="J335" s="79"/>
      <c r="K335" s="79"/>
      <c r="L335" s="79"/>
      <c r="M335" s="79"/>
      <c r="N335" s="79"/>
      <c r="O335" s="79"/>
      <c r="P335" s="79"/>
      <c r="Q335" s="79"/>
      <c r="R335" s="79"/>
      <c r="S335" s="79"/>
      <c r="T335" s="79"/>
      <c r="U335" s="79"/>
      <c r="V335" s="79"/>
      <c r="W335" s="78"/>
    </row>
    <row r="336" spans="3:23" ht="15.75" hidden="1" thickBot="1" x14ac:dyDescent="0.3">
      <c r="C336" s="62">
        <f t="shared" si="178"/>
        <v>0</v>
      </c>
      <c r="D336" s="268" t="s">
        <v>93</v>
      </c>
      <c r="E336" s="76" t="s">
        <v>155</v>
      </c>
      <c r="F336" s="75">
        <f t="shared" ref="F336:T336" si="179">+F$8*$E331</f>
        <v>0</v>
      </c>
      <c r="G336" s="75">
        <f t="shared" si="179"/>
        <v>0</v>
      </c>
      <c r="H336" s="75">
        <f t="shared" si="179"/>
        <v>0</v>
      </c>
      <c r="I336" s="75">
        <f t="shared" si="179"/>
        <v>0</v>
      </c>
      <c r="J336" s="75">
        <f t="shared" si="179"/>
        <v>0</v>
      </c>
      <c r="K336" s="75">
        <f t="shared" si="179"/>
        <v>0</v>
      </c>
      <c r="L336" s="75">
        <f t="shared" si="179"/>
        <v>0</v>
      </c>
      <c r="M336" s="75">
        <f t="shared" ca="1" si="179"/>
        <v>0</v>
      </c>
      <c r="N336" s="75">
        <f t="shared" ca="1" si="179"/>
        <v>0</v>
      </c>
      <c r="O336" s="75">
        <f t="shared" si="179"/>
        <v>0</v>
      </c>
      <c r="P336" s="75">
        <f t="shared" si="179"/>
        <v>0</v>
      </c>
      <c r="Q336" s="75">
        <f t="shared" si="179"/>
        <v>0</v>
      </c>
      <c r="R336" s="75">
        <f t="shared" si="179"/>
        <v>0</v>
      </c>
      <c r="S336" s="75">
        <f t="shared" si="179"/>
        <v>0</v>
      </c>
      <c r="T336" s="75">
        <f t="shared" si="179"/>
        <v>0</v>
      </c>
      <c r="U336" s="73">
        <f t="shared" ref="U336:U338" si="180">+R336+O336+L336+I336+F336</f>
        <v>0</v>
      </c>
      <c r="V336" s="72">
        <f t="shared" ref="V336:V338" ca="1" si="181">+S336+P336+M336+J336+G336</f>
        <v>0</v>
      </c>
      <c r="W336" s="72">
        <f t="shared" ref="W336:W338" ca="1" si="182">+T336+Q336+N336+K336+H336</f>
        <v>0</v>
      </c>
    </row>
    <row r="337" spans="3:23" ht="15.75" hidden="1" thickBot="1" x14ac:dyDescent="0.3">
      <c r="C337" s="62">
        <f t="shared" si="178"/>
        <v>0</v>
      </c>
      <c r="D337" s="268" t="s">
        <v>92</v>
      </c>
      <c r="E337" s="76" t="s">
        <v>156</v>
      </c>
      <c r="F337" s="75">
        <f t="shared" ref="F337:T337" si="183">+F$9*$E331</f>
        <v>0</v>
      </c>
      <c r="G337" s="75">
        <f t="shared" si="183"/>
        <v>0</v>
      </c>
      <c r="H337" s="75">
        <f t="shared" si="183"/>
        <v>0</v>
      </c>
      <c r="I337" s="75">
        <f t="shared" si="183"/>
        <v>0</v>
      </c>
      <c r="J337" s="75">
        <f t="shared" si="183"/>
        <v>0</v>
      </c>
      <c r="K337" s="75">
        <f t="shared" si="183"/>
        <v>0</v>
      </c>
      <c r="L337" s="75">
        <f t="shared" si="183"/>
        <v>0</v>
      </c>
      <c r="M337" s="75">
        <f t="shared" si="183"/>
        <v>0</v>
      </c>
      <c r="N337" s="75">
        <f t="shared" si="183"/>
        <v>0</v>
      </c>
      <c r="O337" s="75">
        <f t="shared" si="183"/>
        <v>0</v>
      </c>
      <c r="P337" s="75">
        <f t="shared" si="183"/>
        <v>0</v>
      </c>
      <c r="Q337" s="75">
        <f t="shared" si="183"/>
        <v>0</v>
      </c>
      <c r="R337" s="75">
        <f t="shared" si="183"/>
        <v>0</v>
      </c>
      <c r="S337" s="75">
        <f t="shared" si="183"/>
        <v>0</v>
      </c>
      <c r="T337" s="75">
        <f t="shared" si="183"/>
        <v>0</v>
      </c>
      <c r="U337" s="73">
        <f t="shared" si="180"/>
        <v>0</v>
      </c>
      <c r="V337" s="72">
        <f t="shared" si="181"/>
        <v>0</v>
      </c>
      <c r="W337" s="72">
        <f t="shared" si="182"/>
        <v>0</v>
      </c>
    </row>
    <row r="338" spans="3:23" ht="15.75" hidden="1" thickBot="1" x14ac:dyDescent="0.3">
      <c r="C338" s="62">
        <f t="shared" si="178"/>
        <v>0</v>
      </c>
      <c r="D338" s="268" t="s">
        <v>91</v>
      </c>
      <c r="E338" s="76" t="s">
        <v>157</v>
      </c>
      <c r="F338" s="75">
        <f t="shared" ref="F338:T338" si="184">+F$10*$E331</f>
        <v>0</v>
      </c>
      <c r="G338" s="75">
        <f t="shared" si="184"/>
        <v>0</v>
      </c>
      <c r="H338" s="75">
        <f t="shared" si="184"/>
        <v>0</v>
      </c>
      <c r="I338" s="75">
        <f t="shared" si="184"/>
        <v>0</v>
      </c>
      <c r="J338" s="75">
        <f t="shared" si="184"/>
        <v>0</v>
      </c>
      <c r="K338" s="75">
        <f t="shared" si="184"/>
        <v>0</v>
      </c>
      <c r="L338" s="75">
        <f t="shared" si="184"/>
        <v>0</v>
      </c>
      <c r="M338" s="75">
        <f t="shared" ca="1" si="184"/>
        <v>0</v>
      </c>
      <c r="N338" s="75">
        <f t="shared" si="184"/>
        <v>0</v>
      </c>
      <c r="O338" s="75">
        <f t="shared" si="184"/>
        <v>0</v>
      </c>
      <c r="P338" s="75">
        <f t="shared" si="184"/>
        <v>0</v>
      </c>
      <c r="Q338" s="75">
        <f t="shared" si="184"/>
        <v>0</v>
      </c>
      <c r="R338" s="75">
        <f t="shared" si="184"/>
        <v>0</v>
      </c>
      <c r="S338" s="75">
        <f t="shared" si="184"/>
        <v>0</v>
      </c>
      <c r="T338" s="75">
        <f t="shared" si="184"/>
        <v>0</v>
      </c>
      <c r="U338" s="73">
        <f t="shared" si="180"/>
        <v>0</v>
      </c>
      <c r="V338" s="72">
        <f t="shared" ca="1" si="181"/>
        <v>0</v>
      </c>
      <c r="W338" s="72">
        <f t="shared" si="182"/>
        <v>0</v>
      </c>
    </row>
    <row r="339" spans="3:23" ht="15.75" hidden="1" thickBot="1" x14ac:dyDescent="0.3">
      <c r="C339" s="62">
        <f t="shared" si="178"/>
        <v>0</v>
      </c>
      <c r="D339" s="71" t="s">
        <v>48</v>
      </c>
      <c r="E339" s="70" t="s">
        <v>158</v>
      </c>
      <c r="F339" s="68">
        <f t="shared" ref="F339:W339" si="185">SUBTOTAL(9,F336:F338)</f>
        <v>0</v>
      </c>
      <c r="G339" s="68">
        <f t="shared" si="185"/>
        <v>0</v>
      </c>
      <c r="H339" s="68">
        <f t="shared" si="185"/>
        <v>0</v>
      </c>
      <c r="I339" s="69">
        <f t="shared" si="185"/>
        <v>0</v>
      </c>
      <c r="J339" s="68">
        <f t="shared" si="185"/>
        <v>0</v>
      </c>
      <c r="K339" s="68">
        <f t="shared" si="185"/>
        <v>0</v>
      </c>
      <c r="L339" s="69">
        <f t="shared" si="185"/>
        <v>0</v>
      </c>
      <c r="M339" s="68">
        <f t="shared" si="185"/>
        <v>0</v>
      </c>
      <c r="N339" s="68">
        <f t="shared" si="185"/>
        <v>0</v>
      </c>
      <c r="O339" s="69">
        <f t="shared" si="185"/>
        <v>0</v>
      </c>
      <c r="P339" s="68">
        <f t="shared" si="185"/>
        <v>0</v>
      </c>
      <c r="Q339" s="68">
        <f t="shared" si="185"/>
        <v>0</v>
      </c>
      <c r="R339" s="69">
        <f t="shared" si="185"/>
        <v>0</v>
      </c>
      <c r="S339" s="68">
        <f t="shared" si="185"/>
        <v>0</v>
      </c>
      <c r="T339" s="68">
        <f t="shared" si="185"/>
        <v>0</v>
      </c>
      <c r="U339" s="69">
        <f t="shared" si="185"/>
        <v>0</v>
      </c>
      <c r="V339" s="68">
        <f t="shared" si="185"/>
        <v>0</v>
      </c>
      <c r="W339" s="68">
        <f t="shared" si="185"/>
        <v>0</v>
      </c>
    </row>
    <row r="340" spans="3:23" ht="15.75" hidden="1" thickBot="1" x14ac:dyDescent="0.3"/>
    <row r="341" spans="3:23" ht="15.75" hidden="1" thickBot="1" x14ac:dyDescent="0.3">
      <c r="C341" s="62">
        <f>IF(E341&gt;0,1,0)</f>
        <v>0</v>
      </c>
      <c r="D341" s="936" t="str">
        <f>+A37</f>
        <v>Oneida</v>
      </c>
      <c r="E341" s="938">
        <f>SUMIF(A:A,D341,B:B)</f>
        <v>0</v>
      </c>
      <c r="F341" s="940" t="s">
        <v>103</v>
      </c>
      <c r="G341" s="941"/>
      <c r="H341" s="942"/>
      <c r="I341" s="940" t="s">
        <v>102</v>
      </c>
      <c r="J341" s="941"/>
      <c r="K341" s="942"/>
      <c r="L341" s="940" t="s">
        <v>101</v>
      </c>
      <c r="M341" s="941"/>
      <c r="N341" s="942"/>
      <c r="O341" s="940" t="s">
        <v>100</v>
      </c>
      <c r="P341" s="941"/>
      <c r="Q341" s="942"/>
      <c r="R341" s="940" t="s">
        <v>99</v>
      </c>
      <c r="S341" s="941"/>
      <c r="T341" s="942"/>
      <c r="U341" s="940" t="s">
        <v>98</v>
      </c>
      <c r="V341" s="941"/>
      <c r="W341" s="943"/>
    </row>
    <row r="342" spans="3:23" ht="30.75" hidden="1" thickBot="1" x14ac:dyDescent="0.3">
      <c r="C342" s="62">
        <f>IF(E341&gt;0,1,0)</f>
        <v>0</v>
      </c>
      <c r="D342" s="937"/>
      <c r="E342" s="939"/>
      <c r="F342" s="88" t="s">
        <v>97</v>
      </c>
      <c r="G342" s="88" t="s">
        <v>96</v>
      </c>
      <c r="H342" s="88" t="s">
        <v>95</v>
      </c>
      <c r="I342" s="88" t="s">
        <v>97</v>
      </c>
      <c r="J342" s="88" t="s">
        <v>96</v>
      </c>
      <c r="K342" s="88" t="s">
        <v>95</v>
      </c>
      <c r="L342" s="88" t="s">
        <v>97</v>
      </c>
      <c r="M342" s="88" t="s">
        <v>96</v>
      </c>
      <c r="N342" s="88" t="s">
        <v>95</v>
      </c>
      <c r="O342" s="88" t="s">
        <v>97</v>
      </c>
      <c r="P342" s="88" t="s">
        <v>96</v>
      </c>
      <c r="Q342" s="88" t="s">
        <v>95</v>
      </c>
      <c r="R342" s="88" t="s">
        <v>97</v>
      </c>
      <c r="S342" s="88" t="s">
        <v>96</v>
      </c>
      <c r="T342" s="88" t="s">
        <v>95</v>
      </c>
      <c r="U342" s="88" t="s">
        <v>97</v>
      </c>
      <c r="V342" s="88" t="s">
        <v>96</v>
      </c>
      <c r="W342" s="87" t="s">
        <v>95</v>
      </c>
    </row>
    <row r="343" spans="3:23" ht="15.75" hidden="1" thickBot="1" x14ac:dyDescent="0.3">
      <c r="C343" s="62">
        <f>C342</f>
        <v>0</v>
      </c>
      <c r="D343" s="86"/>
      <c r="E343" s="85"/>
      <c r="F343" s="84" t="s">
        <v>57</v>
      </c>
      <c r="G343" s="84" t="s">
        <v>56</v>
      </c>
      <c r="H343" s="84" t="s">
        <v>55</v>
      </c>
      <c r="I343" s="84" t="s">
        <v>54</v>
      </c>
      <c r="J343" s="84" t="s">
        <v>53</v>
      </c>
      <c r="K343" s="84" t="s">
        <v>52</v>
      </c>
      <c r="L343" s="84" t="s">
        <v>51</v>
      </c>
      <c r="M343" s="84" t="s">
        <v>50</v>
      </c>
      <c r="N343" s="84" t="s">
        <v>49</v>
      </c>
      <c r="O343" s="84" t="s">
        <v>47</v>
      </c>
      <c r="P343" s="84" t="s">
        <v>77</v>
      </c>
      <c r="Q343" s="84" t="s">
        <v>78</v>
      </c>
      <c r="R343" s="84" t="s">
        <v>79</v>
      </c>
      <c r="S343" s="84" t="s">
        <v>81</v>
      </c>
      <c r="T343" s="84" t="s">
        <v>83</v>
      </c>
      <c r="U343" s="84" t="s">
        <v>85</v>
      </c>
      <c r="V343" s="84" t="s">
        <v>87</v>
      </c>
      <c r="W343" s="83" t="s">
        <v>88</v>
      </c>
    </row>
    <row r="344" spans="3:23" ht="15.75" hidden="1" thickBot="1" x14ac:dyDescent="0.3">
      <c r="C344" s="62">
        <f t="shared" ref="C344:C349" si="186">C343</f>
        <v>0</v>
      </c>
      <c r="D344" s="82" t="s">
        <v>26</v>
      </c>
      <c r="E344" s="80"/>
      <c r="F344" s="79"/>
      <c r="G344" s="79"/>
      <c r="H344" s="79"/>
      <c r="I344" s="79"/>
      <c r="J344" s="79"/>
      <c r="K344" s="79"/>
      <c r="L344" s="79"/>
      <c r="M344" s="79"/>
      <c r="N344" s="79"/>
      <c r="O344" s="79"/>
      <c r="P344" s="79"/>
      <c r="Q344" s="79"/>
      <c r="R344" s="79"/>
      <c r="S344" s="79"/>
      <c r="T344" s="79"/>
      <c r="U344" s="79"/>
      <c r="V344" s="79"/>
      <c r="W344" s="78"/>
    </row>
    <row r="345" spans="3:23" ht="15.75" hidden="1" thickBot="1" x14ac:dyDescent="0.3">
      <c r="C345" s="62">
        <f t="shared" si="186"/>
        <v>0</v>
      </c>
      <c r="D345" s="81" t="s">
        <v>94</v>
      </c>
      <c r="E345" s="80"/>
      <c r="F345" s="79"/>
      <c r="G345" s="79"/>
      <c r="H345" s="79"/>
      <c r="I345" s="79"/>
      <c r="J345" s="79"/>
      <c r="K345" s="79"/>
      <c r="L345" s="79"/>
      <c r="M345" s="79"/>
      <c r="N345" s="79"/>
      <c r="O345" s="79"/>
      <c r="P345" s="79"/>
      <c r="Q345" s="79"/>
      <c r="R345" s="79"/>
      <c r="S345" s="79"/>
      <c r="T345" s="79"/>
      <c r="U345" s="79"/>
      <c r="V345" s="79"/>
      <c r="W345" s="78"/>
    </row>
    <row r="346" spans="3:23" ht="15.75" hidden="1" thickBot="1" x14ac:dyDescent="0.3">
      <c r="C346" s="62">
        <f t="shared" si="186"/>
        <v>0</v>
      </c>
      <c r="D346" s="268" t="s">
        <v>93</v>
      </c>
      <c r="E346" s="76" t="s">
        <v>155</v>
      </c>
      <c r="F346" s="75">
        <f t="shared" ref="F346:T346" si="187">+F$8*$E341</f>
        <v>0</v>
      </c>
      <c r="G346" s="75">
        <f t="shared" si="187"/>
        <v>0</v>
      </c>
      <c r="H346" s="75">
        <f t="shared" si="187"/>
        <v>0</v>
      </c>
      <c r="I346" s="75">
        <f t="shared" si="187"/>
        <v>0</v>
      </c>
      <c r="J346" s="75">
        <f t="shared" si="187"/>
        <v>0</v>
      </c>
      <c r="K346" s="75">
        <f t="shared" si="187"/>
        <v>0</v>
      </c>
      <c r="L346" s="75">
        <f t="shared" si="187"/>
        <v>0</v>
      </c>
      <c r="M346" s="75">
        <f t="shared" ca="1" si="187"/>
        <v>0</v>
      </c>
      <c r="N346" s="75">
        <f t="shared" ca="1" si="187"/>
        <v>0</v>
      </c>
      <c r="O346" s="75">
        <f t="shared" si="187"/>
        <v>0</v>
      </c>
      <c r="P346" s="75">
        <f t="shared" si="187"/>
        <v>0</v>
      </c>
      <c r="Q346" s="75">
        <f t="shared" si="187"/>
        <v>0</v>
      </c>
      <c r="R346" s="75">
        <f t="shared" si="187"/>
        <v>0</v>
      </c>
      <c r="S346" s="75">
        <f t="shared" si="187"/>
        <v>0</v>
      </c>
      <c r="T346" s="75">
        <f t="shared" si="187"/>
        <v>0</v>
      </c>
      <c r="U346" s="73">
        <f t="shared" ref="U346:U348" si="188">+R346+O346+L346+I346+F346</f>
        <v>0</v>
      </c>
      <c r="V346" s="72">
        <f t="shared" ref="V346:V348" ca="1" si="189">+S346+P346+M346+J346+G346</f>
        <v>0</v>
      </c>
      <c r="W346" s="72">
        <f t="shared" ref="W346:W348" ca="1" si="190">+T346+Q346+N346+K346+H346</f>
        <v>0</v>
      </c>
    </row>
    <row r="347" spans="3:23" ht="15.75" hidden="1" thickBot="1" x14ac:dyDescent="0.3">
      <c r="C347" s="62">
        <f t="shared" si="186"/>
        <v>0</v>
      </c>
      <c r="D347" s="268" t="s">
        <v>92</v>
      </c>
      <c r="E347" s="76" t="s">
        <v>156</v>
      </c>
      <c r="F347" s="75">
        <f t="shared" ref="F347:T347" si="191">+F$9*$E341</f>
        <v>0</v>
      </c>
      <c r="G347" s="75">
        <f t="shared" si="191"/>
        <v>0</v>
      </c>
      <c r="H347" s="75">
        <f t="shared" si="191"/>
        <v>0</v>
      </c>
      <c r="I347" s="75">
        <f t="shared" si="191"/>
        <v>0</v>
      </c>
      <c r="J347" s="75">
        <f t="shared" si="191"/>
        <v>0</v>
      </c>
      <c r="K347" s="75">
        <f t="shared" si="191"/>
        <v>0</v>
      </c>
      <c r="L347" s="75">
        <f t="shared" si="191"/>
        <v>0</v>
      </c>
      <c r="M347" s="75">
        <f t="shared" si="191"/>
        <v>0</v>
      </c>
      <c r="N347" s="75">
        <f t="shared" si="191"/>
        <v>0</v>
      </c>
      <c r="O347" s="75">
        <f t="shared" si="191"/>
        <v>0</v>
      </c>
      <c r="P347" s="75">
        <f t="shared" si="191"/>
        <v>0</v>
      </c>
      <c r="Q347" s="75">
        <f t="shared" si="191"/>
        <v>0</v>
      </c>
      <c r="R347" s="75">
        <f t="shared" si="191"/>
        <v>0</v>
      </c>
      <c r="S347" s="75">
        <f t="shared" si="191"/>
        <v>0</v>
      </c>
      <c r="T347" s="75">
        <f t="shared" si="191"/>
        <v>0</v>
      </c>
      <c r="U347" s="73">
        <f t="shared" si="188"/>
        <v>0</v>
      </c>
      <c r="V347" s="72">
        <f t="shared" si="189"/>
        <v>0</v>
      </c>
      <c r="W347" s="72">
        <f t="shared" si="190"/>
        <v>0</v>
      </c>
    </row>
    <row r="348" spans="3:23" ht="15.75" hidden="1" thickBot="1" x14ac:dyDescent="0.3">
      <c r="C348" s="62">
        <f t="shared" si="186"/>
        <v>0</v>
      </c>
      <c r="D348" s="268" t="s">
        <v>91</v>
      </c>
      <c r="E348" s="76" t="s">
        <v>157</v>
      </c>
      <c r="F348" s="75">
        <f t="shared" ref="F348:T348" si="192">+F$10*$E341</f>
        <v>0</v>
      </c>
      <c r="G348" s="75">
        <f t="shared" si="192"/>
        <v>0</v>
      </c>
      <c r="H348" s="75">
        <f t="shared" si="192"/>
        <v>0</v>
      </c>
      <c r="I348" s="75">
        <f t="shared" si="192"/>
        <v>0</v>
      </c>
      <c r="J348" s="75">
        <f t="shared" si="192"/>
        <v>0</v>
      </c>
      <c r="K348" s="75">
        <f t="shared" si="192"/>
        <v>0</v>
      </c>
      <c r="L348" s="75">
        <f t="shared" si="192"/>
        <v>0</v>
      </c>
      <c r="M348" s="75">
        <f t="shared" ca="1" si="192"/>
        <v>0</v>
      </c>
      <c r="N348" s="75">
        <f t="shared" si="192"/>
        <v>0</v>
      </c>
      <c r="O348" s="75">
        <f t="shared" si="192"/>
        <v>0</v>
      </c>
      <c r="P348" s="75">
        <f t="shared" si="192"/>
        <v>0</v>
      </c>
      <c r="Q348" s="75">
        <f t="shared" si="192"/>
        <v>0</v>
      </c>
      <c r="R348" s="75">
        <f t="shared" si="192"/>
        <v>0</v>
      </c>
      <c r="S348" s="75">
        <f t="shared" si="192"/>
        <v>0</v>
      </c>
      <c r="T348" s="75">
        <f t="shared" si="192"/>
        <v>0</v>
      </c>
      <c r="U348" s="73">
        <f t="shared" si="188"/>
        <v>0</v>
      </c>
      <c r="V348" s="72">
        <f t="shared" ca="1" si="189"/>
        <v>0</v>
      </c>
      <c r="W348" s="72">
        <f t="shared" si="190"/>
        <v>0</v>
      </c>
    </row>
    <row r="349" spans="3:23" ht="15.75" hidden="1" thickBot="1" x14ac:dyDescent="0.3">
      <c r="C349" s="62">
        <f t="shared" si="186"/>
        <v>0</v>
      </c>
      <c r="D349" s="71" t="s">
        <v>48</v>
      </c>
      <c r="E349" s="70" t="s">
        <v>158</v>
      </c>
      <c r="F349" s="68">
        <f t="shared" ref="F349:W349" si="193">SUBTOTAL(9,F346:F348)</f>
        <v>0</v>
      </c>
      <c r="G349" s="68">
        <f t="shared" si="193"/>
        <v>0</v>
      </c>
      <c r="H349" s="68">
        <f t="shared" si="193"/>
        <v>0</v>
      </c>
      <c r="I349" s="69">
        <f t="shared" si="193"/>
        <v>0</v>
      </c>
      <c r="J349" s="68">
        <f t="shared" si="193"/>
        <v>0</v>
      </c>
      <c r="K349" s="68">
        <f t="shared" si="193"/>
        <v>0</v>
      </c>
      <c r="L349" s="69">
        <f t="shared" si="193"/>
        <v>0</v>
      </c>
      <c r="M349" s="68">
        <f t="shared" si="193"/>
        <v>0</v>
      </c>
      <c r="N349" s="68">
        <f t="shared" si="193"/>
        <v>0</v>
      </c>
      <c r="O349" s="69">
        <f t="shared" si="193"/>
        <v>0</v>
      </c>
      <c r="P349" s="68">
        <f t="shared" si="193"/>
        <v>0</v>
      </c>
      <c r="Q349" s="68">
        <f t="shared" si="193"/>
        <v>0</v>
      </c>
      <c r="R349" s="69">
        <f t="shared" si="193"/>
        <v>0</v>
      </c>
      <c r="S349" s="68">
        <f t="shared" si="193"/>
        <v>0</v>
      </c>
      <c r="T349" s="68">
        <f t="shared" si="193"/>
        <v>0</v>
      </c>
      <c r="U349" s="69">
        <f t="shared" si="193"/>
        <v>0</v>
      </c>
      <c r="V349" s="68">
        <f t="shared" si="193"/>
        <v>0</v>
      </c>
      <c r="W349" s="68">
        <f t="shared" si="193"/>
        <v>0</v>
      </c>
    </row>
    <row r="350" spans="3:23" ht="15.75" hidden="1" thickBot="1" x14ac:dyDescent="0.3"/>
    <row r="351" spans="3:23" ht="15.75" hidden="1" thickBot="1" x14ac:dyDescent="0.3">
      <c r="C351" s="62">
        <f>IF(E351&gt;0,1,0)</f>
        <v>0</v>
      </c>
      <c r="D351" s="936" t="str">
        <f>+A38</f>
        <v>Onondaga</v>
      </c>
      <c r="E351" s="938">
        <f>SUMIF(A:A,D351,B:B)</f>
        <v>0</v>
      </c>
      <c r="F351" s="940" t="s">
        <v>103</v>
      </c>
      <c r="G351" s="941"/>
      <c r="H351" s="942"/>
      <c r="I351" s="940" t="s">
        <v>102</v>
      </c>
      <c r="J351" s="941"/>
      <c r="K351" s="942"/>
      <c r="L351" s="940" t="s">
        <v>101</v>
      </c>
      <c r="M351" s="941"/>
      <c r="N351" s="942"/>
      <c r="O351" s="940" t="s">
        <v>100</v>
      </c>
      <c r="P351" s="941"/>
      <c r="Q351" s="942"/>
      <c r="R351" s="940" t="s">
        <v>99</v>
      </c>
      <c r="S351" s="941"/>
      <c r="T351" s="942"/>
      <c r="U351" s="940" t="s">
        <v>98</v>
      </c>
      <c r="V351" s="941"/>
      <c r="W351" s="943"/>
    </row>
    <row r="352" spans="3:23" ht="30.75" hidden="1" thickBot="1" x14ac:dyDescent="0.3">
      <c r="C352" s="62">
        <f>IF(E351&gt;0,1,0)</f>
        <v>0</v>
      </c>
      <c r="D352" s="937"/>
      <c r="E352" s="939"/>
      <c r="F352" s="88" t="s">
        <v>97</v>
      </c>
      <c r="G352" s="88" t="s">
        <v>96</v>
      </c>
      <c r="H352" s="88" t="s">
        <v>95</v>
      </c>
      <c r="I352" s="88" t="s">
        <v>97</v>
      </c>
      <c r="J352" s="88" t="s">
        <v>96</v>
      </c>
      <c r="K352" s="88" t="s">
        <v>95</v>
      </c>
      <c r="L352" s="88" t="s">
        <v>97</v>
      </c>
      <c r="M352" s="88" t="s">
        <v>96</v>
      </c>
      <c r="N352" s="88" t="s">
        <v>95</v>
      </c>
      <c r="O352" s="88" t="s">
        <v>97</v>
      </c>
      <c r="P352" s="88" t="s">
        <v>96</v>
      </c>
      <c r="Q352" s="88" t="s">
        <v>95</v>
      </c>
      <c r="R352" s="88" t="s">
        <v>97</v>
      </c>
      <c r="S352" s="88" t="s">
        <v>96</v>
      </c>
      <c r="T352" s="88" t="s">
        <v>95</v>
      </c>
      <c r="U352" s="88" t="s">
        <v>97</v>
      </c>
      <c r="V352" s="88" t="s">
        <v>96</v>
      </c>
      <c r="W352" s="87" t="s">
        <v>95</v>
      </c>
    </row>
    <row r="353" spans="3:23" ht="15.75" hidden="1" thickBot="1" x14ac:dyDescent="0.3">
      <c r="C353" s="62">
        <f>C352</f>
        <v>0</v>
      </c>
      <c r="D353" s="86"/>
      <c r="E353" s="85"/>
      <c r="F353" s="84" t="s">
        <v>57</v>
      </c>
      <c r="G353" s="84" t="s">
        <v>56</v>
      </c>
      <c r="H353" s="84" t="s">
        <v>55</v>
      </c>
      <c r="I353" s="84" t="s">
        <v>54</v>
      </c>
      <c r="J353" s="84" t="s">
        <v>53</v>
      </c>
      <c r="K353" s="84" t="s">
        <v>52</v>
      </c>
      <c r="L353" s="84" t="s">
        <v>51</v>
      </c>
      <c r="M353" s="84" t="s">
        <v>50</v>
      </c>
      <c r="N353" s="84" t="s">
        <v>49</v>
      </c>
      <c r="O353" s="84" t="s">
        <v>47</v>
      </c>
      <c r="P353" s="84" t="s">
        <v>77</v>
      </c>
      <c r="Q353" s="84" t="s">
        <v>78</v>
      </c>
      <c r="R353" s="84" t="s">
        <v>79</v>
      </c>
      <c r="S353" s="84" t="s">
        <v>81</v>
      </c>
      <c r="T353" s="84" t="s">
        <v>83</v>
      </c>
      <c r="U353" s="84" t="s">
        <v>85</v>
      </c>
      <c r="V353" s="84" t="s">
        <v>87</v>
      </c>
      <c r="W353" s="83" t="s">
        <v>88</v>
      </c>
    </row>
    <row r="354" spans="3:23" ht="15.75" hidden="1" thickBot="1" x14ac:dyDescent="0.3">
      <c r="C354" s="62">
        <f t="shared" ref="C354:C359" si="194">C353</f>
        <v>0</v>
      </c>
      <c r="D354" s="82" t="s">
        <v>26</v>
      </c>
      <c r="E354" s="80"/>
      <c r="F354" s="79"/>
      <c r="G354" s="79"/>
      <c r="H354" s="79"/>
      <c r="I354" s="79"/>
      <c r="J354" s="79"/>
      <c r="K354" s="79"/>
      <c r="L354" s="79"/>
      <c r="M354" s="79"/>
      <c r="N354" s="79"/>
      <c r="O354" s="79"/>
      <c r="P354" s="79"/>
      <c r="Q354" s="79"/>
      <c r="R354" s="79"/>
      <c r="S354" s="79"/>
      <c r="T354" s="79"/>
      <c r="U354" s="79"/>
      <c r="V354" s="79"/>
      <c r="W354" s="78"/>
    </row>
    <row r="355" spans="3:23" ht="15.75" hidden="1" thickBot="1" x14ac:dyDescent="0.3">
      <c r="C355" s="62">
        <f t="shared" si="194"/>
        <v>0</v>
      </c>
      <c r="D355" s="81" t="s">
        <v>94</v>
      </c>
      <c r="E355" s="80"/>
      <c r="F355" s="79"/>
      <c r="G355" s="79"/>
      <c r="H355" s="79"/>
      <c r="I355" s="79"/>
      <c r="J355" s="79"/>
      <c r="K355" s="79"/>
      <c r="L355" s="79"/>
      <c r="M355" s="79"/>
      <c r="N355" s="79"/>
      <c r="O355" s="79"/>
      <c r="P355" s="79"/>
      <c r="Q355" s="79"/>
      <c r="R355" s="79"/>
      <c r="S355" s="79"/>
      <c r="T355" s="79"/>
      <c r="U355" s="79"/>
      <c r="V355" s="79"/>
      <c r="W355" s="78"/>
    </row>
    <row r="356" spans="3:23" ht="15.75" hidden="1" thickBot="1" x14ac:dyDescent="0.3">
      <c r="C356" s="62">
        <f t="shared" si="194"/>
        <v>0</v>
      </c>
      <c r="D356" s="268" t="s">
        <v>93</v>
      </c>
      <c r="E356" s="76" t="s">
        <v>155</v>
      </c>
      <c r="F356" s="75">
        <f t="shared" ref="F356:T356" si="195">+F$8*$E351</f>
        <v>0</v>
      </c>
      <c r="G356" s="75">
        <f t="shared" si="195"/>
        <v>0</v>
      </c>
      <c r="H356" s="75">
        <f t="shared" si="195"/>
        <v>0</v>
      </c>
      <c r="I356" s="75">
        <f t="shared" si="195"/>
        <v>0</v>
      </c>
      <c r="J356" s="75">
        <f t="shared" si="195"/>
        <v>0</v>
      </c>
      <c r="K356" s="75">
        <f t="shared" si="195"/>
        <v>0</v>
      </c>
      <c r="L356" s="75">
        <f t="shared" si="195"/>
        <v>0</v>
      </c>
      <c r="M356" s="75">
        <f t="shared" ca="1" si="195"/>
        <v>0</v>
      </c>
      <c r="N356" s="75">
        <f t="shared" ca="1" si="195"/>
        <v>0</v>
      </c>
      <c r="O356" s="75">
        <f t="shared" si="195"/>
        <v>0</v>
      </c>
      <c r="P356" s="75">
        <f t="shared" si="195"/>
        <v>0</v>
      </c>
      <c r="Q356" s="75">
        <f t="shared" si="195"/>
        <v>0</v>
      </c>
      <c r="R356" s="75">
        <f t="shared" si="195"/>
        <v>0</v>
      </c>
      <c r="S356" s="75">
        <f t="shared" si="195"/>
        <v>0</v>
      </c>
      <c r="T356" s="75">
        <f t="shared" si="195"/>
        <v>0</v>
      </c>
      <c r="U356" s="73">
        <f t="shared" ref="U356:U358" si="196">+R356+O356+L356+I356+F356</f>
        <v>0</v>
      </c>
      <c r="V356" s="72">
        <f t="shared" ref="V356:V358" ca="1" si="197">+S356+P356+M356+J356+G356</f>
        <v>0</v>
      </c>
      <c r="W356" s="72">
        <f t="shared" ref="W356:W358" ca="1" si="198">+T356+Q356+N356+K356+H356</f>
        <v>0</v>
      </c>
    </row>
    <row r="357" spans="3:23" ht="15.75" hidden="1" thickBot="1" x14ac:dyDescent="0.3">
      <c r="C357" s="62">
        <f t="shared" si="194"/>
        <v>0</v>
      </c>
      <c r="D357" s="268" t="s">
        <v>92</v>
      </c>
      <c r="E357" s="76" t="s">
        <v>156</v>
      </c>
      <c r="F357" s="75">
        <f t="shared" ref="F357:T357" si="199">+F$9*$E351</f>
        <v>0</v>
      </c>
      <c r="G357" s="75">
        <f t="shared" si="199"/>
        <v>0</v>
      </c>
      <c r="H357" s="75">
        <f t="shared" si="199"/>
        <v>0</v>
      </c>
      <c r="I357" s="75">
        <f t="shared" si="199"/>
        <v>0</v>
      </c>
      <c r="J357" s="75">
        <f t="shared" si="199"/>
        <v>0</v>
      </c>
      <c r="K357" s="75">
        <f t="shared" si="199"/>
        <v>0</v>
      </c>
      <c r="L357" s="75">
        <f t="shared" si="199"/>
        <v>0</v>
      </c>
      <c r="M357" s="75">
        <f t="shared" si="199"/>
        <v>0</v>
      </c>
      <c r="N357" s="75">
        <f t="shared" si="199"/>
        <v>0</v>
      </c>
      <c r="O357" s="75">
        <f t="shared" si="199"/>
        <v>0</v>
      </c>
      <c r="P357" s="75">
        <f t="shared" si="199"/>
        <v>0</v>
      </c>
      <c r="Q357" s="75">
        <f t="shared" si="199"/>
        <v>0</v>
      </c>
      <c r="R357" s="75">
        <f t="shared" si="199"/>
        <v>0</v>
      </c>
      <c r="S357" s="75">
        <f t="shared" si="199"/>
        <v>0</v>
      </c>
      <c r="T357" s="75">
        <f t="shared" si="199"/>
        <v>0</v>
      </c>
      <c r="U357" s="73">
        <f t="shared" si="196"/>
        <v>0</v>
      </c>
      <c r="V357" s="72">
        <f t="shared" si="197"/>
        <v>0</v>
      </c>
      <c r="W357" s="72">
        <f t="shared" si="198"/>
        <v>0</v>
      </c>
    </row>
    <row r="358" spans="3:23" ht="15.75" hidden="1" thickBot="1" x14ac:dyDescent="0.3">
      <c r="C358" s="62">
        <f t="shared" si="194"/>
        <v>0</v>
      </c>
      <c r="D358" s="268" t="s">
        <v>91</v>
      </c>
      <c r="E358" s="76" t="s">
        <v>157</v>
      </c>
      <c r="F358" s="75">
        <f t="shared" ref="F358:T358" si="200">+F$10*$E351</f>
        <v>0</v>
      </c>
      <c r="G358" s="75">
        <f t="shared" si="200"/>
        <v>0</v>
      </c>
      <c r="H358" s="75">
        <f t="shared" si="200"/>
        <v>0</v>
      </c>
      <c r="I358" s="75">
        <f t="shared" si="200"/>
        <v>0</v>
      </c>
      <c r="J358" s="75">
        <f t="shared" si="200"/>
        <v>0</v>
      </c>
      <c r="K358" s="75">
        <f t="shared" si="200"/>
        <v>0</v>
      </c>
      <c r="L358" s="75">
        <f t="shared" si="200"/>
        <v>0</v>
      </c>
      <c r="M358" s="75">
        <f t="shared" ca="1" si="200"/>
        <v>0</v>
      </c>
      <c r="N358" s="75">
        <f t="shared" si="200"/>
        <v>0</v>
      </c>
      <c r="O358" s="75">
        <f t="shared" si="200"/>
        <v>0</v>
      </c>
      <c r="P358" s="75">
        <f t="shared" si="200"/>
        <v>0</v>
      </c>
      <c r="Q358" s="75">
        <f t="shared" si="200"/>
        <v>0</v>
      </c>
      <c r="R358" s="75">
        <f t="shared" si="200"/>
        <v>0</v>
      </c>
      <c r="S358" s="75">
        <f t="shared" si="200"/>
        <v>0</v>
      </c>
      <c r="T358" s="75">
        <f t="shared" si="200"/>
        <v>0</v>
      </c>
      <c r="U358" s="73">
        <f t="shared" si="196"/>
        <v>0</v>
      </c>
      <c r="V358" s="72">
        <f t="shared" ca="1" si="197"/>
        <v>0</v>
      </c>
      <c r="W358" s="72">
        <f t="shared" si="198"/>
        <v>0</v>
      </c>
    </row>
    <row r="359" spans="3:23" ht="15.75" hidden="1" thickBot="1" x14ac:dyDescent="0.3">
      <c r="C359" s="62">
        <f t="shared" si="194"/>
        <v>0</v>
      </c>
      <c r="D359" s="71" t="s">
        <v>48</v>
      </c>
      <c r="E359" s="70" t="s">
        <v>158</v>
      </c>
      <c r="F359" s="68">
        <f t="shared" ref="F359:W359" si="201">SUBTOTAL(9,F356:F358)</f>
        <v>0</v>
      </c>
      <c r="G359" s="68">
        <f t="shared" si="201"/>
        <v>0</v>
      </c>
      <c r="H359" s="68">
        <f t="shared" si="201"/>
        <v>0</v>
      </c>
      <c r="I359" s="69">
        <f t="shared" si="201"/>
        <v>0</v>
      </c>
      <c r="J359" s="68">
        <f t="shared" si="201"/>
        <v>0</v>
      </c>
      <c r="K359" s="68">
        <f t="shared" si="201"/>
        <v>0</v>
      </c>
      <c r="L359" s="69">
        <f t="shared" si="201"/>
        <v>0</v>
      </c>
      <c r="M359" s="68">
        <f t="shared" si="201"/>
        <v>0</v>
      </c>
      <c r="N359" s="68">
        <f t="shared" si="201"/>
        <v>0</v>
      </c>
      <c r="O359" s="69">
        <f t="shared" si="201"/>
        <v>0</v>
      </c>
      <c r="P359" s="68">
        <f t="shared" si="201"/>
        <v>0</v>
      </c>
      <c r="Q359" s="68">
        <f t="shared" si="201"/>
        <v>0</v>
      </c>
      <c r="R359" s="69">
        <f t="shared" si="201"/>
        <v>0</v>
      </c>
      <c r="S359" s="68">
        <f t="shared" si="201"/>
        <v>0</v>
      </c>
      <c r="T359" s="68">
        <f t="shared" si="201"/>
        <v>0</v>
      </c>
      <c r="U359" s="69">
        <f t="shared" si="201"/>
        <v>0</v>
      </c>
      <c r="V359" s="68">
        <f t="shared" si="201"/>
        <v>0</v>
      </c>
      <c r="W359" s="68">
        <f t="shared" si="201"/>
        <v>0</v>
      </c>
    </row>
    <row r="360" spans="3:23" ht="15.75" hidden="1" thickBot="1" x14ac:dyDescent="0.3"/>
    <row r="361" spans="3:23" ht="15.75" hidden="1" thickBot="1" x14ac:dyDescent="0.3">
      <c r="C361" s="62">
        <f>IF(E361&gt;0,1,0)</f>
        <v>0</v>
      </c>
      <c r="D361" s="936" t="str">
        <f>+A39</f>
        <v>Ontario</v>
      </c>
      <c r="E361" s="938">
        <f>SUMIF(A:A,D361,B:B)</f>
        <v>0</v>
      </c>
      <c r="F361" s="940" t="s">
        <v>103</v>
      </c>
      <c r="G361" s="941"/>
      <c r="H361" s="942"/>
      <c r="I361" s="940" t="s">
        <v>102</v>
      </c>
      <c r="J361" s="941"/>
      <c r="K361" s="942"/>
      <c r="L361" s="940" t="s">
        <v>101</v>
      </c>
      <c r="M361" s="941"/>
      <c r="N361" s="942"/>
      <c r="O361" s="940" t="s">
        <v>100</v>
      </c>
      <c r="P361" s="941"/>
      <c r="Q361" s="942"/>
      <c r="R361" s="940" t="s">
        <v>99</v>
      </c>
      <c r="S361" s="941"/>
      <c r="T361" s="942"/>
      <c r="U361" s="940" t="s">
        <v>98</v>
      </c>
      <c r="V361" s="941"/>
      <c r="W361" s="943"/>
    </row>
    <row r="362" spans="3:23" ht="30.75" hidden="1" thickBot="1" x14ac:dyDescent="0.3">
      <c r="C362" s="62">
        <f>IF(E361&gt;0,1,0)</f>
        <v>0</v>
      </c>
      <c r="D362" s="937"/>
      <c r="E362" s="939"/>
      <c r="F362" s="88" t="s">
        <v>97</v>
      </c>
      <c r="G362" s="88" t="s">
        <v>96</v>
      </c>
      <c r="H362" s="88" t="s">
        <v>95</v>
      </c>
      <c r="I362" s="88" t="s">
        <v>97</v>
      </c>
      <c r="J362" s="88" t="s">
        <v>96</v>
      </c>
      <c r="K362" s="88" t="s">
        <v>95</v>
      </c>
      <c r="L362" s="88" t="s">
        <v>97</v>
      </c>
      <c r="M362" s="88" t="s">
        <v>96</v>
      </c>
      <c r="N362" s="88" t="s">
        <v>95</v>
      </c>
      <c r="O362" s="88" t="s">
        <v>97</v>
      </c>
      <c r="P362" s="88" t="s">
        <v>96</v>
      </c>
      <c r="Q362" s="88" t="s">
        <v>95</v>
      </c>
      <c r="R362" s="88" t="s">
        <v>97</v>
      </c>
      <c r="S362" s="88" t="s">
        <v>96</v>
      </c>
      <c r="T362" s="88" t="s">
        <v>95</v>
      </c>
      <c r="U362" s="88" t="s">
        <v>97</v>
      </c>
      <c r="V362" s="88" t="s">
        <v>96</v>
      </c>
      <c r="W362" s="87" t="s">
        <v>95</v>
      </c>
    </row>
    <row r="363" spans="3:23" ht="15.75" hidden="1" thickBot="1" x14ac:dyDescent="0.3">
      <c r="C363" s="62">
        <f>C362</f>
        <v>0</v>
      </c>
      <c r="D363" s="86"/>
      <c r="E363" s="85"/>
      <c r="F363" s="84" t="s">
        <v>57</v>
      </c>
      <c r="G363" s="84" t="s">
        <v>56</v>
      </c>
      <c r="H363" s="84" t="s">
        <v>55</v>
      </c>
      <c r="I363" s="84" t="s">
        <v>54</v>
      </c>
      <c r="J363" s="84" t="s">
        <v>53</v>
      </c>
      <c r="K363" s="84" t="s">
        <v>52</v>
      </c>
      <c r="L363" s="84" t="s">
        <v>51</v>
      </c>
      <c r="M363" s="84" t="s">
        <v>50</v>
      </c>
      <c r="N363" s="84" t="s">
        <v>49</v>
      </c>
      <c r="O363" s="84" t="s">
        <v>47</v>
      </c>
      <c r="P363" s="84" t="s">
        <v>77</v>
      </c>
      <c r="Q363" s="84" t="s">
        <v>78</v>
      </c>
      <c r="R363" s="84" t="s">
        <v>79</v>
      </c>
      <c r="S363" s="84" t="s">
        <v>81</v>
      </c>
      <c r="T363" s="84" t="s">
        <v>83</v>
      </c>
      <c r="U363" s="84" t="s">
        <v>85</v>
      </c>
      <c r="V363" s="84" t="s">
        <v>87</v>
      </c>
      <c r="W363" s="83" t="s">
        <v>88</v>
      </c>
    </row>
    <row r="364" spans="3:23" ht="15.75" hidden="1" thickBot="1" x14ac:dyDescent="0.3">
      <c r="C364" s="62">
        <f t="shared" ref="C364:C369" si="202">C363</f>
        <v>0</v>
      </c>
      <c r="D364" s="82" t="s">
        <v>26</v>
      </c>
      <c r="E364" s="80"/>
      <c r="F364" s="79"/>
      <c r="G364" s="79"/>
      <c r="H364" s="79"/>
      <c r="I364" s="79"/>
      <c r="J364" s="79"/>
      <c r="K364" s="79"/>
      <c r="L364" s="79"/>
      <c r="M364" s="79"/>
      <c r="N364" s="79"/>
      <c r="O364" s="79"/>
      <c r="P364" s="79"/>
      <c r="Q364" s="79"/>
      <c r="R364" s="79"/>
      <c r="S364" s="79"/>
      <c r="T364" s="79"/>
      <c r="U364" s="79"/>
      <c r="V364" s="79"/>
      <c r="W364" s="78"/>
    </row>
    <row r="365" spans="3:23" ht="15.75" hidden="1" thickBot="1" x14ac:dyDescent="0.3">
      <c r="C365" s="62">
        <f t="shared" si="202"/>
        <v>0</v>
      </c>
      <c r="D365" s="81" t="s">
        <v>94</v>
      </c>
      <c r="E365" s="80"/>
      <c r="F365" s="79"/>
      <c r="G365" s="79"/>
      <c r="H365" s="79"/>
      <c r="I365" s="79"/>
      <c r="J365" s="79"/>
      <c r="K365" s="79"/>
      <c r="L365" s="79"/>
      <c r="M365" s="79"/>
      <c r="N365" s="79"/>
      <c r="O365" s="79"/>
      <c r="P365" s="79"/>
      <c r="Q365" s="79"/>
      <c r="R365" s="79"/>
      <c r="S365" s="79"/>
      <c r="T365" s="79"/>
      <c r="U365" s="79"/>
      <c r="V365" s="79"/>
      <c r="W365" s="78"/>
    </row>
    <row r="366" spans="3:23" ht="15.75" hidden="1" thickBot="1" x14ac:dyDescent="0.3">
      <c r="C366" s="62">
        <f t="shared" si="202"/>
        <v>0</v>
      </c>
      <c r="D366" s="268" t="s">
        <v>93</v>
      </c>
      <c r="E366" s="76" t="s">
        <v>155</v>
      </c>
      <c r="F366" s="75">
        <f t="shared" ref="F366:T366" si="203">+F$8*$E361</f>
        <v>0</v>
      </c>
      <c r="G366" s="75">
        <f t="shared" si="203"/>
        <v>0</v>
      </c>
      <c r="H366" s="75">
        <f t="shared" si="203"/>
        <v>0</v>
      </c>
      <c r="I366" s="75">
        <f t="shared" si="203"/>
        <v>0</v>
      </c>
      <c r="J366" s="75">
        <f t="shared" si="203"/>
        <v>0</v>
      </c>
      <c r="K366" s="75">
        <f t="shared" si="203"/>
        <v>0</v>
      </c>
      <c r="L366" s="75">
        <f t="shared" si="203"/>
        <v>0</v>
      </c>
      <c r="M366" s="75">
        <f t="shared" ca="1" si="203"/>
        <v>0</v>
      </c>
      <c r="N366" s="75">
        <f t="shared" ca="1" si="203"/>
        <v>0</v>
      </c>
      <c r="O366" s="75">
        <f t="shared" si="203"/>
        <v>0</v>
      </c>
      <c r="P366" s="75">
        <f t="shared" si="203"/>
        <v>0</v>
      </c>
      <c r="Q366" s="75">
        <f t="shared" si="203"/>
        <v>0</v>
      </c>
      <c r="R366" s="75">
        <f t="shared" si="203"/>
        <v>0</v>
      </c>
      <c r="S366" s="75">
        <f t="shared" si="203"/>
        <v>0</v>
      </c>
      <c r="T366" s="75">
        <f t="shared" si="203"/>
        <v>0</v>
      </c>
      <c r="U366" s="73">
        <f t="shared" ref="U366:U368" si="204">+R366+O366+L366+I366+F366</f>
        <v>0</v>
      </c>
      <c r="V366" s="72">
        <f t="shared" ref="V366:V368" ca="1" si="205">+S366+P366+M366+J366+G366</f>
        <v>0</v>
      </c>
      <c r="W366" s="72">
        <f t="shared" ref="W366:W368" ca="1" si="206">+T366+Q366+N366+K366+H366</f>
        <v>0</v>
      </c>
    </row>
    <row r="367" spans="3:23" ht="15.75" hidden="1" thickBot="1" x14ac:dyDescent="0.3">
      <c r="C367" s="62">
        <f t="shared" si="202"/>
        <v>0</v>
      </c>
      <c r="D367" s="268" t="s">
        <v>92</v>
      </c>
      <c r="E367" s="76" t="s">
        <v>156</v>
      </c>
      <c r="F367" s="75">
        <f t="shared" ref="F367:T367" si="207">+F$9*$E361</f>
        <v>0</v>
      </c>
      <c r="G367" s="75">
        <f t="shared" si="207"/>
        <v>0</v>
      </c>
      <c r="H367" s="75">
        <f t="shared" si="207"/>
        <v>0</v>
      </c>
      <c r="I367" s="75">
        <f t="shared" si="207"/>
        <v>0</v>
      </c>
      <c r="J367" s="75">
        <f t="shared" si="207"/>
        <v>0</v>
      </c>
      <c r="K367" s="75">
        <f t="shared" si="207"/>
        <v>0</v>
      </c>
      <c r="L367" s="75">
        <f t="shared" si="207"/>
        <v>0</v>
      </c>
      <c r="M367" s="75">
        <f t="shared" si="207"/>
        <v>0</v>
      </c>
      <c r="N367" s="75">
        <f t="shared" si="207"/>
        <v>0</v>
      </c>
      <c r="O367" s="75">
        <f t="shared" si="207"/>
        <v>0</v>
      </c>
      <c r="P367" s="75">
        <f t="shared" si="207"/>
        <v>0</v>
      </c>
      <c r="Q367" s="75">
        <f t="shared" si="207"/>
        <v>0</v>
      </c>
      <c r="R367" s="75">
        <f t="shared" si="207"/>
        <v>0</v>
      </c>
      <c r="S367" s="75">
        <f t="shared" si="207"/>
        <v>0</v>
      </c>
      <c r="T367" s="75">
        <f t="shared" si="207"/>
        <v>0</v>
      </c>
      <c r="U367" s="73">
        <f t="shared" si="204"/>
        <v>0</v>
      </c>
      <c r="V367" s="72">
        <f t="shared" si="205"/>
        <v>0</v>
      </c>
      <c r="W367" s="72">
        <f t="shared" si="206"/>
        <v>0</v>
      </c>
    </row>
    <row r="368" spans="3:23" ht="15.75" hidden="1" thickBot="1" x14ac:dyDescent="0.3">
      <c r="C368" s="62">
        <f t="shared" si="202"/>
        <v>0</v>
      </c>
      <c r="D368" s="268" t="s">
        <v>91</v>
      </c>
      <c r="E368" s="76" t="s">
        <v>157</v>
      </c>
      <c r="F368" s="75">
        <f t="shared" ref="F368:T368" si="208">+F$10*$E361</f>
        <v>0</v>
      </c>
      <c r="G368" s="75">
        <f t="shared" si="208"/>
        <v>0</v>
      </c>
      <c r="H368" s="75">
        <f t="shared" si="208"/>
        <v>0</v>
      </c>
      <c r="I368" s="75">
        <f t="shared" si="208"/>
        <v>0</v>
      </c>
      <c r="J368" s="75">
        <f t="shared" si="208"/>
        <v>0</v>
      </c>
      <c r="K368" s="75">
        <f t="shared" si="208"/>
        <v>0</v>
      </c>
      <c r="L368" s="75">
        <f t="shared" si="208"/>
        <v>0</v>
      </c>
      <c r="M368" s="75">
        <f t="shared" ca="1" si="208"/>
        <v>0</v>
      </c>
      <c r="N368" s="75">
        <f t="shared" si="208"/>
        <v>0</v>
      </c>
      <c r="O368" s="75">
        <f t="shared" si="208"/>
        <v>0</v>
      </c>
      <c r="P368" s="75">
        <f t="shared" si="208"/>
        <v>0</v>
      </c>
      <c r="Q368" s="75">
        <f t="shared" si="208"/>
        <v>0</v>
      </c>
      <c r="R368" s="75">
        <f t="shared" si="208"/>
        <v>0</v>
      </c>
      <c r="S368" s="75">
        <f t="shared" si="208"/>
        <v>0</v>
      </c>
      <c r="T368" s="75">
        <f t="shared" si="208"/>
        <v>0</v>
      </c>
      <c r="U368" s="73">
        <f t="shared" si="204"/>
        <v>0</v>
      </c>
      <c r="V368" s="72">
        <f t="shared" ca="1" si="205"/>
        <v>0</v>
      </c>
      <c r="W368" s="72">
        <f t="shared" si="206"/>
        <v>0</v>
      </c>
    </row>
    <row r="369" spans="3:23" ht="15.75" hidden="1" thickBot="1" x14ac:dyDescent="0.3">
      <c r="C369" s="62">
        <f t="shared" si="202"/>
        <v>0</v>
      </c>
      <c r="D369" s="71" t="s">
        <v>48</v>
      </c>
      <c r="E369" s="70" t="s">
        <v>158</v>
      </c>
      <c r="F369" s="68">
        <f t="shared" ref="F369:W369" si="209">SUBTOTAL(9,F366:F368)</f>
        <v>0</v>
      </c>
      <c r="G369" s="68">
        <f t="shared" si="209"/>
        <v>0</v>
      </c>
      <c r="H369" s="68">
        <f t="shared" si="209"/>
        <v>0</v>
      </c>
      <c r="I369" s="69">
        <f t="shared" si="209"/>
        <v>0</v>
      </c>
      <c r="J369" s="68">
        <f t="shared" si="209"/>
        <v>0</v>
      </c>
      <c r="K369" s="68">
        <f t="shared" si="209"/>
        <v>0</v>
      </c>
      <c r="L369" s="69">
        <f t="shared" si="209"/>
        <v>0</v>
      </c>
      <c r="M369" s="68">
        <f t="shared" si="209"/>
        <v>0</v>
      </c>
      <c r="N369" s="68">
        <f t="shared" si="209"/>
        <v>0</v>
      </c>
      <c r="O369" s="69">
        <f t="shared" si="209"/>
        <v>0</v>
      </c>
      <c r="P369" s="68">
        <f t="shared" si="209"/>
        <v>0</v>
      </c>
      <c r="Q369" s="68">
        <f t="shared" si="209"/>
        <v>0</v>
      </c>
      <c r="R369" s="69">
        <f t="shared" si="209"/>
        <v>0</v>
      </c>
      <c r="S369" s="68">
        <f t="shared" si="209"/>
        <v>0</v>
      </c>
      <c r="T369" s="68">
        <f t="shared" si="209"/>
        <v>0</v>
      </c>
      <c r="U369" s="69">
        <f t="shared" si="209"/>
        <v>0</v>
      </c>
      <c r="V369" s="68">
        <f t="shared" si="209"/>
        <v>0</v>
      </c>
      <c r="W369" s="68">
        <f t="shared" si="209"/>
        <v>0</v>
      </c>
    </row>
    <row r="370" spans="3:23" ht="15.75" hidden="1" thickBot="1" x14ac:dyDescent="0.3"/>
    <row r="371" spans="3:23" x14ac:dyDescent="0.25">
      <c r="C371" s="62">
        <f>IF(E371&gt;0,1,0)</f>
        <v>1</v>
      </c>
      <c r="D371" s="936" t="str">
        <f>+A40</f>
        <v>Orange</v>
      </c>
      <c r="E371" s="938">
        <f>SUMIF(A:A,D371,B:B)</f>
        <v>1.886556675621223E-6</v>
      </c>
      <c r="F371" s="940" t="s">
        <v>103</v>
      </c>
      <c r="G371" s="941"/>
      <c r="H371" s="942"/>
      <c r="I371" s="940" t="s">
        <v>102</v>
      </c>
      <c r="J371" s="941"/>
      <c r="K371" s="942"/>
      <c r="L371" s="940" t="s">
        <v>101</v>
      </c>
      <c r="M371" s="941"/>
      <c r="N371" s="942"/>
      <c r="O371" s="940" t="s">
        <v>100</v>
      </c>
      <c r="P371" s="941"/>
      <c r="Q371" s="942"/>
      <c r="R371" s="940" t="s">
        <v>99</v>
      </c>
      <c r="S371" s="941"/>
      <c r="T371" s="942"/>
      <c r="U371" s="940" t="s">
        <v>98</v>
      </c>
      <c r="V371" s="941"/>
      <c r="W371" s="943"/>
    </row>
    <row r="372" spans="3:23" ht="30" x14ac:dyDescent="0.25">
      <c r="C372" s="62">
        <f>IF(E371&gt;0,1,0)</f>
        <v>1</v>
      </c>
      <c r="D372" s="937"/>
      <c r="E372" s="939"/>
      <c r="F372" s="88" t="s">
        <v>97</v>
      </c>
      <c r="G372" s="88" t="s">
        <v>96</v>
      </c>
      <c r="H372" s="88" t="s">
        <v>95</v>
      </c>
      <c r="I372" s="88" t="s">
        <v>97</v>
      </c>
      <c r="J372" s="88" t="s">
        <v>96</v>
      </c>
      <c r="K372" s="88" t="s">
        <v>95</v>
      </c>
      <c r="L372" s="88" t="s">
        <v>97</v>
      </c>
      <c r="M372" s="88" t="s">
        <v>96</v>
      </c>
      <c r="N372" s="88" t="s">
        <v>95</v>
      </c>
      <c r="O372" s="88" t="s">
        <v>97</v>
      </c>
      <c r="P372" s="88" t="s">
        <v>96</v>
      </c>
      <c r="Q372" s="88" t="s">
        <v>95</v>
      </c>
      <c r="R372" s="88" t="s">
        <v>97</v>
      </c>
      <c r="S372" s="88" t="s">
        <v>96</v>
      </c>
      <c r="T372" s="88" t="s">
        <v>95</v>
      </c>
      <c r="U372" s="88" t="s">
        <v>97</v>
      </c>
      <c r="V372" s="88" t="s">
        <v>96</v>
      </c>
      <c r="W372" s="87" t="s">
        <v>95</v>
      </c>
    </row>
    <row r="373" spans="3:23" x14ac:dyDescent="0.25">
      <c r="C373" s="62">
        <f>C372</f>
        <v>1</v>
      </c>
      <c r="D373" s="86"/>
      <c r="E373" s="85"/>
      <c r="F373" s="84" t="s">
        <v>57</v>
      </c>
      <c r="G373" s="84" t="s">
        <v>56</v>
      </c>
      <c r="H373" s="84" t="s">
        <v>55</v>
      </c>
      <c r="I373" s="84" t="s">
        <v>54</v>
      </c>
      <c r="J373" s="84" t="s">
        <v>53</v>
      </c>
      <c r="K373" s="84" t="s">
        <v>52</v>
      </c>
      <c r="L373" s="84" t="s">
        <v>51</v>
      </c>
      <c r="M373" s="84" t="s">
        <v>50</v>
      </c>
      <c r="N373" s="84" t="s">
        <v>49</v>
      </c>
      <c r="O373" s="84" t="s">
        <v>47</v>
      </c>
      <c r="P373" s="84" t="s">
        <v>77</v>
      </c>
      <c r="Q373" s="84" t="s">
        <v>78</v>
      </c>
      <c r="R373" s="84" t="s">
        <v>79</v>
      </c>
      <c r="S373" s="84" t="s">
        <v>81</v>
      </c>
      <c r="T373" s="84" t="s">
        <v>83</v>
      </c>
      <c r="U373" s="84" t="s">
        <v>85</v>
      </c>
      <c r="V373" s="84" t="s">
        <v>87</v>
      </c>
      <c r="W373" s="83" t="s">
        <v>88</v>
      </c>
    </row>
    <row r="374" spans="3:23" x14ac:dyDescent="0.25">
      <c r="C374" s="62">
        <f t="shared" ref="C374:C379" si="210">C373</f>
        <v>1</v>
      </c>
      <c r="D374" s="82" t="s">
        <v>26</v>
      </c>
      <c r="E374" s="80"/>
      <c r="F374" s="79"/>
      <c r="G374" s="79"/>
      <c r="H374" s="79"/>
      <c r="I374" s="79"/>
      <c r="J374" s="79"/>
      <c r="K374" s="79"/>
      <c r="L374" s="79"/>
      <c r="M374" s="79"/>
      <c r="N374" s="79"/>
      <c r="O374" s="79"/>
      <c r="P374" s="79"/>
      <c r="Q374" s="79"/>
      <c r="R374" s="79"/>
      <c r="S374" s="79"/>
      <c r="T374" s="79"/>
      <c r="U374" s="79"/>
      <c r="V374" s="79"/>
      <c r="W374" s="78"/>
    </row>
    <row r="375" spans="3:23" x14ac:dyDescent="0.25">
      <c r="C375" s="62">
        <f t="shared" si="210"/>
        <v>1</v>
      </c>
      <c r="D375" s="81" t="s">
        <v>94</v>
      </c>
      <c r="E375" s="80"/>
      <c r="F375" s="79"/>
      <c r="G375" s="79"/>
      <c r="H375" s="79"/>
      <c r="I375" s="79"/>
      <c r="J375" s="79"/>
      <c r="K375" s="79"/>
      <c r="L375" s="79"/>
      <c r="M375" s="79"/>
      <c r="N375" s="79"/>
      <c r="O375" s="79"/>
      <c r="P375" s="79"/>
      <c r="Q375" s="79"/>
      <c r="R375" s="79"/>
      <c r="S375" s="79"/>
      <c r="T375" s="79"/>
      <c r="U375" s="79"/>
      <c r="V375" s="79"/>
      <c r="W375" s="78"/>
    </row>
    <row r="376" spans="3:23" x14ac:dyDescent="0.25">
      <c r="C376" s="62">
        <f t="shared" si="210"/>
        <v>1</v>
      </c>
      <c r="D376" s="268" t="s">
        <v>93</v>
      </c>
      <c r="E376" s="76" t="s">
        <v>155</v>
      </c>
      <c r="F376" s="75">
        <f t="shared" ref="F376:T376" si="211">+F$8*$E371</f>
        <v>0</v>
      </c>
      <c r="G376" s="75">
        <f t="shared" si="211"/>
        <v>0</v>
      </c>
      <c r="H376" s="75">
        <f t="shared" si="211"/>
        <v>0</v>
      </c>
      <c r="I376" s="75">
        <f t="shared" si="211"/>
        <v>0</v>
      </c>
      <c r="J376" s="75">
        <f t="shared" si="211"/>
        <v>0</v>
      </c>
      <c r="K376" s="75">
        <f t="shared" si="211"/>
        <v>0</v>
      </c>
      <c r="L376" s="75">
        <f t="shared" si="211"/>
        <v>6.5781035651443203E-3</v>
      </c>
      <c r="M376" s="75">
        <f t="shared" ca="1" si="211"/>
        <v>266.43076587463327</v>
      </c>
      <c r="N376" s="75">
        <f t="shared" ca="1" si="211"/>
        <v>6.3343312194533761</v>
      </c>
      <c r="O376" s="75">
        <f t="shared" si="211"/>
        <v>0</v>
      </c>
      <c r="P376" s="75">
        <f t="shared" si="211"/>
        <v>0</v>
      </c>
      <c r="Q376" s="75">
        <f t="shared" si="211"/>
        <v>0</v>
      </c>
      <c r="R376" s="75">
        <f t="shared" si="211"/>
        <v>0</v>
      </c>
      <c r="S376" s="75">
        <f t="shared" si="211"/>
        <v>0</v>
      </c>
      <c r="T376" s="75">
        <f t="shared" si="211"/>
        <v>0</v>
      </c>
      <c r="U376" s="73">
        <f t="shared" ref="U376:U378" si="212">+R376+O376+L376+I376+F376</f>
        <v>6.5781035651443203E-3</v>
      </c>
      <c r="V376" s="72">
        <f t="shared" ref="V376:V378" ca="1" si="213">+S376+P376+M376+J376+G376</f>
        <v>266.43076587463327</v>
      </c>
      <c r="W376" s="72">
        <f t="shared" ref="W376:W378" ca="1" si="214">+T376+Q376+N376+K376+H376</f>
        <v>6.3343312194533761</v>
      </c>
    </row>
    <row r="377" spans="3:23" x14ac:dyDescent="0.25">
      <c r="C377" s="62">
        <f t="shared" si="210"/>
        <v>1</v>
      </c>
      <c r="D377" s="268" t="s">
        <v>92</v>
      </c>
      <c r="E377" s="76" t="s">
        <v>156</v>
      </c>
      <c r="F377" s="75">
        <f t="shared" ref="F377:T377" si="215">+F$9*$E371</f>
        <v>0</v>
      </c>
      <c r="G377" s="75">
        <f t="shared" si="215"/>
        <v>0</v>
      </c>
      <c r="H377" s="75">
        <f t="shared" si="215"/>
        <v>0</v>
      </c>
      <c r="I377" s="75">
        <f t="shared" si="215"/>
        <v>0</v>
      </c>
      <c r="J377" s="75">
        <f t="shared" si="215"/>
        <v>0</v>
      </c>
      <c r="K377" s="75">
        <f t="shared" si="215"/>
        <v>0</v>
      </c>
      <c r="L377" s="75">
        <f t="shared" si="215"/>
        <v>0</v>
      </c>
      <c r="M377" s="75">
        <f t="shared" si="215"/>
        <v>0</v>
      </c>
      <c r="N377" s="75">
        <f t="shared" si="215"/>
        <v>0</v>
      </c>
      <c r="O377" s="75">
        <f t="shared" si="215"/>
        <v>0</v>
      </c>
      <c r="P377" s="75">
        <f t="shared" si="215"/>
        <v>0</v>
      </c>
      <c r="Q377" s="75">
        <f t="shared" si="215"/>
        <v>0</v>
      </c>
      <c r="R377" s="75">
        <f t="shared" si="215"/>
        <v>0</v>
      </c>
      <c r="S377" s="75">
        <f t="shared" si="215"/>
        <v>0</v>
      </c>
      <c r="T377" s="75">
        <f t="shared" si="215"/>
        <v>0</v>
      </c>
      <c r="U377" s="73">
        <f t="shared" si="212"/>
        <v>0</v>
      </c>
      <c r="V377" s="72">
        <f t="shared" si="213"/>
        <v>0</v>
      </c>
      <c r="W377" s="72">
        <f t="shared" si="214"/>
        <v>0</v>
      </c>
    </row>
    <row r="378" spans="3:23" x14ac:dyDescent="0.25">
      <c r="C378" s="62">
        <f t="shared" si="210"/>
        <v>1</v>
      </c>
      <c r="D378" s="268" t="s">
        <v>91</v>
      </c>
      <c r="E378" s="76" t="s">
        <v>157</v>
      </c>
      <c r="F378" s="75">
        <f t="shared" ref="F378:T378" si="216">+F$10*$E371</f>
        <v>0</v>
      </c>
      <c r="G378" s="75">
        <f t="shared" si="216"/>
        <v>0</v>
      </c>
      <c r="H378" s="75">
        <f t="shared" si="216"/>
        <v>0</v>
      </c>
      <c r="I378" s="75">
        <f t="shared" si="216"/>
        <v>0</v>
      </c>
      <c r="J378" s="75">
        <f t="shared" si="216"/>
        <v>0</v>
      </c>
      <c r="K378" s="75">
        <f t="shared" si="216"/>
        <v>0</v>
      </c>
      <c r="L378" s="75">
        <f t="shared" si="216"/>
        <v>8.2208067637797398E-6</v>
      </c>
      <c r="M378" s="75">
        <f t="shared" ca="1" si="216"/>
        <v>2.218751007847986</v>
      </c>
      <c r="N378" s="75">
        <f t="shared" si="216"/>
        <v>0</v>
      </c>
      <c r="O378" s="75">
        <f t="shared" si="216"/>
        <v>0</v>
      </c>
      <c r="P378" s="75">
        <f t="shared" si="216"/>
        <v>0</v>
      </c>
      <c r="Q378" s="75">
        <f t="shared" si="216"/>
        <v>0</v>
      </c>
      <c r="R378" s="75">
        <f t="shared" si="216"/>
        <v>0</v>
      </c>
      <c r="S378" s="75">
        <f t="shared" si="216"/>
        <v>0</v>
      </c>
      <c r="T378" s="75">
        <f t="shared" si="216"/>
        <v>0</v>
      </c>
      <c r="U378" s="73">
        <f t="shared" si="212"/>
        <v>8.2208067637797398E-6</v>
      </c>
      <c r="V378" s="72">
        <f t="shared" ca="1" si="213"/>
        <v>2.218751007847986</v>
      </c>
      <c r="W378" s="72">
        <f t="shared" si="214"/>
        <v>0</v>
      </c>
    </row>
    <row r="379" spans="3:23" ht="15.75" thickBot="1" x14ac:dyDescent="0.3">
      <c r="C379" s="62">
        <f t="shared" si="210"/>
        <v>1</v>
      </c>
      <c r="D379" s="71" t="s">
        <v>48</v>
      </c>
      <c r="E379" s="70" t="s">
        <v>158</v>
      </c>
      <c r="F379" s="68">
        <f t="shared" ref="F379:W379" si="217">SUBTOTAL(9,F376:F378)</f>
        <v>0</v>
      </c>
      <c r="G379" s="68">
        <f t="shared" si="217"/>
        <v>0</v>
      </c>
      <c r="H379" s="68">
        <f t="shared" si="217"/>
        <v>0</v>
      </c>
      <c r="I379" s="69">
        <f t="shared" si="217"/>
        <v>0</v>
      </c>
      <c r="J379" s="68">
        <f t="shared" si="217"/>
        <v>0</v>
      </c>
      <c r="K379" s="68">
        <f t="shared" si="217"/>
        <v>0</v>
      </c>
      <c r="L379" s="69">
        <f t="shared" si="217"/>
        <v>6.5863243719081E-3</v>
      </c>
      <c r="M379" s="68">
        <f t="shared" ca="1" si="217"/>
        <v>268.64951688248124</v>
      </c>
      <c r="N379" s="68">
        <f t="shared" ca="1" si="217"/>
        <v>6.3343312194533761</v>
      </c>
      <c r="O379" s="69">
        <f t="shared" si="217"/>
        <v>0</v>
      </c>
      <c r="P379" s="68">
        <f t="shared" si="217"/>
        <v>0</v>
      </c>
      <c r="Q379" s="68">
        <f t="shared" si="217"/>
        <v>0</v>
      </c>
      <c r="R379" s="69">
        <f t="shared" si="217"/>
        <v>0</v>
      </c>
      <c r="S379" s="68">
        <f t="shared" si="217"/>
        <v>0</v>
      </c>
      <c r="T379" s="68">
        <f t="shared" si="217"/>
        <v>0</v>
      </c>
      <c r="U379" s="69">
        <f t="shared" si="217"/>
        <v>6.5863243719081E-3</v>
      </c>
      <c r="V379" s="68">
        <f t="shared" ca="1" si="217"/>
        <v>268.64951688248124</v>
      </c>
      <c r="W379" s="68">
        <f t="shared" ca="1" si="217"/>
        <v>6.3343312194533761</v>
      </c>
    </row>
    <row r="380" spans="3:23" ht="15.75" hidden="1" thickBot="1" x14ac:dyDescent="0.3"/>
    <row r="381" spans="3:23" ht="15.75" hidden="1" thickBot="1" x14ac:dyDescent="0.3">
      <c r="C381" s="62">
        <f>IF(E381&gt;0,1,0)</f>
        <v>0</v>
      </c>
      <c r="D381" s="936" t="str">
        <f>+A41</f>
        <v>Orleans</v>
      </c>
      <c r="E381" s="938">
        <f>SUMIF(A:A,D381,B:B)</f>
        <v>0</v>
      </c>
      <c r="F381" s="940" t="s">
        <v>103</v>
      </c>
      <c r="G381" s="941"/>
      <c r="H381" s="942"/>
      <c r="I381" s="940" t="s">
        <v>102</v>
      </c>
      <c r="J381" s="941"/>
      <c r="K381" s="942"/>
      <c r="L381" s="940" t="s">
        <v>101</v>
      </c>
      <c r="M381" s="941"/>
      <c r="N381" s="942"/>
      <c r="O381" s="940" t="s">
        <v>100</v>
      </c>
      <c r="P381" s="941"/>
      <c r="Q381" s="942"/>
      <c r="R381" s="940" t="s">
        <v>99</v>
      </c>
      <c r="S381" s="941"/>
      <c r="T381" s="942"/>
      <c r="U381" s="940" t="s">
        <v>98</v>
      </c>
      <c r="V381" s="941"/>
      <c r="W381" s="943"/>
    </row>
    <row r="382" spans="3:23" ht="30.75" hidden="1" thickBot="1" x14ac:dyDescent="0.3">
      <c r="C382" s="62">
        <f>IF(E381&gt;0,1,0)</f>
        <v>0</v>
      </c>
      <c r="D382" s="937"/>
      <c r="E382" s="939"/>
      <c r="F382" s="88" t="s">
        <v>97</v>
      </c>
      <c r="G382" s="88" t="s">
        <v>96</v>
      </c>
      <c r="H382" s="88" t="s">
        <v>95</v>
      </c>
      <c r="I382" s="88" t="s">
        <v>97</v>
      </c>
      <c r="J382" s="88" t="s">
        <v>96</v>
      </c>
      <c r="K382" s="88" t="s">
        <v>95</v>
      </c>
      <c r="L382" s="88" t="s">
        <v>97</v>
      </c>
      <c r="M382" s="88" t="s">
        <v>96</v>
      </c>
      <c r="N382" s="88" t="s">
        <v>95</v>
      </c>
      <c r="O382" s="88" t="s">
        <v>97</v>
      </c>
      <c r="P382" s="88" t="s">
        <v>96</v>
      </c>
      <c r="Q382" s="88" t="s">
        <v>95</v>
      </c>
      <c r="R382" s="88" t="s">
        <v>97</v>
      </c>
      <c r="S382" s="88" t="s">
        <v>96</v>
      </c>
      <c r="T382" s="88" t="s">
        <v>95</v>
      </c>
      <c r="U382" s="88" t="s">
        <v>97</v>
      </c>
      <c r="V382" s="88" t="s">
        <v>96</v>
      </c>
      <c r="W382" s="87" t="s">
        <v>95</v>
      </c>
    </row>
    <row r="383" spans="3:23" ht="15.75" hidden="1" thickBot="1" x14ac:dyDescent="0.3">
      <c r="C383" s="62">
        <f>C382</f>
        <v>0</v>
      </c>
      <c r="D383" s="86"/>
      <c r="E383" s="85"/>
      <c r="F383" s="84" t="s">
        <v>57</v>
      </c>
      <c r="G383" s="84" t="s">
        <v>56</v>
      </c>
      <c r="H383" s="84" t="s">
        <v>55</v>
      </c>
      <c r="I383" s="84" t="s">
        <v>54</v>
      </c>
      <c r="J383" s="84" t="s">
        <v>53</v>
      </c>
      <c r="K383" s="84" t="s">
        <v>52</v>
      </c>
      <c r="L383" s="84" t="s">
        <v>51</v>
      </c>
      <c r="M383" s="84" t="s">
        <v>50</v>
      </c>
      <c r="N383" s="84" t="s">
        <v>49</v>
      </c>
      <c r="O383" s="84" t="s">
        <v>47</v>
      </c>
      <c r="P383" s="84" t="s">
        <v>77</v>
      </c>
      <c r="Q383" s="84" t="s">
        <v>78</v>
      </c>
      <c r="R383" s="84" t="s">
        <v>79</v>
      </c>
      <c r="S383" s="84" t="s">
        <v>81</v>
      </c>
      <c r="T383" s="84" t="s">
        <v>83</v>
      </c>
      <c r="U383" s="84" t="s">
        <v>85</v>
      </c>
      <c r="V383" s="84" t="s">
        <v>87</v>
      </c>
      <c r="W383" s="83" t="s">
        <v>88</v>
      </c>
    </row>
    <row r="384" spans="3:23" ht="15.75" hidden="1" thickBot="1" x14ac:dyDescent="0.3">
      <c r="C384" s="62">
        <f t="shared" ref="C384:C389" si="218">C383</f>
        <v>0</v>
      </c>
      <c r="D384" s="82" t="s">
        <v>26</v>
      </c>
      <c r="E384" s="80"/>
      <c r="F384" s="79"/>
      <c r="G384" s="79"/>
      <c r="H384" s="79"/>
      <c r="I384" s="79"/>
      <c r="J384" s="79"/>
      <c r="K384" s="79"/>
      <c r="L384" s="79"/>
      <c r="M384" s="79"/>
      <c r="N384" s="79"/>
      <c r="O384" s="79"/>
      <c r="P384" s="79"/>
      <c r="Q384" s="79"/>
      <c r="R384" s="79"/>
      <c r="S384" s="79"/>
      <c r="T384" s="79"/>
      <c r="U384" s="79"/>
      <c r="V384" s="79"/>
      <c r="W384" s="78"/>
    </row>
    <row r="385" spans="3:23" ht="15.75" hidden="1" thickBot="1" x14ac:dyDescent="0.3">
      <c r="C385" s="62">
        <f t="shared" si="218"/>
        <v>0</v>
      </c>
      <c r="D385" s="81" t="s">
        <v>94</v>
      </c>
      <c r="E385" s="80"/>
      <c r="F385" s="79"/>
      <c r="G385" s="79"/>
      <c r="H385" s="79"/>
      <c r="I385" s="79"/>
      <c r="J385" s="79"/>
      <c r="K385" s="79"/>
      <c r="L385" s="79"/>
      <c r="M385" s="79"/>
      <c r="N385" s="79"/>
      <c r="O385" s="79"/>
      <c r="P385" s="79"/>
      <c r="Q385" s="79"/>
      <c r="R385" s="79"/>
      <c r="S385" s="79"/>
      <c r="T385" s="79"/>
      <c r="U385" s="79"/>
      <c r="V385" s="79"/>
      <c r="W385" s="78"/>
    </row>
    <row r="386" spans="3:23" ht="15.75" hidden="1" thickBot="1" x14ac:dyDescent="0.3">
      <c r="C386" s="62">
        <f t="shared" si="218"/>
        <v>0</v>
      </c>
      <c r="D386" s="268" t="s">
        <v>93</v>
      </c>
      <c r="E386" s="76" t="s">
        <v>155</v>
      </c>
      <c r="F386" s="75">
        <f t="shared" ref="F386:T386" si="219">+F$8*$E381</f>
        <v>0</v>
      </c>
      <c r="G386" s="75">
        <f t="shared" si="219"/>
        <v>0</v>
      </c>
      <c r="H386" s="75">
        <f t="shared" si="219"/>
        <v>0</v>
      </c>
      <c r="I386" s="75">
        <f t="shared" si="219"/>
        <v>0</v>
      </c>
      <c r="J386" s="75">
        <f t="shared" si="219"/>
        <v>0</v>
      </c>
      <c r="K386" s="75">
        <f t="shared" si="219"/>
        <v>0</v>
      </c>
      <c r="L386" s="75">
        <f t="shared" si="219"/>
        <v>0</v>
      </c>
      <c r="M386" s="75">
        <f t="shared" ca="1" si="219"/>
        <v>0</v>
      </c>
      <c r="N386" s="75">
        <f t="shared" ca="1" si="219"/>
        <v>0</v>
      </c>
      <c r="O386" s="75">
        <f t="shared" si="219"/>
        <v>0</v>
      </c>
      <c r="P386" s="75">
        <f t="shared" si="219"/>
        <v>0</v>
      </c>
      <c r="Q386" s="75">
        <f t="shared" si="219"/>
        <v>0</v>
      </c>
      <c r="R386" s="75">
        <f t="shared" si="219"/>
        <v>0</v>
      </c>
      <c r="S386" s="75">
        <f t="shared" si="219"/>
        <v>0</v>
      </c>
      <c r="T386" s="75">
        <f t="shared" si="219"/>
        <v>0</v>
      </c>
      <c r="U386" s="73">
        <f t="shared" ref="U386:U388" si="220">+R386+O386+L386+I386+F386</f>
        <v>0</v>
      </c>
      <c r="V386" s="72">
        <f t="shared" ref="V386:V388" ca="1" si="221">+S386+P386+M386+J386+G386</f>
        <v>0</v>
      </c>
      <c r="W386" s="72">
        <f t="shared" ref="W386:W388" ca="1" si="222">+T386+Q386+N386+K386+H386</f>
        <v>0</v>
      </c>
    </row>
    <row r="387" spans="3:23" ht="15.75" hidden="1" thickBot="1" x14ac:dyDescent="0.3">
      <c r="C387" s="62">
        <f t="shared" si="218"/>
        <v>0</v>
      </c>
      <c r="D387" s="268" t="s">
        <v>92</v>
      </c>
      <c r="E387" s="76" t="s">
        <v>156</v>
      </c>
      <c r="F387" s="75">
        <f t="shared" ref="F387:T387" si="223">+F$9*$E381</f>
        <v>0</v>
      </c>
      <c r="G387" s="75">
        <f t="shared" si="223"/>
        <v>0</v>
      </c>
      <c r="H387" s="75">
        <f t="shared" si="223"/>
        <v>0</v>
      </c>
      <c r="I387" s="75">
        <f t="shared" si="223"/>
        <v>0</v>
      </c>
      <c r="J387" s="75">
        <f t="shared" si="223"/>
        <v>0</v>
      </c>
      <c r="K387" s="75">
        <f t="shared" si="223"/>
        <v>0</v>
      </c>
      <c r="L387" s="75">
        <f t="shared" si="223"/>
        <v>0</v>
      </c>
      <c r="M387" s="75">
        <f t="shared" si="223"/>
        <v>0</v>
      </c>
      <c r="N387" s="75">
        <f t="shared" si="223"/>
        <v>0</v>
      </c>
      <c r="O387" s="75">
        <f t="shared" si="223"/>
        <v>0</v>
      </c>
      <c r="P387" s="75">
        <f t="shared" si="223"/>
        <v>0</v>
      </c>
      <c r="Q387" s="75">
        <f t="shared" si="223"/>
        <v>0</v>
      </c>
      <c r="R387" s="75">
        <f t="shared" si="223"/>
        <v>0</v>
      </c>
      <c r="S387" s="75">
        <f t="shared" si="223"/>
        <v>0</v>
      </c>
      <c r="T387" s="75">
        <f t="shared" si="223"/>
        <v>0</v>
      </c>
      <c r="U387" s="73">
        <f t="shared" si="220"/>
        <v>0</v>
      </c>
      <c r="V387" s="72">
        <f t="shared" si="221"/>
        <v>0</v>
      </c>
      <c r="W387" s="72">
        <f t="shared" si="222"/>
        <v>0</v>
      </c>
    </row>
    <row r="388" spans="3:23" ht="15.75" hidden="1" thickBot="1" x14ac:dyDescent="0.3">
      <c r="C388" s="62">
        <f t="shared" si="218"/>
        <v>0</v>
      </c>
      <c r="D388" s="268" t="s">
        <v>91</v>
      </c>
      <c r="E388" s="76" t="s">
        <v>157</v>
      </c>
      <c r="F388" s="75">
        <f t="shared" ref="F388:T388" si="224">+F$10*$E381</f>
        <v>0</v>
      </c>
      <c r="G388" s="75">
        <f t="shared" si="224"/>
        <v>0</v>
      </c>
      <c r="H388" s="75">
        <f t="shared" si="224"/>
        <v>0</v>
      </c>
      <c r="I388" s="75">
        <f t="shared" si="224"/>
        <v>0</v>
      </c>
      <c r="J388" s="75">
        <f t="shared" si="224"/>
        <v>0</v>
      </c>
      <c r="K388" s="75">
        <f t="shared" si="224"/>
        <v>0</v>
      </c>
      <c r="L388" s="75">
        <f t="shared" si="224"/>
        <v>0</v>
      </c>
      <c r="M388" s="75">
        <f t="shared" ca="1" si="224"/>
        <v>0</v>
      </c>
      <c r="N388" s="75">
        <f t="shared" si="224"/>
        <v>0</v>
      </c>
      <c r="O388" s="75">
        <f t="shared" si="224"/>
        <v>0</v>
      </c>
      <c r="P388" s="75">
        <f t="shared" si="224"/>
        <v>0</v>
      </c>
      <c r="Q388" s="75">
        <f t="shared" si="224"/>
        <v>0</v>
      </c>
      <c r="R388" s="75">
        <f t="shared" si="224"/>
        <v>0</v>
      </c>
      <c r="S388" s="75">
        <f t="shared" si="224"/>
        <v>0</v>
      </c>
      <c r="T388" s="75">
        <f t="shared" si="224"/>
        <v>0</v>
      </c>
      <c r="U388" s="73">
        <f t="shared" si="220"/>
        <v>0</v>
      </c>
      <c r="V388" s="72">
        <f t="shared" ca="1" si="221"/>
        <v>0</v>
      </c>
      <c r="W388" s="72">
        <f t="shared" si="222"/>
        <v>0</v>
      </c>
    </row>
    <row r="389" spans="3:23" ht="15.75" hidden="1" thickBot="1" x14ac:dyDescent="0.3">
      <c r="C389" s="62">
        <f t="shared" si="218"/>
        <v>0</v>
      </c>
      <c r="D389" s="71" t="s">
        <v>48</v>
      </c>
      <c r="E389" s="70" t="s">
        <v>158</v>
      </c>
      <c r="F389" s="68">
        <f t="shared" ref="F389:W389" si="225">SUBTOTAL(9,F386:F388)</f>
        <v>0</v>
      </c>
      <c r="G389" s="68">
        <f t="shared" si="225"/>
        <v>0</v>
      </c>
      <c r="H389" s="68">
        <f t="shared" si="225"/>
        <v>0</v>
      </c>
      <c r="I389" s="69">
        <f t="shared" si="225"/>
        <v>0</v>
      </c>
      <c r="J389" s="68">
        <f t="shared" si="225"/>
        <v>0</v>
      </c>
      <c r="K389" s="68">
        <f t="shared" si="225"/>
        <v>0</v>
      </c>
      <c r="L389" s="69">
        <f t="shared" si="225"/>
        <v>0</v>
      </c>
      <c r="M389" s="68">
        <f t="shared" si="225"/>
        <v>0</v>
      </c>
      <c r="N389" s="68">
        <f t="shared" si="225"/>
        <v>0</v>
      </c>
      <c r="O389" s="69">
        <f t="shared" si="225"/>
        <v>0</v>
      </c>
      <c r="P389" s="68">
        <f t="shared" si="225"/>
        <v>0</v>
      </c>
      <c r="Q389" s="68">
        <f t="shared" si="225"/>
        <v>0</v>
      </c>
      <c r="R389" s="69">
        <f t="shared" si="225"/>
        <v>0</v>
      </c>
      <c r="S389" s="68">
        <f t="shared" si="225"/>
        <v>0</v>
      </c>
      <c r="T389" s="68">
        <f t="shared" si="225"/>
        <v>0</v>
      </c>
      <c r="U389" s="69">
        <f t="shared" si="225"/>
        <v>0</v>
      </c>
      <c r="V389" s="68">
        <f t="shared" si="225"/>
        <v>0</v>
      </c>
      <c r="W389" s="68">
        <f t="shared" si="225"/>
        <v>0</v>
      </c>
    </row>
    <row r="390" spans="3:23" ht="15.75" hidden="1" thickBot="1" x14ac:dyDescent="0.3"/>
    <row r="391" spans="3:23" ht="15.75" hidden="1" thickBot="1" x14ac:dyDescent="0.3">
      <c r="C391" s="62">
        <f>IF(E391&gt;0,1,0)</f>
        <v>0</v>
      </c>
      <c r="D391" s="936" t="str">
        <f>+A42</f>
        <v>Oswego</v>
      </c>
      <c r="E391" s="938">
        <f>SUMIF(A:A,D391,B:B)</f>
        <v>0</v>
      </c>
      <c r="F391" s="940" t="s">
        <v>103</v>
      </c>
      <c r="G391" s="941"/>
      <c r="H391" s="942"/>
      <c r="I391" s="940" t="s">
        <v>102</v>
      </c>
      <c r="J391" s="941"/>
      <c r="K391" s="942"/>
      <c r="L391" s="940" t="s">
        <v>101</v>
      </c>
      <c r="M391" s="941"/>
      <c r="N391" s="942"/>
      <c r="O391" s="940" t="s">
        <v>100</v>
      </c>
      <c r="P391" s="941"/>
      <c r="Q391" s="942"/>
      <c r="R391" s="940" t="s">
        <v>99</v>
      </c>
      <c r="S391" s="941"/>
      <c r="T391" s="942"/>
      <c r="U391" s="940" t="s">
        <v>98</v>
      </c>
      <c r="V391" s="941"/>
      <c r="W391" s="943"/>
    </row>
    <row r="392" spans="3:23" ht="30.75" hidden="1" thickBot="1" x14ac:dyDescent="0.3">
      <c r="C392" s="62">
        <f>IF(E391&gt;0,1,0)</f>
        <v>0</v>
      </c>
      <c r="D392" s="937"/>
      <c r="E392" s="939"/>
      <c r="F392" s="88" t="s">
        <v>97</v>
      </c>
      <c r="G392" s="88" t="s">
        <v>96</v>
      </c>
      <c r="H392" s="88" t="s">
        <v>95</v>
      </c>
      <c r="I392" s="88" t="s">
        <v>97</v>
      </c>
      <c r="J392" s="88" t="s">
        <v>96</v>
      </c>
      <c r="K392" s="88" t="s">
        <v>95</v>
      </c>
      <c r="L392" s="88" t="s">
        <v>97</v>
      </c>
      <c r="M392" s="88" t="s">
        <v>96</v>
      </c>
      <c r="N392" s="88" t="s">
        <v>95</v>
      </c>
      <c r="O392" s="88" t="s">
        <v>97</v>
      </c>
      <c r="P392" s="88" t="s">
        <v>96</v>
      </c>
      <c r="Q392" s="88" t="s">
        <v>95</v>
      </c>
      <c r="R392" s="88" t="s">
        <v>97</v>
      </c>
      <c r="S392" s="88" t="s">
        <v>96</v>
      </c>
      <c r="T392" s="88" t="s">
        <v>95</v>
      </c>
      <c r="U392" s="88" t="s">
        <v>97</v>
      </c>
      <c r="V392" s="88" t="s">
        <v>96</v>
      </c>
      <c r="W392" s="87" t="s">
        <v>95</v>
      </c>
    </row>
    <row r="393" spans="3:23" ht="15.75" hidden="1" thickBot="1" x14ac:dyDescent="0.3">
      <c r="C393" s="62">
        <f>C392</f>
        <v>0</v>
      </c>
      <c r="D393" s="86"/>
      <c r="E393" s="85"/>
      <c r="F393" s="84" t="s">
        <v>57</v>
      </c>
      <c r="G393" s="84" t="s">
        <v>56</v>
      </c>
      <c r="H393" s="84" t="s">
        <v>55</v>
      </c>
      <c r="I393" s="84" t="s">
        <v>54</v>
      </c>
      <c r="J393" s="84" t="s">
        <v>53</v>
      </c>
      <c r="K393" s="84" t="s">
        <v>52</v>
      </c>
      <c r="L393" s="84" t="s">
        <v>51</v>
      </c>
      <c r="M393" s="84" t="s">
        <v>50</v>
      </c>
      <c r="N393" s="84" t="s">
        <v>49</v>
      </c>
      <c r="O393" s="84" t="s">
        <v>47</v>
      </c>
      <c r="P393" s="84" t="s">
        <v>77</v>
      </c>
      <c r="Q393" s="84" t="s">
        <v>78</v>
      </c>
      <c r="R393" s="84" t="s">
        <v>79</v>
      </c>
      <c r="S393" s="84" t="s">
        <v>81</v>
      </c>
      <c r="T393" s="84" t="s">
        <v>83</v>
      </c>
      <c r="U393" s="84" t="s">
        <v>85</v>
      </c>
      <c r="V393" s="84" t="s">
        <v>87</v>
      </c>
      <c r="W393" s="83" t="s">
        <v>88</v>
      </c>
    </row>
    <row r="394" spans="3:23" ht="15.75" hidden="1" thickBot="1" x14ac:dyDescent="0.3">
      <c r="C394" s="62">
        <f t="shared" ref="C394:C399" si="226">C393</f>
        <v>0</v>
      </c>
      <c r="D394" s="82" t="s">
        <v>26</v>
      </c>
      <c r="E394" s="80"/>
      <c r="F394" s="79"/>
      <c r="G394" s="79"/>
      <c r="H394" s="79"/>
      <c r="I394" s="79"/>
      <c r="J394" s="79"/>
      <c r="K394" s="79"/>
      <c r="L394" s="79"/>
      <c r="M394" s="79"/>
      <c r="N394" s="79"/>
      <c r="O394" s="79"/>
      <c r="P394" s="79"/>
      <c r="Q394" s="79"/>
      <c r="R394" s="79"/>
      <c r="S394" s="79"/>
      <c r="T394" s="79"/>
      <c r="U394" s="79"/>
      <c r="V394" s="79"/>
      <c r="W394" s="78"/>
    </row>
    <row r="395" spans="3:23" ht="15.75" hidden="1" thickBot="1" x14ac:dyDescent="0.3">
      <c r="C395" s="62">
        <f t="shared" si="226"/>
        <v>0</v>
      </c>
      <c r="D395" s="81" t="s">
        <v>94</v>
      </c>
      <c r="E395" s="80"/>
      <c r="F395" s="79"/>
      <c r="G395" s="79"/>
      <c r="H395" s="79"/>
      <c r="I395" s="79"/>
      <c r="J395" s="79"/>
      <c r="K395" s="79"/>
      <c r="L395" s="79"/>
      <c r="M395" s="79"/>
      <c r="N395" s="79"/>
      <c r="O395" s="79"/>
      <c r="P395" s="79"/>
      <c r="Q395" s="79"/>
      <c r="R395" s="79"/>
      <c r="S395" s="79"/>
      <c r="T395" s="79"/>
      <c r="U395" s="79"/>
      <c r="V395" s="79"/>
      <c r="W395" s="78"/>
    </row>
    <row r="396" spans="3:23" ht="15.75" hidden="1" thickBot="1" x14ac:dyDescent="0.3">
      <c r="C396" s="62">
        <f t="shared" si="226"/>
        <v>0</v>
      </c>
      <c r="D396" s="268" t="s">
        <v>93</v>
      </c>
      <c r="E396" s="76" t="s">
        <v>155</v>
      </c>
      <c r="F396" s="75">
        <f t="shared" ref="F396:T396" si="227">+F$8*$E391</f>
        <v>0</v>
      </c>
      <c r="G396" s="75">
        <f t="shared" si="227"/>
        <v>0</v>
      </c>
      <c r="H396" s="75">
        <f t="shared" si="227"/>
        <v>0</v>
      </c>
      <c r="I396" s="75">
        <f t="shared" si="227"/>
        <v>0</v>
      </c>
      <c r="J396" s="75">
        <f t="shared" si="227"/>
        <v>0</v>
      </c>
      <c r="K396" s="75">
        <f t="shared" si="227"/>
        <v>0</v>
      </c>
      <c r="L396" s="75">
        <f t="shared" si="227"/>
        <v>0</v>
      </c>
      <c r="M396" s="75">
        <f t="shared" ca="1" si="227"/>
        <v>0</v>
      </c>
      <c r="N396" s="75">
        <f t="shared" ca="1" si="227"/>
        <v>0</v>
      </c>
      <c r="O396" s="75">
        <f t="shared" si="227"/>
        <v>0</v>
      </c>
      <c r="P396" s="75">
        <f t="shared" si="227"/>
        <v>0</v>
      </c>
      <c r="Q396" s="75">
        <f t="shared" si="227"/>
        <v>0</v>
      </c>
      <c r="R396" s="75">
        <f t="shared" si="227"/>
        <v>0</v>
      </c>
      <c r="S396" s="75">
        <f t="shared" si="227"/>
        <v>0</v>
      </c>
      <c r="T396" s="75">
        <f t="shared" si="227"/>
        <v>0</v>
      </c>
      <c r="U396" s="73">
        <f t="shared" ref="U396:U398" si="228">+R396+O396+L396+I396+F396</f>
        <v>0</v>
      </c>
      <c r="V396" s="72">
        <f t="shared" ref="V396:V398" ca="1" si="229">+S396+P396+M396+J396+G396</f>
        <v>0</v>
      </c>
      <c r="W396" s="72">
        <f t="shared" ref="W396:W398" ca="1" si="230">+T396+Q396+N396+K396+H396</f>
        <v>0</v>
      </c>
    </row>
    <row r="397" spans="3:23" ht="15.75" hidden="1" thickBot="1" x14ac:dyDescent="0.3">
      <c r="C397" s="62">
        <f t="shared" si="226"/>
        <v>0</v>
      </c>
      <c r="D397" s="268" t="s">
        <v>92</v>
      </c>
      <c r="E397" s="76" t="s">
        <v>156</v>
      </c>
      <c r="F397" s="75">
        <f t="shared" ref="F397:T397" si="231">+F$9*$E391</f>
        <v>0</v>
      </c>
      <c r="G397" s="75">
        <f t="shared" si="231"/>
        <v>0</v>
      </c>
      <c r="H397" s="75">
        <f t="shared" si="231"/>
        <v>0</v>
      </c>
      <c r="I397" s="75">
        <f t="shared" si="231"/>
        <v>0</v>
      </c>
      <c r="J397" s="75">
        <f t="shared" si="231"/>
        <v>0</v>
      </c>
      <c r="K397" s="75">
        <f t="shared" si="231"/>
        <v>0</v>
      </c>
      <c r="L397" s="75">
        <f t="shared" si="231"/>
        <v>0</v>
      </c>
      <c r="M397" s="75">
        <f t="shared" si="231"/>
        <v>0</v>
      </c>
      <c r="N397" s="75">
        <f t="shared" si="231"/>
        <v>0</v>
      </c>
      <c r="O397" s="75">
        <f t="shared" si="231"/>
        <v>0</v>
      </c>
      <c r="P397" s="75">
        <f t="shared" si="231"/>
        <v>0</v>
      </c>
      <c r="Q397" s="75">
        <f t="shared" si="231"/>
        <v>0</v>
      </c>
      <c r="R397" s="75">
        <f t="shared" si="231"/>
        <v>0</v>
      </c>
      <c r="S397" s="75">
        <f t="shared" si="231"/>
        <v>0</v>
      </c>
      <c r="T397" s="75">
        <f t="shared" si="231"/>
        <v>0</v>
      </c>
      <c r="U397" s="73">
        <f t="shared" si="228"/>
        <v>0</v>
      </c>
      <c r="V397" s="72">
        <f t="shared" si="229"/>
        <v>0</v>
      </c>
      <c r="W397" s="72">
        <f t="shared" si="230"/>
        <v>0</v>
      </c>
    </row>
    <row r="398" spans="3:23" ht="15.75" hidden="1" thickBot="1" x14ac:dyDescent="0.3">
      <c r="C398" s="62">
        <f t="shared" si="226"/>
        <v>0</v>
      </c>
      <c r="D398" s="268" t="s">
        <v>91</v>
      </c>
      <c r="E398" s="76" t="s">
        <v>157</v>
      </c>
      <c r="F398" s="75">
        <f t="shared" ref="F398:T398" si="232">+F$10*$E391</f>
        <v>0</v>
      </c>
      <c r="G398" s="75">
        <f t="shared" si="232"/>
        <v>0</v>
      </c>
      <c r="H398" s="75">
        <f t="shared" si="232"/>
        <v>0</v>
      </c>
      <c r="I398" s="75">
        <f t="shared" si="232"/>
        <v>0</v>
      </c>
      <c r="J398" s="75">
        <f t="shared" si="232"/>
        <v>0</v>
      </c>
      <c r="K398" s="75">
        <f t="shared" si="232"/>
        <v>0</v>
      </c>
      <c r="L398" s="75">
        <f t="shared" si="232"/>
        <v>0</v>
      </c>
      <c r="M398" s="75">
        <f t="shared" ca="1" si="232"/>
        <v>0</v>
      </c>
      <c r="N398" s="75">
        <f t="shared" si="232"/>
        <v>0</v>
      </c>
      <c r="O398" s="75">
        <f t="shared" si="232"/>
        <v>0</v>
      </c>
      <c r="P398" s="75">
        <f t="shared" si="232"/>
        <v>0</v>
      </c>
      <c r="Q398" s="75">
        <f t="shared" si="232"/>
        <v>0</v>
      </c>
      <c r="R398" s="75">
        <f t="shared" si="232"/>
        <v>0</v>
      </c>
      <c r="S398" s="75">
        <f t="shared" si="232"/>
        <v>0</v>
      </c>
      <c r="T398" s="75">
        <f t="shared" si="232"/>
        <v>0</v>
      </c>
      <c r="U398" s="73">
        <f t="shared" si="228"/>
        <v>0</v>
      </c>
      <c r="V398" s="72">
        <f t="shared" ca="1" si="229"/>
        <v>0</v>
      </c>
      <c r="W398" s="72">
        <f t="shared" si="230"/>
        <v>0</v>
      </c>
    </row>
    <row r="399" spans="3:23" ht="15.75" hidden="1" thickBot="1" x14ac:dyDescent="0.3">
      <c r="C399" s="62">
        <f t="shared" si="226"/>
        <v>0</v>
      </c>
      <c r="D399" s="71" t="s">
        <v>48</v>
      </c>
      <c r="E399" s="70" t="s">
        <v>158</v>
      </c>
      <c r="F399" s="68">
        <f t="shared" ref="F399:W399" si="233">SUBTOTAL(9,F396:F398)</f>
        <v>0</v>
      </c>
      <c r="G399" s="68">
        <f t="shared" si="233"/>
        <v>0</v>
      </c>
      <c r="H399" s="68">
        <f t="shared" si="233"/>
        <v>0</v>
      </c>
      <c r="I399" s="69">
        <f t="shared" si="233"/>
        <v>0</v>
      </c>
      <c r="J399" s="68">
        <f t="shared" si="233"/>
        <v>0</v>
      </c>
      <c r="K399" s="68">
        <f t="shared" si="233"/>
        <v>0</v>
      </c>
      <c r="L399" s="69">
        <f t="shared" si="233"/>
        <v>0</v>
      </c>
      <c r="M399" s="68">
        <f t="shared" si="233"/>
        <v>0</v>
      </c>
      <c r="N399" s="68">
        <f t="shared" si="233"/>
        <v>0</v>
      </c>
      <c r="O399" s="69">
        <f t="shared" si="233"/>
        <v>0</v>
      </c>
      <c r="P399" s="68">
        <f t="shared" si="233"/>
        <v>0</v>
      </c>
      <c r="Q399" s="68">
        <f t="shared" si="233"/>
        <v>0</v>
      </c>
      <c r="R399" s="69">
        <f t="shared" si="233"/>
        <v>0</v>
      </c>
      <c r="S399" s="68">
        <f t="shared" si="233"/>
        <v>0</v>
      </c>
      <c r="T399" s="68">
        <f t="shared" si="233"/>
        <v>0</v>
      </c>
      <c r="U399" s="69">
        <f t="shared" si="233"/>
        <v>0</v>
      </c>
      <c r="V399" s="68">
        <f t="shared" si="233"/>
        <v>0</v>
      </c>
      <c r="W399" s="68">
        <f t="shared" si="233"/>
        <v>0</v>
      </c>
    </row>
    <row r="400" spans="3:23" ht="15.75" hidden="1" thickBot="1" x14ac:dyDescent="0.3"/>
    <row r="401" spans="3:23" ht="15.75" hidden="1" thickBot="1" x14ac:dyDescent="0.3">
      <c r="C401" s="62">
        <f>IF(E401&gt;0,1,0)</f>
        <v>0</v>
      </c>
      <c r="D401" s="936" t="str">
        <f>+A43</f>
        <v>Otsego</v>
      </c>
      <c r="E401" s="938">
        <f>SUMIF(A:A,D401,B:B)</f>
        <v>0</v>
      </c>
      <c r="F401" s="940" t="s">
        <v>103</v>
      </c>
      <c r="G401" s="941"/>
      <c r="H401" s="942"/>
      <c r="I401" s="940" t="s">
        <v>102</v>
      </c>
      <c r="J401" s="941"/>
      <c r="K401" s="942"/>
      <c r="L401" s="940" t="s">
        <v>101</v>
      </c>
      <c r="M401" s="941"/>
      <c r="N401" s="942"/>
      <c r="O401" s="940" t="s">
        <v>100</v>
      </c>
      <c r="P401" s="941"/>
      <c r="Q401" s="942"/>
      <c r="R401" s="940" t="s">
        <v>99</v>
      </c>
      <c r="S401" s="941"/>
      <c r="T401" s="942"/>
      <c r="U401" s="940" t="s">
        <v>98</v>
      </c>
      <c r="V401" s="941"/>
      <c r="W401" s="943"/>
    </row>
    <row r="402" spans="3:23" ht="30.75" hidden="1" thickBot="1" x14ac:dyDescent="0.3">
      <c r="C402" s="62">
        <f>IF(E401&gt;0,1,0)</f>
        <v>0</v>
      </c>
      <c r="D402" s="937"/>
      <c r="E402" s="939"/>
      <c r="F402" s="88" t="s">
        <v>97</v>
      </c>
      <c r="G402" s="88" t="s">
        <v>96</v>
      </c>
      <c r="H402" s="88" t="s">
        <v>95</v>
      </c>
      <c r="I402" s="88" t="s">
        <v>97</v>
      </c>
      <c r="J402" s="88" t="s">
        <v>96</v>
      </c>
      <c r="K402" s="88" t="s">
        <v>95</v>
      </c>
      <c r="L402" s="88" t="s">
        <v>97</v>
      </c>
      <c r="M402" s="88" t="s">
        <v>96</v>
      </c>
      <c r="N402" s="88" t="s">
        <v>95</v>
      </c>
      <c r="O402" s="88" t="s">
        <v>97</v>
      </c>
      <c r="P402" s="88" t="s">
        <v>96</v>
      </c>
      <c r="Q402" s="88" t="s">
        <v>95</v>
      </c>
      <c r="R402" s="88" t="s">
        <v>97</v>
      </c>
      <c r="S402" s="88" t="s">
        <v>96</v>
      </c>
      <c r="T402" s="88" t="s">
        <v>95</v>
      </c>
      <c r="U402" s="88" t="s">
        <v>97</v>
      </c>
      <c r="V402" s="88" t="s">
        <v>96</v>
      </c>
      <c r="W402" s="87" t="s">
        <v>95</v>
      </c>
    </row>
    <row r="403" spans="3:23" ht="15.75" hidden="1" thickBot="1" x14ac:dyDescent="0.3">
      <c r="C403" s="62">
        <f>C402</f>
        <v>0</v>
      </c>
      <c r="D403" s="86"/>
      <c r="E403" s="85"/>
      <c r="F403" s="84" t="s">
        <v>57</v>
      </c>
      <c r="G403" s="84" t="s">
        <v>56</v>
      </c>
      <c r="H403" s="84" t="s">
        <v>55</v>
      </c>
      <c r="I403" s="84" t="s">
        <v>54</v>
      </c>
      <c r="J403" s="84" t="s">
        <v>53</v>
      </c>
      <c r="K403" s="84" t="s">
        <v>52</v>
      </c>
      <c r="L403" s="84" t="s">
        <v>51</v>
      </c>
      <c r="M403" s="84" t="s">
        <v>50</v>
      </c>
      <c r="N403" s="84" t="s">
        <v>49</v>
      </c>
      <c r="O403" s="84" t="s">
        <v>47</v>
      </c>
      <c r="P403" s="84" t="s">
        <v>77</v>
      </c>
      <c r="Q403" s="84" t="s">
        <v>78</v>
      </c>
      <c r="R403" s="84" t="s">
        <v>79</v>
      </c>
      <c r="S403" s="84" t="s">
        <v>81</v>
      </c>
      <c r="T403" s="84" t="s">
        <v>83</v>
      </c>
      <c r="U403" s="84" t="s">
        <v>85</v>
      </c>
      <c r="V403" s="84" t="s">
        <v>87</v>
      </c>
      <c r="W403" s="83" t="s">
        <v>88</v>
      </c>
    </row>
    <row r="404" spans="3:23" ht="15.75" hidden="1" thickBot="1" x14ac:dyDescent="0.3">
      <c r="C404" s="62">
        <f t="shared" ref="C404:C409" si="234">C403</f>
        <v>0</v>
      </c>
      <c r="D404" s="82" t="s">
        <v>26</v>
      </c>
      <c r="E404" s="80"/>
      <c r="F404" s="79"/>
      <c r="G404" s="79"/>
      <c r="H404" s="79"/>
      <c r="I404" s="79"/>
      <c r="J404" s="79"/>
      <c r="K404" s="79"/>
      <c r="L404" s="79"/>
      <c r="M404" s="79"/>
      <c r="N404" s="79"/>
      <c r="O404" s="79"/>
      <c r="P404" s="79"/>
      <c r="Q404" s="79"/>
      <c r="R404" s="79"/>
      <c r="S404" s="79"/>
      <c r="T404" s="79"/>
      <c r="U404" s="79"/>
      <c r="V404" s="79"/>
      <c r="W404" s="78"/>
    </row>
    <row r="405" spans="3:23" ht="15.75" hidden="1" thickBot="1" x14ac:dyDescent="0.3">
      <c r="C405" s="62">
        <f t="shared" si="234"/>
        <v>0</v>
      </c>
      <c r="D405" s="81" t="s">
        <v>94</v>
      </c>
      <c r="E405" s="80"/>
      <c r="F405" s="79"/>
      <c r="G405" s="79"/>
      <c r="H405" s="79"/>
      <c r="I405" s="79"/>
      <c r="J405" s="79"/>
      <c r="K405" s="79"/>
      <c r="L405" s="79"/>
      <c r="M405" s="79"/>
      <c r="N405" s="79"/>
      <c r="O405" s="79"/>
      <c r="P405" s="79"/>
      <c r="Q405" s="79"/>
      <c r="R405" s="79"/>
      <c r="S405" s="79"/>
      <c r="T405" s="79"/>
      <c r="U405" s="79"/>
      <c r="V405" s="79"/>
      <c r="W405" s="78"/>
    </row>
    <row r="406" spans="3:23" ht="15.75" hidden="1" thickBot="1" x14ac:dyDescent="0.3">
      <c r="C406" s="62">
        <f t="shared" si="234"/>
        <v>0</v>
      </c>
      <c r="D406" s="268" t="s">
        <v>93</v>
      </c>
      <c r="E406" s="76" t="s">
        <v>155</v>
      </c>
      <c r="F406" s="75">
        <f t="shared" ref="F406:T406" si="235">+F$8*$E401</f>
        <v>0</v>
      </c>
      <c r="G406" s="75">
        <f t="shared" si="235"/>
        <v>0</v>
      </c>
      <c r="H406" s="75">
        <f t="shared" si="235"/>
        <v>0</v>
      </c>
      <c r="I406" s="75">
        <f t="shared" si="235"/>
        <v>0</v>
      </c>
      <c r="J406" s="75">
        <f t="shared" si="235"/>
        <v>0</v>
      </c>
      <c r="K406" s="75">
        <f t="shared" si="235"/>
        <v>0</v>
      </c>
      <c r="L406" s="75">
        <f t="shared" si="235"/>
        <v>0</v>
      </c>
      <c r="M406" s="75">
        <f t="shared" ca="1" si="235"/>
        <v>0</v>
      </c>
      <c r="N406" s="75">
        <f t="shared" ca="1" si="235"/>
        <v>0</v>
      </c>
      <c r="O406" s="75">
        <f t="shared" si="235"/>
        <v>0</v>
      </c>
      <c r="P406" s="75">
        <f t="shared" si="235"/>
        <v>0</v>
      </c>
      <c r="Q406" s="75">
        <f t="shared" si="235"/>
        <v>0</v>
      </c>
      <c r="R406" s="75">
        <f t="shared" si="235"/>
        <v>0</v>
      </c>
      <c r="S406" s="75">
        <f t="shared" si="235"/>
        <v>0</v>
      </c>
      <c r="T406" s="75">
        <f t="shared" si="235"/>
        <v>0</v>
      </c>
      <c r="U406" s="73">
        <f t="shared" ref="U406:U408" si="236">+R406+O406+L406+I406+F406</f>
        <v>0</v>
      </c>
      <c r="V406" s="72">
        <f t="shared" ref="V406:V408" ca="1" si="237">+S406+P406+M406+J406+G406</f>
        <v>0</v>
      </c>
      <c r="W406" s="72">
        <f t="shared" ref="W406:W408" ca="1" si="238">+T406+Q406+N406+K406+H406</f>
        <v>0</v>
      </c>
    </row>
    <row r="407" spans="3:23" ht="15.75" hidden="1" thickBot="1" x14ac:dyDescent="0.3">
      <c r="C407" s="62">
        <f t="shared" si="234"/>
        <v>0</v>
      </c>
      <c r="D407" s="268" t="s">
        <v>92</v>
      </c>
      <c r="E407" s="76" t="s">
        <v>156</v>
      </c>
      <c r="F407" s="75">
        <f t="shared" ref="F407:T407" si="239">+F$9*$E401</f>
        <v>0</v>
      </c>
      <c r="G407" s="75">
        <f t="shared" si="239"/>
        <v>0</v>
      </c>
      <c r="H407" s="75">
        <f t="shared" si="239"/>
        <v>0</v>
      </c>
      <c r="I407" s="75">
        <f t="shared" si="239"/>
        <v>0</v>
      </c>
      <c r="J407" s="75">
        <f t="shared" si="239"/>
        <v>0</v>
      </c>
      <c r="K407" s="75">
        <f t="shared" si="239"/>
        <v>0</v>
      </c>
      <c r="L407" s="75">
        <f t="shared" si="239"/>
        <v>0</v>
      </c>
      <c r="M407" s="75">
        <f t="shared" si="239"/>
        <v>0</v>
      </c>
      <c r="N407" s="75">
        <f t="shared" si="239"/>
        <v>0</v>
      </c>
      <c r="O407" s="75">
        <f t="shared" si="239"/>
        <v>0</v>
      </c>
      <c r="P407" s="75">
        <f t="shared" si="239"/>
        <v>0</v>
      </c>
      <c r="Q407" s="75">
        <f t="shared" si="239"/>
        <v>0</v>
      </c>
      <c r="R407" s="75">
        <f t="shared" si="239"/>
        <v>0</v>
      </c>
      <c r="S407" s="75">
        <f t="shared" si="239"/>
        <v>0</v>
      </c>
      <c r="T407" s="75">
        <f t="shared" si="239"/>
        <v>0</v>
      </c>
      <c r="U407" s="73">
        <f t="shared" si="236"/>
        <v>0</v>
      </c>
      <c r="V407" s="72">
        <f t="shared" si="237"/>
        <v>0</v>
      </c>
      <c r="W407" s="72">
        <f t="shared" si="238"/>
        <v>0</v>
      </c>
    </row>
    <row r="408" spans="3:23" ht="15.75" hidden="1" thickBot="1" x14ac:dyDescent="0.3">
      <c r="C408" s="62">
        <f t="shared" si="234"/>
        <v>0</v>
      </c>
      <c r="D408" s="268" t="s">
        <v>91</v>
      </c>
      <c r="E408" s="76" t="s">
        <v>157</v>
      </c>
      <c r="F408" s="75">
        <f t="shared" ref="F408:T408" si="240">+F$10*$E401</f>
        <v>0</v>
      </c>
      <c r="G408" s="75">
        <f t="shared" si="240"/>
        <v>0</v>
      </c>
      <c r="H408" s="75">
        <f t="shared" si="240"/>
        <v>0</v>
      </c>
      <c r="I408" s="75">
        <f t="shared" si="240"/>
        <v>0</v>
      </c>
      <c r="J408" s="75">
        <f t="shared" si="240"/>
        <v>0</v>
      </c>
      <c r="K408" s="75">
        <f t="shared" si="240"/>
        <v>0</v>
      </c>
      <c r="L408" s="75">
        <f t="shared" si="240"/>
        <v>0</v>
      </c>
      <c r="M408" s="75">
        <f t="shared" ca="1" si="240"/>
        <v>0</v>
      </c>
      <c r="N408" s="75">
        <f t="shared" si="240"/>
        <v>0</v>
      </c>
      <c r="O408" s="75">
        <f t="shared" si="240"/>
        <v>0</v>
      </c>
      <c r="P408" s="75">
        <f t="shared" si="240"/>
        <v>0</v>
      </c>
      <c r="Q408" s="75">
        <f t="shared" si="240"/>
        <v>0</v>
      </c>
      <c r="R408" s="75">
        <f t="shared" si="240"/>
        <v>0</v>
      </c>
      <c r="S408" s="75">
        <f t="shared" si="240"/>
        <v>0</v>
      </c>
      <c r="T408" s="75">
        <f t="shared" si="240"/>
        <v>0</v>
      </c>
      <c r="U408" s="73">
        <f t="shared" si="236"/>
        <v>0</v>
      </c>
      <c r="V408" s="72">
        <f t="shared" ca="1" si="237"/>
        <v>0</v>
      </c>
      <c r="W408" s="72">
        <f t="shared" si="238"/>
        <v>0</v>
      </c>
    </row>
    <row r="409" spans="3:23" ht="15.75" hidden="1" thickBot="1" x14ac:dyDescent="0.3">
      <c r="C409" s="62">
        <f t="shared" si="234"/>
        <v>0</v>
      </c>
      <c r="D409" s="71" t="s">
        <v>48</v>
      </c>
      <c r="E409" s="70" t="s">
        <v>158</v>
      </c>
      <c r="F409" s="68">
        <f t="shared" ref="F409:W409" si="241">SUBTOTAL(9,F406:F408)</f>
        <v>0</v>
      </c>
      <c r="G409" s="68">
        <f t="shared" si="241"/>
        <v>0</v>
      </c>
      <c r="H409" s="68">
        <f t="shared" si="241"/>
        <v>0</v>
      </c>
      <c r="I409" s="69">
        <f t="shared" si="241"/>
        <v>0</v>
      </c>
      <c r="J409" s="68">
        <f t="shared" si="241"/>
        <v>0</v>
      </c>
      <c r="K409" s="68">
        <f t="shared" si="241"/>
        <v>0</v>
      </c>
      <c r="L409" s="69">
        <f t="shared" si="241"/>
        <v>0</v>
      </c>
      <c r="M409" s="68">
        <f t="shared" si="241"/>
        <v>0</v>
      </c>
      <c r="N409" s="68">
        <f t="shared" si="241"/>
        <v>0</v>
      </c>
      <c r="O409" s="69">
        <f t="shared" si="241"/>
        <v>0</v>
      </c>
      <c r="P409" s="68">
        <f t="shared" si="241"/>
        <v>0</v>
      </c>
      <c r="Q409" s="68">
        <f t="shared" si="241"/>
        <v>0</v>
      </c>
      <c r="R409" s="69">
        <f t="shared" si="241"/>
        <v>0</v>
      </c>
      <c r="S409" s="68">
        <f t="shared" si="241"/>
        <v>0</v>
      </c>
      <c r="T409" s="68">
        <f t="shared" si="241"/>
        <v>0</v>
      </c>
      <c r="U409" s="69">
        <f t="shared" si="241"/>
        <v>0</v>
      </c>
      <c r="V409" s="68">
        <f t="shared" si="241"/>
        <v>0</v>
      </c>
      <c r="W409" s="68">
        <f t="shared" si="241"/>
        <v>0</v>
      </c>
    </row>
    <row r="410" spans="3:23" ht="15.75" hidden="1" thickBot="1" x14ac:dyDescent="0.3"/>
    <row r="411" spans="3:23" ht="15.75" hidden="1" thickBot="1" x14ac:dyDescent="0.3">
      <c r="C411" s="62">
        <f>IF(E411&gt;0,1,0)</f>
        <v>0</v>
      </c>
      <c r="D411" s="936" t="str">
        <f>+A44</f>
        <v>Putnam</v>
      </c>
      <c r="E411" s="938">
        <f>SUMIF(A:A,D411,B:B)</f>
        <v>0</v>
      </c>
      <c r="F411" s="940" t="s">
        <v>103</v>
      </c>
      <c r="G411" s="941"/>
      <c r="H411" s="942"/>
      <c r="I411" s="940" t="s">
        <v>102</v>
      </c>
      <c r="J411" s="941"/>
      <c r="K411" s="942"/>
      <c r="L411" s="940" t="s">
        <v>101</v>
      </c>
      <c r="M411" s="941"/>
      <c r="N411" s="942"/>
      <c r="O411" s="940" t="s">
        <v>100</v>
      </c>
      <c r="P411" s="941"/>
      <c r="Q411" s="942"/>
      <c r="R411" s="940" t="s">
        <v>99</v>
      </c>
      <c r="S411" s="941"/>
      <c r="T411" s="942"/>
      <c r="U411" s="940" t="s">
        <v>98</v>
      </c>
      <c r="V411" s="941"/>
      <c r="W411" s="943"/>
    </row>
    <row r="412" spans="3:23" ht="30.75" hidden="1" thickBot="1" x14ac:dyDescent="0.3">
      <c r="C412" s="62">
        <f>IF(E411&gt;0,1,0)</f>
        <v>0</v>
      </c>
      <c r="D412" s="937"/>
      <c r="E412" s="939"/>
      <c r="F412" s="88" t="s">
        <v>97</v>
      </c>
      <c r="G412" s="88" t="s">
        <v>96</v>
      </c>
      <c r="H412" s="88" t="s">
        <v>95</v>
      </c>
      <c r="I412" s="88" t="s">
        <v>97</v>
      </c>
      <c r="J412" s="88" t="s">
        <v>96</v>
      </c>
      <c r="K412" s="88" t="s">
        <v>95</v>
      </c>
      <c r="L412" s="88" t="s">
        <v>97</v>
      </c>
      <c r="M412" s="88" t="s">
        <v>96</v>
      </c>
      <c r="N412" s="88" t="s">
        <v>95</v>
      </c>
      <c r="O412" s="88" t="s">
        <v>97</v>
      </c>
      <c r="P412" s="88" t="s">
        <v>96</v>
      </c>
      <c r="Q412" s="88" t="s">
        <v>95</v>
      </c>
      <c r="R412" s="88" t="s">
        <v>97</v>
      </c>
      <c r="S412" s="88" t="s">
        <v>96</v>
      </c>
      <c r="T412" s="88" t="s">
        <v>95</v>
      </c>
      <c r="U412" s="88" t="s">
        <v>97</v>
      </c>
      <c r="V412" s="88" t="s">
        <v>96</v>
      </c>
      <c r="W412" s="87" t="s">
        <v>95</v>
      </c>
    </row>
    <row r="413" spans="3:23" ht="15.75" hidden="1" thickBot="1" x14ac:dyDescent="0.3">
      <c r="C413" s="62">
        <f>C412</f>
        <v>0</v>
      </c>
      <c r="D413" s="86"/>
      <c r="E413" s="85"/>
      <c r="F413" s="84" t="s">
        <v>57</v>
      </c>
      <c r="G413" s="84" t="s">
        <v>56</v>
      </c>
      <c r="H413" s="84" t="s">
        <v>55</v>
      </c>
      <c r="I413" s="84" t="s">
        <v>54</v>
      </c>
      <c r="J413" s="84" t="s">
        <v>53</v>
      </c>
      <c r="K413" s="84" t="s">
        <v>52</v>
      </c>
      <c r="L413" s="84" t="s">
        <v>51</v>
      </c>
      <c r="M413" s="84" t="s">
        <v>50</v>
      </c>
      <c r="N413" s="84" t="s">
        <v>49</v>
      </c>
      <c r="O413" s="84" t="s">
        <v>47</v>
      </c>
      <c r="P413" s="84" t="s">
        <v>77</v>
      </c>
      <c r="Q413" s="84" t="s">
        <v>78</v>
      </c>
      <c r="R413" s="84" t="s">
        <v>79</v>
      </c>
      <c r="S413" s="84" t="s">
        <v>81</v>
      </c>
      <c r="T413" s="84" t="s">
        <v>83</v>
      </c>
      <c r="U413" s="84" t="s">
        <v>85</v>
      </c>
      <c r="V413" s="84" t="s">
        <v>87</v>
      </c>
      <c r="W413" s="83" t="s">
        <v>88</v>
      </c>
    </row>
    <row r="414" spans="3:23" ht="15.75" hidden="1" thickBot="1" x14ac:dyDescent="0.3">
      <c r="C414" s="62">
        <f t="shared" ref="C414:C419" si="242">C413</f>
        <v>0</v>
      </c>
      <c r="D414" s="82" t="s">
        <v>26</v>
      </c>
      <c r="E414" s="80"/>
      <c r="F414" s="79"/>
      <c r="G414" s="79"/>
      <c r="H414" s="79"/>
      <c r="I414" s="79"/>
      <c r="J414" s="79"/>
      <c r="K414" s="79"/>
      <c r="L414" s="79"/>
      <c r="M414" s="79"/>
      <c r="N414" s="79"/>
      <c r="O414" s="79"/>
      <c r="P414" s="79"/>
      <c r="Q414" s="79"/>
      <c r="R414" s="79"/>
      <c r="S414" s="79"/>
      <c r="T414" s="79"/>
      <c r="U414" s="79"/>
      <c r="V414" s="79"/>
      <c r="W414" s="78"/>
    </row>
    <row r="415" spans="3:23" ht="15.75" hidden="1" thickBot="1" x14ac:dyDescent="0.3">
      <c r="C415" s="62">
        <f t="shared" si="242"/>
        <v>0</v>
      </c>
      <c r="D415" s="81" t="s">
        <v>94</v>
      </c>
      <c r="E415" s="80"/>
      <c r="F415" s="79"/>
      <c r="G415" s="79"/>
      <c r="H415" s="79"/>
      <c r="I415" s="79"/>
      <c r="J415" s="79"/>
      <c r="K415" s="79"/>
      <c r="L415" s="79"/>
      <c r="M415" s="79"/>
      <c r="N415" s="79"/>
      <c r="O415" s="79"/>
      <c r="P415" s="79"/>
      <c r="Q415" s="79"/>
      <c r="R415" s="79"/>
      <c r="S415" s="79"/>
      <c r="T415" s="79"/>
      <c r="U415" s="79"/>
      <c r="V415" s="79"/>
      <c r="W415" s="78"/>
    </row>
    <row r="416" spans="3:23" ht="15.75" hidden="1" thickBot="1" x14ac:dyDescent="0.3">
      <c r="C416" s="62">
        <f t="shared" si="242"/>
        <v>0</v>
      </c>
      <c r="D416" s="268" t="s">
        <v>93</v>
      </c>
      <c r="E416" s="76" t="s">
        <v>155</v>
      </c>
      <c r="F416" s="75">
        <f t="shared" ref="F416:T416" si="243">+F$8*$E411</f>
        <v>0</v>
      </c>
      <c r="G416" s="75">
        <f t="shared" si="243"/>
        <v>0</v>
      </c>
      <c r="H416" s="75">
        <f t="shared" si="243"/>
        <v>0</v>
      </c>
      <c r="I416" s="75">
        <f t="shared" si="243"/>
        <v>0</v>
      </c>
      <c r="J416" s="75">
        <f t="shared" si="243"/>
        <v>0</v>
      </c>
      <c r="K416" s="75">
        <f t="shared" si="243"/>
        <v>0</v>
      </c>
      <c r="L416" s="75">
        <f t="shared" si="243"/>
        <v>0</v>
      </c>
      <c r="M416" s="75">
        <f t="shared" ca="1" si="243"/>
        <v>0</v>
      </c>
      <c r="N416" s="75">
        <f t="shared" ca="1" si="243"/>
        <v>0</v>
      </c>
      <c r="O416" s="75">
        <f t="shared" si="243"/>
        <v>0</v>
      </c>
      <c r="P416" s="75">
        <f t="shared" si="243"/>
        <v>0</v>
      </c>
      <c r="Q416" s="75">
        <f t="shared" si="243"/>
        <v>0</v>
      </c>
      <c r="R416" s="75">
        <f t="shared" si="243"/>
        <v>0</v>
      </c>
      <c r="S416" s="75">
        <f t="shared" si="243"/>
        <v>0</v>
      </c>
      <c r="T416" s="75">
        <f t="shared" si="243"/>
        <v>0</v>
      </c>
      <c r="U416" s="73">
        <f t="shared" ref="U416:U418" si="244">+R416+O416+L416+I416+F416</f>
        <v>0</v>
      </c>
      <c r="V416" s="72">
        <f t="shared" ref="V416:V418" ca="1" si="245">+S416+P416+M416+J416+G416</f>
        <v>0</v>
      </c>
      <c r="W416" s="72">
        <f t="shared" ref="W416:W418" ca="1" si="246">+T416+Q416+N416+K416+H416</f>
        <v>0</v>
      </c>
    </row>
    <row r="417" spans="3:23" ht="15.75" hidden="1" thickBot="1" x14ac:dyDescent="0.3">
      <c r="C417" s="62">
        <f t="shared" si="242"/>
        <v>0</v>
      </c>
      <c r="D417" s="268" t="s">
        <v>92</v>
      </c>
      <c r="E417" s="76" t="s">
        <v>156</v>
      </c>
      <c r="F417" s="75">
        <f t="shared" ref="F417:T417" si="247">+F$9*$E411</f>
        <v>0</v>
      </c>
      <c r="G417" s="75">
        <f t="shared" si="247"/>
        <v>0</v>
      </c>
      <c r="H417" s="75">
        <f t="shared" si="247"/>
        <v>0</v>
      </c>
      <c r="I417" s="75">
        <f t="shared" si="247"/>
        <v>0</v>
      </c>
      <c r="J417" s="75">
        <f t="shared" si="247"/>
        <v>0</v>
      </c>
      <c r="K417" s="75">
        <f t="shared" si="247"/>
        <v>0</v>
      </c>
      <c r="L417" s="75">
        <f t="shared" si="247"/>
        <v>0</v>
      </c>
      <c r="M417" s="75">
        <f t="shared" si="247"/>
        <v>0</v>
      </c>
      <c r="N417" s="75">
        <f t="shared" si="247"/>
        <v>0</v>
      </c>
      <c r="O417" s="75">
        <f t="shared" si="247"/>
        <v>0</v>
      </c>
      <c r="P417" s="75">
        <f t="shared" si="247"/>
        <v>0</v>
      </c>
      <c r="Q417" s="75">
        <f t="shared" si="247"/>
        <v>0</v>
      </c>
      <c r="R417" s="75">
        <f t="shared" si="247"/>
        <v>0</v>
      </c>
      <c r="S417" s="75">
        <f t="shared" si="247"/>
        <v>0</v>
      </c>
      <c r="T417" s="75">
        <f t="shared" si="247"/>
        <v>0</v>
      </c>
      <c r="U417" s="73">
        <f t="shared" si="244"/>
        <v>0</v>
      </c>
      <c r="V417" s="72">
        <f t="shared" si="245"/>
        <v>0</v>
      </c>
      <c r="W417" s="72">
        <f t="shared" si="246"/>
        <v>0</v>
      </c>
    </row>
    <row r="418" spans="3:23" ht="15.75" hidden="1" thickBot="1" x14ac:dyDescent="0.3">
      <c r="C418" s="62">
        <f t="shared" si="242"/>
        <v>0</v>
      </c>
      <c r="D418" s="268" t="s">
        <v>91</v>
      </c>
      <c r="E418" s="76" t="s">
        <v>157</v>
      </c>
      <c r="F418" s="75">
        <f t="shared" ref="F418:T418" si="248">+F$10*$E411</f>
        <v>0</v>
      </c>
      <c r="G418" s="75">
        <f t="shared" si="248"/>
        <v>0</v>
      </c>
      <c r="H418" s="75">
        <f t="shared" si="248"/>
        <v>0</v>
      </c>
      <c r="I418" s="75">
        <f t="shared" si="248"/>
        <v>0</v>
      </c>
      <c r="J418" s="75">
        <f t="shared" si="248"/>
        <v>0</v>
      </c>
      <c r="K418" s="75">
        <f t="shared" si="248"/>
        <v>0</v>
      </c>
      <c r="L418" s="75">
        <f t="shared" si="248"/>
        <v>0</v>
      </c>
      <c r="M418" s="75">
        <f t="shared" ca="1" si="248"/>
        <v>0</v>
      </c>
      <c r="N418" s="75">
        <f t="shared" si="248"/>
        <v>0</v>
      </c>
      <c r="O418" s="75">
        <f t="shared" si="248"/>
        <v>0</v>
      </c>
      <c r="P418" s="75">
        <f t="shared" si="248"/>
        <v>0</v>
      </c>
      <c r="Q418" s="75">
        <f t="shared" si="248"/>
        <v>0</v>
      </c>
      <c r="R418" s="75">
        <f t="shared" si="248"/>
        <v>0</v>
      </c>
      <c r="S418" s="75">
        <f t="shared" si="248"/>
        <v>0</v>
      </c>
      <c r="T418" s="75">
        <f t="shared" si="248"/>
        <v>0</v>
      </c>
      <c r="U418" s="73">
        <f t="shared" si="244"/>
        <v>0</v>
      </c>
      <c r="V418" s="72">
        <f t="shared" ca="1" si="245"/>
        <v>0</v>
      </c>
      <c r="W418" s="72">
        <f t="shared" si="246"/>
        <v>0</v>
      </c>
    </row>
    <row r="419" spans="3:23" ht="15.75" hidden="1" thickBot="1" x14ac:dyDescent="0.3">
      <c r="C419" s="62">
        <f t="shared" si="242"/>
        <v>0</v>
      </c>
      <c r="D419" s="71" t="s">
        <v>48</v>
      </c>
      <c r="E419" s="70" t="s">
        <v>158</v>
      </c>
      <c r="F419" s="68">
        <f t="shared" ref="F419:W419" si="249">SUBTOTAL(9,F416:F418)</f>
        <v>0</v>
      </c>
      <c r="G419" s="68">
        <f t="shared" si="249"/>
        <v>0</v>
      </c>
      <c r="H419" s="68">
        <f t="shared" si="249"/>
        <v>0</v>
      </c>
      <c r="I419" s="69">
        <f t="shared" si="249"/>
        <v>0</v>
      </c>
      <c r="J419" s="68">
        <f t="shared" si="249"/>
        <v>0</v>
      </c>
      <c r="K419" s="68">
        <f t="shared" si="249"/>
        <v>0</v>
      </c>
      <c r="L419" s="69">
        <f t="shared" si="249"/>
        <v>0</v>
      </c>
      <c r="M419" s="68">
        <f t="shared" si="249"/>
        <v>0</v>
      </c>
      <c r="N419" s="68">
        <f t="shared" si="249"/>
        <v>0</v>
      </c>
      <c r="O419" s="69">
        <f t="shared" si="249"/>
        <v>0</v>
      </c>
      <c r="P419" s="68">
        <f t="shared" si="249"/>
        <v>0</v>
      </c>
      <c r="Q419" s="68">
        <f t="shared" si="249"/>
        <v>0</v>
      </c>
      <c r="R419" s="69">
        <f t="shared" si="249"/>
        <v>0</v>
      </c>
      <c r="S419" s="68">
        <f t="shared" si="249"/>
        <v>0</v>
      </c>
      <c r="T419" s="68">
        <f t="shared" si="249"/>
        <v>0</v>
      </c>
      <c r="U419" s="69">
        <f t="shared" si="249"/>
        <v>0</v>
      </c>
      <c r="V419" s="68">
        <f t="shared" si="249"/>
        <v>0</v>
      </c>
      <c r="W419" s="68">
        <f t="shared" si="249"/>
        <v>0</v>
      </c>
    </row>
    <row r="420" spans="3:23" ht="15.75" hidden="1" thickBot="1" x14ac:dyDescent="0.3"/>
    <row r="421" spans="3:23" x14ac:dyDescent="0.25">
      <c r="C421" s="62">
        <f>IF(E421&gt;0,1,0)</f>
        <v>1</v>
      </c>
      <c r="D421" s="936" t="str">
        <f>+A45</f>
        <v>Queens</v>
      </c>
      <c r="E421" s="938">
        <f>SUMIF(A:A,D421,B:B)</f>
        <v>0.18616689504483311</v>
      </c>
      <c r="F421" s="940" t="s">
        <v>103</v>
      </c>
      <c r="G421" s="941"/>
      <c r="H421" s="942"/>
      <c r="I421" s="940" t="s">
        <v>102</v>
      </c>
      <c r="J421" s="941"/>
      <c r="K421" s="942"/>
      <c r="L421" s="940" t="s">
        <v>101</v>
      </c>
      <c r="M421" s="941"/>
      <c r="N421" s="942"/>
      <c r="O421" s="940" t="s">
        <v>100</v>
      </c>
      <c r="P421" s="941"/>
      <c r="Q421" s="942"/>
      <c r="R421" s="940" t="s">
        <v>99</v>
      </c>
      <c r="S421" s="941"/>
      <c r="T421" s="942"/>
      <c r="U421" s="940" t="s">
        <v>98</v>
      </c>
      <c r="V421" s="941"/>
      <c r="W421" s="943"/>
    </row>
    <row r="422" spans="3:23" ht="30" x14ac:dyDescent="0.25">
      <c r="C422" s="62">
        <f>IF(E421&gt;0,1,0)</f>
        <v>1</v>
      </c>
      <c r="D422" s="937"/>
      <c r="E422" s="939"/>
      <c r="F422" s="88" t="s">
        <v>97</v>
      </c>
      <c r="G422" s="88" t="s">
        <v>96</v>
      </c>
      <c r="H422" s="88" t="s">
        <v>95</v>
      </c>
      <c r="I422" s="88" t="s">
        <v>97</v>
      </c>
      <c r="J422" s="88" t="s">
        <v>96</v>
      </c>
      <c r="K422" s="88" t="s">
        <v>95</v>
      </c>
      <c r="L422" s="88" t="s">
        <v>97</v>
      </c>
      <c r="M422" s="88" t="s">
        <v>96</v>
      </c>
      <c r="N422" s="88" t="s">
        <v>95</v>
      </c>
      <c r="O422" s="88" t="s">
        <v>97</v>
      </c>
      <c r="P422" s="88" t="s">
        <v>96</v>
      </c>
      <c r="Q422" s="88" t="s">
        <v>95</v>
      </c>
      <c r="R422" s="88" t="s">
        <v>97</v>
      </c>
      <c r="S422" s="88" t="s">
        <v>96</v>
      </c>
      <c r="T422" s="88" t="s">
        <v>95</v>
      </c>
      <c r="U422" s="88" t="s">
        <v>97</v>
      </c>
      <c r="V422" s="88" t="s">
        <v>96</v>
      </c>
      <c r="W422" s="87" t="s">
        <v>95</v>
      </c>
    </row>
    <row r="423" spans="3:23" x14ac:dyDescent="0.25">
      <c r="C423" s="62">
        <f>C422</f>
        <v>1</v>
      </c>
      <c r="D423" s="86"/>
      <c r="E423" s="85"/>
      <c r="F423" s="84" t="s">
        <v>57</v>
      </c>
      <c r="G423" s="84" t="s">
        <v>56</v>
      </c>
      <c r="H423" s="84" t="s">
        <v>55</v>
      </c>
      <c r="I423" s="84" t="s">
        <v>54</v>
      </c>
      <c r="J423" s="84" t="s">
        <v>53</v>
      </c>
      <c r="K423" s="84" t="s">
        <v>52</v>
      </c>
      <c r="L423" s="84" t="s">
        <v>51</v>
      </c>
      <c r="M423" s="84" t="s">
        <v>50</v>
      </c>
      <c r="N423" s="84" t="s">
        <v>49</v>
      </c>
      <c r="O423" s="84" t="s">
        <v>47</v>
      </c>
      <c r="P423" s="84" t="s">
        <v>77</v>
      </c>
      <c r="Q423" s="84" t="s">
        <v>78</v>
      </c>
      <c r="R423" s="84" t="s">
        <v>79</v>
      </c>
      <c r="S423" s="84" t="s">
        <v>81</v>
      </c>
      <c r="T423" s="84" t="s">
        <v>83</v>
      </c>
      <c r="U423" s="84" t="s">
        <v>85</v>
      </c>
      <c r="V423" s="84" t="s">
        <v>87</v>
      </c>
      <c r="W423" s="83" t="s">
        <v>88</v>
      </c>
    </row>
    <row r="424" spans="3:23" x14ac:dyDescent="0.25">
      <c r="C424" s="62">
        <f t="shared" ref="C424:C429" si="250">C423</f>
        <v>1</v>
      </c>
      <c r="D424" s="82" t="s">
        <v>26</v>
      </c>
      <c r="E424" s="80"/>
      <c r="F424" s="79"/>
      <c r="G424" s="79"/>
      <c r="H424" s="79"/>
      <c r="I424" s="79"/>
      <c r="J424" s="79"/>
      <c r="K424" s="79"/>
      <c r="L424" s="79"/>
      <c r="M424" s="79"/>
      <c r="N424" s="79"/>
      <c r="O424" s="79"/>
      <c r="P424" s="79"/>
      <c r="Q424" s="79"/>
      <c r="R424" s="79"/>
      <c r="S424" s="79"/>
      <c r="T424" s="79"/>
      <c r="U424" s="79"/>
      <c r="V424" s="79"/>
      <c r="W424" s="78"/>
    </row>
    <row r="425" spans="3:23" x14ac:dyDescent="0.25">
      <c r="C425" s="62">
        <f t="shared" si="250"/>
        <v>1</v>
      </c>
      <c r="D425" s="81" t="s">
        <v>94</v>
      </c>
      <c r="E425" s="80"/>
      <c r="F425" s="79"/>
      <c r="G425" s="79"/>
      <c r="H425" s="79"/>
      <c r="I425" s="79"/>
      <c r="J425" s="79"/>
      <c r="K425" s="79"/>
      <c r="L425" s="79"/>
      <c r="M425" s="79"/>
      <c r="N425" s="79"/>
      <c r="O425" s="79"/>
      <c r="P425" s="79"/>
      <c r="Q425" s="79"/>
      <c r="R425" s="79"/>
      <c r="S425" s="79"/>
      <c r="T425" s="79"/>
      <c r="U425" s="79"/>
      <c r="V425" s="79"/>
      <c r="W425" s="78"/>
    </row>
    <row r="426" spans="3:23" x14ac:dyDescent="0.25">
      <c r="C426" s="62">
        <f t="shared" si="250"/>
        <v>1</v>
      </c>
      <c r="D426" s="268" t="s">
        <v>93</v>
      </c>
      <c r="E426" s="76" t="s">
        <v>155</v>
      </c>
      <c r="F426" s="75">
        <f t="shared" ref="F426:T426" si="251">+F$8*$E421</f>
        <v>0</v>
      </c>
      <c r="G426" s="75">
        <f t="shared" si="251"/>
        <v>0</v>
      </c>
      <c r="H426" s="75">
        <f t="shared" si="251"/>
        <v>0</v>
      </c>
      <c r="I426" s="75">
        <f t="shared" si="251"/>
        <v>0</v>
      </c>
      <c r="J426" s="75">
        <f t="shared" si="251"/>
        <v>0</v>
      </c>
      <c r="K426" s="75">
        <f t="shared" si="251"/>
        <v>0</v>
      </c>
      <c r="L426" s="75">
        <f t="shared" si="251"/>
        <v>649.13242831838556</v>
      </c>
      <c r="M426" s="75">
        <f t="shared" ca="1" si="251"/>
        <v>26291597.314967707</v>
      </c>
      <c r="N426" s="75">
        <f t="shared" ca="1" si="251"/>
        <v>625076.78171018872</v>
      </c>
      <c r="O426" s="75">
        <f t="shared" si="251"/>
        <v>0</v>
      </c>
      <c r="P426" s="75">
        <f t="shared" si="251"/>
        <v>0</v>
      </c>
      <c r="Q426" s="75">
        <f t="shared" si="251"/>
        <v>0</v>
      </c>
      <c r="R426" s="75">
        <f t="shared" si="251"/>
        <v>0</v>
      </c>
      <c r="S426" s="75">
        <f t="shared" si="251"/>
        <v>0</v>
      </c>
      <c r="T426" s="75">
        <f t="shared" si="251"/>
        <v>0</v>
      </c>
      <c r="U426" s="73">
        <f t="shared" ref="U426:U428" si="252">+R426+O426+L426+I426+F426</f>
        <v>649.13242831838556</v>
      </c>
      <c r="V426" s="72">
        <f t="shared" ref="V426:V428" ca="1" si="253">+S426+P426+M426+J426+G426</f>
        <v>26291597.314967707</v>
      </c>
      <c r="W426" s="72">
        <f t="shared" ref="W426:W428" ca="1" si="254">+T426+Q426+N426+K426+H426</f>
        <v>625076.78171018872</v>
      </c>
    </row>
    <row r="427" spans="3:23" x14ac:dyDescent="0.25">
      <c r="C427" s="62">
        <f t="shared" si="250"/>
        <v>1</v>
      </c>
      <c r="D427" s="268" t="s">
        <v>92</v>
      </c>
      <c r="E427" s="76" t="s">
        <v>156</v>
      </c>
      <c r="F427" s="75">
        <f t="shared" ref="F427:T427" si="255">+F$9*$E421</f>
        <v>0</v>
      </c>
      <c r="G427" s="75">
        <f t="shared" si="255"/>
        <v>0</v>
      </c>
      <c r="H427" s="75">
        <f t="shared" si="255"/>
        <v>0</v>
      </c>
      <c r="I427" s="75">
        <f t="shared" si="255"/>
        <v>0</v>
      </c>
      <c r="J427" s="75">
        <f t="shared" si="255"/>
        <v>0</v>
      </c>
      <c r="K427" s="75">
        <f t="shared" si="255"/>
        <v>0</v>
      </c>
      <c r="L427" s="75">
        <f t="shared" si="255"/>
        <v>0</v>
      </c>
      <c r="M427" s="75">
        <f t="shared" si="255"/>
        <v>0</v>
      </c>
      <c r="N427" s="75">
        <f t="shared" si="255"/>
        <v>0</v>
      </c>
      <c r="O427" s="75">
        <f t="shared" si="255"/>
        <v>0</v>
      </c>
      <c r="P427" s="75">
        <f t="shared" si="255"/>
        <v>0</v>
      </c>
      <c r="Q427" s="75">
        <f t="shared" si="255"/>
        <v>0</v>
      </c>
      <c r="R427" s="75">
        <f t="shared" si="255"/>
        <v>0</v>
      </c>
      <c r="S427" s="75">
        <f t="shared" si="255"/>
        <v>0</v>
      </c>
      <c r="T427" s="75">
        <f t="shared" si="255"/>
        <v>0</v>
      </c>
      <c r="U427" s="73">
        <f t="shared" si="252"/>
        <v>0</v>
      </c>
      <c r="V427" s="72">
        <f t="shared" si="253"/>
        <v>0</v>
      </c>
      <c r="W427" s="72">
        <f t="shared" si="254"/>
        <v>0</v>
      </c>
    </row>
    <row r="428" spans="3:23" x14ac:dyDescent="0.25">
      <c r="C428" s="62">
        <f t="shared" si="250"/>
        <v>1</v>
      </c>
      <c r="D428" s="268" t="s">
        <v>91</v>
      </c>
      <c r="E428" s="76" t="s">
        <v>157</v>
      </c>
      <c r="F428" s="75">
        <f t="shared" ref="F428:T428" si="256">+F$10*$E421</f>
        <v>0</v>
      </c>
      <c r="G428" s="75">
        <f t="shared" si="256"/>
        <v>0</v>
      </c>
      <c r="H428" s="75">
        <f t="shared" si="256"/>
        <v>0</v>
      </c>
      <c r="I428" s="75">
        <f t="shared" si="256"/>
        <v>0</v>
      </c>
      <c r="J428" s="75">
        <f t="shared" si="256"/>
        <v>0</v>
      </c>
      <c r="K428" s="75">
        <f t="shared" si="256"/>
        <v>0</v>
      </c>
      <c r="L428" s="75">
        <f t="shared" si="256"/>
        <v>0.81123567065509905</v>
      </c>
      <c r="M428" s="75">
        <f t="shared" ca="1" si="256"/>
        <v>218948.09275880255</v>
      </c>
      <c r="N428" s="75">
        <f t="shared" si="256"/>
        <v>0</v>
      </c>
      <c r="O428" s="75">
        <f t="shared" si="256"/>
        <v>0</v>
      </c>
      <c r="P428" s="75">
        <f t="shared" si="256"/>
        <v>0</v>
      </c>
      <c r="Q428" s="75">
        <f t="shared" si="256"/>
        <v>0</v>
      </c>
      <c r="R428" s="75">
        <f t="shared" si="256"/>
        <v>0</v>
      </c>
      <c r="S428" s="75">
        <f t="shared" si="256"/>
        <v>0</v>
      </c>
      <c r="T428" s="75">
        <f t="shared" si="256"/>
        <v>0</v>
      </c>
      <c r="U428" s="73">
        <f t="shared" si="252"/>
        <v>0.81123567065509905</v>
      </c>
      <c r="V428" s="72">
        <f t="shared" ca="1" si="253"/>
        <v>218948.09275880255</v>
      </c>
      <c r="W428" s="72">
        <f t="shared" si="254"/>
        <v>0</v>
      </c>
    </row>
    <row r="429" spans="3:23" ht="15.75" thickBot="1" x14ac:dyDescent="0.3">
      <c r="C429" s="62">
        <f t="shared" si="250"/>
        <v>1</v>
      </c>
      <c r="D429" s="71" t="s">
        <v>48</v>
      </c>
      <c r="E429" s="70" t="s">
        <v>158</v>
      </c>
      <c r="F429" s="68">
        <f t="shared" ref="F429:W429" si="257">SUBTOTAL(9,F426:F428)</f>
        <v>0</v>
      </c>
      <c r="G429" s="68">
        <f t="shared" si="257"/>
        <v>0</v>
      </c>
      <c r="H429" s="68">
        <f t="shared" si="257"/>
        <v>0</v>
      </c>
      <c r="I429" s="69">
        <f t="shared" si="257"/>
        <v>0</v>
      </c>
      <c r="J429" s="68">
        <f t="shared" si="257"/>
        <v>0</v>
      </c>
      <c r="K429" s="68">
        <f t="shared" si="257"/>
        <v>0</v>
      </c>
      <c r="L429" s="69">
        <f t="shared" si="257"/>
        <v>649.94366398904072</v>
      </c>
      <c r="M429" s="68">
        <f t="shared" ca="1" si="257"/>
        <v>26510545.407726508</v>
      </c>
      <c r="N429" s="68">
        <f t="shared" ca="1" si="257"/>
        <v>625076.78171018872</v>
      </c>
      <c r="O429" s="69">
        <f t="shared" si="257"/>
        <v>0</v>
      </c>
      <c r="P429" s="68">
        <f t="shared" si="257"/>
        <v>0</v>
      </c>
      <c r="Q429" s="68">
        <f t="shared" si="257"/>
        <v>0</v>
      </c>
      <c r="R429" s="69">
        <f t="shared" si="257"/>
        <v>0</v>
      </c>
      <c r="S429" s="68">
        <f t="shared" si="257"/>
        <v>0</v>
      </c>
      <c r="T429" s="68">
        <f t="shared" si="257"/>
        <v>0</v>
      </c>
      <c r="U429" s="69">
        <f t="shared" si="257"/>
        <v>649.94366398904072</v>
      </c>
      <c r="V429" s="68">
        <f t="shared" ca="1" si="257"/>
        <v>26510545.407726508</v>
      </c>
      <c r="W429" s="68">
        <f t="shared" ca="1" si="257"/>
        <v>625076.78171018872</v>
      </c>
    </row>
    <row r="430" spans="3:23" ht="15.75" hidden="1" thickBot="1" x14ac:dyDescent="0.3"/>
    <row r="431" spans="3:23" ht="15.75" hidden="1" thickBot="1" x14ac:dyDescent="0.3"/>
    <row r="432" spans="3:23" x14ac:dyDescent="0.25">
      <c r="C432" s="62">
        <f>IF(E432&gt;0,1,0)</f>
        <v>1</v>
      </c>
      <c r="D432" s="936" t="str">
        <f>+A46</f>
        <v>Rensselaer</v>
      </c>
      <c r="E432" s="938">
        <f>SUMIF(A:A,D432,B:B)</f>
        <v>1.5563194213553365E-3</v>
      </c>
      <c r="F432" s="940" t="s">
        <v>103</v>
      </c>
      <c r="G432" s="941"/>
      <c r="H432" s="942"/>
      <c r="I432" s="940" t="s">
        <v>102</v>
      </c>
      <c r="J432" s="941"/>
      <c r="K432" s="942"/>
      <c r="L432" s="940" t="s">
        <v>101</v>
      </c>
      <c r="M432" s="941"/>
      <c r="N432" s="942"/>
      <c r="O432" s="940" t="s">
        <v>100</v>
      </c>
      <c r="P432" s="941"/>
      <c r="Q432" s="942"/>
      <c r="R432" s="940" t="s">
        <v>99</v>
      </c>
      <c r="S432" s="941"/>
      <c r="T432" s="942"/>
      <c r="U432" s="940" t="s">
        <v>98</v>
      </c>
      <c r="V432" s="941"/>
      <c r="W432" s="943"/>
    </row>
    <row r="433" spans="3:23" ht="30" x14ac:dyDescent="0.25">
      <c r="C433" s="62">
        <f>IF(E432&gt;0,1,0)</f>
        <v>1</v>
      </c>
      <c r="D433" s="937"/>
      <c r="E433" s="939"/>
      <c r="F433" s="88" t="s">
        <v>97</v>
      </c>
      <c r="G433" s="88" t="s">
        <v>96</v>
      </c>
      <c r="H433" s="88" t="s">
        <v>95</v>
      </c>
      <c r="I433" s="88" t="s">
        <v>97</v>
      </c>
      <c r="J433" s="88" t="s">
        <v>96</v>
      </c>
      <c r="K433" s="88" t="s">
        <v>95</v>
      </c>
      <c r="L433" s="88" t="s">
        <v>97</v>
      </c>
      <c r="M433" s="88" t="s">
        <v>96</v>
      </c>
      <c r="N433" s="88" t="s">
        <v>95</v>
      </c>
      <c r="O433" s="88" t="s">
        <v>97</v>
      </c>
      <c r="P433" s="88" t="s">
        <v>96</v>
      </c>
      <c r="Q433" s="88" t="s">
        <v>95</v>
      </c>
      <c r="R433" s="88" t="s">
        <v>97</v>
      </c>
      <c r="S433" s="88" t="s">
        <v>96</v>
      </c>
      <c r="T433" s="88" t="s">
        <v>95</v>
      </c>
      <c r="U433" s="88" t="s">
        <v>97</v>
      </c>
      <c r="V433" s="88" t="s">
        <v>96</v>
      </c>
      <c r="W433" s="87" t="s">
        <v>95</v>
      </c>
    </row>
    <row r="434" spans="3:23" x14ac:dyDescent="0.25">
      <c r="C434" s="62">
        <f>C433</f>
        <v>1</v>
      </c>
      <c r="D434" s="86"/>
      <c r="E434" s="85"/>
      <c r="F434" s="84" t="s">
        <v>57</v>
      </c>
      <c r="G434" s="84" t="s">
        <v>56</v>
      </c>
      <c r="H434" s="84" t="s">
        <v>55</v>
      </c>
      <c r="I434" s="84" t="s">
        <v>54</v>
      </c>
      <c r="J434" s="84" t="s">
        <v>53</v>
      </c>
      <c r="K434" s="84" t="s">
        <v>52</v>
      </c>
      <c r="L434" s="84" t="s">
        <v>51</v>
      </c>
      <c r="M434" s="84" t="s">
        <v>50</v>
      </c>
      <c r="N434" s="84" t="s">
        <v>49</v>
      </c>
      <c r="O434" s="84" t="s">
        <v>47</v>
      </c>
      <c r="P434" s="84" t="s">
        <v>77</v>
      </c>
      <c r="Q434" s="84" t="s">
        <v>78</v>
      </c>
      <c r="R434" s="84" t="s">
        <v>79</v>
      </c>
      <c r="S434" s="84" t="s">
        <v>81</v>
      </c>
      <c r="T434" s="84" t="s">
        <v>83</v>
      </c>
      <c r="U434" s="84" t="s">
        <v>85</v>
      </c>
      <c r="V434" s="84" t="s">
        <v>87</v>
      </c>
      <c r="W434" s="83" t="s">
        <v>88</v>
      </c>
    </row>
    <row r="435" spans="3:23" x14ac:dyDescent="0.25">
      <c r="C435" s="62">
        <f t="shared" ref="C435:C440" si="258">C434</f>
        <v>1</v>
      </c>
      <c r="D435" s="82" t="s">
        <v>26</v>
      </c>
      <c r="E435" s="80"/>
      <c r="F435" s="79"/>
      <c r="G435" s="79"/>
      <c r="H435" s="79"/>
      <c r="I435" s="79"/>
      <c r="J435" s="79"/>
      <c r="K435" s="79"/>
      <c r="L435" s="79"/>
      <c r="M435" s="79"/>
      <c r="N435" s="79"/>
      <c r="O435" s="79"/>
      <c r="P435" s="79"/>
      <c r="Q435" s="79"/>
      <c r="R435" s="79"/>
      <c r="S435" s="79"/>
      <c r="T435" s="79"/>
      <c r="U435" s="79"/>
      <c r="V435" s="79"/>
      <c r="W435" s="78"/>
    </row>
    <row r="436" spans="3:23" x14ac:dyDescent="0.25">
      <c r="C436" s="62">
        <f t="shared" si="258"/>
        <v>1</v>
      </c>
      <c r="D436" s="81" t="s">
        <v>94</v>
      </c>
      <c r="E436" s="80"/>
      <c r="F436" s="79"/>
      <c r="G436" s="79"/>
      <c r="H436" s="79"/>
      <c r="I436" s="79"/>
      <c r="J436" s="79"/>
      <c r="K436" s="79"/>
      <c r="L436" s="79"/>
      <c r="M436" s="79"/>
      <c r="N436" s="79"/>
      <c r="O436" s="79"/>
      <c r="P436" s="79"/>
      <c r="Q436" s="79"/>
      <c r="R436" s="79"/>
      <c r="S436" s="79"/>
      <c r="T436" s="79"/>
      <c r="U436" s="79"/>
      <c r="V436" s="79"/>
      <c r="W436" s="78"/>
    </row>
    <row r="437" spans="3:23" x14ac:dyDescent="0.25">
      <c r="C437" s="62">
        <f t="shared" si="258"/>
        <v>1</v>
      </c>
      <c r="D437" s="268" t="s">
        <v>93</v>
      </c>
      <c r="E437" s="76" t="s">
        <v>155</v>
      </c>
      <c r="F437" s="75">
        <f t="shared" ref="F437:T437" si="259">+F$8*$E432</f>
        <v>0</v>
      </c>
      <c r="G437" s="75">
        <f t="shared" si="259"/>
        <v>0</v>
      </c>
      <c r="H437" s="75">
        <f t="shared" si="259"/>
        <v>0</v>
      </c>
      <c r="I437" s="75">
        <f t="shared" si="259"/>
        <v>0</v>
      </c>
      <c r="J437" s="75">
        <f t="shared" si="259"/>
        <v>0</v>
      </c>
      <c r="K437" s="75">
        <f t="shared" si="259"/>
        <v>0</v>
      </c>
      <c r="L437" s="75">
        <f t="shared" si="259"/>
        <v>5.426622198217153</v>
      </c>
      <c r="M437" s="75">
        <f t="shared" ca="1" si="259"/>
        <v>219792.69466724506</v>
      </c>
      <c r="N437" s="75">
        <f t="shared" ca="1" si="259"/>
        <v>5225.5216212290616</v>
      </c>
      <c r="O437" s="75">
        <f t="shared" si="259"/>
        <v>0</v>
      </c>
      <c r="P437" s="75">
        <f t="shared" si="259"/>
        <v>0</v>
      </c>
      <c r="Q437" s="75">
        <f t="shared" si="259"/>
        <v>0</v>
      </c>
      <c r="R437" s="75">
        <f t="shared" si="259"/>
        <v>0</v>
      </c>
      <c r="S437" s="75">
        <f t="shared" si="259"/>
        <v>0</v>
      </c>
      <c r="T437" s="75">
        <f t="shared" si="259"/>
        <v>0</v>
      </c>
      <c r="U437" s="73">
        <f t="shared" ref="U437:U439" si="260">+R437+O437+L437+I437+F437</f>
        <v>5.426622198217153</v>
      </c>
      <c r="V437" s="72">
        <f t="shared" ref="V437:V439" ca="1" si="261">+S437+P437+M437+J437+G437</f>
        <v>219792.69466724506</v>
      </c>
      <c r="W437" s="72">
        <f t="shared" ref="W437:W439" ca="1" si="262">+T437+Q437+N437+K437+H437</f>
        <v>5225.5216212290616</v>
      </c>
    </row>
    <row r="438" spans="3:23" x14ac:dyDescent="0.25">
      <c r="C438" s="62">
        <f t="shared" si="258"/>
        <v>1</v>
      </c>
      <c r="D438" s="268" t="s">
        <v>92</v>
      </c>
      <c r="E438" s="76" t="s">
        <v>156</v>
      </c>
      <c r="F438" s="75">
        <f t="shared" ref="F438:T438" si="263">+F$9*$E432</f>
        <v>0</v>
      </c>
      <c r="G438" s="75">
        <f t="shared" si="263"/>
        <v>0</v>
      </c>
      <c r="H438" s="75">
        <f t="shared" si="263"/>
        <v>0</v>
      </c>
      <c r="I438" s="75">
        <f t="shared" si="263"/>
        <v>0</v>
      </c>
      <c r="J438" s="75">
        <f t="shared" si="263"/>
        <v>0</v>
      </c>
      <c r="K438" s="75">
        <f t="shared" si="263"/>
        <v>0</v>
      </c>
      <c r="L438" s="75">
        <f t="shared" si="263"/>
        <v>0</v>
      </c>
      <c r="M438" s="75">
        <f t="shared" si="263"/>
        <v>0</v>
      </c>
      <c r="N438" s="75">
        <f t="shared" si="263"/>
        <v>0</v>
      </c>
      <c r="O438" s="75">
        <f t="shared" si="263"/>
        <v>0</v>
      </c>
      <c r="P438" s="75">
        <f t="shared" si="263"/>
        <v>0</v>
      </c>
      <c r="Q438" s="75">
        <f t="shared" si="263"/>
        <v>0</v>
      </c>
      <c r="R438" s="75">
        <f t="shared" si="263"/>
        <v>0</v>
      </c>
      <c r="S438" s="75">
        <f t="shared" si="263"/>
        <v>0</v>
      </c>
      <c r="T438" s="75">
        <f t="shared" si="263"/>
        <v>0</v>
      </c>
      <c r="U438" s="73">
        <f t="shared" si="260"/>
        <v>0</v>
      </c>
      <c r="V438" s="72">
        <f t="shared" si="261"/>
        <v>0</v>
      </c>
      <c r="W438" s="72">
        <f t="shared" si="262"/>
        <v>0</v>
      </c>
    </row>
    <row r="439" spans="3:23" x14ac:dyDescent="0.25">
      <c r="C439" s="62">
        <f t="shared" si="258"/>
        <v>1</v>
      </c>
      <c r="D439" s="268" t="s">
        <v>91</v>
      </c>
      <c r="E439" s="76" t="s">
        <v>157</v>
      </c>
      <c r="F439" s="75">
        <f t="shared" ref="F439:T439" si="264">+F$10*$E432</f>
        <v>0</v>
      </c>
      <c r="G439" s="75">
        <f t="shared" si="264"/>
        <v>0</v>
      </c>
      <c r="H439" s="75">
        <f t="shared" si="264"/>
        <v>0</v>
      </c>
      <c r="I439" s="75">
        <f t="shared" si="264"/>
        <v>0</v>
      </c>
      <c r="J439" s="75">
        <f t="shared" si="264"/>
        <v>0</v>
      </c>
      <c r="K439" s="75">
        <f t="shared" si="264"/>
        <v>0</v>
      </c>
      <c r="L439" s="75">
        <f t="shared" si="264"/>
        <v>6.7817741131295335E-3</v>
      </c>
      <c r="M439" s="75">
        <f t="shared" ca="1" si="264"/>
        <v>1830.363926664691</v>
      </c>
      <c r="N439" s="75">
        <f t="shared" si="264"/>
        <v>0</v>
      </c>
      <c r="O439" s="75">
        <f t="shared" si="264"/>
        <v>0</v>
      </c>
      <c r="P439" s="75">
        <f t="shared" si="264"/>
        <v>0</v>
      </c>
      <c r="Q439" s="75">
        <f t="shared" si="264"/>
        <v>0</v>
      </c>
      <c r="R439" s="75">
        <f t="shared" si="264"/>
        <v>0</v>
      </c>
      <c r="S439" s="75">
        <f t="shared" si="264"/>
        <v>0</v>
      </c>
      <c r="T439" s="75">
        <f t="shared" si="264"/>
        <v>0</v>
      </c>
      <c r="U439" s="73">
        <f t="shared" si="260"/>
        <v>6.7817741131295335E-3</v>
      </c>
      <c r="V439" s="72">
        <f t="shared" ca="1" si="261"/>
        <v>1830.363926664691</v>
      </c>
      <c r="W439" s="72">
        <f t="shared" si="262"/>
        <v>0</v>
      </c>
    </row>
    <row r="440" spans="3:23" ht="15.75" thickBot="1" x14ac:dyDescent="0.3">
      <c r="C440" s="62">
        <f t="shared" si="258"/>
        <v>1</v>
      </c>
      <c r="D440" s="71" t="s">
        <v>48</v>
      </c>
      <c r="E440" s="70" t="s">
        <v>158</v>
      </c>
      <c r="F440" s="68">
        <f t="shared" ref="F440:W440" si="265">SUBTOTAL(9,F437:F439)</f>
        <v>0</v>
      </c>
      <c r="G440" s="68">
        <f t="shared" si="265"/>
        <v>0</v>
      </c>
      <c r="H440" s="68">
        <f t="shared" si="265"/>
        <v>0</v>
      </c>
      <c r="I440" s="69">
        <f t="shared" si="265"/>
        <v>0</v>
      </c>
      <c r="J440" s="68">
        <f t="shared" si="265"/>
        <v>0</v>
      </c>
      <c r="K440" s="68">
        <f t="shared" si="265"/>
        <v>0</v>
      </c>
      <c r="L440" s="69">
        <f t="shared" si="265"/>
        <v>5.4334039723302823</v>
      </c>
      <c r="M440" s="68">
        <f t="shared" ca="1" si="265"/>
        <v>221623.05859390975</v>
      </c>
      <c r="N440" s="68">
        <f t="shared" ca="1" si="265"/>
        <v>5225.5216212290616</v>
      </c>
      <c r="O440" s="69">
        <f t="shared" si="265"/>
        <v>0</v>
      </c>
      <c r="P440" s="68">
        <f t="shared" si="265"/>
        <v>0</v>
      </c>
      <c r="Q440" s="68">
        <f t="shared" si="265"/>
        <v>0</v>
      </c>
      <c r="R440" s="69">
        <f t="shared" si="265"/>
        <v>0</v>
      </c>
      <c r="S440" s="68">
        <f t="shared" si="265"/>
        <v>0</v>
      </c>
      <c r="T440" s="68">
        <f t="shared" si="265"/>
        <v>0</v>
      </c>
      <c r="U440" s="69">
        <f t="shared" si="265"/>
        <v>5.4334039723302823</v>
      </c>
      <c r="V440" s="68">
        <f t="shared" ca="1" si="265"/>
        <v>221623.05859390975</v>
      </c>
      <c r="W440" s="68">
        <f t="shared" ca="1" si="265"/>
        <v>5225.5216212290616</v>
      </c>
    </row>
    <row r="441" spans="3:23" ht="15.75" hidden="1" thickBot="1" x14ac:dyDescent="0.3"/>
    <row r="442" spans="3:23" x14ac:dyDescent="0.25">
      <c r="C442" s="62">
        <f>IF(E442&gt;0,1,0)</f>
        <v>1</v>
      </c>
      <c r="D442" s="936" t="str">
        <f>+A47</f>
        <v>Richmond</v>
      </c>
      <c r="E442" s="938">
        <f>SUMIF(A:A,D442,B:B)</f>
        <v>0.11418343852982973</v>
      </c>
      <c r="F442" s="940" t="s">
        <v>103</v>
      </c>
      <c r="G442" s="941"/>
      <c r="H442" s="942"/>
      <c r="I442" s="940" t="s">
        <v>102</v>
      </c>
      <c r="J442" s="941"/>
      <c r="K442" s="942"/>
      <c r="L442" s="940" t="s">
        <v>101</v>
      </c>
      <c r="M442" s="941"/>
      <c r="N442" s="942"/>
      <c r="O442" s="940" t="s">
        <v>100</v>
      </c>
      <c r="P442" s="941"/>
      <c r="Q442" s="942"/>
      <c r="R442" s="940" t="s">
        <v>99</v>
      </c>
      <c r="S442" s="941"/>
      <c r="T442" s="942"/>
      <c r="U442" s="940" t="s">
        <v>98</v>
      </c>
      <c r="V442" s="941"/>
      <c r="W442" s="943"/>
    </row>
    <row r="443" spans="3:23" ht="30" x14ac:dyDescent="0.25">
      <c r="C443" s="62">
        <f>IF(E442&gt;0,1,0)</f>
        <v>1</v>
      </c>
      <c r="D443" s="937"/>
      <c r="E443" s="939"/>
      <c r="F443" s="88" t="s">
        <v>97</v>
      </c>
      <c r="G443" s="88" t="s">
        <v>96</v>
      </c>
      <c r="H443" s="88" t="s">
        <v>95</v>
      </c>
      <c r="I443" s="88" t="s">
        <v>97</v>
      </c>
      <c r="J443" s="88" t="s">
        <v>96</v>
      </c>
      <c r="K443" s="88" t="s">
        <v>95</v>
      </c>
      <c r="L443" s="88" t="s">
        <v>97</v>
      </c>
      <c r="M443" s="88" t="s">
        <v>96</v>
      </c>
      <c r="N443" s="88" t="s">
        <v>95</v>
      </c>
      <c r="O443" s="88" t="s">
        <v>97</v>
      </c>
      <c r="P443" s="88" t="s">
        <v>96</v>
      </c>
      <c r="Q443" s="88" t="s">
        <v>95</v>
      </c>
      <c r="R443" s="88" t="s">
        <v>97</v>
      </c>
      <c r="S443" s="88" t="s">
        <v>96</v>
      </c>
      <c r="T443" s="88" t="s">
        <v>95</v>
      </c>
      <c r="U443" s="88" t="s">
        <v>97</v>
      </c>
      <c r="V443" s="88" t="s">
        <v>96</v>
      </c>
      <c r="W443" s="87" t="s">
        <v>95</v>
      </c>
    </row>
    <row r="444" spans="3:23" x14ac:dyDescent="0.25">
      <c r="C444" s="62">
        <f>C443</f>
        <v>1</v>
      </c>
      <c r="D444" s="86"/>
      <c r="E444" s="85"/>
      <c r="F444" s="84" t="s">
        <v>57</v>
      </c>
      <c r="G444" s="84" t="s">
        <v>56</v>
      </c>
      <c r="H444" s="84" t="s">
        <v>55</v>
      </c>
      <c r="I444" s="84" t="s">
        <v>54</v>
      </c>
      <c r="J444" s="84" t="s">
        <v>53</v>
      </c>
      <c r="K444" s="84" t="s">
        <v>52</v>
      </c>
      <c r="L444" s="84" t="s">
        <v>51</v>
      </c>
      <c r="M444" s="84" t="s">
        <v>50</v>
      </c>
      <c r="N444" s="84" t="s">
        <v>49</v>
      </c>
      <c r="O444" s="84" t="s">
        <v>47</v>
      </c>
      <c r="P444" s="84" t="s">
        <v>77</v>
      </c>
      <c r="Q444" s="84" t="s">
        <v>78</v>
      </c>
      <c r="R444" s="84" t="s">
        <v>79</v>
      </c>
      <c r="S444" s="84" t="s">
        <v>81</v>
      </c>
      <c r="T444" s="84" t="s">
        <v>83</v>
      </c>
      <c r="U444" s="84" t="s">
        <v>85</v>
      </c>
      <c r="V444" s="84" t="s">
        <v>87</v>
      </c>
      <c r="W444" s="83" t="s">
        <v>88</v>
      </c>
    </row>
    <row r="445" spans="3:23" x14ac:dyDescent="0.25">
      <c r="C445" s="62">
        <f t="shared" ref="C445:C450" si="266">C444</f>
        <v>1</v>
      </c>
      <c r="D445" s="82" t="s">
        <v>26</v>
      </c>
      <c r="E445" s="80"/>
      <c r="F445" s="79"/>
      <c r="G445" s="79"/>
      <c r="H445" s="79"/>
      <c r="I445" s="79"/>
      <c r="J445" s="79"/>
      <c r="K445" s="79"/>
      <c r="L445" s="79"/>
      <c r="M445" s="79"/>
      <c r="N445" s="79"/>
      <c r="O445" s="79"/>
      <c r="P445" s="79"/>
      <c r="Q445" s="79"/>
      <c r="R445" s="79"/>
      <c r="S445" s="79"/>
      <c r="T445" s="79"/>
      <c r="U445" s="79"/>
      <c r="V445" s="79"/>
      <c r="W445" s="78"/>
    </row>
    <row r="446" spans="3:23" x14ac:dyDescent="0.25">
      <c r="C446" s="62">
        <f t="shared" si="266"/>
        <v>1</v>
      </c>
      <c r="D446" s="81" t="s">
        <v>94</v>
      </c>
      <c r="E446" s="80"/>
      <c r="F446" s="79"/>
      <c r="G446" s="79"/>
      <c r="H446" s="79"/>
      <c r="I446" s="79"/>
      <c r="J446" s="79"/>
      <c r="K446" s="79"/>
      <c r="L446" s="79"/>
      <c r="M446" s="79"/>
      <c r="N446" s="79"/>
      <c r="O446" s="79"/>
      <c r="P446" s="79"/>
      <c r="Q446" s="79"/>
      <c r="R446" s="79"/>
      <c r="S446" s="79"/>
      <c r="T446" s="79"/>
      <c r="U446" s="79"/>
      <c r="V446" s="79"/>
      <c r="W446" s="78"/>
    </row>
    <row r="447" spans="3:23" x14ac:dyDescent="0.25">
      <c r="C447" s="62">
        <f t="shared" si="266"/>
        <v>1</v>
      </c>
      <c r="D447" s="268" t="s">
        <v>93</v>
      </c>
      <c r="E447" s="76" t="s">
        <v>155</v>
      </c>
      <c r="F447" s="75">
        <f t="shared" ref="F447:T447" si="267">+F$8*$E442</f>
        <v>0</v>
      </c>
      <c r="G447" s="75">
        <f t="shared" si="267"/>
        <v>0</v>
      </c>
      <c r="H447" s="75">
        <f t="shared" si="267"/>
        <v>0</v>
      </c>
      <c r="I447" s="75">
        <f t="shared" si="267"/>
        <v>0</v>
      </c>
      <c r="J447" s="75">
        <f t="shared" si="267"/>
        <v>0</v>
      </c>
      <c r="K447" s="75">
        <f t="shared" si="267"/>
        <v>0</v>
      </c>
      <c r="L447" s="75">
        <f t="shared" si="267"/>
        <v>398.13830868673887</v>
      </c>
      <c r="M447" s="75">
        <f t="shared" ca="1" si="267"/>
        <v>16125665.012255201</v>
      </c>
      <c r="N447" s="75">
        <f t="shared" ca="1" si="267"/>
        <v>383384.0397007257</v>
      </c>
      <c r="O447" s="75">
        <f t="shared" si="267"/>
        <v>0</v>
      </c>
      <c r="P447" s="75">
        <f t="shared" si="267"/>
        <v>0</v>
      </c>
      <c r="Q447" s="75">
        <f t="shared" si="267"/>
        <v>0</v>
      </c>
      <c r="R447" s="75">
        <f t="shared" si="267"/>
        <v>0</v>
      </c>
      <c r="S447" s="75">
        <f t="shared" si="267"/>
        <v>0</v>
      </c>
      <c r="T447" s="75">
        <f t="shared" si="267"/>
        <v>0</v>
      </c>
      <c r="U447" s="73">
        <f t="shared" ref="U447:U449" si="268">+R447+O447+L447+I447+F447</f>
        <v>398.13830868673887</v>
      </c>
      <c r="V447" s="72">
        <f t="shared" ref="V447:V449" ca="1" si="269">+S447+P447+M447+J447+G447</f>
        <v>16125665.012255201</v>
      </c>
      <c r="W447" s="72">
        <f t="shared" ref="W447:W449" ca="1" si="270">+T447+Q447+N447+K447+H447</f>
        <v>383384.0397007257</v>
      </c>
    </row>
    <row r="448" spans="3:23" x14ac:dyDescent="0.25">
      <c r="C448" s="62">
        <f t="shared" si="266"/>
        <v>1</v>
      </c>
      <c r="D448" s="268" t="s">
        <v>92</v>
      </c>
      <c r="E448" s="76" t="s">
        <v>156</v>
      </c>
      <c r="F448" s="75">
        <f t="shared" ref="F448:T448" si="271">+F$9*$E442</f>
        <v>0</v>
      </c>
      <c r="G448" s="75">
        <f t="shared" si="271"/>
        <v>0</v>
      </c>
      <c r="H448" s="75">
        <f t="shared" si="271"/>
        <v>0</v>
      </c>
      <c r="I448" s="75">
        <f t="shared" si="271"/>
        <v>0</v>
      </c>
      <c r="J448" s="75">
        <f t="shared" si="271"/>
        <v>0</v>
      </c>
      <c r="K448" s="75">
        <f t="shared" si="271"/>
        <v>0</v>
      </c>
      <c r="L448" s="75">
        <f t="shared" si="271"/>
        <v>0</v>
      </c>
      <c r="M448" s="75">
        <f t="shared" si="271"/>
        <v>0</v>
      </c>
      <c r="N448" s="75">
        <f t="shared" si="271"/>
        <v>0</v>
      </c>
      <c r="O448" s="75">
        <f t="shared" si="271"/>
        <v>0</v>
      </c>
      <c r="P448" s="75">
        <f t="shared" si="271"/>
        <v>0</v>
      </c>
      <c r="Q448" s="75">
        <f t="shared" si="271"/>
        <v>0</v>
      </c>
      <c r="R448" s="75">
        <f t="shared" si="271"/>
        <v>0</v>
      </c>
      <c r="S448" s="75">
        <f t="shared" si="271"/>
        <v>0</v>
      </c>
      <c r="T448" s="75">
        <f t="shared" si="271"/>
        <v>0</v>
      </c>
      <c r="U448" s="73">
        <f t="shared" si="268"/>
        <v>0</v>
      </c>
      <c r="V448" s="72">
        <f t="shared" si="269"/>
        <v>0</v>
      </c>
      <c r="W448" s="72">
        <f t="shared" si="270"/>
        <v>0</v>
      </c>
    </row>
    <row r="449" spans="3:23" x14ac:dyDescent="0.25">
      <c r="C449" s="62">
        <f t="shared" si="266"/>
        <v>1</v>
      </c>
      <c r="D449" s="268" t="s">
        <v>91</v>
      </c>
      <c r="E449" s="76" t="s">
        <v>157</v>
      </c>
      <c r="F449" s="75">
        <f t="shared" ref="F449:T449" si="272">+F$10*$E442</f>
        <v>0</v>
      </c>
      <c r="G449" s="75">
        <f t="shared" si="272"/>
        <v>0</v>
      </c>
      <c r="H449" s="75">
        <f t="shared" si="272"/>
        <v>0</v>
      </c>
      <c r="I449" s="75">
        <f t="shared" si="272"/>
        <v>0</v>
      </c>
      <c r="J449" s="75">
        <f t="shared" si="272"/>
        <v>0</v>
      </c>
      <c r="K449" s="75">
        <f t="shared" si="272"/>
        <v>0</v>
      </c>
      <c r="L449" s="75">
        <f t="shared" si="272"/>
        <v>0.4975625677763193</v>
      </c>
      <c r="M449" s="75">
        <f t="shared" ca="1" si="272"/>
        <v>134289.42930335482</v>
      </c>
      <c r="N449" s="75">
        <f t="shared" si="272"/>
        <v>0</v>
      </c>
      <c r="O449" s="75">
        <f t="shared" si="272"/>
        <v>0</v>
      </c>
      <c r="P449" s="75">
        <f t="shared" si="272"/>
        <v>0</v>
      </c>
      <c r="Q449" s="75">
        <f t="shared" si="272"/>
        <v>0</v>
      </c>
      <c r="R449" s="75">
        <f t="shared" si="272"/>
        <v>0</v>
      </c>
      <c r="S449" s="75">
        <f t="shared" si="272"/>
        <v>0</v>
      </c>
      <c r="T449" s="75">
        <f t="shared" si="272"/>
        <v>0</v>
      </c>
      <c r="U449" s="73">
        <f t="shared" si="268"/>
        <v>0.4975625677763193</v>
      </c>
      <c r="V449" s="72">
        <f t="shared" ca="1" si="269"/>
        <v>134289.42930335482</v>
      </c>
      <c r="W449" s="72">
        <f t="shared" si="270"/>
        <v>0</v>
      </c>
    </row>
    <row r="450" spans="3:23" ht="15.75" thickBot="1" x14ac:dyDescent="0.3">
      <c r="C450" s="62">
        <f t="shared" si="266"/>
        <v>1</v>
      </c>
      <c r="D450" s="71" t="s">
        <v>48</v>
      </c>
      <c r="E450" s="70" t="s">
        <v>158</v>
      </c>
      <c r="F450" s="68">
        <f t="shared" ref="F450:W450" si="273">SUBTOTAL(9,F447:F449)</f>
        <v>0</v>
      </c>
      <c r="G450" s="68">
        <f t="shared" si="273"/>
        <v>0</v>
      </c>
      <c r="H450" s="68">
        <f t="shared" si="273"/>
        <v>0</v>
      </c>
      <c r="I450" s="69">
        <f t="shared" si="273"/>
        <v>0</v>
      </c>
      <c r="J450" s="68">
        <f t="shared" si="273"/>
        <v>0</v>
      </c>
      <c r="K450" s="68">
        <f t="shared" si="273"/>
        <v>0</v>
      </c>
      <c r="L450" s="69">
        <f t="shared" si="273"/>
        <v>398.63587125451517</v>
      </c>
      <c r="M450" s="68">
        <f t="shared" ca="1" si="273"/>
        <v>16259954.441558557</v>
      </c>
      <c r="N450" s="68">
        <f t="shared" ca="1" si="273"/>
        <v>383384.0397007257</v>
      </c>
      <c r="O450" s="69">
        <f t="shared" si="273"/>
        <v>0</v>
      </c>
      <c r="P450" s="68">
        <f t="shared" si="273"/>
        <v>0</v>
      </c>
      <c r="Q450" s="68">
        <f t="shared" si="273"/>
        <v>0</v>
      </c>
      <c r="R450" s="69">
        <f t="shared" si="273"/>
        <v>0</v>
      </c>
      <c r="S450" s="68">
        <f t="shared" si="273"/>
        <v>0</v>
      </c>
      <c r="T450" s="68">
        <f t="shared" si="273"/>
        <v>0</v>
      </c>
      <c r="U450" s="69">
        <f t="shared" si="273"/>
        <v>398.63587125451517</v>
      </c>
      <c r="V450" s="68">
        <f t="shared" ca="1" si="273"/>
        <v>16259954.441558557</v>
      </c>
      <c r="W450" s="68">
        <f t="shared" ca="1" si="273"/>
        <v>383384.0397007257</v>
      </c>
    </row>
    <row r="451" spans="3:23" ht="15.75" hidden="1" thickBot="1" x14ac:dyDescent="0.3"/>
    <row r="452" spans="3:23" ht="15.75" hidden="1" thickBot="1" x14ac:dyDescent="0.3">
      <c r="C452" s="62">
        <f>IF(E452&gt;0,1,0)</f>
        <v>0</v>
      </c>
      <c r="D452" s="936" t="str">
        <f>+A48</f>
        <v>Rockland</v>
      </c>
      <c r="E452" s="938">
        <f>SUMIF(A:A,D452,B:B)</f>
        <v>0</v>
      </c>
      <c r="F452" s="940" t="s">
        <v>103</v>
      </c>
      <c r="G452" s="941"/>
      <c r="H452" s="942"/>
      <c r="I452" s="940" t="s">
        <v>102</v>
      </c>
      <c r="J452" s="941"/>
      <c r="K452" s="942"/>
      <c r="L452" s="940" t="s">
        <v>101</v>
      </c>
      <c r="M452" s="941"/>
      <c r="N452" s="942"/>
      <c r="O452" s="940" t="s">
        <v>100</v>
      </c>
      <c r="P452" s="941"/>
      <c r="Q452" s="942"/>
      <c r="R452" s="940" t="s">
        <v>99</v>
      </c>
      <c r="S452" s="941"/>
      <c r="T452" s="942"/>
      <c r="U452" s="940" t="s">
        <v>98</v>
      </c>
      <c r="V452" s="941"/>
      <c r="W452" s="943"/>
    </row>
    <row r="453" spans="3:23" ht="30.75" hidden="1" thickBot="1" x14ac:dyDescent="0.3">
      <c r="C453" s="62">
        <f>IF(E452&gt;0,1,0)</f>
        <v>0</v>
      </c>
      <c r="D453" s="937"/>
      <c r="E453" s="939"/>
      <c r="F453" s="88" t="s">
        <v>97</v>
      </c>
      <c r="G453" s="88" t="s">
        <v>96</v>
      </c>
      <c r="H453" s="88" t="s">
        <v>95</v>
      </c>
      <c r="I453" s="88" t="s">
        <v>97</v>
      </c>
      <c r="J453" s="88" t="s">
        <v>96</v>
      </c>
      <c r="K453" s="88" t="s">
        <v>95</v>
      </c>
      <c r="L453" s="88" t="s">
        <v>97</v>
      </c>
      <c r="M453" s="88" t="s">
        <v>96</v>
      </c>
      <c r="N453" s="88" t="s">
        <v>95</v>
      </c>
      <c r="O453" s="88" t="s">
        <v>97</v>
      </c>
      <c r="P453" s="88" t="s">
        <v>96</v>
      </c>
      <c r="Q453" s="88" t="s">
        <v>95</v>
      </c>
      <c r="R453" s="88" t="s">
        <v>97</v>
      </c>
      <c r="S453" s="88" t="s">
        <v>96</v>
      </c>
      <c r="T453" s="88" t="s">
        <v>95</v>
      </c>
      <c r="U453" s="88" t="s">
        <v>97</v>
      </c>
      <c r="V453" s="88" t="s">
        <v>96</v>
      </c>
      <c r="W453" s="87" t="s">
        <v>95</v>
      </c>
    </row>
    <row r="454" spans="3:23" ht="15.75" hidden="1" thickBot="1" x14ac:dyDescent="0.3">
      <c r="C454" s="62">
        <f>C453</f>
        <v>0</v>
      </c>
      <c r="D454" s="86"/>
      <c r="E454" s="85"/>
      <c r="F454" s="84" t="s">
        <v>57</v>
      </c>
      <c r="G454" s="84" t="s">
        <v>56</v>
      </c>
      <c r="H454" s="84" t="s">
        <v>55</v>
      </c>
      <c r="I454" s="84" t="s">
        <v>54</v>
      </c>
      <c r="J454" s="84" t="s">
        <v>53</v>
      </c>
      <c r="K454" s="84" t="s">
        <v>52</v>
      </c>
      <c r="L454" s="84" t="s">
        <v>51</v>
      </c>
      <c r="M454" s="84" t="s">
        <v>50</v>
      </c>
      <c r="N454" s="84" t="s">
        <v>49</v>
      </c>
      <c r="O454" s="84" t="s">
        <v>47</v>
      </c>
      <c r="P454" s="84" t="s">
        <v>77</v>
      </c>
      <c r="Q454" s="84" t="s">
        <v>78</v>
      </c>
      <c r="R454" s="84" t="s">
        <v>79</v>
      </c>
      <c r="S454" s="84" t="s">
        <v>81</v>
      </c>
      <c r="T454" s="84" t="s">
        <v>83</v>
      </c>
      <c r="U454" s="84" t="s">
        <v>85</v>
      </c>
      <c r="V454" s="84" t="s">
        <v>87</v>
      </c>
      <c r="W454" s="83" t="s">
        <v>88</v>
      </c>
    </row>
    <row r="455" spans="3:23" ht="15.75" hidden="1" thickBot="1" x14ac:dyDescent="0.3">
      <c r="C455" s="62">
        <f t="shared" ref="C455:C460" si="274">C454</f>
        <v>0</v>
      </c>
      <c r="D455" s="82" t="s">
        <v>26</v>
      </c>
      <c r="E455" s="80"/>
      <c r="F455" s="79"/>
      <c r="G455" s="79"/>
      <c r="H455" s="79"/>
      <c r="I455" s="79"/>
      <c r="J455" s="79"/>
      <c r="K455" s="79"/>
      <c r="L455" s="79"/>
      <c r="M455" s="79"/>
      <c r="N455" s="79"/>
      <c r="O455" s="79"/>
      <c r="P455" s="79"/>
      <c r="Q455" s="79"/>
      <c r="R455" s="79"/>
      <c r="S455" s="79"/>
      <c r="T455" s="79"/>
      <c r="U455" s="79"/>
      <c r="V455" s="79"/>
      <c r="W455" s="78"/>
    </row>
    <row r="456" spans="3:23" ht="15.75" hidden="1" thickBot="1" x14ac:dyDescent="0.3">
      <c r="C456" s="62">
        <f t="shared" si="274"/>
        <v>0</v>
      </c>
      <c r="D456" s="81" t="s">
        <v>94</v>
      </c>
      <c r="E456" s="80"/>
      <c r="F456" s="79"/>
      <c r="G456" s="79"/>
      <c r="H456" s="79"/>
      <c r="I456" s="79"/>
      <c r="J456" s="79"/>
      <c r="K456" s="79"/>
      <c r="L456" s="79"/>
      <c r="M456" s="79"/>
      <c r="N456" s="79"/>
      <c r="O456" s="79"/>
      <c r="P456" s="79"/>
      <c r="Q456" s="79"/>
      <c r="R456" s="79"/>
      <c r="S456" s="79"/>
      <c r="T456" s="79"/>
      <c r="U456" s="79"/>
      <c r="V456" s="79"/>
      <c r="W456" s="78"/>
    </row>
    <row r="457" spans="3:23" ht="15.75" hidden="1" thickBot="1" x14ac:dyDescent="0.3">
      <c r="C457" s="62">
        <f t="shared" si="274"/>
        <v>0</v>
      </c>
      <c r="D457" s="268" t="s">
        <v>93</v>
      </c>
      <c r="E457" s="76" t="s">
        <v>155</v>
      </c>
      <c r="F457" s="75">
        <f t="shared" ref="F457:T457" si="275">+F$8*$E452</f>
        <v>0</v>
      </c>
      <c r="G457" s="75">
        <f t="shared" si="275"/>
        <v>0</v>
      </c>
      <c r="H457" s="75">
        <f t="shared" si="275"/>
        <v>0</v>
      </c>
      <c r="I457" s="75">
        <f t="shared" si="275"/>
        <v>0</v>
      </c>
      <c r="J457" s="75">
        <f t="shared" si="275"/>
        <v>0</v>
      </c>
      <c r="K457" s="75">
        <f t="shared" si="275"/>
        <v>0</v>
      </c>
      <c r="L457" s="75">
        <f t="shared" si="275"/>
        <v>0</v>
      </c>
      <c r="M457" s="75">
        <f t="shared" ca="1" si="275"/>
        <v>0</v>
      </c>
      <c r="N457" s="75">
        <f t="shared" ca="1" si="275"/>
        <v>0</v>
      </c>
      <c r="O457" s="75">
        <f t="shared" si="275"/>
        <v>0</v>
      </c>
      <c r="P457" s="75">
        <f t="shared" si="275"/>
        <v>0</v>
      </c>
      <c r="Q457" s="75">
        <f t="shared" si="275"/>
        <v>0</v>
      </c>
      <c r="R457" s="75">
        <f t="shared" si="275"/>
        <v>0</v>
      </c>
      <c r="S457" s="75">
        <f t="shared" si="275"/>
        <v>0</v>
      </c>
      <c r="T457" s="75">
        <f t="shared" si="275"/>
        <v>0</v>
      </c>
      <c r="U457" s="73">
        <f t="shared" ref="U457:U459" si="276">+R457+O457+L457+I457+F457</f>
        <v>0</v>
      </c>
      <c r="V457" s="72">
        <f t="shared" ref="V457:V459" ca="1" si="277">+S457+P457+M457+J457+G457</f>
        <v>0</v>
      </c>
      <c r="W457" s="72">
        <f t="shared" ref="W457:W459" ca="1" si="278">+T457+Q457+N457+K457+H457</f>
        <v>0</v>
      </c>
    </row>
    <row r="458" spans="3:23" ht="15.75" hidden="1" thickBot="1" x14ac:dyDescent="0.3">
      <c r="C458" s="62">
        <f t="shared" si="274"/>
        <v>0</v>
      </c>
      <c r="D458" s="268" t="s">
        <v>92</v>
      </c>
      <c r="E458" s="76" t="s">
        <v>156</v>
      </c>
      <c r="F458" s="75">
        <f t="shared" ref="F458:T458" si="279">+F$9*$E452</f>
        <v>0</v>
      </c>
      <c r="G458" s="75">
        <f t="shared" si="279"/>
        <v>0</v>
      </c>
      <c r="H458" s="75">
        <f t="shared" si="279"/>
        <v>0</v>
      </c>
      <c r="I458" s="75">
        <f t="shared" si="279"/>
        <v>0</v>
      </c>
      <c r="J458" s="75">
        <f t="shared" si="279"/>
        <v>0</v>
      </c>
      <c r="K458" s="75">
        <f t="shared" si="279"/>
        <v>0</v>
      </c>
      <c r="L458" s="75">
        <f t="shared" si="279"/>
        <v>0</v>
      </c>
      <c r="M458" s="75">
        <f t="shared" si="279"/>
        <v>0</v>
      </c>
      <c r="N458" s="75">
        <f t="shared" si="279"/>
        <v>0</v>
      </c>
      <c r="O458" s="75">
        <f t="shared" si="279"/>
        <v>0</v>
      </c>
      <c r="P458" s="75">
        <f t="shared" si="279"/>
        <v>0</v>
      </c>
      <c r="Q458" s="75">
        <f t="shared" si="279"/>
        <v>0</v>
      </c>
      <c r="R458" s="75">
        <f t="shared" si="279"/>
        <v>0</v>
      </c>
      <c r="S458" s="75">
        <f t="shared" si="279"/>
        <v>0</v>
      </c>
      <c r="T458" s="75">
        <f t="shared" si="279"/>
        <v>0</v>
      </c>
      <c r="U458" s="73">
        <f t="shared" si="276"/>
        <v>0</v>
      </c>
      <c r="V458" s="72">
        <f t="shared" si="277"/>
        <v>0</v>
      </c>
      <c r="W458" s="72">
        <f t="shared" si="278"/>
        <v>0</v>
      </c>
    </row>
    <row r="459" spans="3:23" ht="15.75" hidden="1" thickBot="1" x14ac:dyDescent="0.3">
      <c r="C459" s="62">
        <f t="shared" si="274"/>
        <v>0</v>
      </c>
      <c r="D459" s="268" t="s">
        <v>91</v>
      </c>
      <c r="E459" s="76" t="s">
        <v>157</v>
      </c>
      <c r="F459" s="75">
        <f t="shared" ref="F459:T459" si="280">+F$10*$E452</f>
        <v>0</v>
      </c>
      <c r="G459" s="75">
        <f t="shared" si="280"/>
        <v>0</v>
      </c>
      <c r="H459" s="75">
        <f t="shared" si="280"/>
        <v>0</v>
      </c>
      <c r="I459" s="75">
        <f t="shared" si="280"/>
        <v>0</v>
      </c>
      <c r="J459" s="75">
        <f t="shared" si="280"/>
        <v>0</v>
      </c>
      <c r="K459" s="75">
        <f t="shared" si="280"/>
        <v>0</v>
      </c>
      <c r="L459" s="75">
        <f t="shared" si="280"/>
        <v>0</v>
      </c>
      <c r="M459" s="75">
        <f t="shared" ca="1" si="280"/>
        <v>0</v>
      </c>
      <c r="N459" s="75">
        <f t="shared" si="280"/>
        <v>0</v>
      </c>
      <c r="O459" s="75">
        <f t="shared" si="280"/>
        <v>0</v>
      </c>
      <c r="P459" s="75">
        <f t="shared" si="280"/>
        <v>0</v>
      </c>
      <c r="Q459" s="75">
        <f t="shared" si="280"/>
        <v>0</v>
      </c>
      <c r="R459" s="75">
        <f t="shared" si="280"/>
        <v>0</v>
      </c>
      <c r="S459" s="75">
        <f t="shared" si="280"/>
        <v>0</v>
      </c>
      <c r="T459" s="75">
        <f t="shared" si="280"/>
        <v>0</v>
      </c>
      <c r="U459" s="73">
        <f t="shared" si="276"/>
        <v>0</v>
      </c>
      <c r="V459" s="72">
        <f t="shared" ca="1" si="277"/>
        <v>0</v>
      </c>
      <c r="W459" s="72">
        <f t="shared" si="278"/>
        <v>0</v>
      </c>
    </row>
    <row r="460" spans="3:23" ht="15.75" hidden="1" thickBot="1" x14ac:dyDescent="0.3">
      <c r="C460" s="62">
        <f t="shared" si="274"/>
        <v>0</v>
      </c>
      <c r="D460" s="71" t="s">
        <v>48</v>
      </c>
      <c r="E460" s="70" t="s">
        <v>158</v>
      </c>
      <c r="F460" s="68">
        <f t="shared" ref="F460:W460" si="281">SUBTOTAL(9,F457:F459)</f>
        <v>0</v>
      </c>
      <c r="G460" s="68">
        <f t="shared" si="281"/>
        <v>0</v>
      </c>
      <c r="H460" s="68">
        <f t="shared" si="281"/>
        <v>0</v>
      </c>
      <c r="I460" s="69">
        <f t="shared" si="281"/>
        <v>0</v>
      </c>
      <c r="J460" s="68">
        <f t="shared" si="281"/>
        <v>0</v>
      </c>
      <c r="K460" s="68">
        <f t="shared" si="281"/>
        <v>0</v>
      </c>
      <c r="L460" s="69">
        <f t="shared" si="281"/>
        <v>0</v>
      </c>
      <c r="M460" s="68">
        <f t="shared" si="281"/>
        <v>0</v>
      </c>
      <c r="N460" s="68">
        <f t="shared" si="281"/>
        <v>0</v>
      </c>
      <c r="O460" s="69">
        <f t="shared" si="281"/>
        <v>0</v>
      </c>
      <c r="P460" s="68">
        <f t="shared" si="281"/>
        <v>0</v>
      </c>
      <c r="Q460" s="68">
        <f t="shared" si="281"/>
        <v>0</v>
      </c>
      <c r="R460" s="69">
        <f t="shared" si="281"/>
        <v>0</v>
      </c>
      <c r="S460" s="68">
        <f t="shared" si="281"/>
        <v>0</v>
      </c>
      <c r="T460" s="68">
        <f t="shared" si="281"/>
        <v>0</v>
      </c>
      <c r="U460" s="69">
        <f t="shared" si="281"/>
        <v>0</v>
      </c>
      <c r="V460" s="68">
        <f t="shared" si="281"/>
        <v>0</v>
      </c>
      <c r="W460" s="68">
        <f t="shared" si="281"/>
        <v>0</v>
      </c>
    </row>
    <row r="461" spans="3:23" ht="15.75" hidden="1" thickBot="1" x14ac:dyDescent="0.3"/>
    <row r="462" spans="3:23" ht="15.75" hidden="1" thickBot="1" x14ac:dyDescent="0.3">
      <c r="C462" s="62">
        <f>IF(E462&gt;0,1,0)</f>
        <v>0</v>
      </c>
      <c r="D462" s="936" t="str">
        <f>+A49</f>
        <v>Saint Lawrence</v>
      </c>
      <c r="E462" s="938">
        <f>SUMIF(A:A,D462,B:B)</f>
        <v>0</v>
      </c>
      <c r="F462" s="940" t="s">
        <v>103</v>
      </c>
      <c r="G462" s="941"/>
      <c r="H462" s="942"/>
      <c r="I462" s="940" t="s">
        <v>102</v>
      </c>
      <c r="J462" s="941"/>
      <c r="K462" s="942"/>
      <c r="L462" s="940" t="s">
        <v>101</v>
      </c>
      <c r="M462" s="941"/>
      <c r="N462" s="942"/>
      <c r="O462" s="940" t="s">
        <v>100</v>
      </c>
      <c r="P462" s="941"/>
      <c r="Q462" s="942"/>
      <c r="R462" s="940" t="s">
        <v>99</v>
      </c>
      <c r="S462" s="941"/>
      <c r="T462" s="942"/>
      <c r="U462" s="940" t="s">
        <v>98</v>
      </c>
      <c r="V462" s="941"/>
      <c r="W462" s="943"/>
    </row>
    <row r="463" spans="3:23" ht="30.75" hidden="1" thickBot="1" x14ac:dyDescent="0.3">
      <c r="C463" s="62">
        <f>IF(E462&gt;0,1,0)</f>
        <v>0</v>
      </c>
      <c r="D463" s="937"/>
      <c r="E463" s="939"/>
      <c r="F463" s="88" t="s">
        <v>97</v>
      </c>
      <c r="G463" s="88" t="s">
        <v>96</v>
      </c>
      <c r="H463" s="88" t="s">
        <v>95</v>
      </c>
      <c r="I463" s="88" t="s">
        <v>97</v>
      </c>
      <c r="J463" s="88" t="s">
        <v>96</v>
      </c>
      <c r="K463" s="88" t="s">
        <v>95</v>
      </c>
      <c r="L463" s="88" t="s">
        <v>97</v>
      </c>
      <c r="M463" s="88" t="s">
        <v>96</v>
      </c>
      <c r="N463" s="88" t="s">
        <v>95</v>
      </c>
      <c r="O463" s="88" t="s">
        <v>97</v>
      </c>
      <c r="P463" s="88" t="s">
        <v>96</v>
      </c>
      <c r="Q463" s="88" t="s">
        <v>95</v>
      </c>
      <c r="R463" s="88" t="s">
        <v>97</v>
      </c>
      <c r="S463" s="88" t="s">
        <v>96</v>
      </c>
      <c r="T463" s="88" t="s">
        <v>95</v>
      </c>
      <c r="U463" s="88" t="s">
        <v>97</v>
      </c>
      <c r="V463" s="88" t="s">
        <v>96</v>
      </c>
      <c r="W463" s="87" t="s">
        <v>95</v>
      </c>
    </row>
    <row r="464" spans="3:23" ht="15.75" hidden="1" thickBot="1" x14ac:dyDescent="0.3">
      <c r="C464" s="62">
        <f>C463</f>
        <v>0</v>
      </c>
      <c r="D464" s="86"/>
      <c r="E464" s="85"/>
      <c r="F464" s="84" t="s">
        <v>57</v>
      </c>
      <c r="G464" s="84" t="s">
        <v>56</v>
      </c>
      <c r="H464" s="84" t="s">
        <v>55</v>
      </c>
      <c r="I464" s="84" t="s">
        <v>54</v>
      </c>
      <c r="J464" s="84" t="s">
        <v>53</v>
      </c>
      <c r="K464" s="84" t="s">
        <v>52</v>
      </c>
      <c r="L464" s="84" t="s">
        <v>51</v>
      </c>
      <c r="M464" s="84" t="s">
        <v>50</v>
      </c>
      <c r="N464" s="84" t="s">
        <v>49</v>
      </c>
      <c r="O464" s="84" t="s">
        <v>47</v>
      </c>
      <c r="P464" s="84" t="s">
        <v>77</v>
      </c>
      <c r="Q464" s="84" t="s">
        <v>78</v>
      </c>
      <c r="R464" s="84" t="s">
        <v>79</v>
      </c>
      <c r="S464" s="84" t="s">
        <v>81</v>
      </c>
      <c r="T464" s="84" t="s">
        <v>83</v>
      </c>
      <c r="U464" s="84" t="s">
        <v>85</v>
      </c>
      <c r="V464" s="84" t="s">
        <v>87</v>
      </c>
      <c r="W464" s="83" t="s">
        <v>88</v>
      </c>
    </row>
    <row r="465" spans="3:23" ht="15.75" hidden="1" thickBot="1" x14ac:dyDescent="0.3">
      <c r="C465" s="62">
        <f t="shared" ref="C465:C470" si="282">C464</f>
        <v>0</v>
      </c>
      <c r="D465" s="82" t="s">
        <v>26</v>
      </c>
      <c r="E465" s="80"/>
      <c r="F465" s="79"/>
      <c r="G465" s="79"/>
      <c r="H465" s="79"/>
      <c r="I465" s="79"/>
      <c r="J465" s="79"/>
      <c r="K465" s="79"/>
      <c r="L465" s="79"/>
      <c r="M465" s="79"/>
      <c r="N465" s="79"/>
      <c r="O465" s="79"/>
      <c r="P465" s="79"/>
      <c r="Q465" s="79"/>
      <c r="R465" s="79"/>
      <c r="S465" s="79"/>
      <c r="T465" s="79"/>
      <c r="U465" s="79"/>
      <c r="V465" s="79"/>
      <c r="W465" s="78"/>
    </row>
    <row r="466" spans="3:23" ht="15.75" hidden="1" thickBot="1" x14ac:dyDescent="0.3">
      <c r="C466" s="62">
        <f t="shared" si="282"/>
        <v>0</v>
      </c>
      <c r="D466" s="81" t="s">
        <v>94</v>
      </c>
      <c r="E466" s="80"/>
      <c r="F466" s="79"/>
      <c r="G466" s="79"/>
      <c r="H466" s="79"/>
      <c r="I466" s="79"/>
      <c r="J466" s="79"/>
      <c r="K466" s="79"/>
      <c r="L466" s="79"/>
      <c r="M466" s="79"/>
      <c r="N466" s="79"/>
      <c r="O466" s="79"/>
      <c r="P466" s="79"/>
      <c r="Q466" s="79"/>
      <c r="R466" s="79"/>
      <c r="S466" s="79"/>
      <c r="T466" s="79"/>
      <c r="U466" s="79"/>
      <c r="V466" s="79"/>
      <c r="W466" s="78"/>
    </row>
    <row r="467" spans="3:23" ht="15.75" hidden="1" thickBot="1" x14ac:dyDescent="0.3">
      <c r="C467" s="62">
        <f t="shared" si="282"/>
        <v>0</v>
      </c>
      <c r="D467" s="268" t="s">
        <v>93</v>
      </c>
      <c r="E467" s="76" t="s">
        <v>155</v>
      </c>
      <c r="F467" s="75">
        <f t="shared" ref="F467:T467" si="283">+F$8*$E462</f>
        <v>0</v>
      </c>
      <c r="G467" s="75">
        <f t="shared" si="283"/>
        <v>0</v>
      </c>
      <c r="H467" s="75">
        <f t="shared" si="283"/>
        <v>0</v>
      </c>
      <c r="I467" s="75">
        <f t="shared" si="283"/>
        <v>0</v>
      </c>
      <c r="J467" s="75">
        <f t="shared" si="283"/>
        <v>0</v>
      </c>
      <c r="K467" s="75">
        <f t="shared" si="283"/>
        <v>0</v>
      </c>
      <c r="L467" s="75">
        <f t="shared" si="283"/>
        <v>0</v>
      </c>
      <c r="M467" s="75">
        <f t="shared" ca="1" si="283"/>
        <v>0</v>
      </c>
      <c r="N467" s="75">
        <f t="shared" ca="1" si="283"/>
        <v>0</v>
      </c>
      <c r="O467" s="75">
        <f t="shared" si="283"/>
        <v>0</v>
      </c>
      <c r="P467" s="75">
        <f t="shared" si="283"/>
        <v>0</v>
      </c>
      <c r="Q467" s="75">
        <f t="shared" si="283"/>
        <v>0</v>
      </c>
      <c r="R467" s="75">
        <f t="shared" si="283"/>
        <v>0</v>
      </c>
      <c r="S467" s="75">
        <f t="shared" si="283"/>
        <v>0</v>
      </c>
      <c r="T467" s="75">
        <f t="shared" si="283"/>
        <v>0</v>
      </c>
      <c r="U467" s="73">
        <f t="shared" ref="U467:U469" si="284">+R467+O467+L467+I467+F467</f>
        <v>0</v>
      </c>
      <c r="V467" s="72">
        <f t="shared" ref="V467:V469" ca="1" si="285">+S467+P467+M467+J467+G467</f>
        <v>0</v>
      </c>
      <c r="W467" s="72">
        <f t="shared" ref="W467:W469" ca="1" si="286">+T467+Q467+N467+K467+H467</f>
        <v>0</v>
      </c>
    </row>
    <row r="468" spans="3:23" ht="15.75" hidden="1" thickBot="1" x14ac:dyDescent="0.3">
      <c r="C468" s="62">
        <f t="shared" si="282"/>
        <v>0</v>
      </c>
      <c r="D468" s="268" t="s">
        <v>92</v>
      </c>
      <c r="E468" s="76" t="s">
        <v>156</v>
      </c>
      <c r="F468" s="75">
        <f t="shared" ref="F468:T468" si="287">+F$9*$E462</f>
        <v>0</v>
      </c>
      <c r="G468" s="75">
        <f t="shared" si="287"/>
        <v>0</v>
      </c>
      <c r="H468" s="75">
        <f t="shared" si="287"/>
        <v>0</v>
      </c>
      <c r="I468" s="75">
        <f t="shared" si="287"/>
        <v>0</v>
      </c>
      <c r="J468" s="75">
        <f t="shared" si="287"/>
        <v>0</v>
      </c>
      <c r="K468" s="75">
        <f t="shared" si="287"/>
        <v>0</v>
      </c>
      <c r="L468" s="75">
        <f t="shared" si="287"/>
        <v>0</v>
      </c>
      <c r="M468" s="75">
        <f t="shared" si="287"/>
        <v>0</v>
      </c>
      <c r="N468" s="75">
        <f t="shared" si="287"/>
        <v>0</v>
      </c>
      <c r="O468" s="75">
        <f t="shared" si="287"/>
        <v>0</v>
      </c>
      <c r="P468" s="75">
        <f t="shared" si="287"/>
        <v>0</v>
      </c>
      <c r="Q468" s="75">
        <f t="shared" si="287"/>
        <v>0</v>
      </c>
      <c r="R468" s="75">
        <f t="shared" si="287"/>
        <v>0</v>
      </c>
      <c r="S468" s="75">
        <f t="shared" si="287"/>
        <v>0</v>
      </c>
      <c r="T468" s="75">
        <f t="shared" si="287"/>
        <v>0</v>
      </c>
      <c r="U468" s="73">
        <f t="shared" si="284"/>
        <v>0</v>
      </c>
      <c r="V468" s="72">
        <f t="shared" si="285"/>
        <v>0</v>
      </c>
      <c r="W468" s="72">
        <f t="shared" si="286"/>
        <v>0</v>
      </c>
    </row>
    <row r="469" spans="3:23" ht="15.75" hidden="1" thickBot="1" x14ac:dyDescent="0.3">
      <c r="C469" s="62">
        <f t="shared" si="282"/>
        <v>0</v>
      </c>
      <c r="D469" s="268" t="s">
        <v>91</v>
      </c>
      <c r="E469" s="76" t="s">
        <v>157</v>
      </c>
      <c r="F469" s="75">
        <f t="shared" ref="F469:T469" si="288">+F$10*$E462</f>
        <v>0</v>
      </c>
      <c r="G469" s="75">
        <f t="shared" si="288"/>
        <v>0</v>
      </c>
      <c r="H469" s="75">
        <f t="shared" si="288"/>
        <v>0</v>
      </c>
      <c r="I469" s="75">
        <f t="shared" si="288"/>
        <v>0</v>
      </c>
      <c r="J469" s="75">
        <f t="shared" si="288"/>
        <v>0</v>
      </c>
      <c r="K469" s="75">
        <f t="shared" si="288"/>
        <v>0</v>
      </c>
      <c r="L469" s="75">
        <f t="shared" si="288"/>
        <v>0</v>
      </c>
      <c r="M469" s="75">
        <f t="shared" ca="1" si="288"/>
        <v>0</v>
      </c>
      <c r="N469" s="75">
        <f t="shared" si="288"/>
        <v>0</v>
      </c>
      <c r="O469" s="75">
        <f t="shared" si="288"/>
        <v>0</v>
      </c>
      <c r="P469" s="75">
        <f t="shared" si="288"/>
        <v>0</v>
      </c>
      <c r="Q469" s="75">
        <f t="shared" si="288"/>
        <v>0</v>
      </c>
      <c r="R469" s="75">
        <f t="shared" si="288"/>
        <v>0</v>
      </c>
      <c r="S469" s="75">
        <f t="shared" si="288"/>
        <v>0</v>
      </c>
      <c r="T469" s="75">
        <f t="shared" si="288"/>
        <v>0</v>
      </c>
      <c r="U469" s="73">
        <f t="shared" si="284"/>
        <v>0</v>
      </c>
      <c r="V469" s="72">
        <f t="shared" ca="1" si="285"/>
        <v>0</v>
      </c>
      <c r="W469" s="72">
        <f t="shared" si="286"/>
        <v>0</v>
      </c>
    </row>
    <row r="470" spans="3:23" ht="15.75" hidden="1" thickBot="1" x14ac:dyDescent="0.3">
      <c r="C470" s="62">
        <f t="shared" si="282"/>
        <v>0</v>
      </c>
      <c r="D470" s="71" t="s">
        <v>48</v>
      </c>
      <c r="E470" s="70" t="s">
        <v>158</v>
      </c>
      <c r="F470" s="68">
        <f t="shared" ref="F470:W470" si="289">SUBTOTAL(9,F467:F469)</f>
        <v>0</v>
      </c>
      <c r="G470" s="68">
        <f t="shared" si="289"/>
        <v>0</v>
      </c>
      <c r="H470" s="68">
        <f t="shared" si="289"/>
        <v>0</v>
      </c>
      <c r="I470" s="69">
        <f t="shared" si="289"/>
        <v>0</v>
      </c>
      <c r="J470" s="68">
        <f t="shared" si="289"/>
        <v>0</v>
      </c>
      <c r="K470" s="68">
        <f t="shared" si="289"/>
        <v>0</v>
      </c>
      <c r="L470" s="69">
        <f t="shared" si="289"/>
        <v>0</v>
      </c>
      <c r="M470" s="68">
        <f t="shared" si="289"/>
        <v>0</v>
      </c>
      <c r="N470" s="68">
        <f t="shared" si="289"/>
        <v>0</v>
      </c>
      <c r="O470" s="69">
        <f t="shared" si="289"/>
        <v>0</v>
      </c>
      <c r="P470" s="68">
        <f t="shared" si="289"/>
        <v>0</v>
      </c>
      <c r="Q470" s="68">
        <f t="shared" si="289"/>
        <v>0</v>
      </c>
      <c r="R470" s="69">
        <f t="shared" si="289"/>
        <v>0</v>
      </c>
      <c r="S470" s="68">
        <f t="shared" si="289"/>
        <v>0</v>
      </c>
      <c r="T470" s="68">
        <f t="shared" si="289"/>
        <v>0</v>
      </c>
      <c r="U470" s="69">
        <f t="shared" si="289"/>
        <v>0</v>
      </c>
      <c r="V470" s="68">
        <f t="shared" si="289"/>
        <v>0</v>
      </c>
      <c r="W470" s="68">
        <f t="shared" si="289"/>
        <v>0</v>
      </c>
    </row>
    <row r="471" spans="3:23" ht="15.75" hidden="1" thickBot="1" x14ac:dyDescent="0.3"/>
    <row r="472" spans="3:23" x14ac:dyDescent="0.25">
      <c r="C472" s="62">
        <f>IF(E472&gt;0,1,0)</f>
        <v>1</v>
      </c>
      <c r="D472" s="936" t="str">
        <f>+A50</f>
        <v>Saratoga</v>
      </c>
      <c r="E472" s="938">
        <f>SUMIF(A:A,D472,B:B)</f>
        <v>2.3438220793789384E-4</v>
      </c>
      <c r="F472" s="940" t="s">
        <v>103</v>
      </c>
      <c r="G472" s="941"/>
      <c r="H472" s="942"/>
      <c r="I472" s="940" t="s">
        <v>102</v>
      </c>
      <c r="J472" s="941"/>
      <c r="K472" s="942"/>
      <c r="L472" s="940" t="s">
        <v>101</v>
      </c>
      <c r="M472" s="941"/>
      <c r="N472" s="942"/>
      <c r="O472" s="940" t="s">
        <v>100</v>
      </c>
      <c r="P472" s="941"/>
      <c r="Q472" s="942"/>
      <c r="R472" s="940" t="s">
        <v>99</v>
      </c>
      <c r="S472" s="941"/>
      <c r="T472" s="942"/>
      <c r="U472" s="940" t="s">
        <v>98</v>
      </c>
      <c r="V472" s="941"/>
      <c r="W472" s="943"/>
    </row>
    <row r="473" spans="3:23" ht="30" x14ac:dyDescent="0.25">
      <c r="C473" s="62">
        <f>IF(E472&gt;0,1,0)</f>
        <v>1</v>
      </c>
      <c r="D473" s="937"/>
      <c r="E473" s="939"/>
      <c r="F473" s="88" t="s">
        <v>97</v>
      </c>
      <c r="G473" s="88" t="s">
        <v>96</v>
      </c>
      <c r="H473" s="88" t="s">
        <v>95</v>
      </c>
      <c r="I473" s="88" t="s">
        <v>97</v>
      </c>
      <c r="J473" s="88" t="s">
        <v>96</v>
      </c>
      <c r="K473" s="88" t="s">
        <v>95</v>
      </c>
      <c r="L473" s="88" t="s">
        <v>97</v>
      </c>
      <c r="M473" s="88" t="s">
        <v>96</v>
      </c>
      <c r="N473" s="88" t="s">
        <v>95</v>
      </c>
      <c r="O473" s="88" t="s">
        <v>97</v>
      </c>
      <c r="P473" s="88" t="s">
        <v>96</v>
      </c>
      <c r="Q473" s="88" t="s">
        <v>95</v>
      </c>
      <c r="R473" s="88" t="s">
        <v>97</v>
      </c>
      <c r="S473" s="88" t="s">
        <v>96</v>
      </c>
      <c r="T473" s="88" t="s">
        <v>95</v>
      </c>
      <c r="U473" s="88" t="s">
        <v>97</v>
      </c>
      <c r="V473" s="88" t="s">
        <v>96</v>
      </c>
      <c r="W473" s="87" t="s">
        <v>95</v>
      </c>
    </row>
    <row r="474" spans="3:23" x14ac:dyDescent="0.25">
      <c r="C474" s="62">
        <f>C473</f>
        <v>1</v>
      </c>
      <c r="D474" s="86"/>
      <c r="E474" s="85"/>
      <c r="F474" s="84" t="s">
        <v>57</v>
      </c>
      <c r="G474" s="84" t="s">
        <v>56</v>
      </c>
      <c r="H474" s="84" t="s">
        <v>55</v>
      </c>
      <c r="I474" s="84" t="s">
        <v>54</v>
      </c>
      <c r="J474" s="84" t="s">
        <v>53</v>
      </c>
      <c r="K474" s="84" t="s">
        <v>52</v>
      </c>
      <c r="L474" s="84" t="s">
        <v>51</v>
      </c>
      <c r="M474" s="84" t="s">
        <v>50</v>
      </c>
      <c r="N474" s="84" t="s">
        <v>49</v>
      </c>
      <c r="O474" s="84" t="s">
        <v>47</v>
      </c>
      <c r="P474" s="84" t="s">
        <v>77</v>
      </c>
      <c r="Q474" s="84" t="s">
        <v>78</v>
      </c>
      <c r="R474" s="84" t="s">
        <v>79</v>
      </c>
      <c r="S474" s="84" t="s">
        <v>81</v>
      </c>
      <c r="T474" s="84" t="s">
        <v>83</v>
      </c>
      <c r="U474" s="84" t="s">
        <v>85</v>
      </c>
      <c r="V474" s="84" t="s">
        <v>87</v>
      </c>
      <c r="W474" s="83" t="s">
        <v>88</v>
      </c>
    </row>
    <row r="475" spans="3:23" x14ac:dyDescent="0.25">
      <c r="C475" s="62">
        <f t="shared" ref="C475:C480" si="290">C474</f>
        <v>1</v>
      </c>
      <c r="D475" s="82" t="s">
        <v>26</v>
      </c>
      <c r="E475" s="80"/>
      <c r="F475" s="79"/>
      <c r="G475" s="79"/>
      <c r="H475" s="79"/>
      <c r="I475" s="79"/>
      <c r="J475" s="79"/>
      <c r="K475" s="79"/>
      <c r="L475" s="79"/>
      <c r="M475" s="79"/>
      <c r="N475" s="79"/>
      <c r="O475" s="79"/>
      <c r="P475" s="79"/>
      <c r="Q475" s="79"/>
      <c r="R475" s="79"/>
      <c r="S475" s="79"/>
      <c r="T475" s="79"/>
      <c r="U475" s="79"/>
      <c r="V475" s="79"/>
      <c r="W475" s="78"/>
    </row>
    <row r="476" spans="3:23" x14ac:dyDescent="0.25">
      <c r="C476" s="62">
        <f t="shared" si="290"/>
        <v>1</v>
      </c>
      <c r="D476" s="81" t="s">
        <v>94</v>
      </c>
      <c r="E476" s="80"/>
      <c r="F476" s="79"/>
      <c r="G476" s="79"/>
      <c r="H476" s="79"/>
      <c r="I476" s="79"/>
      <c r="J476" s="79"/>
      <c r="K476" s="79"/>
      <c r="L476" s="79"/>
      <c r="M476" s="79"/>
      <c r="N476" s="79"/>
      <c r="O476" s="79"/>
      <c r="P476" s="79"/>
      <c r="Q476" s="79"/>
      <c r="R476" s="79"/>
      <c r="S476" s="79"/>
      <c r="T476" s="79"/>
      <c r="U476" s="79"/>
      <c r="V476" s="79"/>
      <c r="W476" s="78"/>
    </row>
    <row r="477" spans="3:23" x14ac:dyDescent="0.25">
      <c r="C477" s="62">
        <f t="shared" si="290"/>
        <v>1</v>
      </c>
      <c r="D477" s="268" t="s">
        <v>93</v>
      </c>
      <c r="E477" s="76" t="s">
        <v>155</v>
      </c>
      <c r="F477" s="75">
        <f t="shared" ref="F477:T477" si="291">+F$8*$E472</f>
        <v>0</v>
      </c>
      <c r="G477" s="75">
        <f t="shared" si="291"/>
        <v>0</v>
      </c>
      <c r="H477" s="75">
        <f t="shared" si="291"/>
        <v>0</v>
      </c>
      <c r="I477" s="75">
        <f t="shared" si="291"/>
        <v>0</v>
      </c>
      <c r="J477" s="75">
        <f t="shared" si="291"/>
        <v>0</v>
      </c>
      <c r="K477" s="75">
        <f t="shared" si="291"/>
        <v>0</v>
      </c>
      <c r="L477" s="75">
        <f t="shared" si="291"/>
        <v>0.81725105721245395</v>
      </c>
      <c r="M477" s="75">
        <f t="shared" ca="1" si="291"/>
        <v>33100.850865091335</v>
      </c>
      <c r="N477" s="75">
        <f t="shared" ca="1" si="291"/>
        <v>786.96524531208843</v>
      </c>
      <c r="O477" s="75">
        <f t="shared" si="291"/>
        <v>0</v>
      </c>
      <c r="P477" s="75">
        <f t="shared" si="291"/>
        <v>0</v>
      </c>
      <c r="Q477" s="75">
        <f t="shared" si="291"/>
        <v>0</v>
      </c>
      <c r="R477" s="75">
        <f t="shared" si="291"/>
        <v>0</v>
      </c>
      <c r="S477" s="75">
        <f t="shared" si="291"/>
        <v>0</v>
      </c>
      <c r="T477" s="75">
        <f t="shared" si="291"/>
        <v>0</v>
      </c>
      <c r="U477" s="73">
        <f t="shared" ref="U477:U479" si="292">+R477+O477+L477+I477+F477</f>
        <v>0.81725105721245395</v>
      </c>
      <c r="V477" s="72">
        <f t="shared" ref="V477:V479" ca="1" si="293">+S477+P477+M477+J477+G477</f>
        <v>33100.850865091335</v>
      </c>
      <c r="W477" s="72">
        <f t="shared" ref="W477:W479" ca="1" si="294">+T477+Q477+N477+K477+H477</f>
        <v>786.96524531208843</v>
      </c>
    </row>
    <row r="478" spans="3:23" x14ac:dyDescent="0.25">
      <c r="C478" s="62">
        <f t="shared" si="290"/>
        <v>1</v>
      </c>
      <c r="D478" s="268" t="s">
        <v>92</v>
      </c>
      <c r="E478" s="76" t="s">
        <v>156</v>
      </c>
      <c r="F478" s="75">
        <f t="shared" ref="F478:T478" si="295">+F$9*$E472</f>
        <v>0</v>
      </c>
      <c r="G478" s="75">
        <f t="shared" si="295"/>
        <v>0</v>
      </c>
      <c r="H478" s="75">
        <f t="shared" si="295"/>
        <v>0</v>
      </c>
      <c r="I478" s="75">
        <f t="shared" si="295"/>
        <v>0</v>
      </c>
      <c r="J478" s="75">
        <f t="shared" si="295"/>
        <v>0</v>
      </c>
      <c r="K478" s="75">
        <f t="shared" si="295"/>
        <v>0</v>
      </c>
      <c r="L478" s="75">
        <f t="shared" si="295"/>
        <v>0</v>
      </c>
      <c r="M478" s="75">
        <f t="shared" si="295"/>
        <v>0</v>
      </c>
      <c r="N478" s="75">
        <f t="shared" si="295"/>
        <v>0</v>
      </c>
      <c r="O478" s="75">
        <f t="shared" si="295"/>
        <v>0</v>
      </c>
      <c r="P478" s="75">
        <f t="shared" si="295"/>
        <v>0</v>
      </c>
      <c r="Q478" s="75">
        <f t="shared" si="295"/>
        <v>0</v>
      </c>
      <c r="R478" s="75">
        <f t="shared" si="295"/>
        <v>0</v>
      </c>
      <c r="S478" s="75">
        <f t="shared" si="295"/>
        <v>0</v>
      </c>
      <c r="T478" s="75">
        <f t="shared" si="295"/>
        <v>0</v>
      </c>
      <c r="U478" s="73">
        <f t="shared" si="292"/>
        <v>0</v>
      </c>
      <c r="V478" s="72">
        <f t="shared" si="293"/>
        <v>0</v>
      </c>
      <c r="W478" s="72">
        <f t="shared" si="294"/>
        <v>0</v>
      </c>
    </row>
    <row r="479" spans="3:23" x14ac:dyDescent="0.25">
      <c r="C479" s="62">
        <f t="shared" si="290"/>
        <v>1</v>
      </c>
      <c r="D479" s="268" t="s">
        <v>91</v>
      </c>
      <c r="E479" s="76" t="s">
        <v>157</v>
      </c>
      <c r="F479" s="75">
        <f t="shared" ref="F479:T479" si="296">+F$10*$E472</f>
        <v>0</v>
      </c>
      <c r="G479" s="75">
        <f t="shared" si="296"/>
        <v>0</v>
      </c>
      <c r="H479" s="75">
        <f t="shared" si="296"/>
        <v>0</v>
      </c>
      <c r="I479" s="75">
        <f t="shared" si="296"/>
        <v>0</v>
      </c>
      <c r="J479" s="75">
        <f t="shared" si="296"/>
        <v>0</v>
      </c>
      <c r="K479" s="75">
        <f t="shared" si="296"/>
        <v>0</v>
      </c>
      <c r="L479" s="75">
        <f t="shared" si="296"/>
        <v>1.0213373736524447E-3</v>
      </c>
      <c r="M479" s="75">
        <f t="shared" ca="1" si="296"/>
        <v>275.65339902263787</v>
      </c>
      <c r="N479" s="75">
        <f t="shared" si="296"/>
        <v>0</v>
      </c>
      <c r="O479" s="75">
        <f t="shared" si="296"/>
        <v>0</v>
      </c>
      <c r="P479" s="75">
        <f t="shared" si="296"/>
        <v>0</v>
      </c>
      <c r="Q479" s="75">
        <f t="shared" si="296"/>
        <v>0</v>
      </c>
      <c r="R479" s="75">
        <f t="shared" si="296"/>
        <v>0</v>
      </c>
      <c r="S479" s="75">
        <f t="shared" si="296"/>
        <v>0</v>
      </c>
      <c r="T479" s="75">
        <f t="shared" si="296"/>
        <v>0</v>
      </c>
      <c r="U479" s="73">
        <f t="shared" si="292"/>
        <v>1.0213373736524447E-3</v>
      </c>
      <c r="V479" s="72">
        <f t="shared" ca="1" si="293"/>
        <v>275.65339902263787</v>
      </c>
      <c r="W479" s="72">
        <f t="shared" si="294"/>
        <v>0</v>
      </c>
    </row>
    <row r="480" spans="3:23" ht="15.75" thickBot="1" x14ac:dyDescent="0.3">
      <c r="C480" s="62">
        <f t="shared" si="290"/>
        <v>1</v>
      </c>
      <c r="D480" s="71" t="s">
        <v>48</v>
      </c>
      <c r="E480" s="70" t="s">
        <v>158</v>
      </c>
      <c r="F480" s="68">
        <f t="shared" ref="F480:W480" si="297">SUBTOTAL(9,F477:F479)</f>
        <v>0</v>
      </c>
      <c r="G480" s="68">
        <f t="shared" si="297"/>
        <v>0</v>
      </c>
      <c r="H480" s="68">
        <f t="shared" si="297"/>
        <v>0</v>
      </c>
      <c r="I480" s="69">
        <f t="shared" si="297"/>
        <v>0</v>
      </c>
      <c r="J480" s="68">
        <f t="shared" si="297"/>
        <v>0</v>
      </c>
      <c r="K480" s="68">
        <f t="shared" si="297"/>
        <v>0</v>
      </c>
      <c r="L480" s="69">
        <f t="shared" si="297"/>
        <v>0.81827239458610634</v>
      </c>
      <c r="M480" s="68">
        <f t="shared" ca="1" si="297"/>
        <v>33376.504264113973</v>
      </c>
      <c r="N480" s="68">
        <f t="shared" ca="1" si="297"/>
        <v>786.96524531208843</v>
      </c>
      <c r="O480" s="69">
        <f t="shared" si="297"/>
        <v>0</v>
      </c>
      <c r="P480" s="68">
        <f t="shared" si="297"/>
        <v>0</v>
      </c>
      <c r="Q480" s="68">
        <f t="shared" si="297"/>
        <v>0</v>
      </c>
      <c r="R480" s="69">
        <f t="shared" si="297"/>
        <v>0</v>
      </c>
      <c r="S480" s="68">
        <f t="shared" si="297"/>
        <v>0</v>
      </c>
      <c r="T480" s="68">
        <f t="shared" si="297"/>
        <v>0</v>
      </c>
      <c r="U480" s="69">
        <f t="shared" si="297"/>
        <v>0.81827239458610634</v>
      </c>
      <c r="V480" s="68">
        <f t="shared" ca="1" si="297"/>
        <v>33376.504264113973</v>
      </c>
      <c r="W480" s="68">
        <f t="shared" ca="1" si="297"/>
        <v>786.96524531208843</v>
      </c>
    </row>
    <row r="481" spans="3:23" ht="15.75" hidden="1" thickBot="1" x14ac:dyDescent="0.3"/>
    <row r="482" spans="3:23" x14ac:dyDescent="0.25">
      <c r="C482" s="62">
        <f>IF(E482&gt;0,1,0)</f>
        <v>1</v>
      </c>
      <c r="D482" s="936" t="str">
        <f>+A51</f>
        <v>Schenectady</v>
      </c>
      <c r="E482" s="938">
        <f>SUMIF(A:A,D482,B:B)</f>
        <v>4.4993927533405302E-3</v>
      </c>
      <c r="F482" s="940" t="s">
        <v>103</v>
      </c>
      <c r="G482" s="941"/>
      <c r="H482" s="942"/>
      <c r="I482" s="940" t="s">
        <v>102</v>
      </c>
      <c r="J482" s="941"/>
      <c r="K482" s="942"/>
      <c r="L482" s="940" t="s">
        <v>101</v>
      </c>
      <c r="M482" s="941"/>
      <c r="N482" s="942"/>
      <c r="O482" s="940" t="s">
        <v>100</v>
      </c>
      <c r="P482" s="941"/>
      <c r="Q482" s="942"/>
      <c r="R482" s="940" t="s">
        <v>99</v>
      </c>
      <c r="S482" s="941"/>
      <c r="T482" s="942"/>
      <c r="U482" s="940" t="s">
        <v>98</v>
      </c>
      <c r="V482" s="941"/>
      <c r="W482" s="943"/>
    </row>
    <row r="483" spans="3:23" ht="30" x14ac:dyDescent="0.25">
      <c r="C483" s="62">
        <f>IF(E482&gt;0,1,0)</f>
        <v>1</v>
      </c>
      <c r="D483" s="937"/>
      <c r="E483" s="939"/>
      <c r="F483" s="88" t="s">
        <v>97</v>
      </c>
      <c r="G483" s="88" t="s">
        <v>96</v>
      </c>
      <c r="H483" s="88" t="s">
        <v>95</v>
      </c>
      <c r="I483" s="88" t="s">
        <v>97</v>
      </c>
      <c r="J483" s="88" t="s">
        <v>96</v>
      </c>
      <c r="K483" s="88" t="s">
        <v>95</v>
      </c>
      <c r="L483" s="88" t="s">
        <v>97</v>
      </c>
      <c r="M483" s="88" t="s">
        <v>96</v>
      </c>
      <c r="N483" s="88" t="s">
        <v>95</v>
      </c>
      <c r="O483" s="88" t="s">
        <v>97</v>
      </c>
      <c r="P483" s="88" t="s">
        <v>96</v>
      </c>
      <c r="Q483" s="88" t="s">
        <v>95</v>
      </c>
      <c r="R483" s="88" t="s">
        <v>97</v>
      </c>
      <c r="S483" s="88" t="s">
        <v>96</v>
      </c>
      <c r="T483" s="88" t="s">
        <v>95</v>
      </c>
      <c r="U483" s="88" t="s">
        <v>97</v>
      </c>
      <c r="V483" s="88" t="s">
        <v>96</v>
      </c>
      <c r="W483" s="87" t="s">
        <v>95</v>
      </c>
    </row>
    <row r="484" spans="3:23" x14ac:dyDescent="0.25">
      <c r="C484" s="62">
        <f>C483</f>
        <v>1</v>
      </c>
      <c r="D484" s="86"/>
      <c r="E484" s="85"/>
      <c r="F484" s="84" t="s">
        <v>57</v>
      </c>
      <c r="G484" s="84" t="s">
        <v>56</v>
      </c>
      <c r="H484" s="84" t="s">
        <v>55</v>
      </c>
      <c r="I484" s="84" t="s">
        <v>54</v>
      </c>
      <c r="J484" s="84" t="s">
        <v>53</v>
      </c>
      <c r="K484" s="84" t="s">
        <v>52</v>
      </c>
      <c r="L484" s="84" t="s">
        <v>51</v>
      </c>
      <c r="M484" s="84" t="s">
        <v>50</v>
      </c>
      <c r="N484" s="84" t="s">
        <v>49</v>
      </c>
      <c r="O484" s="84" t="s">
        <v>47</v>
      </c>
      <c r="P484" s="84" t="s">
        <v>77</v>
      </c>
      <c r="Q484" s="84" t="s">
        <v>78</v>
      </c>
      <c r="R484" s="84" t="s">
        <v>79</v>
      </c>
      <c r="S484" s="84" t="s">
        <v>81</v>
      </c>
      <c r="T484" s="84" t="s">
        <v>83</v>
      </c>
      <c r="U484" s="84" t="s">
        <v>85</v>
      </c>
      <c r="V484" s="84" t="s">
        <v>87</v>
      </c>
      <c r="W484" s="83" t="s">
        <v>88</v>
      </c>
    </row>
    <row r="485" spans="3:23" x14ac:dyDescent="0.25">
      <c r="C485" s="62">
        <f t="shared" ref="C485:C490" si="298">C484</f>
        <v>1</v>
      </c>
      <c r="D485" s="82" t="s">
        <v>26</v>
      </c>
      <c r="E485" s="80"/>
      <c r="F485" s="79"/>
      <c r="G485" s="79"/>
      <c r="H485" s="79"/>
      <c r="I485" s="79"/>
      <c r="J485" s="79"/>
      <c r="K485" s="79"/>
      <c r="L485" s="79"/>
      <c r="M485" s="79"/>
      <c r="N485" s="79"/>
      <c r="O485" s="79"/>
      <c r="P485" s="79"/>
      <c r="Q485" s="79"/>
      <c r="R485" s="79"/>
      <c r="S485" s="79"/>
      <c r="T485" s="79"/>
      <c r="U485" s="79"/>
      <c r="V485" s="79"/>
      <c r="W485" s="78"/>
    </row>
    <row r="486" spans="3:23" x14ac:dyDescent="0.25">
      <c r="C486" s="62">
        <f t="shared" si="298"/>
        <v>1</v>
      </c>
      <c r="D486" s="81" t="s">
        <v>94</v>
      </c>
      <c r="E486" s="80"/>
      <c r="F486" s="79"/>
      <c r="G486" s="79"/>
      <c r="H486" s="79"/>
      <c r="I486" s="79"/>
      <c r="J486" s="79"/>
      <c r="K486" s="79"/>
      <c r="L486" s="79"/>
      <c r="M486" s="79"/>
      <c r="N486" s="79"/>
      <c r="O486" s="79"/>
      <c r="P486" s="79"/>
      <c r="Q486" s="79"/>
      <c r="R486" s="79"/>
      <c r="S486" s="79"/>
      <c r="T486" s="79"/>
      <c r="U486" s="79"/>
      <c r="V486" s="79"/>
      <c r="W486" s="78"/>
    </row>
    <row r="487" spans="3:23" x14ac:dyDescent="0.25">
      <c r="C487" s="62">
        <f t="shared" si="298"/>
        <v>1</v>
      </c>
      <c r="D487" s="268" t="s">
        <v>93</v>
      </c>
      <c r="E487" s="76" t="s">
        <v>155</v>
      </c>
      <c r="F487" s="75">
        <f t="shared" ref="F487:T487" si="299">+F$8*$E482</f>
        <v>0</v>
      </c>
      <c r="G487" s="75">
        <f t="shared" si="299"/>
        <v>0</v>
      </c>
      <c r="H487" s="75">
        <f t="shared" si="299"/>
        <v>0</v>
      </c>
      <c r="I487" s="75">
        <f t="shared" si="299"/>
        <v>0</v>
      </c>
      <c r="J487" s="75">
        <f t="shared" si="299"/>
        <v>0</v>
      </c>
      <c r="K487" s="75">
        <f t="shared" si="299"/>
        <v>0</v>
      </c>
      <c r="L487" s="75">
        <f t="shared" si="299"/>
        <v>15.688620381355747</v>
      </c>
      <c r="M487" s="75">
        <f t="shared" ca="1" si="299"/>
        <v>635431.03302133654</v>
      </c>
      <c r="N487" s="75">
        <f t="shared" ca="1" si="299"/>
        <v>15107.229140986314</v>
      </c>
      <c r="O487" s="75">
        <f t="shared" si="299"/>
        <v>0</v>
      </c>
      <c r="P487" s="75">
        <f t="shared" si="299"/>
        <v>0</v>
      </c>
      <c r="Q487" s="75">
        <f t="shared" si="299"/>
        <v>0</v>
      </c>
      <c r="R487" s="75">
        <f t="shared" si="299"/>
        <v>0</v>
      </c>
      <c r="S487" s="75">
        <f t="shared" si="299"/>
        <v>0</v>
      </c>
      <c r="T487" s="75">
        <f t="shared" si="299"/>
        <v>0</v>
      </c>
      <c r="U487" s="73">
        <f t="shared" ref="U487:U489" si="300">+R487+O487+L487+I487+F487</f>
        <v>15.688620381355747</v>
      </c>
      <c r="V487" s="72">
        <f t="shared" ref="V487:V489" ca="1" si="301">+S487+P487+M487+J487+G487</f>
        <v>635431.03302133654</v>
      </c>
      <c r="W487" s="72">
        <f t="shared" ref="W487:W489" ca="1" si="302">+T487+Q487+N487+K487+H487</f>
        <v>15107.229140986314</v>
      </c>
    </row>
    <row r="488" spans="3:23" x14ac:dyDescent="0.25">
      <c r="C488" s="62">
        <f t="shared" si="298"/>
        <v>1</v>
      </c>
      <c r="D488" s="268" t="s">
        <v>92</v>
      </c>
      <c r="E488" s="76" t="s">
        <v>156</v>
      </c>
      <c r="F488" s="75">
        <f t="shared" ref="F488:T488" si="303">+F$9*$E482</f>
        <v>0</v>
      </c>
      <c r="G488" s="75">
        <f t="shared" si="303"/>
        <v>0</v>
      </c>
      <c r="H488" s="75">
        <f t="shared" si="303"/>
        <v>0</v>
      </c>
      <c r="I488" s="75">
        <f t="shared" si="303"/>
        <v>0</v>
      </c>
      <c r="J488" s="75">
        <f t="shared" si="303"/>
        <v>0</v>
      </c>
      <c r="K488" s="75">
        <f t="shared" si="303"/>
        <v>0</v>
      </c>
      <c r="L488" s="75">
        <f t="shared" si="303"/>
        <v>0</v>
      </c>
      <c r="M488" s="75">
        <f t="shared" si="303"/>
        <v>0</v>
      </c>
      <c r="N488" s="75">
        <f t="shared" si="303"/>
        <v>0</v>
      </c>
      <c r="O488" s="75">
        <f t="shared" si="303"/>
        <v>0</v>
      </c>
      <c r="P488" s="75">
        <f t="shared" si="303"/>
        <v>0</v>
      </c>
      <c r="Q488" s="75">
        <f t="shared" si="303"/>
        <v>0</v>
      </c>
      <c r="R488" s="75">
        <f t="shared" si="303"/>
        <v>0</v>
      </c>
      <c r="S488" s="75">
        <f t="shared" si="303"/>
        <v>0</v>
      </c>
      <c r="T488" s="75">
        <f t="shared" si="303"/>
        <v>0</v>
      </c>
      <c r="U488" s="73">
        <f t="shared" si="300"/>
        <v>0</v>
      </c>
      <c r="V488" s="72">
        <f t="shared" si="301"/>
        <v>0</v>
      </c>
      <c r="W488" s="72">
        <f t="shared" si="302"/>
        <v>0</v>
      </c>
    </row>
    <row r="489" spans="3:23" x14ac:dyDescent="0.25">
      <c r="C489" s="62">
        <f t="shared" si="298"/>
        <v>1</v>
      </c>
      <c r="D489" s="268" t="s">
        <v>91</v>
      </c>
      <c r="E489" s="76" t="s">
        <v>157</v>
      </c>
      <c r="F489" s="75">
        <f t="shared" ref="F489:T489" si="304">+F$10*$E482</f>
        <v>0</v>
      </c>
      <c r="G489" s="75">
        <f t="shared" si="304"/>
        <v>0</v>
      </c>
      <c r="H489" s="75">
        <f t="shared" si="304"/>
        <v>0</v>
      </c>
      <c r="I489" s="75">
        <f t="shared" si="304"/>
        <v>0</v>
      </c>
      <c r="J489" s="75">
        <f t="shared" si="304"/>
        <v>0</v>
      </c>
      <c r="K489" s="75">
        <f t="shared" si="304"/>
        <v>0</v>
      </c>
      <c r="L489" s="75">
        <f t="shared" si="304"/>
        <v>1.9606428398120303E-2</v>
      </c>
      <c r="M489" s="75">
        <f t="shared" ca="1" si="304"/>
        <v>5291.6683263124978</v>
      </c>
      <c r="N489" s="75">
        <f t="shared" si="304"/>
        <v>0</v>
      </c>
      <c r="O489" s="75">
        <f t="shared" si="304"/>
        <v>0</v>
      </c>
      <c r="P489" s="75">
        <f t="shared" si="304"/>
        <v>0</v>
      </c>
      <c r="Q489" s="75">
        <f t="shared" si="304"/>
        <v>0</v>
      </c>
      <c r="R489" s="75">
        <f t="shared" si="304"/>
        <v>0</v>
      </c>
      <c r="S489" s="75">
        <f t="shared" si="304"/>
        <v>0</v>
      </c>
      <c r="T489" s="75">
        <f t="shared" si="304"/>
        <v>0</v>
      </c>
      <c r="U489" s="73">
        <f t="shared" si="300"/>
        <v>1.9606428398120303E-2</v>
      </c>
      <c r="V489" s="72">
        <f t="shared" ca="1" si="301"/>
        <v>5291.6683263124978</v>
      </c>
      <c r="W489" s="72">
        <f t="shared" si="302"/>
        <v>0</v>
      </c>
    </row>
    <row r="490" spans="3:23" ht="15.75" thickBot="1" x14ac:dyDescent="0.3">
      <c r="C490" s="62">
        <f t="shared" si="298"/>
        <v>1</v>
      </c>
      <c r="D490" s="71" t="s">
        <v>48</v>
      </c>
      <c r="E490" s="70" t="s">
        <v>158</v>
      </c>
      <c r="F490" s="68">
        <f t="shared" ref="F490:W490" si="305">SUBTOTAL(9,F487:F489)</f>
        <v>0</v>
      </c>
      <c r="G490" s="68">
        <f t="shared" si="305"/>
        <v>0</v>
      </c>
      <c r="H490" s="68">
        <f t="shared" si="305"/>
        <v>0</v>
      </c>
      <c r="I490" s="69">
        <f t="shared" si="305"/>
        <v>0</v>
      </c>
      <c r="J490" s="68">
        <f t="shared" si="305"/>
        <v>0</v>
      </c>
      <c r="K490" s="68">
        <f t="shared" si="305"/>
        <v>0</v>
      </c>
      <c r="L490" s="69">
        <f t="shared" si="305"/>
        <v>15.708226809753867</v>
      </c>
      <c r="M490" s="68">
        <f t="shared" ca="1" si="305"/>
        <v>640722.70134764898</v>
      </c>
      <c r="N490" s="68">
        <f t="shared" ca="1" si="305"/>
        <v>15107.229140986314</v>
      </c>
      <c r="O490" s="69">
        <f t="shared" si="305"/>
        <v>0</v>
      </c>
      <c r="P490" s="68">
        <f t="shared" si="305"/>
        <v>0</v>
      </c>
      <c r="Q490" s="68">
        <f t="shared" si="305"/>
        <v>0</v>
      </c>
      <c r="R490" s="69">
        <f t="shared" si="305"/>
        <v>0</v>
      </c>
      <c r="S490" s="68">
        <f t="shared" si="305"/>
        <v>0</v>
      </c>
      <c r="T490" s="68">
        <f t="shared" si="305"/>
        <v>0</v>
      </c>
      <c r="U490" s="69">
        <f t="shared" si="305"/>
        <v>15.708226809753867</v>
      </c>
      <c r="V490" s="68">
        <f t="shared" ca="1" si="305"/>
        <v>640722.70134764898</v>
      </c>
      <c r="W490" s="68">
        <f t="shared" ca="1" si="305"/>
        <v>15107.229140986314</v>
      </c>
    </row>
    <row r="491" spans="3:23" ht="15.75" hidden="1" thickBot="1" x14ac:dyDescent="0.3"/>
    <row r="492" spans="3:23" ht="15.75" hidden="1" thickBot="1" x14ac:dyDescent="0.3">
      <c r="C492" s="62">
        <f>IF(E492&gt;0,1,0)</f>
        <v>0</v>
      </c>
      <c r="D492" s="936" t="str">
        <f>+A52</f>
        <v>Schoharie</v>
      </c>
      <c r="E492" s="938">
        <f>SUMIF(A:A,D492,B:B)</f>
        <v>0</v>
      </c>
      <c r="F492" s="940" t="s">
        <v>103</v>
      </c>
      <c r="G492" s="941"/>
      <c r="H492" s="942"/>
      <c r="I492" s="940" t="s">
        <v>102</v>
      </c>
      <c r="J492" s="941"/>
      <c r="K492" s="942"/>
      <c r="L492" s="940" t="s">
        <v>101</v>
      </c>
      <c r="M492" s="941"/>
      <c r="N492" s="942"/>
      <c r="O492" s="940" t="s">
        <v>100</v>
      </c>
      <c r="P492" s="941"/>
      <c r="Q492" s="942"/>
      <c r="R492" s="940" t="s">
        <v>99</v>
      </c>
      <c r="S492" s="941"/>
      <c r="T492" s="942"/>
      <c r="U492" s="940" t="s">
        <v>98</v>
      </c>
      <c r="V492" s="941"/>
      <c r="W492" s="943"/>
    </row>
    <row r="493" spans="3:23" ht="30.75" hidden="1" thickBot="1" x14ac:dyDescent="0.3">
      <c r="C493" s="62">
        <f>IF(E492&gt;0,1,0)</f>
        <v>0</v>
      </c>
      <c r="D493" s="937"/>
      <c r="E493" s="939"/>
      <c r="F493" s="88" t="s">
        <v>97</v>
      </c>
      <c r="G493" s="88" t="s">
        <v>96</v>
      </c>
      <c r="H493" s="88" t="s">
        <v>95</v>
      </c>
      <c r="I493" s="88" t="s">
        <v>97</v>
      </c>
      <c r="J493" s="88" t="s">
        <v>96</v>
      </c>
      <c r="K493" s="88" t="s">
        <v>95</v>
      </c>
      <c r="L493" s="88" t="s">
        <v>97</v>
      </c>
      <c r="M493" s="88" t="s">
        <v>96</v>
      </c>
      <c r="N493" s="88" t="s">
        <v>95</v>
      </c>
      <c r="O493" s="88" t="s">
        <v>97</v>
      </c>
      <c r="P493" s="88" t="s">
        <v>96</v>
      </c>
      <c r="Q493" s="88" t="s">
        <v>95</v>
      </c>
      <c r="R493" s="88" t="s">
        <v>97</v>
      </c>
      <c r="S493" s="88" t="s">
        <v>96</v>
      </c>
      <c r="T493" s="88" t="s">
        <v>95</v>
      </c>
      <c r="U493" s="88" t="s">
        <v>97</v>
      </c>
      <c r="V493" s="88" t="s">
        <v>96</v>
      </c>
      <c r="W493" s="87" t="s">
        <v>95</v>
      </c>
    </row>
    <row r="494" spans="3:23" ht="15.75" hidden="1" thickBot="1" x14ac:dyDescent="0.3">
      <c r="C494" s="62">
        <f>C493</f>
        <v>0</v>
      </c>
      <c r="D494" s="86"/>
      <c r="E494" s="85"/>
      <c r="F494" s="84" t="s">
        <v>57</v>
      </c>
      <c r="G494" s="84" t="s">
        <v>56</v>
      </c>
      <c r="H494" s="84" t="s">
        <v>55</v>
      </c>
      <c r="I494" s="84" t="s">
        <v>54</v>
      </c>
      <c r="J494" s="84" t="s">
        <v>53</v>
      </c>
      <c r="K494" s="84" t="s">
        <v>52</v>
      </c>
      <c r="L494" s="84" t="s">
        <v>51</v>
      </c>
      <c r="M494" s="84" t="s">
        <v>50</v>
      </c>
      <c r="N494" s="84" t="s">
        <v>49</v>
      </c>
      <c r="O494" s="84" t="s">
        <v>47</v>
      </c>
      <c r="P494" s="84" t="s">
        <v>77</v>
      </c>
      <c r="Q494" s="84" t="s">
        <v>78</v>
      </c>
      <c r="R494" s="84" t="s">
        <v>79</v>
      </c>
      <c r="S494" s="84" t="s">
        <v>81</v>
      </c>
      <c r="T494" s="84" t="s">
        <v>83</v>
      </c>
      <c r="U494" s="84" t="s">
        <v>85</v>
      </c>
      <c r="V494" s="84" t="s">
        <v>87</v>
      </c>
      <c r="W494" s="83" t="s">
        <v>88</v>
      </c>
    </row>
    <row r="495" spans="3:23" ht="15.75" hidden="1" thickBot="1" x14ac:dyDescent="0.3">
      <c r="C495" s="62">
        <f t="shared" ref="C495:C500" si="306">C494</f>
        <v>0</v>
      </c>
      <c r="D495" s="82" t="s">
        <v>26</v>
      </c>
      <c r="E495" s="80"/>
      <c r="F495" s="79"/>
      <c r="G495" s="79"/>
      <c r="H495" s="79"/>
      <c r="I495" s="79"/>
      <c r="J495" s="79"/>
      <c r="K495" s="79"/>
      <c r="L495" s="79"/>
      <c r="M495" s="79"/>
      <c r="N495" s="79"/>
      <c r="O495" s="79"/>
      <c r="P495" s="79"/>
      <c r="Q495" s="79"/>
      <c r="R495" s="79"/>
      <c r="S495" s="79"/>
      <c r="T495" s="79"/>
      <c r="U495" s="79"/>
      <c r="V495" s="79"/>
      <c r="W495" s="78"/>
    </row>
    <row r="496" spans="3:23" ht="15.75" hidden="1" thickBot="1" x14ac:dyDescent="0.3">
      <c r="C496" s="62">
        <f t="shared" si="306"/>
        <v>0</v>
      </c>
      <c r="D496" s="81" t="s">
        <v>94</v>
      </c>
      <c r="E496" s="80"/>
      <c r="F496" s="79"/>
      <c r="G496" s="79"/>
      <c r="H496" s="79"/>
      <c r="I496" s="79"/>
      <c r="J496" s="79"/>
      <c r="K496" s="79"/>
      <c r="L496" s="79"/>
      <c r="M496" s="79"/>
      <c r="N496" s="79"/>
      <c r="O496" s="79"/>
      <c r="P496" s="79"/>
      <c r="Q496" s="79"/>
      <c r="R496" s="79"/>
      <c r="S496" s="79"/>
      <c r="T496" s="79"/>
      <c r="U496" s="79"/>
      <c r="V496" s="79"/>
      <c r="W496" s="78"/>
    </row>
    <row r="497" spans="3:23" ht="15.75" hidden="1" thickBot="1" x14ac:dyDescent="0.3">
      <c r="C497" s="62">
        <f t="shared" si="306"/>
        <v>0</v>
      </c>
      <c r="D497" s="268" t="s">
        <v>93</v>
      </c>
      <c r="E497" s="76" t="s">
        <v>155</v>
      </c>
      <c r="F497" s="75">
        <f t="shared" ref="F497:T497" si="307">+F$8*$E492</f>
        <v>0</v>
      </c>
      <c r="G497" s="75">
        <f t="shared" si="307"/>
        <v>0</v>
      </c>
      <c r="H497" s="75">
        <f t="shared" si="307"/>
        <v>0</v>
      </c>
      <c r="I497" s="75">
        <f t="shared" si="307"/>
        <v>0</v>
      </c>
      <c r="J497" s="75">
        <f t="shared" si="307"/>
        <v>0</v>
      </c>
      <c r="K497" s="75">
        <f t="shared" si="307"/>
        <v>0</v>
      </c>
      <c r="L497" s="75">
        <f t="shared" si="307"/>
        <v>0</v>
      </c>
      <c r="M497" s="75">
        <f t="shared" ca="1" si="307"/>
        <v>0</v>
      </c>
      <c r="N497" s="75">
        <f t="shared" ca="1" si="307"/>
        <v>0</v>
      </c>
      <c r="O497" s="75">
        <f t="shared" si="307"/>
        <v>0</v>
      </c>
      <c r="P497" s="75">
        <f t="shared" si="307"/>
        <v>0</v>
      </c>
      <c r="Q497" s="75">
        <f t="shared" si="307"/>
        <v>0</v>
      </c>
      <c r="R497" s="75">
        <f t="shared" si="307"/>
        <v>0</v>
      </c>
      <c r="S497" s="75">
        <f t="shared" si="307"/>
        <v>0</v>
      </c>
      <c r="T497" s="75">
        <f t="shared" si="307"/>
        <v>0</v>
      </c>
      <c r="U497" s="73">
        <f t="shared" ref="U497:U499" si="308">+R497+O497+L497+I497+F497</f>
        <v>0</v>
      </c>
      <c r="V497" s="72">
        <f t="shared" ref="V497:V499" ca="1" si="309">+S497+P497+M497+J497+G497</f>
        <v>0</v>
      </c>
      <c r="W497" s="72">
        <f t="shared" ref="W497:W499" ca="1" si="310">+T497+Q497+N497+K497+H497</f>
        <v>0</v>
      </c>
    </row>
    <row r="498" spans="3:23" ht="15.75" hidden="1" thickBot="1" x14ac:dyDescent="0.3">
      <c r="C498" s="62">
        <f t="shared" si="306"/>
        <v>0</v>
      </c>
      <c r="D498" s="268" t="s">
        <v>92</v>
      </c>
      <c r="E498" s="76" t="s">
        <v>156</v>
      </c>
      <c r="F498" s="75">
        <f t="shared" ref="F498:T498" si="311">+F$9*$E492</f>
        <v>0</v>
      </c>
      <c r="G498" s="75">
        <f t="shared" si="311"/>
        <v>0</v>
      </c>
      <c r="H498" s="75">
        <f t="shared" si="311"/>
        <v>0</v>
      </c>
      <c r="I498" s="75">
        <f t="shared" si="311"/>
        <v>0</v>
      </c>
      <c r="J498" s="75">
        <f t="shared" si="311"/>
        <v>0</v>
      </c>
      <c r="K498" s="75">
        <f t="shared" si="311"/>
        <v>0</v>
      </c>
      <c r="L498" s="75">
        <f t="shared" si="311"/>
        <v>0</v>
      </c>
      <c r="M498" s="75">
        <f t="shared" si="311"/>
        <v>0</v>
      </c>
      <c r="N498" s="75">
        <f t="shared" si="311"/>
        <v>0</v>
      </c>
      <c r="O498" s="75">
        <f t="shared" si="311"/>
        <v>0</v>
      </c>
      <c r="P498" s="75">
        <f t="shared" si="311"/>
        <v>0</v>
      </c>
      <c r="Q498" s="75">
        <f t="shared" si="311"/>
        <v>0</v>
      </c>
      <c r="R498" s="75">
        <f t="shared" si="311"/>
        <v>0</v>
      </c>
      <c r="S498" s="75">
        <f t="shared" si="311"/>
        <v>0</v>
      </c>
      <c r="T498" s="75">
        <f t="shared" si="311"/>
        <v>0</v>
      </c>
      <c r="U498" s="73">
        <f t="shared" si="308"/>
        <v>0</v>
      </c>
      <c r="V498" s="72">
        <f t="shared" si="309"/>
        <v>0</v>
      </c>
      <c r="W498" s="72">
        <f t="shared" si="310"/>
        <v>0</v>
      </c>
    </row>
    <row r="499" spans="3:23" ht="15.75" hidden="1" thickBot="1" x14ac:dyDescent="0.3">
      <c r="C499" s="62">
        <f t="shared" si="306"/>
        <v>0</v>
      </c>
      <c r="D499" s="268" t="s">
        <v>91</v>
      </c>
      <c r="E499" s="76" t="s">
        <v>157</v>
      </c>
      <c r="F499" s="75">
        <f t="shared" ref="F499:T499" si="312">+F$10*$E492</f>
        <v>0</v>
      </c>
      <c r="G499" s="75">
        <f t="shared" si="312"/>
        <v>0</v>
      </c>
      <c r="H499" s="75">
        <f t="shared" si="312"/>
        <v>0</v>
      </c>
      <c r="I499" s="75">
        <f t="shared" si="312"/>
        <v>0</v>
      </c>
      <c r="J499" s="75">
        <f t="shared" si="312"/>
        <v>0</v>
      </c>
      <c r="K499" s="75">
        <f t="shared" si="312"/>
        <v>0</v>
      </c>
      <c r="L499" s="75">
        <f t="shared" si="312"/>
        <v>0</v>
      </c>
      <c r="M499" s="75">
        <f t="shared" ca="1" si="312"/>
        <v>0</v>
      </c>
      <c r="N499" s="75">
        <f t="shared" si="312"/>
        <v>0</v>
      </c>
      <c r="O499" s="75">
        <f t="shared" si="312"/>
        <v>0</v>
      </c>
      <c r="P499" s="75">
        <f t="shared" si="312"/>
        <v>0</v>
      </c>
      <c r="Q499" s="75">
        <f t="shared" si="312"/>
        <v>0</v>
      </c>
      <c r="R499" s="75">
        <f t="shared" si="312"/>
        <v>0</v>
      </c>
      <c r="S499" s="75">
        <f t="shared" si="312"/>
        <v>0</v>
      </c>
      <c r="T499" s="75">
        <f t="shared" si="312"/>
        <v>0</v>
      </c>
      <c r="U499" s="73">
        <f t="shared" si="308"/>
        <v>0</v>
      </c>
      <c r="V499" s="72">
        <f t="shared" ca="1" si="309"/>
        <v>0</v>
      </c>
      <c r="W499" s="72">
        <f t="shared" si="310"/>
        <v>0</v>
      </c>
    </row>
    <row r="500" spans="3:23" ht="15.75" hidden="1" thickBot="1" x14ac:dyDescent="0.3">
      <c r="C500" s="62">
        <f t="shared" si="306"/>
        <v>0</v>
      </c>
      <c r="D500" s="71" t="s">
        <v>48</v>
      </c>
      <c r="E500" s="70" t="s">
        <v>158</v>
      </c>
      <c r="F500" s="68">
        <f t="shared" ref="F500:W500" si="313">SUBTOTAL(9,F497:F499)</f>
        <v>0</v>
      </c>
      <c r="G500" s="68">
        <f t="shared" si="313"/>
        <v>0</v>
      </c>
      <c r="H500" s="68">
        <f t="shared" si="313"/>
        <v>0</v>
      </c>
      <c r="I500" s="69">
        <f t="shared" si="313"/>
        <v>0</v>
      </c>
      <c r="J500" s="68">
        <f t="shared" si="313"/>
        <v>0</v>
      </c>
      <c r="K500" s="68">
        <f t="shared" si="313"/>
        <v>0</v>
      </c>
      <c r="L500" s="69">
        <f t="shared" si="313"/>
        <v>0</v>
      </c>
      <c r="M500" s="68">
        <f t="shared" si="313"/>
        <v>0</v>
      </c>
      <c r="N500" s="68">
        <f t="shared" si="313"/>
        <v>0</v>
      </c>
      <c r="O500" s="69">
        <f t="shared" si="313"/>
        <v>0</v>
      </c>
      <c r="P500" s="68">
        <f t="shared" si="313"/>
        <v>0</v>
      </c>
      <c r="Q500" s="68">
        <f t="shared" si="313"/>
        <v>0</v>
      </c>
      <c r="R500" s="69">
        <f t="shared" si="313"/>
        <v>0</v>
      </c>
      <c r="S500" s="68">
        <f t="shared" si="313"/>
        <v>0</v>
      </c>
      <c r="T500" s="68">
        <f t="shared" si="313"/>
        <v>0</v>
      </c>
      <c r="U500" s="69">
        <f t="shared" si="313"/>
        <v>0</v>
      </c>
      <c r="V500" s="68">
        <f t="shared" si="313"/>
        <v>0</v>
      </c>
      <c r="W500" s="68">
        <f t="shared" si="313"/>
        <v>0</v>
      </c>
    </row>
    <row r="501" spans="3:23" ht="15.75" hidden="1" thickBot="1" x14ac:dyDescent="0.3"/>
    <row r="502" spans="3:23" ht="15.75" hidden="1" thickBot="1" x14ac:dyDescent="0.3">
      <c r="C502" s="62">
        <f>IF(E502&gt;0,1,0)</f>
        <v>0</v>
      </c>
      <c r="D502" s="936" t="str">
        <f>+A53</f>
        <v>Schuyler</v>
      </c>
      <c r="E502" s="938">
        <f>SUMIF(A:A,D502,B:B)</f>
        <v>0</v>
      </c>
      <c r="F502" s="940" t="s">
        <v>103</v>
      </c>
      <c r="G502" s="941"/>
      <c r="H502" s="942"/>
      <c r="I502" s="940" t="s">
        <v>102</v>
      </c>
      <c r="J502" s="941"/>
      <c r="K502" s="942"/>
      <c r="L502" s="940" t="s">
        <v>101</v>
      </c>
      <c r="M502" s="941"/>
      <c r="N502" s="942"/>
      <c r="O502" s="940" t="s">
        <v>100</v>
      </c>
      <c r="P502" s="941"/>
      <c r="Q502" s="942"/>
      <c r="R502" s="940" t="s">
        <v>99</v>
      </c>
      <c r="S502" s="941"/>
      <c r="T502" s="942"/>
      <c r="U502" s="940" t="s">
        <v>98</v>
      </c>
      <c r="V502" s="941"/>
      <c r="W502" s="943"/>
    </row>
    <row r="503" spans="3:23" ht="30.75" hidden="1" thickBot="1" x14ac:dyDescent="0.3">
      <c r="C503" s="62">
        <f>IF(E502&gt;0,1,0)</f>
        <v>0</v>
      </c>
      <c r="D503" s="937"/>
      <c r="E503" s="939"/>
      <c r="F503" s="88" t="s">
        <v>97</v>
      </c>
      <c r="G503" s="88" t="s">
        <v>96</v>
      </c>
      <c r="H503" s="88" t="s">
        <v>95</v>
      </c>
      <c r="I503" s="88" t="s">
        <v>97</v>
      </c>
      <c r="J503" s="88" t="s">
        <v>96</v>
      </c>
      <c r="K503" s="88" t="s">
        <v>95</v>
      </c>
      <c r="L503" s="88" t="s">
        <v>97</v>
      </c>
      <c r="M503" s="88" t="s">
        <v>96</v>
      </c>
      <c r="N503" s="88" t="s">
        <v>95</v>
      </c>
      <c r="O503" s="88" t="s">
        <v>97</v>
      </c>
      <c r="P503" s="88" t="s">
        <v>96</v>
      </c>
      <c r="Q503" s="88" t="s">
        <v>95</v>
      </c>
      <c r="R503" s="88" t="s">
        <v>97</v>
      </c>
      <c r="S503" s="88" t="s">
        <v>96</v>
      </c>
      <c r="T503" s="88" t="s">
        <v>95</v>
      </c>
      <c r="U503" s="88" t="s">
        <v>97</v>
      </c>
      <c r="V503" s="88" t="s">
        <v>96</v>
      </c>
      <c r="W503" s="87" t="s">
        <v>95</v>
      </c>
    </row>
    <row r="504" spans="3:23" ht="15.75" hidden="1" thickBot="1" x14ac:dyDescent="0.3">
      <c r="C504" s="62">
        <f>C503</f>
        <v>0</v>
      </c>
      <c r="D504" s="86"/>
      <c r="E504" s="85"/>
      <c r="F504" s="84" t="s">
        <v>57</v>
      </c>
      <c r="G504" s="84" t="s">
        <v>56</v>
      </c>
      <c r="H504" s="84" t="s">
        <v>55</v>
      </c>
      <c r="I504" s="84" t="s">
        <v>54</v>
      </c>
      <c r="J504" s="84" t="s">
        <v>53</v>
      </c>
      <c r="K504" s="84" t="s">
        <v>52</v>
      </c>
      <c r="L504" s="84" t="s">
        <v>51</v>
      </c>
      <c r="M504" s="84" t="s">
        <v>50</v>
      </c>
      <c r="N504" s="84" t="s">
        <v>49</v>
      </c>
      <c r="O504" s="84" t="s">
        <v>47</v>
      </c>
      <c r="P504" s="84" t="s">
        <v>77</v>
      </c>
      <c r="Q504" s="84" t="s">
        <v>78</v>
      </c>
      <c r="R504" s="84" t="s">
        <v>79</v>
      </c>
      <c r="S504" s="84" t="s">
        <v>81</v>
      </c>
      <c r="T504" s="84" t="s">
        <v>83</v>
      </c>
      <c r="U504" s="84" t="s">
        <v>85</v>
      </c>
      <c r="V504" s="84" t="s">
        <v>87</v>
      </c>
      <c r="W504" s="83" t="s">
        <v>88</v>
      </c>
    </row>
    <row r="505" spans="3:23" ht="15.75" hidden="1" thickBot="1" x14ac:dyDescent="0.3">
      <c r="C505" s="62">
        <f t="shared" ref="C505:C510" si="314">C504</f>
        <v>0</v>
      </c>
      <c r="D505" s="82" t="s">
        <v>26</v>
      </c>
      <c r="E505" s="80"/>
      <c r="F505" s="79"/>
      <c r="G505" s="79"/>
      <c r="H505" s="79"/>
      <c r="I505" s="79"/>
      <c r="J505" s="79"/>
      <c r="K505" s="79"/>
      <c r="L505" s="79"/>
      <c r="M505" s="79"/>
      <c r="N505" s="79"/>
      <c r="O505" s="79"/>
      <c r="P505" s="79"/>
      <c r="Q505" s="79"/>
      <c r="R505" s="79"/>
      <c r="S505" s="79"/>
      <c r="T505" s="79"/>
      <c r="U505" s="79"/>
      <c r="V505" s="79"/>
      <c r="W505" s="78"/>
    </row>
    <row r="506" spans="3:23" ht="15.75" hidden="1" thickBot="1" x14ac:dyDescent="0.3">
      <c r="C506" s="62">
        <f t="shared" si="314"/>
        <v>0</v>
      </c>
      <c r="D506" s="81" t="s">
        <v>94</v>
      </c>
      <c r="E506" s="80"/>
      <c r="F506" s="79"/>
      <c r="G506" s="79"/>
      <c r="H506" s="79"/>
      <c r="I506" s="79"/>
      <c r="J506" s="79"/>
      <c r="K506" s="79"/>
      <c r="L506" s="79"/>
      <c r="M506" s="79"/>
      <c r="N506" s="79"/>
      <c r="O506" s="79"/>
      <c r="P506" s="79"/>
      <c r="Q506" s="79"/>
      <c r="R506" s="79"/>
      <c r="S506" s="79"/>
      <c r="T506" s="79"/>
      <c r="U506" s="79"/>
      <c r="V506" s="79"/>
      <c r="W506" s="78"/>
    </row>
    <row r="507" spans="3:23" ht="15.75" hidden="1" thickBot="1" x14ac:dyDescent="0.3">
      <c r="C507" s="62">
        <f t="shared" si="314"/>
        <v>0</v>
      </c>
      <c r="D507" s="268" t="s">
        <v>93</v>
      </c>
      <c r="E507" s="76" t="s">
        <v>155</v>
      </c>
      <c r="F507" s="75">
        <f t="shared" ref="F507:T507" si="315">+F$8*$E502</f>
        <v>0</v>
      </c>
      <c r="G507" s="75">
        <f t="shared" si="315"/>
        <v>0</v>
      </c>
      <c r="H507" s="75">
        <f t="shared" si="315"/>
        <v>0</v>
      </c>
      <c r="I507" s="75">
        <f t="shared" si="315"/>
        <v>0</v>
      </c>
      <c r="J507" s="75">
        <f t="shared" si="315"/>
        <v>0</v>
      </c>
      <c r="K507" s="75">
        <f t="shared" si="315"/>
        <v>0</v>
      </c>
      <c r="L507" s="75">
        <f t="shared" si="315"/>
        <v>0</v>
      </c>
      <c r="M507" s="75">
        <f t="shared" ca="1" si="315"/>
        <v>0</v>
      </c>
      <c r="N507" s="75">
        <f t="shared" ca="1" si="315"/>
        <v>0</v>
      </c>
      <c r="O507" s="75">
        <f t="shared" si="315"/>
        <v>0</v>
      </c>
      <c r="P507" s="75">
        <f t="shared" si="315"/>
        <v>0</v>
      </c>
      <c r="Q507" s="75">
        <f t="shared" si="315"/>
        <v>0</v>
      </c>
      <c r="R507" s="75">
        <f t="shared" si="315"/>
        <v>0</v>
      </c>
      <c r="S507" s="75">
        <f t="shared" si="315"/>
        <v>0</v>
      </c>
      <c r="T507" s="75">
        <f t="shared" si="315"/>
        <v>0</v>
      </c>
      <c r="U507" s="73">
        <f t="shared" ref="U507:U509" si="316">+R507+O507+L507+I507+F507</f>
        <v>0</v>
      </c>
      <c r="V507" s="72">
        <f t="shared" ref="V507:V509" ca="1" si="317">+S507+P507+M507+J507+G507</f>
        <v>0</v>
      </c>
      <c r="W507" s="72">
        <f t="shared" ref="W507:W509" ca="1" si="318">+T507+Q507+N507+K507+H507</f>
        <v>0</v>
      </c>
    </row>
    <row r="508" spans="3:23" ht="15.75" hidden="1" thickBot="1" x14ac:dyDescent="0.3">
      <c r="C508" s="62">
        <f t="shared" si="314"/>
        <v>0</v>
      </c>
      <c r="D508" s="268" t="s">
        <v>92</v>
      </c>
      <c r="E508" s="76" t="s">
        <v>156</v>
      </c>
      <c r="F508" s="75">
        <f t="shared" ref="F508:T508" si="319">+F$9*$E502</f>
        <v>0</v>
      </c>
      <c r="G508" s="75">
        <f t="shared" si="319"/>
        <v>0</v>
      </c>
      <c r="H508" s="75">
        <f t="shared" si="319"/>
        <v>0</v>
      </c>
      <c r="I508" s="75">
        <f t="shared" si="319"/>
        <v>0</v>
      </c>
      <c r="J508" s="75">
        <f t="shared" si="319"/>
        <v>0</v>
      </c>
      <c r="K508" s="75">
        <f t="shared" si="319"/>
        <v>0</v>
      </c>
      <c r="L508" s="75">
        <f t="shared" si="319"/>
        <v>0</v>
      </c>
      <c r="M508" s="75">
        <f t="shared" si="319"/>
        <v>0</v>
      </c>
      <c r="N508" s="75">
        <f t="shared" si="319"/>
        <v>0</v>
      </c>
      <c r="O508" s="75">
        <f t="shared" si="319"/>
        <v>0</v>
      </c>
      <c r="P508" s="75">
        <f t="shared" si="319"/>
        <v>0</v>
      </c>
      <c r="Q508" s="75">
        <f t="shared" si="319"/>
        <v>0</v>
      </c>
      <c r="R508" s="75">
        <f t="shared" si="319"/>
        <v>0</v>
      </c>
      <c r="S508" s="75">
        <f t="shared" si="319"/>
        <v>0</v>
      </c>
      <c r="T508" s="75">
        <f t="shared" si="319"/>
        <v>0</v>
      </c>
      <c r="U508" s="73">
        <f t="shared" si="316"/>
        <v>0</v>
      </c>
      <c r="V508" s="72">
        <f t="shared" si="317"/>
        <v>0</v>
      </c>
      <c r="W508" s="72">
        <f t="shared" si="318"/>
        <v>0</v>
      </c>
    </row>
    <row r="509" spans="3:23" ht="15.75" hidden="1" thickBot="1" x14ac:dyDescent="0.3">
      <c r="C509" s="62">
        <f t="shared" si="314"/>
        <v>0</v>
      </c>
      <c r="D509" s="268" t="s">
        <v>91</v>
      </c>
      <c r="E509" s="76" t="s">
        <v>157</v>
      </c>
      <c r="F509" s="75">
        <f t="shared" ref="F509:T509" si="320">+F$10*$E502</f>
        <v>0</v>
      </c>
      <c r="G509" s="75">
        <f t="shared" si="320"/>
        <v>0</v>
      </c>
      <c r="H509" s="75">
        <f t="shared" si="320"/>
        <v>0</v>
      </c>
      <c r="I509" s="75">
        <f t="shared" si="320"/>
        <v>0</v>
      </c>
      <c r="J509" s="75">
        <f t="shared" si="320"/>
        <v>0</v>
      </c>
      <c r="K509" s="75">
        <f t="shared" si="320"/>
        <v>0</v>
      </c>
      <c r="L509" s="75">
        <f t="shared" si="320"/>
        <v>0</v>
      </c>
      <c r="M509" s="75">
        <f t="shared" ca="1" si="320"/>
        <v>0</v>
      </c>
      <c r="N509" s="75">
        <f t="shared" si="320"/>
        <v>0</v>
      </c>
      <c r="O509" s="75">
        <f t="shared" si="320"/>
        <v>0</v>
      </c>
      <c r="P509" s="75">
        <f t="shared" si="320"/>
        <v>0</v>
      </c>
      <c r="Q509" s="75">
        <f t="shared" si="320"/>
        <v>0</v>
      </c>
      <c r="R509" s="75">
        <f t="shared" si="320"/>
        <v>0</v>
      </c>
      <c r="S509" s="75">
        <f t="shared" si="320"/>
        <v>0</v>
      </c>
      <c r="T509" s="75">
        <f t="shared" si="320"/>
        <v>0</v>
      </c>
      <c r="U509" s="73">
        <f t="shared" si="316"/>
        <v>0</v>
      </c>
      <c r="V509" s="72">
        <f t="shared" ca="1" si="317"/>
        <v>0</v>
      </c>
      <c r="W509" s="72">
        <f t="shared" si="318"/>
        <v>0</v>
      </c>
    </row>
    <row r="510" spans="3:23" ht="15.75" hidden="1" thickBot="1" x14ac:dyDescent="0.3">
      <c r="C510" s="62">
        <f t="shared" si="314"/>
        <v>0</v>
      </c>
      <c r="D510" s="71" t="s">
        <v>48</v>
      </c>
      <c r="E510" s="70" t="s">
        <v>158</v>
      </c>
      <c r="F510" s="68">
        <f t="shared" ref="F510:W510" si="321">SUBTOTAL(9,F507:F509)</f>
        <v>0</v>
      </c>
      <c r="G510" s="68">
        <f t="shared" si="321"/>
        <v>0</v>
      </c>
      <c r="H510" s="68">
        <f t="shared" si="321"/>
        <v>0</v>
      </c>
      <c r="I510" s="69">
        <f t="shared" si="321"/>
        <v>0</v>
      </c>
      <c r="J510" s="68">
        <f t="shared" si="321"/>
        <v>0</v>
      </c>
      <c r="K510" s="68">
        <f t="shared" si="321"/>
        <v>0</v>
      </c>
      <c r="L510" s="69">
        <f t="shared" si="321"/>
        <v>0</v>
      </c>
      <c r="M510" s="68">
        <f t="shared" si="321"/>
        <v>0</v>
      </c>
      <c r="N510" s="68">
        <f t="shared" si="321"/>
        <v>0</v>
      </c>
      <c r="O510" s="69">
        <f t="shared" si="321"/>
        <v>0</v>
      </c>
      <c r="P510" s="68">
        <f t="shared" si="321"/>
        <v>0</v>
      </c>
      <c r="Q510" s="68">
        <f t="shared" si="321"/>
        <v>0</v>
      </c>
      <c r="R510" s="69">
        <f t="shared" si="321"/>
        <v>0</v>
      </c>
      <c r="S510" s="68">
        <f t="shared" si="321"/>
        <v>0</v>
      </c>
      <c r="T510" s="68">
        <f t="shared" si="321"/>
        <v>0</v>
      </c>
      <c r="U510" s="69">
        <f t="shared" si="321"/>
        <v>0</v>
      </c>
      <c r="V510" s="68">
        <f t="shared" si="321"/>
        <v>0</v>
      </c>
      <c r="W510" s="68">
        <f t="shared" si="321"/>
        <v>0</v>
      </c>
    </row>
    <row r="511" spans="3:23" ht="15.75" hidden="1" thickBot="1" x14ac:dyDescent="0.3"/>
    <row r="512" spans="3:23" ht="15.75" hidden="1" thickBot="1" x14ac:dyDescent="0.3">
      <c r="C512" s="62">
        <f>IF(E512&gt;0,1,0)</f>
        <v>0</v>
      </c>
      <c r="D512" s="936" t="str">
        <f>+A54</f>
        <v>Seneca</v>
      </c>
      <c r="E512" s="938">
        <f>SUMIF(A:A,D512,B:B)</f>
        <v>0</v>
      </c>
      <c r="F512" s="940" t="s">
        <v>103</v>
      </c>
      <c r="G512" s="941"/>
      <c r="H512" s="942"/>
      <c r="I512" s="940" t="s">
        <v>102</v>
      </c>
      <c r="J512" s="941"/>
      <c r="K512" s="942"/>
      <c r="L512" s="940" t="s">
        <v>101</v>
      </c>
      <c r="M512" s="941"/>
      <c r="N512" s="942"/>
      <c r="O512" s="940" t="s">
        <v>100</v>
      </c>
      <c r="P512" s="941"/>
      <c r="Q512" s="942"/>
      <c r="R512" s="940" t="s">
        <v>99</v>
      </c>
      <c r="S512" s="941"/>
      <c r="T512" s="942"/>
      <c r="U512" s="940" t="s">
        <v>98</v>
      </c>
      <c r="V512" s="941"/>
      <c r="W512" s="943"/>
    </row>
    <row r="513" spans="3:23" ht="30.75" hidden="1" thickBot="1" x14ac:dyDescent="0.3">
      <c r="C513" s="62">
        <f>IF(E512&gt;0,1,0)</f>
        <v>0</v>
      </c>
      <c r="D513" s="937"/>
      <c r="E513" s="939"/>
      <c r="F513" s="88" t="s">
        <v>97</v>
      </c>
      <c r="G513" s="88" t="s">
        <v>96</v>
      </c>
      <c r="H513" s="88" t="s">
        <v>95</v>
      </c>
      <c r="I513" s="88" t="s">
        <v>97</v>
      </c>
      <c r="J513" s="88" t="s">
        <v>96</v>
      </c>
      <c r="K513" s="88" t="s">
        <v>95</v>
      </c>
      <c r="L513" s="88" t="s">
        <v>97</v>
      </c>
      <c r="M513" s="88" t="s">
        <v>96</v>
      </c>
      <c r="N513" s="88" t="s">
        <v>95</v>
      </c>
      <c r="O513" s="88" t="s">
        <v>97</v>
      </c>
      <c r="P513" s="88" t="s">
        <v>96</v>
      </c>
      <c r="Q513" s="88" t="s">
        <v>95</v>
      </c>
      <c r="R513" s="88" t="s">
        <v>97</v>
      </c>
      <c r="S513" s="88" t="s">
        <v>96</v>
      </c>
      <c r="T513" s="88" t="s">
        <v>95</v>
      </c>
      <c r="U513" s="88" t="s">
        <v>97</v>
      </c>
      <c r="V513" s="88" t="s">
        <v>96</v>
      </c>
      <c r="W513" s="87" t="s">
        <v>95</v>
      </c>
    </row>
    <row r="514" spans="3:23" ht="15.75" hidden="1" thickBot="1" x14ac:dyDescent="0.3">
      <c r="C514" s="62">
        <f>C513</f>
        <v>0</v>
      </c>
      <c r="D514" s="86"/>
      <c r="E514" s="85"/>
      <c r="F514" s="84" t="s">
        <v>57</v>
      </c>
      <c r="G514" s="84" t="s">
        <v>56</v>
      </c>
      <c r="H514" s="84" t="s">
        <v>55</v>
      </c>
      <c r="I514" s="84" t="s">
        <v>54</v>
      </c>
      <c r="J514" s="84" t="s">
        <v>53</v>
      </c>
      <c r="K514" s="84" t="s">
        <v>52</v>
      </c>
      <c r="L514" s="84" t="s">
        <v>51</v>
      </c>
      <c r="M514" s="84" t="s">
        <v>50</v>
      </c>
      <c r="N514" s="84" t="s">
        <v>49</v>
      </c>
      <c r="O514" s="84" t="s">
        <v>47</v>
      </c>
      <c r="P514" s="84" t="s">
        <v>77</v>
      </c>
      <c r="Q514" s="84" t="s">
        <v>78</v>
      </c>
      <c r="R514" s="84" t="s">
        <v>79</v>
      </c>
      <c r="S514" s="84" t="s">
        <v>81</v>
      </c>
      <c r="T514" s="84" t="s">
        <v>83</v>
      </c>
      <c r="U514" s="84" t="s">
        <v>85</v>
      </c>
      <c r="V514" s="84" t="s">
        <v>87</v>
      </c>
      <c r="W514" s="83" t="s">
        <v>88</v>
      </c>
    </row>
    <row r="515" spans="3:23" ht="15.75" hidden="1" thickBot="1" x14ac:dyDescent="0.3">
      <c r="C515" s="62">
        <f t="shared" ref="C515:C520" si="322">C514</f>
        <v>0</v>
      </c>
      <c r="D515" s="82" t="s">
        <v>26</v>
      </c>
      <c r="E515" s="80"/>
      <c r="F515" s="79"/>
      <c r="G515" s="79"/>
      <c r="H515" s="79"/>
      <c r="I515" s="79"/>
      <c r="J515" s="79"/>
      <c r="K515" s="79"/>
      <c r="L515" s="79"/>
      <c r="M515" s="79"/>
      <c r="N515" s="79"/>
      <c r="O515" s="79"/>
      <c r="P515" s="79"/>
      <c r="Q515" s="79"/>
      <c r="R515" s="79"/>
      <c r="S515" s="79"/>
      <c r="T515" s="79"/>
      <c r="U515" s="79"/>
      <c r="V515" s="79"/>
      <c r="W515" s="78"/>
    </row>
    <row r="516" spans="3:23" ht="15.75" hidden="1" thickBot="1" x14ac:dyDescent="0.3">
      <c r="C516" s="62">
        <f t="shared" si="322"/>
        <v>0</v>
      </c>
      <c r="D516" s="81" t="s">
        <v>94</v>
      </c>
      <c r="E516" s="80"/>
      <c r="F516" s="79"/>
      <c r="G516" s="79"/>
      <c r="H516" s="79"/>
      <c r="I516" s="79"/>
      <c r="J516" s="79"/>
      <c r="K516" s="79"/>
      <c r="L516" s="79"/>
      <c r="M516" s="79"/>
      <c r="N516" s="79"/>
      <c r="O516" s="79"/>
      <c r="P516" s="79"/>
      <c r="Q516" s="79"/>
      <c r="R516" s="79"/>
      <c r="S516" s="79"/>
      <c r="T516" s="79"/>
      <c r="U516" s="79"/>
      <c r="V516" s="79"/>
      <c r="W516" s="78"/>
    </row>
    <row r="517" spans="3:23" ht="15.75" hidden="1" thickBot="1" x14ac:dyDescent="0.3">
      <c r="C517" s="62">
        <f t="shared" si="322"/>
        <v>0</v>
      </c>
      <c r="D517" s="268" t="s">
        <v>93</v>
      </c>
      <c r="E517" s="76" t="s">
        <v>155</v>
      </c>
      <c r="F517" s="75">
        <f t="shared" ref="F517:T517" si="323">+F$8*$E512</f>
        <v>0</v>
      </c>
      <c r="G517" s="75">
        <f t="shared" si="323"/>
        <v>0</v>
      </c>
      <c r="H517" s="75">
        <f t="shared" si="323"/>
        <v>0</v>
      </c>
      <c r="I517" s="75">
        <f t="shared" si="323"/>
        <v>0</v>
      </c>
      <c r="J517" s="75">
        <f t="shared" si="323"/>
        <v>0</v>
      </c>
      <c r="K517" s="75">
        <f t="shared" si="323"/>
        <v>0</v>
      </c>
      <c r="L517" s="75">
        <f t="shared" si="323"/>
        <v>0</v>
      </c>
      <c r="M517" s="75">
        <f t="shared" ca="1" si="323"/>
        <v>0</v>
      </c>
      <c r="N517" s="75">
        <f t="shared" ca="1" si="323"/>
        <v>0</v>
      </c>
      <c r="O517" s="75">
        <f t="shared" si="323"/>
        <v>0</v>
      </c>
      <c r="P517" s="75">
        <f t="shared" si="323"/>
        <v>0</v>
      </c>
      <c r="Q517" s="75">
        <f t="shared" si="323"/>
        <v>0</v>
      </c>
      <c r="R517" s="75">
        <f t="shared" si="323"/>
        <v>0</v>
      </c>
      <c r="S517" s="75">
        <f t="shared" si="323"/>
        <v>0</v>
      </c>
      <c r="T517" s="75">
        <f t="shared" si="323"/>
        <v>0</v>
      </c>
      <c r="U517" s="73">
        <f t="shared" ref="U517:U519" si="324">+R517+O517+L517+I517+F517</f>
        <v>0</v>
      </c>
      <c r="V517" s="72">
        <f t="shared" ref="V517:V519" ca="1" si="325">+S517+P517+M517+J517+G517</f>
        <v>0</v>
      </c>
      <c r="W517" s="72">
        <f t="shared" ref="W517:W519" ca="1" si="326">+T517+Q517+N517+K517+H517</f>
        <v>0</v>
      </c>
    </row>
    <row r="518" spans="3:23" ht="15.75" hidden="1" thickBot="1" x14ac:dyDescent="0.3">
      <c r="C518" s="62">
        <f t="shared" si="322"/>
        <v>0</v>
      </c>
      <c r="D518" s="268" t="s">
        <v>92</v>
      </c>
      <c r="E518" s="76" t="s">
        <v>156</v>
      </c>
      <c r="F518" s="75">
        <f t="shared" ref="F518:T518" si="327">+F$9*$E512</f>
        <v>0</v>
      </c>
      <c r="G518" s="75">
        <f t="shared" si="327"/>
        <v>0</v>
      </c>
      <c r="H518" s="75">
        <f t="shared" si="327"/>
        <v>0</v>
      </c>
      <c r="I518" s="75">
        <f t="shared" si="327"/>
        <v>0</v>
      </c>
      <c r="J518" s="75">
        <f t="shared" si="327"/>
        <v>0</v>
      </c>
      <c r="K518" s="75">
        <f t="shared" si="327"/>
        <v>0</v>
      </c>
      <c r="L518" s="75">
        <f t="shared" si="327"/>
        <v>0</v>
      </c>
      <c r="M518" s="75">
        <f t="shared" si="327"/>
        <v>0</v>
      </c>
      <c r="N518" s="75">
        <f t="shared" si="327"/>
        <v>0</v>
      </c>
      <c r="O518" s="75">
        <f t="shared" si="327"/>
        <v>0</v>
      </c>
      <c r="P518" s="75">
        <f t="shared" si="327"/>
        <v>0</v>
      </c>
      <c r="Q518" s="75">
        <f t="shared" si="327"/>
        <v>0</v>
      </c>
      <c r="R518" s="75">
        <f t="shared" si="327"/>
        <v>0</v>
      </c>
      <c r="S518" s="75">
        <f t="shared" si="327"/>
        <v>0</v>
      </c>
      <c r="T518" s="75">
        <f t="shared" si="327"/>
        <v>0</v>
      </c>
      <c r="U518" s="73">
        <f t="shared" si="324"/>
        <v>0</v>
      </c>
      <c r="V518" s="72">
        <f t="shared" si="325"/>
        <v>0</v>
      </c>
      <c r="W518" s="72">
        <f t="shared" si="326"/>
        <v>0</v>
      </c>
    </row>
    <row r="519" spans="3:23" ht="15.75" hidden="1" thickBot="1" x14ac:dyDescent="0.3">
      <c r="C519" s="62">
        <f t="shared" si="322"/>
        <v>0</v>
      </c>
      <c r="D519" s="268" t="s">
        <v>91</v>
      </c>
      <c r="E519" s="76" t="s">
        <v>157</v>
      </c>
      <c r="F519" s="75">
        <f t="shared" ref="F519:T519" si="328">+F$10*$E512</f>
        <v>0</v>
      </c>
      <c r="G519" s="75">
        <f t="shared" si="328"/>
        <v>0</v>
      </c>
      <c r="H519" s="75">
        <f t="shared" si="328"/>
        <v>0</v>
      </c>
      <c r="I519" s="75">
        <f t="shared" si="328"/>
        <v>0</v>
      </c>
      <c r="J519" s="75">
        <f t="shared" si="328"/>
        <v>0</v>
      </c>
      <c r="K519" s="75">
        <f t="shared" si="328"/>
        <v>0</v>
      </c>
      <c r="L519" s="75">
        <f t="shared" si="328"/>
        <v>0</v>
      </c>
      <c r="M519" s="75">
        <f t="shared" ca="1" si="328"/>
        <v>0</v>
      </c>
      <c r="N519" s="75">
        <f t="shared" si="328"/>
        <v>0</v>
      </c>
      <c r="O519" s="75">
        <f t="shared" si="328"/>
        <v>0</v>
      </c>
      <c r="P519" s="75">
        <f t="shared" si="328"/>
        <v>0</v>
      </c>
      <c r="Q519" s="75">
        <f t="shared" si="328"/>
        <v>0</v>
      </c>
      <c r="R519" s="75">
        <f t="shared" si="328"/>
        <v>0</v>
      </c>
      <c r="S519" s="75">
        <f t="shared" si="328"/>
        <v>0</v>
      </c>
      <c r="T519" s="75">
        <f t="shared" si="328"/>
        <v>0</v>
      </c>
      <c r="U519" s="73">
        <f t="shared" si="324"/>
        <v>0</v>
      </c>
      <c r="V519" s="72">
        <f t="shared" ca="1" si="325"/>
        <v>0</v>
      </c>
      <c r="W519" s="72">
        <f t="shared" si="326"/>
        <v>0</v>
      </c>
    </row>
    <row r="520" spans="3:23" ht="15.75" hidden="1" thickBot="1" x14ac:dyDescent="0.3">
      <c r="C520" s="62">
        <f t="shared" si="322"/>
        <v>0</v>
      </c>
      <c r="D520" s="71" t="s">
        <v>48</v>
      </c>
      <c r="E520" s="70" t="s">
        <v>158</v>
      </c>
      <c r="F520" s="68">
        <f t="shared" ref="F520:W520" si="329">SUBTOTAL(9,F517:F519)</f>
        <v>0</v>
      </c>
      <c r="G520" s="68">
        <f t="shared" si="329"/>
        <v>0</v>
      </c>
      <c r="H520" s="68">
        <f t="shared" si="329"/>
        <v>0</v>
      </c>
      <c r="I520" s="69">
        <f t="shared" si="329"/>
        <v>0</v>
      </c>
      <c r="J520" s="68">
        <f t="shared" si="329"/>
        <v>0</v>
      </c>
      <c r="K520" s="68">
        <f t="shared" si="329"/>
        <v>0</v>
      </c>
      <c r="L520" s="69">
        <f t="shared" si="329"/>
        <v>0</v>
      </c>
      <c r="M520" s="68">
        <f t="shared" si="329"/>
        <v>0</v>
      </c>
      <c r="N520" s="68">
        <f t="shared" si="329"/>
        <v>0</v>
      </c>
      <c r="O520" s="69">
        <f t="shared" si="329"/>
        <v>0</v>
      </c>
      <c r="P520" s="68">
        <f t="shared" si="329"/>
        <v>0</v>
      </c>
      <c r="Q520" s="68">
        <f t="shared" si="329"/>
        <v>0</v>
      </c>
      <c r="R520" s="69">
        <f t="shared" si="329"/>
        <v>0</v>
      </c>
      <c r="S520" s="68">
        <f t="shared" si="329"/>
        <v>0</v>
      </c>
      <c r="T520" s="68">
        <f t="shared" si="329"/>
        <v>0</v>
      </c>
      <c r="U520" s="69">
        <f t="shared" si="329"/>
        <v>0</v>
      </c>
      <c r="V520" s="68">
        <f t="shared" si="329"/>
        <v>0</v>
      </c>
      <c r="W520" s="68">
        <f t="shared" si="329"/>
        <v>0</v>
      </c>
    </row>
    <row r="521" spans="3:23" ht="15.75" hidden="1" thickBot="1" x14ac:dyDescent="0.3"/>
    <row r="522" spans="3:23" ht="15.75" hidden="1" thickBot="1" x14ac:dyDescent="0.3">
      <c r="C522" s="62">
        <f>IF(E522&gt;0,1,0)</f>
        <v>0</v>
      </c>
      <c r="D522" s="936" t="str">
        <f>+A55</f>
        <v>Steuben</v>
      </c>
      <c r="E522" s="938">
        <f>SUMIF(A:A,D522,B:B)</f>
        <v>0</v>
      </c>
      <c r="F522" s="940" t="s">
        <v>103</v>
      </c>
      <c r="G522" s="941"/>
      <c r="H522" s="942"/>
      <c r="I522" s="940" t="s">
        <v>102</v>
      </c>
      <c r="J522" s="941"/>
      <c r="K522" s="942"/>
      <c r="L522" s="940" t="s">
        <v>101</v>
      </c>
      <c r="M522" s="941"/>
      <c r="N522" s="942"/>
      <c r="O522" s="940" t="s">
        <v>100</v>
      </c>
      <c r="P522" s="941"/>
      <c r="Q522" s="942"/>
      <c r="R522" s="940" t="s">
        <v>99</v>
      </c>
      <c r="S522" s="941"/>
      <c r="T522" s="942"/>
      <c r="U522" s="940" t="s">
        <v>98</v>
      </c>
      <c r="V522" s="941"/>
      <c r="W522" s="943"/>
    </row>
    <row r="523" spans="3:23" ht="30.75" hidden="1" thickBot="1" x14ac:dyDescent="0.3">
      <c r="C523" s="62">
        <f>IF(E522&gt;0,1,0)</f>
        <v>0</v>
      </c>
      <c r="D523" s="937"/>
      <c r="E523" s="939"/>
      <c r="F523" s="88" t="s">
        <v>97</v>
      </c>
      <c r="G523" s="88" t="s">
        <v>96</v>
      </c>
      <c r="H523" s="88" t="s">
        <v>95</v>
      </c>
      <c r="I523" s="88" t="s">
        <v>97</v>
      </c>
      <c r="J523" s="88" t="s">
        <v>96</v>
      </c>
      <c r="K523" s="88" t="s">
        <v>95</v>
      </c>
      <c r="L523" s="88" t="s">
        <v>97</v>
      </c>
      <c r="M523" s="88" t="s">
        <v>96</v>
      </c>
      <c r="N523" s="88" t="s">
        <v>95</v>
      </c>
      <c r="O523" s="88" t="s">
        <v>97</v>
      </c>
      <c r="P523" s="88" t="s">
        <v>96</v>
      </c>
      <c r="Q523" s="88" t="s">
        <v>95</v>
      </c>
      <c r="R523" s="88" t="s">
        <v>97</v>
      </c>
      <c r="S523" s="88" t="s">
        <v>96</v>
      </c>
      <c r="T523" s="88" t="s">
        <v>95</v>
      </c>
      <c r="U523" s="88" t="s">
        <v>97</v>
      </c>
      <c r="V523" s="88" t="s">
        <v>96</v>
      </c>
      <c r="W523" s="87" t="s">
        <v>95</v>
      </c>
    </row>
    <row r="524" spans="3:23" ht="15.75" hidden="1" thickBot="1" x14ac:dyDescent="0.3">
      <c r="C524" s="62">
        <f>C523</f>
        <v>0</v>
      </c>
      <c r="D524" s="86"/>
      <c r="E524" s="85"/>
      <c r="F524" s="84" t="s">
        <v>57</v>
      </c>
      <c r="G524" s="84" t="s">
        <v>56</v>
      </c>
      <c r="H524" s="84" t="s">
        <v>55</v>
      </c>
      <c r="I524" s="84" t="s">
        <v>54</v>
      </c>
      <c r="J524" s="84" t="s">
        <v>53</v>
      </c>
      <c r="K524" s="84" t="s">
        <v>52</v>
      </c>
      <c r="L524" s="84" t="s">
        <v>51</v>
      </c>
      <c r="M524" s="84" t="s">
        <v>50</v>
      </c>
      <c r="N524" s="84" t="s">
        <v>49</v>
      </c>
      <c r="O524" s="84" t="s">
        <v>47</v>
      </c>
      <c r="P524" s="84" t="s">
        <v>77</v>
      </c>
      <c r="Q524" s="84" t="s">
        <v>78</v>
      </c>
      <c r="R524" s="84" t="s">
        <v>79</v>
      </c>
      <c r="S524" s="84" t="s">
        <v>81</v>
      </c>
      <c r="T524" s="84" t="s">
        <v>83</v>
      </c>
      <c r="U524" s="84" t="s">
        <v>85</v>
      </c>
      <c r="V524" s="84" t="s">
        <v>87</v>
      </c>
      <c r="W524" s="83" t="s">
        <v>88</v>
      </c>
    </row>
    <row r="525" spans="3:23" ht="15.75" hidden="1" thickBot="1" x14ac:dyDescent="0.3">
      <c r="C525" s="62">
        <f t="shared" ref="C525:C530" si="330">C524</f>
        <v>0</v>
      </c>
      <c r="D525" s="82" t="s">
        <v>26</v>
      </c>
      <c r="E525" s="80"/>
      <c r="F525" s="79"/>
      <c r="G525" s="79"/>
      <c r="H525" s="79"/>
      <c r="I525" s="79"/>
      <c r="J525" s="79"/>
      <c r="K525" s="79"/>
      <c r="L525" s="79"/>
      <c r="M525" s="79"/>
      <c r="N525" s="79"/>
      <c r="O525" s="79"/>
      <c r="P525" s="79"/>
      <c r="Q525" s="79"/>
      <c r="R525" s="79"/>
      <c r="S525" s="79"/>
      <c r="T525" s="79"/>
      <c r="U525" s="79"/>
      <c r="V525" s="79"/>
      <c r="W525" s="78"/>
    </row>
    <row r="526" spans="3:23" ht="15.75" hidden="1" thickBot="1" x14ac:dyDescent="0.3">
      <c r="C526" s="62">
        <f t="shared" si="330"/>
        <v>0</v>
      </c>
      <c r="D526" s="81" t="s">
        <v>94</v>
      </c>
      <c r="E526" s="80"/>
      <c r="F526" s="79"/>
      <c r="G526" s="79"/>
      <c r="H526" s="79"/>
      <c r="I526" s="79"/>
      <c r="J526" s="79"/>
      <c r="K526" s="79"/>
      <c r="L526" s="79"/>
      <c r="M526" s="79"/>
      <c r="N526" s="79"/>
      <c r="O526" s="79"/>
      <c r="P526" s="79"/>
      <c r="Q526" s="79"/>
      <c r="R526" s="79"/>
      <c r="S526" s="79"/>
      <c r="T526" s="79"/>
      <c r="U526" s="79"/>
      <c r="V526" s="79"/>
      <c r="W526" s="78"/>
    </row>
    <row r="527" spans="3:23" ht="15.75" hidden="1" thickBot="1" x14ac:dyDescent="0.3">
      <c r="C527" s="62">
        <f t="shared" si="330"/>
        <v>0</v>
      </c>
      <c r="D527" s="268" t="s">
        <v>93</v>
      </c>
      <c r="E527" s="76" t="s">
        <v>155</v>
      </c>
      <c r="F527" s="75">
        <f t="shared" ref="F527:T527" si="331">+F$8*$E522</f>
        <v>0</v>
      </c>
      <c r="G527" s="75">
        <f t="shared" si="331"/>
        <v>0</v>
      </c>
      <c r="H527" s="75">
        <f t="shared" si="331"/>
        <v>0</v>
      </c>
      <c r="I527" s="75">
        <f t="shared" si="331"/>
        <v>0</v>
      </c>
      <c r="J527" s="75">
        <f t="shared" si="331"/>
        <v>0</v>
      </c>
      <c r="K527" s="75">
        <f t="shared" si="331"/>
        <v>0</v>
      </c>
      <c r="L527" s="75">
        <f t="shared" si="331"/>
        <v>0</v>
      </c>
      <c r="M527" s="75">
        <f t="shared" ca="1" si="331"/>
        <v>0</v>
      </c>
      <c r="N527" s="75">
        <f t="shared" ca="1" si="331"/>
        <v>0</v>
      </c>
      <c r="O527" s="75">
        <f t="shared" si="331"/>
        <v>0</v>
      </c>
      <c r="P527" s="75">
        <f t="shared" si="331"/>
        <v>0</v>
      </c>
      <c r="Q527" s="75">
        <f t="shared" si="331"/>
        <v>0</v>
      </c>
      <c r="R527" s="75">
        <f t="shared" si="331"/>
        <v>0</v>
      </c>
      <c r="S527" s="75">
        <f t="shared" si="331"/>
        <v>0</v>
      </c>
      <c r="T527" s="75">
        <f t="shared" si="331"/>
        <v>0</v>
      </c>
      <c r="U527" s="73">
        <f t="shared" ref="U527:U529" si="332">+R527+O527+L527+I527+F527</f>
        <v>0</v>
      </c>
      <c r="V527" s="72">
        <f t="shared" ref="V527:V529" ca="1" si="333">+S527+P527+M527+J527+G527</f>
        <v>0</v>
      </c>
      <c r="W527" s="72">
        <f t="shared" ref="W527:W529" ca="1" si="334">+T527+Q527+N527+K527+H527</f>
        <v>0</v>
      </c>
    </row>
    <row r="528" spans="3:23" ht="15.75" hidden="1" thickBot="1" x14ac:dyDescent="0.3">
      <c r="C528" s="62">
        <f t="shared" si="330"/>
        <v>0</v>
      </c>
      <c r="D528" s="268" t="s">
        <v>92</v>
      </c>
      <c r="E528" s="76" t="s">
        <v>156</v>
      </c>
      <c r="F528" s="75">
        <f t="shared" ref="F528:T528" si="335">+F$9*$E522</f>
        <v>0</v>
      </c>
      <c r="G528" s="75">
        <f t="shared" si="335"/>
        <v>0</v>
      </c>
      <c r="H528" s="75">
        <f t="shared" si="335"/>
        <v>0</v>
      </c>
      <c r="I528" s="75">
        <f t="shared" si="335"/>
        <v>0</v>
      </c>
      <c r="J528" s="75">
        <f t="shared" si="335"/>
        <v>0</v>
      </c>
      <c r="K528" s="75">
        <f t="shared" si="335"/>
        <v>0</v>
      </c>
      <c r="L528" s="75">
        <f t="shared" si="335"/>
        <v>0</v>
      </c>
      <c r="M528" s="75">
        <f t="shared" si="335"/>
        <v>0</v>
      </c>
      <c r="N528" s="75">
        <f t="shared" si="335"/>
        <v>0</v>
      </c>
      <c r="O528" s="75">
        <f t="shared" si="335"/>
        <v>0</v>
      </c>
      <c r="P528" s="75">
        <f t="shared" si="335"/>
        <v>0</v>
      </c>
      <c r="Q528" s="75">
        <f t="shared" si="335"/>
        <v>0</v>
      </c>
      <c r="R528" s="75">
        <f t="shared" si="335"/>
        <v>0</v>
      </c>
      <c r="S528" s="75">
        <f t="shared" si="335"/>
        <v>0</v>
      </c>
      <c r="T528" s="75">
        <f t="shared" si="335"/>
        <v>0</v>
      </c>
      <c r="U528" s="73">
        <f t="shared" si="332"/>
        <v>0</v>
      </c>
      <c r="V528" s="72">
        <f t="shared" si="333"/>
        <v>0</v>
      </c>
      <c r="W528" s="72">
        <f t="shared" si="334"/>
        <v>0</v>
      </c>
    </row>
    <row r="529" spans="3:23" ht="15.75" hidden="1" thickBot="1" x14ac:dyDescent="0.3">
      <c r="C529" s="62">
        <f t="shared" si="330"/>
        <v>0</v>
      </c>
      <c r="D529" s="268" t="s">
        <v>91</v>
      </c>
      <c r="E529" s="76" t="s">
        <v>157</v>
      </c>
      <c r="F529" s="75">
        <f t="shared" ref="F529:T529" si="336">+F$10*$E522</f>
        <v>0</v>
      </c>
      <c r="G529" s="75">
        <f t="shared" si="336"/>
        <v>0</v>
      </c>
      <c r="H529" s="75">
        <f t="shared" si="336"/>
        <v>0</v>
      </c>
      <c r="I529" s="75">
        <f t="shared" si="336"/>
        <v>0</v>
      </c>
      <c r="J529" s="75">
        <f t="shared" si="336"/>
        <v>0</v>
      </c>
      <c r="K529" s="75">
        <f t="shared" si="336"/>
        <v>0</v>
      </c>
      <c r="L529" s="75">
        <f t="shared" si="336"/>
        <v>0</v>
      </c>
      <c r="M529" s="75">
        <f t="shared" ca="1" si="336"/>
        <v>0</v>
      </c>
      <c r="N529" s="75">
        <f t="shared" si="336"/>
        <v>0</v>
      </c>
      <c r="O529" s="75">
        <f t="shared" si="336"/>
        <v>0</v>
      </c>
      <c r="P529" s="75">
        <f t="shared" si="336"/>
        <v>0</v>
      </c>
      <c r="Q529" s="75">
        <f t="shared" si="336"/>
        <v>0</v>
      </c>
      <c r="R529" s="75">
        <f t="shared" si="336"/>
        <v>0</v>
      </c>
      <c r="S529" s="75">
        <f t="shared" si="336"/>
        <v>0</v>
      </c>
      <c r="T529" s="75">
        <f t="shared" si="336"/>
        <v>0</v>
      </c>
      <c r="U529" s="73">
        <f t="shared" si="332"/>
        <v>0</v>
      </c>
      <c r="V529" s="72">
        <f t="shared" ca="1" si="333"/>
        <v>0</v>
      </c>
      <c r="W529" s="72">
        <f t="shared" si="334"/>
        <v>0</v>
      </c>
    </row>
    <row r="530" spans="3:23" ht="15.75" hidden="1" thickBot="1" x14ac:dyDescent="0.3">
      <c r="C530" s="62">
        <f t="shared" si="330"/>
        <v>0</v>
      </c>
      <c r="D530" s="71" t="s">
        <v>48</v>
      </c>
      <c r="E530" s="70" t="s">
        <v>158</v>
      </c>
      <c r="F530" s="68">
        <f t="shared" ref="F530:W530" si="337">SUBTOTAL(9,F527:F529)</f>
        <v>0</v>
      </c>
      <c r="G530" s="68">
        <f t="shared" si="337"/>
        <v>0</v>
      </c>
      <c r="H530" s="68">
        <f t="shared" si="337"/>
        <v>0</v>
      </c>
      <c r="I530" s="69">
        <f t="shared" si="337"/>
        <v>0</v>
      </c>
      <c r="J530" s="68">
        <f t="shared" si="337"/>
        <v>0</v>
      </c>
      <c r="K530" s="68">
        <f t="shared" si="337"/>
        <v>0</v>
      </c>
      <c r="L530" s="69">
        <f t="shared" si="337"/>
        <v>0</v>
      </c>
      <c r="M530" s="68">
        <f t="shared" si="337"/>
        <v>0</v>
      </c>
      <c r="N530" s="68">
        <f t="shared" si="337"/>
        <v>0</v>
      </c>
      <c r="O530" s="69">
        <f t="shared" si="337"/>
        <v>0</v>
      </c>
      <c r="P530" s="68">
        <f t="shared" si="337"/>
        <v>0</v>
      </c>
      <c r="Q530" s="68">
        <f t="shared" si="337"/>
        <v>0</v>
      </c>
      <c r="R530" s="69">
        <f t="shared" si="337"/>
        <v>0</v>
      </c>
      <c r="S530" s="68">
        <f t="shared" si="337"/>
        <v>0</v>
      </c>
      <c r="T530" s="68">
        <f t="shared" si="337"/>
        <v>0</v>
      </c>
      <c r="U530" s="69">
        <f t="shared" si="337"/>
        <v>0</v>
      </c>
      <c r="V530" s="68">
        <f t="shared" si="337"/>
        <v>0</v>
      </c>
      <c r="W530" s="68">
        <f t="shared" si="337"/>
        <v>0</v>
      </c>
    </row>
    <row r="531" spans="3:23" ht="15.75" hidden="1" thickBot="1" x14ac:dyDescent="0.3"/>
    <row r="532" spans="3:23" x14ac:dyDescent="0.25">
      <c r="C532" s="62">
        <f>IF(E532&gt;0,1,0)</f>
        <v>1</v>
      </c>
      <c r="D532" s="936" t="str">
        <f>+A56</f>
        <v>Suffolk</v>
      </c>
      <c r="E532" s="938">
        <f>SUMIF(A:A,D532,B:B)</f>
        <v>1.3789830938469415E-5</v>
      </c>
      <c r="F532" s="940" t="s">
        <v>103</v>
      </c>
      <c r="G532" s="941"/>
      <c r="H532" s="942"/>
      <c r="I532" s="940" t="s">
        <v>102</v>
      </c>
      <c r="J532" s="941"/>
      <c r="K532" s="942"/>
      <c r="L532" s="940" t="s">
        <v>101</v>
      </c>
      <c r="M532" s="941"/>
      <c r="N532" s="942"/>
      <c r="O532" s="940" t="s">
        <v>100</v>
      </c>
      <c r="P532" s="941"/>
      <c r="Q532" s="942"/>
      <c r="R532" s="940" t="s">
        <v>99</v>
      </c>
      <c r="S532" s="941"/>
      <c r="T532" s="942"/>
      <c r="U532" s="940" t="s">
        <v>98</v>
      </c>
      <c r="V532" s="941"/>
      <c r="W532" s="943"/>
    </row>
    <row r="533" spans="3:23" ht="30" x14ac:dyDescent="0.25">
      <c r="C533" s="62">
        <f>IF(E532&gt;0,1,0)</f>
        <v>1</v>
      </c>
      <c r="D533" s="937"/>
      <c r="E533" s="939"/>
      <c r="F533" s="88" t="s">
        <v>97</v>
      </c>
      <c r="G533" s="88" t="s">
        <v>96</v>
      </c>
      <c r="H533" s="88" t="s">
        <v>95</v>
      </c>
      <c r="I533" s="88" t="s">
        <v>97</v>
      </c>
      <c r="J533" s="88" t="s">
        <v>96</v>
      </c>
      <c r="K533" s="88" t="s">
        <v>95</v>
      </c>
      <c r="L533" s="88" t="s">
        <v>97</v>
      </c>
      <c r="M533" s="88" t="s">
        <v>96</v>
      </c>
      <c r="N533" s="88" t="s">
        <v>95</v>
      </c>
      <c r="O533" s="88" t="s">
        <v>97</v>
      </c>
      <c r="P533" s="88" t="s">
        <v>96</v>
      </c>
      <c r="Q533" s="88" t="s">
        <v>95</v>
      </c>
      <c r="R533" s="88" t="s">
        <v>97</v>
      </c>
      <c r="S533" s="88" t="s">
        <v>96</v>
      </c>
      <c r="T533" s="88" t="s">
        <v>95</v>
      </c>
      <c r="U533" s="88" t="s">
        <v>97</v>
      </c>
      <c r="V533" s="88" t="s">
        <v>96</v>
      </c>
      <c r="W533" s="87" t="s">
        <v>95</v>
      </c>
    </row>
    <row r="534" spans="3:23" x14ac:dyDescent="0.25">
      <c r="C534" s="62">
        <f>C533</f>
        <v>1</v>
      </c>
      <c r="D534" s="86"/>
      <c r="E534" s="85"/>
      <c r="F534" s="84" t="s">
        <v>57</v>
      </c>
      <c r="G534" s="84" t="s">
        <v>56</v>
      </c>
      <c r="H534" s="84" t="s">
        <v>55</v>
      </c>
      <c r="I534" s="84" t="s">
        <v>54</v>
      </c>
      <c r="J534" s="84" t="s">
        <v>53</v>
      </c>
      <c r="K534" s="84" t="s">
        <v>52</v>
      </c>
      <c r="L534" s="84" t="s">
        <v>51</v>
      </c>
      <c r="M534" s="84" t="s">
        <v>50</v>
      </c>
      <c r="N534" s="84" t="s">
        <v>49</v>
      </c>
      <c r="O534" s="84" t="s">
        <v>47</v>
      </c>
      <c r="P534" s="84" t="s">
        <v>77</v>
      </c>
      <c r="Q534" s="84" t="s">
        <v>78</v>
      </c>
      <c r="R534" s="84" t="s">
        <v>79</v>
      </c>
      <c r="S534" s="84" t="s">
        <v>81</v>
      </c>
      <c r="T534" s="84" t="s">
        <v>83</v>
      </c>
      <c r="U534" s="84" t="s">
        <v>85</v>
      </c>
      <c r="V534" s="84" t="s">
        <v>87</v>
      </c>
      <c r="W534" s="83" t="s">
        <v>88</v>
      </c>
    </row>
    <row r="535" spans="3:23" x14ac:dyDescent="0.25">
      <c r="C535" s="62">
        <f t="shared" ref="C535:C540" si="338">C534</f>
        <v>1</v>
      </c>
      <c r="D535" s="82" t="s">
        <v>26</v>
      </c>
      <c r="E535" s="80"/>
      <c r="F535" s="79"/>
      <c r="G535" s="79"/>
      <c r="H535" s="79"/>
      <c r="I535" s="79"/>
      <c r="J535" s="79"/>
      <c r="K535" s="79"/>
      <c r="L535" s="79"/>
      <c r="M535" s="79"/>
      <c r="N535" s="79"/>
      <c r="O535" s="79"/>
      <c r="P535" s="79"/>
      <c r="Q535" s="79"/>
      <c r="R535" s="79"/>
      <c r="S535" s="79"/>
      <c r="T535" s="79"/>
      <c r="U535" s="79"/>
      <c r="V535" s="79"/>
      <c r="W535" s="78"/>
    </row>
    <row r="536" spans="3:23" x14ac:dyDescent="0.25">
      <c r="C536" s="62">
        <f t="shared" si="338"/>
        <v>1</v>
      </c>
      <c r="D536" s="81" t="s">
        <v>94</v>
      </c>
      <c r="E536" s="80"/>
      <c r="F536" s="79"/>
      <c r="G536" s="79"/>
      <c r="H536" s="79"/>
      <c r="I536" s="79"/>
      <c r="J536" s="79"/>
      <c r="K536" s="79"/>
      <c r="L536" s="79"/>
      <c r="M536" s="79"/>
      <c r="N536" s="79"/>
      <c r="O536" s="79"/>
      <c r="P536" s="79"/>
      <c r="Q536" s="79"/>
      <c r="R536" s="79"/>
      <c r="S536" s="79"/>
      <c r="T536" s="79"/>
      <c r="U536" s="79"/>
      <c r="V536" s="79"/>
      <c r="W536" s="78"/>
    </row>
    <row r="537" spans="3:23" x14ac:dyDescent="0.25">
      <c r="C537" s="62">
        <f t="shared" si="338"/>
        <v>1</v>
      </c>
      <c r="D537" s="268" t="s">
        <v>93</v>
      </c>
      <c r="E537" s="76" t="s">
        <v>155</v>
      </c>
      <c r="F537" s="75">
        <f t="shared" ref="F537:T537" si="339">+F$8*$E532</f>
        <v>0</v>
      </c>
      <c r="G537" s="75">
        <f t="shared" si="339"/>
        <v>0</v>
      </c>
      <c r="H537" s="75">
        <f t="shared" si="339"/>
        <v>0</v>
      </c>
      <c r="I537" s="75">
        <f t="shared" si="339"/>
        <v>0</v>
      </c>
      <c r="J537" s="75">
        <f t="shared" si="339"/>
        <v>0</v>
      </c>
      <c r="K537" s="75">
        <f t="shared" si="339"/>
        <v>0</v>
      </c>
      <c r="L537" s="75">
        <f t="shared" si="339"/>
        <v>4.8082804630935866E-2</v>
      </c>
      <c r="M537" s="75">
        <f t="shared" ca="1" si="339"/>
        <v>1947.4820267502953</v>
      </c>
      <c r="N537" s="75">
        <f t="shared" ca="1" si="339"/>
        <v>46.300944866004443</v>
      </c>
      <c r="O537" s="75">
        <f t="shared" si="339"/>
        <v>0</v>
      </c>
      <c r="P537" s="75">
        <f t="shared" si="339"/>
        <v>0</v>
      </c>
      <c r="Q537" s="75">
        <f t="shared" si="339"/>
        <v>0</v>
      </c>
      <c r="R537" s="75">
        <f t="shared" si="339"/>
        <v>0</v>
      </c>
      <c r="S537" s="75">
        <f t="shared" si="339"/>
        <v>0</v>
      </c>
      <c r="T537" s="75">
        <f t="shared" si="339"/>
        <v>0</v>
      </c>
      <c r="U537" s="73">
        <f t="shared" ref="U537:U539" si="340">+R537+O537+L537+I537+F537</f>
        <v>4.8082804630935866E-2</v>
      </c>
      <c r="V537" s="72">
        <f t="shared" ref="V537:V539" ca="1" si="341">+S537+P537+M537+J537+G537</f>
        <v>1947.4820267502953</v>
      </c>
      <c r="W537" s="72">
        <f t="shared" ref="W537:W539" ca="1" si="342">+T537+Q537+N537+K537+H537</f>
        <v>46.300944866004443</v>
      </c>
    </row>
    <row r="538" spans="3:23" x14ac:dyDescent="0.25">
      <c r="C538" s="62">
        <f t="shared" si="338"/>
        <v>1</v>
      </c>
      <c r="D538" s="268" t="s">
        <v>92</v>
      </c>
      <c r="E538" s="76" t="s">
        <v>156</v>
      </c>
      <c r="F538" s="75">
        <f t="shared" ref="F538:T538" si="343">+F$9*$E532</f>
        <v>0</v>
      </c>
      <c r="G538" s="75">
        <f t="shared" si="343"/>
        <v>0</v>
      </c>
      <c r="H538" s="75">
        <f t="shared" si="343"/>
        <v>0</v>
      </c>
      <c r="I538" s="75">
        <f t="shared" si="343"/>
        <v>0</v>
      </c>
      <c r="J538" s="75">
        <f t="shared" si="343"/>
        <v>0</v>
      </c>
      <c r="K538" s="75">
        <f t="shared" si="343"/>
        <v>0</v>
      </c>
      <c r="L538" s="75">
        <f t="shared" si="343"/>
        <v>0</v>
      </c>
      <c r="M538" s="75">
        <f t="shared" si="343"/>
        <v>0</v>
      </c>
      <c r="N538" s="75">
        <f t="shared" si="343"/>
        <v>0</v>
      </c>
      <c r="O538" s="75">
        <f t="shared" si="343"/>
        <v>0</v>
      </c>
      <c r="P538" s="75">
        <f t="shared" si="343"/>
        <v>0</v>
      </c>
      <c r="Q538" s="75">
        <f t="shared" si="343"/>
        <v>0</v>
      </c>
      <c r="R538" s="75">
        <f t="shared" si="343"/>
        <v>0</v>
      </c>
      <c r="S538" s="75">
        <f t="shared" si="343"/>
        <v>0</v>
      </c>
      <c r="T538" s="75">
        <f t="shared" si="343"/>
        <v>0</v>
      </c>
      <c r="U538" s="73">
        <f t="shared" si="340"/>
        <v>0</v>
      </c>
      <c r="V538" s="72">
        <f t="shared" si="341"/>
        <v>0</v>
      </c>
      <c r="W538" s="72">
        <f t="shared" si="342"/>
        <v>0</v>
      </c>
    </row>
    <row r="539" spans="3:23" x14ac:dyDescent="0.25">
      <c r="C539" s="62">
        <f t="shared" si="338"/>
        <v>1</v>
      </c>
      <c r="D539" s="268" t="s">
        <v>91</v>
      </c>
      <c r="E539" s="76" t="s">
        <v>157</v>
      </c>
      <c r="F539" s="75">
        <f t="shared" ref="F539:T539" si="344">+F$10*$E532</f>
        <v>0</v>
      </c>
      <c r="G539" s="75">
        <f t="shared" si="344"/>
        <v>0</v>
      </c>
      <c r="H539" s="75">
        <f t="shared" si="344"/>
        <v>0</v>
      </c>
      <c r="I539" s="75">
        <f t="shared" si="344"/>
        <v>0</v>
      </c>
      <c r="J539" s="75">
        <f t="shared" si="344"/>
        <v>0</v>
      </c>
      <c r="K539" s="75">
        <f t="shared" si="344"/>
        <v>0</v>
      </c>
      <c r="L539" s="75">
        <f t="shared" si="344"/>
        <v>6.0090182773342382E-5</v>
      </c>
      <c r="M539" s="75">
        <f t="shared" ca="1" si="344"/>
        <v>16.218013319269801</v>
      </c>
      <c r="N539" s="75">
        <f t="shared" si="344"/>
        <v>0</v>
      </c>
      <c r="O539" s="75">
        <f t="shared" si="344"/>
        <v>0</v>
      </c>
      <c r="P539" s="75">
        <f t="shared" si="344"/>
        <v>0</v>
      </c>
      <c r="Q539" s="75">
        <f t="shared" si="344"/>
        <v>0</v>
      </c>
      <c r="R539" s="75">
        <f t="shared" si="344"/>
        <v>0</v>
      </c>
      <c r="S539" s="75">
        <f t="shared" si="344"/>
        <v>0</v>
      </c>
      <c r="T539" s="75">
        <f t="shared" si="344"/>
        <v>0</v>
      </c>
      <c r="U539" s="73">
        <f t="shared" si="340"/>
        <v>6.0090182773342382E-5</v>
      </c>
      <c r="V539" s="72">
        <f t="shared" ca="1" si="341"/>
        <v>16.218013319269801</v>
      </c>
      <c r="W539" s="72">
        <f t="shared" si="342"/>
        <v>0</v>
      </c>
    </row>
    <row r="540" spans="3:23" ht="15.75" thickBot="1" x14ac:dyDescent="0.3">
      <c r="C540" s="62">
        <f t="shared" si="338"/>
        <v>1</v>
      </c>
      <c r="D540" s="71" t="s">
        <v>48</v>
      </c>
      <c r="E540" s="70" t="s">
        <v>158</v>
      </c>
      <c r="F540" s="68">
        <f t="shared" ref="F540:W540" si="345">SUBTOTAL(9,F537:F539)</f>
        <v>0</v>
      </c>
      <c r="G540" s="68">
        <f t="shared" si="345"/>
        <v>0</v>
      </c>
      <c r="H540" s="68">
        <f t="shared" si="345"/>
        <v>0</v>
      </c>
      <c r="I540" s="69">
        <f t="shared" si="345"/>
        <v>0</v>
      </c>
      <c r="J540" s="68">
        <f t="shared" si="345"/>
        <v>0</v>
      </c>
      <c r="K540" s="68">
        <f t="shared" si="345"/>
        <v>0</v>
      </c>
      <c r="L540" s="69">
        <f t="shared" si="345"/>
        <v>4.814289481370921E-2</v>
      </c>
      <c r="M540" s="68">
        <f t="shared" ca="1" si="345"/>
        <v>1963.7000400695651</v>
      </c>
      <c r="N540" s="68">
        <f t="shared" ca="1" si="345"/>
        <v>46.300944866004443</v>
      </c>
      <c r="O540" s="69">
        <f t="shared" si="345"/>
        <v>0</v>
      </c>
      <c r="P540" s="68">
        <f t="shared" si="345"/>
        <v>0</v>
      </c>
      <c r="Q540" s="68">
        <f t="shared" si="345"/>
        <v>0</v>
      </c>
      <c r="R540" s="69">
        <f t="shared" si="345"/>
        <v>0</v>
      </c>
      <c r="S540" s="68">
        <f t="shared" si="345"/>
        <v>0</v>
      </c>
      <c r="T540" s="68">
        <f t="shared" si="345"/>
        <v>0</v>
      </c>
      <c r="U540" s="69">
        <f t="shared" si="345"/>
        <v>4.814289481370921E-2</v>
      </c>
      <c r="V540" s="68">
        <f t="shared" ca="1" si="345"/>
        <v>1963.7000400695651</v>
      </c>
      <c r="W540" s="68">
        <f t="shared" ca="1" si="345"/>
        <v>46.300944866004443</v>
      </c>
    </row>
    <row r="541" spans="3:23" ht="15.75" hidden="1" thickBot="1" x14ac:dyDescent="0.3"/>
    <row r="542" spans="3:23" ht="15.75" hidden="1" thickBot="1" x14ac:dyDescent="0.3">
      <c r="C542" s="62">
        <f>IF(E542&gt;0,1,0)</f>
        <v>0</v>
      </c>
      <c r="D542" s="936" t="str">
        <f>+A57</f>
        <v>Sullivan</v>
      </c>
      <c r="E542" s="938">
        <f>SUMIF(A:A,D542,B:B)</f>
        <v>0</v>
      </c>
      <c r="F542" s="940" t="s">
        <v>103</v>
      </c>
      <c r="G542" s="941"/>
      <c r="H542" s="942"/>
      <c r="I542" s="940" t="s">
        <v>102</v>
      </c>
      <c r="J542" s="941"/>
      <c r="K542" s="942"/>
      <c r="L542" s="940" t="s">
        <v>101</v>
      </c>
      <c r="M542" s="941"/>
      <c r="N542" s="942"/>
      <c r="O542" s="940" t="s">
        <v>100</v>
      </c>
      <c r="P542" s="941"/>
      <c r="Q542" s="942"/>
      <c r="R542" s="940" t="s">
        <v>99</v>
      </c>
      <c r="S542" s="941"/>
      <c r="T542" s="942"/>
      <c r="U542" s="940" t="s">
        <v>98</v>
      </c>
      <c r="V542" s="941"/>
      <c r="W542" s="943"/>
    </row>
    <row r="543" spans="3:23" ht="30.75" hidden="1" thickBot="1" x14ac:dyDescent="0.3">
      <c r="C543" s="62">
        <f>IF(E542&gt;0,1,0)</f>
        <v>0</v>
      </c>
      <c r="D543" s="937"/>
      <c r="E543" s="939"/>
      <c r="F543" s="88" t="s">
        <v>97</v>
      </c>
      <c r="G543" s="88" t="s">
        <v>96</v>
      </c>
      <c r="H543" s="88" t="s">
        <v>95</v>
      </c>
      <c r="I543" s="88" t="s">
        <v>97</v>
      </c>
      <c r="J543" s="88" t="s">
        <v>96</v>
      </c>
      <c r="K543" s="88" t="s">
        <v>95</v>
      </c>
      <c r="L543" s="88" t="s">
        <v>97</v>
      </c>
      <c r="M543" s="88" t="s">
        <v>96</v>
      </c>
      <c r="N543" s="88" t="s">
        <v>95</v>
      </c>
      <c r="O543" s="88" t="s">
        <v>97</v>
      </c>
      <c r="P543" s="88" t="s">
        <v>96</v>
      </c>
      <c r="Q543" s="88" t="s">
        <v>95</v>
      </c>
      <c r="R543" s="88" t="s">
        <v>97</v>
      </c>
      <c r="S543" s="88" t="s">
        <v>96</v>
      </c>
      <c r="T543" s="88" t="s">
        <v>95</v>
      </c>
      <c r="U543" s="88" t="s">
        <v>97</v>
      </c>
      <c r="V543" s="88" t="s">
        <v>96</v>
      </c>
      <c r="W543" s="87" t="s">
        <v>95</v>
      </c>
    </row>
    <row r="544" spans="3:23" ht="15.75" hidden="1" thickBot="1" x14ac:dyDescent="0.3">
      <c r="C544" s="62">
        <f>C543</f>
        <v>0</v>
      </c>
      <c r="D544" s="86"/>
      <c r="E544" s="85"/>
      <c r="F544" s="84" t="s">
        <v>57</v>
      </c>
      <c r="G544" s="84" t="s">
        <v>56</v>
      </c>
      <c r="H544" s="84" t="s">
        <v>55</v>
      </c>
      <c r="I544" s="84" t="s">
        <v>54</v>
      </c>
      <c r="J544" s="84" t="s">
        <v>53</v>
      </c>
      <c r="K544" s="84" t="s">
        <v>52</v>
      </c>
      <c r="L544" s="84" t="s">
        <v>51</v>
      </c>
      <c r="M544" s="84" t="s">
        <v>50</v>
      </c>
      <c r="N544" s="84" t="s">
        <v>49</v>
      </c>
      <c r="O544" s="84" t="s">
        <v>47</v>
      </c>
      <c r="P544" s="84" t="s">
        <v>77</v>
      </c>
      <c r="Q544" s="84" t="s">
        <v>78</v>
      </c>
      <c r="R544" s="84" t="s">
        <v>79</v>
      </c>
      <c r="S544" s="84" t="s">
        <v>81</v>
      </c>
      <c r="T544" s="84" t="s">
        <v>83</v>
      </c>
      <c r="U544" s="84" t="s">
        <v>85</v>
      </c>
      <c r="V544" s="84" t="s">
        <v>87</v>
      </c>
      <c r="W544" s="83" t="s">
        <v>88</v>
      </c>
    </row>
    <row r="545" spans="3:23" ht="15.75" hidden="1" thickBot="1" x14ac:dyDescent="0.3">
      <c r="C545" s="62">
        <f t="shared" ref="C545:C550" si="346">C544</f>
        <v>0</v>
      </c>
      <c r="D545" s="82" t="s">
        <v>26</v>
      </c>
      <c r="E545" s="80"/>
      <c r="F545" s="79"/>
      <c r="G545" s="79"/>
      <c r="H545" s="79"/>
      <c r="I545" s="79"/>
      <c r="J545" s="79"/>
      <c r="K545" s="79"/>
      <c r="L545" s="79"/>
      <c r="M545" s="79"/>
      <c r="N545" s="79"/>
      <c r="O545" s="79"/>
      <c r="P545" s="79"/>
      <c r="Q545" s="79"/>
      <c r="R545" s="79"/>
      <c r="S545" s="79"/>
      <c r="T545" s="79"/>
      <c r="U545" s="79"/>
      <c r="V545" s="79"/>
      <c r="W545" s="78"/>
    </row>
    <row r="546" spans="3:23" ht="15.75" hidden="1" thickBot="1" x14ac:dyDescent="0.3">
      <c r="C546" s="62">
        <f t="shared" si="346"/>
        <v>0</v>
      </c>
      <c r="D546" s="81" t="s">
        <v>94</v>
      </c>
      <c r="E546" s="80"/>
      <c r="F546" s="79"/>
      <c r="G546" s="79"/>
      <c r="H546" s="79"/>
      <c r="I546" s="79"/>
      <c r="J546" s="79"/>
      <c r="K546" s="79"/>
      <c r="L546" s="79"/>
      <c r="M546" s="79"/>
      <c r="N546" s="79"/>
      <c r="O546" s="79"/>
      <c r="P546" s="79"/>
      <c r="Q546" s="79"/>
      <c r="R546" s="79"/>
      <c r="S546" s="79"/>
      <c r="T546" s="79"/>
      <c r="U546" s="79"/>
      <c r="V546" s="79"/>
      <c r="W546" s="78"/>
    </row>
    <row r="547" spans="3:23" ht="15.75" hidden="1" thickBot="1" x14ac:dyDescent="0.3">
      <c r="C547" s="62">
        <f t="shared" si="346"/>
        <v>0</v>
      </c>
      <c r="D547" s="268" t="s">
        <v>93</v>
      </c>
      <c r="E547" s="76" t="s">
        <v>155</v>
      </c>
      <c r="F547" s="75">
        <f t="shared" ref="F547:T547" si="347">+F$8*$E542</f>
        <v>0</v>
      </c>
      <c r="G547" s="75">
        <f t="shared" si="347"/>
        <v>0</v>
      </c>
      <c r="H547" s="75">
        <f t="shared" si="347"/>
        <v>0</v>
      </c>
      <c r="I547" s="75">
        <f t="shared" si="347"/>
        <v>0</v>
      </c>
      <c r="J547" s="75">
        <f t="shared" si="347"/>
        <v>0</v>
      </c>
      <c r="K547" s="75">
        <f t="shared" si="347"/>
        <v>0</v>
      </c>
      <c r="L547" s="75">
        <f t="shared" si="347"/>
        <v>0</v>
      </c>
      <c r="M547" s="75">
        <f t="shared" ca="1" si="347"/>
        <v>0</v>
      </c>
      <c r="N547" s="75">
        <f t="shared" ca="1" si="347"/>
        <v>0</v>
      </c>
      <c r="O547" s="75">
        <f t="shared" si="347"/>
        <v>0</v>
      </c>
      <c r="P547" s="75">
        <f t="shared" si="347"/>
        <v>0</v>
      </c>
      <c r="Q547" s="75">
        <f t="shared" si="347"/>
        <v>0</v>
      </c>
      <c r="R547" s="75">
        <f t="shared" si="347"/>
        <v>0</v>
      </c>
      <c r="S547" s="75">
        <f t="shared" si="347"/>
        <v>0</v>
      </c>
      <c r="T547" s="75">
        <f t="shared" si="347"/>
        <v>0</v>
      </c>
      <c r="U547" s="73">
        <f t="shared" ref="U547:U549" si="348">+R547+O547+L547+I547+F547</f>
        <v>0</v>
      </c>
      <c r="V547" s="72">
        <f t="shared" ref="V547:V549" ca="1" si="349">+S547+P547+M547+J547+G547</f>
        <v>0</v>
      </c>
      <c r="W547" s="72">
        <f t="shared" ref="W547:W549" ca="1" si="350">+T547+Q547+N547+K547+H547</f>
        <v>0</v>
      </c>
    </row>
    <row r="548" spans="3:23" ht="15.75" hidden="1" thickBot="1" x14ac:dyDescent="0.3">
      <c r="C548" s="62">
        <f t="shared" si="346"/>
        <v>0</v>
      </c>
      <c r="D548" s="268" t="s">
        <v>92</v>
      </c>
      <c r="E548" s="76" t="s">
        <v>156</v>
      </c>
      <c r="F548" s="75">
        <f t="shared" ref="F548:T548" si="351">+F$9*$E542</f>
        <v>0</v>
      </c>
      <c r="G548" s="75">
        <f t="shared" si="351"/>
        <v>0</v>
      </c>
      <c r="H548" s="75">
        <f t="shared" si="351"/>
        <v>0</v>
      </c>
      <c r="I548" s="75">
        <f t="shared" si="351"/>
        <v>0</v>
      </c>
      <c r="J548" s="75">
        <f t="shared" si="351"/>
        <v>0</v>
      </c>
      <c r="K548" s="75">
        <f t="shared" si="351"/>
        <v>0</v>
      </c>
      <c r="L548" s="75">
        <f t="shared" si="351"/>
        <v>0</v>
      </c>
      <c r="M548" s="75">
        <f t="shared" si="351"/>
        <v>0</v>
      </c>
      <c r="N548" s="75">
        <f t="shared" si="351"/>
        <v>0</v>
      </c>
      <c r="O548" s="75">
        <f t="shared" si="351"/>
        <v>0</v>
      </c>
      <c r="P548" s="75">
        <f t="shared" si="351"/>
        <v>0</v>
      </c>
      <c r="Q548" s="75">
        <f t="shared" si="351"/>
        <v>0</v>
      </c>
      <c r="R548" s="75">
        <f t="shared" si="351"/>
        <v>0</v>
      </c>
      <c r="S548" s="75">
        <f t="shared" si="351"/>
        <v>0</v>
      </c>
      <c r="T548" s="75">
        <f t="shared" si="351"/>
        <v>0</v>
      </c>
      <c r="U548" s="73">
        <f t="shared" si="348"/>
        <v>0</v>
      </c>
      <c r="V548" s="72">
        <f t="shared" si="349"/>
        <v>0</v>
      </c>
      <c r="W548" s="72">
        <f t="shared" si="350"/>
        <v>0</v>
      </c>
    </row>
    <row r="549" spans="3:23" ht="15.75" hidden="1" thickBot="1" x14ac:dyDescent="0.3">
      <c r="C549" s="62">
        <f t="shared" si="346"/>
        <v>0</v>
      </c>
      <c r="D549" s="268" t="s">
        <v>91</v>
      </c>
      <c r="E549" s="76" t="s">
        <v>157</v>
      </c>
      <c r="F549" s="75">
        <f t="shared" ref="F549:T549" si="352">+F$10*$E542</f>
        <v>0</v>
      </c>
      <c r="G549" s="75">
        <f t="shared" si="352"/>
        <v>0</v>
      </c>
      <c r="H549" s="75">
        <f t="shared" si="352"/>
        <v>0</v>
      </c>
      <c r="I549" s="75">
        <f t="shared" si="352"/>
        <v>0</v>
      </c>
      <c r="J549" s="75">
        <f t="shared" si="352"/>
        <v>0</v>
      </c>
      <c r="K549" s="75">
        <f t="shared" si="352"/>
        <v>0</v>
      </c>
      <c r="L549" s="75">
        <f t="shared" si="352"/>
        <v>0</v>
      </c>
      <c r="M549" s="75">
        <f t="shared" ca="1" si="352"/>
        <v>0</v>
      </c>
      <c r="N549" s="75">
        <f t="shared" si="352"/>
        <v>0</v>
      </c>
      <c r="O549" s="75">
        <f t="shared" si="352"/>
        <v>0</v>
      </c>
      <c r="P549" s="75">
        <f t="shared" si="352"/>
        <v>0</v>
      </c>
      <c r="Q549" s="75">
        <f t="shared" si="352"/>
        <v>0</v>
      </c>
      <c r="R549" s="75">
        <f t="shared" si="352"/>
        <v>0</v>
      </c>
      <c r="S549" s="75">
        <f t="shared" si="352"/>
        <v>0</v>
      </c>
      <c r="T549" s="75">
        <f t="shared" si="352"/>
        <v>0</v>
      </c>
      <c r="U549" s="73">
        <f t="shared" si="348"/>
        <v>0</v>
      </c>
      <c r="V549" s="72">
        <f t="shared" ca="1" si="349"/>
        <v>0</v>
      </c>
      <c r="W549" s="72">
        <f t="shared" si="350"/>
        <v>0</v>
      </c>
    </row>
    <row r="550" spans="3:23" ht="15.75" hidden="1" thickBot="1" x14ac:dyDescent="0.3">
      <c r="C550" s="62">
        <f t="shared" si="346"/>
        <v>0</v>
      </c>
      <c r="D550" s="71" t="s">
        <v>48</v>
      </c>
      <c r="E550" s="70" t="s">
        <v>158</v>
      </c>
      <c r="F550" s="68">
        <f t="shared" ref="F550:W550" si="353">SUBTOTAL(9,F547:F549)</f>
        <v>0</v>
      </c>
      <c r="G550" s="68">
        <f t="shared" si="353"/>
        <v>0</v>
      </c>
      <c r="H550" s="68">
        <f t="shared" si="353"/>
        <v>0</v>
      </c>
      <c r="I550" s="69">
        <f t="shared" si="353"/>
        <v>0</v>
      </c>
      <c r="J550" s="68">
        <f t="shared" si="353"/>
        <v>0</v>
      </c>
      <c r="K550" s="68">
        <f t="shared" si="353"/>
        <v>0</v>
      </c>
      <c r="L550" s="69">
        <f t="shared" si="353"/>
        <v>0</v>
      </c>
      <c r="M550" s="68">
        <f t="shared" si="353"/>
        <v>0</v>
      </c>
      <c r="N550" s="68">
        <f t="shared" si="353"/>
        <v>0</v>
      </c>
      <c r="O550" s="69">
        <f t="shared" si="353"/>
        <v>0</v>
      </c>
      <c r="P550" s="68">
        <f t="shared" si="353"/>
        <v>0</v>
      </c>
      <c r="Q550" s="68">
        <f t="shared" si="353"/>
        <v>0</v>
      </c>
      <c r="R550" s="69">
        <f t="shared" si="353"/>
        <v>0</v>
      </c>
      <c r="S550" s="68">
        <f t="shared" si="353"/>
        <v>0</v>
      </c>
      <c r="T550" s="68">
        <f t="shared" si="353"/>
        <v>0</v>
      </c>
      <c r="U550" s="69">
        <f t="shared" si="353"/>
        <v>0</v>
      </c>
      <c r="V550" s="68">
        <f t="shared" si="353"/>
        <v>0</v>
      </c>
      <c r="W550" s="68">
        <f t="shared" si="353"/>
        <v>0</v>
      </c>
    </row>
    <row r="551" spans="3:23" ht="15.75" hidden="1" thickBot="1" x14ac:dyDescent="0.3"/>
    <row r="552" spans="3:23" ht="15.75" hidden="1" thickBot="1" x14ac:dyDescent="0.3">
      <c r="C552" s="62">
        <f>IF(E552&gt;0,1,0)</f>
        <v>0</v>
      </c>
      <c r="D552" s="936" t="str">
        <f>+A58</f>
        <v>Tioga</v>
      </c>
      <c r="E552" s="938">
        <f>SUMIF(A:A,D552,B:B)</f>
        <v>0</v>
      </c>
      <c r="F552" s="940" t="s">
        <v>103</v>
      </c>
      <c r="G552" s="941"/>
      <c r="H552" s="942"/>
      <c r="I552" s="940" t="s">
        <v>102</v>
      </c>
      <c r="J552" s="941"/>
      <c r="K552" s="942"/>
      <c r="L552" s="940" t="s">
        <v>101</v>
      </c>
      <c r="M552" s="941"/>
      <c r="N552" s="942"/>
      <c r="O552" s="940" t="s">
        <v>100</v>
      </c>
      <c r="P552" s="941"/>
      <c r="Q552" s="942"/>
      <c r="R552" s="940" t="s">
        <v>99</v>
      </c>
      <c r="S552" s="941"/>
      <c r="T552" s="942"/>
      <c r="U552" s="940" t="s">
        <v>98</v>
      </c>
      <c r="V552" s="941"/>
      <c r="W552" s="943"/>
    </row>
    <row r="553" spans="3:23" ht="30.75" hidden="1" thickBot="1" x14ac:dyDescent="0.3">
      <c r="C553" s="62">
        <f>IF(E552&gt;0,1,0)</f>
        <v>0</v>
      </c>
      <c r="D553" s="937"/>
      <c r="E553" s="939"/>
      <c r="F553" s="88" t="s">
        <v>97</v>
      </c>
      <c r="G553" s="88" t="s">
        <v>96</v>
      </c>
      <c r="H553" s="88" t="s">
        <v>95</v>
      </c>
      <c r="I553" s="88" t="s">
        <v>97</v>
      </c>
      <c r="J553" s="88" t="s">
        <v>96</v>
      </c>
      <c r="K553" s="88" t="s">
        <v>95</v>
      </c>
      <c r="L553" s="88" t="s">
        <v>97</v>
      </c>
      <c r="M553" s="88" t="s">
        <v>96</v>
      </c>
      <c r="N553" s="88" t="s">
        <v>95</v>
      </c>
      <c r="O553" s="88" t="s">
        <v>97</v>
      </c>
      <c r="P553" s="88" t="s">
        <v>96</v>
      </c>
      <c r="Q553" s="88" t="s">
        <v>95</v>
      </c>
      <c r="R553" s="88" t="s">
        <v>97</v>
      </c>
      <c r="S553" s="88" t="s">
        <v>96</v>
      </c>
      <c r="T553" s="88" t="s">
        <v>95</v>
      </c>
      <c r="U553" s="88" t="s">
        <v>97</v>
      </c>
      <c r="V553" s="88" t="s">
        <v>96</v>
      </c>
      <c r="W553" s="87" t="s">
        <v>95</v>
      </c>
    </row>
    <row r="554" spans="3:23" ht="15.75" hidden="1" thickBot="1" x14ac:dyDescent="0.3">
      <c r="C554" s="62">
        <f>C553</f>
        <v>0</v>
      </c>
      <c r="D554" s="86"/>
      <c r="E554" s="85"/>
      <c r="F554" s="84" t="s">
        <v>57</v>
      </c>
      <c r="G554" s="84" t="s">
        <v>56</v>
      </c>
      <c r="H554" s="84" t="s">
        <v>55</v>
      </c>
      <c r="I554" s="84" t="s">
        <v>54</v>
      </c>
      <c r="J554" s="84" t="s">
        <v>53</v>
      </c>
      <c r="K554" s="84" t="s">
        <v>52</v>
      </c>
      <c r="L554" s="84" t="s">
        <v>51</v>
      </c>
      <c r="M554" s="84" t="s">
        <v>50</v>
      </c>
      <c r="N554" s="84" t="s">
        <v>49</v>
      </c>
      <c r="O554" s="84" t="s">
        <v>47</v>
      </c>
      <c r="P554" s="84" t="s">
        <v>77</v>
      </c>
      <c r="Q554" s="84" t="s">
        <v>78</v>
      </c>
      <c r="R554" s="84" t="s">
        <v>79</v>
      </c>
      <c r="S554" s="84" t="s">
        <v>81</v>
      </c>
      <c r="T554" s="84" t="s">
        <v>83</v>
      </c>
      <c r="U554" s="84" t="s">
        <v>85</v>
      </c>
      <c r="V554" s="84" t="s">
        <v>87</v>
      </c>
      <c r="W554" s="83" t="s">
        <v>88</v>
      </c>
    </row>
    <row r="555" spans="3:23" ht="15.75" hidden="1" thickBot="1" x14ac:dyDescent="0.3">
      <c r="C555" s="62">
        <f t="shared" ref="C555:C560" si="354">C554</f>
        <v>0</v>
      </c>
      <c r="D555" s="82" t="s">
        <v>26</v>
      </c>
      <c r="E555" s="80"/>
      <c r="F555" s="79"/>
      <c r="G555" s="79"/>
      <c r="H555" s="79"/>
      <c r="I555" s="79"/>
      <c r="J555" s="79"/>
      <c r="K555" s="79"/>
      <c r="L555" s="79"/>
      <c r="M555" s="79"/>
      <c r="N555" s="79"/>
      <c r="O555" s="79"/>
      <c r="P555" s="79"/>
      <c r="Q555" s="79"/>
      <c r="R555" s="79"/>
      <c r="S555" s="79"/>
      <c r="T555" s="79"/>
      <c r="U555" s="79"/>
      <c r="V555" s="79"/>
      <c r="W555" s="78"/>
    </row>
    <row r="556" spans="3:23" ht="15.75" hidden="1" thickBot="1" x14ac:dyDescent="0.3">
      <c r="C556" s="62">
        <f t="shared" si="354"/>
        <v>0</v>
      </c>
      <c r="D556" s="81" t="s">
        <v>94</v>
      </c>
      <c r="E556" s="80"/>
      <c r="F556" s="79"/>
      <c r="G556" s="79"/>
      <c r="H556" s="79"/>
      <c r="I556" s="79"/>
      <c r="J556" s="79"/>
      <c r="K556" s="79"/>
      <c r="L556" s="79"/>
      <c r="M556" s="79"/>
      <c r="N556" s="79"/>
      <c r="O556" s="79"/>
      <c r="P556" s="79"/>
      <c r="Q556" s="79"/>
      <c r="R556" s="79"/>
      <c r="S556" s="79"/>
      <c r="T556" s="79"/>
      <c r="U556" s="79"/>
      <c r="V556" s="79"/>
      <c r="W556" s="78"/>
    </row>
    <row r="557" spans="3:23" ht="15.75" hidden="1" thickBot="1" x14ac:dyDescent="0.3">
      <c r="C557" s="62">
        <f t="shared" si="354"/>
        <v>0</v>
      </c>
      <c r="D557" s="268" t="s">
        <v>93</v>
      </c>
      <c r="E557" s="76" t="s">
        <v>155</v>
      </c>
      <c r="F557" s="75">
        <f t="shared" ref="F557:T557" si="355">+F$8*$E552</f>
        <v>0</v>
      </c>
      <c r="G557" s="75">
        <f t="shared" si="355"/>
        <v>0</v>
      </c>
      <c r="H557" s="75">
        <f t="shared" si="355"/>
        <v>0</v>
      </c>
      <c r="I557" s="75">
        <f t="shared" si="355"/>
        <v>0</v>
      </c>
      <c r="J557" s="75">
        <f t="shared" si="355"/>
        <v>0</v>
      </c>
      <c r="K557" s="75">
        <f t="shared" si="355"/>
        <v>0</v>
      </c>
      <c r="L557" s="75">
        <f t="shared" si="355"/>
        <v>0</v>
      </c>
      <c r="M557" s="75">
        <f t="shared" ca="1" si="355"/>
        <v>0</v>
      </c>
      <c r="N557" s="75">
        <f t="shared" ca="1" si="355"/>
        <v>0</v>
      </c>
      <c r="O557" s="75">
        <f t="shared" si="355"/>
        <v>0</v>
      </c>
      <c r="P557" s="75">
        <f t="shared" si="355"/>
        <v>0</v>
      </c>
      <c r="Q557" s="75">
        <f t="shared" si="355"/>
        <v>0</v>
      </c>
      <c r="R557" s="75">
        <f t="shared" si="355"/>
        <v>0</v>
      </c>
      <c r="S557" s="75">
        <f t="shared" si="355"/>
        <v>0</v>
      </c>
      <c r="T557" s="75">
        <f t="shared" si="355"/>
        <v>0</v>
      </c>
      <c r="U557" s="73">
        <f t="shared" ref="U557:U559" si="356">+R557+O557+L557+I557+F557</f>
        <v>0</v>
      </c>
      <c r="V557" s="72">
        <f t="shared" ref="V557:V559" ca="1" si="357">+S557+P557+M557+J557+G557</f>
        <v>0</v>
      </c>
      <c r="W557" s="72">
        <f t="shared" ref="W557:W559" ca="1" si="358">+T557+Q557+N557+K557+H557</f>
        <v>0</v>
      </c>
    </row>
    <row r="558" spans="3:23" ht="15.75" hidden="1" thickBot="1" x14ac:dyDescent="0.3">
      <c r="C558" s="62">
        <f t="shared" si="354"/>
        <v>0</v>
      </c>
      <c r="D558" s="268" t="s">
        <v>92</v>
      </c>
      <c r="E558" s="76" t="s">
        <v>156</v>
      </c>
      <c r="F558" s="75">
        <f t="shared" ref="F558:T558" si="359">+F$9*$E552</f>
        <v>0</v>
      </c>
      <c r="G558" s="75">
        <f t="shared" si="359"/>
        <v>0</v>
      </c>
      <c r="H558" s="75">
        <f t="shared" si="359"/>
        <v>0</v>
      </c>
      <c r="I558" s="75">
        <f t="shared" si="359"/>
        <v>0</v>
      </c>
      <c r="J558" s="75">
        <f t="shared" si="359"/>
        <v>0</v>
      </c>
      <c r="K558" s="75">
        <f t="shared" si="359"/>
        <v>0</v>
      </c>
      <c r="L558" s="75">
        <f t="shared" si="359"/>
        <v>0</v>
      </c>
      <c r="M558" s="75">
        <f t="shared" si="359"/>
        <v>0</v>
      </c>
      <c r="N558" s="75">
        <f t="shared" si="359"/>
        <v>0</v>
      </c>
      <c r="O558" s="75">
        <f t="shared" si="359"/>
        <v>0</v>
      </c>
      <c r="P558" s="75">
        <f t="shared" si="359"/>
        <v>0</v>
      </c>
      <c r="Q558" s="75">
        <f t="shared" si="359"/>
        <v>0</v>
      </c>
      <c r="R558" s="75">
        <f t="shared" si="359"/>
        <v>0</v>
      </c>
      <c r="S558" s="75">
        <f t="shared" si="359"/>
        <v>0</v>
      </c>
      <c r="T558" s="75">
        <f t="shared" si="359"/>
        <v>0</v>
      </c>
      <c r="U558" s="73">
        <f t="shared" si="356"/>
        <v>0</v>
      </c>
      <c r="V558" s="72">
        <f t="shared" si="357"/>
        <v>0</v>
      </c>
      <c r="W558" s="72">
        <f t="shared" si="358"/>
        <v>0</v>
      </c>
    </row>
    <row r="559" spans="3:23" ht="15.75" hidden="1" thickBot="1" x14ac:dyDescent="0.3">
      <c r="C559" s="62">
        <f t="shared" si="354"/>
        <v>0</v>
      </c>
      <c r="D559" s="268" t="s">
        <v>91</v>
      </c>
      <c r="E559" s="76" t="s">
        <v>157</v>
      </c>
      <c r="F559" s="75">
        <f t="shared" ref="F559:T559" si="360">+F$10*$E552</f>
        <v>0</v>
      </c>
      <c r="G559" s="75">
        <f t="shared" si="360"/>
        <v>0</v>
      </c>
      <c r="H559" s="75">
        <f t="shared" si="360"/>
        <v>0</v>
      </c>
      <c r="I559" s="75">
        <f t="shared" si="360"/>
        <v>0</v>
      </c>
      <c r="J559" s="75">
        <f t="shared" si="360"/>
        <v>0</v>
      </c>
      <c r="K559" s="75">
        <f t="shared" si="360"/>
        <v>0</v>
      </c>
      <c r="L559" s="75">
        <f t="shared" si="360"/>
        <v>0</v>
      </c>
      <c r="M559" s="75">
        <f t="shared" ca="1" si="360"/>
        <v>0</v>
      </c>
      <c r="N559" s="75">
        <f t="shared" si="360"/>
        <v>0</v>
      </c>
      <c r="O559" s="75">
        <f t="shared" si="360"/>
        <v>0</v>
      </c>
      <c r="P559" s="75">
        <f t="shared" si="360"/>
        <v>0</v>
      </c>
      <c r="Q559" s="75">
        <f t="shared" si="360"/>
        <v>0</v>
      </c>
      <c r="R559" s="75">
        <f t="shared" si="360"/>
        <v>0</v>
      </c>
      <c r="S559" s="75">
        <f t="shared" si="360"/>
        <v>0</v>
      </c>
      <c r="T559" s="75">
        <f t="shared" si="360"/>
        <v>0</v>
      </c>
      <c r="U559" s="73">
        <f t="shared" si="356"/>
        <v>0</v>
      </c>
      <c r="V559" s="72">
        <f t="shared" ca="1" si="357"/>
        <v>0</v>
      </c>
      <c r="W559" s="72">
        <f t="shared" si="358"/>
        <v>0</v>
      </c>
    </row>
    <row r="560" spans="3:23" ht="15.75" hidden="1" thickBot="1" x14ac:dyDescent="0.3">
      <c r="C560" s="62">
        <f t="shared" si="354"/>
        <v>0</v>
      </c>
      <c r="D560" s="71" t="s">
        <v>48</v>
      </c>
      <c r="E560" s="70" t="s">
        <v>158</v>
      </c>
      <c r="F560" s="68">
        <f t="shared" ref="F560:W560" si="361">SUBTOTAL(9,F557:F559)</f>
        <v>0</v>
      </c>
      <c r="G560" s="68">
        <f t="shared" si="361"/>
        <v>0</v>
      </c>
      <c r="H560" s="68">
        <f t="shared" si="361"/>
        <v>0</v>
      </c>
      <c r="I560" s="69">
        <f t="shared" si="361"/>
        <v>0</v>
      </c>
      <c r="J560" s="68">
        <f t="shared" si="361"/>
        <v>0</v>
      </c>
      <c r="K560" s="68">
        <f t="shared" si="361"/>
        <v>0</v>
      </c>
      <c r="L560" s="69">
        <f t="shared" si="361"/>
        <v>0</v>
      </c>
      <c r="M560" s="68">
        <f t="shared" si="361"/>
        <v>0</v>
      </c>
      <c r="N560" s="68">
        <f t="shared" si="361"/>
        <v>0</v>
      </c>
      <c r="O560" s="69">
        <f t="shared" si="361"/>
        <v>0</v>
      </c>
      <c r="P560" s="68">
        <f t="shared" si="361"/>
        <v>0</v>
      </c>
      <c r="Q560" s="68">
        <f t="shared" si="361"/>
        <v>0</v>
      </c>
      <c r="R560" s="69">
        <f t="shared" si="361"/>
        <v>0</v>
      </c>
      <c r="S560" s="68">
        <f t="shared" si="361"/>
        <v>0</v>
      </c>
      <c r="T560" s="68">
        <f t="shared" si="361"/>
        <v>0</v>
      </c>
      <c r="U560" s="69">
        <f t="shared" si="361"/>
        <v>0</v>
      </c>
      <c r="V560" s="68">
        <f t="shared" si="361"/>
        <v>0</v>
      </c>
      <c r="W560" s="68">
        <f t="shared" si="361"/>
        <v>0</v>
      </c>
    </row>
    <row r="561" spans="3:23" ht="15.75" hidden="1" thickBot="1" x14ac:dyDescent="0.3"/>
    <row r="562" spans="3:23" ht="15.75" hidden="1" thickBot="1" x14ac:dyDescent="0.3">
      <c r="C562" s="62">
        <f>IF(E562&gt;0,1,0)</f>
        <v>0</v>
      </c>
      <c r="D562" s="936" t="str">
        <f>+A59</f>
        <v>Tompkins</v>
      </c>
      <c r="E562" s="938">
        <f>SUMIF(A:A,D562,B:B)</f>
        <v>0</v>
      </c>
      <c r="F562" s="940" t="s">
        <v>103</v>
      </c>
      <c r="G562" s="941"/>
      <c r="H562" s="942"/>
      <c r="I562" s="940" t="s">
        <v>102</v>
      </c>
      <c r="J562" s="941"/>
      <c r="K562" s="942"/>
      <c r="L562" s="940" t="s">
        <v>101</v>
      </c>
      <c r="M562" s="941"/>
      <c r="N562" s="942"/>
      <c r="O562" s="940" t="s">
        <v>100</v>
      </c>
      <c r="P562" s="941"/>
      <c r="Q562" s="942"/>
      <c r="R562" s="940" t="s">
        <v>99</v>
      </c>
      <c r="S562" s="941"/>
      <c r="T562" s="942"/>
      <c r="U562" s="940" t="s">
        <v>98</v>
      </c>
      <c r="V562" s="941"/>
      <c r="W562" s="943"/>
    </row>
    <row r="563" spans="3:23" ht="30.75" hidden="1" thickBot="1" x14ac:dyDescent="0.3">
      <c r="C563" s="62">
        <f>IF(E562&gt;0,1,0)</f>
        <v>0</v>
      </c>
      <c r="D563" s="937"/>
      <c r="E563" s="939"/>
      <c r="F563" s="88" t="s">
        <v>97</v>
      </c>
      <c r="G563" s="88" t="s">
        <v>96</v>
      </c>
      <c r="H563" s="88" t="s">
        <v>95</v>
      </c>
      <c r="I563" s="88" t="s">
        <v>97</v>
      </c>
      <c r="J563" s="88" t="s">
        <v>96</v>
      </c>
      <c r="K563" s="88" t="s">
        <v>95</v>
      </c>
      <c r="L563" s="88" t="s">
        <v>97</v>
      </c>
      <c r="M563" s="88" t="s">
        <v>96</v>
      </c>
      <c r="N563" s="88" t="s">
        <v>95</v>
      </c>
      <c r="O563" s="88" t="s">
        <v>97</v>
      </c>
      <c r="P563" s="88" t="s">
        <v>96</v>
      </c>
      <c r="Q563" s="88" t="s">
        <v>95</v>
      </c>
      <c r="R563" s="88" t="s">
        <v>97</v>
      </c>
      <c r="S563" s="88" t="s">
        <v>96</v>
      </c>
      <c r="T563" s="88" t="s">
        <v>95</v>
      </c>
      <c r="U563" s="88" t="s">
        <v>97</v>
      </c>
      <c r="V563" s="88" t="s">
        <v>96</v>
      </c>
      <c r="W563" s="87" t="s">
        <v>95</v>
      </c>
    </row>
    <row r="564" spans="3:23" ht="15.75" hidden="1" thickBot="1" x14ac:dyDescent="0.3">
      <c r="C564" s="62">
        <f>C563</f>
        <v>0</v>
      </c>
      <c r="D564" s="86"/>
      <c r="E564" s="85"/>
      <c r="F564" s="84" t="s">
        <v>57</v>
      </c>
      <c r="G564" s="84" t="s">
        <v>56</v>
      </c>
      <c r="H564" s="84" t="s">
        <v>55</v>
      </c>
      <c r="I564" s="84" t="s">
        <v>54</v>
      </c>
      <c r="J564" s="84" t="s">
        <v>53</v>
      </c>
      <c r="K564" s="84" t="s">
        <v>52</v>
      </c>
      <c r="L564" s="84" t="s">
        <v>51</v>
      </c>
      <c r="M564" s="84" t="s">
        <v>50</v>
      </c>
      <c r="N564" s="84" t="s">
        <v>49</v>
      </c>
      <c r="O564" s="84" t="s">
        <v>47</v>
      </c>
      <c r="P564" s="84" t="s">
        <v>77</v>
      </c>
      <c r="Q564" s="84" t="s">
        <v>78</v>
      </c>
      <c r="R564" s="84" t="s">
        <v>79</v>
      </c>
      <c r="S564" s="84" t="s">
        <v>81</v>
      </c>
      <c r="T564" s="84" t="s">
        <v>83</v>
      </c>
      <c r="U564" s="84" t="s">
        <v>85</v>
      </c>
      <c r="V564" s="84" t="s">
        <v>87</v>
      </c>
      <c r="W564" s="83" t="s">
        <v>88</v>
      </c>
    </row>
    <row r="565" spans="3:23" ht="15.75" hidden="1" thickBot="1" x14ac:dyDescent="0.3">
      <c r="C565" s="62">
        <f t="shared" ref="C565:C570" si="362">C564</f>
        <v>0</v>
      </c>
      <c r="D565" s="82" t="s">
        <v>26</v>
      </c>
      <c r="E565" s="80"/>
      <c r="F565" s="79"/>
      <c r="G565" s="79"/>
      <c r="H565" s="79"/>
      <c r="I565" s="79"/>
      <c r="J565" s="79"/>
      <c r="K565" s="79"/>
      <c r="L565" s="79"/>
      <c r="M565" s="79"/>
      <c r="N565" s="79"/>
      <c r="O565" s="79"/>
      <c r="P565" s="79"/>
      <c r="Q565" s="79"/>
      <c r="R565" s="79"/>
      <c r="S565" s="79"/>
      <c r="T565" s="79"/>
      <c r="U565" s="79"/>
      <c r="V565" s="79"/>
      <c r="W565" s="78"/>
    </row>
    <row r="566" spans="3:23" ht="15.75" hidden="1" thickBot="1" x14ac:dyDescent="0.3">
      <c r="C566" s="62">
        <f t="shared" si="362"/>
        <v>0</v>
      </c>
      <c r="D566" s="81" t="s">
        <v>94</v>
      </c>
      <c r="E566" s="80"/>
      <c r="F566" s="79"/>
      <c r="G566" s="79"/>
      <c r="H566" s="79"/>
      <c r="I566" s="79"/>
      <c r="J566" s="79"/>
      <c r="K566" s="79"/>
      <c r="L566" s="79"/>
      <c r="M566" s="79"/>
      <c r="N566" s="79"/>
      <c r="O566" s="79"/>
      <c r="P566" s="79"/>
      <c r="Q566" s="79"/>
      <c r="R566" s="79"/>
      <c r="S566" s="79"/>
      <c r="T566" s="79"/>
      <c r="U566" s="79"/>
      <c r="V566" s="79"/>
      <c r="W566" s="78"/>
    </row>
    <row r="567" spans="3:23" ht="15.75" hidden="1" thickBot="1" x14ac:dyDescent="0.3">
      <c r="C567" s="62">
        <f t="shared" si="362"/>
        <v>0</v>
      </c>
      <c r="D567" s="268" t="s">
        <v>93</v>
      </c>
      <c r="E567" s="76" t="s">
        <v>155</v>
      </c>
      <c r="F567" s="75">
        <f t="shared" ref="F567:T567" si="363">+F$8*$E562</f>
        <v>0</v>
      </c>
      <c r="G567" s="75">
        <f t="shared" si="363"/>
        <v>0</v>
      </c>
      <c r="H567" s="75">
        <f t="shared" si="363"/>
        <v>0</v>
      </c>
      <c r="I567" s="75">
        <f t="shared" si="363"/>
        <v>0</v>
      </c>
      <c r="J567" s="75">
        <f t="shared" si="363"/>
        <v>0</v>
      </c>
      <c r="K567" s="75">
        <f t="shared" si="363"/>
        <v>0</v>
      </c>
      <c r="L567" s="75">
        <f t="shared" si="363"/>
        <v>0</v>
      </c>
      <c r="M567" s="75">
        <f t="shared" ca="1" si="363"/>
        <v>0</v>
      </c>
      <c r="N567" s="75">
        <f t="shared" ca="1" si="363"/>
        <v>0</v>
      </c>
      <c r="O567" s="75">
        <f t="shared" si="363"/>
        <v>0</v>
      </c>
      <c r="P567" s="75">
        <f t="shared" si="363"/>
        <v>0</v>
      </c>
      <c r="Q567" s="75">
        <f t="shared" si="363"/>
        <v>0</v>
      </c>
      <c r="R567" s="75">
        <f t="shared" si="363"/>
        <v>0</v>
      </c>
      <c r="S567" s="75">
        <f t="shared" si="363"/>
        <v>0</v>
      </c>
      <c r="T567" s="75">
        <f t="shared" si="363"/>
        <v>0</v>
      </c>
      <c r="U567" s="73">
        <f t="shared" ref="U567:U569" si="364">+R567+O567+L567+I567+F567</f>
        <v>0</v>
      </c>
      <c r="V567" s="72">
        <f t="shared" ref="V567:V569" ca="1" si="365">+S567+P567+M567+J567+G567</f>
        <v>0</v>
      </c>
      <c r="W567" s="72">
        <f t="shared" ref="W567:W569" ca="1" si="366">+T567+Q567+N567+K567+H567</f>
        <v>0</v>
      </c>
    </row>
    <row r="568" spans="3:23" ht="15.75" hidden="1" thickBot="1" x14ac:dyDescent="0.3">
      <c r="C568" s="62">
        <f t="shared" si="362"/>
        <v>0</v>
      </c>
      <c r="D568" s="268" t="s">
        <v>92</v>
      </c>
      <c r="E568" s="76" t="s">
        <v>156</v>
      </c>
      <c r="F568" s="75">
        <f t="shared" ref="F568:T568" si="367">+F$9*$E562</f>
        <v>0</v>
      </c>
      <c r="G568" s="75">
        <f t="shared" si="367"/>
        <v>0</v>
      </c>
      <c r="H568" s="75">
        <f t="shared" si="367"/>
        <v>0</v>
      </c>
      <c r="I568" s="75">
        <f t="shared" si="367"/>
        <v>0</v>
      </c>
      <c r="J568" s="75">
        <f t="shared" si="367"/>
        <v>0</v>
      </c>
      <c r="K568" s="75">
        <f t="shared" si="367"/>
        <v>0</v>
      </c>
      <c r="L568" s="75">
        <f t="shared" si="367"/>
        <v>0</v>
      </c>
      <c r="M568" s="75">
        <f t="shared" si="367"/>
        <v>0</v>
      </c>
      <c r="N568" s="75">
        <f t="shared" si="367"/>
        <v>0</v>
      </c>
      <c r="O568" s="75">
        <f t="shared" si="367"/>
        <v>0</v>
      </c>
      <c r="P568" s="75">
        <f t="shared" si="367"/>
        <v>0</v>
      </c>
      <c r="Q568" s="75">
        <f t="shared" si="367"/>
        <v>0</v>
      </c>
      <c r="R568" s="75">
        <f t="shared" si="367"/>
        <v>0</v>
      </c>
      <c r="S568" s="75">
        <f t="shared" si="367"/>
        <v>0</v>
      </c>
      <c r="T568" s="75">
        <f t="shared" si="367"/>
        <v>0</v>
      </c>
      <c r="U568" s="73">
        <f t="shared" si="364"/>
        <v>0</v>
      </c>
      <c r="V568" s="72">
        <f t="shared" si="365"/>
        <v>0</v>
      </c>
      <c r="W568" s="72">
        <f t="shared" si="366"/>
        <v>0</v>
      </c>
    </row>
    <row r="569" spans="3:23" ht="15.75" hidden="1" thickBot="1" x14ac:dyDescent="0.3">
      <c r="C569" s="62">
        <f t="shared" si="362"/>
        <v>0</v>
      </c>
      <c r="D569" s="268" t="s">
        <v>91</v>
      </c>
      <c r="E569" s="76" t="s">
        <v>157</v>
      </c>
      <c r="F569" s="75">
        <f t="shared" ref="F569:T569" si="368">+F$10*$E562</f>
        <v>0</v>
      </c>
      <c r="G569" s="75">
        <f t="shared" si="368"/>
        <v>0</v>
      </c>
      <c r="H569" s="75">
        <f t="shared" si="368"/>
        <v>0</v>
      </c>
      <c r="I569" s="75">
        <f t="shared" si="368"/>
        <v>0</v>
      </c>
      <c r="J569" s="75">
        <f t="shared" si="368"/>
        <v>0</v>
      </c>
      <c r="K569" s="75">
        <f t="shared" si="368"/>
        <v>0</v>
      </c>
      <c r="L569" s="75">
        <f t="shared" si="368"/>
        <v>0</v>
      </c>
      <c r="M569" s="75">
        <f t="shared" ca="1" si="368"/>
        <v>0</v>
      </c>
      <c r="N569" s="75">
        <f t="shared" si="368"/>
        <v>0</v>
      </c>
      <c r="O569" s="75">
        <f t="shared" si="368"/>
        <v>0</v>
      </c>
      <c r="P569" s="75">
        <f t="shared" si="368"/>
        <v>0</v>
      </c>
      <c r="Q569" s="75">
        <f t="shared" si="368"/>
        <v>0</v>
      </c>
      <c r="R569" s="75">
        <f t="shared" si="368"/>
        <v>0</v>
      </c>
      <c r="S569" s="75">
        <f t="shared" si="368"/>
        <v>0</v>
      </c>
      <c r="T569" s="75">
        <f t="shared" si="368"/>
        <v>0</v>
      </c>
      <c r="U569" s="73">
        <f t="shared" si="364"/>
        <v>0</v>
      </c>
      <c r="V569" s="72">
        <f t="shared" ca="1" si="365"/>
        <v>0</v>
      </c>
      <c r="W569" s="72">
        <f t="shared" si="366"/>
        <v>0</v>
      </c>
    </row>
    <row r="570" spans="3:23" ht="15.75" hidden="1" thickBot="1" x14ac:dyDescent="0.3">
      <c r="C570" s="62">
        <f t="shared" si="362"/>
        <v>0</v>
      </c>
      <c r="D570" s="71" t="s">
        <v>48</v>
      </c>
      <c r="E570" s="70" t="s">
        <v>158</v>
      </c>
      <c r="F570" s="68">
        <f t="shared" ref="F570:W570" si="369">SUBTOTAL(9,F567:F569)</f>
        <v>0</v>
      </c>
      <c r="G570" s="68">
        <f t="shared" si="369"/>
        <v>0</v>
      </c>
      <c r="H570" s="68">
        <f t="shared" si="369"/>
        <v>0</v>
      </c>
      <c r="I570" s="69">
        <f t="shared" si="369"/>
        <v>0</v>
      </c>
      <c r="J570" s="68">
        <f t="shared" si="369"/>
        <v>0</v>
      </c>
      <c r="K570" s="68">
        <f t="shared" si="369"/>
        <v>0</v>
      </c>
      <c r="L570" s="69">
        <f t="shared" si="369"/>
        <v>0</v>
      </c>
      <c r="M570" s="68">
        <f t="shared" si="369"/>
        <v>0</v>
      </c>
      <c r="N570" s="68">
        <f t="shared" si="369"/>
        <v>0</v>
      </c>
      <c r="O570" s="69">
        <f t="shared" si="369"/>
        <v>0</v>
      </c>
      <c r="P570" s="68">
        <f t="shared" si="369"/>
        <v>0</v>
      </c>
      <c r="Q570" s="68">
        <f t="shared" si="369"/>
        <v>0</v>
      </c>
      <c r="R570" s="69">
        <f t="shared" si="369"/>
        <v>0</v>
      </c>
      <c r="S570" s="68">
        <f t="shared" si="369"/>
        <v>0</v>
      </c>
      <c r="T570" s="68">
        <f t="shared" si="369"/>
        <v>0</v>
      </c>
      <c r="U570" s="69">
        <f t="shared" si="369"/>
        <v>0</v>
      </c>
      <c r="V570" s="68">
        <f t="shared" si="369"/>
        <v>0</v>
      </c>
      <c r="W570" s="68">
        <f t="shared" si="369"/>
        <v>0</v>
      </c>
    </row>
    <row r="571" spans="3:23" ht="15.75" hidden="1" thickBot="1" x14ac:dyDescent="0.3"/>
    <row r="572" spans="3:23" ht="15.75" hidden="1" thickBot="1" x14ac:dyDescent="0.3">
      <c r="C572" s="62">
        <f>IF(E572&gt;0,1,0)</f>
        <v>0</v>
      </c>
      <c r="D572" s="936" t="str">
        <f>+A60</f>
        <v>Ulster</v>
      </c>
      <c r="E572" s="938">
        <f>SUMIF(A:A,D572,B:B)</f>
        <v>0</v>
      </c>
      <c r="F572" s="940" t="s">
        <v>103</v>
      </c>
      <c r="G572" s="941"/>
      <c r="H572" s="942"/>
      <c r="I572" s="940" t="s">
        <v>102</v>
      </c>
      <c r="J572" s="941"/>
      <c r="K572" s="942"/>
      <c r="L572" s="940" t="s">
        <v>101</v>
      </c>
      <c r="M572" s="941"/>
      <c r="N572" s="942"/>
      <c r="O572" s="940" t="s">
        <v>100</v>
      </c>
      <c r="P572" s="941"/>
      <c r="Q572" s="942"/>
      <c r="R572" s="940" t="s">
        <v>99</v>
      </c>
      <c r="S572" s="941"/>
      <c r="T572" s="942"/>
      <c r="U572" s="940" t="s">
        <v>98</v>
      </c>
      <c r="V572" s="941"/>
      <c r="W572" s="943"/>
    </row>
    <row r="573" spans="3:23" ht="30.75" hidden="1" thickBot="1" x14ac:dyDescent="0.3">
      <c r="C573" s="62">
        <f>IF(E572&gt;0,1,0)</f>
        <v>0</v>
      </c>
      <c r="D573" s="937"/>
      <c r="E573" s="939"/>
      <c r="F573" s="88" t="s">
        <v>97</v>
      </c>
      <c r="G573" s="88" t="s">
        <v>96</v>
      </c>
      <c r="H573" s="88" t="s">
        <v>95</v>
      </c>
      <c r="I573" s="88" t="s">
        <v>97</v>
      </c>
      <c r="J573" s="88" t="s">
        <v>96</v>
      </c>
      <c r="K573" s="88" t="s">
        <v>95</v>
      </c>
      <c r="L573" s="88" t="s">
        <v>97</v>
      </c>
      <c r="M573" s="88" t="s">
        <v>96</v>
      </c>
      <c r="N573" s="88" t="s">
        <v>95</v>
      </c>
      <c r="O573" s="88" t="s">
        <v>97</v>
      </c>
      <c r="P573" s="88" t="s">
        <v>96</v>
      </c>
      <c r="Q573" s="88" t="s">
        <v>95</v>
      </c>
      <c r="R573" s="88" t="s">
        <v>97</v>
      </c>
      <c r="S573" s="88" t="s">
        <v>96</v>
      </c>
      <c r="T573" s="88" t="s">
        <v>95</v>
      </c>
      <c r="U573" s="88" t="s">
        <v>97</v>
      </c>
      <c r="V573" s="88" t="s">
        <v>96</v>
      </c>
      <c r="W573" s="87" t="s">
        <v>95</v>
      </c>
    </row>
    <row r="574" spans="3:23" ht="15.75" hidden="1" thickBot="1" x14ac:dyDescent="0.3">
      <c r="C574" s="62">
        <f>C573</f>
        <v>0</v>
      </c>
      <c r="D574" s="86"/>
      <c r="E574" s="85"/>
      <c r="F574" s="84" t="s">
        <v>57</v>
      </c>
      <c r="G574" s="84" t="s">
        <v>56</v>
      </c>
      <c r="H574" s="84" t="s">
        <v>55</v>
      </c>
      <c r="I574" s="84" t="s">
        <v>54</v>
      </c>
      <c r="J574" s="84" t="s">
        <v>53</v>
      </c>
      <c r="K574" s="84" t="s">
        <v>52</v>
      </c>
      <c r="L574" s="84" t="s">
        <v>51</v>
      </c>
      <c r="M574" s="84" t="s">
        <v>50</v>
      </c>
      <c r="N574" s="84" t="s">
        <v>49</v>
      </c>
      <c r="O574" s="84" t="s">
        <v>47</v>
      </c>
      <c r="P574" s="84" t="s">
        <v>77</v>
      </c>
      <c r="Q574" s="84" t="s">
        <v>78</v>
      </c>
      <c r="R574" s="84" t="s">
        <v>79</v>
      </c>
      <c r="S574" s="84" t="s">
        <v>81</v>
      </c>
      <c r="T574" s="84" t="s">
        <v>83</v>
      </c>
      <c r="U574" s="84" t="s">
        <v>85</v>
      </c>
      <c r="V574" s="84" t="s">
        <v>87</v>
      </c>
      <c r="W574" s="83" t="s">
        <v>88</v>
      </c>
    </row>
    <row r="575" spans="3:23" ht="15.75" hidden="1" thickBot="1" x14ac:dyDescent="0.3">
      <c r="C575" s="62">
        <f t="shared" ref="C575:C580" si="370">C574</f>
        <v>0</v>
      </c>
      <c r="D575" s="82" t="s">
        <v>26</v>
      </c>
      <c r="E575" s="80"/>
      <c r="F575" s="79"/>
      <c r="G575" s="79"/>
      <c r="H575" s="79"/>
      <c r="I575" s="79"/>
      <c r="J575" s="79"/>
      <c r="K575" s="79"/>
      <c r="L575" s="79"/>
      <c r="M575" s="79"/>
      <c r="N575" s="79"/>
      <c r="O575" s="79"/>
      <c r="P575" s="79"/>
      <c r="Q575" s="79"/>
      <c r="R575" s="79"/>
      <c r="S575" s="79"/>
      <c r="T575" s="79"/>
      <c r="U575" s="79"/>
      <c r="V575" s="79"/>
      <c r="W575" s="78"/>
    </row>
    <row r="576" spans="3:23" ht="15.75" hidden="1" thickBot="1" x14ac:dyDescent="0.3">
      <c r="C576" s="62">
        <f t="shared" si="370"/>
        <v>0</v>
      </c>
      <c r="D576" s="81" t="s">
        <v>94</v>
      </c>
      <c r="E576" s="80"/>
      <c r="F576" s="79"/>
      <c r="G576" s="79"/>
      <c r="H576" s="79"/>
      <c r="I576" s="79"/>
      <c r="J576" s="79"/>
      <c r="K576" s="79"/>
      <c r="L576" s="79"/>
      <c r="M576" s="79"/>
      <c r="N576" s="79"/>
      <c r="O576" s="79"/>
      <c r="P576" s="79"/>
      <c r="Q576" s="79"/>
      <c r="R576" s="79"/>
      <c r="S576" s="79"/>
      <c r="T576" s="79"/>
      <c r="U576" s="79"/>
      <c r="V576" s="79"/>
      <c r="W576" s="78"/>
    </row>
    <row r="577" spans="3:23" ht="15.75" hidden="1" thickBot="1" x14ac:dyDescent="0.3">
      <c r="C577" s="62">
        <f t="shared" si="370"/>
        <v>0</v>
      </c>
      <c r="D577" s="268" t="s">
        <v>93</v>
      </c>
      <c r="E577" s="76" t="s">
        <v>155</v>
      </c>
      <c r="F577" s="75">
        <f t="shared" ref="F577:T577" si="371">+F$8*$E572</f>
        <v>0</v>
      </c>
      <c r="G577" s="75">
        <f t="shared" si="371"/>
        <v>0</v>
      </c>
      <c r="H577" s="75">
        <f t="shared" si="371"/>
        <v>0</v>
      </c>
      <c r="I577" s="75">
        <f t="shared" si="371"/>
        <v>0</v>
      </c>
      <c r="J577" s="75">
        <f t="shared" si="371"/>
        <v>0</v>
      </c>
      <c r="K577" s="75">
        <f t="shared" si="371"/>
        <v>0</v>
      </c>
      <c r="L577" s="75">
        <f t="shared" si="371"/>
        <v>0</v>
      </c>
      <c r="M577" s="75">
        <f t="shared" ca="1" si="371"/>
        <v>0</v>
      </c>
      <c r="N577" s="75">
        <f t="shared" ca="1" si="371"/>
        <v>0</v>
      </c>
      <c r="O577" s="75">
        <f t="shared" si="371"/>
        <v>0</v>
      </c>
      <c r="P577" s="75">
        <f t="shared" si="371"/>
        <v>0</v>
      </c>
      <c r="Q577" s="75">
        <f t="shared" si="371"/>
        <v>0</v>
      </c>
      <c r="R577" s="75">
        <f t="shared" si="371"/>
        <v>0</v>
      </c>
      <c r="S577" s="75">
        <f t="shared" si="371"/>
        <v>0</v>
      </c>
      <c r="T577" s="75">
        <f t="shared" si="371"/>
        <v>0</v>
      </c>
      <c r="U577" s="73">
        <f t="shared" ref="U577:U579" si="372">+R577+O577+L577+I577+F577</f>
        <v>0</v>
      </c>
      <c r="V577" s="72">
        <f t="shared" ref="V577:V579" ca="1" si="373">+S577+P577+M577+J577+G577</f>
        <v>0</v>
      </c>
      <c r="W577" s="72">
        <f t="shared" ref="W577:W579" ca="1" si="374">+T577+Q577+N577+K577+H577</f>
        <v>0</v>
      </c>
    </row>
    <row r="578" spans="3:23" ht="15.75" hidden="1" thickBot="1" x14ac:dyDescent="0.3">
      <c r="C578" s="62">
        <f t="shared" si="370"/>
        <v>0</v>
      </c>
      <c r="D578" s="268" t="s">
        <v>92</v>
      </c>
      <c r="E578" s="76" t="s">
        <v>156</v>
      </c>
      <c r="F578" s="75">
        <f t="shared" ref="F578:T578" si="375">+F$9*$E572</f>
        <v>0</v>
      </c>
      <c r="G578" s="75">
        <f t="shared" si="375"/>
        <v>0</v>
      </c>
      <c r="H578" s="75">
        <f t="shared" si="375"/>
        <v>0</v>
      </c>
      <c r="I578" s="75">
        <f t="shared" si="375"/>
        <v>0</v>
      </c>
      <c r="J578" s="75">
        <f t="shared" si="375"/>
        <v>0</v>
      </c>
      <c r="K578" s="75">
        <f t="shared" si="375"/>
        <v>0</v>
      </c>
      <c r="L578" s="75">
        <f t="shared" si="375"/>
        <v>0</v>
      </c>
      <c r="M578" s="75">
        <f t="shared" si="375"/>
        <v>0</v>
      </c>
      <c r="N578" s="75">
        <f t="shared" si="375"/>
        <v>0</v>
      </c>
      <c r="O578" s="75">
        <f t="shared" si="375"/>
        <v>0</v>
      </c>
      <c r="P578" s="75">
        <f t="shared" si="375"/>
        <v>0</v>
      </c>
      <c r="Q578" s="75">
        <f t="shared" si="375"/>
        <v>0</v>
      </c>
      <c r="R578" s="75">
        <f t="shared" si="375"/>
        <v>0</v>
      </c>
      <c r="S578" s="75">
        <f t="shared" si="375"/>
        <v>0</v>
      </c>
      <c r="T578" s="75">
        <f t="shared" si="375"/>
        <v>0</v>
      </c>
      <c r="U578" s="73">
        <f t="shared" si="372"/>
        <v>0</v>
      </c>
      <c r="V578" s="72">
        <f t="shared" si="373"/>
        <v>0</v>
      </c>
      <c r="W578" s="72">
        <f t="shared" si="374"/>
        <v>0</v>
      </c>
    </row>
    <row r="579" spans="3:23" ht="15.75" hidden="1" thickBot="1" x14ac:dyDescent="0.3">
      <c r="C579" s="62">
        <f t="shared" si="370"/>
        <v>0</v>
      </c>
      <c r="D579" s="268" t="s">
        <v>91</v>
      </c>
      <c r="E579" s="76" t="s">
        <v>157</v>
      </c>
      <c r="F579" s="75">
        <f t="shared" ref="F579:T579" si="376">+F$10*$E572</f>
        <v>0</v>
      </c>
      <c r="G579" s="75">
        <f t="shared" si="376"/>
        <v>0</v>
      </c>
      <c r="H579" s="75">
        <f t="shared" si="376"/>
        <v>0</v>
      </c>
      <c r="I579" s="75">
        <f t="shared" si="376"/>
        <v>0</v>
      </c>
      <c r="J579" s="75">
        <f t="shared" si="376"/>
        <v>0</v>
      </c>
      <c r="K579" s="75">
        <f t="shared" si="376"/>
        <v>0</v>
      </c>
      <c r="L579" s="75">
        <f t="shared" si="376"/>
        <v>0</v>
      </c>
      <c r="M579" s="75">
        <f t="shared" ca="1" si="376"/>
        <v>0</v>
      </c>
      <c r="N579" s="75">
        <f t="shared" si="376"/>
        <v>0</v>
      </c>
      <c r="O579" s="75">
        <f t="shared" si="376"/>
        <v>0</v>
      </c>
      <c r="P579" s="75">
        <f t="shared" si="376"/>
        <v>0</v>
      </c>
      <c r="Q579" s="75">
        <f t="shared" si="376"/>
        <v>0</v>
      </c>
      <c r="R579" s="75">
        <f t="shared" si="376"/>
        <v>0</v>
      </c>
      <c r="S579" s="75">
        <f t="shared" si="376"/>
        <v>0</v>
      </c>
      <c r="T579" s="75">
        <f t="shared" si="376"/>
        <v>0</v>
      </c>
      <c r="U579" s="73">
        <f t="shared" si="372"/>
        <v>0</v>
      </c>
      <c r="V579" s="72">
        <f t="shared" ca="1" si="373"/>
        <v>0</v>
      </c>
      <c r="W579" s="72">
        <f t="shared" si="374"/>
        <v>0</v>
      </c>
    </row>
    <row r="580" spans="3:23" ht="15.75" hidden="1" thickBot="1" x14ac:dyDescent="0.3">
      <c r="C580" s="62">
        <f t="shared" si="370"/>
        <v>0</v>
      </c>
      <c r="D580" s="71" t="s">
        <v>48</v>
      </c>
      <c r="E580" s="70" t="s">
        <v>158</v>
      </c>
      <c r="F580" s="68">
        <f t="shared" ref="F580:W580" si="377">SUBTOTAL(9,F577:F579)</f>
        <v>0</v>
      </c>
      <c r="G580" s="68">
        <f t="shared" si="377"/>
        <v>0</v>
      </c>
      <c r="H580" s="68">
        <f t="shared" si="377"/>
        <v>0</v>
      </c>
      <c r="I580" s="69">
        <f t="shared" si="377"/>
        <v>0</v>
      </c>
      <c r="J580" s="68">
        <f t="shared" si="377"/>
        <v>0</v>
      </c>
      <c r="K580" s="68">
        <f t="shared" si="377"/>
        <v>0</v>
      </c>
      <c r="L580" s="69">
        <f t="shared" si="377"/>
        <v>0</v>
      </c>
      <c r="M580" s="68">
        <f t="shared" si="377"/>
        <v>0</v>
      </c>
      <c r="N580" s="68">
        <f t="shared" si="377"/>
        <v>0</v>
      </c>
      <c r="O580" s="69">
        <f t="shared" si="377"/>
        <v>0</v>
      </c>
      <c r="P580" s="68">
        <f t="shared" si="377"/>
        <v>0</v>
      </c>
      <c r="Q580" s="68">
        <f t="shared" si="377"/>
        <v>0</v>
      </c>
      <c r="R580" s="69">
        <f t="shared" si="377"/>
        <v>0</v>
      </c>
      <c r="S580" s="68">
        <f t="shared" si="377"/>
        <v>0</v>
      </c>
      <c r="T580" s="68">
        <f t="shared" si="377"/>
        <v>0</v>
      </c>
      <c r="U580" s="69">
        <f t="shared" si="377"/>
        <v>0</v>
      </c>
      <c r="V580" s="68">
        <f t="shared" si="377"/>
        <v>0</v>
      </c>
      <c r="W580" s="68">
        <f t="shared" si="377"/>
        <v>0</v>
      </c>
    </row>
    <row r="581" spans="3:23" ht="15.75" hidden="1" thickBot="1" x14ac:dyDescent="0.3"/>
    <row r="582" spans="3:23" ht="15.75" hidden="1" thickBot="1" x14ac:dyDescent="0.3">
      <c r="C582" s="62">
        <f>IF(E582&gt;0,1,0)</f>
        <v>0</v>
      </c>
      <c r="D582" s="936" t="str">
        <f>+A61</f>
        <v>Warren</v>
      </c>
      <c r="E582" s="938">
        <f>SUMIF(A:A,D582,B:B)</f>
        <v>0</v>
      </c>
      <c r="F582" s="940" t="s">
        <v>103</v>
      </c>
      <c r="G582" s="941"/>
      <c r="H582" s="942"/>
      <c r="I582" s="940" t="s">
        <v>102</v>
      </c>
      <c r="J582" s="941"/>
      <c r="K582" s="942"/>
      <c r="L582" s="940" t="s">
        <v>101</v>
      </c>
      <c r="M582" s="941"/>
      <c r="N582" s="942"/>
      <c r="O582" s="940" t="s">
        <v>100</v>
      </c>
      <c r="P582" s="941"/>
      <c r="Q582" s="942"/>
      <c r="R582" s="940" t="s">
        <v>99</v>
      </c>
      <c r="S582" s="941"/>
      <c r="T582" s="942"/>
      <c r="U582" s="940" t="s">
        <v>98</v>
      </c>
      <c r="V582" s="941"/>
      <c r="W582" s="943"/>
    </row>
    <row r="583" spans="3:23" ht="30.75" hidden="1" thickBot="1" x14ac:dyDescent="0.3">
      <c r="C583" s="62">
        <f>IF(E582&gt;0,1,0)</f>
        <v>0</v>
      </c>
      <c r="D583" s="937"/>
      <c r="E583" s="939"/>
      <c r="F583" s="88" t="s">
        <v>97</v>
      </c>
      <c r="G583" s="88" t="s">
        <v>96</v>
      </c>
      <c r="H583" s="88" t="s">
        <v>95</v>
      </c>
      <c r="I583" s="88" t="s">
        <v>97</v>
      </c>
      <c r="J583" s="88" t="s">
        <v>96</v>
      </c>
      <c r="K583" s="88" t="s">
        <v>95</v>
      </c>
      <c r="L583" s="88" t="s">
        <v>97</v>
      </c>
      <c r="M583" s="88" t="s">
        <v>96</v>
      </c>
      <c r="N583" s="88" t="s">
        <v>95</v>
      </c>
      <c r="O583" s="88" t="s">
        <v>97</v>
      </c>
      <c r="P583" s="88" t="s">
        <v>96</v>
      </c>
      <c r="Q583" s="88" t="s">
        <v>95</v>
      </c>
      <c r="R583" s="88" t="s">
        <v>97</v>
      </c>
      <c r="S583" s="88" t="s">
        <v>96</v>
      </c>
      <c r="T583" s="88" t="s">
        <v>95</v>
      </c>
      <c r="U583" s="88" t="s">
        <v>97</v>
      </c>
      <c r="V583" s="88" t="s">
        <v>96</v>
      </c>
      <c r="W583" s="87" t="s">
        <v>95</v>
      </c>
    </row>
    <row r="584" spans="3:23" ht="15.75" hidden="1" thickBot="1" x14ac:dyDescent="0.3">
      <c r="C584" s="62">
        <f>C583</f>
        <v>0</v>
      </c>
      <c r="D584" s="86"/>
      <c r="E584" s="85"/>
      <c r="F584" s="84" t="s">
        <v>57</v>
      </c>
      <c r="G584" s="84" t="s">
        <v>56</v>
      </c>
      <c r="H584" s="84" t="s">
        <v>55</v>
      </c>
      <c r="I584" s="84" t="s">
        <v>54</v>
      </c>
      <c r="J584" s="84" t="s">
        <v>53</v>
      </c>
      <c r="K584" s="84" t="s">
        <v>52</v>
      </c>
      <c r="L584" s="84" t="s">
        <v>51</v>
      </c>
      <c r="M584" s="84" t="s">
        <v>50</v>
      </c>
      <c r="N584" s="84" t="s">
        <v>49</v>
      </c>
      <c r="O584" s="84" t="s">
        <v>47</v>
      </c>
      <c r="P584" s="84" t="s">
        <v>77</v>
      </c>
      <c r="Q584" s="84" t="s">
        <v>78</v>
      </c>
      <c r="R584" s="84" t="s">
        <v>79</v>
      </c>
      <c r="S584" s="84" t="s">
        <v>81</v>
      </c>
      <c r="T584" s="84" t="s">
        <v>83</v>
      </c>
      <c r="U584" s="84" t="s">
        <v>85</v>
      </c>
      <c r="V584" s="84" t="s">
        <v>87</v>
      </c>
      <c r="W584" s="83" t="s">
        <v>88</v>
      </c>
    </row>
    <row r="585" spans="3:23" ht="15.75" hidden="1" thickBot="1" x14ac:dyDescent="0.3">
      <c r="C585" s="62">
        <f t="shared" ref="C585:C590" si="378">C584</f>
        <v>0</v>
      </c>
      <c r="D585" s="82" t="s">
        <v>26</v>
      </c>
      <c r="E585" s="80"/>
      <c r="F585" s="79"/>
      <c r="G585" s="79"/>
      <c r="H585" s="79"/>
      <c r="I585" s="79"/>
      <c r="J585" s="79"/>
      <c r="K585" s="79"/>
      <c r="L585" s="79"/>
      <c r="M585" s="79"/>
      <c r="N585" s="79"/>
      <c r="O585" s="79"/>
      <c r="P585" s="79"/>
      <c r="Q585" s="79"/>
      <c r="R585" s="79"/>
      <c r="S585" s="79"/>
      <c r="T585" s="79"/>
      <c r="U585" s="79"/>
      <c r="V585" s="79"/>
      <c r="W585" s="78"/>
    </row>
    <row r="586" spans="3:23" ht="15.75" hidden="1" thickBot="1" x14ac:dyDescent="0.3">
      <c r="C586" s="62">
        <f t="shared" si="378"/>
        <v>0</v>
      </c>
      <c r="D586" s="81" t="s">
        <v>94</v>
      </c>
      <c r="E586" s="80"/>
      <c r="F586" s="79"/>
      <c r="G586" s="79"/>
      <c r="H586" s="79"/>
      <c r="I586" s="79"/>
      <c r="J586" s="79"/>
      <c r="K586" s="79"/>
      <c r="L586" s="79"/>
      <c r="M586" s="79"/>
      <c r="N586" s="79"/>
      <c r="O586" s="79"/>
      <c r="P586" s="79"/>
      <c r="Q586" s="79"/>
      <c r="R586" s="79"/>
      <c r="S586" s="79"/>
      <c r="T586" s="79"/>
      <c r="U586" s="79"/>
      <c r="V586" s="79"/>
      <c r="W586" s="78"/>
    </row>
    <row r="587" spans="3:23" ht="15.75" hidden="1" thickBot="1" x14ac:dyDescent="0.3">
      <c r="C587" s="62">
        <f t="shared" si="378"/>
        <v>0</v>
      </c>
      <c r="D587" s="268" t="s">
        <v>93</v>
      </c>
      <c r="E587" s="76" t="s">
        <v>155</v>
      </c>
      <c r="F587" s="75">
        <f t="shared" ref="F587:T587" si="379">+F$8*$E582</f>
        <v>0</v>
      </c>
      <c r="G587" s="75">
        <f t="shared" si="379"/>
        <v>0</v>
      </c>
      <c r="H587" s="75">
        <f t="shared" si="379"/>
        <v>0</v>
      </c>
      <c r="I587" s="75">
        <f t="shared" si="379"/>
        <v>0</v>
      </c>
      <c r="J587" s="75">
        <f t="shared" si="379"/>
        <v>0</v>
      </c>
      <c r="K587" s="75">
        <f t="shared" si="379"/>
        <v>0</v>
      </c>
      <c r="L587" s="75">
        <f t="shared" si="379"/>
        <v>0</v>
      </c>
      <c r="M587" s="75">
        <f t="shared" ca="1" si="379"/>
        <v>0</v>
      </c>
      <c r="N587" s="75">
        <f t="shared" ca="1" si="379"/>
        <v>0</v>
      </c>
      <c r="O587" s="75">
        <f t="shared" si="379"/>
        <v>0</v>
      </c>
      <c r="P587" s="75">
        <f t="shared" si="379"/>
        <v>0</v>
      </c>
      <c r="Q587" s="75">
        <f t="shared" si="379"/>
        <v>0</v>
      </c>
      <c r="R587" s="75">
        <f t="shared" si="379"/>
        <v>0</v>
      </c>
      <c r="S587" s="75">
        <f t="shared" si="379"/>
        <v>0</v>
      </c>
      <c r="T587" s="75">
        <f t="shared" si="379"/>
        <v>0</v>
      </c>
      <c r="U587" s="73">
        <f t="shared" ref="U587:U589" si="380">+R587+O587+L587+I587+F587</f>
        <v>0</v>
      </c>
      <c r="V587" s="72">
        <f t="shared" ref="V587:V589" ca="1" si="381">+S587+P587+M587+J587+G587</f>
        <v>0</v>
      </c>
      <c r="W587" s="72">
        <f t="shared" ref="W587:W589" ca="1" si="382">+T587+Q587+N587+K587+H587</f>
        <v>0</v>
      </c>
    </row>
    <row r="588" spans="3:23" ht="15.75" hidden="1" thickBot="1" x14ac:dyDescent="0.3">
      <c r="C588" s="62">
        <f t="shared" si="378"/>
        <v>0</v>
      </c>
      <c r="D588" s="268" t="s">
        <v>92</v>
      </c>
      <c r="E588" s="76" t="s">
        <v>156</v>
      </c>
      <c r="F588" s="75">
        <f t="shared" ref="F588:T588" si="383">+F$9*$E582</f>
        <v>0</v>
      </c>
      <c r="G588" s="75">
        <f t="shared" si="383"/>
        <v>0</v>
      </c>
      <c r="H588" s="75">
        <f t="shared" si="383"/>
        <v>0</v>
      </c>
      <c r="I588" s="75">
        <f t="shared" si="383"/>
        <v>0</v>
      </c>
      <c r="J588" s="75">
        <f t="shared" si="383"/>
        <v>0</v>
      </c>
      <c r="K588" s="75">
        <f t="shared" si="383"/>
        <v>0</v>
      </c>
      <c r="L588" s="75">
        <f t="shared" si="383"/>
        <v>0</v>
      </c>
      <c r="M588" s="75">
        <f t="shared" si="383"/>
        <v>0</v>
      </c>
      <c r="N588" s="75">
        <f t="shared" si="383"/>
        <v>0</v>
      </c>
      <c r="O588" s="75">
        <f t="shared" si="383"/>
        <v>0</v>
      </c>
      <c r="P588" s="75">
        <f t="shared" si="383"/>
        <v>0</v>
      </c>
      <c r="Q588" s="75">
        <f t="shared" si="383"/>
        <v>0</v>
      </c>
      <c r="R588" s="75">
        <f t="shared" si="383"/>
        <v>0</v>
      </c>
      <c r="S588" s="75">
        <f t="shared" si="383"/>
        <v>0</v>
      </c>
      <c r="T588" s="75">
        <f t="shared" si="383"/>
        <v>0</v>
      </c>
      <c r="U588" s="73">
        <f t="shared" si="380"/>
        <v>0</v>
      </c>
      <c r="V588" s="72">
        <f t="shared" si="381"/>
        <v>0</v>
      </c>
      <c r="W588" s="72">
        <f t="shared" si="382"/>
        <v>0</v>
      </c>
    </row>
    <row r="589" spans="3:23" ht="15.75" hidden="1" thickBot="1" x14ac:dyDescent="0.3">
      <c r="C589" s="62">
        <f t="shared" si="378"/>
        <v>0</v>
      </c>
      <c r="D589" s="268" t="s">
        <v>91</v>
      </c>
      <c r="E589" s="76" t="s">
        <v>157</v>
      </c>
      <c r="F589" s="75">
        <f t="shared" ref="F589:T589" si="384">+F$10*$E582</f>
        <v>0</v>
      </c>
      <c r="G589" s="75">
        <f t="shared" si="384"/>
        <v>0</v>
      </c>
      <c r="H589" s="75">
        <f t="shared" si="384"/>
        <v>0</v>
      </c>
      <c r="I589" s="75">
        <f t="shared" si="384"/>
        <v>0</v>
      </c>
      <c r="J589" s="75">
        <f t="shared" si="384"/>
        <v>0</v>
      </c>
      <c r="K589" s="75">
        <f t="shared" si="384"/>
        <v>0</v>
      </c>
      <c r="L589" s="75">
        <f t="shared" si="384"/>
        <v>0</v>
      </c>
      <c r="M589" s="75">
        <f t="shared" ca="1" si="384"/>
        <v>0</v>
      </c>
      <c r="N589" s="75">
        <f t="shared" si="384"/>
        <v>0</v>
      </c>
      <c r="O589" s="75">
        <f t="shared" si="384"/>
        <v>0</v>
      </c>
      <c r="P589" s="75">
        <f t="shared" si="384"/>
        <v>0</v>
      </c>
      <c r="Q589" s="75">
        <f t="shared" si="384"/>
        <v>0</v>
      </c>
      <c r="R589" s="75">
        <f t="shared" si="384"/>
        <v>0</v>
      </c>
      <c r="S589" s="75">
        <f t="shared" si="384"/>
        <v>0</v>
      </c>
      <c r="T589" s="75">
        <f t="shared" si="384"/>
        <v>0</v>
      </c>
      <c r="U589" s="73">
        <f t="shared" si="380"/>
        <v>0</v>
      </c>
      <c r="V589" s="72">
        <f t="shared" ca="1" si="381"/>
        <v>0</v>
      </c>
      <c r="W589" s="72">
        <f t="shared" si="382"/>
        <v>0</v>
      </c>
    </row>
    <row r="590" spans="3:23" ht="15.75" hidden="1" thickBot="1" x14ac:dyDescent="0.3">
      <c r="C590" s="62">
        <f t="shared" si="378"/>
        <v>0</v>
      </c>
      <c r="D590" s="71" t="s">
        <v>48</v>
      </c>
      <c r="E590" s="70" t="s">
        <v>158</v>
      </c>
      <c r="F590" s="68">
        <f t="shared" ref="F590:W590" si="385">SUBTOTAL(9,F587:F589)</f>
        <v>0</v>
      </c>
      <c r="G590" s="68">
        <f t="shared" si="385"/>
        <v>0</v>
      </c>
      <c r="H590" s="68">
        <f t="shared" si="385"/>
        <v>0</v>
      </c>
      <c r="I590" s="69">
        <f t="shared" si="385"/>
        <v>0</v>
      </c>
      <c r="J590" s="68">
        <f t="shared" si="385"/>
        <v>0</v>
      </c>
      <c r="K590" s="68">
        <f t="shared" si="385"/>
        <v>0</v>
      </c>
      <c r="L590" s="69">
        <f t="shared" si="385"/>
        <v>0</v>
      </c>
      <c r="M590" s="68">
        <f t="shared" si="385"/>
        <v>0</v>
      </c>
      <c r="N590" s="68">
        <f t="shared" si="385"/>
        <v>0</v>
      </c>
      <c r="O590" s="69">
        <f t="shared" si="385"/>
        <v>0</v>
      </c>
      <c r="P590" s="68">
        <f t="shared" si="385"/>
        <v>0</v>
      </c>
      <c r="Q590" s="68">
        <f t="shared" si="385"/>
        <v>0</v>
      </c>
      <c r="R590" s="69">
        <f t="shared" si="385"/>
        <v>0</v>
      </c>
      <c r="S590" s="68">
        <f t="shared" si="385"/>
        <v>0</v>
      </c>
      <c r="T590" s="68">
        <f t="shared" si="385"/>
        <v>0</v>
      </c>
      <c r="U590" s="69">
        <f t="shared" si="385"/>
        <v>0</v>
      </c>
      <c r="V590" s="68">
        <f t="shared" si="385"/>
        <v>0</v>
      </c>
      <c r="W590" s="68">
        <f t="shared" si="385"/>
        <v>0</v>
      </c>
    </row>
    <row r="591" spans="3:23" ht="15.75" hidden="1" thickBot="1" x14ac:dyDescent="0.3"/>
    <row r="592" spans="3:23" ht="15.75" hidden="1" thickBot="1" x14ac:dyDescent="0.3">
      <c r="C592" s="62">
        <f>IF(E592&gt;0,1,0)</f>
        <v>0</v>
      </c>
      <c r="D592" s="936" t="str">
        <f>+A62</f>
        <v>Washington</v>
      </c>
      <c r="E592" s="938">
        <f>SUMIF(A:A,D592,B:B)</f>
        <v>0</v>
      </c>
      <c r="F592" s="940" t="s">
        <v>103</v>
      </c>
      <c r="G592" s="941"/>
      <c r="H592" s="942"/>
      <c r="I592" s="940" t="s">
        <v>102</v>
      </c>
      <c r="J592" s="941"/>
      <c r="K592" s="942"/>
      <c r="L592" s="940" t="s">
        <v>101</v>
      </c>
      <c r="M592" s="941"/>
      <c r="N592" s="942"/>
      <c r="O592" s="940" t="s">
        <v>100</v>
      </c>
      <c r="P592" s="941"/>
      <c r="Q592" s="942"/>
      <c r="R592" s="940" t="s">
        <v>99</v>
      </c>
      <c r="S592" s="941"/>
      <c r="T592" s="942"/>
      <c r="U592" s="940" t="s">
        <v>98</v>
      </c>
      <c r="V592" s="941"/>
      <c r="W592" s="943"/>
    </row>
    <row r="593" spans="3:23" ht="30.75" hidden="1" thickBot="1" x14ac:dyDescent="0.3">
      <c r="C593" s="62">
        <f>IF(E592&gt;0,1,0)</f>
        <v>0</v>
      </c>
      <c r="D593" s="937"/>
      <c r="E593" s="939"/>
      <c r="F593" s="88" t="s">
        <v>97</v>
      </c>
      <c r="G593" s="88" t="s">
        <v>96</v>
      </c>
      <c r="H593" s="88" t="s">
        <v>95</v>
      </c>
      <c r="I593" s="88" t="s">
        <v>97</v>
      </c>
      <c r="J593" s="88" t="s">
        <v>96</v>
      </c>
      <c r="K593" s="88" t="s">
        <v>95</v>
      </c>
      <c r="L593" s="88" t="s">
        <v>97</v>
      </c>
      <c r="M593" s="88" t="s">
        <v>96</v>
      </c>
      <c r="N593" s="88" t="s">
        <v>95</v>
      </c>
      <c r="O593" s="88" t="s">
        <v>97</v>
      </c>
      <c r="P593" s="88" t="s">
        <v>96</v>
      </c>
      <c r="Q593" s="88" t="s">
        <v>95</v>
      </c>
      <c r="R593" s="88" t="s">
        <v>97</v>
      </c>
      <c r="S593" s="88" t="s">
        <v>96</v>
      </c>
      <c r="T593" s="88" t="s">
        <v>95</v>
      </c>
      <c r="U593" s="88" t="s">
        <v>97</v>
      </c>
      <c r="V593" s="88" t="s">
        <v>96</v>
      </c>
      <c r="W593" s="87" t="s">
        <v>95</v>
      </c>
    </row>
    <row r="594" spans="3:23" ht="15.75" hidden="1" thickBot="1" x14ac:dyDescent="0.3">
      <c r="C594" s="62">
        <f>C593</f>
        <v>0</v>
      </c>
      <c r="D594" s="86"/>
      <c r="E594" s="85"/>
      <c r="F594" s="84" t="s">
        <v>57</v>
      </c>
      <c r="G594" s="84" t="s">
        <v>56</v>
      </c>
      <c r="H594" s="84" t="s">
        <v>55</v>
      </c>
      <c r="I594" s="84" t="s">
        <v>54</v>
      </c>
      <c r="J594" s="84" t="s">
        <v>53</v>
      </c>
      <c r="K594" s="84" t="s">
        <v>52</v>
      </c>
      <c r="L594" s="84" t="s">
        <v>51</v>
      </c>
      <c r="M594" s="84" t="s">
        <v>50</v>
      </c>
      <c r="N594" s="84" t="s">
        <v>49</v>
      </c>
      <c r="O594" s="84" t="s">
        <v>47</v>
      </c>
      <c r="P594" s="84" t="s">
        <v>77</v>
      </c>
      <c r="Q594" s="84" t="s">
        <v>78</v>
      </c>
      <c r="R594" s="84" t="s">
        <v>79</v>
      </c>
      <c r="S594" s="84" t="s">
        <v>81</v>
      </c>
      <c r="T594" s="84" t="s">
        <v>83</v>
      </c>
      <c r="U594" s="84" t="s">
        <v>85</v>
      </c>
      <c r="V594" s="84" t="s">
        <v>87</v>
      </c>
      <c r="W594" s="83" t="s">
        <v>88</v>
      </c>
    </row>
    <row r="595" spans="3:23" ht="15.75" hidden="1" thickBot="1" x14ac:dyDescent="0.3">
      <c r="C595" s="62">
        <f t="shared" ref="C595:C600" si="386">C594</f>
        <v>0</v>
      </c>
      <c r="D595" s="82" t="s">
        <v>26</v>
      </c>
      <c r="E595" s="80"/>
      <c r="F595" s="79"/>
      <c r="G595" s="79"/>
      <c r="H595" s="79"/>
      <c r="I595" s="79"/>
      <c r="J595" s="79"/>
      <c r="K595" s="79"/>
      <c r="L595" s="79"/>
      <c r="M595" s="79"/>
      <c r="N595" s="79"/>
      <c r="O595" s="79"/>
      <c r="P595" s="79"/>
      <c r="Q595" s="79"/>
      <c r="R595" s="79"/>
      <c r="S595" s="79"/>
      <c r="T595" s="79"/>
      <c r="U595" s="79"/>
      <c r="V595" s="79"/>
      <c r="W595" s="78"/>
    </row>
    <row r="596" spans="3:23" ht="15.75" hidden="1" thickBot="1" x14ac:dyDescent="0.3">
      <c r="C596" s="62">
        <f t="shared" si="386"/>
        <v>0</v>
      </c>
      <c r="D596" s="81" t="s">
        <v>94</v>
      </c>
      <c r="E596" s="80"/>
      <c r="F596" s="79"/>
      <c r="G596" s="79"/>
      <c r="H596" s="79"/>
      <c r="I596" s="79"/>
      <c r="J596" s="79"/>
      <c r="K596" s="79"/>
      <c r="L596" s="79"/>
      <c r="M596" s="79"/>
      <c r="N596" s="79"/>
      <c r="O596" s="79"/>
      <c r="P596" s="79"/>
      <c r="Q596" s="79"/>
      <c r="R596" s="79"/>
      <c r="S596" s="79"/>
      <c r="T596" s="79"/>
      <c r="U596" s="79"/>
      <c r="V596" s="79"/>
      <c r="W596" s="78"/>
    </row>
    <row r="597" spans="3:23" ht="15.75" hidden="1" thickBot="1" x14ac:dyDescent="0.3">
      <c r="C597" s="62">
        <f t="shared" si="386"/>
        <v>0</v>
      </c>
      <c r="D597" s="268" t="s">
        <v>93</v>
      </c>
      <c r="E597" s="76" t="s">
        <v>155</v>
      </c>
      <c r="F597" s="75">
        <f t="shared" ref="F597:T597" si="387">+F$8*$E592</f>
        <v>0</v>
      </c>
      <c r="G597" s="75">
        <f t="shared" si="387"/>
        <v>0</v>
      </c>
      <c r="H597" s="75">
        <f t="shared" si="387"/>
        <v>0</v>
      </c>
      <c r="I597" s="75">
        <f t="shared" si="387"/>
        <v>0</v>
      </c>
      <c r="J597" s="75">
        <f t="shared" si="387"/>
        <v>0</v>
      </c>
      <c r="K597" s="75">
        <f t="shared" si="387"/>
        <v>0</v>
      </c>
      <c r="L597" s="75">
        <f t="shared" si="387"/>
        <v>0</v>
      </c>
      <c r="M597" s="75">
        <f t="shared" ca="1" si="387"/>
        <v>0</v>
      </c>
      <c r="N597" s="75">
        <f t="shared" ca="1" si="387"/>
        <v>0</v>
      </c>
      <c r="O597" s="75">
        <f t="shared" si="387"/>
        <v>0</v>
      </c>
      <c r="P597" s="75">
        <f t="shared" si="387"/>
        <v>0</v>
      </c>
      <c r="Q597" s="75">
        <f t="shared" si="387"/>
        <v>0</v>
      </c>
      <c r="R597" s="75">
        <f t="shared" si="387"/>
        <v>0</v>
      </c>
      <c r="S597" s="75">
        <f t="shared" si="387"/>
        <v>0</v>
      </c>
      <c r="T597" s="75">
        <f t="shared" si="387"/>
        <v>0</v>
      </c>
      <c r="U597" s="73">
        <f t="shared" ref="U597:U599" si="388">+R597+O597+L597+I597+F597</f>
        <v>0</v>
      </c>
      <c r="V597" s="72">
        <f t="shared" ref="V597:V599" ca="1" si="389">+S597+P597+M597+J597+G597</f>
        <v>0</v>
      </c>
      <c r="W597" s="72">
        <f t="shared" ref="W597:W599" ca="1" si="390">+T597+Q597+N597+K597+H597</f>
        <v>0</v>
      </c>
    </row>
    <row r="598" spans="3:23" ht="15.75" hidden="1" thickBot="1" x14ac:dyDescent="0.3">
      <c r="C598" s="62">
        <f t="shared" si="386"/>
        <v>0</v>
      </c>
      <c r="D598" s="268" t="s">
        <v>92</v>
      </c>
      <c r="E598" s="76" t="s">
        <v>156</v>
      </c>
      <c r="F598" s="75">
        <f t="shared" ref="F598:T598" si="391">+F$9*$E592</f>
        <v>0</v>
      </c>
      <c r="G598" s="75">
        <f t="shared" si="391"/>
        <v>0</v>
      </c>
      <c r="H598" s="75">
        <f t="shared" si="391"/>
        <v>0</v>
      </c>
      <c r="I598" s="75">
        <f t="shared" si="391"/>
        <v>0</v>
      </c>
      <c r="J598" s="75">
        <f t="shared" si="391"/>
        <v>0</v>
      </c>
      <c r="K598" s="75">
        <f t="shared" si="391"/>
        <v>0</v>
      </c>
      <c r="L598" s="75">
        <f t="shared" si="391"/>
        <v>0</v>
      </c>
      <c r="M598" s="75">
        <f t="shared" si="391"/>
        <v>0</v>
      </c>
      <c r="N598" s="75">
        <f t="shared" si="391"/>
        <v>0</v>
      </c>
      <c r="O598" s="75">
        <f t="shared" si="391"/>
        <v>0</v>
      </c>
      <c r="P598" s="75">
        <f t="shared" si="391"/>
        <v>0</v>
      </c>
      <c r="Q598" s="75">
        <f t="shared" si="391"/>
        <v>0</v>
      </c>
      <c r="R598" s="75">
        <f t="shared" si="391"/>
        <v>0</v>
      </c>
      <c r="S598" s="75">
        <f t="shared" si="391"/>
        <v>0</v>
      </c>
      <c r="T598" s="75">
        <f t="shared" si="391"/>
        <v>0</v>
      </c>
      <c r="U598" s="73">
        <f t="shared" si="388"/>
        <v>0</v>
      </c>
      <c r="V598" s="72">
        <f t="shared" si="389"/>
        <v>0</v>
      </c>
      <c r="W598" s="72">
        <f t="shared" si="390"/>
        <v>0</v>
      </c>
    </row>
    <row r="599" spans="3:23" ht="15.75" hidden="1" thickBot="1" x14ac:dyDescent="0.3">
      <c r="C599" s="62">
        <f t="shared" si="386"/>
        <v>0</v>
      </c>
      <c r="D599" s="268" t="s">
        <v>91</v>
      </c>
      <c r="E599" s="76" t="s">
        <v>157</v>
      </c>
      <c r="F599" s="75">
        <f t="shared" ref="F599:T599" si="392">+F$10*$E592</f>
        <v>0</v>
      </c>
      <c r="G599" s="75">
        <f t="shared" si="392"/>
        <v>0</v>
      </c>
      <c r="H599" s="75">
        <f t="shared" si="392"/>
        <v>0</v>
      </c>
      <c r="I599" s="75">
        <f t="shared" si="392"/>
        <v>0</v>
      </c>
      <c r="J599" s="75">
        <f t="shared" si="392"/>
        <v>0</v>
      </c>
      <c r="K599" s="75">
        <f t="shared" si="392"/>
        <v>0</v>
      </c>
      <c r="L599" s="75">
        <f t="shared" si="392"/>
        <v>0</v>
      </c>
      <c r="M599" s="75">
        <f t="shared" ca="1" si="392"/>
        <v>0</v>
      </c>
      <c r="N599" s="75">
        <f t="shared" si="392"/>
        <v>0</v>
      </c>
      <c r="O599" s="75">
        <f t="shared" si="392"/>
        <v>0</v>
      </c>
      <c r="P599" s="75">
        <f t="shared" si="392"/>
        <v>0</v>
      </c>
      <c r="Q599" s="75">
        <f t="shared" si="392"/>
        <v>0</v>
      </c>
      <c r="R599" s="75">
        <f t="shared" si="392"/>
        <v>0</v>
      </c>
      <c r="S599" s="75">
        <f t="shared" si="392"/>
        <v>0</v>
      </c>
      <c r="T599" s="75">
        <f t="shared" si="392"/>
        <v>0</v>
      </c>
      <c r="U599" s="73">
        <f t="shared" si="388"/>
        <v>0</v>
      </c>
      <c r="V599" s="72">
        <f t="shared" ca="1" si="389"/>
        <v>0</v>
      </c>
      <c r="W599" s="72">
        <f t="shared" si="390"/>
        <v>0</v>
      </c>
    </row>
    <row r="600" spans="3:23" ht="15.75" hidden="1" thickBot="1" x14ac:dyDescent="0.3">
      <c r="C600" s="62">
        <f t="shared" si="386"/>
        <v>0</v>
      </c>
      <c r="D600" s="71" t="s">
        <v>48</v>
      </c>
      <c r="E600" s="70" t="s">
        <v>158</v>
      </c>
      <c r="F600" s="68">
        <f t="shared" ref="F600:W600" si="393">SUBTOTAL(9,F597:F599)</f>
        <v>0</v>
      </c>
      <c r="G600" s="68">
        <f t="shared" si="393"/>
        <v>0</v>
      </c>
      <c r="H600" s="68">
        <f t="shared" si="393"/>
        <v>0</v>
      </c>
      <c r="I600" s="69">
        <f t="shared" si="393"/>
        <v>0</v>
      </c>
      <c r="J600" s="68">
        <f t="shared" si="393"/>
        <v>0</v>
      </c>
      <c r="K600" s="68">
        <f t="shared" si="393"/>
        <v>0</v>
      </c>
      <c r="L600" s="69">
        <f t="shared" si="393"/>
        <v>0</v>
      </c>
      <c r="M600" s="68">
        <f t="shared" si="393"/>
        <v>0</v>
      </c>
      <c r="N600" s="68">
        <f t="shared" si="393"/>
        <v>0</v>
      </c>
      <c r="O600" s="69">
        <f t="shared" si="393"/>
        <v>0</v>
      </c>
      <c r="P600" s="68">
        <f t="shared" si="393"/>
        <v>0</v>
      </c>
      <c r="Q600" s="68">
        <f t="shared" si="393"/>
        <v>0</v>
      </c>
      <c r="R600" s="69">
        <f t="shared" si="393"/>
        <v>0</v>
      </c>
      <c r="S600" s="68">
        <f t="shared" si="393"/>
        <v>0</v>
      </c>
      <c r="T600" s="68">
        <f t="shared" si="393"/>
        <v>0</v>
      </c>
      <c r="U600" s="69">
        <f t="shared" si="393"/>
        <v>0</v>
      </c>
      <c r="V600" s="68">
        <f t="shared" si="393"/>
        <v>0</v>
      </c>
      <c r="W600" s="68">
        <f t="shared" si="393"/>
        <v>0</v>
      </c>
    </row>
    <row r="601" spans="3:23" ht="15.75" hidden="1" thickBot="1" x14ac:dyDescent="0.3"/>
    <row r="602" spans="3:23" ht="15.75" hidden="1" thickBot="1" x14ac:dyDescent="0.3"/>
    <row r="603" spans="3:23" ht="15.75" hidden="1" thickBot="1" x14ac:dyDescent="0.3">
      <c r="C603" s="62">
        <f>IF(E603&gt;0,1,0)</f>
        <v>0</v>
      </c>
      <c r="D603" s="936" t="str">
        <f>+A63</f>
        <v>Wayne</v>
      </c>
      <c r="E603" s="938">
        <f>SUMIF(A:A,D603,B:B)</f>
        <v>0</v>
      </c>
      <c r="F603" s="940" t="s">
        <v>103</v>
      </c>
      <c r="G603" s="941"/>
      <c r="H603" s="942"/>
      <c r="I603" s="940" t="s">
        <v>102</v>
      </c>
      <c r="J603" s="941"/>
      <c r="K603" s="942"/>
      <c r="L603" s="940" t="s">
        <v>101</v>
      </c>
      <c r="M603" s="941"/>
      <c r="N603" s="942"/>
      <c r="O603" s="940" t="s">
        <v>100</v>
      </c>
      <c r="P603" s="941"/>
      <c r="Q603" s="942"/>
      <c r="R603" s="940" t="s">
        <v>99</v>
      </c>
      <c r="S603" s="941"/>
      <c r="T603" s="942"/>
      <c r="U603" s="940" t="s">
        <v>98</v>
      </c>
      <c r="V603" s="941"/>
      <c r="W603" s="943"/>
    </row>
    <row r="604" spans="3:23" ht="30.75" hidden="1" thickBot="1" x14ac:dyDescent="0.3">
      <c r="C604" s="62">
        <f>IF(E603&gt;0,1,0)</f>
        <v>0</v>
      </c>
      <c r="D604" s="937"/>
      <c r="E604" s="939"/>
      <c r="F604" s="88" t="s">
        <v>97</v>
      </c>
      <c r="G604" s="88" t="s">
        <v>96</v>
      </c>
      <c r="H604" s="88" t="s">
        <v>95</v>
      </c>
      <c r="I604" s="88" t="s">
        <v>97</v>
      </c>
      <c r="J604" s="88" t="s">
        <v>96</v>
      </c>
      <c r="K604" s="88" t="s">
        <v>95</v>
      </c>
      <c r="L604" s="88" t="s">
        <v>97</v>
      </c>
      <c r="M604" s="88" t="s">
        <v>96</v>
      </c>
      <c r="N604" s="88" t="s">
        <v>95</v>
      </c>
      <c r="O604" s="88" t="s">
        <v>97</v>
      </c>
      <c r="P604" s="88" t="s">
        <v>96</v>
      </c>
      <c r="Q604" s="88" t="s">
        <v>95</v>
      </c>
      <c r="R604" s="88" t="s">
        <v>97</v>
      </c>
      <c r="S604" s="88" t="s">
        <v>96</v>
      </c>
      <c r="T604" s="88" t="s">
        <v>95</v>
      </c>
      <c r="U604" s="88" t="s">
        <v>97</v>
      </c>
      <c r="V604" s="88" t="s">
        <v>96</v>
      </c>
      <c r="W604" s="87" t="s">
        <v>95</v>
      </c>
    </row>
    <row r="605" spans="3:23" ht="15.75" hidden="1" thickBot="1" x14ac:dyDescent="0.3">
      <c r="C605" s="62">
        <f>C604</f>
        <v>0</v>
      </c>
      <c r="D605" s="86"/>
      <c r="E605" s="85"/>
      <c r="F605" s="84" t="s">
        <v>57</v>
      </c>
      <c r="G605" s="84" t="s">
        <v>56</v>
      </c>
      <c r="H605" s="84" t="s">
        <v>55</v>
      </c>
      <c r="I605" s="84" t="s">
        <v>54</v>
      </c>
      <c r="J605" s="84" t="s">
        <v>53</v>
      </c>
      <c r="K605" s="84" t="s">
        <v>52</v>
      </c>
      <c r="L605" s="84" t="s">
        <v>51</v>
      </c>
      <c r="M605" s="84" t="s">
        <v>50</v>
      </c>
      <c r="N605" s="84" t="s">
        <v>49</v>
      </c>
      <c r="O605" s="84" t="s">
        <v>47</v>
      </c>
      <c r="P605" s="84" t="s">
        <v>77</v>
      </c>
      <c r="Q605" s="84" t="s">
        <v>78</v>
      </c>
      <c r="R605" s="84" t="s">
        <v>79</v>
      </c>
      <c r="S605" s="84" t="s">
        <v>81</v>
      </c>
      <c r="T605" s="84" t="s">
        <v>83</v>
      </c>
      <c r="U605" s="84" t="s">
        <v>85</v>
      </c>
      <c r="V605" s="84" t="s">
        <v>87</v>
      </c>
      <c r="W605" s="83" t="s">
        <v>88</v>
      </c>
    </row>
    <row r="606" spans="3:23" ht="15.75" hidden="1" thickBot="1" x14ac:dyDescent="0.3">
      <c r="C606" s="62">
        <f t="shared" ref="C606:C611" si="394">C605</f>
        <v>0</v>
      </c>
      <c r="D606" s="82" t="s">
        <v>26</v>
      </c>
      <c r="E606" s="80"/>
      <c r="F606" s="79"/>
      <c r="G606" s="79"/>
      <c r="H606" s="79"/>
      <c r="I606" s="79"/>
      <c r="J606" s="79"/>
      <c r="K606" s="79"/>
      <c r="L606" s="79"/>
      <c r="M606" s="79"/>
      <c r="N606" s="79"/>
      <c r="O606" s="79"/>
      <c r="P606" s="79"/>
      <c r="Q606" s="79"/>
      <c r="R606" s="79"/>
      <c r="S606" s="79"/>
      <c r="T606" s="79"/>
      <c r="U606" s="79"/>
      <c r="V606" s="79"/>
      <c r="W606" s="78"/>
    </row>
    <row r="607" spans="3:23" ht="15.75" hidden="1" thickBot="1" x14ac:dyDescent="0.3">
      <c r="C607" s="62">
        <f t="shared" si="394"/>
        <v>0</v>
      </c>
      <c r="D607" s="81" t="s">
        <v>94</v>
      </c>
      <c r="E607" s="80"/>
      <c r="F607" s="79"/>
      <c r="G607" s="79"/>
      <c r="H607" s="79"/>
      <c r="I607" s="79"/>
      <c r="J607" s="79"/>
      <c r="K607" s="79"/>
      <c r="L607" s="79"/>
      <c r="M607" s="79"/>
      <c r="N607" s="79"/>
      <c r="O607" s="79"/>
      <c r="P607" s="79"/>
      <c r="Q607" s="79"/>
      <c r="R607" s="79"/>
      <c r="S607" s="79"/>
      <c r="T607" s="79"/>
      <c r="U607" s="79"/>
      <c r="V607" s="79"/>
      <c r="W607" s="78"/>
    </row>
    <row r="608" spans="3:23" ht="15.75" hidden="1" thickBot="1" x14ac:dyDescent="0.3">
      <c r="C608" s="62">
        <f t="shared" si="394"/>
        <v>0</v>
      </c>
      <c r="D608" s="268" t="s">
        <v>93</v>
      </c>
      <c r="E608" s="76" t="s">
        <v>155</v>
      </c>
      <c r="F608" s="75">
        <f t="shared" ref="F608:T608" si="395">+F$8*$E603</f>
        <v>0</v>
      </c>
      <c r="G608" s="75">
        <f t="shared" si="395"/>
        <v>0</v>
      </c>
      <c r="H608" s="75">
        <f t="shared" si="395"/>
        <v>0</v>
      </c>
      <c r="I608" s="75">
        <f t="shared" si="395"/>
        <v>0</v>
      </c>
      <c r="J608" s="75">
        <f t="shared" si="395"/>
        <v>0</v>
      </c>
      <c r="K608" s="75">
        <f t="shared" si="395"/>
        <v>0</v>
      </c>
      <c r="L608" s="75">
        <f t="shared" si="395"/>
        <v>0</v>
      </c>
      <c r="M608" s="75">
        <f t="shared" ca="1" si="395"/>
        <v>0</v>
      </c>
      <c r="N608" s="75">
        <f t="shared" ca="1" si="395"/>
        <v>0</v>
      </c>
      <c r="O608" s="75">
        <f t="shared" si="395"/>
        <v>0</v>
      </c>
      <c r="P608" s="75">
        <f t="shared" si="395"/>
        <v>0</v>
      </c>
      <c r="Q608" s="75">
        <f t="shared" si="395"/>
        <v>0</v>
      </c>
      <c r="R608" s="75">
        <f t="shared" si="395"/>
        <v>0</v>
      </c>
      <c r="S608" s="75">
        <f t="shared" si="395"/>
        <v>0</v>
      </c>
      <c r="T608" s="75">
        <f t="shared" si="395"/>
        <v>0</v>
      </c>
      <c r="U608" s="73">
        <f t="shared" ref="U608:U610" si="396">+R608+O608+L608+I608+F608</f>
        <v>0</v>
      </c>
      <c r="V608" s="72">
        <f t="shared" ref="V608:V610" ca="1" si="397">+S608+P608+M608+J608+G608</f>
        <v>0</v>
      </c>
      <c r="W608" s="72">
        <f t="shared" ref="W608:W610" ca="1" si="398">+T608+Q608+N608+K608+H608</f>
        <v>0</v>
      </c>
    </row>
    <row r="609" spans="3:23" ht="15.75" hidden="1" thickBot="1" x14ac:dyDescent="0.3">
      <c r="C609" s="62">
        <f t="shared" si="394"/>
        <v>0</v>
      </c>
      <c r="D609" s="268" t="s">
        <v>92</v>
      </c>
      <c r="E609" s="76" t="s">
        <v>156</v>
      </c>
      <c r="F609" s="75">
        <f t="shared" ref="F609:T609" si="399">+F$9*$E603</f>
        <v>0</v>
      </c>
      <c r="G609" s="75">
        <f t="shared" si="399"/>
        <v>0</v>
      </c>
      <c r="H609" s="75">
        <f t="shared" si="399"/>
        <v>0</v>
      </c>
      <c r="I609" s="75">
        <f t="shared" si="399"/>
        <v>0</v>
      </c>
      <c r="J609" s="75">
        <f t="shared" si="399"/>
        <v>0</v>
      </c>
      <c r="K609" s="75">
        <f t="shared" si="399"/>
        <v>0</v>
      </c>
      <c r="L609" s="75">
        <f t="shared" si="399"/>
        <v>0</v>
      </c>
      <c r="M609" s="75">
        <f t="shared" si="399"/>
        <v>0</v>
      </c>
      <c r="N609" s="75">
        <f t="shared" si="399"/>
        <v>0</v>
      </c>
      <c r="O609" s="75">
        <f t="shared" si="399"/>
        <v>0</v>
      </c>
      <c r="P609" s="75">
        <f t="shared" si="399"/>
        <v>0</v>
      </c>
      <c r="Q609" s="75">
        <f t="shared" si="399"/>
        <v>0</v>
      </c>
      <c r="R609" s="75">
        <f t="shared" si="399"/>
        <v>0</v>
      </c>
      <c r="S609" s="75">
        <f t="shared" si="399"/>
        <v>0</v>
      </c>
      <c r="T609" s="75">
        <f t="shared" si="399"/>
        <v>0</v>
      </c>
      <c r="U609" s="73">
        <f t="shared" si="396"/>
        <v>0</v>
      </c>
      <c r="V609" s="72">
        <f t="shared" si="397"/>
        <v>0</v>
      </c>
      <c r="W609" s="72">
        <f t="shared" si="398"/>
        <v>0</v>
      </c>
    </row>
    <row r="610" spans="3:23" ht="15.75" hidden="1" thickBot="1" x14ac:dyDescent="0.3">
      <c r="C610" s="62">
        <f t="shared" si="394"/>
        <v>0</v>
      </c>
      <c r="D610" s="268" t="s">
        <v>91</v>
      </c>
      <c r="E610" s="76" t="s">
        <v>157</v>
      </c>
      <c r="F610" s="75">
        <f t="shared" ref="F610:T610" si="400">+F$10*$E603</f>
        <v>0</v>
      </c>
      <c r="G610" s="75">
        <f t="shared" si="400"/>
        <v>0</v>
      </c>
      <c r="H610" s="75">
        <f t="shared" si="400"/>
        <v>0</v>
      </c>
      <c r="I610" s="75">
        <f t="shared" si="400"/>
        <v>0</v>
      </c>
      <c r="J610" s="75">
        <f t="shared" si="400"/>
        <v>0</v>
      </c>
      <c r="K610" s="75">
        <f t="shared" si="400"/>
        <v>0</v>
      </c>
      <c r="L610" s="75">
        <f t="shared" si="400"/>
        <v>0</v>
      </c>
      <c r="M610" s="75">
        <f t="shared" ca="1" si="400"/>
        <v>0</v>
      </c>
      <c r="N610" s="75">
        <f t="shared" si="400"/>
        <v>0</v>
      </c>
      <c r="O610" s="75">
        <f t="shared" si="400"/>
        <v>0</v>
      </c>
      <c r="P610" s="75">
        <f t="shared" si="400"/>
        <v>0</v>
      </c>
      <c r="Q610" s="75">
        <f t="shared" si="400"/>
        <v>0</v>
      </c>
      <c r="R610" s="75">
        <f t="shared" si="400"/>
        <v>0</v>
      </c>
      <c r="S610" s="75">
        <f t="shared" si="400"/>
        <v>0</v>
      </c>
      <c r="T610" s="75">
        <f t="shared" si="400"/>
        <v>0</v>
      </c>
      <c r="U610" s="73">
        <f t="shared" si="396"/>
        <v>0</v>
      </c>
      <c r="V610" s="72">
        <f t="shared" ca="1" si="397"/>
        <v>0</v>
      </c>
      <c r="W610" s="72">
        <f t="shared" si="398"/>
        <v>0</v>
      </c>
    </row>
    <row r="611" spans="3:23" ht="15.75" hidden="1" thickBot="1" x14ac:dyDescent="0.3">
      <c r="C611" s="62">
        <f t="shared" si="394"/>
        <v>0</v>
      </c>
      <c r="D611" s="71" t="s">
        <v>48</v>
      </c>
      <c r="E611" s="70" t="s">
        <v>158</v>
      </c>
      <c r="F611" s="68">
        <f t="shared" ref="F611:W611" si="401">SUBTOTAL(9,F608:F610)</f>
        <v>0</v>
      </c>
      <c r="G611" s="68">
        <f t="shared" si="401"/>
        <v>0</v>
      </c>
      <c r="H611" s="68">
        <f t="shared" si="401"/>
        <v>0</v>
      </c>
      <c r="I611" s="69">
        <f t="shared" si="401"/>
        <v>0</v>
      </c>
      <c r="J611" s="68">
        <f t="shared" si="401"/>
        <v>0</v>
      </c>
      <c r="K611" s="68">
        <f t="shared" si="401"/>
        <v>0</v>
      </c>
      <c r="L611" s="69">
        <f t="shared" si="401"/>
        <v>0</v>
      </c>
      <c r="M611" s="68">
        <f t="shared" si="401"/>
        <v>0</v>
      </c>
      <c r="N611" s="68">
        <f t="shared" si="401"/>
        <v>0</v>
      </c>
      <c r="O611" s="69">
        <f t="shared" si="401"/>
        <v>0</v>
      </c>
      <c r="P611" s="68">
        <f t="shared" si="401"/>
        <v>0</v>
      </c>
      <c r="Q611" s="68">
        <f t="shared" si="401"/>
        <v>0</v>
      </c>
      <c r="R611" s="69">
        <f t="shared" si="401"/>
        <v>0</v>
      </c>
      <c r="S611" s="68">
        <f t="shared" si="401"/>
        <v>0</v>
      </c>
      <c r="T611" s="68">
        <f t="shared" si="401"/>
        <v>0</v>
      </c>
      <c r="U611" s="69">
        <f t="shared" si="401"/>
        <v>0</v>
      </c>
      <c r="V611" s="68">
        <f t="shared" si="401"/>
        <v>0</v>
      </c>
      <c r="W611" s="68">
        <f t="shared" si="401"/>
        <v>0</v>
      </c>
    </row>
    <row r="612" spans="3:23" ht="15.75" hidden="1" thickBot="1" x14ac:dyDescent="0.3"/>
    <row r="613" spans="3:23" x14ac:dyDescent="0.25">
      <c r="C613" s="62">
        <f>IF(E613&gt;0,1,0)</f>
        <v>1</v>
      </c>
      <c r="D613" s="936" t="str">
        <f>+A64</f>
        <v>Westchester</v>
      </c>
      <c r="E613" s="938">
        <f>SUMIF(A:A,D613,B:B)</f>
        <v>3.234950600513449E-2</v>
      </c>
      <c r="F613" s="940" t="s">
        <v>103</v>
      </c>
      <c r="G613" s="941"/>
      <c r="H613" s="942"/>
      <c r="I613" s="940" t="s">
        <v>102</v>
      </c>
      <c r="J613" s="941"/>
      <c r="K613" s="942"/>
      <c r="L613" s="940" t="s">
        <v>101</v>
      </c>
      <c r="M613" s="941"/>
      <c r="N613" s="942"/>
      <c r="O613" s="940" t="s">
        <v>100</v>
      </c>
      <c r="P613" s="941"/>
      <c r="Q613" s="942"/>
      <c r="R613" s="940" t="s">
        <v>99</v>
      </c>
      <c r="S613" s="941"/>
      <c r="T613" s="942"/>
      <c r="U613" s="940" t="s">
        <v>98</v>
      </c>
      <c r="V613" s="941"/>
      <c r="W613" s="943"/>
    </row>
    <row r="614" spans="3:23" ht="30" x14ac:dyDescent="0.25">
      <c r="C614" s="62">
        <f>IF(E613&gt;0,1,0)</f>
        <v>1</v>
      </c>
      <c r="D614" s="937"/>
      <c r="E614" s="939"/>
      <c r="F614" s="88" t="s">
        <v>97</v>
      </c>
      <c r="G614" s="88" t="s">
        <v>96</v>
      </c>
      <c r="H614" s="88" t="s">
        <v>95</v>
      </c>
      <c r="I614" s="88" t="s">
        <v>97</v>
      </c>
      <c r="J614" s="88" t="s">
        <v>96</v>
      </c>
      <c r="K614" s="88" t="s">
        <v>95</v>
      </c>
      <c r="L614" s="88" t="s">
        <v>97</v>
      </c>
      <c r="M614" s="88" t="s">
        <v>96</v>
      </c>
      <c r="N614" s="88" t="s">
        <v>95</v>
      </c>
      <c r="O614" s="88" t="s">
        <v>97</v>
      </c>
      <c r="P614" s="88" t="s">
        <v>96</v>
      </c>
      <c r="Q614" s="88" t="s">
        <v>95</v>
      </c>
      <c r="R614" s="88" t="s">
        <v>97</v>
      </c>
      <c r="S614" s="88" t="s">
        <v>96</v>
      </c>
      <c r="T614" s="88" t="s">
        <v>95</v>
      </c>
      <c r="U614" s="88" t="s">
        <v>97</v>
      </c>
      <c r="V614" s="88" t="s">
        <v>96</v>
      </c>
      <c r="W614" s="87" t="s">
        <v>95</v>
      </c>
    </row>
    <row r="615" spans="3:23" x14ac:dyDescent="0.25">
      <c r="C615" s="62">
        <f>C614</f>
        <v>1</v>
      </c>
      <c r="D615" s="86"/>
      <c r="E615" s="85"/>
      <c r="F615" s="84" t="s">
        <v>57</v>
      </c>
      <c r="G615" s="84" t="s">
        <v>56</v>
      </c>
      <c r="H615" s="84" t="s">
        <v>55</v>
      </c>
      <c r="I615" s="84" t="s">
        <v>54</v>
      </c>
      <c r="J615" s="84" t="s">
        <v>53</v>
      </c>
      <c r="K615" s="84" t="s">
        <v>52</v>
      </c>
      <c r="L615" s="84" t="s">
        <v>51</v>
      </c>
      <c r="M615" s="84" t="s">
        <v>50</v>
      </c>
      <c r="N615" s="84" t="s">
        <v>49</v>
      </c>
      <c r="O615" s="84" t="s">
        <v>47</v>
      </c>
      <c r="P615" s="84" t="s">
        <v>77</v>
      </c>
      <c r="Q615" s="84" t="s">
        <v>78</v>
      </c>
      <c r="R615" s="84" t="s">
        <v>79</v>
      </c>
      <c r="S615" s="84" t="s">
        <v>81</v>
      </c>
      <c r="T615" s="84" t="s">
        <v>83</v>
      </c>
      <c r="U615" s="84" t="s">
        <v>85</v>
      </c>
      <c r="V615" s="84" t="s">
        <v>87</v>
      </c>
      <c r="W615" s="83" t="s">
        <v>88</v>
      </c>
    </row>
    <row r="616" spans="3:23" x14ac:dyDescent="0.25">
      <c r="C616" s="62">
        <f t="shared" ref="C616:C621" si="402">C615</f>
        <v>1</v>
      </c>
      <c r="D616" s="82" t="s">
        <v>26</v>
      </c>
      <c r="E616" s="80"/>
      <c r="F616" s="79"/>
      <c r="G616" s="79"/>
      <c r="H616" s="79"/>
      <c r="I616" s="79"/>
      <c r="J616" s="79"/>
      <c r="K616" s="79"/>
      <c r="L616" s="79"/>
      <c r="M616" s="79"/>
      <c r="N616" s="79"/>
      <c r="O616" s="79"/>
      <c r="P616" s="79"/>
      <c r="Q616" s="79"/>
      <c r="R616" s="79"/>
      <c r="S616" s="79"/>
      <c r="T616" s="79"/>
      <c r="U616" s="79"/>
      <c r="V616" s="79"/>
      <c r="W616" s="78"/>
    </row>
    <row r="617" spans="3:23" x14ac:dyDescent="0.25">
      <c r="C617" s="62">
        <f t="shared" si="402"/>
        <v>1</v>
      </c>
      <c r="D617" s="81" t="s">
        <v>94</v>
      </c>
      <c r="E617" s="80"/>
      <c r="F617" s="79"/>
      <c r="G617" s="79"/>
      <c r="H617" s="79"/>
      <c r="I617" s="79"/>
      <c r="J617" s="79"/>
      <c r="K617" s="79"/>
      <c r="L617" s="79"/>
      <c r="M617" s="79"/>
      <c r="N617" s="79"/>
      <c r="O617" s="79"/>
      <c r="P617" s="79"/>
      <c r="Q617" s="79"/>
      <c r="R617" s="79"/>
      <c r="S617" s="79"/>
      <c r="T617" s="79"/>
      <c r="U617" s="79"/>
      <c r="V617" s="79"/>
      <c r="W617" s="78"/>
    </row>
    <row r="618" spans="3:23" x14ac:dyDescent="0.25">
      <c r="C618" s="62">
        <f t="shared" si="402"/>
        <v>1</v>
      </c>
      <c r="D618" s="268" t="s">
        <v>93</v>
      </c>
      <c r="E618" s="76" t="s">
        <v>155</v>
      </c>
      <c r="F618" s="75">
        <f t="shared" ref="F618:T618" si="403">+F$8*$E613</f>
        <v>0</v>
      </c>
      <c r="G618" s="75">
        <f t="shared" si="403"/>
        <v>0</v>
      </c>
      <c r="H618" s="75">
        <f t="shared" si="403"/>
        <v>0</v>
      </c>
      <c r="I618" s="75">
        <f t="shared" si="403"/>
        <v>0</v>
      </c>
      <c r="J618" s="75">
        <f t="shared" si="403"/>
        <v>0</v>
      </c>
      <c r="K618" s="75">
        <f t="shared" si="403"/>
        <v>0</v>
      </c>
      <c r="L618" s="75">
        <f t="shared" si="403"/>
        <v>112.79724777574496</v>
      </c>
      <c r="M618" s="75">
        <f t="shared" ca="1" si="403"/>
        <v>4568589.839886955</v>
      </c>
      <c r="N618" s="75">
        <f t="shared" ca="1" si="403"/>
        <v>108617.19049852683</v>
      </c>
      <c r="O618" s="75">
        <f t="shared" si="403"/>
        <v>0</v>
      </c>
      <c r="P618" s="75">
        <f t="shared" si="403"/>
        <v>0</v>
      </c>
      <c r="Q618" s="75">
        <f t="shared" si="403"/>
        <v>0</v>
      </c>
      <c r="R618" s="75">
        <f t="shared" si="403"/>
        <v>0</v>
      </c>
      <c r="S618" s="75">
        <f t="shared" si="403"/>
        <v>0</v>
      </c>
      <c r="T618" s="75">
        <f t="shared" si="403"/>
        <v>0</v>
      </c>
      <c r="U618" s="73">
        <f t="shared" ref="U618:U620" si="404">+R618+O618+L618+I618+F618</f>
        <v>112.79724777574496</v>
      </c>
      <c r="V618" s="72">
        <f t="shared" ref="V618:V620" ca="1" si="405">+S618+P618+M618+J618+G618</f>
        <v>4568589.839886955</v>
      </c>
      <c r="W618" s="72">
        <f t="shared" ref="W618:W620" ca="1" si="406">+T618+Q618+N618+K618+H618</f>
        <v>108617.19049852683</v>
      </c>
    </row>
    <row r="619" spans="3:23" x14ac:dyDescent="0.25">
      <c r="C619" s="62">
        <f t="shared" si="402"/>
        <v>1</v>
      </c>
      <c r="D619" s="268" t="s">
        <v>92</v>
      </c>
      <c r="E619" s="76" t="s">
        <v>156</v>
      </c>
      <c r="F619" s="75">
        <f t="shared" ref="F619:T619" si="407">+F$9*$E613</f>
        <v>0</v>
      </c>
      <c r="G619" s="75">
        <f t="shared" si="407"/>
        <v>0</v>
      </c>
      <c r="H619" s="75">
        <f t="shared" si="407"/>
        <v>0</v>
      </c>
      <c r="I619" s="75">
        <f t="shared" si="407"/>
        <v>0</v>
      </c>
      <c r="J619" s="75">
        <f t="shared" si="407"/>
        <v>0</v>
      </c>
      <c r="K619" s="75">
        <f t="shared" si="407"/>
        <v>0</v>
      </c>
      <c r="L619" s="75">
        <f t="shared" si="407"/>
        <v>0</v>
      </c>
      <c r="M619" s="75">
        <f t="shared" si="407"/>
        <v>0</v>
      </c>
      <c r="N619" s="75">
        <f t="shared" si="407"/>
        <v>0</v>
      </c>
      <c r="O619" s="75">
        <f t="shared" si="407"/>
        <v>0</v>
      </c>
      <c r="P619" s="75">
        <f t="shared" si="407"/>
        <v>0</v>
      </c>
      <c r="Q619" s="75">
        <f t="shared" si="407"/>
        <v>0</v>
      </c>
      <c r="R619" s="75">
        <f t="shared" si="407"/>
        <v>0</v>
      </c>
      <c r="S619" s="75">
        <f t="shared" si="407"/>
        <v>0</v>
      </c>
      <c r="T619" s="75">
        <f t="shared" si="407"/>
        <v>0</v>
      </c>
      <c r="U619" s="73">
        <f t="shared" si="404"/>
        <v>0</v>
      </c>
      <c r="V619" s="72">
        <f t="shared" si="405"/>
        <v>0</v>
      </c>
      <c r="W619" s="72">
        <f t="shared" si="406"/>
        <v>0</v>
      </c>
    </row>
    <row r="620" spans="3:23" x14ac:dyDescent="0.25">
      <c r="C620" s="62">
        <f t="shared" si="402"/>
        <v>1</v>
      </c>
      <c r="D620" s="268" t="s">
        <v>91</v>
      </c>
      <c r="E620" s="76" t="s">
        <v>157</v>
      </c>
      <c r="F620" s="75">
        <f t="shared" ref="F620:T620" si="408">+F$10*$E613</f>
        <v>0</v>
      </c>
      <c r="G620" s="75">
        <f t="shared" si="408"/>
        <v>0</v>
      </c>
      <c r="H620" s="75">
        <f t="shared" si="408"/>
        <v>0</v>
      </c>
      <c r="I620" s="75">
        <f t="shared" si="408"/>
        <v>0</v>
      </c>
      <c r="J620" s="75">
        <f t="shared" si="408"/>
        <v>0</v>
      </c>
      <c r="K620" s="75">
        <f t="shared" si="408"/>
        <v>0</v>
      </c>
      <c r="L620" s="75">
        <f t="shared" si="408"/>
        <v>0.14096530531444121</v>
      </c>
      <c r="M620" s="75">
        <f t="shared" ca="1" si="408"/>
        <v>38045.768770048599</v>
      </c>
      <c r="N620" s="75">
        <f t="shared" si="408"/>
        <v>0</v>
      </c>
      <c r="O620" s="75">
        <f t="shared" si="408"/>
        <v>0</v>
      </c>
      <c r="P620" s="75">
        <f t="shared" si="408"/>
        <v>0</v>
      </c>
      <c r="Q620" s="75">
        <f t="shared" si="408"/>
        <v>0</v>
      </c>
      <c r="R620" s="75">
        <f t="shared" si="408"/>
        <v>0</v>
      </c>
      <c r="S620" s="75">
        <f t="shared" si="408"/>
        <v>0</v>
      </c>
      <c r="T620" s="75">
        <f t="shared" si="408"/>
        <v>0</v>
      </c>
      <c r="U620" s="73">
        <f t="shared" si="404"/>
        <v>0.14096530531444121</v>
      </c>
      <c r="V620" s="72">
        <f t="shared" ca="1" si="405"/>
        <v>38045.768770048599</v>
      </c>
      <c r="W620" s="72">
        <f t="shared" si="406"/>
        <v>0</v>
      </c>
    </row>
    <row r="621" spans="3:23" ht="15.75" thickBot="1" x14ac:dyDescent="0.3">
      <c r="C621" s="62">
        <f t="shared" si="402"/>
        <v>1</v>
      </c>
      <c r="D621" s="71" t="s">
        <v>48</v>
      </c>
      <c r="E621" s="70" t="s">
        <v>158</v>
      </c>
      <c r="F621" s="68">
        <f t="shared" ref="F621:W621" si="409">SUBTOTAL(9,F618:F620)</f>
        <v>0</v>
      </c>
      <c r="G621" s="68">
        <f t="shared" si="409"/>
        <v>0</v>
      </c>
      <c r="H621" s="68">
        <f t="shared" si="409"/>
        <v>0</v>
      </c>
      <c r="I621" s="69">
        <f t="shared" si="409"/>
        <v>0</v>
      </c>
      <c r="J621" s="68">
        <f t="shared" si="409"/>
        <v>0</v>
      </c>
      <c r="K621" s="68">
        <f t="shared" si="409"/>
        <v>0</v>
      </c>
      <c r="L621" s="69">
        <f t="shared" si="409"/>
        <v>112.9382130810594</v>
      </c>
      <c r="M621" s="68">
        <f t="shared" ca="1" si="409"/>
        <v>4606635.6086570034</v>
      </c>
      <c r="N621" s="68">
        <f t="shared" ca="1" si="409"/>
        <v>108617.19049852683</v>
      </c>
      <c r="O621" s="69">
        <f t="shared" si="409"/>
        <v>0</v>
      </c>
      <c r="P621" s="68">
        <f t="shared" si="409"/>
        <v>0</v>
      </c>
      <c r="Q621" s="68">
        <f t="shared" si="409"/>
        <v>0</v>
      </c>
      <c r="R621" s="69">
        <f t="shared" si="409"/>
        <v>0</v>
      </c>
      <c r="S621" s="68">
        <f t="shared" si="409"/>
        <v>0</v>
      </c>
      <c r="T621" s="68">
        <f t="shared" si="409"/>
        <v>0</v>
      </c>
      <c r="U621" s="69">
        <f t="shared" si="409"/>
        <v>112.9382130810594</v>
      </c>
      <c r="V621" s="68">
        <f t="shared" ca="1" si="409"/>
        <v>4606635.6086570034</v>
      </c>
      <c r="W621" s="68">
        <f t="shared" ca="1" si="409"/>
        <v>108617.19049852683</v>
      </c>
    </row>
    <row r="622" spans="3:23" hidden="1" x14ac:dyDescent="0.25"/>
    <row r="623" spans="3:23" hidden="1" x14ac:dyDescent="0.25">
      <c r="C623" s="62">
        <f>IF(E623&gt;0,1,0)</f>
        <v>0</v>
      </c>
      <c r="D623" s="936" t="str">
        <f>+A65</f>
        <v>Wyoming</v>
      </c>
      <c r="E623" s="938">
        <f>SUMIF(A:A,D623,B:B)</f>
        <v>0</v>
      </c>
      <c r="F623" s="940" t="s">
        <v>103</v>
      </c>
      <c r="G623" s="941"/>
      <c r="H623" s="942"/>
      <c r="I623" s="940" t="s">
        <v>102</v>
      </c>
      <c r="J623" s="941"/>
      <c r="K623" s="942"/>
      <c r="L623" s="940" t="s">
        <v>101</v>
      </c>
      <c r="M623" s="941"/>
      <c r="N623" s="942"/>
      <c r="O623" s="940" t="s">
        <v>100</v>
      </c>
      <c r="P623" s="941"/>
      <c r="Q623" s="942"/>
      <c r="R623" s="940" t="s">
        <v>99</v>
      </c>
      <c r="S623" s="941"/>
      <c r="T623" s="942"/>
      <c r="U623" s="940" t="s">
        <v>98</v>
      </c>
      <c r="V623" s="941"/>
      <c r="W623" s="943"/>
    </row>
    <row r="624" spans="3:23" ht="30" hidden="1" x14ac:dyDescent="0.25">
      <c r="C624" s="62">
        <f>IF(E623&gt;0,1,0)</f>
        <v>0</v>
      </c>
      <c r="D624" s="937"/>
      <c r="E624" s="939"/>
      <c r="F624" s="88" t="s">
        <v>97</v>
      </c>
      <c r="G624" s="88" t="s">
        <v>96</v>
      </c>
      <c r="H624" s="88" t="s">
        <v>95</v>
      </c>
      <c r="I624" s="88" t="s">
        <v>97</v>
      </c>
      <c r="J624" s="88" t="s">
        <v>96</v>
      </c>
      <c r="K624" s="88" t="s">
        <v>95</v>
      </c>
      <c r="L624" s="88" t="s">
        <v>97</v>
      </c>
      <c r="M624" s="88" t="s">
        <v>96</v>
      </c>
      <c r="N624" s="88" t="s">
        <v>95</v>
      </c>
      <c r="O624" s="88" t="s">
        <v>97</v>
      </c>
      <c r="P624" s="88" t="s">
        <v>96</v>
      </c>
      <c r="Q624" s="88" t="s">
        <v>95</v>
      </c>
      <c r="R624" s="88" t="s">
        <v>97</v>
      </c>
      <c r="S624" s="88" t="s">
        <v>96</v>
      </c>
      <c r="T624" s="88" t="s">
        <v>95</v>
      </c>
      <c r="U624" s="88" t="s">
        <v>97</v>
      </c>
      <c r="V624" s="88" t="s">
        <v>96</v>
      </c>
      <c r="W624" s="87" t="s">
        <v>95</v>
      </c>
    </row>
    <row r="625" spans="3:23" hidden="1" x14ac:dyDescent="0.25">
      <c r="C625" s="62">
        <f>C624</f>
        <v>0</v>
      </c>
      <c r="D625" s="86"/>
      <c r="E625" s="85"/>
      <c r="F625" s="84" t="s">
        <v>57</v>
      </c>
      <c r="G625" s="84" t="s">
        <v>56</v>
      </c>
      <c r="H625" s="84" t="s">
        <v>55</v>
      </c>
      <c r="I625" s="84" t="s">
        <v>54</v>
      </c>
      <c r="J625" s="84" t="s">
        <v>53</v>
      </c>
      <c r="K625" s="84" t="s">
        <v>52</v>
      </c>
      <c r="L625" s="84" t="s">
        <v>51</v>
      </c>
      <c r="M625" s="84" t="s">
        <v>50</v>
      </c>
      <c r="N625" s="84" t="s">
        <v>49</v>
      </c>
      <c r="O625" s="84" t="s">
        <v>47</v>
      </c>
      <c r="P625" s="84" t="s">
        <v>77</v>
      </c>
      <c r="Q625" s="84" t="s">
        <v>78</v>
      </c>
      <c r="R625" s="84" t="s">
        <v>79</v>
      </c>
      <c r="S625" s="84" t="s">
        <v>81</v>
      </c>
      <c r="T625" s="84" t="s">
        <v>83</v>
      </c>
      <c r="U625" s="84" t="s">
        <v>85</v>
      </c>
      <c r="V625" s="84" t="s">
        <v>87</v>
      </c>
      <c r="W625" s="83" t="s">
        <v>88</v>
      </c>
    </row>
    <row r="626" spans="3:23" hidden="1" x14ac:dyDescent="0.25">
      <c r="C626" s="62">
        <f t="shared" ref="C626:C631" si="410">C625</f>
        <v>0</v>
      </c>
      <c r="D626" s="82" t="s">
        <v>26</v>
      </c>
      <c r="E626" s="80"/>
      <c r="F626" s="79"/>
      <c r="G626" s="79"/>
      <c r="H626" s="79"/>
      <c r="I626" s="79"/>
      <c r="J626" s="79"/>
      <c r="K626" s="79"/>
      <c r="L626" s="79"/>
      <c r="M626" s="79"/>
      <c r="N626" s="79"/>
      <c r="O626" s="79"/>
      <c r="P626" s="79"/>
      <c r="Q626" s="79"/>
      <c r="R626" s="79"/>
      <c r="S626" s="79"/>
      <c r="T626" s="79"/>
      <c r="U626" s="79"/>
      <c r="V626" s="79"/>
      <c r="W626" s="78"/>
    </row>
    <row r="627" spans="3:23" hidden="1" x14ac:dyDescent="0.25">
      <c r="C627" s="62">
        <f t="shared" si="410"/>
        <v>0</v>
      </c>
      <c r="D627" s="81" t="s">
        <v>94</v>
      </c>
      <c r="E627" s="80"/>
      <c r="F627" s="79"/>
      <c r="G627" s="79"/>
      <c r="H627" s="79"/>
      <c r="I627" s="79"/>
      <c r="J627" s="79"/>
      <c r="K627" s="79"/>
      <c r="L627" s="79"/>
      <c r="M627" s="79"/>
      <c r="N627" s="79"/>
      <c r="O627" s="79"/>
      <c r="P627" s="79"/>
      <c r="Q627" s="79"/>
      <c r="R627" s="79"/>
      <c r="S627" s="79"/>
      <c r="T627" s="79"/>
      <c r="U627" s="79"/>
      <c r="V627" s="79"/>
      <c r="W627" s="78"/>
    </row>
    <row r="628" spans="3:23" hidden="1" x14ac:dyDescent="0.25">
      <c r="C628" s="62">
        <f t="shared" si="410"/>
        <v>0</v>
      </c>
      <c r="D628" s="268" t="s">
        <v>93</v>
      </c>
      <c r="E628" s="76" t="s">
        <v>155</v>
      </c>
      <c r="F628" s="75">
        <f t="shared" ref="F628:T628" si="411">+F$8*$E623</f>
        <v>0</v>
      </c>
      <c r="G628" s="75">
        <f t="shared" si="411"/>
        <v>0</v>
      </c>
      <c r="H628" s="75">
        <f t="shared" si="411"/>
        <v>0</v>
      </c>
      <c r="I628" s="75">
        <f t="shared" si="411"/>
        <v>0</v>
      </c>
      <c r="J628" s="75">
        <f t="shared" si="411"/>
        <v>0</v>
      </c>
      <c r="K628" s="75">
        <f t="shared" si="411"/>
        <v>0</v>
      </c>
      <c r="L628" s="75">
        <f t="shared" si="411"/>
        <v>0</v>
      </c>
      <c r="M628" s="75">
        <f t="shared" ca="1" si="411"/>
        <v>0</v>
      </c>
      <c r="N628" s="75">
        <f t="shared" ca="1" si="411"/>
        <v>0</v>
      </c>
      <c r="O628" s="75">
        <f t="shared" si="411"/>
        <v>0</v>
      </c>
      <c r="P628" s="75">
        <f t="shared" si="411"/>
        <v>0</v>
      </c>
      <c r="Q628" s="75">
        <f t="shared" si="411"/>
        <v>0</v>
      </c>
      <c r="R628" s="75">
        <f t="shared" si="411"/>
        <v>0</v>
      </c>
      <c r="S628" s="75">
        <f t="shared" si="411"/>
        <v>0</v>
      </c>
      <c r="T628" s="75">
        <f t="shared" si="411"/>
        <v>0</v>
      </c>
      <c r="U628" s="73">
        <f t="shared" ref="U628:U630" si="412">+R628+O628+L628+I628+F628</f>
        <v>0</v>
      </c>
      <c r="V628" s="72">
        <f t="shared" ref="V628:V630" ca="1" si="413">+S628+P628+M628+J628+G628</f>
        <v>0</v>
      </c>
      <c r="W628" s="72">
        <f t="shared" ref="W628:W630" ca="1" si="414">+T628+Q628+N628+K628+H628</f>
        <v>0</v>
      </c>
    </row>
    <row r="629" spans="3:23" hidden="1" x14ac:dyDescent="0.25">
      <c r="C629" s="62">
        <f t="shared" si="410"/>
        <v>0</v>
      </c>
      <c r="D629" s="268" t="s">
        <v>92</v>
      </c>
      <c r="E629" s="76" t="s">
        <v>156</v>
      </c>
      <c r="F629" s="75">
        <f t="shared" ref="F629:T629" si="415">+F$9*$E623</f>
        <v>0</v>
      </c>
      <c r="G629" s="75">
        <f t="shared" si="415"/>
        <v>0</v>
      </c>
      <c r="H629" s="75">
        <f t="shared" si="415"/>
        <v>0</v>
      </c>
      <c r="I629" s="75">
        <f t="shared" si="415"/>
        <v>0</v>
      </c>
      <c r="J629" s="75">
        <f t="shared" si="415"/>
        <v>0</v>
      </c>
      <c r="K629" s="75">
        <f t="shared" si="415"/>
        <v>0</v>
      </c>
      <c r="L629" s="75">
        <f t="shared" si="415"/>
        <v>0</v>
      </c>
      <c r="M629" s="75">
        <f t="shared" si="415"/>
        <v>0</v>
      </c>
      <c r="N629" s="75">
        <f t="shared" si="415"/>
        <v>0</v>
      </c>
      <c r="O629" s="75">
        <f t="shared" si="415"/>
        <v>0</v>
      </c>
      <c r="P629" s="75">
        <f t="shared" si="415"/>
        <v>0</v>
      </c>
      <c r="Q629" s="75">
        <f t="shared" si="415"/>
        <v>0</v>
      </c>
      <c r="R629" s="75">
        <f t="shared" si="415"/>
        <v>0</v>
      </c>
      <c r="S629" s="75">
        <f t="shared" si="415"/>
        <v>0</v>
      </c>
      <c r="T629" s="75">
        <f t="shared" si="415"/>
        <v>0</v>
      </c>
      <c r="U629" s="73">
        <f t="shared" si="412"/>
        <v>0</v>
      </c>
      <c r="V629" s="72">
        <f t="shared" si="413"/>
        <v>0</v>
      </c>
      <c r="W629" s="72">
        <f t="shared" si="414"/>
        <v>0</v>
      </c>
    </row>
    <row r="630" spans="3:23" hidden="1" x14ac:dyDescent="0.25">
      <c r="C630" s="62">
        <f t="shared" si="410"/>
        <v>0</v>
      </c>
      <c r="D630" s="268" t="s">
        <v>91</v>
      </c>
      <c r="E630" s="76" t="s">
        <v>157</v>
      </c>
      <c r="F630" s="75">
        <f t="shared" ref="F630:T630" si="416">+F$10*$E623</f>
        <v>0</v>
      </c>
      <c r="G630" s="75">
        <f t="shared" si="416"/>
        <v>0</v>
      </c>
      <c r="H630" s="75">
        <f t="shared" si="416"/>
        <v>0</v>
      </c>
      <c r="I630" s="75">
        <f t="shared" si="416"/>
        <v>0</v>
      </c>
      <c r="J630" s="75">
        <f t="shared" si="416"/>
        <v>0</v>
      </c>
      <c r="K630" s="75">
        <f t="shared" si="416"/>
        <v>0</v>
      </c>
      <c r="L630" s="75">
        <f t="shared" si="416"/>
        <v>0</v>
      </c>
      <c r="M630" s="75">
        <f t="shared" ca="1" si="416"/>
        <v>0</v>
      </c>
      <c r="N630" s="75">
        <f t="shared" si="416"/>
        <v>0</v>
      </c>
      <c r="O630" s="75">
        <f t="shared" si="416"/>
        <v>0</v>
      </c>
      <c r="P630" s="75">
        <f t="shared" si="416"/>
        <v>0</v>
      </c>
      <c r="Q630" s="75">
        <f t="shared" si="416"/>
        <v>0</v>
      </c>
      <c r="R630" s="75">
        <f t="shared" si="416"/>
        <v>0</v>
      </c>
      <c r="S630" s="75">
        <f t="shared" si="416"/>
        <v>0</v>
      </c>
      <c r="T630" s="75">
        <f t="shared" si="416"/>
        <v>0</v>
      </c>
      <c r="U630" s="73">
        <f t="shared" si="412"/>
        <v>0</v>
      </c>
      <c r="V630" s="72">
        <f t="shared" ca="1" si="413"/>
        <v>0</v>
      </c>
      <c r="W630" s="72">
        <f t="shared" si="414"/>
        <v>0</v>
      </c>
    </row>
    <row r="631" spans="3:23" ht="15.75" hidden="1" thickBot="1" x14ac:dyDescent="0.3">
      <c r="C631" s="62">
        <f t="shared" si="410"/>
        <v>0</v>
      </c>
      <c r="D631" s="71" t="s">
        <v>48</v>
      </c>
      <c r="E631" s="70" t="s">
        <v>158</v>
      </c>
      <c r="F631" s="68">
        <f t="shared" ref="F631:W631" si="417">SUBTOTAL(9,F628:F630)</f>
        <v>0</v>
      </c>
      <c r="G631" s="68">
        <f t="shared" si="417"/>
        <v>0</v>
      </c>
      <c r="H631" s="68">
        <f t="shared" si="417"/>
        <v>0</v>
      </c>
      <c r="I631" s="69">
        <f t="shared" si="417"/>
        <v>0</v>
      </c>
      <c r="J631" s="68">
        <f t="shared" si="417"/>
        <v>0</v>
      </c>
      <c r="K631" s="68">
        <f t="shared" si="417"/>
        <v>0</v>
      </c>
      <c r="L631" s="69">
        <f t="shared" si="417"/>
        <v>0</v>
      </c>
      <c r="M631" s="68">
        <f t="shared" si="417"/>
        <v>0</v>
      </c>
      <c r="N631" s="68">
        <f t="shared" si="417"/>
        <v>0</v>
      </c>
      <c r="O631" s="69">
        <f t="shared" si="417"/>
        <v>0</v>
      </c>
      <c r="P631" s="68">
        <f t="shared" si="417"/>
        <v>0</v>
      </c>
      <c r="Q631" s="68">
        <f t="shared" si="417"/>
        <v>0</v>
      </c>
      <c r="R631" s="69">
        <f t="shared" si="417"/>
        <v>0</v>
      </c>
      <c r="S631" s="68">
        <f t="shared" si="417"/>
        <v>0</v>
      </c>
      <c r="T631" s="68">
        <f t="shared" si="417"/>
        <v>0</v>
      </c>
      <c r="U631" s="69">
        <f t="shared" si="417"/>
        <v>0</v>
      </c>
      <c r="V631" s="68">
        <f t="shared" si="417"/>
        <v>0</v>
      </c>
      <c r="W631" s="68">
        <f t="shared" si="417"/>
        <v>0</v>
      </c>
    </row>
    <row r="632" spans="3:23" hidden="1" x14ac:dyDescent="0.25"/>
    <row r="633" spans="3:23" hidden="1" x14ac:dyDescent="0.25">
      <c r="C633" s="62">
        <f>IF(E633&gt;0,1,0)</f>
        <v>0</v>
      </c>
      <c r="D633" s="936" t="str">
        <f>+A66</f>
        <v>Yates</v>
      </c>
      <c r="E633" s="938">
        <f>SUMIF(A:A,D633,B:B)</f>
        <v>0</v>
      </c>
      <c r="F633" s="940" t="s">
        <v>103</v>
      </c>
      <c r="G633" s="941"/>
      <c r="H633" s="942"/>
      <c r="I633" s="940" t="s">
        <v>102</v>
      </c>
      <c r="J633" s="941"/>
      <c r="K633" s="942"/>
      <c r="L633" s="940" t="s">
        <v>101</v>
      </c>
      <c r="M633" s="941"/>
      <c r="N633" s="942"/>
      <c r="O633" s="940" t="s">
        <v>100</v>
      </c>
      <c r="P633" s="941"/>
      <c r="Q633" s="942"/>
      <c r="R633" s="940" t="s">
        <v>99</v>
      </c>
      <c r="S633" s="941"/>
      <c r="T633" s="942"/>
      <c r="U633" s="940" t="s">
        <v>98</v>
      </c>
      <c r="V633" s="941"/>
      <c r="W633" s="943"/>
    </row>
    <row r="634" spans="3:23" ht="30" hidden="1" x14ac:dyDescent="0.25">
      <c r="C634" s="62">
        <f>IF(E633&gt;0,1,0)</f>
        <v>0</v>
      </c>
      <c r="D634" s="937"/>
      <c r="E634" s="939"/>
      <c r="F634" s="88" t="s">
        <v>97</v>
      </c>
      <c r="G634" s="88" t="s">
        <v>96</v>
      </c>
      <c r="H634" s="88" t="s">
        <v>95</v>
      </c>
      <c r="I634" s="88" t="s">
        <v>97</v>
      </c>
      <c r="J634" s="88" t="s">
        <v>96</v>
      </c>
      <c r="K634" s="88" t="s">
        <v>95</v>
      </c>
      <c r="L634" s="88" t="s">
        <v>97</v>
      </c>
      <c r="M634" s="88" t="s">
        <v>96</v>
      </c>
      <c r="N634" s="88" t="s">
        <v>95</v>
      </c>
      <c r="O634" s="88" t="s">
        <v>97</v>
      </c>
      <c r="P634" s="88" t="s">
        <v>96</v>
      </c>
      <c r="Q634" s="88" t="s">
        <v>95</v>
      </c>
      <c r="R634" s="88" t="s">
        <v>97</v>
      </c>
      <c r="S634" s="88" t="s">
        <v>96</v>
      </c>
      <c r="T634" s="88" t="s">
        <v>95</v>
      </c>
      <c r="U634" s="88" t="s">
        <v>97</v>
      </c>
      <c r="V634" s="88" t="s">
        <v>96</v>
      </c>
      <c r="W634" s="87" t="s">
        <v>95</v>
      </c>
    </row>
    <row r="635" spans="3:23" hidden="1" x14ac:dyDescent="0.25">
      <c r="C635" s="62">
        <f>C634</f>
        <v>0</v>
      </c>
      <c r="D635" s="86"/>
      <c r="E635" s="85"/>
      <c r="F635" s="84" t="s">
        <v>57</v>
      </c>
      <c r="G635" s="84" t="s">
        <v>56</v>
      </c>
      <c r="H635" s="84" t="s">
        <v>55</v>
      </c>
      <c r="I635" s="84" t="s">
        <v>54</v>
      </c>
      <c r="J635" s="84" t="s">
        <v>53</v>
      </c>
      <c r="K635" s="84" t="s">
        <v>52</v>
      </c>
      <c r="L635" s="84" t="s">
        <v>51</v>
      </c>
      <c r="M635" s="84" t="s">
        <v>50</v>
      </c>
      <c r="N635" s="84" t="s">
        <v>49</v>
      </c>
      <c r="O635" s="84" t="s">
        <v>47</v>
      </c>
      <c r="P635" s="84" t="s">
        <v>77</v>
      </c>
      <c r="Q635" s="84" t="s">
        <v>78</v>
      </c>
      <c r="R635" s="84" t="s">
        <v>79</v>
      </c>
      <c r="S635" s="84" t="s">
        <v>81</v>
      </c>
      <c r="T635" s="84" t="s">
        <v>83</v>
      </c>
      <c r="U635" s="84" t="s">
        <v>85</v>
      </c>
      <c r="V635" s="84" t="s">
        <v>87</v>
      </c>
      <c r="W635" s="83" t="s">
        <v>88</v>
      </c>
    </row>
    <row r="636" spans="3:23" hidden="1" x14ac:dyDescent="0.25">
      <c r="C636" s="62">
        <f t="shared" ref="C636:C641" si="418">C635</f>
        <v>0</v>
      </c>
      <c r="D636" s="82" t="s">
        <v>26</v>
      </c>
      <c r="E636" s="80"/>
      <c r="F636" s="79"/>
      <c r="G636" s="79"/>
      <c r="H636" s="79"/>
      <c r="I636" s="79"/>
      <c r="J636" s="79"/>
      <c r="K636" s="79"/>
      <c r="L636" s="79"/>
      <c r="M636" s="79"/>
      <c r="N636" s="79"/>
      <c r="O636" s="79"/>
      <c r="P636" s="79"/>
      <c r="Q636" s="79"/>
      <c r="R636" s="79"/>
      <c r="S636" s="79"/>
      <c r="T636" s="79"/>
      <c r="U636" s="79"/>
      <c r="V636" s="79"/>
      <c r="W636" s="78"/>
    </row>
    <row r="637" spans="3:23" hidden="1" x14ac:dyDescent="0.25">
      <c r="C637" s="62">
        <f t="shared" si="418"/>
        <v>0</v>
      </c>
      <c r="D637" s="81" t="s">
        <v>94</v>
      </c>
      <c r="E637" s="80"/>
      <c r="F637" s="79"/>
      <c r="G637" s="79"/>
      <c r="H637" s="79"/>
      <c r="I637" s="79"/>
      <c r="J637" s="79"/>
      <c r="K637" s="79"/>
      <c r="L637" s="79"/>
      <c r="M637" s="79"/>
      <c r="N637" s="79"/>
      <c r="O637" s="79"/>
      <c r="P637" s="79"/>
      <c r="Q637" s="79"/>
      <c r="R637" s="79"/>
      <c r="S637" s="79"/>
      <c r="T637" s="79"/>
      <c r="U637" s="79"/>
      <c r="V637" s="79"/>
      <c r="W637" s="78"/>
    </row>
    <row r="638" spans="3:23" hidden="1" x14ac:dyDescent="0.25">
      <c r="C638" s="62">
        <f t="shared" si="418"/>
        <v>0</v>
      </c>
      <c r="D638" s="268" t="s">
        <v>93</v>
      </c>
      <c r="E638" s="76" t="s">
        <v>155</v>
      </c>
      <c r="F638" s="75">
        <f t="shared" ref="F638:T638" si="419">+F$8*$E633</f>
        <v>0</v>
      </c>
      <c r="G638" s="75">
        <f t="shared" si="419"/>
        <v>0</v>
      </c>
      <c r="H638" s="75">
        <f t="shared" si="419"/>
        <v>0</v>
      </c>
      <c r="I638" s="75">
        <f t="shared" si="419"/>
        <v>0</v>
      </c>
      <c r="J638" s="75">
        <f t="shared" si="419"/>
        <v>0</v>
      </c>
      <c r="K638" s="75">
        <f t="shared" si="419"/>
        <v>0</v>
      </c>
      <c r="L638" s="75">
        <f t="shared" si="419"/>
        <v>0</v>
      </c>
      <c r="M638" s="75">
        <f t="shared" ca="1" si="419"/>
        <v>0</v>
      </c>
      <c r="N638" s="75">
        <f t="shared" ca="1" si="419"/>
        <v>0</v>
      </c>
      <c r="O638" s="75">
        <f t="shared" si="419"/>
        <v>0</v>
      </c>
      <c r="P638" s="75">
        <f t="shared" si="419"/>
        <v>0</v>
      </c>
      <c r="Q638" s="75">
        <f t="shared" si="419"/>
        <v>0</v>
      </c>
      <c r="R638" s="75">
        <f t="shared" si="419"/>
        <v>0</v>
      </c>
      <c r="S638" s="75">
        <f t="shared" si="419"/>
        <v>0</v>
      </c>
      <c r="T638" s="75">
        <f t="shared" si="419"/>
        <v>0</v>
      </c>
      <c r="U638" s="73">
        <f t="shared" ref="U638:U640" si="420">+R638+O638+L638+I638+F638</f>
        <v>0</v>
      </c>
      <c r="V638" s="72">
        <f t="shared" ref="V638:V640" ca="1" si="421">+S638+P638+M638+J638+G638</f>
        <v>0</v>
      </c>
      <c r="W638" s="72">
        <f t="shared" ref="W638:W640" ca="1" si="422">+T638+Q638+N638+K638+H638</f>
        <v>0</v>
      </c>
    </row>
    <row r="639" spans="3:23" hidden="1" x14ac:dyDescent="0.25">
      <c r="C639" s="62">
        <f t="shared" si="418"/>
        <v>0</v>
      </c>
      <c r="D639" s="268" t="s">
        <v>92</v>
      </c>
      <c r="E639" s="76" t="s">
        <v>156</v>
      </c>
      <c r="F639" s="75">
        <f t="shared" ref="F639:T639" si="423">+F$9*$E633</f>
        <v>0</v>
      </c>
      <c r="G639" s="75">
        <f t="shared" si="423"/>
        <v>0</v>
      </c>
      <c r="H639" s="75">
        <f t="shared" si="423"/>
        <v>0</v>
      </c>
      <c r="I639" s="75">
        <f t="shared" si="423"/>
        <v>0</v>
      </c>
      <c r="J639" s="75">
        <f t="shared" si="423"/>
        <v>0</v>
      </c>
      <c r="K639" s="75">
        <f t="shared" si="423"/>
        <v>0</v>
      </c>
      <c r="L639" s="75">
        <f t="shared" si="423"/>
        <v>0</v>
      </c>
      <c r="M639" s="75">
        <f t="shared" si="423"/>
        <v>0</v>
      </c>
      <c r="N639" s="75">
        <f t="shared" si="423"/>
        <v>0</v>
      </c>
      <c r="O639" s="75">
        <f t="shared" si="423"/>
        <v>0</v>
      </c>
      <c r="P639" s="75">
        <f t="shared" si="423"/>
        <v>0</v>
      </c>
      <c r="Q639" s="75">
        <f t="shared" si="423"/>
        <v>0</v>
      </c>
      <c r="R639" s="75">
        <f t="shared" si="423"/>
        <v>0</v>
      </c>
      <c r="S639" s="75">
        <f t="shared" si="423"/>
        <v>0</v>
      </c>
      <c r="T639" s="75">
        <f t="shared" si="423"/>
        <v>0</v>
      </c>
      <c r="U639" s="73">
        <f t="shared" si="420"/>
        <v>0</v>
      </c>
      <c r="V639" s="72">
        <f t="shared" si="421"/>
        <v>0</v>
      </c>
      <c r="W639" s="72">
        <f t="shared" si="422"/>
        <v>0</v>
      </c>
    </row>
    <row r="640" spans="3:23" hidden="1" x14ac:dyDescent="0.25">
      <c r="C640" s="62">
        <f t="shared" si="418"/>
        <v>0</v>
      </c>
      <c r="D640" s="268" t="s">
        <v>91</v>
      </c>
      <c r="E640" s="76" t="s">
        <v>157</v>
      </c>
      <c r="F640" s="75">
        <f t="shared" ref="F640:T640" si="424">+F$10*$E633</f>
        <v>0</v>
      </c>
      <c r="G640" s="75">
        <f t="shared" si="424"/>
        <v>0</v>
      </c>
      <c r="H640" s="75">
        <f t="shared" si="424"/>
        <v>0</v>
      </c>
      <c r="I640" s="75">
        <f t="shared" si="424"/>
        <v>0</v>
      </c>
      <c r="J640" s="75">
        <f t="shared" si="424"/>
        <v>0</v>
      </c>
      <c r="K640" s="75">
        <f t="shared" si="424"/>
        <v>0</v>
      </c>
      <c r="L640" s="75">
        <f t="shared" si="424"/>
        <v>0</v>
      </c>
      <c r="M640" s="75">
        <f t="shared" ca="1" si="424"/>
        <v>0</v>
      </c>
      <c r="N640" s="75">
        <f t="shared" si="424"/>
        <v>0</v>
      </c>
      <c r="O640" s="75">
        <f t="shared" si="424"/>
        <v>0</v>
      </c>
      <c r="P640" s="75">
        <f t="shared" si="424"/>
        <v>0</v>
      </c>
      <c r="Q640" s="75">
        <f t="shared" si="424"/>
        <v>0</v>
      </c>
      <c r="R640" s="75">
        <f t="shared" si="424"/>
        <v>0</v>
      </c>
      <c r="S640" s="75">
        <f t="shared" si="424"/>
        <v>0</v>
      </c>
      <c r="T640" s="75">
        <f t="shared" si="424"/>
        <v>0</v>
      </c>
      <c r="U640" s="73">
        <f t="shared" si="420"/>
        <v>0</v>
      </c>
      <c r="V640" s="72">
        <f t="shared" ca="1" si="421"/>
        <v>0</v>
      </c>
      <c r="W640" s="72">
        <f t="shared" si="422"/>
        <v>0</v>
      </c>
    </row>
    <row r="641" spans="3:23" ht="15.75" hidden="1" thickBot="1" x14ac:dyDescent="0.3">
      <c r="C641" s="62">
        <f t="shared" si="418"/>
        <v>0</v>
      </c>
      <c r="D641" s="71" t="s">
        <v>48</v>
      </c>
      <c r="E641" s="70" t="s">
        <v>158</v>
      </c>
      <c r="F641" s="68">
        <f t="shared" ref="F641:W641" si="425">SUBTOTAL(9,F638:F640)</f>
        <v>0</v>
      </c>
      <c r="G641" s="68">
        <f t="shared" si="425"/>
        <v>0</v>
      </c>
      <c r="H641" s="68">
        <f t="shared" si="425"/>
        <v>0</v>
      </c>
      <c r="I641" s="69">
        <f t="shared" si="425"/>
        <v>0</v>
      </c>
      <c r="J641" s="68">
        <f t="shared" si="425"/>
        <v>0</v>
      </c>
      <c r="K641" s="68">
        <f t="shared" si="425"/>
        <v>0</v>
      </c>
      <c r="L641" s="69">
        <f t="shared" si="425"/>
        <v>0</v>
      </c>
      <c r="M641" s="68">
        <f t="shared" si="425"/>
        <v>0</v>
      </c>
      <c r="N641" s="68">
        <f t="shared" si="425"/>
        <v>0</v>
      </c>
      <c r="O641" s="69">
        <f t="shared" si="425"/>
        <v>0</v>
      </c>
      <c r="P641" s="68">
        <f t="shared" si="425"/>
        <v>0</v>
      </c>
      <c r="Q641" s="68">
        <f t="shared" si="425"/>
        <v>0</v>
      </c>
      <c r="R641" s="69">
        <f t="shared" si="425"/>
        <v>0</v>
      </c>
      <c r="S641" s="68">
        <f t="shared" si="425"/>
        <v>0</v>
      </c>
      <c r="T641" s="68">
        <f t="shared" si="425"/>
        <v>0</v>
      </c>
      <c r="U641" s="69">
        <f t="shared" si="425"/>
        <v>0</v>
      </c>
      <c r="V641" s="68">
        <f t="shared" si="425"/>
        <v>0</v>
      </c>
      <c r="W641" s="68">
        <f t="shared" si="425"/>
        <v>0</v>
      </c>
    </row>
    <row r="642" spans="3:23" ht="15.75" thickBot="1" x14ac:dyDescent="0.3">
      <c r="C642" s="62">
        <v>1</v>
      </c>
    </row>
    <row r="643" spans="3:23" ht="15.75" thickBot="1" x14ac:dyDescent="0.3">
      <c r="C643" s="62">
        <v>1</v>
      </c>
      <c r="D643" s="349" t="s">
        <v>379</v>
      </c>
      <c r="E643" s="350">
        <f>SUM(E20:E641)</f>
        <v>1</v>
      </c>
    </row>
    <row r="644" spans="3:23" ht="15.75" thickBot="1" x14ac:dyDescent="0.3">
      <c r="C644" s="62">
        <v>1</v>
      </c>
      <c r="D644" s="289"/>
    </row>
    <row r="645" spans="3:23" x14ac:dyDescent="0.25">
      <c r="C645" s="62">
        <v>1</v>
      </c>
      <c r="E645" s="343" t="s">
        <v>68</v>
      </c>
      <c r="F645" s="344">
        <f>F641+F631+F621+F611+F600+F590+F580+F570+F560+F550+F540+F530+F520+F510+F500+F490+F480+F470+F460+F450+F440+F429+F419+F409+F399+F389+F379+F369+F359+F349+F339+F329+F319+F309+F299+F289+F279+F268+F258+F248+F238+F228+F218+F208+F198+F188+F178+F168+F158+F148+F138+F128+F118+F108+F98+F88+F78+F68+F58+F48+F38+F28</f>
        <v>0</v>
      </c>
      <c r="G645" s="344">
        <f t="shared" ref="G645:W645" si="426">G641+G631+G621+G611+G600+G590+G580+G570+G560+G550+G540+G530+G520+G510+G500+G490+G480+G470+G460+G450+G440+G429+G419+G409+G399+G389+G379+G369+G359+G349+G339+G329+G319+G309+G299+G289+G279+G268+G258+G248+G238+G228+G218+G208+G198+G188+G178+G168+G158+G148+G138+G128+G118+G108+G98+G88+G78+G68+G58+G48+G38+G28</f>
        <v>0</v>
      </c>
      <c r="H645" s="344">
        <f t="shared" si="426"/>
        <v>0</v>
      </c>
      <c r="I645" s="344">
        <f t="shared" si="426"/>
        <v>0</v>
      </c>
      <c r="J645" s="344">
        <f t="shared" si="426"/>
        <v>0</v>
      </c>
      <c r="K645" s="344">
        <f t="shared" si="426"/>
        <v>0</v>
      </c>
      <c r="L645" s="344">
        <f t="shared" si="426"/>
        <v>3491.1881826923086</v>
      </c>
      <c r="M645" s="344">
        <f t="shared" ca="1" si="426"/>
        <v>142402038.77999994</v>
      </c>
      <c r="N645" s="344">
        <f t="shared" ca="1" si="426"/>
        <v>3357615.1203448731</v>
      </c>
      <c r="O645" s="344">
        <f t="shared" si="426"/>
        <v>0</v>
      </c>
      <c r="P645" s="344">
        <f t="shared" si="426"/>
        <v>0</v>
      </c>
      <c r="Q645" s="344">
        <f t="shared" si="426"/>
        <v>0</v>
      </c>
      <c r="R645" s="344">
        <f t="shared" si="426"/>
        <v>0</v>
      </c>
      <c r="S645" s="344">
        <f t="shared" si="426"/>
        <v>0</v>
      </c>
      <c r="T645" s="344">
        <f t="shared" si="426"/>
        <v>0</v>
      </c>
      <c r="U645" s="344">
        <f t="shared" si="426"/>
        <v>3491.1881826923086</v>
      </c>
      <c r="V645" s="344">
        <f t="shared" ca="1" si="426"/>
        <v>142402038.77999994</v>
      </c>
      <c r="W645" s="345">
        <f t="shared" ca="1" si="426"/>
        <v>3357615.1203448731</v>
      </c>
    </row>
    <row r="646" spans="3:23" ht="15.75" thickBot="1" x14ac:dyDescent="0.3">
      <c r="C646" s="62">
        <v>1</v>
      </c>
      <c r="E646" s="346" t="s">
        <v>69</v>
      </c>
      <c r="F646" s="347">
        <f>+F645-F11</f>
        <v>0</v>
      </c>
      <c r="G646" s="347">
        <f t="shared" ref="G646:W646" si="427">+G645-G11</f>
        <v>0</v>
      </c>
      <c r="H646" s="347">
        <f t="shared" si="427"/>
        <v>0</v>
      </c>
      <c r="I646" s="347">
        <f t="shared" si="427"/>
        <v>0</v>
      </c>
      <c r="J646" s="347">
        <f t="shared" si="427"/>
        <v>0</v>
      </c>
      <c r="K646" s="347">
        <f t="shared" si="427"/>
        <v>0</v>
      </c>
      <c r="L646" s="347">
        <f t="shared" si="427"/>
        <v>0</v>
      </c>
      <c r="M646" s="347">
        <f t="shared" ca="1" si="427"/>
        <v>0</v>
      </c>
      <c r="N646" s="347">
        <f t="shared" ca="1" si="427"/>
        <v>0</v>
      </c>
      <c r="O646" s="347">
        <f t="shared" si="427"/>
        <v>0</v>
      </c>
      <c r="P646" s="347">
        <f t="shared" si="427"/>
        <v>0</v>
      </c>
      <c r="Q646" s="347">
        <f t="shared" si="427"/>
        <v>0</v>
      </c>
      <c r="R646" s="347">
        <f t="shared" si="427"/>
        <v>0</v>
      </c>
      <c r="S646" s="347">
        <f t="shared" si="427"/>
        <v>0</v>
      </c>
      <c r="T646" s="347">
        <f t="shared" si="427"/>
        <v>0</v>
      </c>
      <c r="U646" s="347">
        <f t="shared" si="427"/>
        <v>0</v>
      </c>
      <c r="V646" s="347">
        <f t="shared" ca="1" si="427"/>
        <v>0</v>
      </c>
      <c r="W646" s="348">
        <f t="shared" ca="1" si="427"/>
        <v>0</v>
      </c>
    </row>
  </sheetData>
  <autoFilter ref="A1:W646" xr:uid="{00000000-0009-0000-0000-00000F000000}">
    <filterColumn colId="2">
      <filters>
        <filter val="1"/>
      </filters>
    </filterColumn>
    <filterColumn colId="4" showButton="0"/>
    <filterColumn colId="5" showButton="0"/>
    <filterColumn colId="6" showButton="0"/>
  </autoFilter>
  <customSheetViews>
    <customSheetView guid="{DE5AAEC6-B417-4CB5-A2E1-8776196B56AA}" scale="80" showPageBreaks="1" fitToPage="1" printArea="1">
      <pageMargins left="0.7" right="0.7" top="0.75" bottom="0.75" header="0.3" footer="0.3"/>
      <pageSetup paperSize="17" scale="74" orientation="landscape" r:id="rId1"/>
    </customSheetView>
    <customSheetView guid="{3ACE1F12-3844-4D90-9B24-992DA32A7B7A}" scale="80" fitToPage="1" topLeftCell="A31">
      <selection activeCell="I46" sqref="I46"/>
      <pageMargins left="0.7" right="0.7" top="0.75" bottom="0.75" header="0.3" footer="0.3"/>
      <pageSetup paperSize="17" scale="74" orientation="landscape" r:id="rId2"/>
    </customSheetView>
  </customSheetViews>
  <mergeCells count="506">
    <mergeCell ref="D210:D211"/>
    <mergeCell ref="E210:E211"/>
    <mergeCell ref="F210:H210"/>
    <mergeCell ref="I210:K210"/>
    <mergeCell ref="L210:N210"/>
    <mergeCell ref="O210:Q210"/>
    <mergeCell ref="R210:T210"/>
    <mergeCell ref="U210:W210"/>
    <mergeCell ref="D190:D191"/>
    <mergeCell ref="E190:E191"/>
    <mergeCell ref="F190:H190"/>
    <mergeCell ref="I190:K190"/>
    <mergeCell ref="L190:N190"/>
    <mergeCell ref="O190:Q190"/>
    <mergeCell ref="R190:T190"/>
    <mergeCell ref="U190:W190"/>
    <mergeCell ref="D200:D201"/>
    <mergeCell ref="E200:E201"/>
    <mergeCell ref="F200:H200"/>
    <mergeCell ref="I200:K200"/>
    <mergeCell ref="L200:N200"/>
    <mergeCell ref="O200:Q200"/>
    <mergeCell ref="R200:T200"/>
    <mergeCell ref="U200:W200"/>
    <mergeCell ref="D170:D171"/>
    <mergeCell ref="E170:E171"/>
    <mergeCell ref="F170:H170"/>
    <mergeCell ref="I170:K170"/>
    <mergeCell ref="L170:N170"/>
    <mergeCell ref="O170:Q170"/>
    <mergeCell ref="R170:T170"/>
    <mergeCell ref="U170:W170"/>
    <mergeCell ref="D180:D181"/>
    <mergeCell ref="E180:E181"/>
    <mergeCell ref="F180:H180"/>
    <mergeCell ref="I180:K180"/>
    <mergeCell ref="L180:N180"/>
    <mergeCell ref="O180:Q180"/>
    <mergeCell ref="R180:T180"/>
    <mergeCell ref="U180:W180"/>
    <mergeCell ref="U160:W160"/>
    <mergeCell ref="D150:D151"/>
    <mergeCell ref="E150:E151"/>
    <mergeCell ref="F150:H150"/>
    <mergeCell ref="I150:K150"/>
    <mergeCell ref="L150:N150"/>
    <mergeCell ref="O150:Q150"/>
    <mergeCell ref="R150:T150"/>
    <mergeCell ref="U150:W150"/>
    <mergeCell ref="D160:D161"/>
    <mergeCell ref="E160:E161"/>
    <mergeCell ref="F160:H160"/>
    <mergeCell ref="I160:K160"/>
    <mergeCell ref="L160:N160"/>
    <mergeCell ref="O160:Q160"/>
    <mergeCell ref="R160:T160"/>
    <mergeCell ref="E1:H1"/>
    <mergeCell ref="E2:H2"/>
    <mergeCell ref="U140:W140"/>
    <mergeCell ref="D130:D131"/>
    <mergeCell ref="E130:E131"/>
    <mergeCell ref="F130:H130"/>
    <mergeCell ref="I130:K130"/>
    <mergeCell ref="L130:N130"/>
    <mergeCell ref="O130:Q130"/>
    <mergeCell ref="R130:T130"/>
    <mergeCell ref="U130:W130"/>
    <mergeCell ref="D140:D141"/>
    <mergeCell ref="E140:E141"/>
    <mergeCell ref="F140:H140"/>
    <mergeCell ref="I140:K140"/>
    <mergeCell ref="L140:N140"/>
    <mergeCell ref="O140:Q140"/>
    <mergeCell ref="R140:T140"/>
    <mergeCell ref="D3:D4"/>
    <mergeCell ref="E3:E4"/>
    <mergeCell ref="R3:T3"/>
    <mergeCell ref="O20:Q20"/>
    <mergeCell ref="R20:T20"/>
    <mergeCell ref="U20:W20"/>
    <mergeCell ref="U3:W3"/>
    <mergeCell ref="F3:H3"/>
    <mergeCell ref="I3:K3"/>
    <mergeCell ref="L3:N3"/>
    <mergeCell ref="O3:Q3"/>
    <mergeCell ref="R30:T30"/>
    <mergeCell ref="U30:W30"/>
    <mergeCell ref="D20:D21"/>
    <mergeCell ref="E20:E21"/>
    <mergeCell ref="F20:H20"/>
    <mergeCell ref="I20:K20"/>
    <mergeCell ref="L20:N20"/>
    <mergeCell ref="D30:D31"/>
    <mergeCell ref="E30:E31"/>
    <mergeCell ref="F30:H30"/>
    <mergeCell ref="I30:K30"/>
    <mergeCell ref="L30:N30"/>
    <mergeCell ref="O30:Q30"/>
    <mergeCell ref="U50:W50"/>
    <mergeCell ref="D40:D41"/>
    <mergeCell ref="E40:E41"/>
    <mergeCell ref="F40:H40"/>
    <mergeCell ref="I40:K40"/>
    <mergeCell ref="L40:N40"/>
    <mergeCell ref="O40:Q40"/>
    <mergeCell ref="R40:T40"/>
    <mergeCell ref="U40:W40"/>
    <mergeCell ref="D50:D51"/>
    <mergeCell ref="E50:E51"/>
    <mergeCell ref="F50:H50"/>
    <mergeCell ref="I50:K50"/>
    <mergeCell ref="L50:N50"/>
    <mergeCell ref="O50:Q50"/>
    <mergeCell ref="R50:T50"/>
    <mergeCell ref="U70:W70"/>
    <mergeCell ref="D60:D61"/>
    <mergeCell ref="E60:E61"/>
    <mergeCell ref="F60:H60"/>
    <mergeCell ref="I60:K60"/>
    <mergeCell ref="L60:N60"/>
    <mergeCell ref="O60:Q60"/>
    <mergeCell ref="R60:T60"/>
    <mergeCell ref="U60:W60"/>
    <mergeCell ref="D70:D71"/>
    <mergeCell ref="E70:E71"/>
    <mergeCell ref="F70:H70"/>
    <mergeCell ref="I70:K70"/>
    <mergeCell ref="L70:N70"/>
    <mergeCell ref="O70:Q70"/>
    <mergeCell ref="R70:T70"/>
    <mergeCell ref="D80:D81"/>
    <mergeCell ref="E80:E81"/>
    <mergeCell ref="F80:H80"/>
    <mergeCell ref="I80:K80"/>
    <mergeCell ref="L80:N80"/>
    <mergeCell ref="O80:Q80"/>
    <mergeCell ref="R80:T80"/>
    <mergeCell ref="U80:W80"/>
    <mergeCell ref="D90:D91"/>
    <mergeCell ref="E90:E91"/>
    <mergeCell ref="F90:H90"/>
    <mergeCell ref="I90:K90"/>
    <mergeCell ref="L90:N90"/>
    <mergeCell ref="O90:Q90"/>
    <mergeCell ref="R90:T90"/>
    <mergeCell ref="U90:W90"/>
    <mergeCell ref="D100:D101"/>
    <mergeCell ref="E100:E101"/>
    <mergeCell ref="F100:H100"/>
    <mergeCell ref="I100:K100"/>
    <mergeCell ref="L100:N100"/>
    <mergeCell ref="O100:Q100"/>
    <mergeCell ref="R100:T100"/>
    <mergeCell ref="U100:W100"/>
    <mergeCell ref="D110:D111"/>
    <mergeCell ref="E110:E111"/>
    <mergeCell ref="F110:H110"/>
    <mergeCell ref="I110:K110"/>
    <mergeCell ref="L110:N110"/>
    <mergeCell ref="O110:Q110"/>
    <mergeCell ref="R110:T110"/>
    <mergeCell ref="O120:Q120"/>
    <mergeCell ref="R120:T120"/>
    <mergeCell ref="U120:W120"/>
    <mergeCell ref="D120:D121"/>
    <mergeCell ref="E120:E121"/>
    <mergeCell ref="F120:H120"/>
    <mergeCell ref="I120:K120"/>
    <mergeCell ref="L120:N120"/>
    <mergeCell ref="U110:W110"/>
    <mergeCell ref="D220:D221"/>
    <mergeCell ref="E220:E221"/>
    <mergeCell ref="F220:H220"/>
    <mergeCell ref="I220:K220"/>
    <mergeCell ref="L220:N220"/>
    <mergeCell ref="O220:Q220"/>
    <mergeCell ref="R220:T220"/>
    <mergeCell ref="U220:W220"/>
    <mergeCell ref="D230:D231"/>
    <mergeCell ref="E230:E231"/>
    <mergeCell ref="F230:H230"/>
    <mergeCell ref="I230:K230"/>
    <mergeCell ref="L230:N230"/>
    <mergeCell ref="O230:Q230"/>
    <mergeCell ref="R230:T230"/>
    <mergeCell ref="U230:W230"/>
    <mergeCell ref="D260:D261"/>
    <mergeCell ref="E260:E261"/>
    <mergeCell ref="F260:H260"/>
    <mergeCell ref="I260:K260"/>
    <mergeCell ref="L260:N260"/>
    <mergeCell ref="O260:Q260"/>
    <mergeCell ref="R260:T260"/>
    <mergeCell ref="U260:W260"/>
    <mergeCell ref="D240:D241"/>
    <mergeCell ref="E240:E241"/>
    <mergeCell ref="F240:H240"/>
    <mergeCell ref="I240:K240"/>
    <mergeCell ref="L240:N240"/>
    <mergeCell ref="O240:Q240"/>
    <mergeCell ref="R240:T240"/>
    <mergeCell ref="U240:W240"/>
    <mergeCell ref="D250:D251"/>
    <mergeCell ref="E250:E251"/>
    <mergeCell ref="F250:H250"/>
    <mergeCell ref="I250:K250"/>
    <mergeCell ref="L250:N250"/>
    <mergeCell ref="O250:Q250"/>
    <mergeCell ref="R250:T250"/>
    <mergeCell ref="U250:W250"/>
    <mergeCell ref="D271:D272"/>
    <mergeCell ref="E271:E272"/>
    <mergeCell ref="F271:H271"/>
    <mergeCell ref="I271:K271"/>
    <mergeCell ref="L271:N271"/>
    <mergeCell ref="O271:Q271"/>
    <mergeCell ref="R271:T271"/>
    <mergeCell ref="U271:W271"/>
    <mergeCell ref="D281:D282"/>
    <mergeCell ref="E281:E282"/>
    <mergeCell ref="F281:H281"/>
    <mergeCell ref="I281:K281"/>
    <mergeCell ref="L281:N281"/>
    <mergeCell ref="O281:Q281"/>
    <mergeCell ref="R281:T281"/>
    <mergeCell ref="U281:W281"/>
    <mergeCell ref="D291:D292"/>
    <mergeCell ref="E291:E292"/>
    <mergeCell ref="F291:H291"/>
    <mergeCell ref="I291:K291"/>
    <mergeCell ref="L291:N291"/>
    <mergeCell ref="O291:Q291"/>
    <mergeCell ref="R291:T291"/>
    <mergeCell ref="U291:W291"/>
    <mergeCell ref="D301:D302"/>
    <mergeCell ref="E301:E302"/>
    <mergeCell ref="F301:H301"/>
    <mergeCell ref="I301:K301"/>
    <mergeCell ref="L301:N301"/>
    <mergeCell ref="O301:Q301"/>
    <mergeCell ref="R301:T301"/>
    <mergeCell ref="U301:W301"/>
    <mergeCell ref="D311:D312"/>
    <mergeCell ref="E311:E312"/>
    <mergeCell ref="F311:H311"/>
    <mergeCell ref="I311:K311"/>
    <mergeCell ref="L311:N311"/>
    <mergeCell ref="O311:Q311"/>
    <mergeCell ref="R311:T311"/>
    <mergeCell ref="U311:W311"/>
    <mergeCell ref="D321:D322"/>
    <mergeCell ref="E321:E322"/>
    <mergeCell ref="F321:H321"/>
    <mergeCell ref="I321:K321"/>
    <mergeCell ref="L321:N321"/>
    <mergeCell ref="O321:Q321"/>
    <mergeCell ref="R321:T321"/>
    <mergeCell ref="U321:W321"/>
    <mergeCell ref="D331:D332"/>
    <mergeCell ref="E331:E332"/>
    <mergeCell ref="F331:H331"/>
    <mergeCell ref="I331:K331"/>
    <mergeCell ref="L331:N331"/>
    <mergeCell ref="O331:Q331"/>
    <mergeCell ref="R331:T331"/>
    <mergeCell ref="U331:W331"/>
    <mergeCell ref="D341:D342"/>
    <mergeCell ref="E341:E342"/>
    <mergeCell ref="F341:H341"/>
    <mergeCell ref="I341:K341"/>
    <mergeCell ref="L341:N341"/>
    <mergeCell ref="O341:Q341"/>
    <mergeCell ref="R341:T341"/>
    <mergeCell ref="U341:W341"/>
    <mergeCell ref="D351:D352"/>
    <mergeCell ref="E351:E352"/>
    <mergeCell ref="F351:H351"/>
    <mergeCell ref="I351:K351"/>
    <mergeCell ref="L351:N351"/>
    <mergeCell ref="O351:Q351"/>
    <mergeCell ref="R351:T351"/>
    <mergeCell ref="U351:W351"/>
    <mergeCell ref="D361:D362"/>
    <mergeCell ref="E361:E362"/>
    <mergeCell ref="F361:H361"/>
    <mergeCell ref="I361:K361"/>
    <mergeCell ref="L361:N361"/>
    <mergeCell ref="O361:Q361"/>
    <mergeCell ref="R361:T361"/>
    <mergeCell ref="U361:W361"/>
    <mergeCell ref="D371:D372"/>
    <mergeCell ref="E371:E372"/>
    <mergeCell ref="F371:H371"/>
    <mergeCell ref="I371:K371"/>
    <mergeCell ref="L371:N371"/>
    <mergeCell ref="O371:Q371"/>
    <mergeCell ref="R371:T371"/>
    <mergeCell ref="U371:W371"/>
    <mergeCell ref="D381:D382"/>
    <mergeCell ref="E381:E382"/>
    <mergeCell ref="F381:H381"/>
    <mergeCell ref="I381:K381"/>
    <mergeCell ref="L381:N381"/>
    <mergeCell ref="O381:Q381"/>
    <mergeCell ref="R381:T381"/>
    <mergeCell ref="U381:W381"/>
    <mergeCell ref="D391:D392"/>
    <mergeCell ref="E391:E392"/>
    <mergeCell ref="F391:H391"/>
    <mergeCell ref="I391:K391"/>
    <mergeCell ref="L391:N391"/>
    <mergeCell ref="O391:Q391"/>
    <mergeCell ref="R391:T391"/>
    <mergeCell ref="U391:W391"/>
    <mergeCell ref="D401:D402"/>
    <mergeCell ref="E401:E402"/>
    <mergeCell ref="F401:H401"/>
    <mergeCell ref="I401:K401"/>
    <mergeCell ref="L401:N401"/>
    <mergeCell ref="O401:Q401"/>
    <mergeCell ref="R401:T401"/>
    <mergeCell ref="U401:W401"/>
    <mergeCell ref="D411:D412"/>
    <mergeCell ref="E411:E412"/>
    <mergeCell ref="F411:H411"/>
    <mergeCell ref="I411:K411"/>
    <mergeCell ref="L411:N411"/>
    <mergeCell ref="O411:Q411"/>
    <mergeCell ref="R411:T411"/>
    <mergeCell ref="U411:W411"/>
    <mergeCell ref="D421:D422"/>
    <mergeCell ref="E421:E422"/>
    <mergeCell ref="F421:H421"/>
    <mergeCell ref="I421:K421"/>
    <mergeCell ref="L421:N421"/>
    <mergeCell ref="O421:Q421"/>
    <mergeCell ref="R421:T421"/>
    <mergeCell ref="U421:W421"/>
    <mergeCell ref="D432:D433"/>
    <mergeCell ref="E432:E433"/>
    <mergeCell ref="F432:H432"/>
    <mergeCell ref="I432:K432"/>
    <mergeCell ref="L432:N432"/>
    <mergeCell ref="O432:Q432"/>
    <mergeCell ref="R432:T432"/>
    <mergeCell ref="U432:W432"/>
    <mergeCell ref="D442:D443"/>
    <mergeCell ref="E442:E443"/>
    <mergeCell ref="F442:H442"/>
    <mergeCell ref="I442:K442"/>
    <mergeCell ref="L442:N442"/>
    <mergeCell ref="O442:Q442"/>
    <mergeCell ref="R442:T442"/>
    <mergeCell ref="U442:W442"/>
    <mergeCell ref="D452:D453"/>
    <mergeCell ref="E452:E453"/>
    <mergeCell ref="F452:H452"/>
    <mergeCell ref="I452:K452"/>
    <mergeCell ref="L452:N452"/>
    <mergeCell ref="O452:Q452"/>
    <mergeCell ref="R452:T452"/>
    <mergeCell ref="U452:W452"/>
    <mergeCell ref="D462:D463"/>
    <mergeCell ref="E462:E463"/>
    <mergeCell ref="F462:H462"/>
    <mergeCell ref="I462:K462"/>
    <mergeCell ref="L462:N462"/>
    <mergeCell ref="O462:Q462"/>
    <mergeCell ref="R462:T462"/>
    <mergeCell ref="U462:W462"/>
    <mergeCell ref="D472:D473"/>
    <mergeCell ref="E472:E473"/>
    <mergeCell ref="F472:H472"/>
    <mergeCell ref="I472:K472"/>
    <mergeCell ref="L472:N472"/>
    <mergeCell ref="O472:Q472"/>
    <mergeCell ref="R472:T472"/>
    <mergeCell ref="U472:W472"/>
    <mergeCell ref="D482:D483"/>
    <mergeCell ref="E482:E483"/>
    <mergeCell ref="F482:H482"/>
    <mergeCell ref="I482:K482"/>
    <mergeCell ref="L482:N482"/>
    <mergeCell ref="O482:Q482"/>
    <mergeCell ref="R482:T482"/>
    <mergeCell ref="U482:W482"/>
    <mergeCell ref="D492:D493"/>
    <mergeCell ref="E492:E493"/>
    <mergeCell ref="F492:H492"/>
    <mergeCell ref="I492:K492"/>
    <mergeCell ref="L492:N492"/>
    <mergeCell ref="O492:Q492"/>
    <mergeCell ref="R492:T492"/>
    <mergeCell ref="U492:W492"/>
    <mergeCell ref="D502:D503"/>
    <mergeCell ref="E502:E503"/>
    <mergeCell ref="F502:H502"/>
    <mergeCell ref="I502:K502"/>
    <mergeCell ref="L502:N502"/>
    <mergeCell ref="O502:Q502"/>
    <mergeCell ref="R502:T502"/>
    <mergeCell ref="U502:W502"/>
    <mergeCell ref="D512:D513"/>
    <mergeCell ref="E512:E513"/>
    <mergeCell ref="F512:H512"/>
    <mergeCell ref="I512:K512"/>
    <mergeCell ref="L512:N512"/>
    <mergeCell ref="O512:Q512"/>
    <mergeCell ref="R512:T512"/>
    <mergeCell ref="U512:W512"/>
    <mergeCell ref="D522:D523"/>
    <mergeCell ref="E522:E523"/>
    <mergeCell ref="F522:H522"/>
    <mergeCell ref="I522:K522"/>
    <mergeCell ref="L522:N522"/>
    <mergeCell ref="O522:Q522"/>
    <mergeCell ref="R522:T522"/>
    <mergeCell ref="U522:W522"/>
    <mergeCell ref="D532:D533"/>
    <mergeCell ref="E532:E533"/>
    <mergeCell ref="F532:H532"/>
    <mergeCell ref="I532:K532"/>
    <mergeCell ref="L532:N532"/>
    <mergeCell ref="O532:Q532"/>
    <mergeCell ref="R532:T532"/>
    <mergeCell ref="U532:W532"/>
    <mergeCell ref="D542:D543"/>
    <mergeCell ref="E542:E543"/>
    <mergeCell ref="F542:H542"/>
    <mergeCell ref="I542:K542"/>
    <mergeCell ref="L542:N542"/>
    <mergeCell ref="O542:Q542"/>
    <mergeCell ref="R542:T542"/>
    <mergeCell ref="U542:W542"/>
    <mergeCell ref="D552:D553"/>
    <mergeCell ref="E552:E553"/>
    <mergeCell ref="F552:H552"/>
    <mergeCell ref="I552:K552"/>
    <mergeCell ref="L552:N552"/>
    <mergeCell ref="O552:Q552"/>
    <mergeCell ref="R552:T552"/>
    <mergeCell ref="U552:W552"/>
    <mergeCell ref="D562:D563"/>
    <mergeCell ref="E562:E563"/>
    <mergeCell ref="F562:H562"/>
    <mergeCell ref="I562:K562"/>
    <mergeCell ref="L562:N562"/>
    <mergeCell ref="O562:Q562"/>
    <mergeCell ref="R562:T562"/>
    <mergeCell ref="U562:W562"/>
    <mergeCell ref="D572:D573"/>
    <mergeCell ref="E572:E573"/>
    <mergeCell ref="F572:H572"/>
    <mergeCell ref="I572:K572"/>
    <mergeCell ref="L572:N572"/>
    <mergeCell ref="O572:Q572"/>
    <mergeCell ref="R572:T572"/>
    <mergeCell ref="U572:W572"/>
    <mergeCell ref="D582:D583"/>
    <mergeCell ref="E582:E583"/>
    <mergeCell ref="F582:H582"/>
    <mergeCell ref="I582:K582"/>
    <mergeCell ref="L582:N582"/>
    <mergeCell ref="O582:Q582"/>
    <mergeCell ref="R582:T582"/>
    <mergeCell ref="U582:W582"/>
    <mergeCell ref="D592:D593"/>
    <mergeCell ref="E592:E593"/>
    <mergeCell ref="F592:H592"/>
    <mergeCell ref="I592:K592"/>
    <mergeCell ref="L592:N592"/>
    <mergeCell ref="O592:Q592"/>
    <mergeCell ref="R592:T592"/>
    <mergeCell ref="U592:W592"/>
    <mergeCell ref="D603:D604"/>
    <mergeCell ref="E603:E604"/>
    <mergeCell ref="F603:H603"/>
    <mergeCell ref="I603:K603"/>
    <mergeCell ref="L603:N603"/>
    <mergeCell ref="O603:Q603"/>
    <mergeCell ref="R603:T603"/>
    <mergeCell ref="U603:W603"/>
    <mergeCell ref="D633:D634"/>
    <mergeCell ref="E633:E634"/>
    <mergeCell ref="F633:H633"/>
    <mergeCell ref="I633:K633"/>
    <mergeCell ref="L633:N633"/>
    <mergeCell ref="O633:Q633"/>
    <mergeCell ref="R633:T633"/>
    <mergeCell ref="U633:W633"/>
    <mergeCell ref="D613:D614"/>
    <mergeCell ref="E613:E614"/>
    <mergeCell ref="F613:H613"/>
    <mergeCell ref="I613:K613"/>
    <mergeCell ref="L613:N613"/>
    <mergeCell ref="O613:Q613"/>
    <mergeCell ref="R613:T613"/>
    <mergeCell ref="U613:W613"/>
    <mergeCell ref="D623:D624"/>
    <mergeCell ref="E623:E624"/>
    <mergeCell ref="F623:H623"/>
    <mergeCell ref="I623:K623"/>
    <mergeCell ref="L623:N623"/>
    <mergeCell ref="O623:Q623"/>
    <mergeCell ref="R623:T623"/>
    <mergeCell ref="U623:W623"/>
  </mergeCells>
  <conditionalFormatting sqref="E643">
    <cfRule type="cellIs" dxfId="571" priority="1" operator="lessThan">
      <formula>1</formula>
    </cfRule>
    <cfRule type="cellIs" dxfId="570" priority="2" operator="greaterThan">
      <formula>1</formula>
    </cfRule>
    <cfRule type="cellIs" dxfId="569" priority="3" operator="equal">
      <formula>1</formula>
    </cfRule>
  </conditionalFormatting>
  <conditionalFormatting sqref="F646:W646">
    <cfRule type="cellIs" dxfId="568" priority="4" operator="lessThan">
      <formula>0</formula>
    </cfRule>
    <cfRule type="cellIs" dxfId="567" priority="5" operator="greaterThan">
      <formula>0</formula>
    </cfRule>
    <cfRule type="cellIs" dxfId="566" priority="6" operator="equal">
      <formula>0</formula>
    </cfRule>
  </conditionalFormatting>
  <pageMargins left="0.7" right="0.7" top="0.75" bottom="0.75" header="0.3" footer="0.3"/>
  <pageSetup paperSize="17" scale="73" orientation="landscape"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 filterMode="1">
    <tabColor rgb="FF92D050"/>
    <pageSetUpPr fitToPage="1"/>
  </sheetPr>
  <dimension ref="A1:N521"/>
  <sheetViews>
    <sheetView workbookViewId="0"/>
  </sheetViews>
  <sheetFormatPr defaultColWidth="9.28515625" defaultRowHeight="15" x14ac:dyDescent="0.25"/>
  <cols>
    <col min="1" max="1" width="16.28515625" style="119" bestFit="1" customWidth="1"/>
    <col min="2" max="2" width="13.28515625" style="119" customWidth="1"/>
    <col min="3" max="3" width="9.28515625" style="62"/>
    <col min="4" max="4" width="34.7109375" style="62" customWidth="1"/>
    <col min="5" max="5" width="11.7109375" style="63" bestFit="1" customWidth="1"/>
    <col min="6" max="14" width="12.28515625" style="62" customWidth="1"/>
    <col min="15" max="16384" width="9.28515625" style="62"/>
  </cols>
  <sheetData>
    <row r="1" spans="1:14" x14ac:dyDescent="0.25">
      <c r="A1" s="289" t="s">
        <v>15</v>
      </c>
      <c r="B1" s="62"/>
      <c r="C1" s="62">
        <v>1</v>
      </c>
      <c r="D1" s="92" t="s">
        <v>65</v>
      </c>
      <c r="E1" s="944"/>
      <c r="F1" s="945"/>
      <c r="G1" s="945"/>
      <c r="H1" s="946"/>
    </row>
    <row r="2" spans="1:14" ht="15.75" thickBot="1" x14ac:dyDescent="0.3">
      <c r="A2" s="62"/>
      <c r="B2" s="62"/>
      <c r="C2" s="62">
        <v>1</v>
      </c>
      <c r="D2" s="91" t="s">
        <v>66</v>
      </c>
      <c r="E2" s="947"/>
      <c r="F2" s="947"/>
      <c r="G2" s="947"/>
      <c r="H2" s="948"/>
    </row>
    <row r="3" spans="1:14" ht="14.85" customHeight="1" x14ac:dyDescent="0.25">
      <c r="A3" s="121"/>
      <c r="B3" s="121"/>
      <c r="C3" s="62">
        <v>1</v>
      </c>
      <c r="D3" s="936" t="s">
        <v>107</v>
      </c>
      <c r="E3" s="949"/>
      <c r="F3" s="940" t="s">
        <v>106</v>
      </c>
      <c r="G3" s="941"/>
      <c r="H3" s="942"/>
      <c r="I3" s="940" t="s">
        <v>99</v>
      </c>
      <c r="J3" s="941"/>
      <c r="K3" s="942"/>
      <c r="L3" s="940" t="s">
        <v>98</v>
      </c>
      <c r="M3" s="941"/>
      <c r="N3" s="943"/>
    </row>
    <row r="4" spans="1:14" ht="30" x14ac:dyDescent="0.25">
      <c r="A4" s="60"/>
      <c r="B4" s="24"/>
      <c r="C4" s="62">
        <v>1</v>
      </c>
      <c r="D4" s="937"/>
      <c r="E4" s="950"/>
      <c r="F4" s="88" t="s">
        <v>97</v>
      </c>
      <c r="G4" s="88" t="s">
        <v>96</v>
      </c>
      <c r="H4" s="88" t="s">
        <v>95</v>
      </c>
      <c r="I4" s="88" t="s">
        <v>97</v>
      </c>
      <c r="J4" s="88" t="s">
        <v>96</v>
      </c>
      <c r="K4" s="88" t="s">
        <v>95</v>
      </c>
      <c r="L4" s="88" t="s">
        <v>97</v>
      </c>
      <c r="M4" s="88" t="s">
        <v>96</v>
      </c>
      <c r="N4" s="87" t="s">
        <v>95</v>
      </c>
    </row>
    <row r="5" spans="1:14" x14ac:dyDescent="0.25">
      <c r="A5" s="60" t="s">
        <v>303</v>
      </c>
      <c r="B5" s="24">
        <f>IFERROR(+GETPIVOTDATA("Unique Billed Hours",'County allocation'!$A$3,"County",A5,"HHA/CDPAP","CDPAP"),0)</f>
        <v>2.8863005701790602E-2</v>
      </c>
      <c r="C5" s="62">
        <v>1</v>
      </c>
      <c r="D5" s="86"/>
      <c r="E5" s="85"/>
      <c r="F5" s="84" t="s">
        <v>57</v>
      </c>
      <c r="G5" s="84" t="s">
        <v>56</v>
      </c>
      <c r="H5" s="84" t="s">
        <v>55</v>
      </c>
      <c r="I5" s="84" t="s">
        <v>54</v>
      </c>
      <c r="J5" s="84" t="s">
        <v>53</v>
      </c>
      <c r="K5" s="84" t="s">
        <v>52</v>
      </c>
      <c r="L5" s="84" t="s">
        <v>51</v>
      </c>
      <c r="M5" s="84" t="s">
        <v>50</v>
      </c>
      <c r="N5" s="83" t="s">
        <v>49</v>
      </c>
    </row>
    <row r="6" spans="1:14" x14ac:dyDescent="0.25">
      <c r="A6" s="60" t="s">
        <v>304</v>
      </c>
      <c r="B6" s="24">
        <f>IFERROR(+GETPIVOTDATA("Unique Billed Hours",'County allocation'!$A$3,"County",A6,"HHA/CDPAP","CDPAP"),0)</f>
        <v>6.0503815062404201E-4</v>
      </c>
      <c r="C6" s="62">
        <v>1</v>
      </c>
      <c r="D6" s="82" t="s">
        <v>26</v>
      </c>
      <c r="E6" s="80"/>
      <c r="F6" s="79"/>
      <c r="G6" s="79"/>
      <c r="H6" s="79"/>
      <c r="I6" s="79"/>
      <c r="J6" s="79"/>
      <c r="K6" s="79"/>
      <c r="L6" s="79"/>
      <c r="M6" s="79"/>
      <c r="N6" s="78"/>
    </row>
    <row r="7" spans="1:14" x14ac:dyDescent="0.25">
      <c r="A7" s="60" t="s">
        <v>305</v>
      </c>
      <c r="B7" s="24">
        <f>IFERROR(+GETPIVOTDATA("Unique Billed Hours",'County allocation'!$A$3,"County",A7,"HHA/CDPAP","CDPAP"),0)</f>
        <v>0.10098052035465671</v>
      </c>
      <c r="C7" s="62">
        <v>1</v>
      </c>
      <c r="D7" s="93" t="s">
        <v>94</v>
      </c>
      <c r="E7" s="80"/>
      <c r="F7" s="79"/>
      <c r="G7" s="79"/>
      <c r="H7" s="79"/>
      <c r="I7" s="79"/>
      <c r="J7" s="79"/>
      <c r="K7" s="79"/>
      <c r="L7" s="79"/>
      <c r="M7" s="79"/>
      <c r="N7" s="78"/>
    </row>
    <row r="8" spans="1:14" x14ac:dyDescent="0.25">
      <c r="A8" s="60" t="s">
        <v>306</v>
      </c>
      <c r="B8" s="24">
        <f>IFERROR(+GETPIVOTDATA("Unique Billed Hours",'County allocation'!$A$3,"County",A8,"HHA/CDPAP","CDPAP"),0)</f>
        <v>1.3044882123262387E-2</v>
      </c>
      <c r="C8" s="62">
        <v>1</v>
      </c>
      <c r="D8" s="77" t="s">
        <v>105</v>
      </c>
      <c r="E8" s="76" t="s">
        <v>57</v>
      </c>
      <c r="F8" s="75">
        <f>+'Payroll Reports Input'!Q42</f>
        <v>1870.0174567307695</v>
      </c>
      <c r="G8" s="74">
        <f ca="1">+'Payroll Reports Input'!R42</f>
        <v>74441910.259999976</v>
      </c>
      <c r="H8" s="74">
        <f ca="1">+'Payroll Reports Input'!S42</f>
        <v>1769839.5853335627</v>
      </c>
      <c r="I8" s="75"/>
      <c r="J8" s="74"/>
      <c r="K8" s="74"/>
      <c r="L8" s="73">
        <f>+I8+F8</f>
        <v>1870.0174567307695</v>
      </c>
      <c r="M8" s="72">
        <f ca="1">+J8+G8</f>
        <v>74441910.259999976</v>
      </c>
      <c r="N8" s="72">
        <f ca="1">+K8+H8</f>
        <v>1769839.5853335627</v>
      </c>
    </row>
    <row r="9" spans="1:14" ht="15.75" thickBot="1" x14ac:dyDescent="0.3">
      <c r="A9" s="60" t="s">
        <v>307</v>
      </c>
      <c r="B9" s="24">
        <f>IFERROR(+GETPIVOTDATA("Unique Billed Hours",'County allocation'!$A$3,"County",A9,"HHA/CDPAP","CDPAP"),0)</f>
        <v>2.4245220368889499E-3</v>
      </c>
      <c r="C9" s="62">
        <v>1</v>
      </c>
      <c r="D9" s="71" t="s">
        <v>48</v>
      </c>
      <c r="E9" s="70" t="s">
        <v>56</v>
      </c>
      <c r="F9" s="69">
        <f t="shared" ref="F9:N9" si="0">SUM(F8)</f>
        <v>1870.0174567307695</v>
      </c>
      <c r="G9" s="68">
        <f t="shared" ca="1" si="0"/>
        <v>74441910.259999976</v>
      </c>
      <c r="H9" s="68">
        <f t="shared" ca="1" si="0"/>
        <v>1769839.5853335627</v>
      </c>
      <c r="I9" s="69">
        <f t="shared" si="0"/>
        <v>0</v>
      </c>
      <c r="J9" s="68">
        <f t="shared" si="0"/>
        <v>0</v>
      </c>
      <c r="K9" s="68">
        <f t="shared" si="0"/>
        <v>0</v>
      </c>
      <c r="L9" s="69">
        <f t="shared" si="0"/>
        <v>1870.0174567307695</v>
      </c>
      <c r="M9" s="68">
        <f t="shared" ca="1" si="0"/>
        <v>74441910.259999976</v>
      </c>
      <c r="N9" s="68">
        <f t="shared" ca="1" si="0"/>
        <v>1769839.5853335627</v>
      </c>
    </row>
    <row r="10" spans="1:14" ht="15.75" thickBot="1" x14ac:dyDescent="0.3">
      <c r="A10" s="60" t="s">
        <v>308</v>
      </c>
      <c r="B10" s="24">
        <f>IFERROR(+GETPIVOTDATA("Unique Billed Hours",'County allocation'!$A$3,"County",A10,"HHA/CDPAP","CDPAP"),0)</f>
        <v>2.2764753186393966E-3</v>
      </c>
      <c r="C10" s="62">
        <v>1</v>
      </c>
    </row>
    <row r="11" spans="1:14" ht="15.75" hidden="1" thickBot="1" x14ac:dyDescent="0.3">
      <c r="A11" s="60" t="s">
        <v>309</v>
      </c>
      <c r="B11" s="24">
        <f>IFERROR(+GETPIVOTDATA("Unique Billed Hours",'County allocation'!$A$3,"County",A11,"HHA/CDPAP","CDPAP"),0)</f>
        <v>4.8428754605175017E-3</v>
      </c>
    </row>
    <row r="12" spans="1:14" ht="15.75" hidden="1" thickBot="1" x14ac:dyDescent="0.3">
      <c r="A12" s="60" t="s">
        <v>310</v>
      </c>
      <c r="B12" s="24">
        <f>IFERROR(+GETPIVOTDATA("Unique Billed Hours",'County allocation'!$A$3,"County",A12,"HHA/CDPAP","CDPAP"),0)</f>
        <v>4.5517940222924687E-3</v>
      </c>
    </row>
    <row r="13" spans="1:14" ht="15.75" hidden="1" thickBot="1" x14ac:dyDescent="0.3">
      <c r="A13" s="60" t="s">
        <v>360</v>
      </c>
      <c r="B13" s="24">
        <f>IFERROR(+GETPIVOTDATA("Unique Billed Hours",'County allocation'!$A$3,"County",A13,"HHA/CDPAP","CDPAP"),0)</f>
        <v>2.3404746812160262E-3</v>
      </c>
    </row>
    <row r="14" spans="1:14" ht="15.75" hidden="1" thickBot="1" x14ac:dyDescent="0.3">
      <c r="A14" s="60" t="s">
        <v>311</v>
      </c>
      <c r="B14" s="24">
        <f>IFERROR(+GETPIVOTDATA("Unique Billed Hours",'County allocation'!$A$3,"County",A14,"HHA/CDPAP","CDPAP"),0)</f>
        <v>1.9496030722264293E-3</v>
      </c>
    </row>
    <row r="15" spans="1:14" ht="15.75" hidden="1" thickBot="1" x14ac:dyDescent="0.3">
      <c r="A15" s="60" t="s">
        <v>312</v>
      </c>
      <c r="B15" s="24">
        <f>IFERROR(+GETPIVOTDATA("Unique Billed Hours",'County allocation'!$A$3,"County",A15,"HHA/CDPAP","CDPAP"),0)</f>
        <v>5.0344880099186158E-4</v>
      </c>
    </row>
    <row r="16" spans="1:14" ht="15.75" hidden="1" thickBot="1" x14ac:dyDescent="0.3">
      <c r="A16" s="60" t="s">
        <v>313</v>
      </c>
      <c r="B16" s="24">
        <f>IFERROR(+GETPIVOTDATA("Unique Billed Hours",'County allocation'!$A$3,"County",A16,"HHA/CDPAP","CDPAP"),0)</f>
        <v>1.1321975588355585E-3</v>
      </c>
    </row>
    <row r="17" spans="1:14" ht="15.75" hidden="1" thickBot="1" x14ac:dyDescent="0.3">
      <c r="A17" s="60" t="s">
        <v>314</v>
      </c>
      <c r="B17" s="24">
        <f>IFERROR(+GETPIVOTDATA("Unique Billed Hours",'County allocation'!$A$3,"County",A17,"HHA/CDPAP","CDPAP"),0)</f>
        <v>1.0651138896287298E-3</v>
      </c>
    </row>
    <row r="18" spans="1:14" ht="15.75" hidden="1" thickBot="1" x14ac:dyDescent="0.3">
      <c r="A18" s="60" t="s">
        <v>315</v>
      </c>
      <c r="B18" s="24">
        <f>IFERROR(+GETPIVOTDATA("Unique Billed Hours",'County allocation'!$A$3,"County",A18,"HHA/CDPAP","CDPAP"),0)</f>
        <v>8.4414902213022138E-3</v>
      </c>
    </row>
    <row r="19" spans="1:14" ht="15.75" hidden="1" thickBot="1" x14ac:dyDescent="0.3">
      <c r="A19" s="60" t="s">
        <v>316</v>
      </c>
      <c r="B19" s="24">
        <f>IFERROR(+GETPIVOTDATA("Unique Billed Hours",'County allocation'!$A$3,"County",A19,"HHA/CDPAP","CDPAP"),0)</f>
        <v>2.6305537197862446E-2</v>
      </c>
    </row>
    <row r="20" spans="1:14" x14ac:dyDescent="0.25">
      <c r="A20" s="60" t="s">
        <v>317</v>
      </c>
      <c r="B20" s="24">
        <f>IFERROR(+GETPIVOTDATA("Unique Billed Hours",'County allocation'!$A$3,"County",A20,"HHA/CDPAP","CDPAP"),0)</f>
        <v>2.022791098305527E-4</v>
      </c>
      <c r="C20" s="62">
        <f>IF(E20&gt;0,1,0)</f>
        <v>1</v>
      </c>
      <c r="D20" s="936" t="str">
        <f>+A5</f>
        <v>Albany</v>
      </c>
      <c r="E20" s="951">
        <f>SUMIF(A:A,D20,B:B)</f>
        <v>2.8863005701790602E-2</v>
      </c>
      <c r="F20" s="940" t="s">
        <v>106</v>
      </c>
      <c r="G20" s="941"/>
      <c r="H20" s="942"/>
      <c r="I20" s="940" t="s">
        <v>99</v>
      </c>
      <c r="J20" s="941"/>
      <c r="K20" s="942"/>
      <c r="L20" s="940" t="s">
        <v>98</v>
      </c>
      <c r="M20" s="941"/>
      <c r="N20" s="943"/>
    </row>
    <row r="21" spans="1:14" ht="30" x14ac:dyDescent="0.25">
      <c r="A21" s="60" t="s">
        <v>318</v>
      </c>
      <c r="B21" s="24">
        <f>IFERROR(+GETPIVOTDATA("Unique Billed Hours",'County allocation'!$A$3,"County",A21,"HHA/CDPAP","CDPAP"),0)</f>
        <v>9.3602280587727475E-4</v>
      </c>
      <c r="C21" s="62">
        <f>C20</f>
        <v>1</v>
      </c>
      <c r="D21" s="937"/>
      <c r="E21" s="952"/>
      <c r="F21" s="88" t="s">
        <v>97</v>
      </c>
      <c r="G21" s="88" t="s">
        <v>96</v>
      </c>
      <c r="H21" s="88" t="s">
        <v>95</v>
      </c>
      <c r="I21" s="88" t="s">
        <v>97</v>
      </c>
      <c r="J21" s="88" t="s">
        <v>96</v>
      </c>
      <c r="K21" s="88" t="s">
        <v>95</v>
      </c>
      <c r="L21" s="88" t="s">
        <v>97</v>
      </c>
      <c r="M21" s="88" t="s">
        <v>96</v>
      </c>
      <c r="N21" s="87" t="s">
        <v>95</v>
      </c>
    </row>
    <row r="22" spans="1:14" x14ac:dyDescent="0.25">
      <c r="A22" s="119" t="s">
        <v>319</v>
      </c>
      <c r="B22" s="24">
        <f>IFERROR(+GETPIVOTDATA("Unique Billed Hours",'County allocation'!$A$3,"County",A22,"HHA/CDPAP","CDPAP"),0)</f>
        <v>4.1658701551888161E-3</v>
      </c>
      <c r="C22" s="62">
        <f t="shared" ref="C22:C26" si="1">C21</f>
        <v>1</v>
      </c>
      <c r="D22" s="86"/>
      <c r="E22" s="85"/>
      <c r="F22" s="84" t="s">
        <v>57</v>
      </c>
      <c r="G22" s="84" t="s">
        <v>56</v>
      </c>
      <c r="H22" s="84" t="s">
        <v>55</v>
      </c>
      <c r="I22" s="84" t="s">
        <v>54</v>
      </c>
      <c r="J22" s="84" t="s">
        <v>53</v>
      </c>
      <c r="K22" s="84" t="s">
        <v>52</v>
      </c>
      <c r="L22" s="84" t="s">
        <v>51</v>
      </c>
      <c r="M22" s="84" t="s">
        <v>50</v>
      </c>
      <c r="N22" s="83" t="s">
        <v>49</v>
      </c>
    </row>
    <row r="23" spans="1:14" x14ac:dyDescent="0.25">
      <c r="A23" s="119" t="s">
        <v>320</v>
      </c>
      <c r="B23" s="24">
        <f>IFERROR(+GETPIVOTDATA("Unique Billed Hours",'County allocation'!$A$3,"County",A23,"HHA/CDPAP","CDPAP"),0)</f>
        <v>1.7283040715096493E-3</v>
      </c>
      <c r="C23" s="62">
        <f t="shared" si="1"/>
        <v>1</v>
      </c>
      <c r="D23" s="82" t="s">
        <v>26</v>
      </c>
      <c r="E23" s="80"/>
      <c r="F23" s="79"/>
      <c r="G23" s="79"/>
      <c r="H23" s="79"/>
      <c r="I23" s="79"/>
      <c r="J23" s="79"/>
      <c r="K23" s="79"/>
      <c r="L23" s="79"/>
      <c r="M23" s="79"/>
      <c r="N23" s="78"/>
    </row>
    <row r="24" spans="1:14" x14ac:dyDescent="0.25">
      <c r="A24" s="119" t="s">
        <v>321</v>
      </c>
      <c r="B24" s="24">
        <f>IFERROR(+GETPIVOTDATA("Unique Billed Hours",'County allocation'!$A$3,"County",A24,"HHA/CDPAP","CDPAP"),0)</f>
        <v>1.8330419841601578E-3</v>
      </c>
      <c r="C24" s="62">
        <f t="shared" si="1"/>
        <v>1</v>
      </c>
      <c r="D24" s="93" t="s">
        <v>94</v>
      </c>
      <c r="E24" s="80"/>
      <c r="F24" s="79"/>
      <c r="G24" s="79"/>
      <c r="H24" s="79"/>
      <c r="I24" s="79"/>
      <c r="J24" s="79"/>
      <c r="K24" s="79"/>
      <c r="L24" s="79"/>
      <c r="M24" s="79"/>
      <c r="N24" s="78"/>
    </row>
    <row r="25" spans="1:14" x14ac:dyDescent="0.25">
      <c r="A25" s="119" t="s">
        <v>322</v>
      </c>
      <c r="B25" s="24">
        <f>IFERROR(+GETPIVOTDATA("Unique Billed Hours",'County allocation'!$A$3,"County",A25,"HHA/CDPAP","CDPAP"),0)</f>
        <v>1.0782221928070756E-4</v>
      </c>
      <c r="C25" s="62">
        <f t="shared" si="1"/>
        <v>1</v>
      </c>
      <c r="D25" s="268" t="s">
        <v>105</v>
      </c>
      <c r="E25" s="76" t="s">
        <v>57</v>
      </c>
      <c r="F25" s="75">
        <f t="shared" ref="F25:K25" si="2">+F$8*$E$20</f>
        <v>53.974324516068158</v>
      </c>
      <c r="G25" s="74">
        <f t="shared" ca="1" si="2"/>
        <v>2148617.2802865636</v>
      </c>
      <c r="H25" s="74">
        <f t="shared" ca="1" si="2"/>
        <v>51082.890042737337</v>
      </c>
      <c r="I25" s="75">
        <f t="shared" si="2"/>
        <v>0</v>
      </c>
      <c r="J25" s="74">
        <f t="shared" si="2"/>
        <v>0</v>
      </c>
      <c r="K25" s="74">
        <f t="shared" si="2"/>
        <v>0</v>
      </c>
      <c r="L25" s="73">
        <f>+I25+F25</f>
        <v>53.974324516068158</v>
      </c>
      <c r="M25" s="72">
        <f ca="1">+J25+G25</f>
        <v>2148617.2802865636</v>
      </c>
      <c r="N25" s="72">
        <f ca="1">+K25+H25</f>
        <v>51082.890042737337</v>
      </c>
    </row>
    <row r="26" spans="1:14" ht="15.75" thickBot="1" x14ac:dyDescent="0.3">
      <c r="A26" s="119" t="s">
        <v>323</v>
      </c>
      <c r="B26" s="24">
        <f>IFERROR(+GETPIVOTDATA("Unique Billed Hours",'County allocation'!$A$3,"County",A26,"HHA/CDPAP","CDPAP"),0)</f>
        <v>1.6613489150790787E-3</v>
      </c>
      <c r="C26" s="62">
        <f t="shared" si="1"/>
        <v>1</v>
      </c>
      <c r="D26" s="71" t="s">
        <v>48</v>
      </c>
      <c r="E26" s="70" t="s">
        <v>56</v>
      </c>
      <c r="F26" s="69">
        <f t="shared" ref="F26:N26" si="3">SUM(F25)</f>
        <v>53.974324516068158</v>
      </c>
      <c r="G26" s="68">
        <f t="shared" ca="1" si="3"/>
        <v>2148617.2802865636</v>
      </c>
      <c r="H26" s="68">
        <f t="shared" ca="1" si="3"/>
        <v>51082.890042737337</v>
      </c>
      <c r="I26" s="69">
        <f t="shared" si="3"/>
        <v>0</v>
      </c>
      <c r="J26" s="68">
        <f t="shared" si="3"/>
        <v>0</v>
      </c>
      <c r="K26" s="68">
        <f t="shared" si="3"/>
        <v>0</v>
      </c>
      <c r="L26" s="69">
        <f t="shared" si="3"/>
        <v>53.974324516068158</v>
      </c>
      <c r="M26" s="68">
        <f t="shared" ca="1" si="3"/>
        <v>2148617.2802865636</v>
      </c>
      <c r="N26" s="68">
        <f t="shared" ca="1" si="3"/>
        <v>51082.890042737337</v>
      </c>
    </row>
    <row r="27" spans="1:14" ht="15.75" hidden="1" thickBot="1" x14ac:dyDescent="0.3">
      <c r="A27" s="119" t="s">
        <v>324</v>
      </c>
      <c r="B27" s="24">
        <f>IFERROR(+GETPIVOTDATA("Unique Billed Hours",'County allocation'!$A$3,"County",A27,"HHA/CDPAP","CDPAP"),0)</f>
        <v>6.5581997416250632E-3</v>
      </c>
    </row>
    <row r="28" spans="1:14" x14ac:dyDescent="0.25">
      <c r="A28" s="302" t="s">
        <v>365</v>
      </c>
      <c r="B28" s="24">
        <f>IFERROR(+GETPIVOTDATA("Unique Billed Hours",'County allocation'!$A$3,"County",A28,"HHA/CDPAP","CDPAP"),0)</f>
        <v>0.19849003913535318</v>
      </c>
      <c r="C28" s="62">
        <f>IF(E28&gt;0,1,0)</f>
        <v>1</v>
      </c>
      <c r="D28" s="936" t="str">
        <f>+A6</f>
        <v>Allegany</v>
      </c>
      <c r="E28" s="951">
        <f>SUMIF(A:A,D28,B:B)</f>
        <v>6.0503815062404201E-4</v>
      </c>
      <c r="F28" s="940" t="s">
        <v>106</v>
      </c>
      <c r="G28" s="941"/>
      <c r="H28" s="942"/>
      <c r="I28" s="940" t="s">
        <v>99</v>
      </c>
      <c r="J28" s="941"/>
      <c r="K28" s="942"/>
      <c r="L28" s="940" t="s">
        <v>98</v>
      </c>
      <c r="M28" s="941"/>
      <c r="N28" s="943"/>
    </row>
    <row r="29" spans="1:14" ht="30" x14ac:dyDescent="0.25">
      <c r="A29" s="119" t="s">
        <v>325</v>
      </c>
      <c r="B29" s="24">
        <f>IFERROR(+GETPIVOTDATA("Unique Billed Hours",'County allocation'!$A$3,"County",A29,"HHA/CDPAP","CDPAP"),0)</f>
        <v>1.5695907928306577E-3</v>
      </c>
      <c r="C29" s="62">
        <f>C28</f>
        <v>1</v>
      </c>
      <c r="D29" s="937"/>
      <c r="E29" s="952"/>
      <c r="F29" s="88" t="s">
        <v>97</v>
      </c>
      <c r="G29" s="88" t="s">
        <v>96</v>
      </c>
      <c r="H29" s="88" t="s">
        <v>95</v>
      </c>
      <c r="I29" s="88" t="s">
        <v>97</v>
      </c>
      <c r="J29" s="88" t="s">
        <v>96</v>
      </c>
      <c r="K29" s="88" t="s">
        <v>95</v>
      </c>
      <c r="L29" s="88" t="s">
        <v>97</v>
      </c>
      <c r="M29" s="88" t="s">
        <v>96</v>
      </c>
      <c r="N29" s="87" t="s">
        <v>95</v>
      </c>
    </row>
    <row r="30" spans="1:14" x14ac:dyDescent="0.25">
      <c r="A30" s="119" t="s">
        <v>326</v>
      </c>
      <c r="B30" s="24">
        <f>IFERROR(+GETPIVOTDATA("Unique Billed Hours",'County allocation'!$A$3,"County",A30,"HHA/CDPAP","CDPAP"),0)</f>
        <v>1.1180611534471463E-3</v>
      </c>
      <c r="C30" s="62">
        <f t="shared" ref="C30:C34" si="4">C29</f>
        <v>1</v>
      </c>
      <c r="D30" s="86"/>
      <c r="E30" s="85"/>
      <c r="F30" s="84" t="s">
        <v>57</v>
      </c>
      <c r="G30" s="84" t="s">
        <v>56</v>
      </c>
      <c r="H30" s="84" t="s">
        <v>55</v>
      </c>
      <c r="I30" s="84" t="s">
        <v>54</v>
      </c>
      <c r="J30" s="84" t="s">
        <v>53</v>
      </c>
      <c r="K30" s="84" t="s">
        <v>52</v>
      </c>
      <c r="L30" s="84" t="s">
        <v>51</v>
      </c>
      <c r="M30" s="84" t="s">
        <v>50</v>
      </c>
      <c r="N30" s="83" t="s">
        <v>49</v>
      </c>
    </row>
    <row r="31" spans="1:14" x14ac:dyDescent="0.25">
      <c r="A31" s="119" t="s">
        <v>327</v>
      </c>
      <c r="B31" s="24">
        <f>IFERROR(+GETPIVOTDATA("Unique Billed Hours",'County allocation'!$A$3,"County",A31,"HHA/CDPAP","CDPAP"),0)</f>
        <v>1.9127199054402991E-3</v>
      </c>
      <c r="C31" s="62">
        <f t="shared" si="4"/>
        <v>1</v>
      </c>
      <c r="D31" s="82" t="s">
        <v>26</v>
      </c>
      <c r="E31" s="80"/>
      <c r="F31" s="79"/>
      <c r="G31" s="79"/>
      <c r="H31" s="79"/>
      <c r="I31" s="79"/>
      <c r="J31" s="79"/>
      <c r="K31" s="79"/>
      <c r="L31" s="79"/>
      <c r="M31" s="79"/>
      <c r="N31" s="78"/>
    </row>
    <row r="32" spans="1:14" x14ac:dyDescent="0.25">
      <c r="A32" s="119" t="s">
        <v>285</v>
      </c>
      <c r="B32" s="24">
        <f>IFERROR(+GETPIVOTDATA("Unique Billed Hours",'County allocation'!$A$3,"County",A32,"HHA/CDPAP","CDPAP"),0)</f>
        <v>3.1956436739103963E-2</v>
      </c>
      <c r="C32" s="62">
        <f t="shared" si="4"/>
        <v>1</v>
      </c>
      <c r="D32" s="93" t="s">
        <v>94</v>
      </c>
      <c r="E32" s="80"/>
      <c r="F32" s="79"/>
      <c r="G32" s="79"/>
      <c r="H32" s="79"/>
      <c r="I32" s="79"/>
      <c r="J32" s="79"/>
      <c r="K32" s="79"/>
      <c r="L32" s="79"/>
      <c r="M32" s="79"/>
      <c r="N32" s="78"/>
    </row>
    <row r="33" spans="1:14" x14ac:dyDescent="0.25">
      <c r="A33" s="119" t="s">
        <v>328</v>
      </c>
      <c r="B33" s="24">
        <f>IFERROR(+GETPIVOTDATA("Unique Billed Hours",'County allocation'!$A$3,"County",A33,"HHA/CDPAP","CDPAP"),0)</f>
        <v>5.4683471425666123E-3</v>
      </c>
      <c r="C33" s="62">
        <f t="shared" si="4"/>
        <v>1</v>
      </c>
      <c r="D33" s="268" t="s">
        <v>105</v>
      </c>
      <c r="E33" s="76" t="s">
        <v>57</v>
      </c>
      <c r="F33" s="75">
        <f t="shared" ref="F33:K33" si="5">+F8*$E$28</f>
        <v>1.1314319036550593</v>
      </c>
      <c r="G33" s="74">
        <f t="shared" ca="1" si="5"/>
        <v>45040.195712631285</v>
      </c>
      <c r="H33" s="74">
        <f t="shared" ca="1" si="5"/>
        <v>1070.8204696114401</v>
      </c>
      <c r="I33" s="75">
        <f t="shared" si="5"/>
        <v>0</v>
      </c>
      <c r="J33" s="74">
        <f t="shared" si="5"/>
        <v>0</v>
      </c>
      <c r="K33" s="74">
        <f t="shared" si="5"/>
        <v>0</v>
      </c>
      <c r="L33" s="73">
        <f>+I33+F33</f>
        <v>1.1314319036550593</v>
      </c>
      <c r="M33" s="72">
        <f ca="1">+J33+G33</f>
        <v>45040.195712631285</v>
      </c>
      <c r="N33" s="72">
        <f ca="1">+K33+H33</f>
        <v>1070.8204696114401</v>
      </c>
    </row>
    <row r="34" spans="1:14" ht="15.75" thickBot="1" x14ac:dyDescent="0.3">
      <c r="A34" s="119" t="s">
        <v>329</v>
      </c>
      <c r="B34" s="24">
        <f>IFERROR(+GETPIVOTDATA("Unique Billed Hours",'County allocation'!$A$3,"County",A34,"HHA/CDPAP","CDPAP"),0)</f>
        <v>5.1693236147688171E-2</v>
      </c>
      <c r="C34" s="62">
        <f t="shared" si="4"/>
        <v>1</v>
      </c>
      <c r="D34" s="71" t="s">
        <v>48</v>
      </c>
      <c r="E34" s="70" t="s">
        <v>56</v>
      </c>
      <c r="F34" s="69">
        <f t="shared" ref="F34:N34" si="6">SUM(F33)</f>
        <v>1.1314319036550593</v>
      </c>
      <c r="G34" s="68">
        <f t="shared" ca="1" si="6"/>
        <v>45040.195712631285</v>
      </c>
      <c r="H34" s="68">
        <f t="shared" ca="1" si="6"/>
        <v>1070.8204696114401</v>
      </c>
      <c r="I34" s="69">
        <f t="shared" si="6"/>
        <v>0</v>
      </c>
      <c r="J34" s="68">
        <f t="shared" si="6"/>
        <v>0</v>
      </c>
      <c r="K34" s="68">
        <f t="shared" si="6"/>
        <v>0</v>
      </c>
      <c r="L34" s="69">
        <f t="shared" si="6"/>
        <v>1.1314319036550593</v>
      </c>
      <c r="M34" s="68">
        <f t="shared" ca="1" si="6"/>
        <v>45040.195712631285</v>
      </c>
      <c r="N34" s="68">
        <f t="shared" ca="1" si="6"/>
        <v>1070.8204696114401</v>
      </c>
    </row>
    <row r="35" spans="1:14" ht="15.75" hidden="1" thickBot="1" x14ac:dyDescent="0.3">
      <c r="A35" s="302" t="s">
        <v>366</v>
      </c>
      <c r="B35" s="24">
        <f>IFERROR(+GETPIVOTDATA("Unique Billed Hours",'County allocation'!$A$3,"County",A35,"HHA/CDPAP","CDPAP"),0)</f>
        <v>6.8695669215824678E-2</v>
      </c>
    </row>
    <row r="36" spans="1:14" x14ac:dyDescent="0.25">
      <c r="A36" s="119" t="s">
        <v>330</v>
      </c>
      <c r="B36" s="24">
        <f>IFERROR(+GETPIVOTDATA("Unique Billed Hours",'County allocation'!$A$3,"County",A36,"HHA/CDPAP","CDPAP"),0)</f>
        <v>5.8328093760351305E-3</v>
      </c>
      <c r="C36" s="62">
        <f>IF(E36&gt;0,1,0)</f>
        <v>1</v>
      </c>
      <c r="D36" s="936" t="str">
        <f>+A7</f>
        <v>Bronx</v>
      </c>
      <c r="E36" s="951">
        <f>SUMIF(A:A,D36,B:B)</f>
        <v>0.10098052035465671</v>
      </c>
      <c r="F36" s="940" t="s">
        <v>106</v>
      </c>
      <c r="G36" s="941"/>
      <c r="H36" s="942"/>
      <c r="I36" s="940" t="s">
        <v>99</v>
      </c>
      <c r="J36" s="941"/>
      <c r="K36" s="942"/>
      <c r="L36" s="940" t="s">
        <v>98</v>
      </c>
      <c r="M36" s="941"/>
      <c r="N36" s="943"/>
    </row>
    <row r="37" spans="1:14" ht="30" x14ac:dyDescent="0.25">
      <c r="A37" s="119" t="s">
        <v>331</v>
      </c>
      <c r="B37" s="24">
        <f>IFERROR(+GETPIVOTDATA("Unique Billed Hours",'County allocation'!$A$3,"County",A37,"HHA/CDPAP","CDPAP"),0)</f>
        <v>7.1008449393757042E-3</v>
      </c>
      <c r="C37" s="62">
        <f>C36</f>
        <v>1</v>
      </c>
      <c r="D37" s="937"/>
      <c r="E37" s="952"/>
      <c r="F37" s="88" t="s">
        <v>97</v>
      </c>
      <c r="G37" s="88" t="s">
        <v>96</v>
      </c>
      <c r="H37" s="88" t="s">
        <v>95</v>
      </c>
      <c r="I37" s="88" t="s">
        <v>97</v>
      </c>
      <c r="J37" s="88" t="s">
        <v>96</v>
      </c>
      <c r="K37" s="88" t="s">
        <v>95</v>
      </c>
      <c r="L37" s="88" t="s">
        <v>97</v>
      </c>
      <c r="M37" s="88" t="s">
        <v>96</v>
      </c>
      <c r="N37" s="87" t="s">
        <v>95</v>
      </c>
    </row>
    <row r="38" spans="1:14" x14ac:dyDescent="0.25">
      <c r="A38" s="119" t="s">
        <v>332</v>
      </c>
      <c r="B38" s="24">
        <f>IFERROR(+GETPIVOTDATA("Unique Billed Hours",'County allocation'!$A$3,"County",A38,"HHA/CDPAP","CDPAP"),0)</f>
        <v>2.2146992270920353E-2</v>
      </c>
      <c r="C38" s="62">
        <f t="shared" ref="C38:C42" si="7">C37</f>
        <v>1</v>
      </c>
      <c r="D38" s="86"/>
      <c r="E38" s="85"/>
      <c r="F38" s="84" t="s">
        <v>57</v>
      </c>
      <c r="G38" s="84" t="s">
        <v>56</v>
      </c>
      <c r="H38" s="84" t="s">
        <v>55</v>
      </c>
      <c r="I38" s="84" t="s">
        <v>54</v>
      </c>
      <c r="J38" s="84" t="s">
        <v>53</v>
      </c>
      <c r="K38" s="84" t="s">
        <v>52</v>
      </c>
      <c r="L38" s="84" t="s">
        <v>51</v>
      </c>
      <c r="M38" s="84" t="s">
        <v>50</v>
      </c>
      <c r="N38" s="83" t="s">
        <v>49</v>
      </c>
    </row>
    <row r="39" spans="1:14" x14ac:dyDescent="0.25">
      <c r="A39" s="119" t="s">
        <v>333</v>
      </c>
      <c r="B39" s="24">
        <f>IFERROR(+GETPIVOTDATA("Unique Billed Hours",'County allocation'!$A$3,"County",A39,"HHA/CDPAP","CDPAP"),0)</f>
        <v>3.0558410502578128E-3</v>
      </c>
      <c r="C39" s="62">
        <f t="shared" si="7"/>
        <v>1</v>
      </c>
      <c r="D39" s="82" t="s">
        <v>26</v>
      </c>
      <c r="E39" s="80"/>
      <c r="F39" s="79"/>
      <c r="G39" s="79"/>
      <c r="H39" s="79"/>
      <c r="I39" s="79"/>
      <c r="J39" s="79"/>
      <c r="K39" s="79"/>
      <c r="L39" s="79"/>
      <c r="M39" s="79"/>
      <c r="N39" s="78"/>
    </row>
    <row r="40" spans="1:14" x14ac:dyDescent="0.25">
      <c r="A40" s="119" t="s">
        <v>334</v>
      </c>
      <c r="B40" s="24">
        <f>IFERROR(+GETPIVOTDATA("Unique Billed Hours",'County allocation'!$A$3,"County",A40,"HHA/CDPAP","CDPAP"),0)</f>
        <v>1.2293981971585183E-2</v>
      </c>
      <c r="C40" s="62">
        <f t="shared" si="7"/>
        <v>1</v>
      </c>
      <c r="D40" s="93" t="s">
        <v>94</v>
      </c>
      <c r="E40" s="80"/>
      <c r="F40" s="79"/>
      <c r="G40" s="79"/>
      <c r="H40" s="79"/>
      <c r="I40" s="79"/>
      <c r="J40" s="79"/>
      <c r="K40" s="79"/>
      <c r="L40" s="79"/>
      <c r="M40" s="79"/>
      <c r="N40" s="78"/>
    </row>
    <row r="41" spans="1:14" x14ac:dyDescent="0.25">
      <c r="A41" s="119" t="s">
        <v>335</v>
      </c>
      <c r="B41" s="24">
        <f>IFERROR(+GETPIVOTDATA("Unique Billed Hours",'County allocation'!$A$3,"County",A41,"HHA/CDPAP","CDPAP"),0)</f>
        <v>1.1805826190968058E-3</v>
      </c>
      <c r="C41" s="62">
        <f t="shared" si="7"/>
        <v>1</v>
      </c>
      <c r="D41" s="268" t="s">
        <v>105</v>
      </c>
      <c r="E41" s="76" t="s">
        <v>57</v>
      </c>
      <c r="F41" s="75">
        <f t="shared" ref="F41:K41" si="8">+F8*$E$36</f>
        <v>188.83533585296485</v>
      </c>
      <c r="G41" s="74">
        <f t="shared" ca="1" si="8"/>
        <v>7517182.8342494555</v>
      </c>
      <c r="H41" s="74">
        <f t="shared" ca="1" si="8"/>
        <v>178719.32227125301</v>
      </c>
      <c r="I41" s="75">
        <f t="shared" si="8"/>
        <v>0</v>
      </c>
      <c r="J41" s="74">
        <f t="shared" si="8"/>
        <v>0</v>
      </c>
      <c r="K41" s="74">
        <f t="shared" si="8"/>
        <v>0</v>
      </c>
      <c r="L41" s="73">
        <f>+I41+F41</f>
        <v>188.83533585296485</v>
      </c>
      <c r="M41" s="72">
        <f ca="1">+J41+G41</f>
        <v>7517182.8342494555</v>
      </c>
      <c r="N41" s="72">
        <f ca="1">+K41+H41</f>
        <v>178719.32227125301</v>
      </c>
    </row>
    <row r="42" spans="1:14" ht="15.75" thickBot="1" x14ac:dyDescent="0.3">
      <c r="A42" s="119" t="s">
        <v>336</v>
      </c>
      <c r="B42" s="24">
        <f>IFERROR(+GETPIVOTDATA("Unique Billed Hours",'County allocation'!$A$3,"County",A42,"HHA/CDPAP","CDPAP"),0)</f>
        <v>3.9130855242887541E-3</v>
      </c>
      <c r="C42" s="62">
        <f t="shared" si="7"/>
        <v>1</v>
      </c>
      <c r="D42" s="71" t="s">
        <v>48</v>
      </c>
      <c r="E42" s="70" t="s">
        <v>56</v>
      </c>
      <c r="F42" s="69">
        <f t="shared" ref="F42:N42" si="9">SUM(F41)</f>
        <v>188.83533585296485</v>
      </c>
      <c r="G42" s="68">
        <f t="shared" ca="1" si="9"/>
        <v>7517182.8342494555</v>
      </c>
      <c r="H42" s="68">
        <f t="shared" ca="1" si="9"/>
        <v>178719.32227125301</v>
      </c>
      <c r="I42" s="69">
        <f t="shared" si="9"/>
        <v>0</v>
      </c>
      <c r="J42" s="68">
        <f t="shared" si="9"/>
        <v>0</v>
      </c>
      <c r="K42" s="68">
        <f t="shared" si="9"/>
        <v>0</v>
      </c>
      <c r="L42" s="69">
        <f t="shared" si="9"/>
        <v>188.83533585296485</v>
      </c>
      <c r="M42" s="68">
        <f t="shared" ca="1" si="9"/>
        <v>7517182.8342494555</v>
      </c>
      <c r="N42" s="68">
        <f t="shared" ca="1" si="9"/>
        <v>178719.32227125301</v>
      </c>
    </row>
    <row r="43" spans="1:14" ht="15.75" hidden="1" thickBot="1" x14ac:dyDescent="0.3">
      <c r="A43" s="119" t="s">
        <v>337</v>
      </c>
      <c r="B43" s="24">
        <f>IFERROR(+GETPIVOTDATA("Unique Billed Hours",'County allocation'!$A$3,"County",A43,"HHA/CDPAP","CDPAP"),0)</f>
        <v>1.6648187600380527E-3</v>
      </c>
    </row>
    <row r="44" spans="1:14" x14ac:dyDescent="0.25">
      <c r="A44" s="119" t="s">
        <v>338</v>
      </c>
      <c r="B44" s="24">
        <f>IFERROR(+GETPIVOTDATA("Unique Billed Hours",'County allocation'!$A$3,"County",A44,"HHA/CDPAP","CDPAP"),0)</f>
        <v>6.9943078478575799E-4</v>
      </c>
      <c r="C44" s="62">
        <f>IF(E44&gt;0,1,0)</f>
        <v>1</v>
      </c>
      <c r="D44" s="936" t="str">
        <f>+A8</f>
        <v>Broome</v>
      </c>
      <c r="E44" s="951">
        <f>SUMIF(A:A,D44,B:B)</f>
        <v>1.3044882123262387E-2</v>
      </c>
      <c r="F44" s="940" t="s">
        <v>106</v>
      </c>
      <c r="G44" s="941"/>
      <c r="H44" s="942"/>
      <c r="I44" s="940" t="s">
        <v>99</v>
      </c>
      <c r="J44" s="941"/>
      <c r="K44" s="942"/>
      <c r="L44" s="940" t="s">
        <v>98</v>
      </c>
      <c r="M44" s="941"/>
      <c r="N44" s="943"/>
    </row>
    <row r="45" spans="1:14" ht="30" x14ac:dyDescent="0.25">
      <c r="A45" s="119" t="s">
        <v>339</v>
      </c>
      <c r="B45" s="24">
        <f>IFERROR(+GETPIVOTDATA("Unique Billed Hours",'County allocation'!$A$3,"County",A45,"HHA/CDPAP","CDPAP"),0)</f>
        <v>0.13455152735828174</v>
      </c>
      <c r="C45" s="62">
        <f>C44</f>
        <v>1</v>
      </c>
      <c r="D45" s="937"/>
      <c r="E45" s="952"/>
      <c r="F45" s="88" t="s">
        <v>97</v>
      </c>
      <c r="G45" s="88" t="s">
        <v>96</v>
      </c>
      <c r="H45" s="88" t="s">
        <v>95</v>
      </c>
      <c r="I45" s="88" t="s">
        <v>97</v>
      </c>
      <c r="J45" s="88" t="s">
        <v>96</v>
      </c>
      <c r="K45" s="88" t="s">
        <v>95</v>
      </c>
      <c r="L45" s="88" t="s">
        <v>97</v>
      </c>
      <c r="M45" s="88" t="s">
        <v>96</v>
      </c>
      <c r="N45" s="87" t="s">
        <v>95</v>
      </c>
    </row>
    <row r="46" spans="1:14" x14ac:dyDescent="0.25">
      <c r="A46" s="119" t="s">
        <v>340</v>
      </c>
      <c r="B46" s="24">
        <f>IFERROR(+GETPIVOTDATA("Unique Billed Hours",'County allocation'!$A$3,"County",A46,"HHA/CDPAP","CDPAP"),0)</f>
        <v>1.1879078473435285E-2</v>
      </c>
      <c r="C46" s="62">
        <f t="shared" ref="C46:C50" si="10">C45</f>
        <v>1</v>
      </c>
      <c r="D46" s="86"/>
      <c r="E46" s="85"/>
      <c r="F46" s="84" t="s">
        <v>57</v>
      </c>
      <c r="G46" s="84" t="s">
        <v>56</v>
      </c>
      <c r="H46" s="84" t="s">
        <v>55</v>
      </c>
      <c r="I46" s="84" t="s">
        <v>54</v>
      </c>
      <c r="J46" s="84" t="s">
        <v>53</v>
      </c>
      <c r="K46" s="84" t="s">
        <v>52</v>
      </c>
      <c r="L46" s="84" t="s">
        <v>51</v>
      </c>
      <c r="M46" s="84" t="s">
        <v>50</v>
      </c>
      <c r="N46" s="83" t="s">
        <v>49</v>
      </c>
    </row>
    <row r="47" spans="1:14" x14ac:dyDescent="0.25">
      <c r="A47" s="302" t="s">
        <v>367</v>
      </c>
      <c r="B47" s="24">
        <f>IFERROR(+GETPIVOTDATA("Unique Billed Hours",'County allocation'!$A$3,"County",A47,"HHA/CDPAP","CDPAP"),0)</f>
        <v>6.7007910925224526E-2</v>
      </c>
      <c r="C47" s="62">
        <f t="shared" si="10"/>
        <v>1</v>
      </c>
      <c r="D47" s="82" t="s">
        <v>26</v>
      </c>
      <c r="E47" s="80"/>
      <c r="F47" s="79"/>
      <c r="G47" s="79"/>
      <c r="H47" s="79"/>
      <c r="I47" s="79"/>
      <c r="J47" s="79"/>
      <c r="K47" s="79"/>
      <c r="L47" s="79"/>
      <c r="M47" s="79"/>
      <c r="N47" s="78"/>
    </row>
    <row r="48" spans="1:14" x14ac:dyDescent="0.25">
      <c r="A48" s="119" t="s">
        <v>341</v>
      </c>
      <c r="B48" s="24">
        <f>IFERROR(+GETPIVOTDATA("Unique Billed Hours",'County allocation'!$A$3,"County",A48,"HHA/CDPAP","CDPAP"),0)</f>
        <v>8.6451829716716073E-3</v>
      </c>
      <c r="C48" s="62">
        <f t="shared" si="10"/>
        <v>1</v>
      </c>
      <c r="D48" s="93" t="s">
        <v>94</v>
      </c>
      <c r="E48" s="80"/>
      <c r="F48" s="79"/>
      <c r="G48" s="79"/>
      <c r="H48" s="79"/>
      <c r="I48" s="79"/>
      <c r="J48" s="79"/>
      <c r="K48" s="79"/>
      <c r="L48" s="79"/>
      <c r="M48" s="79"/>
      <c r="N48" s="78"/>
    </row>
    <row r="49" spans="1:14" x14ac:dyDescent="0.25">
      <c r="A49" s="119" t="s">
        <v>342</v>
      </c>
      <c r="B49" s="24">
        <f>IFERROR(+GETPIVOTDATA("Unique Billed Hours",'County allocation'!$A$3,"County",A49,"HHA/CDPAP","CDPAP"),0)</f>
        <v>2.5221917468452523E-3</v>
      </c>
      <c r="C49" s="62">
        <f t="shared" si="10"/>
        <v>1</v>
      </c>
      <c r="D49" s="268" t="s">
        <v>105</v>
      </c>
      <c r="E49" s="76" t="s">
        <v>57</v>
      </c>
      <c r="F49" s="75">
        <f t="shared" ref="F49:K49" si="11">+F8*$E$44</f>
        <v>24.394157291495809</v>
      </c>
      <c r="G49" s="74">
        <f t="shared" ca="1" si="11"/>
        <v>971085.94437217654</v>
      </c>
      <c r="H49" s="74">
        <f t="shared" ca="1" si="11"/>
        <v>23087.348767759908</v>
      </c>
      <c r="I49" s="75">
        <f t="shared" si="11"/>
        <v>0</v>
      </c>
      <c r="J49" s="74">
        <f t="shared" si="11"/>
        <v>0</v>
      </c>
      <c r="K49" s="74">
        <f t="shared" si="11"/>
        <v>0</v>
      </c>
      <c r="L49" s="73">
        <f>+I49+F49</f>
        <v>24.394157291495809</v>
      </c>
      <c r="M49" s="72">
        <f ca="1">+J49+G49</f>
        <v>971085.94437217654</v>
      </c>
      <c r="N49" s="72">
        <f ca="1">+K49+H49</f>
        <v>23087.348767759908</v>
      </c>
    </row>
    <row r="50" spans="1:14" ht="15.75" thickBot="1" x14ac:dyDescent="0.3">
      <c r="A50" s="119" t="s">
        <v>343</v>
      </c>
      <c r="B50" s="24">
        <f>IFERROR(+GETPIVOTDATA("Unique Billed Hours",'County allocation'!$A$3,"County",A50,"HHA/CDPAP","CDPAP"),0)</f>
        <v>6.3457038660819764E-3</v>
      </c>
      <c r="C50" s="62">
        <f t="shared" si="10"/>
        <v>1</v>
      </c>
      <c r="D50" s="71" t="s">
        <v>48</v>
      </c>
      <c r="E50" s="70" t="s">
        <v>56</v>
      </c>
      <c r="F50" s="69">
        <f t="shared" ref="F50:N50" si="12">SUM(F49)</f>
        <v>24.394157291495809</v>
      </c>
      <c r="G50" s="68">
        <f t="shared" ca="1" si="12"/>
        <v>971085.94437217654</v>
      </c>
      <c r="H50" s="68">
        <f t="shared" ca="1" si="12"/>
        <v>23087.348767759908</v>
      </c>
      <c r="I50" s="69">
        <f t="shared" si="12"/>
        <v>0</v>
      </c>
      <c r="J50" s="68">
        <f t="shared" si="12"/>
        <v>0</v>
      </c>
      <c r="K50" s="68">
        <f t="shared" si="12"/>
        <v>0</v>
      </c>
      <c r="L50" s="69">
        <f t="shared" si="12"/>
        <v>24.394157291495809</v>
      </c>
      <c r="M50" s="68">
        <f t="shared" ca="1" si="12"/>
        <v>971085.94437217654</v>
      </c>
      <c r="N50" s="68">
        <f t="shared" ca="1" si="12"/>
        <v>23087.348767759908</v>
      </c>
    </row>
    <row r="51" spans="1:14" ht="15.75" hidden="1" thickBot="1" x14ac:dyDescent="0.3">
      <c r="A51" s="119" t="s">
        <v>344</v>
      </c>
      <c r="B51" s="24">
        <f>IFERROR(+GETPIVOTDATA("Unique Billed Hours",'County allocation'!$A$3,"County",A51,"HHA/CDPAP","CDPAP"),0)</f>
        <v>3.6612583135718163E-2</v>
      </c>
    </row>
    <row r="52" spans="1:14" x14ac:dyDescent="0.25">
      <c r="A52" s="119" t="s">
        <v>345</v>
      </c>
      <c r="B52" s="24">
        <f>IFERROR(+GETPIVOTDATA("Unique Billed Hours",'County allocation'!$A$3,"County",A52,"HHA/CDPAP","CDPAP"),0)</f>
        <v>2.3823698462762297E-3</v>
      </c>
      <c r="C52" s="62">
        <f>IF(E52&gt;0,1,0)</f>
        <v>1</v>
      </c>
      <c r="D52" s="936" t="str">
        <f>+A9</f>
        <v>Cattaraugus</v>
      </c>
      <c r="E52" s="951">
        <f>SUMIF(A:A,D52,B:B)</f>
        <v>2.4245220368889499E-3</v>
      </c>
      <c r="F52" s="940" t="s">
        <v>106</v>
      </c>
      <c r="G52" s="941"/>
      <c r="H52" s="942"/>
      <c r="I52" s="940" t="s">
        <v>99</v>
      </c>
      <c r="J52" s="941"/>
      <c r="K52" s="942"/>
      <c r="L52" s="940" t="s">
        <v>98</v>
      </c>
      <c r="M52" s="941"/>
      <c r="N52" s="943"/>
    </row>
    <row r="53" spans="1:14" ht="30" x14ac:dyDescent="0.25">
      <c r="A53" s="119" t="s">
        <v>346</v>
      </c>
      <c r="B53" s="24">
        <f>IFERROR(+GETPIVOTDATA("Unique Billed Hours",'County allocation'!$A$3,"County",A53,"HHA/CDPAP","CDPAP"),0)</f>
        <v>6.2373675956962351E-4</v>
      </c>
      <c r="C53" s="62">
        <f>C52</f>
        <v>1</v>
      </c>
      <c r="D53" s="937"/>
      <c r="E53" s="952"/>
      <c r="F53" s="88" t="s">
        <v>97</v>
      </c>
      <c r="G53" s="88" t="s">
        <v>96</v>
      </c>
      <c r="H53" s="88" t="s">
        <v>95</v>
      </c>
      <c r="I53" s="88" t="s">
        <v>97</v>
      </c>
      <c r="J53" s="88" t="s">
        <v>96</v>
      </c>
      <c r="K53" s="88" t="s">
        <v>95</v>
      </c>
      <c r="L53" s="88" t="s">
        <v>97</v>
      </c>
      <c r="M53" s="88" t="s">
        <v>96</v>
      </c>
      <c r="N53" s="87" t="s">
        <v>95</v>
      </c>
    </row>
    <row r="54" spans="1:14" x14ac:dyDescent="0.25">
      <c r="A54" s="119" t="s">
        <v>347</v>
      </c>
      <c r="B54" s="24">
        <f>IFERROR(+GETPIVOTDATA("Unique Billed Hours",'County allocation'!$A$3,"County",A54,"HHA/CDPAP","CDPAP"),0)</f>
        <v>5.0916761953535567E-4</v>
      </c>
      <c r="C54" s="62">
        <f t="shared" ref="C54:C58" si="13">C53</f>
        <v>1</v>
      </c>
      <c r="D54" s="86"/>
      <c r="E54" s="85"/>
      <c r="F54" s="84" t="s">
        <v>57</v>
      </c>
      <c r="G54" s="84" t="s">
        <v>56</v>
      </c>
      <c r="H54" s="84" t="s">
        <v>55</v>
      </c>
      <c r="I54" s="84" t="s">
        <v>54</v>
      </c>
      <c r="J54" s="84" t="s">
        <v>53</v>
      </c>
      <c r="K54" s="84" t="s">
        <v>52</v>
      </c>
      <c r="L54" s="84" t="s">
        <v>51</v>
      </c>
      <c r="M54" s="84" t="s">
        <v>50</v>
      </c>
      <c r="N54" s="83" t="s">
        <v>49</v>
      </c>
    </row>
    <row r="55" spans="1:14" x14ac:dyDescent="0.25">
      <c r="A55" s="119" t="s">
        <v>348</v>
      </c>
      <c r="B55" s="24">
        <f>IFERROR(+GETPIVOTDATA("Unique Billed Hours",'County allocation'!$A$3,"County",A55,"HHA/CDPAP","CDPAP"),0)</f>
        <v>2.7722133530557608E-3</v>
      </c>
      <c r="C55" s="62">
        <f t="shared" si="13"/>
        <v>1</v>
      </c>
      <c r="D55" s="82" t="s">
        <v>26</v>
      </c>
      <c r="E55" s="80"/>
      <c r="F55" s="79"/>
      <c r="G55" s="79"/>
      <c r="H55" s="79"/>
      <c r="I55" s="79"/>
      <c r="J55" s="79"/>
      <c r="K55" s="79"/>
      <c r="L55" s="79"/>
      <c r="M55" s="79"/>
      <c r="N55" s="78"/>
    </row>
    <row r="56" spans="1:14" x14ac:dyDescent="0.25">
      <c r="A56" s="119" t="s">
        <v>349</v>
      </c>
      <c r="B56" s="24">
        <f>IFERROR(+GETPIVOTDATA("Unique Billed Hours",'County allocation'!$A$3,"County",A56,"HHA/CDPAP","CDPAP"),0)</f>
        <v>4.7178453804958088E-2</v>
      </c>
      <c r="C56" s="62">
        <f t="shared" si="13"/>
        <v>1</v>
      </c>
      <c r="D56" s="93" t="s">
        <v>94</v>
      </c>
      <c r="E56" s="80"/>
      <c r="F56" s="79"/>
      <c r="G56" s="79"/>
      <c r="H56" s="79"/>
      <c r="I56" s="79"/>
      <c r="J56" s="79"/>
      <c r="K56" s="79"/>
      <c r="L56" s="79"/>
      <c r="M56" s="79"/>
      <c r="N56" s="78"/>
    </row>
    <row r="57" spans="1:14" x14ac:dyDescent="0.25">
      <c r="A57" s="119" t="s">
        <v>350</v>
      </c>
      <c r="B57" s="24">
        <f>IFERROR(+GETPIVOTDATA("Unique Billed Hours",'County allocation'!$A$3,"County",A57,"HHA/CDPAP","CDPAP"),0)</f>
        <v>2.5908175693671806E-3</v>
      </c>
      <c r="C57" s="62">
        <f t="shared" si="13"/>
        <v>1</v>
      </c>
      <c r="D57" s="268" t="s">
        <v>105</v>
      </c>
      <c r="E57" s="76" t="s">
        <v>57</v>
      </c>
      <c r="F57" s="75">
        <f t="shared" ref="F57:K57" si="14">+F8*$E$52</f>
        <v>4.5338985332107793</v>
      </c>
      <c r="G57" s="74">
        <f t="shared" ca="1" si="14"/>
        <v>180486.05189347957</v>
      </c>
      <c r="H57" s="74">
        <f t="shared" ca="1" si="14"/>
        <v>4291.0150763996244</v>
      </c>
      <c r="I57" s="75">
        <f t="shared" si="14"/>
        <v>0</v>
      </c>
      <c r="J57" s="74">
        <f t="shared" si="14"/>
        <v>0</v>
      </c>
      <c r="K57" s="74">
        <f t="shared" si="14"/>
        <v>0</v>
      </c>
      <c r="L57" s="73">
        <f>+I57+F57</f>
        <v>4.5338985332107793</v>
      </c>
      <c r="M57" s="72">
        <f ca="1">+J57+G57</f>
        <v>180486.05189347957</v>
      </c>
      <c r="N57" s="72">
        <f ca="1">+K57+H57</f>
        <v>4291.0150763996244</v>
      </c>
    </row>
    <row r="58" spans="1:14" ht="15.75" thickBot="1" x14ac:dyDescent="0.3">
      <c r="A58" s="119" t="s">
        <v>351</v>
      </c>
      <c r="B58" s="24">
        <f>IFERROR(+GETPIVOTDATA("Unique Billed Hours",'County allocation'!$A$3,"County",A58,"HHA/CDPAP","CDPAP"),0)</f>
        <v>1.4345881213713213E-3</v>
      </c>
      <c r="C58" s="62">
        <f t="shared" si="13"/>
        <v>1</v>
      </c>
      <c r="D58" s="71" t="s">
        <v>48</v>
      </c>
      <c r="E58" s="70" t="s">
        <v>56</v>
      </c>
      <c r="F58" s="69">
        <f t="shared" ref="F58:N58" si="15">SUM(F57)</f>
        <v>4.5338985332107793</v>
      </c>
      <c r="G58" s="68">
        <f t="shared" ca="1" si="15"/>
        <v>180486.05189347957</v>
      </c>
      <c r="H58" s="68">
        <f t="shared" ca="1" si="15"/>
        <v>4291.0150763996244</v>
      </c>
      <c r="I58" s="69">
        <f t="shared" si="15"/>
        <v>0</v>
      </c>
      <c r="J58" s="68">
        <f t="shared" si="15"/>
        <v>0</v>
      </c>
      <c r="K58" s="68">
        <f t="shared" si="15"/>
        <v>0</v>
      </c>
      <c r="L58" s="69">
        <f t="shared" si="15"/>
        <v>4.5338985332107793</v>
      </c>
      <c r="M58" s="68">
        <f t="shared" ca="1" si="15"/>
        <v>180486.05189347957</v>
      </c>
      <c r="N58" s="68">
        <f t="shared" ca="1" si="15"/>
        <v>4291.0150763996244</v>
      </c>
    </row>
    <row r="59" spans="1:14" ht="15.75" hidden="1" thickBot="1" x14ac:dyDescent="0.3">
      <c r="A59" s="119" t="s">
        <v>352</v>
      </c>
      <c r="B59" s="24">
        <f>IFERROR(+GETPIVOTDATA("Unique Billed Hours",'County allocation'!$A$3,"County",A59,"HHA/CDPAP","CDPAP"),0)</f>
        <v>1.0364555405231305E-3</v>
      </c>
    </row>
    <row r="60" spans="1:14" x14ac:dyDescent="0.25">
      <c r="A60" s="119" t="s">
        <v>353</v>
      </c>
      <c r="B60" s="24">
        <f>IFERROR(+GETPIVOTDATA("Unique Billed Hours",'County allocation'!$A$3,"County",A60,"HHA/CDPAP","CDPAP"),0)</f>
        <v>8.5279793197240439E-3</v>
      </c>
      <c r="C60" s="62">
        <f>IF(E60&gt;0,1,0)</f>
        <v>1</v>
      </c>
      <c r="D60" s="936" t="str">
        <f>+A10</f>
        <v>Cayuga</v>
      </c>
      <c r="E60" s="951">
        <f>SUMIF(A:A,D60,B:B)</f>
        <v>2.2764753186393966E-3</v>
      </c>
      <c r="F60" s="940" t="s">
        <v>106</v>
      </c>
      <c r="G60" s="941"/>
      <c r="H60" s="942"/>
      <c r="I60" s="940" t="s">
        <v>99</v>
      </c>
      <c r="J60" s="941"/>
      <c r="K60" s="942"/>
      <c r="L60" s="940" t="s">
        <v>98</v>
      </c>
      <c r="M60" s="941"/>
      <c r="N60" s="943"/>
    </row>
    <row r="61" spans="1:14" ht="30" x14ac:dyDescent="0.25">
      <c r="A61" s="119" t="s">
        <v>354</v>
      </c>
      <c r="B61" s="24">
        <f>IFERROR(+GETPIVOTDATA("Unique Billed Hours",'County allocation'!$A$3,"County",A61,"HHA/CDPAP","CDPAP"),0)</f>
        <v>1.4283552517227942E-3</v>
      </c>
      <c r="C61" s="62">
        <f>C60</f>
        <v>1</v>
      </c>
      <c r="D61" s="937"/>
      <c r="E61" s="952"/>
      <c r="F61" s="88" t="s">
        <v>97</v>
      </c>
      <c r="G61" s="88" t="s">
        <v>96</v>
      </c>
      <c r="H61" s="88" t="s">
        <v>95</v>
      </c>
      <c r="I61" s="88" t="s">
        <v>97</v>
      </c>
      <c r="J61" s="88" t="s">
        <v>96</v>
      </c>
      <c r="K61" s="88" t="s">
        <v>95</v>
      </c>
      <c r="L61" s="88" t="s">
        <v>97</v>
      </c>
      <c r="M61" s="88" t="s">
        <v>96</v>
      </c>
      <c r="N61" s="87" t="s">
        <v>95</v>
      </c>
    </row>
    <row r="62" spans="1:14" x14ac:dyDescent="0.25">
      <c r="A62" s="119" t="s">
        <v>355</v>
      </c>
      <c r="B62" s="24">
        <f>IFERROR(+GETPIVOTDATA("Unique Billed Hours",'County allocation'!$A$3,"County",A62,"HHA/CDPAP","CDPAP"),0)</f>
        <v>2.2537928136298082E-3</v>
      </c>
      <c r="C62" s="62">
        <f t="shared" ref="C62:C66" si="16">C61</f>
        <v>1</v>
      </c>
      <c r="D62" s="86"/>
      <c r="E62" s="85"/>
      <c r="F62" s="84" t="s">
        <v>57</v>
      </c>
      <c r="G62" s="84" t="s">
        <v>56</v>
      </c>
      <c r="H62" s="84" t="s">
        <v>55</v>
      </c>
      <c r="I62" s="84" t="s">
        <v>54</v>
      </c>
      <c r="J62" s="84" t="s">
        <v>53</v>
      </c>
      <c r="K62" s="84" t="s">
        <v>52</v>
      </c>
      <c r="L62" s="84" t="s">
        <v>51</v>
      </c>
      <c r="M62" s="84" t="s">
        <v>50</v>
      </c>
      <c r="N62" s="83" t="s">
        <v>49</v>
      </c>
    </row>
    <row r="63" spans="1:14" x14ac:dyDescent="0.25">
      <c r="A63" s="119" t="s">
        <v>361</v>
      </c>
      <c r="B63" s="24">
        <f>IFERROR(+GETPIVOTDATA("Unique Billed Hours",'County allocation'!$A$3,"County",A63,"HHA/CDPAP","CDPAP"),0)</f>
        <v>8.7420816049703603E-4</v>
      </c>
      <c r="C63" s="62">
        <f t="shared" si="16"/>
        <v>1</v>
      </c>
      <c r="D63" s="82" t="s">
        <v>26</v>
      </c>
      <c r="E63" s="80"/>
      <c r="F63" s="79"/>
      <c r="G63" s="79"/>
      <c r="H63" s="79"/>
      <c r="I63" s="79"/>
      <c r="J63" s="79"/>
      <c r="K63" s="79"/>
      <c r="L63" s="79"/>
      <c r="M63" s="79"/>
      <c r="N63" s="78"/>
    </row>
    <row r="64" spans="1:14" x14ac:dyDescent="0.25">
      <c r="A64" s="119" t="s">
        <v>362</v>
      </c>
      <c r="B64" s="24">
        <f>IFERROR(+GETPIVOTDATA("Unique Billed Hours",'County allocation'!$A$3,"County",A64,"HHA/CDPAP","CDPAP"),0)</f>
        <v>2.408470791134289E-2</v>
      </c>
      <c r="C64" s="62">
        <f t="shared" si="16"/>
        <v>1</v>
      </c>
      <c r="D64" s="93" t="s">
        <v>94</v>
      </c>
      <c r="E64" s="80"/>
      <c r="F64" s="79"/>
      <c r="G64" s="79"/>
      <c r="H64" s="79"/>
      <c r="I64" s="79"/>
      <c r="J64" s="79"/>
      <c r="K64" s="79"/>
      <c r="L64" s="79"/>
      <c r="M64" s="79"/>
      <c r="N64" s="78"/>
    </row>
    <row r="65" spans="1:14" x14ac:dyDescent="0.25">
      <c r="A65" s="119" t="s">
        <v>363</v>
      </c>
      <c r="B65" s="24">
        <f>IFERROR(+GETPIVOTDATA("Unique Billed Hours",'County allocation'!$A$3,"County",A65,"HHA/CDPAP","CDPAP"),0)</f>
        <v>6.0201810038197211E-4</v>
      </c>
      <c r="C65" s="62">
        <f t="shared" si="16"/>
        <v>1</v>
      </c>
      <c r="D65" s="268" t="s">
        <v>105</v>
      </c>
      <c r="E65" s="76" t="s">
        <v>57</v>
      </c>
      <c r="F65" s="75">
        <f t="shared" ref="F65:K65" si="17">+F8*$E$60</f>
        <v>4.2570485856724121</v>
      </c>
      <c r="G65" s="74">
        <f t="shared" ca="1" si="17"/>
        <v>169465.1713792588</v>
      </c>
      <c r="H65" s="74">
        <f t="shared" ca="1" si="17"/>
        <v>4028.9961339628398</v>
      </c>
      <c r="I65" s="75">
        <f t="shared" si="17"/>
        <v>0</v>
      </c>
      <c r="J65" s="74">
        <f t="shared" si="17"/>
        <v>0</v>
      </c>
      <c r="K65" s="74">
        <f t="shared" si="17"/>
        <v>0</v>
      </c>
      <c r="L65" s="73">
        <f>+I65+F65</f>
        <v>4.2570485856724121</v>
      </c>
      <c r="M65" s="72">
        <f ca="1">+J65+G65</f>
        <v>169465.1713792588</v>
      </c>
      <c r="N65" s="72">
        <f ca="1">+K65+H65</f>
        <v>4028.9961339628398</v>
      </c>
    </row>
    <row r="66" spans="1:14" ht="15.75" thickBot="1" x14ac:dyDescent="0.3">
      <c r="A66" s="119" t="s">
        <v>364</v>
      </c>
      <c r="B66" s="24">
        <f>IFERROR(+GETPIVOTDATA("Unique Billed Hours",'County allocation'!$A$3,"County",A66,"HHA/CDPAP","CDPAP"),0)</f>
        <v>8.2460222886133507E-4</v>
      </c>
      <c r="C66" s="62">
        <f t="shared" si="16"/>
        <v>1</v>
      </c>
      <c r="D66" s="71" t="s">
        <v>48</v>
      </c>
      <c r="E66" s="70" t="s">
        <v>56</v>
      </c>
      <c r="F66" s="69">
        <f t="shared" ref="F66:N66" si="18">SUM(F65)</f>
        <v>4.2570485856724121</v>
      </c>
      <c r="G66" s="68">
        <f t="shared" ca="1" si="18"/>
        <v>169465.1713792588</v>
      </c>
      <c r="H66" s="68">
        <f t="shared" ca="1" si="18"/>
        <v>4028.9961339628398</v>
      </c>
      <c r="I66" s="69">
        <f t="shared" si="18"/>
        <v>0</v>
      </c>
      <c r="J66" s="68">
        <f t="shared" si="18"/>
        <v>0</v>
      </c>
      <c r="K66" s="68">
        <f t="shared" si="18"/>
        <v>0</v>
      </c>
      <c r="L66" s="69">
        <f t="shared" si="18"/>
        <v>4.2570485856724121</v>
      </c>
      <c r="M66" s="68">
        <f t="shared" ca="1" si="18"/>
        <v>169465.1713792588</v>
      </c>
      <c r="N66" s="68">
        <f t="shared" ca="1" si="18"/>
        <v>4028.9961339628398</v>
      </c>
    </row>
    <row r="67" spans="1:14" ht="15.75" hidden="1" thickBot="1" x14ac:dyDescent="0.3"/>
    <row r="68" spans="1:14" x14ac:dyDescent="0.25">
      <c r="C68" s="62">
        <f>IF(E68&gt;0,1,0)</f>
        <v>1</v>
      </c>
      <c r="D68" s="936" t="str">
        <f>+A11</f>
        <v>Chautauqua</v>
      </c>
      <c r="E68" s="951">
        <f>SUMIF(A:A,D68,B:B)</f>
        <v>4.8428754605175017E-3</v>
      </c>
      <c r="F68" s="940" t="s">
        <v>106</v>
      </c>
      <c r="G68" s="941"/>
      <c r="H68" s="942"/>
      <c r="I68" s="940" t="s">
        <v>99</v>
      </c>
      <c r="J68" s="941"/>
      <c r="K68" s="942"/>
      <c r="L68" s="940" t="s">
        <v>98</v>
      </c>
      <c r="M68" s="941"/>
      <c r="N68" s="943"/>
    </row>
    <row r="69" spans="1:14" ht="30" x14ac:dyDescent="0.25">
      <c r="C69" s="62">
        <f>C68</f>
        <v>1</v>
      </c>
      <c r="D69" s="937"/>
      <c r="E69" s="952"/>
      <c r="F69" s="88" t="s">
        <v>97</v>
      </c>
      <c r="G69" s="88" t="s">
        <v>96</v>
      </c>
      <c r="H69" s="88" t="s">
        <v>95</v>
      </c>
      <c r="I69" s="88" t="s">
        <v>97</v>
      </c>
      <c r="J69" s="88" t="s">
        <v>96</v>
      </c>
      <c r="K69" s="88" t="s">
        <v>95</v>
      </c>
      <c r="L69" s="88" t="s">
        <v>97</v>
      </c>
      <c r="M69" s="88" t="s">
        <v>96</v>
      </c>
      <c r="N69" s="87" t="s">
        <v>95</v>
      </c>
    </row>
    <row r="70" spans="1:14" x14ac:dyDescent="0.25">
      <c r="C70" s="62">
        <f t="shared" ref="C70:C74" si="19">C69</f>
        <v>1</v>
      </c>
      <c r="D70" s="86"/>
      <c r="E70" s="85"/>
      <c r="F70" s="84" t="s">
        <v>57</v>
      </c>
      <c r="G70" s="84" t="s">
        <v>56</v>
      </c>
      <c r="H70" s="84" t="s">
        <v>55</v>
      </c>
      <c r="I70" s="84" t="s">
        <v>54</v>
      </c>
      <c r="J70" s="84" t="s">
        <v>53</v>
      </c>
      <c r="K70" s="84" t="s">
        <v>52</v>
      </c>
      <c r="L70" s="84" t="s">
        <v>51</v>
      </c>
      <c r="M70" s="84" t="s">
        <v>50</v>
      </c>
      <c r="N70" s="83" t="s">
        <v>49</v>
      </c>
    </row>
    <row r="71" spans="1:14" x14ac:dyDescent="0.25">
      <c r="C71" s="62">
        <f t="shared" si="19"/>
        <v>1</v>
      </c>
      <c r="D71" s="82" t="s">
        <v>26</v>
      </c>
      <c r="E71" s="80"/>
      <c r="F71" s="79"/>
      <c r="G71" s="79"/>
      <c r="H71" s="79"/>
      <c r="I71" s="79"/>
      <c r="J71" s="79"/>
      <c r="K71" s="79"/>
      <c r="L71" s="79"/>
      <c r="M71" s="79"/>
      <c r="N71" s="78"/>
    </row>
    <row r="72" spans="1:14" x14ac:dyDescent="0.25">
      <c r="C72" s="62">
        <f t="shared" si="19"/>
        <v>1</v>
      </c>
      <c r="D72" s="93" t="s">
        <v>94</v>
      </c>
      <c r="E72" s="80"/>
      <c r="F72" s="79"/>
      <c r="G72" s="79"/>
      <c r="H72" s="79"/>
      <c r="I72" s="79"/>
      <c r="J72" s="79"/>
      <c r="K72" s="79"/>
      <c r="L72" s="79"/>
      <c r="M72" s="79"/>
      <c r="N72" s="78"/>
    </row>
    <row r="73" spans="1:14" x14ac:dyDescent="0.25">
      <c r="C73" s="62">
        <f t="shared" si="19"/>
        <v>1</v>
      </c>
      <c r="D73" s="268" t="s">
        <v>105</v>
      </c>
      <c r="E73" s="76" t="s">
        <v>57</v>
      </c>
      <c r="F73" s="75">
        <f t="shared" ref="F73:K73" si="20">+F8*$E$68</f>
        <v>9.0562616519407921</v>
      </c>
      <c r="G73" s="74">
        <f t="shared" ca="1" si="20"/>
        <v>360512.90043219994</v>
      </c>
      <c r="H73" s="74">
        <f t="shared" ca="1" si="20"/>
        <v>8571.1126968643821</v>
      </c>
      <c r="I73" s="75">
        <f t="shared" si="20"/>
        <v>0</v>
      </c>
      <c r="J73" s="74">
        <f t="shared" si="20"/>
        <v>0</v>
      </c>
      <c r="K73" s="74">
        <f t="shared" si="20"/>
        <v>0</v>
      </c>
      <c r="L73" s="73">
        <f>+I73+F73</f>
        <v>9.0562616519407921</v>
      </c>
      <c r="M73" s="72">
        <f ca="1">+J73+G73</f>
        <v>360512.90043219994</v>
      </c>
      <c r="N73" s="72">
        <f ca="1">+K73+H73</f>
        <v>8571.1126968643821</v>
      </c>
    </row>
    <row r="74" spans="1:14" ht="15.75" thickBot="1" x14ac:dyDescent="0.3">
      <c r="C74" s="62">
        <f t="shared" si="19"/>
        <v>1</v>
      </c>
      <c r="D74" s="71" t="s">
        <v>48</v>
      </c>
      <c r="E74" s="70" t="s">
        <v>56</v>
      </c>
      <c r="F74" s="69">
        <f t="shared" ref="F74:N74" si="21">SUM(F73)</f>
        <v>9.0562616519407921</v>
      </c>
      <c r="G74" s="68">
        <f t="shared" ca="1" si="21"/>
        <v>360512.90043219994</v>
      </c>
      <c r="H74" s="68">
        <f t="shared" ca="1" si="21"/>
        <v>8571.1126968643821</v>
      </c>
      <c r="I74" s="69">
        <f t="shared" si="21"/>
        <v>0</v>
      </c>
      <c r="J74" s="68">
        <f t="shared" si="21"/>
        <v>0</v>
      </c>
      <c r="K74" s="68">
        <f t="shared" si="21"/>
        <v>0</v>
      </c>
      <c r="L74" s="69">
        <f t="shared" si="21"/>
        <v>9.0562616519407921</v>
      </c>
      <c r="M74" s="68">
        <f t="shared" ca="1" si="21"/>
        <v>360512.90043219994</v>
      </c>
      <c r="N74" s="68">
        <f t="shared" ca="1" si="21"/>
        <v>8571.1126968643821</v>
      </c>
    </row>
    <row r="75" spans="1:14" ht="15.75" hidden="1" thickBot="1" x14ac:dyDescent="0.3"/>
    <row r="76" spans="1:14" x14ac:dyDescent="0.25">
      <c r="C76" s="62">
        <f>IF(E76&gt;0,1,0)</f>
        <v>1</v>
      </c>
      <c r="D76" s="936" t="str">
        <f>+A12</f>
        <v>Chemung</v>
      </c>
      <c r="E76" s="951">
        <f>SUMIF(A:A,D76,B:B)</f>
        <v>4.5517940222924687E-3</v>
      </c>
      <c r="F76" s="940" t="s">
        <v>106</v>
      </c>
      <c r="G76" s="941"/>
      <c r="H76" s="942"/>
      <c r="I76" s="940" t="s">
        <v>99</v>
      </c>
      <c r="J76" s="941"/>
      <c r="K76" s="942"/>
      <c r="L76" s="940" t="s">
        <v>98</v>
      </c>
      <c r="M76" s="941"/>
      <c r="N76" s="943"/>
    </row>
    <row r="77" spans="1:14" ht="30" x14ac:dyDescent="0.25">
      <c r="C77" s="62">
        <f>C76</f>
        <v>1</v>
      </c>
      <c r="D77" s="937"/>
      <c r="E77" s="952"/>
      <c r="F77" s="88" t="s">
        <v>97</v>
      </c>
      <c r="G77" s="88" t="s">
        <v>96</v>
      </c>
      <c r="H77" s="88" t="s">
        <v>95</v>
      </c>
      <c r="I77" s="88" t="s">
        <v>97</v>
      </c>
      <c r="J77" s="88" t="s">
        <v>96</v>
      </c>
      <c r="K77" s="88" t="s">
        <v>95</v>
      </c>
      <c r="L77" s="88" t="s">
        <v>97</v>
      </c>
      <c r="M77" s="88" t="s">
        <v>96</v>
      </c>
      <c r="N77" s="87" t="s">
        <v>95</v>
      </c>
    </row>
    <row r="78" spans="1:14" x14ac:dyDescent="0.25">
      <c r="C78" s="62">
        <f t="shared" ref="C78:C82" si="22">C77</f>
        <v>1</v>
      </c>
      <c r="D78" s="86"/>
      <c r="E78" s="85"/>
      <c r="F78" s="84" t="s">
        <v>57</v>
      </c>
      <c r="G78" s="84" t="s">
        <v>56</v>
      </c>
      <c r="H78" s="84" t="s">
        <v>55</v>
      </c>
      <c r="I78" s="84" t="s">
        <v>54</v>
      </c>
      <c r="J78" s="84" t="s">
        <v>53</v>
      </c>
      <c r="K78" s="84" t="s">
        <v>52</v>
      </c>
      <c r="L78" s="84" t="s">
        <v>51</v>
      </c>
      <c r="M78" s="84" t="s">
        <v>50</v>
      </c>
      <c r="N78" s="83" t="s">
        <v>49</v>
      </c>
    </row>
    <row r="79" spans="1:14" x14ac:dyDescent="0.25">
      <c r="C79" s="62">
        <f t="shared" si="22"/>
        <v>1</v>
      </c>
      <c r="D79" s="82" t="s">
        <v>26</v>
      </c>
      <c r="E79" s="80"/>
      <c r="F79" s="79"/>
      <c r="G79" s="79"/>
      <c r="H79" s="79"/>
      <c r="I79" s="79"/>
      <c r="J79" s="79"/>
      <c r="K79" s="79"/>
      <c r="L79" s="79"/>
      <c r="M79" s="79"/>
      <c r="N79" s="78"/>
    </row>
    <row r="80" spans="1:14" x14ac:dyDescent="0.25">
      <c r="C80" s="62">
        <f t="shared" si="22"/>
        <v>1</v>
      </c>
      <c r="D80" s="93" t="s">
        <v>94</v>
      </c>
      <c r="E80" s="80"/>
      <c r="F80" s="79"/>
      <c r="G80" s="79"/>
      <c r="H80" s="79"/>
      <c r="I80" s="79"/>
      <c r="J80" s="79"/>
      <c r="K80" s="79"/>
      <c r="L80" s="79"/>
      <c r="M80" s="79"/>
      <c r="N80" s="78"/>
    </row>
    <row r="81" spans="3:14" x14ac:dyDescent="0.25">
      <c r="C81" s="62">
        <f t="shared" si="22"/>
        <v>1</v>
      </c>
      <c r="D81" s="268" t="s">
        <v>105</v>
      </c>
      <c r="E81" s="76" t="s">
        <v>57</v>
      </c>
      <c r="F81" s="75">
        <f t="shared" ref="F81:K81" si="23">+F8*$E$76</f>
        <v>8.5119342811296814</v>
      </c>
      <c r="G81" s="74">
        <f t="shared" ca="1" si="23"/>
        <v>338844.24212950026</v>
      </c>
      <c r="H81" s="74">
        <f t="shared" ca="1" si="23"/>
        <v>8055.9452449378923</v>
      </c>
      <c r="I81" s="75">
        <f t="shared" si="23"/>
        <v>0</v>
      </c>
      <c r="J81" s="74">
        <f t="shared" si="23"/>
        <v>0</v>
      </c>
      <c r="K81" s="74">
        <f t="shared" si="23"/>
        <v>0</v>
      </c>
      <c r="L81" s="73">
        <f>+I81+F81</f>
        <v>8.5119342811296814</v>
      </c>
      <c r="M81" s="72">
        <f ca="1">+J81+G81</f>
        <v>338844.24212950026</v>
      </c>
      <c r="N81" s="72">
        <f ca="1">+K81+H81</f>
        <v>8055.9452449378923</v>
      </c>
    </row>
    <row r="82" spans="3:14" ht="15.75" thickBot="1" x14ac:dyDescent="0.3">
      <c r="C82" s="62">
        <f t="shared" si="22"/>
        <v>1</v>
      </c>
      <c r="D82" s="71" t="s">
        <v>48</v>
      </c>
      <c r="E82" s="70" t="s">
        <v>56</v>
      </c>
      <c r="F82" s="69">
        <f t="shared" ref="F82:N82" si="24">SUM(F81)</f>
        <v>8.5119342811296814</v>
      </c>
      <c r="G82" s="68">
        <f t="shared" ca="1" si="24"/>
        <v>338844.24212950026</v>
      </c>
      <c r="H82" s="68">
        <f t="shared" ca="1" si="24"/>
        <v>8055.9452449378923</v>
      </c>
      <c r="I82" s="69">
        <f t="shared" si="24"/>
        <v>0</v>
      </c>
      <c r="J82" s="68">
        <f t="shared" si="24"/>
        <v>0</v>
      </c>
      <c r="K82" s="68">
        <f t="shared" si="24"/>
        <v>0</v>
      </c>
      <c r="L82" s="69">
        <f t="shared" si="24"/>
        <v>8.5119342811296814</v>
      </c>
      <c r="M82" s="68">
        <f t="shared" ca="1" si="24"/>
        <v>338844.24212950026</v>
      </c>
      <c r="N82" s="68">
        <f t="shared" ca="1" si="24"/>
        <v>8055.9452449378923</v>
      </c>
    </row>
    <row r="83" spans="3:14" ht="15.75" hidden="1" thickBot="1" x14ac:dyDescent="0.3"/>
    <row r="84" spans="3:14" x14ac:dyDescent="0.25">
      <c r="C84" s="62">
        <f>IF(E84&gt;0,1,0)</f>
        <v>1</v>
      </c>
      <c r="D84" s="936" t="str">
        <f>+A13</f>
        <v>Chenango</v>
      </c>
      <c r="E84" s="951">
        <f>SUMIF(A:A,D84,B:B)</f>
        <v>2.3404746812160262E-3</v>
      </c>
      <c r="F84" s="940" t="s">
        <v>106</v>
      </c>
      <c r="G84" s="941"/>
      <c r="H84" s="942"/>
      <c r="I84" s="940" t="s">
        <v>99</v>
      </c>
      <c r="J84" s="941"/>
      <c r="K84" s="942"/>
      <c r="L84" s="940" t="s">
        <v>98</v>
      </c>
      <c r="M84" s="941"/>
      <c r="N84" s="943"/>
    </row>
    <row r="85" spans="3:14" ht="30" x14ac:dyDescent="0.25">
      <c r="C85" s="62">
        <f>C84</f>
        <v>1</v>
      </c>
      <c r="D85" s="937"/>
      <c r="E85" s="952"/>
      <c r="F85" s="88" t="s">
        <v>97</v>
      </c>
      <c r="G85" s="88" t="s">
        <v>96</v>
      </c>
      <c r="H85" s="88" t="s">
        <v>95</v>
      </c>
      <c r="I85" s="88" t="s">
        <v>97</v>
      </c>
      <c r="J85" s="88" t="s">
        <v>96</v>
      </c>
      <c r="K85" s="88" t="s">
        <v>95</v>
      </c>
      <c r="L85" s="88" t="s">
        <v>97</v>
      </c>
      <c r="M85" s="88" t="s">
        <v>96</v>
      </c>
      <c r="N85" s="87" t="s">
        <v>95</v>
      </c>
    </row>
    <row r="86" spans="3:14" x14ac:dyDescent="0.25">
      <c r="C86" s="62">
        <f t="shared" ref="C86:C90" si="25">C85</f>
        <v>1</v>
      </c>
      <c r="D86" s="86"/>
      <c r="E86" s="85"/>
      <c r="F86" s="84" t="s">
        <v>57</v>
      </c>
      <c r="G86" s="84" t="s">
        <v>56</v>
      </c>
      <c r="H86" s="84" t="s">
        <v>55</v>
      </c>
      <c r="I86" s="84" t="s">
        <v>54</v>
      </c>
      <c r="J86" s="84" t="s">
        <v>53</v>
      </c>
      <c r="K86" s="84" t="s">
        <v>52</v>
      </c>
      <c r="L86" s="84" t="s">
        <v>51</v>
      </c>
      <c r="M86" s="84" t="s">
        <v>50</v>
      </c>
      <c r="N86" s="83" t="s">
        <v>49</v>
      </c>
    </row>
    <row r="87" spans="3:14" x14ac:dyDescent="0.25">
      <c r="C87" s="62">
        <f t="shared" si="25"/>
        <v>1</v>
      </c>
      <c r="D87" s="82" t="s">
        <v>26</v>
      </c>
      <c r="E87" s="80"/>
      <c r="F87" s="79"/>
      <c r="G87" s="79"/>
      <c r="H87" s="79"/>
      <c r="I87" s="79"/>
      <c r="J87" s="79"/>
      <c r="K87" s="79"/>
      <c r="L87" s="79"/>
      <c r="M87" s="79"/>
      <c r="N87" s="78"/>
    </row>
    <row r="88" spans="3:14" x14ac:dyDescent="0.25">
      <c r="C88" s="62">
        <f t="shared" si="25"/>
        <v>1</v>
      </c>
      <c r="D88" s="93" t="s">
        <v>94</v>
      </c>
      <c r="E88" s="80"/>
      <c r="F88" s="79"/>
      <c r="G88" s="79"/>
      <c r="H88" s="79"/>
      <c r="I88" s="79"/>
      <c r="J88" s="79"/>
      <c r="K88" s="79"/>
      <c r="L88" s="79"/>
      <c r="M88" s="79"/>
      <c r="N88" s="78"/>
    </row>
    <row r="89" spans="3:14" x14ac:dyDescent="0.25">
      <c r="C89" s="62">
        <f t="shared" si="25"/>
        <v>1</v>
      </c>
      <c r="D89" s="268" t="s">
        <v>105</v>
      </c>
      <c r="E89" s="76" t="s">
        <v>57</v>
      </c>
      <c r="F89" s="75">
        <f t="shared" ref="F89:K89" si="26">+F8*$E$84</f>
        <v>4.3767285109103522</v>
      </c>
      <c r="G89" s="74">
        <f t="shared" ca="1" si="26"/>
        <v>174229.40618488548</v>
      </c>
      <c r="H89" s="74">
        <f t="shared" ca="1" si="26"/>
        <v>4142.264739287074</v>
      </c>
      <c r="I89" s="75">
        <f t="shared" si="26"/>
        <v>0</v>
      </c>
      <c r="J89" s="74">
        <f t="shared" si="26"/>
        <v>0</v>
      </c>
      <c r="K89" s="74">
        <f t="shared" si="26"/>
        <v>0</v>
      </c>
      <c r="L89" s="73">
        <f>+I89+F89</f>
        <v>4.3767285109103522</v>
      </c>
      <c r="M89" s="72">
        <f ca="1">+J89+G89</f>
        <v>174229.40618488548</v>
      </c>
      <c r="N89" s="72">
        <f ca="1">+K89+H89</f>
        <v>4142.264739287074</v>
      </c>
    </row>
    <row r="90" spans="3:14" ht="15.75" thickBot="1" x14ac:dyDescent="0.3">
      <c r="C90" s="62">
        <f t="shared" si="25"/>
        <v>1</v>
      </c>
      <c r="D90" s="71" t="s">
        <v>48</v>
      </c>
      <c r="E90" s="70" t="s">
        <v>56</v>
      </c>
      <c r="F90" s="69">
        <f t="shared" ref="F90:N90" si="27">SUM(F89)</f>
        <v>4.3767285109103522</v>
      </c>
      <c r="G90" s="68">
        <f t="shared" ca="1" si="27"/>
        <v>174229.40618488548</v>
      </c>
      <c r="H90" s="68">
        <f t="shared" ca="1" si="27"/>
        <v>4142.264739287074</v>
      </c>
      <c r="I90" s="69">
        <f t="shared" si="27"/>
        <v>0</v>
      </c>
      <c r="J90" s="68">
        <f t="shared" si="27"/>
        <v>0</v>
      </c>
      <c r="K90" s="68">
        <f t="shared" si="27"/>
        <v>0</v>
      </c>
      <c r="L90" s="69">
        <f t="shared" si="27"/>
        <v>4.3767285109103522</v>
      </c>
      <c r="M90" s="68">
        <f t="shared" ca="1" si="27"/>
        <v>174229.40618488548</v>
      </c>
      <c r="N90" s="68">
        <f t="shared" ca="1" si="27"/>
        <v>4142.264739287074</v>
      </c>
    </row>
    <row r="91" spans="3:14" ht="15.75" hidden="1" thickBot="1" x14ac:dyDescent="0.3"/>
    <row r="92" spans="3:14" x14ac:dyDescent="0.25">
      <c r="C92" s="62">
        <f>IF(E92&gt;0,1,0)</f>
        <v>1</v>
      </c>
      <c r="D92" s="936" t="str">
        <f>+A14</f>
        <v>Clinton</v>
      </c>
      <c r="E92" s="951">
        <f>SUMIF(A:A,D92,B:B)</f>
        <v>1.9496030722264293E-3</v>
      </c>
      <c r="F92" s="940" t="s">
        <v>106</v>
      </c>
      <c r="G92" s="941"/>
      <c r="H92" s="942"/>
      <c r="I92" s="940" t="s">
        <v>99</v>
      </c>
      <c r="J92" s="941"/>
      <c r="K92" s="942"/>
      <c r="L92" s="940" t="s">
        <v>98</v>
      </c>
      <c r="M92" s="941"/>
      <c r="N92" s="943"/>
    </row>
    <row r="93" spans="3:14" ht="30" x14ac:dyDescent="0.25">
      <c r="C93" s="62">
        <f>C92</f>
        <v>1</v>
      </c>
      <c r="D93" s="937"/>
      <c r="E93" s="952"/>
      <c r="F93" s="88" t="s">
        <v>97</v>
      </c>
      <c r="G93" s="88" t="s">
        <v>96</v>
      </c>
      <c r="H93" s="88" t="s">
        <v>95</v>
      </c>
      <c r="I93" s="88" t="s">
        <v>97</v>
      </c>
      <c r="J93" s="88" t="s">
        <v>96</v>
      </c>
      <c r="K93" s="88" t="s">
        <v>95</v>
      </c>
      <c r="L93" s="88" t="s">
        <v>97</v>
      </c>
      <c r="M93" s="88" t="s">
        <v>96</v>
      </c>
      <c r="N93" s="87" t="s">
        <v>95</v>
      </c>
    </row>
    <row r="94" spans="3:14" x14ac:dyDescent="0.25">
      <c r="C94" s="62">
        <f t="shared" ref="C94:C98" si="28">C93</f>
        <v>1</v>
      </c>
      <c r="D94" s="86"/>
      <c r="E94" s="85"/>
      <c r="F94" s="84" t="s">
        <v>57</v>
      </c>
      <c r="G94" s="84" t="s">
        <v>56</v>
      </c>
      <c r="H94" s="84" t="s">
        <v>55</v>
      </c>
      <c r="I94" s="84" t="s">
        <v>54</v>
      </c>
      <c r="J94" s="84" t="s">
        <v>53</v>
      </c>
      <c r="K94" s="84" t="s">
        <v>52</v>
      </c>
      <c r="L94" s="84" t="s">
        <v>51</v>
      </c>
      <c r="M94" s="84" t="s">
        <v>50</v>
      </c>
      <c r="N94" s="83" t="s">
        <v>49</v>
      </c>
    </row>
    <row r="95" spans="3:14" x14ac:dyDescent="0.25">
      <c r="C95" s="62">
        <f t="shared" si="28"/>
        <v>1</v>
      </c>
      <c r="D95" s="82" t="s">
        <v>26</v>
      </c>
      <c r="E95" s="80"/>
      <c r="F95" s="79"/>
      <c r="G95" s="79"/>
      <c r="H95" s="79"/>
      <c r="I95" s="79"/>
      <c r="J95" s="79"/>
      <c r="K95" s="79"/>
      <c r="L95" s="79"/>
      <c r="M95" s="79"/>
      <c r="N95" s="78"/>
    </row>
    <row r="96" spans="3:14" x14ac:dyDescent="0.25">
      <c r="C96" s="62">
        <f t="shared" si="28"/>
        <v>1</v>
      </c>
      <c r="D96" s="93" t="s">
        <v>94</v>
      </c>
      <c r="E96" s="80"/>
      <c r="F96" s="79"/>
      <c r="G96" s="79"/>
      <c r="H96" s="79"/>
      <c r="I96" s="79"/>
      <c r="J96" s="79"/>
      <c r="K96" s="79"/>
      <c r="L96" s="79"/>
      <c r="M96" s="79"/>
      <c r="N96" s="78"/>
    </row>
    <row r="97" spans="3:14" x14ac:dyDescent="0.25">
      <c r="C97" s="62">
        <f t="shared" si="28"/>
        <v>1</v>
      </c>
      <c r="D97" s="268" t="s">
        <v>105</v>
      </c>
      <c r="E97" s="76" t="s">
        <v>57</v>
      </c>
      <c r="F97" s="75">
        <f t="shared" ref="F97:K97" si="29">+F8*$E$92</f>
        <v>3.6457917787593619</v>
      </c>
      <c r="G97" s="74">
        <f t="shared" ca="1" si="29"/>
        <v>145132.1769453001</v>
      </c>
      <c r="H97" s="74">
        <f t="shared" ca="1" si="29"/>
        <v>3450.4846929142636</v>
      </c>
      <c r="I97" s="75">
        <f t="shared" si="29"/>
        <v>0</v>
      </c>
      <c r="J97" s="74">
        <f t="shared" si="29"/>
        <v>0</v>
      </c>
      <c r="K97" s="74">
        <f t="shared" si="29"/>
        <v>0</v>
      </c>
      <c r="L97" s="73">
        <f>+I97+F97</f>
        <v>3.6457917787593619</v>
      </c>
      <c r="M97" s="72">
        <f ca="1">+J97+G97</f>
        <v>145132.1769453001</v>
      </c>
      <c r="N97" s="72">
        <f ca="1">+K97+H97</f>
        <v>3450.4846929142636</v>
      </c>
    </row>
    <row r="98" spans="3:14" ht="15.75" thickBot="1" x14ac:dyDescent="0.3">
      <c r="C98" s="62">
        <f t="shared" si="28"/>
        <v>1</v>
      </c>
      <c r="D98" s="71" t="s">
        <v>48</v>
      </c>
      <c r="E98" s="70" t="s">
        <v>56</v>
      </c>
      <c r="F98" s="69">
        <f t="shared" ref="F98:N98" si="30">SUM(F97)</f>
        <v>3.6457917787593619</v>
      </c>
      <c r="G98" s="68">
        <f t="shared" ca="1" si="30"/>
        <v>145132.1769453001</v>
      </c>
      <c r="H98" s="68">
        <f t="shared" ca="1" si="30"/>
        <v>3450.4846929142636</v>
      </c>
      <c r="I98" s="69">
        <f t="shared" si="30"/>
        <v>0</v>
      </c>
      <c r="J98" s="68">
        <f t="shared" si="30"/>
        <v>0</v>
      </c>
      <c r="K98" s="68">
        <f t="shared" si="30"/>
        <v>0</v>
      </c>
      <c r="L98" s="69">
        <f t="shared" si="30"/>
        <v>3.6457917787593619</v>
      </c>
      <c r="M98" s="68">
        <f t="shared" ca="1" si="30"/>
        <v>145132.1769453001</v>
      </c>
      <c r="N98" s="68">
        <f t="shared" ca="1" si="30"/>
        <v>3450.4846929142636</v>
      </c>
    </row>
    <row r="99" spans="3:14" ht="15.75" hidden="1" thickBot="1" x14ac:dyDescent="0.3"/>
    <row r="100" spans="3:14" x14ac:dyDescent="0.25">
      <c r="C100" s="62">
        <f>IF(E100&gt;0,1,0)</f>
        <v>1</v>
      </c>
      <c r="D100" s="936" t="str">
        <f>+A15</f>
        <v>Columbia</v>
      </c>
      <c r="E100" s="951">
        <f>SUMIF(A:A,D100,B:B)</f>
        <v>5.0344880099186158E-4</v>
      </c>
      <c r="F100" s="940" t="s">
        <v>106</v>
      </c>
      <c r="G100" s="941"/>
      <c r="H100" s="942"/>
      <c r="I100" s="940" t="s">
        <v>99</v>
      </c>
      <c r="J100" s="941"/>
      <c r="K100" s="942"/>
      <c r="L100" s="940" t="s">
        <v>98</v>
      </c>
      <c r="M100" s="941"/>
      <c r="N100" s="943"/>
    </row>
    <row r="101" spans="3:14" ht="30" x14ac:dyDescent="0.25">
      <c r="C101" s="62">
        <f>C100</f>
        <v>1</v>
      </c>
      <c r="D101" s="937"/>
      <c r="E101" s="952"/>
      <c r="F101" s="88" t="s">
        <v>97</v>
      </c>
      <c r="G101" s="88" t="s">
        <v>96</v>
      </c>
      <c r="H101" s="88" t="s">
        <v>95</v>
      </c>
      <c r="I101" s="88" t="s">
        <v>97</v>
      </c>
      <c r="J101" s="88" t="s">
        <v>96</v>
      </c>
      <c r="K101" s="88" t="s">
        <v>95</v>
      </c>
      <c r="L101" s="88" t="s">
        <v>97</v>
      </c>
      <c r="M101" s="88" t="s">
        <v>96</v>
      </c>
      <c r="N101" s="87" t="s">
        <v>95</v>
      </c>
    </row>
    <row r="102" spans="3:14" x14ac:dyDescent="0.25">
      <c r="C102" s="62">
        <f t="shared" ref="C102:C106" si="31">C101</f>
        <v>1</v>
      </c>
      <c r="D102" s="86"/>
      <c r="E102" s="85"/>
      <c r="F102" s="84" t="s">
        <v>57</v>
      </c>
      <c r="G102" s="84" t="s">
        <v>56</v>
      </c>
      <c r="H102" s="84" t="s">
        <v>55</v>
      </c>
      <c r="I102" s="84" t="s">
        <v>54</v>
      </c>
      <c r="J102" s="84" t="s">
        <v>53</v>
      </c>
      <c r="K102" s="84" t="s">
        <v>52</v>
      </c>
      <c r="L102" s="84" t="s">
        <v>51</v>
      </c>
      <c r="M102" s="84" t="s">
        <v>50</v>
      </c>
      <c r="N102" s="83" t="s">
        <v>49</v>
      </c>
    </row>
    <row r="103" spans="3:14" x14ac:dyDescent="0.25">
      <c r="C103" s="62">
        <f t="shared" si="31"/>
        <v>1</v>
      </c>
      <c r="D103" s="82" t="s">
        <v>26</v>
      </c>
      <c r="E103" s="80"/>
      <c r="F103" s="79"/>
      <c r="G103" s="79"/>
      <c r="H103" s="79"/>
      <c r="I103" s="79"/>
      <c r="J103" s="79"/>
      <c r="K103" s="79"/>
      <c r="L103" s="79"/>
      <c r="M103" s="79"/>
      <c r="N103" s="78"/>
    </row>
    <row r="104" spans="3:14" x14ac:dyDescent="0.25">
      <c r="C104" s="62">
        <f t="shared" si="31"/>
        <v>1</v>
      </c>
      <c r="D104" s="93" t="s">
        <v>94</v>
      </c>
      <c r="E104" s="80"/>
      <c r="F104" s="79"/>
      <c r="G104" s="79"/>
      <c r="H104" s="79"/>
      <c r="I104" s="79"/>
      <c r="J104" s="79"/>
      <c r="K104" s="79"/>
      <c r="L104" s="79"/>
      <c r="M104" s="79"/>
      <c r="N104" s="78"/>
    </row>
    <row r="105" spans="3:14" x14ac:dyDescent="0.25">
      <c r="C105" s="62">
        <f t="shared" si="31"/>
        <v>1</v>
      </c>
      <c r="D105" s="268" t="s">
        <v>105</v>
      </c>
      <c r="E105" s="76" t="s">
        <v>57</v>
      </c>
      <c r="F105" s="75">
        <f>+F8*$E$100</f>
        <v>0.94145804642495623</v>
      </c>
      <c r="G105" s="74">
        <f t="shared" ref="G105:K105" ca="1" si="32">+G8*$E$100</f>
        <v>37477.690463940744</v>
      </c>
      <c r="H105" s="74">
        <f t="shared" ca="1" si="32"/>
        <v>891.02361718411566</v>
      </c>
      <c r="I105" s="75">
        <f t="shared" si="32"/>
        <v>0</v>
      </c>
      <c r="J105" s="74">
        <f t="shared" si="32"/>
        <v>0</v>
      </c>
      <c r="K105" s="74">
        <f t="shared" si="32"/>
        <v>0</v>
      </c>
      <c r="L105" s="73">
        <f>+I105+F105</f>
        <v>0.94145804642495623</v>
      </c>
      <c r="M105" s="72">
        <f ca="1">+J105+G105</f>
        <v>37477.690463940744</v>
      </c>
      <c r="N105" s="72">
        <f ca="1">+K105+H105</f>
        <v>891.02361718411566</v>
      </c>
    </row>
    <row r="106" spans="3:14" ht="15.75" thickBot="1" x14ac:dyDescent="0.3">
      <c r="C106" s="62">
        <f t="shared" si="31"/>
        <v>1</v>
      </c>
      <c r="D106" s="71" t="s">
        <v>48</v>
      </c>
      <c r="E106" s="70" t="s">
        <v>56</v>
      </c>
      <c r="F106" s="69">
        <f t="shared" ref="F106:N106" si="33">SUM(F105)</f>
        <v>0.94145804642495623</v>
      </c>
      <c r="G106" s="68">
        <f t="shared" ca="1" si="33"/>
        <v>37477.690463940744</v>
      </c>
      <c r="H106" s="68">
        <f t="shared" ca="1" si="33"/>
        <v>891.02361718411566</v>
      </c>
      <c r="I106" s="69">
        <f t="shared" si="33"/>
        <v>0</v>
      </c>
      <c r="J106" s="68">
        <f t="shared" si="33"/>
        <v>0</v>
      </c>
      <c r="K106" s="68">
        <f t="shared" si="33"/>
        <v>0</v>
      </c>
      <c r="L106" s="69">
        <f t="shared" si="33"/>
        <v>0.94145804642495623</v>
      </c>
      <c r="M106" s="68">
        <f t="shared" ca="1" si="33"/>
        <v>37477.690463940744</v>
      </c>
      <c r="N106" s="68">
        <f t="shared" ca="1" si="33"/>
        <v>891.02361718411566</v>
      </c>
    </row>
    <row r="107" spans="3:14" ht="15.75" hidden="1" thickBot="1" x14ac:dyDescent="0.3"/>
    <row r="108" spans="3:14" x14ac:dyDescent="0.25">
      <c r="C108" s="62">
        <f>IF(E108&gt;0,1,0)</f>
        <v>1</v>
      </c>
      <c r="D108" s="936" t="str">
        <f>+A16</f>
        <v>Cortland</v>
      </c>
      <c r="E108" s="951">
        <f>SUMIF(A:A,D108,B:B)</f>
        <v>1.1321975588355585E-3</v>
      </c>
      <c r="F108" s="940" t="s">
        <v>106</v>
      </c>
      <c r="G108" s="941"/>
      <c r="H108" s="942"/>
      <c r="I108" s="940" t="s">
        <v>99</v>
      </c>
      <c r="J108" s="941"/>
      <c r="K108" s="942"/>
      <c r="L108" s="940" t="s">
        <v>98</v>
      </c>
      <c r="M108" s="941"/>
      <c r="N108" s="943"/>
    </row>
    <row r="109" spans="3:14" ht="30" x14ac:dyDescent="0.25">
      <c r="C109" s="62">
        <f>C108</f>
        <v>1</v>
      </c>
      <c r="D109" s="937"/>
      <c r="E109" s="952"/>
      <c r="F109" s="88" t="s">
        <v>97</v>
      </c>
      <c r="G109" s="88" t="s">
        <v>96</v>
      </c>
      <c r="H109" s="88" t="s">
        <v>95</v>
      </c>
      <c r="I109" s="88" t="s">
        <v>97</v>
      </c>
      <c r="J109" s="88" t="s">
        <v>96</v>
      </c>
      <c r="K109" s="88" t="s">
        <v>95</v>
      </c>
      <c r="L109" s="88" t="s">
        <v>97</v>
      </c>
      <c r="M109" s="88" t="s">
        <v>96</v>
      </c>
      <c r="N109" s="87" t="s">
        <v>95</v>
      </c>
    </row>
    <row r="110" spans="3:14" x14ac:dyDescent="0.25">
      <c r="C110" s="62">
        <f t="shared" ref="C110:C114" si="34">C109</f>
        <v>1</v>
      </c>
      <c r="D110" s="86"/>
      <c r="E110" s="85"/>
      <c r="F110" s="84" t="s">
        <v>57</v>
      </c>
      <c r="G110" s="84" t="s">
        <v>56</v>
      </c>
      <c r="H110" s="84" t="s">
        <v>55</v>
      </c>
      <c r="I110" s="84" t="s">
        <v>54</v>
      </c>
      <c r="J110" s="84" t="s">
        <v>53</v>
      </c>
      <c r="K110" s="84" t="s">
        <v>52</v>
      </c>
      <c r="L110" s="84" t="s">
        <v>51</v>
      </c>
      <c r="M110" s="84" t="s">
        <v>50</v>
      </c>
      <c r="N110" s="83" t="s">
        <v>49</v>
      </c>
    </row>
    <row r="111" spans="3:14" x14ac:dyDescent="0.25">
      <c r="C111" s="62">
        <f t="shared" si="34"/>
        <v>1</v>
      </c>
      <c r="D111" s="82" t="s">
        <v>26</v>
      </c>
      <c r="E111" s="80"/>
      <c r="F111" s="79"/>
      <c r="G111" s="79"/>
      <c r="H111" s="79"/>
      <c r="I111" s="79"/>
      <c r="J111" s="79"/>
      <c r="K111" s="79"/>
      <c r="L111" s="79"/>
      <c r="M111" s="79"/>
      <c r="N111" s="78"/>
    </row>
    <row r="112" spans="3:14" x14ac:dyDescent="0.25">
      <c r="C112" s="62">
        <f t="shared" si="34"/>
        <v>1</v>
      </c>
      <c r="D112" s="93" t="s">
        <v>94</v>
      </c>
      <c r="E112" s="80"/>
      <c r="F112" s="79"/>
      <c r="G112" s="79"/>
      <c r="H112" s="79"/>
      <c r="I112" s="79"/>
      <c r="J112" s="79"/>
      <c r="K112" s="79"/>
      <c r="L112" s="79"/>
      <c r="M112" s="79"/>
      <c r="N112" s="78"/>
    </row>
    <row r="113" spans="3:14" x14ac:dyDescent="0.25">
      <c r="C113" s="62">
        <f t="shared" si="34"/>
        <v>1</v>
      </c>
      <c r="D113" s="268" t="s">
        <v>105</v>
      </c>
      <c r="E113" s="76" t="s">
        <v>57</v>
      </c>
      <c r="F113" s="75">
        <f>+F8*$E$108</f>
        <v>2.1172291994904566</v>
      </c>
      <c r="G113" s="74">
        <f t="shared" ref="G113:K113" ca="1" si="35">+G8*$E$108</f>
        <v>84282.949071427691</v>
      </c>
      <c r="H113" s="74">
        <f t="shared" ca="1" si="35"/>
        <v>2003.8080580451967</v>
      </c>
      <c r="I113" s="75">
        <f t="shared" si="35"/>
        <v>0</v>
      </c>
      <c r="J113" s="74">
        <f t="shared" si="35"/>
        <v>0</v>
      </c>
      <c r="K113" s="74">
        <f t="shared" si="35"/>
        <v>0</v>
      </c>
      <c r="L113" s="73">
        <f>+I113+F113</f>
        <v>2.1172291994904566</v>
      </c>
      <c r="M113" s="72">
        <f ca="1">+J113+G113</f>
        <v>84282.949071427691</v>
      </c>
      <c r="N113" s="72">
        <f ca="1">+K113+H113</f>
        <v>2003.8080580451967</v>
      </c>
    </row>
    <row r="114" spans="3:14" ht="15.75" thickBot="1" x14ac:dyDescent="0.3">
      <c r="C114" s="62">
        <f t="shared" si="34"/>
        <v>1</v>
      </c>
      <c r="D114" s="71" t="s">
        <v>48</v>
      </c>
      <c r="E114" s="70" t="s">
        <v>56</v>
      </c>
      <c r="F114" s="69">
        <f t="shared" ref="F114:N114" si="36">SUM(F113)</f>
        <v>2.1172291994904566</v>
      </c>
      <c r="G114" s="68">
        <f t="shared" ca="1" si="36"/>
        <v>84282.949071427691</v>
      </c>
      <c r="H114" s="68">
        <f t="shared" ca="1" si="36"/>
        <v>2003.8080580451967</v>
      </c>
      <c r="I114" s="69">
        <f t="shared" si="36"/>
        <v>0</v>
      </c>
      <c r="J114" s="68">
        <f t="shared" si="36"/>
        <v>0</v>
      </c>
      <c r="K114" s="68">
        <f t="shared" si="36"/>
        <v>0</v>
      </c>
      <c r="L114" s="69">
        <f t="shared" si="36"/>
        <v>2.1172291994904566</v>
      </c>
      <c r="M114" s="68">
        <f t="shared" ca="1" si="36"/>
        <v>84282.949071427691</v>
      </c>
      <c r="N114" s="68">
        <f t="shared" ca="1" si="36"/>
        <v>2003.8080580451967</v>
      </c>
    </row>
    <row r="115" spans="3:14" ht="15.75" hidden="1" thickBot="1" x14ac:dyDescent="0.3"/>
    <row r="116" spans="3:14" x14ac:dyDescent="0.25">
      <c r="C116" s="62">
        <f>IF(E116&gt;0,1,0)</f>
        <v>1</v>
      </c>
      <c r="D116" s="936" t="str">
        <f>+A17</f>
        <v>Delaware</v>
      </c>
      <c r="E116" s="951">
        <f>SUMIF(A:A,D116,B:B)</f>
        <v>1.0651138896287298E-3</v>
      </c>
      <c r="F116" s="940" t="s">
        <v>106</v>
      </c>
      <c r="G116" s="941"/>
      <c r="H116" s="942"/>
      <c r="I116" s="940" t="s">
        <v>99</v>
      </c>
      <c r="J116" s="941"/>
      <c r="K116" s="942"/>
      <c r="L116" s="940" t="s">
        <v>98</v>
      </c>
      <c r="M116" s="941"/>
      <c r="N116" s="943"/>
    </row>
    <row r="117" spans="3:14" ht="30" x14ac:dyDescent="0.25">
      <c r="C117" s="62">
        <f>C116</f>
        <v>1</v>
      </c>
      <c r="D117" s="937"/>
      <c r="E117" s="952"/>
      <c r="F117" s="88" t="s">
        <v>97</v>
      </c>
      <c r="G117" s="88" t="s">
        <v>96</v>
      </c>
      <c r="H117" s="88" t="s">
        <v>95</v>
      </c>
      <c r="I117" s="88" t="s">
        <v>97</v>
      </c>
      <c r="J117" s="88" t="s">
        <v>96</v>
      </c>
      <c r="K117" s="88" t="s">
        <v>95</v>
      </c>
      <c r="L117" s="88" t="s">
        <v>97</v>
      </c>
      <c r="M117" s="88" t="s">
        <v>96</v>
      </c>
      <c r="N117" s="87" t="s">
        <v>95</v>
      </c>
    </row>
    <row r="118" spans="3:14" x14ac:dyDescent="0.25">
      <c r="C118" s="62">
        <f t="shared" ref="C118:C122" si="37">C117</f>
        <v>1</v>
      </c>
      <c r="D118" s="86"/>
      <c r="E118" s="85"/>
      <c r="F118" s="84" t="s">
        <v>57</v>
      </c>
      <c r="G118" s="84" t="s">
        <v>56</v>
      </c>
      <c r="H118" s="84" t="s">
        <v>55</v>
      </c>
      <c r="I118" s="84" t="s">
        <v>54</v>
      </c>
      <c r="J118" s="84" t="s">
        <v>53</v>
      </c>
      <c r="K118" s="84" t="s">
        <v>52</v>
      </c>
      <c r="L118" s="84" t="s">
        <v>51</v>
      </c>
      <c r="M118" s="84" t="s">
        <v>50</v>
      </c>
      <c r="N118" s="83" t="s">
        <v>49</v>
      </c>
    </row>
    <row r="119" spans="3:14" x14ac:dyDescent="0.25">
      <c r="C119" s="62">
        <f t="shared" si="37"/>
        <v>1</v>
      </c>
      <c r="D119" s="82" t="s">
        <v>26</v>
      </c>
      <c r="E119" s="80"/>
      <c r="F119" s="79"/>
      <c r="G119" s="79"/>
      <c r="H119" s="79"/>
      <c r="I119" s="79"/>
      <c r="J119" s="79"/>
      <c r="K119" s="79"/>
      <c r="L119" s="79"/>
      <c r="M119" s="79"/>
      <c r="N119" s="78"/>
    </row>
    <row r="120" spans="3:14" x14ac:dyDescent="0.25">
      <c r="C120" s="62">
        <f t="shared" si="37"/>
        <v>1</v>
      </c>
      <c r="D120" s="93" t="s">
        <v>94</v>
      </c>
      <c r="E120" s="80"/>
      <c r="F120" s="79"/>
      <c r="G120" s="79"/>
      <c r="H120" s="79"/>
      <c r="I120" s="79"/>
      <c r="J120" s="79"/>
      <c r="K120" s="79"/>
      <c r="L120" s="79"/>
      <c r="M120" s="79"/>
      <c r="N120" s="78"/>
    </row>
    <row r="121" spans="3:14" x14ac:dyDescent="0.25">
      <c r="C121" s="62">
        <f t="shared" si="37"/>
        <v>1</v>
      </c>
      <c r="D121" s="268" t="s">
        <v>105</v>
      </c>
      <c r="E121" s="76" t="s">
        <v>57</v>
      </c>
      <c r="F121" s="75">
        <f>+F8*$E$116</f>
        <v>1.9917815670121348</v>
      </c>
      <c r="G121" s="74">
        <f t="shared" ref="G121:K121" ca="1" si="38">+G8*$E$116</f>
        <v>79289.112588421413</v>
      </c>
      <c r="H121" s="74">
        <f t="shared" ca="1" si="38"/>
        <v>1885.080724753529</v>
      </c>
      <c r="I121" s="75">
        <f t="shared" si="38"/>
        <v>0</v>
      </c>
      <c r="J121" s="74">
        <f t="shared" si="38"/>
        <v>0</v>
      </c>
      <c r="K121" s="74">
        <f t="shared" si="38"/>
        <v>0</v>
      </c>
      <c r="L121" s="73">
        <f>+I121+F121</f>
        <v>1.9917815670121348</v>
      </c>
      <c r="M121" s="72">
        <f ca="1">+J121+G121</f>
        <v>79289.112588421413</v>
      </c>
      <c r="N121" s="72">
        <f ca="1">+K121+H121</f>
        <v>1885.080724753529</v>
      </c>
    </row>
    <row r="122" spans="3:14" ht="15.75" thickBot="1" x14ac:dyDescent="0.3">
      <c r="C122" s="62">
        <f t="shared" si="37"/>
        <v>1</v>
      </c>
      <c r="D122" s="71" t="s">
        <v>48</v>
      </c>
      <c r="E122" s="70" t="s">
        <v>56</v>
      </c>
      <c r="F122" s="69">
        <f t="shared" ref="F122:N122" si="39">SUM(F121)</f>
        <v>1.9917815670121348</v>
      </c>
      <c r="G122" s="68">
        <f t="shared" ca="1" si="39"/>
        <v>79289.112588421413</v>
      </c>
      <c r="H122" s="68">
        <f t="shared" ca="1" si="39"/>
        <v>1885.080724753529</v>
      </c>
      <c r="I122" s="69">
        <f t="shared" si="39"/>
        <v>0</v>
      </c>
      <c r="J122" s="68">
        <f t="shared" si="39"/>
        <v>0</v>
      </c>
      <c r="K122" s="68">
        <f t="shared" si="39"/>
        <v>0</v>
      </c>
      <c r="L122" s="69">
        <f t="shared" si="39"/>
        <v>1.9917815670121348</v>
      </c>
      <c r="M122" s="68">
        <f t="shared" ca="1" si="39"/>
        <v>79289.112588421413</v>
      </c>
      <c r="N122" s="68">
        <f t="shared" ca="1" si="39"/>
        <v>1885.080724753529</v>
      </c>
    </row>
    <row r="123" spans="3:14" ht="15.75" hidden="1" thickBot="1" x14ac:dyDescent="0.3"/>
    <row r="124" spans="3:14" x14ac:dyDescent="0.25">
      <c r="C124" s="62">
        <f>IF(E124&gt;0,1,0)</f>
        <v>1</v>
      </c>
      <c r="D124" s="936" t="str">
        <f>+A18</f>
        <v>Dutchess</v>
      </c>
      <c r="E124" s="951">
        <f>SUMIF(A:A,D124,B:B)</f>
        <v>8.4414902213022138E-3</v>
      </c>
      <c r="F124" s="940" t="s">
        <v>106</v>
      </c>
      <c r="G124" s="941"/>
      <c r="H124" s="942"/>
      <c r="I124" s="940" t="s">
        <v>99</v>
      </c>
      <c r="J124" s="941"/>
      <c r="K124" s="942"/>
      <c r="L124" s="940" t="s">
        <v>98</v>
      </c>
      <c r="M124" s="941"/>
      <c r="N124" s="943"/>
    </row>
    <row r="125" spans="3:14" ht="30" x14ac:dyDescent="0.25">
      <c r="C125" s="62">
        <f>C124</f>
        <v>1</v>
      </c>
      <c r="D125" s="937"/>
      <c r="E125" s="952"/>
      <c r="F125" s="88" t="s">
        <v>97</v>
      </c>
      <c r="G125" s="88" t="s">
        <v>96</v>
      </c>
      <c r="H125" s="88" t="s">
        <v>95</v>
      </c>
      <c r="I125" s="88" t="s">
        <v>97</v>
      </c>
      <c r="J125" s="88" t="s">
        <v>96</v>
      </c>
      <c r="K125" s="88" t="s">
        <v>95</v>
      </c>
      <c r="L125" s="88" t="s">
        <v>97</v>
      </c>
      <c r="M125" s="88" t="s">
        <v>96</v>
      </c>
      <c r="N125" s="87" t="s">
        <v>95</v>
      </c>
    </row>
    <row r="126" spans="3:14" x14ac:dyDescent="0.25">
      <c r="C126" s="62">
        <f t="shared" ref="C126:C130" si="40">C125</f>
        <v>1</v>
      </c>
      <c r="D126" s="86"/>
      <c r="E126" s="85"/>
      <c r="F126" s="84" t="s">
        <v>57</v>
      </c>
      <c r="G126" s="84" t="s">
        <v>56</v>
      </c>
      <c r="H126" s="84" t="s">
        <v>55</v>
      </c>
      <c r="I126" s="84" t="s">
        <v>54</v>
      </c>
      <c r="J126" s="84" t="s">
        <v>53</v>
      </c>
      <c r="K126" s="84" t="s">
        <v>52</v>
      </c>
      <c r="L126" s="84" t="s">
        <v>51</v>
      </c>
      <c r="M126" s="84" t="s">
        <v>50</v>
      </c>
      <c r="N126" s="83" t="s">
        <v>49</v>
      </c>
    </row>
    <row r="127" spans="3:14" x14ac:dyDescent="0.25">
      <c r="C127" s="62">
        <f t="shared" si="40"/>
        <v>1</v>
      </c>
      <c r="D127" s="82" t="s">
        <v>26</v>
      </c>
      <c r="E127" s="80"/>
      <c r="F127" s="79"/>
      <c r="G127" s="79"/>
      <c r="H127" s="79"/>
      <c r="I127" s="79"/>
      <c r="J127" s="79"/>
      <c r="K127" s="79"/>
      <c r="L127" s="79"/>
      <c r="M127" s="79"/>
      <c r="N127" s="78"/>
    </row>
    <row r="128" spans="3:14" x14ac:dyDescent="0.25">
      <c r="C128" s="62">
        <f t="shared" si="40"/>
        <v>1</v>
      </c>
      <c r="D128" s="93" t="s">
        <v>94</v>
      </c>
      <c r="E128" s="80"/>
      <c r="F128" s="79"/>
      <c r="G128" s="79"/>
      <c r="H128" s="79"/>
      <c r="I128" s="79"/>
      <c r="J128" s="79"/>
      <c r="K128" s="79"/>
      <c r="L128" s="79"/>
      <c r="M128" s="79"/>
      <c r="N128" s="78"/>
    </row>
    <row r="129" spans="3:14" x14ac:dyDescent="0.25">
      <c r="C129" s="62">
        <f t="shared" si="40"/>
        <v>1</v>
      </c>
      <c r="D129" s="268" t="s">
        <v>105</v>
      </c>
      <c r="E129" s="76" t="s">
        <v>57</v>
      </c>
      <c r="F129" s="75">
        <f>+F8*$E$124</f>
        <v>15.785734074657226</v>
      </c>
      <c r="G129" s="74">
        <f t="shared" ref="G129:K129" ca="1" si="41">+G8*$E$124</f>
        <v>628400.65751484677</v>
      </c>
      <c r="H129" s="74">
        <f t="shared" ca="1" si="41"/>
        <v>14940.083552866834</v>
      </c>
      <c r="I129" s="75">
        <f t="shared" si="41"/>
        <v>0</v>
      </c>
      <c r="J129" s="74">
        <f t="shared" si="41"/>
        <v>0</v>
      </c>
      <c r="K129" s="74">
        <f t="shared" si="41"/>
        <v>0</v>
      </c>
      <c r="L129" s="73">
        <f>+I129+F129</f>
        <v>15.785734074657226</v>
      </c>
      <c r="M129" s="72">
        <f ca="1">+J129+G129</f>
        <v>628400.65751484677</v>
      </c>
      <c r="N129" s="72">
        <f ca="1">+K129+H129</f>
        <v>14940.083552866834</v>
      </c>
    </row>
    <row r="130" spans="3:14" ht="15.75" thickBot="1" x14ac:dyDescent="0.3">
      <c r="C130" s="62">
        <f t="shared" si="40"/>
        <v>1</v>
      </c>
      <c r="D130" s="71" t="s">
        <v>48</v>
      </c>
      <c r="E130" s="70" t="s">
        <v>56</v>
      </c>
      <c r="F130" s="69">
        <f t="shared" ref="F130:N130" si="42">SUM(F129)</f>
        <v>15.785734074657226</v>
      </c>
      <c r="G130" s="68">
        <f t="shared" ca="1" si="42"/>
        <v>628400.65751484677</v>
      </c>
      <c r="H130" s="68">
        <f t="shared" ca="1" si="42"/>
        <v>14940.083552866834</v>
      </c>
      <c r="I130" s="69">
        <f t="shared" si="42"/>
        <v>0</v>
      </c>
      <c r="J130" s="68">
        <f t="shared" si="42"/>
        <v>0</v>
      </c>
      <c r="K130" s="68">
        <f t="shared" si="42"/>
        <v>0</v>
      </c>
      <c r="L130" s="69">
        <f t="shared" si="42"/>
        <v>15.785734074657226</v>
      </c>
      <c r="M130" s="68">
        <f t="shared" ca="1" si="42"/>
        <v>628400.65751484677</v>
      </c>
      <c r="N130" s="68">
        <f t="shared" ca="1" si="42"/>
        <v>14940.083552866834</v>
      </c>
    </row>
    <row r="131" spans="3:14" ht="15.75" hidden="1" thickBot="1" x14ac:dyDescent="0.3"/>
    <row r="132" spans="3:14" x14ac:dyDescent="0.25">
      <c r="C132" s="62">
        <f>IF(E132&gt;0,1,0)</f>
        <v>1</v>
      </c>
      <c r="D132" s="936" t="str">
        <f>+A19</f>
        <v>Erie</v>
      </c>
      <c r="E132" s="951">
        <f>SUMIF(A:A,D132,B:B)</f>
        <v>2.6305537197862446E-2</v>
      </c>
      <c r="F132" s="940" t="s">
        <v>106</v>
      </c>
      <c r="G132" s="941"/>
      <c r="H132" s="942"/>
      <c r="I132" s="940" t="s">
        <v>99</v>
      </c>
      <c r="J132" s="941"/>
      <c r="K132" s="942"/>
      <c r="L132" s="940" t="s">
        <v>98</v>
      </c>
      <c r="M132" s="941"/>
      <c r="N132" s="943"/>
    </row>
    <row r="133" spans="3:14" ht="30" x14ac:dyDescent="0.25">
      <c r="C133" s="62">
        <f>C132</f>
        <v>1</v>
      </c>
      <c r="D133" s="937"/>
      <c r="E133" s="952"/>
      <c r="F133" s="88" t="s">
        <v>97</v>
      </c>
      <c r="G133" s="88" t="s">
        <v>96</v>
      </c>
      <c r="H133" s="88" t="s">
        <v>95</v>
      </c>
      <c r="I133" s="88" t="s">
        <v>97</v>
      </c>
      <c r="J133" s="88" t="s">
        <v>96</v>
      </c>
      <c r="K133" s="88" t="s">
        <v>95</v>
      </c>
      <c r="L133" s="88" t="s">
        <v>97</v>
      </c>
      <c r="M133" s="88" t="s">
        <v>96</v>
      </c>
      <c r="N133" s="87" t="s">
        <v>95</v>
      </c>
    </row>
    <row r="134" spans="3:14" x14ac:dyDescent="0.25">
      <c r="C134" s="62">
        <f t="shared" ref="C134:C138" si="43">C133</f>
        <v>1</v>
      </c>
      <c r="D134" s="86"/>
      <c r="E134" s="85"/>
      <c r="F134" s="84" t="s">
        <v>57</v>
      </c>
      <c r="G134" s="84" t="s">
        <v>56</v>
      </c>
      <c r="H134" s="84" t="s">
        <v>55</v>
      </c>
      <c r="I134" s="84" t="s">
        <v>54</v>
      </c>
      <c r="J134" s="84" t="s">
        <v>53</v>
      </c>
      <c r="K134" s="84" t="s">
        <v>52</v>
      </c>
      <c r="L134" s="84" t="s">
        <v>51</v>
      </c>
      <c r="M134" s="84" t="s">
        <v>50</v>
      </c>
      <c r="N134" s="83" t="s">
        <v>49</v>
      </c>
    </row>
    <row r="135" spans="3:14" x14ac:dyDescent="0.25">
      <c r="C135" s="62">
        <f t="shared" si="43"/>
        <v>1</v>
      </c>
      <c r="D135" s="82" t="s">
        <v>26</v>
      </c>
      <c r="E135" s="80"/>
      <c r="F135" s="79"/>
      <c r="G135" s="79"/>
      <c r="H135" s="79"/>
      <c r="I135" s="79"/>
      <c r="J135" s="79"/>
      <c r="K135" s="79"/>
      <c r="L135" s="79"/>
      <c r="M135" s="79"/>
      <c r="N135" s="78"/>
    </row>
    <row r="136" spans="3:14" x14ac:dyDescent="0.25">
      <c r="C136" s="62">
        <f t="shared" si="43"/>
        <v>1</v>
      </c>
      <c r="D136" s="93" t="s">
        <v>94</v>
      </c>
      <c r="E136" s="80"/>
      <c r="F136" s="79"/>
      <c r="G136" s="79"/>
      <c r="H136" s="79"/>
      <c r="I136" s="79"/>
      <c r="J136" s="79"/>
      <c r="K136" s="79"/>
      <c r="L136" s="79"/>
      <c r="M136" s="79"/>
      <c r="N136" s="78"/>
    </row>
    <row r="137" spans="3:14" x14ac:dyDescent="0.25">
      <c r="C137" s="62">
        <f t="shared" si="43"/>
        <v>1</v>
      </c>
      <c r="D137" s="268" t="s">
        <v>105</v>
      </c>
      <c r="E137" s="76" t="s">
        <v>57</v>
      </c>
      <c r="F137" s="75">
        <f>+F8*$E$132</f>
        <v>49.191813768683382</v>
      </c>
      <c r="G137" s="74">
        <f t="shared" ref="G137:K137" ca="1" si="44">+G8*$E$132</f>
        <v>1958234.4394243674</v>
      </c>
      <c r="H137" s="74">
        <f t="shared" ca="1" si="44"/>
        <v>46556.581046241481</v>
      </c>
      <c r="I137" s="75">
        <f t="shared" si="44"/>
        <v>0</v>
      </c>
      <c r="J137" s="74">
        <f t="shared" si="44"/>
        <v>0</v>
      </c>
      <c r="K137" s="74">
        <f t="shared" si="44"/>
        <v>0</v>
      </c>
      <c r="L137" s="73">
        <f>+I137+F137</f>
        <v>49.191813768683382</v>
      </c>
      <c r="M137" s="72">
        <f ca="1">+J137+G137</f>
        <v>1958234.4394243674</v>
      </c>
      <c r="N137" s="72">
        <f ca="1">+K137+H137</f>
        <v>46556.581046241481</v>
      </c>
    </row>
    <row r="138" spans="3:14" ht="15.75" thickBot="1" x14ac:dyDescent="0.3">
      <c r="C138" s="62">
        <f t="shared" si="43"/>
        <v>1</v>
      </c>
      <c r="D138" s="71" t="s">
        <v>48</v>
      </c>
      <c r="E138" s="70" t="s">
        <v>56</v>
      </c>
      <c r="F138" s="69">
        <f t="shared" ref="F138:N138" si="45">SUM(F137)</f>
        <v>49.191813768683382</v>
      </c>
      <c r="G138" s="68">
        <f t="shared" ca="1" si="45"/>
        <v>1958234.4394243674</v>
      </c>
      <c r="H138" s="68">
        <f t="shared" ca="1" si="45"/>
        <v>46556.581046241481</v>
      </c>
      <c r="I138" s="69">
        <f t="shared" si="45"/>
        <v>0</v>
      </c>
      <c r="J138" s="68">
        <f t="shared" si="45"/>
        <v>0</v>
      </c>
      <c r="K138" s="68">
        <f t="shared" si="45"/>
        <v>0</v>
      </c>
      <c r="L138" s="69">
        <f t="shared" si="45"/>
        <v>49.191813768683382</v>
      </c>
      <c r="M138" s="68">
        <f t="shared" ca="1" si="45"/>
        <v>1958234.4394243674</v>
      </c>
      <c r="N138" s="68">
        <f t="shared" ca="1" si="45"/>
        <v>46556.581046241481</v>
      </c>
    </row>
    <row r="139" spans="3:14" ht="15.75" hidden="1" thickBot="1" x14ac:dyDescent="0.3"/>
    <row r="140" spans="3:14" x14ac:dyDescent="0.25">
      <c r="C140" s="62">
        <f>IF(E140&gt;0,1,0)</f>
        <v>1</v>
      </c>
      <c r="D140" s="936" t="str">
        <f>+A20</f>
        <v>Essex</v>
      </c>
      <c r="E140" s="951">
        <f>SUMIF(A:A,D140,B:B)</f>
        <v>2.022791098305527E-4</v>
      </c>
      <c r="F140" s="940" t="s">
        <v>106</v>
      </c>
      <c r="G140" s="941"/>
      <c r="H140" s="942"/>
      <c r="I140" s="940" t="s">
        <v>99</v>
      </c>
      <c r="J140" s="941"/>
      <c r="K140" s="942"/>
      <c r="L140" s="940" t="s">
        <v>98</v>
      </c>
      <c r="M140" s="941"/>
      <c r="N140" s="943"/>
    </row>
    <row r="141" spans="3:14" ht="30" x14ac:dyDescent="0.25">
      <c r="C141" s="62">
        <f>C140</f>
        <v>1</v>
      </c>
      <c r="D141" s="937"/>
      <c r="E141" s="952"/>
      <c r="F141" s="88" t="s">
        <v>97</v>
      </c>
      <c r="G141" s="88" t="s">
        <v>96</v>
      </c>
      <c r="H141" s="88" t="s">
        <v>95</v>
      </c>
      <c r="I141" s="88" t="s">
        <v>97</v>
      </c>
      <c r="J141" s="88" t="s">
        <v>96</v>
      </c>
      <c r="K141" s="88" t="s">
        <v>95</v>
      </c>
      <c r="L141" s="88" t="s">
        <v>97</v>
      </c>
      <c r="M141" s="88" t="s">
        <v>96</v>
      </c>
      <c r="N141" s="87" t="s">
        <v>95</v>
      </c>
    </row>
    <row r="142" spans="3:14" x14ac:dyDescent="0.25">
      <c r="C142" s="62">
        <f t="shared" ref="C142:C146" si="46">C141</f>
        <v>1</v>
      </c>
      <c r="D142" s="86"/>
      <c r="E142" s="85"/>
      <c r="F142" s="84" t="s">
        <v>57</v>
      </c>
      <c r="G142" s="84" t="s">
        <v>56</v>
      </c>
      <c r="H142" s="84" t="s">
        <v>55</v>
      </c>
      <c r="I142" s="84" t="s">
        <v>54</v>
      </c>
      <c r="J142" s="84" t="s">
        <v>53</v>
      </c>
      <c r="K142" s="84" t="s">
        <v>52</v>
      </c>
      <c r="L142" s="84" t="s">
        <v>51</v>
      </c>
      <c r="M142" s="84" t="s">
        <v>50</v>
      </c>
      <c r="N142" s="83" t="s">
        <v>49</v>
      </c>
    </row>
    <row r="143" spans="3:14" x14ac:dyDescent="0.25">
      <c r="C143" s="62">
        <f t="shared" si="46"/>
        <v>1</v>
      </c>
      <c r="D143" s="82" t="s">
        <v>26</v>
      </c>
      <c r="E143" s="80"/>
      <c r="F143" s="79"/>
      <c r="G143" s="79"/>
      <c r="H143" s="79"/>
      <c r="I143" s="79"/>
      <c r="J143" s="79"/>
      <c r="K143" s="79"/>
      <c r="L143" s="79"/>
      <c r="M143" s="79"/>
      <c r="N143" s="78"/>
    </row>
    <row r="144" spans="3:14" x14ac:dyDescent="0.25">
      <c r="C144" s="62">
        <f t="shared" si="46"/>
        <v>1</v>
      </c>
      <c r="D144" s="93" t="s">
        <v>94</v>
      </c>
      <c r="E144" s="80"/>
      <c r="F144" s="79"/>
      <c r="G144" s="79"/>
      <c r="H144" s="79"/>
      <c r="I144" s="79"/>
      <c r="J144" s="79"/>
      <c r="K144" s="79"/>
      <c r="L144" s="79"/>
      <c r="M144" s="79"/>
      <c r="N144" s="78"/>
    </row>
    <row r="145" spans="3:14" x14ac:dyDescent="0.25">
      <c r="C145" s="62">
        <f t="shared" si="46"/>
        <v>1</v>
      </c>
      <c r="D145" s="268" t="s">
        <v>105</v>
      </c>
      <c r="E145" s="76" t="s">
        <v>57</v>
      </c>
      <c r="F145" s="75">
        <f>+F8*$E$140</f>
        <v>0.37826546651509413</v>
      </c>
      <c r="G145" s="74">
        <f t="shared" ref="G145:K145" ca="1" si="47">+G8*$E$140</f>
        <v>15058.043341478682</v>
      </c>
      <c r="H145" s="74">
        <f t="shared" ca="1" si="47"/>
        <v>358.00157586414758</v>
      </c>
      <c r="I145" s="75">
        <f t="shared" si="47"/>
        <v>0</v>
      </c>
      <c r="J145" s="74">
        <f t="shared" si="47"/>
        <v>0</v>
      </c>
      <c r="K145" s="74">
        <f t="shared" si="47"/>
        <v>0</v>
      </c>
      <c r="L145" s="73">
        <f>+I145+F145</f>
        <v>0.37826546651509413</v>
      </c>
      <c r="M145" s="72">
        <f ca="1">+J145+G145</f>
        <v>15058.043341478682</v>
      </c>
      <c r="N145" s="72">
        <f ca="1">+K145+H145</f>
        <v>358.00157586414758</v>
      </c>
    </row>
    <row r="146" spans="3:14" ht="15.75" thickBot="1" x14ac:dyDescent="0.3">
      <c r="C146" s="62">
        <f t="shared" si="46"/>
        <v>1</v>
      </c>
      <c r="D146" s="71" t="s">
        <v>48</v>
      </c>
      <c r="E146" s="70" t="s">
        <v>56</v>
      </c>
      <c r="F146" s="69">
        <f t="shared" ref="F146:N146" si="48">SUM(F145)</f>
        <v>0.37826546651509413</v>
      </c>
      <c r="G146" s="68">
        <f t="shared" ca="1" si="48"/>
        <v>15058.043341478682</v>
      </c>
      <c r="H146" s="68">
        <f t="shared" ca="1" si="48"/>
        <v>358.00157586414758</v>
      </c>
      <c r="I146" s="69">
        <f t="shared" si="48"/>
        <v>0</v>
      </c>
      <c r="J146" s="68">
        <f t="shared" si="48"/>
        <v>0</v>
      </c>
      <c r="K146" s="68">
        <f t="shared" si="48"/>
        <v>0</v>
      </c>
      <c r="L146" s="69">
        <f t="shared" si="48"/>
        <v>0.37826546651509413</v>
      </c>
      <c r="M146" s="68">
        <f t="shared" ca="1" si="48"/>
        <v>15058.043341478682</v>
      </c>
      <c r="N146" s="68">
        <f t="shared" ca="1" si="48"/>
        <v>358.00157586414758</v>
      </c>
    </row>
    <row r="147" spans="3:14" ht="15.75" hidden="1" thickBot="1" x14ac:dyDescent="0.3"/>
    <row r="148" spans="3:14" x14ac:dyDescent="0.25">
      <c r="C148" s="62">
        <f>IF(E148&gt;0,1,0)</f>
        <v>1</v>
      </c>
      <c r="D148" s="936" t="str">
        <f>+A21</f>
        <v>Franklin</v>
      </c>
      <c r="E148" s="951">
        <f>SUMIF(A:A,D148,B:B)</f>
        <v>9.3602280587727475E-4</v>
      </c>
      <c r="F148" s="940" t="s">
        <v>106</v>
      </c>
      <c r="G148" s="941"/>
      <c r="H148" s="942"/>
      <c r="I148" s="940" t="s">
        <v>99</v>
      </c>
      <c r="J148" s="941"/>
      <c r="K148" s="942"/>
      <c r="L148" s="940" t="s">
        <v>98</v>
      </c>
      <c r="M148" s="941"/>
      <c r="N148" s="943"/>
    </row>
    <row r="149" spans="3:14" ht="30" x14ac:dyDescent="0.25">
      <c r="C149" s="62">
        <f>C148</f>
        <v>1</v>
      </c>
      <c r="D149" s="937"/>
      <c r="E149" s="952"/>
      <c r="F149" s="88" t="s">
        <v>97</v>
      </c>
      <c r="G149" s="88" t="s">
        <v>96</v>
      </c>
      <c r="H149" s="88" t="s">
        <v>95</v>
      </c>
      <c r="I149" s="88" t="s">
        <v>97</v>
      </c>
      <c r="J149" s="88" t="s">
        <v>96</v>
      </c>
      <c r="K149" s="88" t="s">
        <v>95</v>
      </c>
      <c r="L149" s="88" t="s">
        <v>97</v>
      </c>
      <c r="M149" s="88" t="s">
        <v>96</v>
      </c>
      <c r="N149" s="87" t="s">
        <v>95</v>
      </c>
    </row>
    <row r="150" spans="3:14" x14ac:dyDescent="0.25">
      <c r="C150" s="62">
        <f t="shared" ref="C150:C154" si="49">C149</f>
        <v>1</v>
      </c>
      <c r="D150" s="86"/>
      <c r="E150" s="85"/>
      <c r="F150" s="84" t="s">
        <v>57</v>
      </c>
      <c r="G150" s="84" t="s">
        <v>56</v>
      </c>
      <c r="H150" s="84" t="s">
        <v>55</v>
      </c>
      <c r="I150" s="84" t="s">
        <v>54</v>
      </c>
      <c r="J150" s="84" t="s">
        <v>53</v>
      </c>
      <c r="K150" s="84" t="s">
        <v>52</v>
      </c>
      <c r="L150" s="84" t="s">
        <v>51</v>
      </c>
      <c r="M150" s="84" t="s">
        <v>50</v>
      </c>
      <c r="N150" s="83" t="s">
        <v>49</v>
      </c>
    </row>
    <row r="151" spans="3:14" x14ac:dyDescent="0.25">
      <c r="C151" s="62">
        <f t="shared" si="49"/>
        <v>1</v>
      </c>
      <c r="D151" s="82" t="s">
        <v>26</v>
      </c>
      <c r="E151" s="80"/>
      <c r="F151" s="79"/>
      <c r="G151" s="79"/>
      <c r="H151" s="79"/>
      <c r="I151" s="79"/>
      <c r="J151" s="79"/>
      <c r="K151" s="79"/>
      <c r="L151" s="79"/>
      <c r="M151" s="79"/>
      <c r="N151" s="78"/>
    </row>
    <row r="152" spans="3:14" x14ac:dyDescent="0.25">
      <c r="C152" s="62">
        <f t="shared" si="49"/>
        <v>1</v>
      </c>
      <c r="D152" s="93" t="s">
        <v>94</v>
      </c>
      <c r="E152" s="80"/>
      <c r="F152" s="79"/>
      <c r="G152" s="79"/>
      <c r="H152" s="79"/>
      <c r="I152" s="79"/>
      <c r="J152" s="79"/>
      <c r="K152" s="79"/>
      <c r="L152" s="79"/>
      <c r="M152" s="79"/>
      <c r="N152" s="78"/>
    </row>
    <row r="153" spans="3:14" x14ac:dyDescent="0.25">
      <c r="C153" s="62">
        <f t="shared" si="49"/>
        <v>1</v>
      </c>
      <c r="D153" s="268" t="s">
        <v>105</v>
      </c>
      <c r="E153" s="76" t="s">
        <v>57</v>
      </c>
      <c r="F153" s="75">
        <f>+F8*$E$148</f>
        <v>1.7503789868886201</v>
      </c>
      <c r="G153" s="74">
        <f t="shared" ref="G153:K153" ca="1" si="50">+G8*$E$148</f>
        <v>69679.325716429463</v>
      </c>
      <c r="H153" s="74">
        <f t="shared" ca="1" si="50"/>
        <v>1656.6102146165938</v>
      </c>
      <c r="I153" s="75">
        <f t="shared" si="50"/>
        <v>0</v>
      </c>
      <c r="J153" s="74">
        <f t="shared" si="50"/>
        <v>0</v>
      </c>
      <c r="K153" s="74">
        <f t="shared" si="50"/>
        <v>0</v>
      </c>
      <c r="L153" s="73">
        <f t="shared" ref="L153:N153" si="51">+I153+F153</f>
        <v>1.7503789868886201</v>
      </c>
      <c r="M153" s="72">
        <f t="shared" ca="1" si="51"/>
        <v>69679.325716429463</v>
      </c>
      <c r="N153" s="72">
        <f t="shared" ca="1" si="51"/>
        <v>1656.6102146165938</v>
      </c>
    </row>
    <row r="154" spans="3:14" ht="15.75" thickBot="1" x14ac:dyDescent="0.3">
      <c r="C154" s="62">
        <f t="shared" si="49"/>
        <v>1</v>
      </c>
      <c r="D154" s="71" t="s">
        <v>48</v>
      </c>
      <c r="E154" s="70" t="s">
        <v>56</v>
      </c>
      <c r="F154" s="69">
        <f t="shared" ref="F154:N154" si="52">SUM(F153)</f>
        <v>1.7503789868886201</v>
      </c>
      <c r="G154" s="68">
        <f t="shared" ca="1" si="52"/>
        <v>69679.325716429463</v>
      </c>
      <c r="H154" s="68">
        <f t="shared" ca="1" si="52"/>
        <v>1656.6102146165938</v>
      </c>
      <c r="I154" s="69">
        <f t="shared" si="52"/>
        <v>0</v>
      </c>
      <c r="J154" s="68">
        <f t="shared" si="52"/>
        <v>0</v>
      </c>
      <c r="K154" s="68">
        <f t="shared" si="52"/>
        <v>0</v>
      </c>
      <c r="L154" s="69">
        <f t="shared" si="52"/>
        <v>1.7503789868886201</v>
      </c>
      <c r="M154" s="68">
        <f t="shared" ca="1" si="52"/>
        <v>69679.325716429463</v>
      </c>
      <c r="N154" s="68">
        <f t="shared" ca="1" si="52"/>
        <v>1656.6102146165938</v>
      </c>
    </row>
    <row r="155" spans="3:14" ht="15.75" hidden="1" thickBot="1" x14ac:dyDescent="0.3"/>
    <row r="156" spans="3:14" x14ac:dyDescent="0.25">
      <c r="C156" s="62">
        <f>IF(E156&gt;0,1,0)</f>
        <v>1</v>
      </c>
      <c r="D156" s="936" t="str">
        <f>+A22</f>
        <v>Fulton</v>
      </c>
      <c r="E156" s="951">
        <f>SUMIF(A:A,D156,B:B)</f>
        <v>4.1658701551888161E-3</v>
      </c>
      <c r="F156" s="940" t="s">
        <v>106</v>
      </c>
      <c r="G156" s="941"/>
      <c r="H156" s="942"/>
      <c r="I156" s="940" t="s">
        <v>99</v>
      </c>
      <c r="J156" s="941"/>
      <c r="K156" s="942"/>
      <c r="L156" s="940" t="s">
        <v>98</v>
      </c>
      <c r="M156" s="941"/>
      <c r="N156" s="943"/>
    </row>
    <row r="157" spans="3:14" ht="30" x14ac:dyDescent="0.25">
      <c r="C157" s="62">
        <f>C156</f>
        <v>1</v>
      </c>
      <c r="D157" s="937"/>
      <c r="E157" s="952"/>
      <c r="F157" s="88" t="s">
        <v>97</v>
      </c>
      <c r="G157" s="88" t="s">
        <v>96</v>
      </c>
      <c r="H157" s="88" t="s">
        <v>95</v>
      </c>
      <c r="I157" s="88" t="s">
        <v>97</v>
      </c>
      <c r="J157" s="88" t="s">
        <v>96</v>
      </c>
      <c r="K157" s="88" t="s">
        <v>95</v>
      </c>
      <c r="L157" s="88" t="s">
        <v>97</v>
      </c>
      <c r="M157" s="88" t="s">
        <v>96</v>
      </c>
      <c r="N157" s="87" t="s">
        <v>95</v>
      </c>
    </row>
    <row r="158" spans="3:14" x14ac:dyDescent="0.25">
      <c r="C158" s="62">
        <f t="shared" ref="C158:C162" si="53">C157</f>
        <v>1</v>
      </c>
      <c r="D158" s="86"/>
      <c r="E158" s="85"/>
      <c r="F158" s="84" t="s">
        <v>57</v>
      </c>
      <c r="G158" s="84" t="s">
        <v>56</v>
      </c>
      <c r="H158" s="84" t="s">
        <v>55</v>
      </c>
      <c r="I158" s="84" t="s">
        <v>54</v>
      </c>
      <c r="J158" s="84" t="s">
        <v>53</v>
      </c>
      <c r="K158" s="84" t="s">
        <v>52</v>
      </c>
      <c r="L158" s="84" t="s">
        <v>51</v>
      </c>
      <c r="M158" s="84" t="s">
        <v>50</v>
      </c>
      <c r="N158" s="83" t="s">
        <v>49</v>
      </c>
    </row>
    <row r="159" spans="3:14" x14ac:dyDescent="0.25">
      <c r="C159" s="62">
        <f t="shared" si="53"/>
        <v>1</v>
      </c>
      <c r="D159" s="82" t="s">
        <v>26</v>
      </c>
      <c r="E159" s="80"/>
      <c r="F159" s="79"/>
      <c r="G159" s="79"/>
      <c r="H159" s="79"/>
      <c r="I159" s="79"/>
      <c r="J159" s="79"/>
      <c r="K159" s="79"/>
      <c r="L159" s="79"/>
      <c r="M159" s="79"/>
      <c r="N159" s="78"/>
    </row>
    <row r="160" spans="3:14" x14ac:dyDescent="0.25">
      <c r="C160" s="62">
        <f t="shared" si="53"/>
        <v>1</v>
      </c>
      <c r="D160" s="93" t="s">
        <v>94</v>
      </c>
      <c r="E160" s="80"/>
      <c r="F160" s="79"/>
      <c r="G160" s="79"/>
      <c r="H160" s="79"/>
      <c r="I160" s="79"/>
      <c r="J160" s="79"/>
      <c r="K160" s="79"/>
      <c r="L160" s="79"/>
      <c r="M160" s="79"/>
      <c r="N160" s="78"/>
    </row>
    <row r="161" spans="3:14" x14ac:dyDescent="0.25">
      <c r="C161" s="62">
        <f t="shared" si="53"/>
        <v>1</v>
      </c>
      <c r="D161" s="268" t="s">
        <v>105</v>
      </c>
      <c r="E161" s="76" t="s">
        <v>57</v>
      </c>
      <c r="F161" s="75">
        <f>+F8*$E$156</f>
        <v>7.7902499126768063</v>
      </c>
      <c r="G161" s="74">
        <f t="shared" ref="G161:K161" ca="1" si="54">+G8*$E$156</f>
        <v>310115.33224737801</v>
      </c>
      <c r="H161" s="74">
        <f t="shared" ca="1" si="54"/>
        <v>7372.9219080128387</v>
      </c>
      <c r="I161" s="75">
        <f t="shared" si="54"/>
        <v>0</v>
      </c>
      <c r="J161" s="74">
        <f t="shared" si="54"/>
        <v>0</v>
      </c>
      <c r="K161" s="74">
        <f t="shared" si="54"/>
        <v>0</v>
      </c>
      <c r="L161" s="73">
        <f t="shared" ref="L161:N161" si="55">+I161+F161</f>
        <v>7.7902499126768063</v>
      </c>
      <c r="M161" s="72">
        <f t="shared" ca="1" si="55"/>
        <v>310115.33224737801</v>
      </c>
      <c r="N161" s="72">
        <f t="shared" ca="1" si="55"/>
        <v>7372.9219080128387</v>
      </c>
    </row>
    <row r="162" spans="3:14" ht="15.75" thickBot="1" x14ac:dyDescent="0.3">
      <c r="C162" s="62">
        <f t="shared" si="53"/>
        <v>1</v>
      </c>
      <c r="D162" s="71" t="s">
        <v>48</v>
      </c>
      <c r="E162" s="70" t="s">
        <v>56</v>
      </c>
      <c r="F162" s="69">
        <f t="shared" ref="F162:N162" si="56">SUM(F161)</f>
        <v>7.7902499126768063</v>
      </c>
      <c r="G162" s="68">
        <f t="shared" ca="1" si="56"/>
        <v>310115.33224737801</v>
      </c>
      <c r="H162" s="68">
        <f t="shared" ca="1" si="56"/>
        <v>7372.9219080128387</v>
      </c>
      <c r="I162" s="69">
        <f t="shared" si="56"/>
        <v>0</v>
      </c>
      <c r="J162" s="68">
        <f t="shared" si="56"/>
        <v>0</v>
      </c>
      <c r="K162" s="68">
        <f t="shared" si="56"/>
        <v>0</v>
      </c>
      <c r="L162" s="69">
        <f t="shared" si="56"/>
        <v>7.7902499126768063</v>
      </c>
      <c r="M162" s="68">
        <f t="shared" ca="1" si="56"/>
        <v>310115.33224737801</v>
      </c>
      <c r="N162" s="68">
        <f t="shared" ca="1" si="56"/>
        <v>7372.9219080128387</v>
      </c>
    </row>
    <row r="163" spans="3:14" ht="15.75" hidden="1" thickBot="1" x14ac:dyDescent="0.3"/>
    <row r="164" spans="3:14" x14ac:dyDescent="0.25">
      <c r="C164" s="62">
        <f>IF(E164&gt;0,1,0)</f>
        <v>1</v>
      </c>
      <c r="D164" s="936" t="str">
        <f>+A23</f>
        <v>Genesee</v>
      </c>
      <c r="E164" s="951">
        <f>SUMIF(A:A,D164,B:B)</f>
        <v>1.7283040715096493E-3</v>
      </c>
      <c r="F164" s="940" t="s">
        <v>106</v>
      </c>
      <c r="G164" s="941"/>
      <c r="H164" s="942"/>
      <c r="I164" s="940" t="s">
        <v>99</v>
      </c>
      <c r="J164" s="941"/>
      <c r="K164" s="942"/>
      <c r="L164" s="940" t="s">
        <v>98</v>
      </c>
      <c r="M164" s="941"/>
      <c r="N164" s="943"/>
    </row>
    <row r="165" spans="3:14" ht="30" x14ac:dyDescent="0.25">
      <c r="C165" s="62">
        <f>C164</f>
        <v>1</v>
      </c>
      <c r="D165" s="937"/>
      <c r="E165" s="952"/>
      <c r="F165" s="88" t="s">
        <v>97</v>
      </c>
      <c r="G165" s="88" t="s">
        <v>96</v>
      </c>
      <c r="H165" s="88" t="s">
        <v>95</v>
      </c>
      <c r="I165" s="88" t="s">
        <v>97</v>
      </c>
      <c r="J165" s="88" t="s">
        <v>96</v>
      </c>
      <c r="K165" s="88" t="s">
        <v>95</v>
      </c>
      <c r="L165" s="88" t="s">
        <v>97</v>
      </c>
      <c r="M165" s="88" t="s">
        <v>96</v>
      </c>
      <c r="N165" s="87" t="s">
        <v>95</v>
      </c>
    </row>
    <row r="166" spans="3:14" x14ac:dyDescent="0.25">
      <c r="C166" s="62">
        <f t="shared" ref="C166:C170" si="57">C165</f>
        <v>1</v>
      </c>
      <c r="D166" s="86"/>
      <c r="E166" s="85"/>
      <c r="F166" s="84" t="s">
        <v>57</v>
      </c>
      <c r="G166" s="84" t="s">
        <v>56</v>
      </c>
      <c r="H166" s="84" t="s">
        <v>55</v>
      </c>
      <c r="I166" s="84" t="s">
        <v>54</v>
      </c>
      <c r="J166" s="84" t="s">
        <v>53</v>
      </c>
      <c r="K166" s="84" t="s">
        <v>52</v>
      </c>
      <c r="L166" s="84" t="s">
        <v>51</v>
      </c>
      <c r="M166" s="84" t="s">
        <v>50</v>
      </c>
      <c r="N166" s="83" t="s">
        <v>49</v>
      </c>
    </row>
    <row r="167" spans="3:14" x14ac:dyDescent="0.25">
      <c r="C167" s="62">
        <f t="shared" si="57"/>
        <v>1</v>
      </c>
      <c r="D167" s="82" t="s">
        <v>26</v>
      </c>
      <c r="E167" s="80"/>
      <c r="F167" s="79"/>
      <c r="G167" s="79"/>
      <c r="H167" s="79"/>
      <c r="I167" s="79"/>
      <c r="J167" s="79"/>
      <c r="K167" s="79"/>
      <c r="L167" s="79"/>
      <c r="M167" s="79"/>
      <c r="N167" s="78"/>
    </row>
    <row r="168" spans="3:14" x14ac:dyDescent="0.25">
      <c r="C168" s="62">
        <f t="shared" si="57"/>
        <v>1</v>
      </c>
      <c r="D168" s="93" t="s">
        <v>94</v>
      </c>
      <c r="E168" s="80"/>
      <c r="F168" s="79"/>
      <c r="G168" s="79"/>
      <c r="H168" s="79"/>
      <c r="I168" s="79"/>
      <c r="J168" s="79"/>
      <c r="K168" s="79"/>
      <c r="L168" s="79"/>
      <c r="M168" s="79"/>
      <c r="N168" s="78"/>
    </row>
    <row r="169" spans="3:14" x14ac:dyDescent="0.25">
      <c r="C169" s="62">
        <f t="shared" si="57"/>
        <v>1</v>
      </c>
      <c r="D169" s="268" t="s">
        <v>105</v>
      </c>
      <c r="E169" s="76" t="s">
        <v>57</v>
      </c>
      <c r="F169" s="75">
        <f t="shared" ref="F169:K169" si="58">+F$8*$E164</f>
        <v>3.2319587842619084</v>
      </c>
      <c r="G169" s="74">
        <f t="shared" ca="1" si="58"/>
        <v>128658.2565933139</v>
      </c>
      <c r="H169" s="74">
        <f t="shared" ca="1" si="58"/>
        <v>3058.8209612509459</v>
      </c>
      <c r="I169" s="75">
        <f t="shared" si="58"/>
        <v>0</v>
      </c>
      <c r="J169" s="74">
        <f t="shared" si="58"/>
        <v>0</v>
      </c>
      <c r="K169" s="74">
        <f t="shared" si="58"/>
        <v>0</v>
      </c>
      <c r="L169" s="73">
        <f t="shared" ref="L169:N169" si="59">+I169+F169</f>
        <v>3.2319587842619084</v>
      </c>
      <c r="M169" s="72">
        <f t="shared" ca="1" si="59"/>
        <v>128658.2565933139</v>
      </c>
      <c r="N169" s="72">
        <f t="shared" ca="1" si="59"/>
        <v>3058.8209612509459</v>
      </c>
    </row>
    <row r="170" spans="3:14" ht="15.75" thickBot="1" x14ac:dyDescent="0.3">
      <c r="C170" s="62">
        <f t="shared" si="57"/>
        <v>1</v>
      </c>
      <c r="D170" s="71" t="s">
        <v>48</v>
      </c>
      <c r="E170" s="70" t="s">
        <v>56</v>
      </c>
      <c r="F170" s="69">
        <f t="shared" ref="F170:N170" si="60">SUM(F169)</f>
        <v>3.2319587842619084</v>
      </c>
      <c r="G170" s="68">
        <f t="shared" ca="1" si="60"/>
        <v>128658.2565933139</v>
      </c>
      <c r="H170" s="68">
        <f t="shared" ca="1" si="60"/>
        <v>3058.8209612509459</v>
      </c>
      <c r="I170" s="69">
        <f t="shared" si="60"/>
        <v>0</v>
      </c>
      <c r="J170" s="68">
        <f t="shared" si="60"/>
        <v>0</v>
      </c>
      <c r="K170" s="68">
        <f t="shared" si="60"/>
        <v>0</v>
      </c>
      <c r="L170" s="69">
        <f t="shared" si="60"/>
        <v>3.2319587842619084</v>
      </c>
      <c r="M170" s="68">
        <f t="shared" ca="1" si="60"/>
        <v>128658.2565933139</v>
      </c>
      <c r="N170" s="68">
        <f t="shared" ca="1" si="60"/>
        <v>3058.8209612509459</v>
      </c>
    </row>
    <row r="171" spans="3:14" ht="15.75" hidden="1" thickBot="1" x14ac:dyDescent="0.3"/>
    <row r="172" spans="3:14" x14ac:dyDescent="0.25">
      <c r="C172" s="62">
        <f>IF(E172&gt;0,1,0)</f>
        <v>1</v>
      </c>
      <c r="D172" s="936" t="str">
        <f>+A24</f>
        <v>Greene</v>
      </c>
      <c r="E172" s="951">
        <f>SUMIF(A:A,D172,B:B)</f>
        <v>1.8330419841601578E-3</v>
      </c>
      <c r="F172" s="940" t="s">
        <v>106</v>
      </c>
      <c r="G172" s="941"/>
      <c r="H172" s="942"/>
      <c r="I172" s="940" t="s">
        <v>99</v>
      </c>
      <c r="J172" s="941"/>
      <c r="K172" s="942"/>
      <c r="L172" s="940" t="s">
        <v>98</v>
      </c>
      <c r="M172" s="941"/>
      <c r="N172" s="943"/>
    </row>
    <row r="173" spans="3:14" ht="30" x14ac:dyDescent="0.25">
      <c r="C173" s="62">
        <f>C172</f>
        <v>1</v>
      </c>
      <c r="D173" s="937"/>
      <c r="E173" s="952"/>
      <c r="F173" s="88" t="s">
        <v>97</v>
      </c>
      <c r="G173" s="88" t="s">
        <v>96</v>
      </c>
      <c r="H173" s="88" t="s">
        <v>95</v>
      </c>
      <c r="I173" s="88" t="s">
        <v>97</v>
      </c>
      <c r="J173" s="88" t="s">
        <v>96</v>
      </c>
      <c r="K173" s="88" t="s">
        <v>95</v>
      </c>
      <c r="L173" s="88" t="s">
        <v>97</v>
      </c>
      <c r="M173" s="88" t="s">
        <v>96</v>
      </c>
      <c r="N173" s="87" t="s">
        <v>95</v>
      </c>
    </row>
    <row r="174" spans="3:14" x14ac:dyDescent="0.25">
      <c r="C174" s="62">
        <f t="shared" ref="C174:C178" si="61">C173</f>
        <v>1</v>
      </c>
      <c r="D174" s="86"/>
      <c r="E174" s="85"/>
      <c r="F174" s="84" t="s">
        <v>57</v>
      </c>
      <c r="G174" s="84" t="s">
        <v>56</v>
      </c>
      <c r="H174" s="84" t="s">
        <v>55</v>
      </c>
      <c r="I174" s="84" t="s">
        <v>54</v>
      </c>
      <c r="J174" s="84" t="s">
        <v>53</v>
      </c>
      <c r="K174" s="84" t="s">
        <v>52</v>
      </c>
      <c r="L174" s="84" t="s">
        <v>51</v>
      </c>
      <c r="M174" s="84" t="s">
        <v>50</v>
      </c>
      <c r="N174" s="83" t="s">
        <v>49</v>
      </c>
    </row>
    <row r="175" spans="3:14" x14ac:dyDescent="0.25">
      <c r="C175" s="62">
        <f t="shared" si="61"/>
        <v>1</v>
      </c>
      <c r="D175" s="82" t="s">
        <v>26</v>
      </c>
      <c r="E175" s="80"/>
      <c r="F175" s="79"/>
      <c r="G175" s="79"/>
      <c r="H175" s="79"/>
      <c r="I175" s="79"/>
      <c r="J175" s="79"/>
      <c r="K175" s="79"/>
      <c r="L175" s="79"/>
      <c r="M175" s="79"/>
      <c r="N175" s="78"/>
    </row>
    <row r="176" spans="3:14" x14ac:dyDescent="0.25">
      <c r="C176" s="62">
        <f t="shared" si="61"/>
        <v>1</v>
      </c>
      <c r="D176" s="93" t="s">
        <v>94</v>
      </c>
      <c r="E176" s="80"/>
      <c r="F176" s="79"/>
      <c r="G176" s="79"/>
      <c r="H176" s="79"/>
      <c r="I176" s="79"/>
      <c r="J176" s="79"/>
      <c r="K176" s="79"/>
      <c r="L176" s="79"/>
      <c r="M176" s="79"/>
      <c r="N176" s="78"/>
    </row>
    <row r="177" spans="3:14" x14ac:dyDescent="0.25">
      <c r="C177" s="62">
        <f t="shared" si="61"/>
        <v>1</v>
      </c>
      <c r="D177" s="268" t="s">
        <v>105</v>
      </c>
      <c r="E177" s="76" t="s">
        <v>57</v>
      </c>
      <c r="F177" s="75">
        <f t="shared" ref="F177:K177" si="62">+F$8*$E172</f>
        <v>3.4278205092999015</v>
      </c>
      <c r="G177" s="74">
        <f t="shared" ca="1" si="62"/>
        <v>136455.14688766276</v>
      </c>
      <c r="H177" s="74">
        <f t="shared" ca="1" si="62"/>
        <v>3244.1902651450246</v>
      </c>
      <c r="I177" s="75">
        <f t="shared" si="62"/>
        <v>0</v>
      </c>
      <c r="J177" s="74">
        <f t="shared" si="62"/>
        <v>0</v>
      </c>
      <c r="K177" s="74">
        <f t="shared" si="62"/>
        <v>0</v>
      </c>
      <c r="L177" s="73">
        <f t="shared" ref="L177:N177" si="63">+I177+F177</f>
        <v>3.4278205092999015</v>
      </c>
      <c r="M177" s="72">
        <f t="shared" ca="1" si="63"/>
        <v>136455.14688766276</v>
      </c>
      <c r="N177" s="72">
        <f t="shared" ca="1" si="63"/>
        <v>3244.1902651450246</v>
      </c>
    </row>
    <row r="178" spans="3:14" ht="15.75" thickBot="1" x14ac:dyDescent="0.3">
      <c r="C178" s="62">
        <f t="shared" si="61"/>
        <v>1</v>
      </c>
      <c r="D178" s="71" t="s">
        <v>48</v>
      </c>
      <c r="E178" s="70" t="s">
        <v>56</v>
      </c>
      <c r="F178" s="69">
        <f t="shared" ref="F178:N178" si="64">SUM(F177)</f>
        <v>3.4278205092999015</v>
      </c>
      <c r="G178" s="68">
        <f t="shared" ca="1" si="64"/>
        <v>136455.14688766276</v>
      </c>
      <c r="H178" s="68">
        <f t="shared" ca="1" si="64"/>
        <v>3244.1902651450246</v>
      </c>
      <c r="I178" s="69">
        <f t="shared" si="64"/>
        <v>0</v>
      </c>
      <c r="J178" s="68">
        <f t="shared" si="64"/>
        <v>0</v>
      </c>
      <c r="K178" s="68">
        <f t="shared" si="64"/>
        <v>0</v>
      </c>
      <c r="L178" s="69">
        <f t="shared" si="64"/>
        <v>3.4278205092999015</v>
      </c>
      <c r="M178" s="68">
        <f t="shared" ca="1" si="64"/>
        <v>136455.14688766276</v>
      </c>
      <c r="N178" s="68">
        <f t="shared" ca="1" si="64"/>
        <v>3244.1902651450246</v>
      </c>
    </row>
    <row r="179" spans="3:14" ht="15.75" hidden="1" thickBot="1" x14ac:dyDescent="0.3"/>
    <row r="180" spans="3:14" x14ac:dyDescent="0.25">
      <c r="C180" s="62">
        <f>IF(E180&gt;0,1,0)</f>
        <v>1</v>
      </c>
      <c r="D180" s="936" t="str">
        <f>+A25</f>
        <v>Hamilton</v>
      </c>
      <c r="E180" s="951">
        <f>SUMIF(A:A,D180,B:B)</f>
        <v>1.0782221928070756E-4</v>
      </c>
      <c r="F180" s="940" t="s">
        <v>106</v>
      </c>
      <c r="G180" s="941"/>
      <c r="H180" s="942"/>
      <c r="I180" s="940" t="s">
        <v>99</v>
      </c>
      <c r="J180" s="941"/>
      <c r="K180" s="942"/>
      <c r="L180" s="940" t="s">
        <v>98</v>
      </c>
      <c r="M180" s="941"/>
      <c r="N180" s="943"/>
    </row>
    <row r="181" spans="3:14" ht="30" x14ac:dyDescent="0.25">
      <c r="C181" s="62">
        <f>C180</f>
        <v>1</v>
      </c>
      <c r="D181" s="937"/>
      <c r="E181" s="952"/>
      <c r="F181" s="88" t="s">
        <v>97</v>
      </c>
      <c r="G181" s="88" t="s">
        <v>96</v>
      </c>
      <c r="H181" s="88" t="s">
        <v>95</v>
      </c>
      <c r="I181" s="88" t="s">
        <v>97</v>
      </c>
      <c r="J181" s="88" t="s">
        <v>96</v>
      </c>
      <c r="K181" s="88" t="s">
        <v>95</v>
      </c>
      <c r="L181" s="88" t="s">
        <v>97</v>
      </c>
      <c r="M181" s="88" t="s">
        <v>96</v>
      </c>
      <c r="N181" s="87" t="s">
        <v>95</v>
      </c>
    </row>
    <row r="182" spans="3:14" x14ac:dyDescent="0.25">
      <c r="C182" s="62">
        <f t="shared" ref="C182:C186" si="65">C181</f>
        <v>1</v>
      </c>
      <c r="D182" s="86"/>
      <c r="E182" s="85"/>
      <c r="F182" s="84" t="s">
        <v>57</v>
      </c>
      <c r="G182" s="84" t="s">
        <v>56</v>
      </c>
      <c r="H182" s="84" t="s">
        <v>55</v>
      </c>
      <c r="I182" s="84" t="s">
        <v>54</v>
      </c>
      <c r="J182" s="84" t="s">
        <v>53</v>
      </c>
      <c r="K182" s="84" t="s">
        <v>52</v>
      </c>
      <c r="L182" s="84" t="s">
        <v>51</v>
      </c>
      <c r="M182" s="84" t="s">
        <v>50</v>
      </c>
      <c r="N182" s="83" t="s">
        <v>49</v>
      </c>
    </row>
    <row r="183" spans="3:14" x14ac:dyDescent="0.25">
      <c r="C183" s="62">
        <f t="shared" si="65"/>
        <v>1</v>
      </c>
      <c r="D183" s="82" t="s">
        <v>26</v>
      </c>
      <c r="E183" s="80"/>
      <c r="F183" s="79"/>
      <c r="G183" s="79"/>
      <c r="H183" s="79"/>
      <c r="I183" s="79"/>
      <c r="J183" s="79"/>
      <c r="K183" s="79"/>
      <c r="L183" s="79"/>
      <c r="M183" s="79"/>
      <c r="N183" s="78"/>
    </row>
    <row r="184" spans="3:14" x14ac:dyDescent="0.25">
      <c r="C184" s="62">
        <f t="shared" si="65"/>
        <v>1</v>
      </c>
      <c r="D184" s="93" t="s">
        <v>94</v>
      </c>
      <c r="E184" s="80"/>
      <c r="F184" s="79"/>
      <c r="G184" s="79"/>
      <c r="H184" s="79"/>
      <c r="I184" s="79"/>
      <c r="J184" s="79"/>
      <c r="K184" s="79"/>
      <c r="L184" s="79"/>
      <c r="M184" s="79"/>
      <c r="N184" s="78"/>
    </row>
    <row r="185" spans="3:14" x14ac:dyDescent="0.25">
      <c r="C185" s="62">
        <f t="shared" si="65"/>
        <v>1</v>
      </c>
      <c r="D185" s="268" t="s">
        <v>105</v>
      </c>
      <c r="E185" s="76" t="s">
        <v>57</v>
      </c>
      <c r="F185" s="75">
        <f t="shared" ref="F185:K185" si="66">+F$8*$E180</f>
        <v>0.2016294322783761</v>
      </c>
      <c r="G185" s="74">
        <f t="shared" ca="1" si="66"/>
        <v>8026.491971728472</v>
      </c>
      <c r="H185" s="74">
        <f t="shared" ca="1" si="66"/>
        <v>190.82803186151193</v>
      </c>
      <c r="I185" s="75">
        <f t="shared" si="66"/>
        <v>0</v>
      </c>
      <c r="J185" s="74">
        <f t="shared" si="66"/>
        <v>0</v>
      </c>
      <c r="K185" s="74">
        <f t="shared" si="66"/>
        <v>0</v>
      </c>
      <c r="L185" s="73">
        <f t="shared" ref="L185" si="67">+I185+F185</f>
        <v>0.2016294322783761</v>
      </c>
      <c r="M185" s="72">
        <f t="shared" ref="M185" ca="1" si="68">+J185+G185</f>
        <v>8026.491971728472</v>
      </c>
      <c r="N185" s="72">
        <f t="shared" ref="N185" ca="1" si="69">+K185+H185</f>
        <v>190.82803186151193</v>
      </c>
    </row>
    <row r="186" spans="3:14" ht="15.75" thickBot="1" x14ac:dyDescent="0.3">
      <c r="C186" s="62">
        <f t="shared" si="65"/>
        <v>1</v>
      </c>
      <c r="D186" s="71" t="s">
        <v>48</v>
      </c>
      <c r="E186" s="70" t="s">
        <v>56</v>
      </c>
      <c r="F186" s="69">
        <f t="shared" ref="F186:N186" si="70">SUM(F185)</f>
        <v>0.2016294322783761</v>
      </c>
      <c r="G186" s="68">
        <f t="shared" ca="1" si="70"/>
        <v>8026.491971728472</v>
      </c>
      <c r="H186" s="68">
        <f t="shared" ca="1" si="70"/>
        <v>190.82803186151193</v>
      </c>
      <c r="I186" s="69">
        <f t="shared" si="70"/>
        <v>0</v>
      </c>
      <c r="J186" s="68">
        <f t="shared" si="70"/>
        <v>0</v>
      </c>
      <c r="K186" s="68">
        <f t="shared" si="70"/>
        <v>0</v>
      </c>
      <c r="L186" s="69">
        <f t="shared" si="70"/>
        <v>0.2016294322783761</v>
      </c>
      <c r="M186" s="68">
        <f t="shared" ca="1" si="70"/>
        <v>8026.491971728472</v>
      </c>
      <c r="N186" s="68">
        <f t="shared" ca="1" si="70"/>
        <v>190.82803186151193</v>
      </c>
    </row>
    <row r="187" spans="3:14" ht="15.75" hidden="1" thickBot="1" x14ac:dyDescent="0.3"/>
    <row r="188" spans="3:14" x14ac:dyDescent="0.25">
      <c r="C188" s="62">
        <f>IF(E188&gt;0,1,0)</f>
        <v>1</v>
      </c>
      <c r="D188" s="936" t="str">
        <f>+A26</f>
        <v>Herkimer</v>
      </c>
      <c r="E188" s="951">
        <f>SUMIF(A:A,D188,B:B)</f>
        <v>1.6613489150790787E-3</v>
      </c>
      <c r="F188" s="940" t="s">
        <v>106</v>
      </c>
      <c r="G188" s="941"/>
      <c r="H188" s="942"/>
      <c r="I188" s="940" t="s">
        <v>99</v>
      </c>
      <c r="J188" s="941"/>
      <c r="K188" s="942"/>
      <c r="L188" s="940" t="s">
        <v>98</v>
      </c>
      <c r="M188" s="941"/>
      <c r="N188" s="943"/>
    </row>
    <row r="189" spans="3:14" ht="30" x14ac:dyDescent="0.25">
      <c r="C189" s="62">
        <f>C188</f>
        <v>1</v>
      </c>
      <c r="D189" s="937"/>
      <c r="E189" s="952"/>
      <c r="F189" s="88" t="s">
        <v>97</v>
      </c>
      <c r="G189" s="88" t="s">
        <v>96</v>
      </c>
      <c r="H189" s="88" t="s">
        <v>95</v>
      </c>
      <c r="I189" s="88" t="s">
        <v>97</v>
      </c>
      <c r="J189" s="88" t="s">
        <v>96</v>
      </c>
      <c r="K189" s="88" t="s">
        <v>95</v>
      </c>
      <c r="L189" s="88" t="s">
        <v>97</v>
      </c>
      <c r="M189" s="88" t="s">
        <v>96</v>
      </c>
      <c r="N189" s="87" t="s">
        <v>95</v>
      </c>
    </row>
    <row r="190" spans="3:14" x14ac:dyDescent="0.25">
      <c r="C190" s="62">
        <f t="shared" ref="C190:C194" si="71">C189</f>
        <v>1</v>
      </c>
      <c r="D190" s="86"/>
      <c r="E190" s="85"/>
      <c r="F190" s="84" t="s">
        <v>57</v>
      </c>
      <c r="G190" s="84" t="s">
        <v>56</v>
      </c>
      <c r="H190" s="84" t="s">
        <v>55</v>
      </c>
      <c r="I190" s="84" t="s">
        <v>54</v>
      </c>
      <c r="J190" s="84" t="s">
        <v>53</v>
      </c>
      <c r="K190" s="84" t="s">
        <v>52</v>
      </c>
      <c r="L190" s="84" t="s">
        <v>51</v>
      </c>
      <c r="M190" s="84" t="s">
        <v>50</v>
      </c>
      <c r="N190" s="83" t="s">
        <v>49</v>
      </c>
    </row>
    <row r="191" spans="3:14" x14ac:dyDescent="0.25">
      <c r="C191" s="62">
        <f t="shared" si="71"/>
        <v>1</v>
      </c>
      <c r="D191" s="82" t="s">
        <v>26</v>
      </c>
      <c r="E191" s="80"/>
      <c r="F191" s="79"/>
      <c r="G191" s="79"/>
      <c r="H191" s="79"/>
      <c r="I191" s="79"/>
      <c r="J191" s="79"/>
      <c r="K191" s="79"/>
      <c r="L191" s="79"/>
      <c r="M191" s="79"/>
      <c r="N191" s="78"/>
    </row>
    <row r="192" spans="3:14" x14ac:dyDescent="0.25">
      <c r="C192" s="62">
        <f t="shared" si="71"/>
        <v>1</v>
      </c>
      <c r="D192" s="93" t="s">
        <v>94</v>
      </c>
      <c r="E192" s="80"/>
      <c r="F192" s="79"/>
      <c r="G192" s="79"/>
      <c r="H192" s="79"/>
      <c r="I192" s="79"/>
      <c r="J192" s="79"/>
      <c r="K192" s="79"/>
      <c r="L192" s="79"/>
      <c r="M192" s="79"/>
      <c r="N192" s="78"/>
    </row>
    <row r="193" spans="3:14" x14ac:dyDescent="0.25">
      <c r="C193" s="62">
        <f t="shared" si="71"/>
        <v>1</v>
      </c>
      <c r="D193" s="268" t="s">
        <v>105</v>
      </c>
      <c r="E193" s="76" t="s">
        <v>57</v>
      </c>
      <c r="F193" s="75">
        <f t="shared" ref="F193:K193" si="72">+F$8*$E188</f>
        <v>3.1067514729186017</v>
      </c>
      <c r="G193" s="74">
        <f t="shared" ca="1" si="72"/>
        <v>123673.9868468651</v>
      </c>
      <c r="H193" s="74">
        <f t="shared" ca="1" si="72"/>
        <v>2940.3210749579207</v>
      </c>
      <c r="I193" s="75">
        <f t="shared" si="72"/>
        <v>0</v>
      </c>
      <c r="J193" s="74">
        <f t="shared" si="72"/>
        <v>0</v>
      </c>
      <c r="K193" s="74">
        <f t="shared" si="72"/>
        <v>0</v>
      </c>
      <c r="L193" s="73">
        <f t="shared" ref="L193" si="73">+I193+F193</f>
        <v>3.1067514729186017</v>
      </c>
      <c r="M193" s="72">
        <f t="shared" ref="M193" ca="1" si="74">+J193+G193</f>
        <v>123673.9868468651</v>
      </c>
      <c r="N193" s="72">
        <f t="shared" ref="N193" ca="1" si="75">+K193+H193</f>
        <v>2940.3210749579207</v>
      </c>
    </row>
    <row r="194" spans="3:14" ht="15.75" thickBot="1" x14ac:dyDescent="0.3">
      <c r="C194" s="62">
        <f t="shared" si="71"/>
        <v>1</v>
      </c>
      <c r="D194" s="71" t="s">
        <v>48</v>
      </c>
      <c r="E194" s="70" t="s">
        <v>56</v>
      </c>
      <c r="F194" s="69">
        <f t="shared" ref="F194:N194" si="76">SUM(F193)</f>
        <v>3.1067514729186017</v>
      </c>
      <c r="G194" s="68">
        <f t="shared" ca="1" si="76"/>
        <v>123673.9868468651</v>
      </c>
      <c r="H194" s="68">
        <f t="shared" ca="1" si="76"/>
        <v>2940.3210749579207</v>
      </c>
      <c r="I194" s="69">
        <f t="shared" si="76"/>
        <v>0</v>
      </c>
      <c r="J194" s="68">
        <f t="shared" si="76"/>
        <v>0</v>
      </c>
      <c r="K194" s="68">
        <f t="shared" si="76"/>
        <v>0</v>
      </c>
      <c r="L194" s="69">
        <f t="shared" si="76"/>
        <v>3.1067514729186017</v>
      </c>
      <c r="M194" s="68">
        <f t="shared" ca="1" si="76"/>
        <v>123673.9868468651</v>
      </c>
      <c r="N194" s="68">
        <f t="shared" ca="1" si="76"/>
        <v>2940.3210749579207</v>
      </c>
    </row>
    <row r="195" spans="3:14" ht="15.75" hidden="1" thickBot="1" x14ac:dyDescent="0.3"/>
    <row r="196" spans="3:14" x14ac:dyDescent="0.25">
      <c r="C196" s="62">
        <f>IF(E196&gt;0,1,0)</f>
        <v>1</v>
      </c>
      <c r="D196" s="936" t="str">
        <f>+A27</f>
        <v>Jefferson</v>
      </c>
      <c r="E196" s="951">
        <f>SUMIF(A:A,D196,B:B)</f>
        <v>6.5581997416250632E-3</v>
      </c>
      <c r="F196" s="940" t="s">
        <v>106</v>
      </c>
      <c r="G196" s="941"/>
      <c r="H196" s="942"/>
      <c r="I196" s="940" t="s">
        <v>99</v>
      </c>
      <c r="J196" s="941"/>
      <c r="K196" s="942"/>
      <c r="L196" s="940" t="s">
        <v>98</v>
      </c>
      <c r="M196" s="941"/>
      <c r="N196" s="943"/>
    </row>
    <row r="197" spans="3:14" ht="30" x14ac:dyDescent="0.25">
      <c r="C197" s="62">
        <f>C196</f>
        <v>1</v>
      </c>
      <c r="D197" s="937"/>
      <c r="E197" s="952"/>
      <c r="F197" s="88" t="s">
        <v>97</v>
      </c>
      <c r="G197" s="88" t="s">
        <v>96</v>
      </c>
      <c r="H197" s="88" t="s">
        <v>95</v>
      </c>
      <c r="I197" s="88" t="s">
        <v>97</v>
      </c>
      <c r="J197" s="88" t="s">
        <v>96</v>
      </c>
      <c r="K197" s="88" t="s">
        <v>95</v>
      </c>
      <c r="L197" s="88" t="s">
        <v>97</v>
      </c>
      <c r="M197" s="88" t="s">
        <v>96</v>
      </c>
      <c r="N197" s="87" t="s">
        <v>95</v>
      </c>
    </row>
    <row r="198" spans="3:14" x14ac:dyDescent="0.25">
      <c r="C198" s="62">
        <f t="shared" ref="C198:C202" si="77">C197</f>
        <v>1</v>
      </c>
      <c r="D198" s="86"/>
      <c r="E198" s="85"/>
      <c r="F198" s="84" t="s">
        <v>57</v>
      </c>
      <c r="G198" s="84" t="s">
        <v>56</v>
      </c>
      <c r="H198" s="84" t="s">
        <v>55</v>
      </c>
      <c r="I198" s="84" t="s">
        <v>54</v>
      </c>
      <c r="J198" s="84" t="s">
        <v>53</v>
      </c>
      <c r="K198" s="84" t="s">
        <v>52</v>
      </c>
      <c r="L198" s="84" t="s">
        <v>51</v>
      </c>
      <c r="M198" s="84" t="s">
        <v>50</v>
      </c>
      <c r="N198" s="83" t="s">
        <v>49</v>
      </c>
    </row>
    <row r="199" spans="3:14" x14ac:dyDescent="0.25">
      <c r="C199" s="62">
        <f t="shared" si="77"/>
        <v>1</v>
      </c>
      <c r="D199" s="82" t="s">
        <v>26</v>
      </c>
      <c r="E199" s="80"/>
      <c r="F199" s="79"/>
      <c r="G199" s="79"/>
      <c r="H199" s="79"/>
      <c r="I199" s="79"/>
      <c r="J199" s="79"/>
      <c r="K199" s="79"/>
      <c r="L199" s="79"/>
      <c r="M199" s="79"/>
      <c r="N199" s="78"/>
    </row>
    <row r="200" spans="3:14" x14ac:dyDescent="0.25">
      <c r="C200" s="62">
        <f t="shared" si="77"/>
        <v>1</v>
      </c>
      <c r="D200" s="93" t="s">
        <v>94</v>
      </c>
      <c r="E200" s="80"/>
      <c r="F200" s="79"/>
      <c r="G200" s="79"/>
      <c r="H200" s="79"/>
      <c r="I200" s="79"/>
      <c r="J200" s="79"/>
      <c r="K200" s="79"/>
      <c r="L200" s="79"/>
      <c r="M200" s="79"/>
      <c r="N200" s="78"/>
    </row>
    <row r="201" spans="3:14" x14ac:dyDescent="0.25">
      <c r="C201" s="62">
        <f t="shared" si="77"/>
        <v>1</v>
      </c>
      <c r="D201" s="268" t="s">
        <v>105</v>
      </c>
      <c r="E201" s="76" t="s">
        <v>57</v>
      </c>
      <c r="F201" s="75">
        <f t="shared" ref="F201:K201" si="78">+F$8*$E196</f>
        <v>12.26394800156609</v>
      </c>
      <c r="G201" s="74">
        <f t="shared" ca="1" si="78"/>
        <v>488204.91663320799</v>
      </c>
      <c r="H201" s="74">
        <f t="shared" ca="1" si="78"/>
        <v>11606.961511252381</v>
      </c>
      <c r="I201" s="75">
        <f t="shared" si="78"/>
        <v>0</v>
      </c>
      <c r="J201" s="74">
        <f t="shared" si="78"/>
        <v>0</v>
      </c>
      <c r="K201" s="74">
        <f t="shared" si="78"/>
        <v>0</v>
      </c>
      <c r="L201" s="73">
        <f t="shared" ref="L201" si="79">+I201+F201</f>
        <v>12.26394800156609</v>
      </c>
      <c r="M201" s="72">
        <f t="shared" ref="M201" ca="1" si="80">+J201+G201</f>
        <v>488204.91663320799</v>
      </c>
      <c r="N201" s="72">
        <f t="shared" ref="N201" ca="1" si="81">+K201+H201</f>
        <v>11606.961511252381</v>
      </c>
    </row>
    <row r="202" spans="3:14" ht="15.75" thickBot="1" x14ac:dyDescent="0.3">
      <c r="C202" s="62">
        <f t="shared" si="77"/>
        <v>1</v>
      </c>
      <c r="D202" s="71" t="s">
        <v>48</v>
      </c>
      <c r="E202" s="70" t="s">
        <v>56</v>
      </c>
      <c r="F202" s="69">
        <f t="shared" ref="F202:N202" si="82">SUM(F201)</f>
        <v>12.26394800156609</v>
      </c>
      <c r="G202" s="68">
        <f t="shared" ca="1" si="82"/>
        <v>488204.91663320799</v>
      </c>
      <c r="H202" s="68">
        <f t="shared" ca="1" si="82"/>
        <v>11606.961511252381</v>
      </c>
      <c r="I202" s="69">
        <f t="shared" si="82"/>
        <v>0</v>
      </c>
      <c r="J202" s="68">
        <f t="shared" si="82"/>
        <v>0</v>
      </c>
      <c r="K202" s="68">
        <f t="shared" si="82"/>
        <v>0</v>
      </c>
      <c r="L202" s="69">
        <f t="shared" si="82"/>
        <v>12.26394800156609</v>
      </c>
      <c r="M202" s="68">
        <f t="shared" ca="1" si="82"/>
        <v>488204.91663320799</v>
      </c>
      <c r="N202" s="68">
        <f t="shared" ca="1" si="82"/>
        <v>11606.961511252381</v>
      </c>
    </row>
    <row r="203" spans="3:14" ht="15.75" hidden="1" thickBot="1" x14ac:dyDescent="0.3"/>
    <row r="204" spans="3:14" x14ac:dyDescent="0.25">
      <c r="C204" s="62">
        <f>IF(E204&gt;0,1,0)</f>
        <v>1</v>
      </c>
      <c r="D204" s="936" t="str">
        <f>+A28</f>
        <v>Kings</v>
      </c>
      <c r="E204" s="951">
        <f>SUMIF(A:A,D204,B:B)</f>
        <v>0.19849003913535318</v>
      </c>
      <c r="F204" s="940" t="s">
        <v>106</v>
      </c>
      <c r="G204" s="941"/>
      <c r="H204" s="942"/>
      <c r="I204" s="940" t="s">
        <v>99</v>
      </c>
      <c r="J204" s="941"/>
      <c r="K204" s="942"/>
      <c r="L204" s="940" t="s">
        <v>98</v>
      </c>
      <c r="M204" s="941"/>
      <c r="N204" s="943"/>
    </row>
    <row r="205" spans="3:14" ht="30" x14ac:dyDescent="0.25">
      <c r="C205" s="62">
        <f>C204</f>
        <v>1</v>
      </c>
      <c r="D205" s="937"/>
      <c r="E205" s="952"/>
      <c r="F205" s="88" t="s">
        <v>97</v>
      </c>
      <c r="G205" s="88" t="s">
        <v>96</v>
      </c>
      <c r="H205" s="88" t="s">
        <v>95</v>
      </c>
      <c r="I205" s="88" t="s">
        <v>97</v>
      </c>
      <c r="J205" s="88" t="s">
        <v>96</v>
      </c>
      <c r="K205" s="88" t="s">
        <v>95</v>
      </c>
      <c r="L205" s="88" t="s">
        <v>97</v>
      </c>
      <c r="M205" s="88" t="s">
        <v>96</v>
      </c>
      <c r="N205" s="87" t="s">
        <v>95</v>
      </c>
    </row>
    <row r="206" spans="3:14" x14ac:dyDescent="0.25">
      <c r="C206" s="62">
        <f t="shared" ref="C206:C210" si="83">C205</f>
        <v>1</v>
      </c>
      <c r="D206" s="86"/>
      <c r="E206" s="85"/>
      <c r="F206" s="84" t="s">
        <v>57</v>
      </c>
      <c r="G206" s="84" t="s">
        <v>56</v>
      </c>
      <c r="H206" s="84" t="s">
        <v>55</v>
      </c>
      <c r="I206" s="84" t="s">
        <v>54</v>
      </c>
      <c r="J206" s="84" t="s">
        <v>53</v>
      </c>
      <c r="K206" s="84" t="s">
        <v>52</v>
      </c>
      <c r="L206" s="84" t="s">
        <v>51</v>
      </c>
      <c r="M206" s="84" t="s">
        <v>50</v>
      </c>
      <c r="N206" s="83" t="s">
        <v>49</v>
      </c>
    </row>
    <row r="207" spans="3:14" x14ac:dyDescent="0.25">
      <c r="C207" s="62">
        <f t="shared" si="83"/>
        <v>1</v>
      </c>
      <c r="D207" s="82" t="s">
        <v>26</v>
      </c>
      <c r="E207" s="80"/>
      <c r="F207" s="79"/>
      <c r="G207" s="79"/>
      <c r="H207" s="79"/>
      <c r="I207" s="79"/>
      <c r="J207" s="79"/>
      <c r="K207" s="79"/>
      <c r="L207" s="79"/>
      <c r="M207" s="79"/>
      <c r="N207" s="78"/>
    </row>
    <row r="208" spans="3:14" x14ac:dyDescent="0.25">
      <c r="C208" s="62">
        <f t="shared" si="83"/>
        <v>1</v>
      </c>
      <c r="D208" s="93" t="s">
        <v>94</v>
      </c>
      <c r="E208" s="80"/>
      <c r="F208" s="79"/>
      <c r="G208" s="79"/>
      <c r="H208" s="79"/>
      <c r="I208" s="79"/>
      <c r="J208" s="79"/>
      <c r="K208" s="79"/>
      <c r="L208" s="79"/>
      <c r="M208" s="79"/>
      <c r="N208" s="78"/>
    </row>
    <row r="209" spans="3:14" x14ac:dyDescent="0.25">
      <c r="C209" s="62">
        <f t="shared" si="83"/>
        <v>1</v>
      </c>
      <c r="D209" s="268" t="s">
        <v>105</v>
      </c>
      <c r="E209" s="76" t="s">
        <v>57</v>
      </c>
      <c r="F209" s="75">
        <f t="shared" ref="F209:K209" si="84">+F$8*$E204</f>
        <v>371.17983817028403</v>
      </c>
      <c r="G209" s="74">
        <f t="shared" ca="1" si="84"/>
        <v>14775977.680817844</v>
      </c>
      <c r="H209" s="74">
        <f t="shared" ca="1" si="84"/>
        <v>351295.52855615609</v>
      </c>
      <c r="I209" s="75">
        <f t="shared" si="84"/>
        <v>0</v>
      </c>
      <c r="J209" s="74">
        <f t="shared" si="84"/>
        <v>0</v>
      </c>
      <c r="K209" s="74">
        <f t="shared" si="84"/>
        <v>0</v>
      </c>
      <c r="L209" s="73">
        <f t="shared" ref="L209" si="85">+I209+F209</f>
        <v>371.17983817028403</v>
      </c>
      <c r="M209" s="72">
        <f t="shared" ref="M209" ca="1" si="86">+J209+G209</f>
        <v>14775977.680817844</v>
      </c>
      <c r="N209" s="72">
        <f t="shared" ref="N209" ca="1" si="87">+K209+H209</f>
        <v>351295.52855615609</v>
      </c>
    </row>
    <row r="210" spans="3:14" ht="15.75" thickBot="1" x14ac:dyDescent="0.3">
      <c r="C210" s="62">
        <f t="shared" si="83"/>
        <v>1</v>
      </c>
      <c r="D210" s="71" t="s">
        <v>48</v>
      </c>
      <c r="E210" s="70" t="s">
        <v>56</v>
      </c>
      <c r="F210" s="69">
        <f t="shared" ref="F210:N210" si="88">SUM(F209)</f>
        <v>371.17983817028403</v>
      </c>
      <c r="G210" s="68">
        <f t="shared" ca="1" si="88"/>
        <v>14775977.680817844</v>
      </c>
      <c r="H210" s="68">
        <f t="shared" ca="1" si="88"/>
        <v>351295.52855615609</v>
      </c>
      <c r="I210" s="69">
        <f t="shared" si="88"/>
        <v>0</v>
      </c>
      <c r="J210" s="68">
        <f t="shared" si="88"/>
        <v>0</v>
      </c>
      <c r="K210" s="68">
        <f t="shared" si="88"/>
        <v>0</v>
      </c>
      <c r="L210" s="69">
        <f t="shared" si="88"/>
        <v>371.17983817028403</v>
      </c>
      <c r="M210" s="68">
        <f t="shared" ca="1" si="88"/>
        <v>14775977.680817844</v>
      </c>
      <c r="N210" s="68">
        <f t="shared" ca="1" si="88"/>
        <v>351295.52855615609</v>
      </c>
    </row>
    <row r="211" spans="3:14" ht="15.75" hidden="1" thickBot="1" x14ac:dyDescent="0.3"/>
    <row r="212" spans="3:14" x14ac:dyDescent="0.25">
      <c r="C212" s="62">
        <f>IF(E212&gt;0,1,0)</f>
        <v>1</v>
      </c>
      <c r="D212" s="936" t="str">
        <f>+A29</f>
        <v>Lewis</v>
      </c>
      <c r="E212" s="951">
        <f>SUMIF(A:A,D212,B:B)</f>
        <v>1.5695907928306577E-3</v>
      </c>
      <c r="F212" s="940" t="s">
        <v>106</v>
      </c>
      <c r="G212" s="941"/>
      <c r="H212" s="942"/>
      <c r="I212" s="940" t="s">
        <v>99</v>
      </c>
      <c r="J212" s="941"/>
      <c r="K212" s="942"/>
      <c r="L212" s="940" t="s">
        <v>98</v>
      </c>
      <c r="M212" s="941"/>
      <c r="N212" s="943"/>
    </row>
    <row r="213" spans="3:14" ht="30" x14ac:dyDescent="0.25">
      <c r="C213" s="62">
        <f>C212</f>
        <v>1</v>
      </c>
      <c r="D213" s="937"/>
      <c r="E213" s="952"/>
      <c r="F213" s="88" t="s">
        <v>97</v>
      </c>
      <c r="G213" s="88" t="s">
        <v>96</v>
      </c>
      <c r="H213" s="88" t="s">
        <v>95</v>
      </c>
      <c r="I213" s="88" t="s">
        <v>97</v>
      </c>
      <c r="J213" s="88" t="s">
        <v>96</v>
      </c>
      <c r="K213" s="88" t="s">
        <v>95</v>
      </c>
      <c r="L213" s="88" t="s">
        <v>97</v>
      </c>
      <c r="M213" s="88" t="s">
        <v>96</v>
      </c>
      <c r="N213" s="87" t="s">
        <v>95</v>
      </c>
    </row>
    <row r="214" spans="3:14" x14ac:dyDescent="0.25">
      <c r="C214" s="62">
        <f t="shared" ref="C214:C218" si="89">C213</f>
        <v>1</v>
      </c>
      <c r="D214" s="86"/>
      <c r="E214" s="85"/>
      <c r="F214" s="84" t="s">
        <v>57</v>
      </c>
      <c r="G214" s="84" t="s">
        <v>56</v>
      </c>
      <c r="H214" s="84" t="s">
        <v>55</v>
      </c>
      <c r="I214" s="84" t="s">
        <v>54</v>
      </c>
      <c r="J214" s="84" t="s">
        <v>53</v>
      </c>
      <c r="K214" s="84" t="s">
        <v>52</v>
      </c>
      <c r="L214" s="84" t="s">
        <v>51</v>
      </c>
      <c r="M214" s="84" t="s">
        <v>50</v>
      </c>
      <c r="N214" s="83" t="s">
        <v>49</v>
      </c>
    </row>
    <row r="215" spans="3:14" x14ac:dyDescent="0.25">
      <c r="C215" s="62">
        <f t="shared" si="89"/>
        <v>1</v>
      </c>
      <c r="D215" s="82" t="s">
        <v>26</v>
      </c>
      <c r="E215" s="80"/>
      <c r="F215" s="79"/>
      <c r="G215" s="79"/>
      <c r="H215" s="79"/>
      <c r="I215" s="79"/>
      <c r="J215" s="79"/>
      <c r="K215" s="79"/>
      <c r="L215" s="79"/>
      <c r="M215" s="79"/>
      <c r="N215" s="78"/>
    </row>
    <row r="216" spans="3:14" x14ac:dyDescent="0.25">
      <c r="C216" s="62">
        <f t="shared" si="89"/>
        <v>1</v>
      </c>
      <c r="D216" s="93" t="s">
        <v>94</v>
      </c>
      <c r="E216" s="80"/>
      <c r="F216" s="79"/>
      <c r="G216" s="79"/>
      <c r="H216" s="79"/>
      <c r="I216" s="79"/>
      <c r="J216" s="79"/>
      <c r="K216" s="79"/>
      <c r="L216" s="79"/>
      <c r="M216" s="79"/>
      <c r="N216" s="78"/>
    </row>
    <row r="217" spans="3:14" x14ac:dyDescent="0.25">
      <c r="C217" s="62">
        <f t="shared" si="89"/>
        <v>1</v>
      </c>
      <c r="D217" s="268" t="s">
        <v>105</v>
      </c>
      <c r="E217" s="76" t="s">
        <v>57</v>
      </c>
      <c r="F217" s="75">
        <f t="shared" ref="F217:K217" si="90">+F$8*$E212</f>
        <v>2.9351621825172187</v>
      </c>
      <c r="G217" s="74">
        <f t="shared" ca="1" si="90"/>
        <v>116843.33694482203</v>
      </c>
      <c r="H217" s="74">
        <f t="shared" ca="1" si="90"/>
        <v>2777.9239179267893</v>
      </c>
      <c r="I217" s="75">
        <f t="shared" si="90"/>
        <v>0</v>
      </c>
      <c r="J217" s="74">
        <f t="shared" si="90"/>
        <v>0</v>
      </c>
      <c r="K217" s="74">
        <f t="shared" si="90"/>
        <v>0</v>
      </c>
      <c r="L217" s="73">
        <f t="shared" ref="L217" si="91">+I217+F217</f>
        <v>2.9351621825172187</v>
      </c>
      <c r="M217" s="72">
        <f t="shared" ref="M217" ca="1" si="92">+J217+G217</f>
        <v>116843.33694482203</v>
      </c>
      <c r="N217" s="72">
        <f t="shared" ref="N217" ca="1" si="93">+K217+H217</f>
        <v>2777.9239179267893</v>
      </c>
    </row>
    <row r="218" spans="3:14" ht="15.75" thickBot="1" x14ac:dyDescent="0.3">
      <c r="C218" s="62">
        <f t="shared" si="89"/>
        <v>1</v>
      </c>
      <c r="D218" s="71" t="s">
        <v>48</v>
      </c>
      <c r="E218" s="70" t="s">
        <v>56</v>
      </c>
      <c r="F218" s="69">
        <f t="shared" ref="F218:N218" si="94">SUM(F217)</f>
        <v>2.9351621825172187</v>
      </c>
      <c r="G218" s="68">
        <f t="shared" ca="1" si="94"/>
        <v>116843.33694482203</v>
      </c>
      <c r="H218" s="68">
        <f t="shared" ca="1" si="94"/>
        <v>2777.9239179267893</v>
      </c>
      <c r="I218" s="69">
        <f t="shared" si="94"/>
        <v>0</v>
      </c>
      <c r="J218" s="68">
        <f t="shared" si="94"/>
        <v>0</v>
      </c>
      <c r="K218" s="68">
        <f t="shared" si="94"/>
        <v>0</v>
      </c>
      <c r="L218" s="69">
        <f t="shared" si="94"/>
        <v>2.9351621825172187</v>
      </c>
      <c r="M218" s="68">
        <f t="shared" ca="1" si="94"/>
        <v>116843.33694482203</v>
      </c>
      <c r="N218" s="68">
        <f t="shared" ca="1" si="94"/>
        <v>2777.9239179267893</v>
      </c>
    </row>
    <row r="219" spans="3:14" ht="15.75" hidden="1" thickBot="1" x14ac:dyDescent="0.3"/>
    <row r="220" spans="3:14" x14ac:dyDescent="0.25">
      <c r="C220" s="62">
        <f>IF(E220&gt;0,1,0)</f>
        <v>1</v>
      </c>
      <c r="D220" s="936" t="str">
        <f>+A30</f>
        <v>Livingston</v>
      </c>
      <c r="E220" s="951">
        <f>SUMIF(A:A,D220,B:B)</f>
        <v>1.1180611534471463E-3</v>
      </c>
      <c r="F220" s="940" t="s">
        <v>106</v>
      </c>
      <c r="G220" s="941"/>
      <c r="H220" s="942"/>
      <c r="I220" s="940" t="s">
        <v>99</v>
      </c>
      <c r="J220" s="941"/>
      <c r="K220" s="942"/>
      <c r="L220" s="940" t="s">
        <v>98</v>
      </c>
      <c r="M220" s="941"/>
      <c r="N220" s="943"/>
    </row>
    <row r="221" spans="3:14" ht="30" x14ac:dyDescent="0.25">
      <c r="C221" s="62">
        <f>C220</f>
        <v>1</v>
      </c>
      <c r="D221" s="937"/>
      <c r="E221" s="952"/>
      <c r="F221" s="88" t="s">
        <v>97</v>
      </c>
      <c r="G221" s="88" t="s">
        <v>96</v>
      </c>
      <c r="H221" s="88" t="s">
        <v>95</v>
      </c>
      <c r="I221" s="88" t="s">
        <v>97</v>
      </c>
      <c r="J221" s="88" t="s">
        <v>96</v>
      </c>
      <c r="K221" s="88" t="s">
        <v>95</v>
      </c>
      <c r="L221" s="88" t="s">
        <v>97</v>
      </c>
      <c r="M221" s="88" t="s">
        <v>96</v>
      </c>
      <c r="N221" s="87" t="s">
        <v>95</v>
      </c>
    </row>
    <row r="222" spans="3:14" x14ac:dyDescent="0.25">
      <c r="C222" s="62">
        <f t="shared" ref="C222:C226" si="95">C221</f>
        <v>1</v>
      </c>
      <c r="D222" s="86"/>
      <c r="E222" s="85"/>
      <c r="F222" s="84" t="s">
        <v>57</v>
      </c>
      <c r="G222" s="84" t="s">
        <v>56</v>
      </c>
      <c r="H222" s="84" t="s">
        <v>55</v>
      </c>
      <c r="I222" s="84" t="s">
        <v>54</v>
      </c>
      <c r="J222" s="84" t="s">
        <v>53</v>
      </c>
      <c r="K222" s="84" t="s">
        <v>52</v>
      </c>
      <c r="L222" s="84" t="s">
        <v>51</v>
      </c>
      <c r="M222" s="84" t="s">
        <v>50</v>
      </c>
      <c r="N222" s="83" t="s">
        <v>49</v>
      </c>
    </row>
    <row r="223" spans="3:14" x14ac:dyDescent="0.25">
      <c r="C223" s="62">
        <f t="shared" si="95"/>
        <v>1</v>
      </c>
      <c r="D223" s="82" t="s">
        <v>26</v>
      </c>
      <c r="E223" s="80"/>
      <c r="F223" s="79"/>
      <c r="G223" s="79"/>
      <c r="H223" s="79"/>
      <c r="I223" s="79"/>
      <c r="J223" s="79"/>
      <c r="K223" s="79"/>
      <c r="L223" s="79"/>
      <c r="M223" s="79"/>
      <c r="N223" s="78"/>
    </row>
    <row r="224" spans="3:14" x14ac:dyDescent="0.25">
      <c r="C224" s="62">
        <f t="shared" si="95"/>
        <v>1</v>
      </c>
      <c r="D224" s="93" t="s">
        <v>94</v>
      </c>
      <c r="E224" s="80"/>
      <c r="F224" s="79"/>
      <c r="G224" s="79"/>
      <c r="H224" s="79"/>
      <c r="I224" s="79"/>
      <c r="J224" s="79"/>
      <c r="K224" s="79"/>
      <c r="L224" s="79"/>
      <c r="M224" s="79"/>
      <c r="N224" s="78"/>
    </row>
    <row r="225" spans="3:14" x14ac:dyDescent="0.25">
      <c r="C225" s="62">
        <f t="shared" si="95"/>
        <v>1</v>
      </c>
      <c r="D225" s="268" t="s">
        <v>105</v>
      </c>
      <c r="E225" s="76" t="s">
        <v>57</v>
      </c>
      <c r="F225" s="75">
        <f t="shared" ref="F225:K225" si="96">+F$8*$E220</f>
        <v>2.0907938746387034</v>
      </c>
      <c r="G225" s="74">
        <f t="shared" ca="1" si="96"/>
        <v>83230.608050104522</v>
      </c>
      <c r="H225" s="74">
        <f t="shared" ca="1" si="96"/>
        <v>1978.7888881944623</v>
      </c>
      <c r="I225" s="75">
        <f t="shared" si="96"/>
        <v>0</v>
      </c>
      <c r="J225" s="74">
        <f t="shared" si="96"/>
        <v>0</v>
      </c>
      <c r="K225" s="74">
        <f t="shared" si="96"/>
        <v>0</v>
      </c>
      <c r="L225" s="73">
        <f t="shared" ref="L225" si="97">+I225+F225</f>
        <v>2.0907938746387034</v>
      </c>
      <c r="M225" s="72">
        <f t="shared" ref="M225" ca="1" si="98">+J225+G225</f>
        <v>83230.608050104522</v>
      </c>
      <c r="N225" s="72">
        <f t="shared" ref="N225" ca="1" si="99">+K225+H225</f>
        <v>1978.7888881944623</v>
      </c>
    </row>
    <row r="226" spans="3:14" ht="15.75" thickBot="1" x14ac:dyDescent="0.3">
      <c r="C226" s="62">
        <f t="shared" si="95"/>
        <v>1</v>
      </c>
      <c r="D226" s="71" t="s">
        <v>48</v>
      </c>
      <c r="E226" s="70" t="s">
        <v>56</v>
      </c>
      <c r="F226" s="69">
        <f t="shared" ref="F226:N226" si="100">SUM(F225)</f>
        <v>2.0907938746387034</v>
      </c>
      <c r="G226" s="68">
        <f t="shared" ca="1" si="100"/>
        <v>83230.608050104522</v>
      </c>
      <c r="H226" s="68">
        <f t="shared" ca="1" si="100"/>
        <v>1978.7888881944623</v>
      </c>
      <c r="I226" s="69">
        <f t="shared" si="100"/>
        <v>0</v>
      </c>
      <c r="J226" s="68">
        <f t="shared" si="100"/>
        <v>0</v>
      </c>
      <c r="K226" s="68">
        <f t="shared" si="100"/>
        <v>0</v>
      </c>
      <c r="L226" s="69">
        <f t="shared" si="100"/>
        <v>2.0907938746387034</v>
      </c>
      <c r="M226" s="68">
        <f t="shared" ca="1" si="100"/>
        <v>83230.608050104522</v>
      </c>
      <c r="N226" s="68">
        <f t="shared" ca="1" si="100"/>
        <v>1978.7888881944623</v>
      </c>
    </row>
    <row r="227" spans="3:14" ht="15.75" hidden="1" thickBot="1" x14ac:dyDescent="0.3"/>
    <row r="228" spans="3:14" x14ac:dyDescent="0.25">
      <c r="C228" s="62">
        <f>IF(E228&gt;0,1,0)</f>
        <v>1</v>
      </c>
      <c r="D228" s="936" t="str">
        <f>+A31</f>
        <v>Madison</v>
      </c>
      <c r="E228" s="951">
        <f>SUMIF(A:A,D228,B:B)</f>
        <v>1.9127199054402991E-3</v>
      </c>
      <c r="F228" s="940" t="s">
        <v>106</v>
      </c>
      <c r="G228" s="941"/>
      <c r="H228" s="942"/>
      <c r="I228" s="940" t="s">
        <v>99</v>
      </c>
      <c r="J228" s="941"/>
      <c r="K228" s="942"/>
      <c r="L228" s="940" t="s">
        <v>98</v>
      </c>
      <c r="M228" s="941"/>
      <c r="N228" s="943"/>
    </row>
    <row r="229" spans="3:14" ht="30" x14ac:dyDescent="0.25">
      <c r="C229" s="62">
        <f>C228</f>
        <v>1</v>
      </c>
      <c r="D229" s="937"/>
      <c r="E229" s="952"/>
      <c r="F229" s="88" t="s">
        <v>97</v>
      </c>
      <c r="G229" s="88" t="s">
        <v>96</v>
      </c>
      <c r="H229" s="88" t="s">
        <v>95</v>
      </c>
      <c r="I229" s="88" t="s">
        <v>97</v>
      </c>
      <c r="J229" s="88" t="s">
        <v>96</v>
      </c>
      <c r="K229" s="88" t="s">
        <v>95</v>
      </c>
      <c r="L229" s="88" t="s">
        <v>97</v>
      </c>
      <c r="M229" s="88" t="s">
        <v>96</v>
      </c>
      <c r="N229" s="87" t="s">
        <v>95</v>
      </c>
    </row>
    <row r="230" spans="3:14" x14ac:dyDescent="0.25">
      <c r="C230" s="62">
        <f t="shared" ref="C230:C234" si="101">C229</f>
        <v>1</v>
      </c>
      <c r="D230" s="86"/>
      <c r="E230" s="85"/>
      <c r="F230" s="84" t="s">
        <v>57</v>
      </c>
      <c r="G230" s="84" t="s">
        <v>56</v>
      </c>
      <c r="H230" s="84" t="s">
        <v>55</v>
      </c>
      <c r="I230" s="84" t="s">
        <v>54</v>
      </c>
      <c r="J230" s="84" t="s">
        <v>53</v>
      </c>
      <c r="K230" s="84" t="s">
        <v>52</v>
      </c>
      <c r="L230" s="84" t="s">
        <v>51</v>
      </c>
      <c r="M230" s="84" t="s">
        <v>50</v>
      </c>
      <c r="N230" s="83" t="s">
        <v>49</v>
      </c>
    </row>
    <row r="231" spans="3:14" x14ac:dyDescent="0.25">
      <c r="C231" s="62">
        <f t="shared" si="101"/>
        <v>1</v>
      </c>
      <c r="D231" s="82" t="s">
        <v>26</v>
      </c>
      <c r="E231" s="80"/>
      <c r="F231" s="79"/>
      <c r="G231" s="79"/>
      <c r="H231" s="79"/>
      <c r="I231" s="79"/>
      <c r="J231" s="79"/>
      <c r="K231" s="79"/>
      <c r="L231" s="79"/>
      <c r="M231" s="79"/>
      <c r="N231" s="78"/>
    </row>
    <row r="232" spans="3:14" x14ac:dyDescent="0.25">
      <c r="C232" s="62">
        <f t="shared" si="101"/>
        <v>1</v>
      </c>
      <c r="D232" s="93" t="s">
        <v>94</v>
      </c>
      <c r="E232" s="80"/>
      <c r="F232" s="79"/>
      <c r="G232" s="79"/>
      <c r="H232" s="79"/>
      <c r="I232" s="79"/>
      <c r="J232" s="79"/>
      <c r="K232" s="79"/>
      <c r="L232" s="79"/>
      <c r="M232" s="79"/>
      <c r="N232" s="78"/>
    </row>
    <row r="233" spans="3:14" x14ac:dyDescent="0.25">
      <c r="C233" s="62">
        <f t="shared" si="101"/>
        <v>1</v>
      </c>
      <c r="D233" s="268" t="s">
        <v>105</v>
      </c>
      <c r="E233" s="76" t="s">
        <v>57</v>
      </c>
      <c r="F233" s="75">
        <f t="shared" ref="F233:K233" si="102">+F$8*$E228</f>
        <v>3.576819613009786</v>
      </c>
      <c r="G233" s="74">
        <f t="shared" ca="1" si="102"/>
        <v>142386.5235533024</v>
      </c>
      <c r="H233" s="74">
        <f t="shared" ca="1" si="102"/>
        <v>3385.2074043037101</v>
      </c>
      <c r="I233" s="75">
        <f t="shared" si="102"/>
        <v>0</v>
      </c>
      <c r="J233" s="74">
        <f t="shared" si="102"/>
        <v>0</v>
      </c>
      <c r="K233" s="74">
        <f t="shared" si="102"/>
        <v>0</v>
      </c>
      <c r="L233" s="73">
        <f t="shared" ref="L233" si="103">+I233+F233</f>
        <v>3.576819613009786</v>
      </c>
      <c r="M233" s="72">
        <f t="shared" ref="M233" ca="1" si="104">+J233+G233</f>
        <v>142386.5235533024</v>
      </c>
      <c r="N233" s="72">
        <f t="shared" ref="N233" ca="1" si="105">+K233+H233</f>
        <v>3385.2074043037101</v>
      </c>
    </row>
    <row r="234" spans="3:14" ht="15.75" thickBot="1" x14ac:dyDescent="0.3">
      <c r="C234" s="62">
        <f t="shared" si="101"/>
        <v>1</v>
      </c>
      <c r="D234" s="71" t="s">
        <v>48</v>
      </c>
      <c r="E234" s="70" t="s">
        <v>56</v>
      </c>
      <c r="F234" s="69">
        <f t="shared" ref="F234:N234" si="106">SUM(F233)</f>
        <v>3.576819613009786</v>
      </c>
      <c r="G234" s="68">
        <f t="shared" ca="1" si="106"/>
        <v>142386.5235533024</v>
      </c>
      <c r="H234" s="68">
        <f t="shared" ca="1" si="106"/>
        <v>3385.2074043037101</v>
      </c>
      <c r="I234" s="69">
        <f t="shared" si="106"/>
        <v>0</v>
      </c>
      <c r="J234" s="68">
        <f t="shared" si="106"/>
        <v>0</v>
      </c>
      <c r="K234" s="68">
        <f t="shared" si="106"/>
        <v>0</v>
      </c>
      <c r="L234" s="69">
        <f t="shared" si="106"/>
        <v>3.576819613009786</v>
      </c>
      <c r="M234" s="68">
        <f t="shared" ca="1" si="106"/>
        <v>142386.5235533024</v>
      </c>
      <c r="N234" s="68">
        <f t="shared" ca="1" si="106"/>
        <v>3385.2074043037101</v>
      </c>
    </row>
    <row r="235" spans="3:14" ht="15.75" hidden="1" thickBot="1" x14ac:dyDescent="0.3"/>
    <row r="236" spans="3:14" x14ac:dyDescent="0.25">
      <c r="C236" s="62">
        <f>IF(E236&gt;0,1,0)</f>
        <v>1</v>
      </c>
      <c r="D236" s="936" t="str">
        <f>+A32</f>
        <v>Monroe</v>
      </c>
      <c r="E236" s="951">
        <f>SUMIF(A:A,D236,B:B)</f>
        <v>3.1956436739103963E-2</v>
      </c>
      <c r="F236" s="940" t="s">
        <v>106</v>
      </c>
      <c r="G236" s="941"/>
      <c r="H236" s="942"/>
      <c r="I236" s="940" t="s">
        <v>99</v>
      </c>
      <c r="J236" s="941"/>
      <c r="K236" s="942"/>
      <c r="L236" s="940" t="s">
        <v>98</v>
      </c>
      <c r="M236" s="941"/>
      <c r="N236" s="943"/>
    </row>
    <row r="237" spans="3:14" ht="30" x14ac:dyDescent="0.25">
      <c r="C237" s="62">
        <f>C236</f>
        <v>1</v>
      </c>
      <c r="D237" s="937"/>
      <c r="E237" s="952"/>
      <c r="F237" s="88" t="s">
        <v>97</v>
      </c>
      <c r="G237" s="88" t="s">
        <v>96</v>
      </c>
      <c r="H237" s="88" t="s">
        <v>95</v>
      </c>
      <c r="I237" s="88" t="s">
        <v>97</v>
      </c>
      <c r="J237" s="88" t="s">
        <v>96</v>
      </c>
      <c r="K237" s="88" t="s">
        <v>95</v>
      </c>
      <c r="L237" s="88" t="s">
        <v>97</v>
      </c>
      <c r="M237" s="88" t="s">
        <v>96</v>
      </c>
      <c r="N237" s="87" t="s">
        <v>95</v>
      </c>
    </row>
    <row r="238" spans="3:14" x14ac:dyDescent="0.25">
      <c r="C238" s="62">
        <f t="shared" ref="C238:C242" si="107">C237</f>
        <v>1</v>
      </c>
      <c r="D238" s="86"/>
      <c r="E238" s="85"/>
      <c r="F238" s="84" t="s">
        <v>57</v>
      </c>
      <c r="G238" s="84" t="s">
        <v>56</v>
      </c>
      <c r="H238" s="84" t="s">
        <v>55</v>
      </c>
      <c r="I238" s="84" t="s">
        <v>54</v>
      </c>
      <c r="J238" s="84" t="s">
        <v>53</v>
      </c>
      <c r="K238" s="84" t="s">
        <v>52</v>
      </c>
      <c r="L238" s="84" t="s">
        <v>51</v>
      </c>
      <c r="M238" s="84" t="s">
        <v>50</v>
      </c>
      <c r="N238" s="83" t="s">
        <v>49</v>
      </c>
    </row>
    <row r="239" spans="3:14" x14ac:dyDescent="0.25">
      <c r="C239" s="62">
        <f t="shared" si="107"/>
        <v>1</v>
      </c>
      <c r="D239" s="82" t="s">
        <v>26</v>
      </c>
      <c r="E239" s="80"/>
      <c r="F239" s="79"/>
      <c r="G239" s="79"/>
      <c r="H239" s="79"/>
      <c r="I239" s="79"/>
      <c r="J239" s="79"/>
      <c r="K239" s="79"/>
      <c r="L239" s="79"/>
      <c r="M239" s="79"/>
      <c r="N239" s="78"/>
    </row>
    <row r="240" spans="3:14" x14ac:dyDescent="0.25">
      <c r="C240" s="62">
        <f t="shared" si="107"/>
        <v>1</v>
      </c>
      <c r="D240" s="93" t="s">
        <v>94</v>
      </c>
      <c r="E240" s="80"/>
      <c r="F240" s="79"/>
      <c r="G240" s="79"/>
      <c r="H240" s="79"/>
      <c r="I240" s="79"/>
      <c r="J240" s="79"/>
      <c r="K240" s="79"/>
      <c r="L240" s="79"/>
      <c r="M240" s="79"/>
      <c r="N240" s="78"/>
    </row>
    <row r="241" spans="3:14" x14ac:dyDescent="0.25">
      <c r="C241" s="62">
        <f t="shared" si="107"/>
        <v>1</v>
      </c>
      <c r="D241" s="268" t="s">
        <v>105</v>
      </c>
      <c r="E241" s="76" t="s">
        <v>57</v>
      </c>
      <c r="F241" s="75">
        <f t="shared" ref="F241:K241" si="108">+F$8*$E236</f>
        <v>59.759094557036917</v>
      </c>
      <c r="G241" s="74">
        <f t="shared" ca="1" si="108"/>
        <v>2378898.1959617436</v>
      </c>
      <c r="H241" s="74">
        <f t="shared" ca="1" si="108"/>
        <v>56557.766747073983</v>
      </c>
      <c r="I241" s="75">
        <f t="shared" si="108"/>
        <v>0</v>
      </c>
      <c r="J241" s="74">
        <f t="shared" si="108"/>
        <v>0</v>
      </c>
      <c r="K241" s="74">
        <f t="shared" si="108"/>
        <v>0</v>
      </c>
      <c r="L241" s="73">
        <f t="shared" ref="L241" si="109">+I241+F241</f>
        <v>59.759094557036917</v>
      </c>
      <c r="M241" s="72">
        <f t="shared" ref="M241" ca="1" si="110">+J241+G241</f>
        <v>2378898.1959617436</v>
      </c>
      <c r="N241" s="72">
        <f t="shared" ref="N241" ca="1" si="111">+K241+H241</f>
        <v>56557.766747073983</v>
      </c>
    </row>
    <row r="242" spans="3:14" ht="15.75" thickBot="1" x14ac:dyDescent="0.3">
      <c r="C242" s="62">
        <f t="shared" si="107"/>
        <v>1</v>
      </c>
      <c r="D242" s="71" t="s">
        <v>48</v>
      </c>
      <c r="E242" s="70" t="s">
        <v>56</v>
      </c>
      <c r="F242" s="69">
        <f t="shared" ref="F242:N242" si="112">SUM(F241)</f>
        <v>59.759094557036917</v>
      </c>
      <c r="G242" s="68">
        <f t="shared" ca="1" si="112"/>
        <v>2378898.1959617436</v>
      </c>
      <c r="H242" s="68">
        <f t="shared" ca="1" si="112"/>
        <v>56557.766747073983</v>
      </c>
      <c r="I242" s="69">
        <f t="shared" si="112"/>
        <v>0</v>
      </c>
      <c r="J242" s="68">
        <f t="shared" si="112"/>
        <v>0</v>
      </c>
      <c r="K242" s="68">
        <f t="shared" si="112"/>
        <v>0</v>
      </c>
      <c r="L242" s="69">
        <f t="shared" si="112"/>
        <v>59.759094557036917</v>
      </c>
      <c r="M242" s="68">
        <f t="shared" ca="1" si="112"/>
        <v>2378898.1959617436</v>
      </c>
      <c r="N242" s="68">
        <f t="shared" ca="1" si="112"/>
        <v>56557.766747073983</v>
      </c>
    </row>
    <row r="243" spans="3:14" ht="15.75" hidden="1" thickBot="1" x14ac:dyDescent="0.3"/>
    <row r="244" spans="3:14" x14ac:dyDescent="0.25">
      <c r="C244" s="62">
        <f>IF(E244&gt;0,1,0)</f>
        <v>1</v>
      </c>
      <c r="D244" s="936" t="str">
        <f>+A33</f>
        <v>Montgomery</v>
      </c>
      <c r="E244" s="951">
        <f>SUMIF(A:A,D244,B:B)</f>
        <v>5.4683471425666123E-3</v>
      </c>
      <c r="F244" s="940" t="s">
        <v>106</v>
      </c>
      <c r="G244" s="941"/>
      <c r="H244" s="942"/>
      <c r="I244" s="940" t="s">
        <v>99</v>
      </c>
      <c r="J244" s="941"/>
      <c r="K244" s="942"/>
      <c r="L244" s="940" t="s">
        <v>98</v>
      </c>
      <c r="M244" s="941"/>
      <c r="N244" s="943"/>
    </row>
    <row r="245" spans="3:14" ht="30" x14ac:dyDescent="0.25">
      <c r="C245" s="62">
        <f>C244</f>
        <v>1</v>
      </c>
      <c r="D245" s="937"/>
      <c r="E245" s="952"/>
      <c r="F245" s="88" t="s">
        <v>97</v>
      </c>
      <c r="G245" s="88" t="s">
        <v>96</v>
      </c>
      <c r="H245" s="88" t="s">
        <v>95</v>
      </c>
      <c r="I245" s="88" t="s">
        <v>97</v>
      </c>
      <c r="J245" s="88" t="s">
        <v>96</v>
      </c>
      <c r="K245" s="88" t="s">
        <v>95</v>
      </c>
      <c r="L245" s="88" t="s">
        <v>97</v>
      </c>
      <c r="M245" s="88" t="s">
        <v>96</v>
      </c>
      <c r="N245" s="87" t="s">
        <v>95</v>
      </c>
    </row>
    <row r="246" spans="3:14" x14ac:dyDescent="0.25">
      <c r="C246" s="62">
        <f t="shared" ref="C246:C250" si="113">C245</f>
        <v>1</v>
      </c>
      <c r="D246" s="86"/>
      <c r="E246" s="85"/>
      <c r="F246" s="84" t="s">
        <v>57</v>
      </c>
      <c r="G246" s="84" t="s">
        <v>56</v>
      </c>
      <c r="H246" s="84" t="s">
        <v>55</v>
      </c>
      <c r="I246" s="84" t="s">
        <v>54</v>
      </c>
      <c r="J246" s="84" t="s">
        <v>53</v>
      </c>
      <c r="K246" s="84" t="s">
        <v>52</v>
      </c>
      <c r="L246" s="84" t="s">
        <v>51</v>
      </c>
      <c r="M246" s="84" t="s">
        <v>50</v>
      </c>
      <c r="N246" s="83" t="s">
        <v>49</v>
      </c>
    </row>
    <row r="247" spans="3:14" x14ac:dyDescent="0.25">
      <c r="C247" s="62">
        <f t="shared" si="113"/>
        <v>1</v>
      </c>
      <c r="D247" s="82" t="s">
        <v>26</v>
      </c>
      <c r="E247" s="80"/>
      <c r="F247" s="79"/>
      <c r="G247" s="79"/>
      <c r="H247" s="79"/>
      <c r="I247" s="79"/>
      <c r="J247" s="79"/>
      <c r="K247" s="79"/>
      <c r="L247" s="79"/>
      <c r="M247" s="79"/>
      <c r="N247" s="78"/>
    </row>
    <row r="248" spans="3:14" x14ac:dyDescent="0.25">
      <c r="C248" s="62">
        <f t="shared" si="113"/>
        <v>1</v>
      </c>
      <c r="D248" s="93" t="s">
        <v>94</v>
      </c>
      <c r="E248" s="80"/>
      <c r="F248" s="79"/>
      <c r="G248" s="79"/>
      <c r="H248" s="79"/>
      <c r="I248" s="79"/>
      <c r="J248" s="79"/>
      <c r="K248" s="79"/>
      <c r="L248" s="79"/>
      <c r="M248" s="79"/>
      <c r="N248" s="78"/>
    </row>
    <row r="249" spans="3:14" x14ac:dyDescent="0.25">
      <c r="C249" s="62">
        <f t="shared" si="113"/>
        <v>1</v>
      </c>
      <c r="D249" s="268" t="s">
        <v>105</v>
      </c>
      <c r="E249" s="76" t="s">
        <v>57</v>
      </c>
      <c r="F249" s="75">
        <f t="shared" ref="F249:K249" si="114">+F$8*$E244</f>
        <v>10.225904616063387</v>
      </c>
      <c r="G249" s="74">
        <f t="shared" ca="1" si="114"/>
        <v>407074.20725747105</v>
      </c>
      <c r="H249" s="74">
        <f t="shared" ca="1" si="114"/>
        <v>9678.0972392600652</v>
      </c>
      <c r="I249" s="75">
        <f t="shared" si="114"/>
        <v>0</v>
      </c>
      <c r="J249" s="74">
        <f t="shared" si="114"/>
        <v>0</v>
      </c>
      <c r="K249" s="74">
        <f t="shared" si="114"/>
        <v>0</v>
      </c>
      <c r="L249" s="73">
        <f t="shared" ref="L249" si="115">+I249+F249</f>
        <v>10.225904616063387</v>
      </c>
      <c r="M249" s="72">
        <f t="shared" ref="M249" ca="1" si="116">+J249+G249</f>
        <v>407074.20725747105</v>
      </c>
      <c r="N249" s="72">
        <f t="shared" ref="N249" ca="1" si="117">+K249+H249</f>
        <v>9678.0972392600652</v>
      </c>
    </row>
    <row r="250" spans="3:14" ht="15.75" thickBot="1" x14ac:dyDescent="0.3">
      <c r="C250" s="62">
        <f t="shared" si="113"/>
        <v>1</v>
      </c>
      <c r="D250" s="71" t="s">
        <v>48</v>
      </c>
      <c r="E250" s="70" t="s">
        <v>56</v>
      </c>
      <c r="F250" s="69">
        <f t="shared" ref="F250:N250" si="118">SUM(F249)</f>
        <v>10.225904616063387</v>
      </c>
      <c r="G250" s="68">
        <f t="shared" ca="1" si="118"/>
        <v>407074.20725747105</v>
      </c>
      <c r="H250" s="68">
        <f t="shared" ca="1" si="118"/>
        <v>9678.0972392600652</v>
      </c>
      <c r="I250" s="69">
        <f t="shared" si="118"/>
        <v>0</v>
      </c>
      <c r="J250" s="68">
        <f t="shared" si="118"/>
        <v>0</v>
      </c>
      <c r="K250" s="68">
        <f t="shared" si="118"/>
        <v>0</v>
      </c>
      <c r="L250" s="69">
        <f t="shared" si="118"/>
        <v>10.225904616063387</v>
      </c>
      <c r="M250" s="68">
        <f t="shared" ca="1" si="118"/>
        <v>407074.20725747105</v>
      </c>
      <c r="N250" s="68">
        <f t="shared" ca="1" si="118"/>
        <v>9678.0972392600652</v>
      </c>
    </row>
    <row r="251" spans="3:14" ht="15.75" hidden="1" thickBot="1" x14ac:dyDescent="0.3"/>
    <row r="252" spans="3:14" x14ac:dyDescent="0.25">
      <c r="C252" s="62">
        <f>IF(E252&gt;0,1,0)</f>
        <v>1</v>
      </c>
      <c r="D252" s="936" t="str">
        <f>+A34</f>
        <v>Nassau</v>
      </c>
      <c r="E252" s="951">
        <f>SUMIF(A:A,D252,B:B)</f>
        <v>5.1693236147688171E-2</v>
      </c>
      <c r="F252" s="940" t="s">
        <v>106</v>
      </c>
      <c r="G252" s="941"/>
      <c r="H252" s="942"/>
      <c r="I252" s="940" t="s">
        <v>99</v>
      </c>
      <c r="J252" s="941"/>
      <c r="K252" s="942"/>
      <c r="L252" s="940" t="s">
        <v>98</v>
      </c>
      <c r="M252" s="941"/>
      <c r="N252" s="943"/>
    </row>
    <row r="253" spans="3:14" ht="30" x14ac:dyDescent="0.25">
      <c r="C253" s="62">
        <f>C252</f>
        <v>1</v>
      </c>
      <c r="D253" s="937"/>
      <c r="E253" s="952"/>
      <c r="F253" s="88" t="s">
        <v>97</v>
      </c>
      <c r="G253" s="88" t="s">
        <v>96</v>
      </c>
      <c r="H253" s="88" t="s">
        <v>95</v>
      </c>
      <c r="I253" s="88" t="s">
        <v>97</v>
      </c>
      <c r="J253" s="88" t="s">
        <v>96</v>
      </c>
      <c r="K253" s="88" t="s">
        <v>95</v>
      </c>
      <c r="L253" s="88" t="s">
        <v>97</v>
      </c>
      <c r="M253" s="88" t="s">
        <v>96</v>
      </c>
      <c r="N253" s="87" t="s">
        <v>95</v>
      </c>
    </row>
    <row r="254" spans="3:14" x14ac:dyDescent="0.25">
      <c r="C254" s="62">
        <f t="shared" ref="C254:C258" si="119">C253</f>
        <v>1</v>
      </c>
      <c r="D254" s="86"/>
      <c r="E254" s="85"/>
      <c r="F254" s="84" t="s">
        <v>57</v>
      </c>
      <c r="G254" s="84" t="s">
        <v>56</v>
      </c>
      <c r="H254" s="84" t="s">
        <v>55</v>
      </c>
      <c r="I254" s="84" t="s">
        <v>54</v>
      </c>
      <c r="J254" s="84" t="s">
        <v>53</v>
      </c>
      <c r="K254" s="84" t="s">
        <v>52</v>
      </c>
      <c r="L254" s="84" t="s">
        <v>51</v>
      </c>
      <c r="M254" s="84" t="s">
        <v>50</v>
      </c>
      <c r="N254" s="83" t="s">
        <v>49</v>
      </c>
    </row>
    <row r="255" spans="3:14" x14ac:dyDescent="0.25">
      <c r="C255" s="62">
        <f t="shared" si="119"/>
        <v>1</v>
      </c>
      <c r="D255" s="82" t="s">
        <v>26</v>
      </c>
      <c r="E255" s="80"/>
      <c r="F255" s="79"/>
      <c r="G255" s="79"/>
      <c r="H255" s="79"/>
      <c r="I255" s="79"/>
      <c r="J255" s="79"/>
      <c r="K255" s="79"/>
      <c r="L255" s="79"/>
      <c r="M255" s="79"/>
      <c r="N255" s="78"/>
    </row>
    <row r="256" spans="3:14" x14ac:dyDescent="0.25">
      <c r="C256" s="62">
        <f t="shared" si="119"/>
        <v>1</v>
      </c>
      <c r="D256" s="93" t="s">
        <v>94</v>
      </c>
      <c r="E256" s="80"/>
      <c r="F256" s="79"/>
      <c r="G256" s="79"/>
      <c r="H256" s="79"/>
      <c r="I256" s="79"/>
      <c r="J256" s="79"/>
      <c r="K256" s="79"/>
      <c r="L256" s="79"/>
      <c r="M256" s="79"/>
      <c r="N256" s="78"/>
    </row>
    <row r="257" spans="3:14" x14ac:dyDescent="0.25">
      <c r="C257" s="62">
        <f t="shared" si="119"/>
        <v>1</v>
      </c>
      <c r="D257" s="268" t="s">
        <v>105</v>
      </c>
      <c r="E257" s="76" t="s">
        <v>57</v>
      </c>
      <c r="F257" s="75">
        <f t="shared" ref="F257:K257" si="120">+F$8*$E252</f>
        <v>96.667253991082916</v>
      </c>
      <c r="G257" s="74">
        <f t="shared" ca="1" si="120"/>
        <v>3848143.2463551895</v>
      </c>
      <c r="H257" s="74">
        <f t="shared" ca="1" si="120"/>
        <v>91488.735628174371</v>
      </c>
      <c r="I257" s="75">
        <f t="shared" si="120"/>
        <v>0</v>
      </c>
      <c r="J257" s="74">
        <f t="shared" si="120"/>
        <v>0</v>
      </c>
      <c r="K257" s="74">
        <f t="shared" si="120"/>
        <v>0</v>
      </c>
      <c r="L257" s="73">
        <f t="shared" ref="L257" si="121">+I257+F257</f>
        <v>96.667253991082916</v>
      </c>
      <c r="M257" s="72">
        <f t="shared" ref="M257" ca="1" si="122">+J257+G257</f>
        <v>3848143.2463551895</v>
      </c>
      <c r="N257" s="72">
        <f t="shared" ref="N257" ca="1" si="123">+K257+H257</f>
        <v>91488.735628174371</v>
      </c>
    </row>
    <row r="258" spans="3:14" ht="15.75" thickBot="1" x14ac:dyDescent="0.3">
      <c r="C258" s="62">
        <f t="shared" si="119"/>
        <v>1</v>
      </c>
      <c r="D258" s="71" t="s">
        <v>48</v>
      </c>
      <c r="E258" s="70" t="s">
        <v>56</v>
      </c>
      <c r="F258" s="69">
        <f t="shared" ref="F258:N258" si="124">SUM(F257)</f>
        <v>96.667253991082916</v>
      </c>
      <c r="G258" s="68">
        <f t="shared" ca="1" si="124"/>
        <v>3848143.2463551895</v>
      </c>
      <c r="H258" s="68">
        <f t="shared" ca="1" si="124"/>
        <v>91488.735628174371</v>
      </c>
      <c r="I258" s="69">
        <f t="shared" si="124"/>
        <v>0</v>
      </c>
      <c r="J258" s="68">
        <f t="shared" si="124"/>
        <v>0</v>
      </c>
      <c r="K258" s="68">
        <f t="shared" si="124"/>
        <v>0</v>
      </c>
      <c r="L258" s="69">
        <f t="shared" si="124"/>
        <v>96.667253991082916</v>
      </c>
      <c r="M258" s="68">
        <f t="shared" ca="1" si="124"/>
        <v>3848143.2463551895</v>
      </c>
      <c r="N258" s="68">
        <f t="shared" ca="1" si="124"/>
        <v>91488.735628174371</v>
      </c>
    </row>
    <row r="259" spans="3:14" ht="15.75" hidden="1" thickBot="1" x14ac:dyDescent="0.3"/>
    <row r="260" spans="3:14" x14ac:dyDescent="0.25">
      <c r="C260" s="62">
        <f>IF(E260&gt;0,1,0)</f>
        <v>1</v>
      </c>
      <c r="D260" s="936" t="str">
        <f>+A35</f>
        <v>New York</v>
      </c>
      <c r="E260" s="951">
        <f>SUMIF(A:A,D260,B:B)</f>
        <v>6.8695669215824678E-2</v>
      </c>
      <c r="F260" s="940" t="s">
        <v>106</v>
      </c>
      <c r="G260" s="941"/>
      <c r="H260" s="942"/>
      <c r="I260" s="940" t="s">
        <v>99</v>
      </c>
      <c r="J260" s="941"/>
      <c r="K260" s="942"/>
      <c r="L260" s="940" t="s">
        <v>98</v>
      </c>
      <c r="M260" s="941"/>
      <c r="N260" s="943"/>
    </row>
    <row r="261" spans="3:14" ht="30" x14ac:dyDescent="0.25">
      <c r="C261" s="62">
        <f>C260</f>
        <v>1</v>
      </c>
      <c r="D261" s="937"/>
      <c r="E261" s="952"/>
      <c r="F261" s="88" t="s">
        <v>97</v>
      </c>
      <c r="G261" s="88" t="s">
        <v>96</v>
      </c>
      <c r="H261" s="88" t="s">
        <v>95</v>
      </c>
      <c r="I261" s="88" t="s">
        <v>97</v>
      </c>
      <c r="J261" s="88" t="s">
        <v>96</v>
      </c>
      <c r="K261" s="88" t="s">
        <v>95</v>
      </c>
      <c r="L261" s="88" t="s">
        <v>97</v>
      </c>
      <c r="M261" s="88" t="s">
        <v>96</v>
      </c>
      <c r="N261" s="87" t="s">
        <v>95</v>
      </c>
    </row>
    <row r="262" spans="3:14" x14ac:dyDescent="0.25">
      <c r="C262" s="62">
        <f t="shared" ref="C262:C266" si="125">C261</f>
        <v>1</v>
      </c>
      <c r="D262" s="86"/>
      <c r="E262" s="85"/>
      <c r="F262" s="84" t="s">
        <v>57</v>
      </c>
      <c r="G262" s="84" t="s">
        <v>56</v>
      </c>
      <c r="H262" s="84" t="s">
        <v>55</v>
      </c>
      <c r="I262" s="84" t="s">
        <v>54</v>
      </c>
      <c r="J262" s="84" t="s">
        <v>53</v>
      </c>
      <c r="K262" s="84" t="s">
        <v>52</v>
      </c>
      <c r="L262" s="84" t="s">
        <v>51</v>
      </c>
      <c r="M262" s="84" t="s">
        <v>50</v>
      </c>
      <c r="N262" s="83" t="s">
        <v>49</v>
      </c>
    </row>
    <row r="263" spans="3:14" x14ac:dyDescent="0.25">
      <c r="C263" s="62">
        <f t="shared" si="125"/>
        <v>1</v>
      </c>
      <c r="D263" s="82" t="s">
        <v>26</v>
      </c>
      <c r="E263" s="80"/>
      <c r="F263" s="79"/>
      <c r="G263" s="79"/>
      <c r="H263" s="79"/>
      <c r="I263" s="79"/>
      <c r="J263" s="79"/>
      <c r="K263" s="79"/>
      <c r="L263" s="79"/>
      <c r="M263" s="79"/>
      <c r="N263" s="78"/>
    </row>
    <row r="264" spans="3:14" x14ac:dyDescent="0.25">
      <c r="C264" s="62">
        <f t="shared" si="125"/>
        <v>1</v>
      </c>
      <c r="D264" s="93" t="s">
        <v>94</v>
      </c>
      <c r="E264" s="80"/>
      <c r="F264" s="79"/>
      <c r="G264" s="79"/>
      <c r="H264" s="79"/>
      <c r="I264" s="79"/>
      <c r="J264" s="79"/>
      <c r="K264" s="79"/>
      <c r="L264" s="79"/>
      <c r="M264" s="79"/>
      <c r="N264" s="78"/>
    </row>
    <row r="265" spans="3:14" x14ac:dyDescent="0.25">
      <c r="C265" s="62">
        <f t="shared" si="125"/>
        <v>1</v>
      </c>
      <c r="D265" s="268" t="s">
        <v>105</v>
      </c>
      <c r="E265" s="76" t="s">
        <v>57</v>
      </c>
      <c r="F265" s="75">
        <f t="shared" ref="F265:K265" si="126">+F$8*$E260</f>
        <v>128.46210063539468</v>
      </c>
      <c r="G265" s="74">
        <f t="shared" ca="1" si="126"/>
        <v>5113836.8430150636</v>
      </c>
      <c r="H265" s="74">
        <f t="shared" ca="1" si="126"/>
        <v>121580.31471914674</v>
      </c>
      <c r="I265" s="75">
        <f t="shared" si="126"/>
        <v>0</v>
      </c>
      <c r="J265" s="74">
        <f t="shared" si="126"/>
        <v>0</v>
      </c>
      <c r="K265" s="74">
        <f t="shared" si="126"/>
        <v>0</v>
      </c>
      <c r="L265" s="73">
        <f t="shared" ref="L265" si="127">+I265+F265</f>
        <v>128.46210063539468</v>
      </c>
      <c r="M265" s="72">
        <f t="shared" ref="M265" ca="1" si="128">+J265+G265</f>
        <v>5113836.8430150636</v>
      </c>
      <c r="N265" s="72">
        <f t="shared" ref="N265" ca="1" si="129">+K265+H265</f>
        <v>121580.31471914674</v>
      </c>
    </row>
    <row r="266" spans="3:14" ht="15.75" thickBot="1" x14ac:dyDescent="0.3">
      <c r="C266" s="62">
        <f t="shared" si="125"/>
        <v>1</v>
      </c>
      <c r="D266" s="71" t="s">
        <v>48</v>
      </c>
      <c r="E266" s="70" t="s">
        <v>56</v>
      </c>
      <c r="F266" s="69">
        <f t="shared" ref="F266:N266" si="130">SUM(F265)</f>
        <v>128.46210063539468</v>
      </c>
      <c r="G266" s="68">
        <f t="shared" ca="1" si="130"/>
        <v>5113836.8430150636</v>
      </c>
      <c r="H266" s="68">
        <f t="shared" ca="1" si="130"/>
        <v>121580.31471914674</v>
      </c>
      <c r="I266" s="69">
        <f t="shared" si="130"/>
        <v>0</v>
      </c>
      <c r="J266" s="68">
        <f t="shared" si="130"/>
        <v>0</v>
      </c>
      <c r="K266" s="68">
        <f t="shared" si="130"/>
        <v>0</v>
      </c>
      <c r="L266" s="69">
        <f t="shared" si="130"/>
        <v>128.46210063539468</v>
      </c>
      <c r="M266" s="68">
        <f t="shared" ca="1" si="130"/>
        <v>5113836.8430150636</v>
      </c>
      <c r="N266" s="68">
        <f t="shared" ca="1" si="130"/>
        <v>121580.31471914674</v>
      </c>
    </row>
    <row r="267" spans="3:14" ht="15.75" hidden="1" thickBot="1" x14ac:dyDescent="0.3"/>
    <row r="268" spans="3:14" x14ac:dyDescent="0.25">
      <c r="C268" s="62">
        <f>IF(E268&gt;0,1,0)</f>
        <v>1</v>
      </c>
      <c r="D268" s="936" t="str">
        <f>+A36</f>
        <v>Niagara</v>
      </c>
      <c r="E268" s="951">
        <f>SUMIF(A:A,D268,B:B)</f>
        <v>5.8328093760351305E-3</v>
      </c>
      <c r="F268" s="940" t="s">
        <v>106</v>
      </c>
      <c r="G268" s="941"/>
      <c r="H268" s="942"/>
      <c r="I268" s="940" t="s">
        <v>99</v>
      </c>
      <c r="J268" s="941"/>
      <c r="K268" s="942"/>
      <c r="L268" s="940" t="s">
        <v>98</v>
      </c>
      <c r="M268" s="941"/>
      <c r="N268" s="943"/>
    </row>
    <row r="269" spans="3:14" ht="30" x14ac:dyDescent="0.25">
      <c r="C269" s="62">
        <f>C268</f>
        <v>1</v>
      </c>
      <c r="D269" s="937"/>
      <c r="E269" s="952"/>
      <c r="F269" s="88" t="s">
        <v>97</v>
      </c>
      <c r="G269" s="88" t="s">
        <v>96</v>
      </c>
      <c r="H269" s="88" t="s">
        <v>95</v>
      </c>
      <c r="I269" s="88" t="s">
        <v>97</v>
      </c>
      <c r="J269" s="88" t="s">
        <v>96</v>
      </c>
      <c r="K269" s="88" t="s">
        <v>95</v>
      </c>
      <c r="L269" s="88" t="s">
        <v>97</v>
      </c>
      <c r="M269" s="88" t="s">
        <v>96</v>
      </c>
      <c r="N269" s="87" t="s">
        <v>95</v>
      </c>
    </row>
    <row r="270" spans="3:14" x14ac:dyDescent="0.25">
      <c r="C270" s="62">
        <f t="shared" ref="C270:C274" si="131">C269</f>
        <v>1</v>
      </c>
      <c r="D270" s="86"/>
      <c r="E270" s="85"/>
      <c r="F270" s="84" t="s">
        <v>57</v>
      </c>
      <c r="G270" s="84" t="s">
        <v>56</v>
      </c>
      <c r="H270" s="84" t="s">
        <v>55</v>
      </c>
      <c r="I270" s="84" t="s">
        <v>54</v>
      </c>
      <c r="J270" s="84" t="s">
        <v>53</v>
      </c>
      <c r="K270" s="84" t="s">
        <v>52</v>
      </c>
      <c r="L270" s="84" t="s">
        <v>51</v>
      </c>
      <c r="M270" s="84" t="s">
        <v>50</v>
      </c>
      <c r="N270" s="83" t="s">
        <v>49</v>
      </c>
    </row>
    <row r="271" spans="3:14" x14ac:dyDescent="0.25">
      <c r="C271" s="62">
        <f t="shared" si="131"/>
        <v>1</v>
      </c>
      <c r="D271" s="82" t="s">
        <v>26</v>
      </c>
      <c r="E271" s="80"/>
      <c r="F271" s="79"/>
      <c r="G271" s="79"/>
      <c r="H271" s="79"/>
      <c r="I271" s="79"/>
      <c r="J271" s="79"/>
      <c r="K271" s="79"/>
      <c r="L271" s="79"/>
      <c r="M271" s="79"/>
      <c r="N271" s="78"/>
    </row>
    <row r="272" spans="3:14" x14ac:dyDescent="0.25">
      <c r="C272" s="62">
        <f t="shared" si="131"/>
        <v>1</v>
      </c>
      <c r="D272" s="93" t="s">
        <v>94</v>
      </c>
      <c r="E272" s="80"/>
      <c r="F272" s="79"/>
      <c r="G272" s="79"/>
      <c r="H272" s="79"/>
      <c r="I272" s="79"/>
      <c r="J272" s="79"/>
      <c r="K272" s="79"/>
      <c r="L272" s="79"/>
      <c r="M272" s="79"/>
      <c r="N272" s="78"/>
    </row>
    <row r="273" spans="3:14" x14ac:dyDescent="0.25">
      <c r="C273" s="62">
        <f t="shared" si="131"/>
        <v>1</v>
      </c>
      <c r="D273" s="268" t="s">
        <v>105</v>
      </c>
      <c r="E273" s="76" t="s">
        <v>57</v>
      </c>
      <c r="F273" s="75">
        <f t="shared" ref="F273:K273" si="132">+F$8*$E268</f>
        <v>10.907455354968601</v>
      </c>
      <c r="G273" s="74">
        <f t="shared" ca="1" si="132"/>
        <v>434205.47213449364</v>
      </c>
      <c r="H273" s="74">
        <f t="shared" ca="1" si="132"/>
        <v>10323.136927411731</v>
      </c>
      <c r="I273" s="75">
        <f t="shared" si="132"/>
        <v>0</v>
      </c>
      <c r="J273" s="74">
        <f t="shared" si="132"/>
        <v>0</v>
      </c>
      <c r="K273" s="74">
        <f t="shared" si="132"/>
        <v>0</v>
      </c>
      <c r="L273" s="73">
        <f t="shared" ref="L273" si="133">+I273+F273</f>
        <v>10.907455354968601</v>
      </c>
      <c r="M273" s="72">
        <f t="shared" ref="M273" ca="1" si="134">+J273+G273</f>
        <v>434205.47213449364</v>
      </c>
      <c r="N273" s="72">
        <f t="shared" ref="N273" ca="1" si="135">+K273+H273</f>
        <v>10323.136927411731</v>
      </c>
    </row>
    <row r="274" spans="3:14" ht="15.75" thickBot="1" x14ac:dyDescent="0.3">
      <c r="C274" s="62">
        <f t="shared" si="131"/>
        <v>1</v>
      </c>
      <c r="D274" s="71" t="s">
        <v>48</v>
      </c>
      <c r="E274" s="70" t="s">
        <v>56</v>
      </c>
      <c r="F274" s="69">
        <f t="shared" ref="F274:N274" si="136">SUM(F273)</f>
        <v>10.907455354968601</v>
      </c>
      <c r="G274" s="68">
        <f t="shared" ca="1" si="136"/>
        <v>434205.47213449364</v>
      </c>
      <c r="H274" s="68">
        <f t="shared" ca="1" si="136"/>
        <v>10323.136927411731</v>
      </c>
      <c r="I274" s="69">
        <f t="shared" si="136"/>
        <v>0</v>
      </c>
      <c r="J274" s="68">
        <f t="shared" si="136"/>
        <v>0</v>
      </c>
      <c r="K274" s="68">
        <f t="shared" si="136"/>
        <v>0</v>
      </c>
      <c r="L274" s="69">
        <f t="shared" si="136"/>
        <v>10.907455354968601</v>
      </c>
      <c r="M274" s="68">
        <f t="shared" ca="1" si="136"/>
        <v>434205.47213449364</v>
      </c>
      <c r="N274" s="68">
        <f t="shared" ca="1" si="136"/>
        <v>10323.136927411731</v>
      </c>
    </row>
    <row r="275" spans="3:14" ht="15.75" hidden="1" thickBot="1" x14ac:dyDescent="0.3"/>
    <row r="276" spans="3:14" x14ac:dyDescent="0.25">
      <c r="C276" s="62">
        <f>IF(E276&gt;0,1,0)</f>
        <v>1</v>
      </c>
      <c r="D276" s="936" t="str">
        <f>+A37</f>
        <v>Oneida</v>
      </c>
      <c r="E276" s="951">
        <f>SUMIF(A:A,D276,B:B)</f>
        <v>7.1008449393757042E-3</v>
      </c>
      <c r="F276" s="940" t="s">
        <v>106</v>
      </c>
      <c r="G276" s="941"/>
      <c r="H276" s="942"/>
      <c r="I276" s="940" t="s">
        <v>99</v>
      </c>
      <c r="J276" s="941"/>
      <c r="K276" s="942"/>
      <c r="L276" s="940" t="s">
        <v>98</v>
      </c>
      <c r="M276" s="941"/>
      <c r="N276" s="943"/>
    </row>
    <row r="277" spans="3:14" ht="30" x14ac:dyDescent="0.25">
      <c r="C277" s="62">
        <f>C276</f>
        <v>1</v>
      </c>
      <c r="D277" s="937"/>
      <c r="E277" s="952"/>
      <c r="F277" s="88" t="s">
        <v>97</v>
      </c>
      <c r="G277" s="88" t="s">
        <v>96</v>
      </c>
      <c r="H277" s="88" t="s">
        <v>95</v>
      </c>
      <c r="I277" s="88" t="s">
        <v>97</v>
      </c>
      <c r="J277" s="88" t="s">
        <v>96</v>
      </c>
      <c r="K277" s="88" t="s">
        <v>95</v>
      </c>
      <c r="L277" s="88" t="s">
        <v>97</v>
      </c>
      <c r="M277" s="88" t="s">
        <v>96</v>
      </c>
      <c r="N277" s="87" t="s">
        <v>95</v>
      </c>
    </row>
    <row r="278" spans="3:14" x14ac:dyDescent="0.25">
      <c r="C278" s="62">
        <f t="shared" ref="C278:C282" si="137">C277</f>
        <v>1</v>
      </c>
      <c r="D278" s="86"/>
      <c r="E278" s="85"/>
      <c r="F278" s="84" t="s">
        <v>57</v>
      </c>
      <c r="G278" s="84" t="s">
        <v>56</v>
      </c>
      <c r="H278" s="84" t="s">
        <v>55</v>
      </c>
      <c r="I278" s="84" t="s">
        <v>54</v>
      </c>
      <c r="J278" s="84" t="s">
        <v>53</v>
      </c>
      <c r="K278" s="84" t="s">
        <v>52</v>
      </c>
      <c r="L278" s="84" t="s">
        <v>51</v>
      </c>
      <c r="M278" s="84" t="s">
        <v>50</v>
      </c>
      <c r="N278" s="83" t="s">
        <v>49</v>
      </c>
    </row>
    <row r="279" spans="3:14" x14ac:dyDescent="0.25">
      <c r="C279" s="62">
        <f t="shared" si="137"/>
        <v>1</v>
      </c>
      <c r="D279" s="82" t="s">
        <v>26</v>
      </c>
      <c r="E279" s="80"/>
      <c r="F279" s="79"/>
      <c r="G279" s="79"/>
      <c r="H279" s="79"/>
      <c r="I279" s="79"/>
      <c r="J279" s="79"/>
      <c r="K279" s="79"/>
      <c r="L279" s="79"/>
      <c r="M279" s="79"/>
      <c r="N279" s="78"/>
    </row>
    <row r="280" spans="3:14" x14ac:dyDescent="0.25">
      <c r="C280" s="62">
        <f t="shared" si="137"/>
        <v>1</v>
      </c>
      <c r="D280" s="93" t="s">
        <v>94</v>
      </c>
      <c r="E280" s="80"/>
      <c r="F280" s="79"/>
      <c r="G280" s="79"/>
      <c r="H280" s="79"/>
      <c r="I280" s="79"/>
      <c r="J280" s="79"/>
      <c r="K280" s="79"/>
      <c r="L280" s="79"/>
      <c r="M280" s="79"/>
      <c r="N280" s="78"/>
    </row>
    <row r="281" spans="3:14" x14ac:dyDescent="0.25">
      <c r="C281" s="62">
        <f t="shared" si="137"/>
        <v>1</v>
      </c>
      <c r="D281" s="268" t="s">
        <v>105</v>
      </c>
      <c r="E281" s="76" t="s">
        <v>57</v>
      </c>
      <c r="F281" s="75">
        <f t="shared" ref="F281:K281" si="138">+F$8*$E276</f>
        <v>13.278703994170909</v>
      </c>
      <c r="G281" s="74">
        <f t="shared" ca="1" si="138"/>
        <v>528600.46174718114</v>
      </c>
      <c r="H281" s="74">
        <f t="shared" ca="1" si="138"/>
        <v>12567.356463022623</v>
      </c>
      <c r="I281" s="75">
        <f t="shared" si="138"/>
        <v>0</v>
      </c>
      <c r="J281" s="74">
        <f t="shared" si="138"/>
        <v>0</v>
      </c>
      <c r="K281" s="74">
        <f t="shared" si="138"/>
        <v>0</v>
      </c>
      <c r="L281" s="73">
        <f t="shared" ref="L281" si="139">+I281+F281</f>
        <v>13.278703994170909</v>
      </c>
      <c r="M281" s="72">
        <f t="shared" ref="M281" ca="1" si="140">+J281+G281</f>
        <v>528600.46174718114</v>
      </c>
      <c r="N281" s="72">
        <f t="shared" ref="N281" ca="1" si="141">+K281+H281</f>
        <v>12567.356463022623</v>
      </c>
    </row>
    <row r="282" spans="3:14" ht="15.75" thickBot="1" x14ac:dyDescent="0.3">
      <c r="C282" s="62">
        <f t="shared" si="137"/>
        <v>1</v>
      </c>
      <c r="D282" s="71" t="s">
        <v>48</v>
      </c>
      <c r="E282" s="70" t="s">
        <v>56</v>
      </c>
      <c r="F282" s="69">
        <f t="shared" ref="F282:N282" si="142">SUM(F281)</f>
        <v>13.278703994170909</v>
      </c>
      <c r="G282" s="68">
        <f t="shared" ca="1" si="142"/>
        <v>528600.46174718114</v>
      </c>
      <c r="H282" s="68">
        <f t="shared" ca="1" si="142"/>
        <v>12567.356463022623</v>
      </c>
      <c r="I282" s="69">
        <f t="shared" si="142"/>
        <v>0</v>
      </c>
      <c r="J282" s="68">
        <f t="shared" si="142"/>
        <v>0</v>
      </c>
      <c r="K282" s="68">
        <f t="shared" si="142"/>
        <v>0</v>
      </c>
      <c r="L282" s="69">
        <f t="shared" si="142"/>
        <v>13.278703994170909</v>
      </c>
      <c r="M282" s="68">
        <f t="shared" ca="1" si="142"/>
        <v>528600.46174718114</v>
      </c>
      <c r="N282" s="68">
        <f t="shared" ca="1" si="142"/>
        <v>12567.356463022623</v>
      </c>
    </row>
    <row r="283" spans="3:14" ht="15.75" hidden="1" thickBot="1" x14ac:dyDescent="0.3"/>
    <row r="284" spans="3:14" x14ac:dyDescent="0.25">
      <c r="C284" s="62">
        <f>IF(E284&gt;0,1,0)</f>
        <v>1</v>
      </c>
      <c r="D284" s="936" t="str">
        <f>+A38</f>
        <v>Onondaga</v>
      </c>
      <c r="E284" s="951">
        <f>SUMIF(A:A,D284,B:B)</f>
        <v>2.2146992270920353E-2</v>
      </c>
      <c r="F284" s="940" t="s">
        <v>106</v>
      </c>
      <c r="G284" s="941"/>
      <c r="H284" s="942"/>
      <c r="I284" s="940" t="s">
        <v>99</v>
      </c>
      <c r="J284" s="941"/>
      <c r="K284" s="942"/>
      <c r="L284" s="940" t="s">
        <v>98</v>
      </c>
      <c r="M284" s="941"/>
      <c r="N284" s="943"/>
    </row>
    <row r="285" spans="3:14" ht="30" x14ac:dyDescent="0.25">
      <c r="C285" s="62">
        <f>C284</f>
        <v>1</v>
      </c>
      <c r="D285" s="937"/>
      <c r="E285" s="952"/>
      <c r="F285" s="88" t="s">
        <v>97</v>
      </c>
      <c r="G285" s="88" t="s">
        <v>96</v>
      </c>
      <c r="H285" s="88" t="s">
        <v>95</v>
      </c>
      <c r="I285" s="88" t="s">
        <v>97</v>
      </c>
      <c r="J285" s="88" t="s">
        <v>96</v>
      </c>
      <c r="K285" s="88" t="s">
        <v>95</v>
      </c>
      <c r="L285" s="88" t="s">
        <v>97</v>
      </c>
      <c r="M285" s="88" t="s">
        <v>96</v>
      </c>
      <c r="N285" s="87" t="s">
        <v>95</v>
      </c>
    </row>
    <row r="286" spans="3:14" x14ac:dyDescent="0.25">
      <c r="C286" s="62">
        <f t="shared" ref="C286:C290" si="143">C285</f>
        <v>1</v>
      </c>
      <c r="D286" s="86"/>
      <c r="E286" s="85"/>
      <c r="F286" s="84" t="s">
        <v>57</v>
      </c>
      <c r="G286" s="84" t="s">
        <v>56</v>
      </c>
      <c r="H286" s="84" t="s">
        <v>55</v>
      </c>
      <c r="I286" s="84" t="s">
        <v>54</v>
      </c>
      <c r="J286" s="84" t="s">
        <v>53</v>
      </c>
      <c r="K286" s="84" t="s">
        <v>52</v>
      </c>
      <c r="L286" s="84" t="s">
        <v>51</v>
      </c>
      <c r="M286" s="84" t="s">
        <v>50</v>
      </c>
      <c r="N286" s="83" t="s">
        <v>49</v>
      </c>
    </row>
    <row r="287" spans="3:14" x14ac:dyDescent="0.25">
      <c r="C287" s="62">
        <f t="shared" si="143"/>
        <v>1</v>
      </c>
      <c r="D287" s="82" t="s">
        <v>26</v>
      </c>
      <c r="E287" s="80"/>
      <c r="F287" s="79"/>
      <c r="G287" s="79"/>
      <c r="H287" s="79"/>
      <c r="I287" s="79"/>
      <c r="J287" s="79"/>
      <c r="K287" s="79"/>
      <c r="L287" s="79"/>
      <c r="M287" s="79"/>
      <c r="N287" s="78"/>
    </row>
    <row r="288" spans="3:14" x14ac:dyDescent="0.25">
      <c r="C288" s="62">
        <f t="shared" si="143"/>
        <v>1</v>
      </c>
      <c r="D288" s="93" t="s">
        <v>94</v>
      </c>
      <c r="E288" s="80"/>
      <c r="F288" s="79"/>
      <c r="G288" s="79"/>
      <c r="H288" s="79"/>
      <c r="I288" s="79"/>
      <c r="J288" s="79"/>
      <c r="K288" s="79"/>
      <c r="L288" s="79"/>
      <c r="M288" s="79"/>
      <c r="N288" s="78"/>
    </row>
    <row r="289" spans="3:14" x14ac:dyDescent="0.25">
      <c r="C289" s="62">
        <f t="shared" si="143"/>
        <v>1</v>
      </c>
      <c r="D289" s="268" t="s">
        <v>105</v>
      </c>
      <c r="E289" s="76" t="s">
        <v>57</v>
      </c>
      <c r="F289" s="75">
        <f t="shared" ref="F289:K289" si="144">+F$8*$E284</f>
        <v>41.41526216070249</v>
      </c>
      <c r="G289" s="74">
        <f t="shared" ca="1" si="144"/>
        <v>1648664.4111607659</v>
      </c>
      <c r="H289" s="74">
        <f t="shared" ca="1" si="144"/>
        <v>39196.623617151294</v>
      </c>
      <c r="I289" s="75">
        <f t="shared" si="144"/>
        <v>0</v>
      </c>
      <c r="J289" s="74">
        <f t="shared" si="144"/>
        <v>0</v>
      </c>
      <c r="K289" s="74">
        <f t="shared" si="144"/>
        <v>0</v>
      </c>
      <c r="L289" s="73">
        <f t="shared" ref="L289" si="145">+I289+F289</f>
        <v>41.41526216070249</v>
      </c>
      <c r="M289" s="72">
        <f t="shared" ref="M289" ca="1" si="146">+J289+G289</f>
        <v>1648664.4111607659</v>
      </c>
      <c r="N289" s="72">
        <f t="shared" ref="N289" ca="1" si="147">+K289+H289</f>
        <v>39196.623617151294</v>
      </c>
    </row>
    <row r="290" spans="3:14" ht="15.75" thickBot="1" x14ac:dyDescent="0.3">
      <c r="C290" s="62">
        <f t="shared" si="143"/>
        <v>1</v>
      </c>
      <c r="D290" s="71" t="s">
        <v>48</v>
      </c>
      <c r="E290" s="70" t="s">
        <v>56</v>
      </c>
      <c r="F290" s="69">
        <f t="shared" ref="F290:N290" si="148">SUM(F289)</f>
        <v>41.41526216070249</v>
      </c>
      <c r="G290" s="68">
        <f t="shared" ca="1" si="148"/>
        <v>1648664.4111607659</v>
      </c>
      <c r="H290" s="68">
        <f t="shared" ca="1" si="148"/>
        <v>39196.623617151294</v>
      </c>
      <c r="I290" s="69">
        <f t="shared" si="148"/>
        <v>0</v>
      </c>
      <c r="J290" s="68">
        <f t="shared" si="148"/>
        <v>0</v>
      </c>
      <c r="K290" s="68">
        <f t="shared" si="148"/>
        <v>0</v>
      </c>
      <c r="L290" s="69">
        <f t="shared" si="148"/>
        <v>41.41526216070249</v>
      </c>
      <c r="M290" s="68">
        <f t="shared" ca="1" si="148"/>
        <v>1648664.4111607659</v>
      </c>
      <c r="N290" s="68">
        <f t="shared" ca="1" si="148"/>
        <v>39196.623617151294</v>
      </c>
    </row>
    <row r="291" spans="3:14" ht="15.75" hidden="1" thickBot="1" x14ac:dyDescent="0.3"/>
    <row r="292" spans="3:14" x14ac:dyDescent="0.25">
      <c r="C292" s="62">
        <f>IF(E292&gt;0,1,0)</f>
        <v>1</v>
      </c>
      <c r="D292" s="936" t="str">
        <f>+A39</f>
        <v>Ontario</v>
      </c>
      <c r="E292" s="951">
        <f>SUMIF(A:A,D292,B:B)</f>
        <v>3.0558410502578128E-3</v>
      </c>
      <c r="F292" s="940" t="s">
        <v>106</v>
      </c>
      <c r="G292" s="941"/>
      <c r="H292" s="942"/>
      <c r="I292" s="940" t="s">
        <v>99</v>
      </c>
      <c r="J292" s="941"/>
      <c r="K292" s="942"/>
      <c r="L292" s="940" t="s">
        <v>98</v>
      </c>
      <c r="M292" s="941"/>
      <c r="N292" s="943"/>
    </row>
    <row r="293" spans="3:14" ht="30" x14ac:dyDescent="0.25">
      <c r="C293" s="62">
        <f>C292</f>
        <v>1</v>
      </c>
      <c r="D293" s="937"/>
      <c r="E293" s="952"/>
      <c r="F293" s="88" t="s">
        <v>97</v>
      </c>
      <c r="G293" s="88" t="s">
        <v>96</v>
      </c>
      <c r="H293" s="88" t="s">
        <v>95</v>
      </c>
      <c r="I293" s="88" t="s">
        <v>97</v>
      </c>
      <c r="J293" s="88" t="s">
        <v>96</v>
      </c>
      <c r="K293" s="88" t="s">
        <v>95</v>
      </c>
      <c r="L293" s="88" t="s">
        <v>97</v>
      </c>
      <c r="M293" s="88" t="s">
        <v>96</v>
      </c>
      <c r="N293" s="87" t="s">
        <v>95</v>
      </c>
    </row>
    <row r="294" spans="3:14" x14ac:dyDescent="0.25">
      <c r="C294" s="62">
        <f t="shared" ref="C294:C298" si="149">C293</f>
        <v>1</v>
      </c>
      <c r="D294" s="86"/>
      <c r="E294" s="85"/>
      <c r="F294" s="84" t="s">
        <v>57</v>
      </c>
      <c r="G294" s="84" t="s">
        <v>56</v>
      </c>
      <c r="H294" s="84" t="s">
        <v>55</v>
      </c>
      <c r="I294" s="84" t="s">
        <v>54</v>
      </c>
      <c r="J294" s="84" t="s">
        <v>53</v>
      </c>
      <c r="K294" s="84" t="s">
        <v>52</v>
      </c>
      <c r="L294" s="84" t="s">
        <v>51</v>
      </c>
      <c r="M294" s="84" t="s">
        <v>50</v>
      </c>
      <c r="N294" s="83" t="s">
        <v>49</v>
      </c>
    </row>
    <row r="295" spans="3:14" x14ac:dyDescent="0.25">
      <c r="C295" s="62">
        <f t="shared" si="149"/>
        <v>1</v>
      </c>
      <c r="D295" s="82" t="s">
        <v>26</v>
      </c>
      <c r="E295" s="80"/>
      <c r="F295" s="79"/>
      <c r="G295" s="79"/>
      <c r="H295" s="79"/>
      <c r="I295" s="79"/>
      <c r="J295" s="79"/>
      <c r="K295" s="79"/>
      <c r="L295" s="79"/>
      <c r="M295" s="79"/>
      <c r="N295" s="78"/>
    </row>
    <row r="296" spans="3:14" x14ac:dyDescent="0.25">
      <c r="C296" s="62">
        <f t="shared" si="149"/>
        <v>1</v>
      </c>
      <c r="D296" s="93" t="s">
        <v>94</v>
      </c>
      <c r="E296" s="80"/>
      <c r="F296" s="79"/>
      <c r="G296" s="79"/>
      <c r="H296" s="79"/>
      <c r="I296" s="79"/>
      <c r="J296" s="79"/>
      <c r="K296" s="79"/>
      <c r="L296" s="79"/>
      <c r="M296" s="79"/>
      <c r="N296" s="78"/>
    </row>
    <row r="297" spans="3:14" x14ac:dyDescent="0.25">
      <c r="C297" s="62">
        <f t="shared" si="149"/>
        <v>1</v>
      </c>
      <c r="D297" s="268" t="s">
        <v>105</v>
      </c>
      <c r="E297" s="76" t="s">
        <v>57</v>
      </c>
      <c r="F297" s="75">
        <f t="shared" ref="F297:K297" si="150">+F$8*$E292</f>
        <v>5.7144761089765987</v>
      </c>
      <c r="G297" s="74">
        <f t="shared" ca="1" si="150"/>
        <v>227482.64523211616</v>
      </c>
      <c r="H297" s="74">
        <f t="shared" ca="1" si="150"/>
        <v>5408.3484572335665</v>
      </c>
      <c r="I297" s="75">
        <f t="shared" si="150"/>
        <v>0</v>
      </c>
      <c r="J297" s="74">
        <f t="shared" si="150"/>
        <v>0</v>
      </c>
      <c r="K297" s="74">
        <f t="shared" si="150"/>
        <v>0</v>
      </c>
      <c r="L297" s="73">
        <f t="shared" ref="L297" si="151">+I297+F297</f>
        <v>5.7144761089765987</v>
      </c>
      <c r="M297" s="72">
        <f t="shared" ref="M297" ca="1" si="152">+J297+G297</f>
        <v>227482.64523211616</v>
      </c>
      <c r="N297" s="72">
        <f t="shared" ref="N297" ca="1" si="153">+K297+H297</f>
        <v>5408.3484572335665</v>
      </c>
    </row>
    <row r="298" spans="3:14" ht="15.75" thickBot="1" x14ac:dyDescent="0.3">
      <c r="C298" s="62">
        <f t="shared" si="149"/>
        <v>1</v>
      </c>
      <c r="D298" s="71" t="s">
        <v>48</v>
      </c>
      <c r="E298" s="70" t="s">
        <v>56</v>
      </c>
      <c r="F298" s="69">
        <f t="shared" ref="F298:N298" si="154">SUM(F297)</f>
        <v>5.7144761089765987</v>
      </c>
      <c r="G298" s="68">
        <f t="shared" ca="1" si="154"/>
        <v>227482.64523211616</v>
      </c>
      <c r="H298" s="68">
        <f t="shared" ca="1" si="154"/>
        <v>5408.3484572335665</v>
      </c>
      <c r="I298" s="69">
        <f t="shared" si="154"/>
        <v>0</v>
      </c>
      <c r="J298" s="68">
        <f t="shared" si="154"/>
        <v>0</v>
      </c>
      <c r="K298" s="68">
        <f t="shared" si="154"/>
        <v>0</v>
      </c>
      <c r="L298" s="69">
        <f t="shared" si="154"/>
        <v>5.7144761089765987</v>
      </c>
      <c r="M298" s="68">
        <f t="shared" ca="1" si="154"/>
        <v>227482.64523211616</v>
      </c>
      <c r="N298" s="68">
        <f t="shared" ca="1" si="154"/>
        <v>5408.3484572335665</v>
      </c>
    </row>
    <row r="299" spans="3:14" ht="15.75" hidden="1" thickBot="1" x14ac:dyDescent="0.3"/>
    <row r="300" spans="3:14" x14ac:dyDescent="0.25">
      <c r="C300" s="62">
        <f>IF(E300&gt;0,1,0)</f>
        <v>1</v>
      </c>
      <c r="D300" s="936" t="str">
        <f>+A40</f>
        <v>Orange</v>
      </c>
      <c r="E300" s="951">
        <f>SUMIF(A:A,D300,B:B)</f>
        <v>1.2293981971585183E-2</v>
      </c>
      <c r="F300" s="940" t="s">
        <v>106</v>
      </c>
      <c r="G300" s="941"/>
      <c r="H300" s="942"/>
      <c r="I300" s="940" t="s">
        <v>99</v>
      </c>
      <c r="J300" s="941"/>
      <c r="K300" s="942"/>
      <c r="L300" s="940" t="s">
        <v>98</v>
      </c>
      <c r="M300" s="941"/>
      <c r="N300" s="943"/>
    </row>
    <row r="301" spans="3:14" ht="30" x14ac:dyDescent="0.25">
      <c r="C301" s="62">
        <f>C300</f>
        <v>1</v>
      </c>
      <c r="D301" s="937"/>
      <c r="E301" s="952"/>
      <c r="F301" s="88" t="s">
        <v>97</v>
      </c>
      <c r="G301" s="88" t="s">
        <v>96</v>
      </c>
      <c r="H301" s="88" t="s">
        <v>95</v>
      </c>
      <c r="I301" s="88" t="s">
        <v>97</v>
      </c>
      <c r="J301" s="88" t="s">
        <v>96</v>
      </c>
      <c r="K301" s="88" t="s">
        <v>95</v>
      </c>
      <c r="L301" s="88" t="s">
        <v>97</v>
      </c>
      <c r="M301" s="88" t="s">
        <v>96</v>
      </c>
      <c r="N301" s="87" t="s">
        <v>95</v>
      </c>
    </row>
    <row r="302" spans="3:14" x14ac:dyDescent="0.25">
      <c r="C302" s="62">
        <f t="shared" ref="C302:C306" si="155">C301</f>
        <v>1</v>
      </c>
      <c r="D302" s="86"/>
      <c r="E302" s="85"/>
      <c r="F302" s="84" t="s">
        <v>57</v>
      </c>
      <c r="G302" s="84" t="s">
        <v>56</v>
      </c>
      <c r="H302" s="84" t="s">
        <v>55</v>
      </c>
      <c r="I302" s="84" t="s">
        <v>54</v>
      </c>
      <c r="J302" s="84" t="s">
        <v>53</v>
      </c>
      <c r="K302" s="84" t="s">
        <v>52</v>
      </c>
      <c r="L302" s="84" t="s">
        <v>51</v>
      </c>
      <c r="M302" s="84" t="s">
        <v>50</v>
      </c>
      <c r="N302" s="83" t="s">
        <v>49</v>
      </c>
    </row>
    <row r="303" spans="3:14" x14ac:dyDescent="0.25">
      <c r="C303" s="62">
        <f t="shared" si="155"/>
        <v>1</v>
      </c>
      <c r="D303" s="82" t="s">
        <v>26</v>
      </c>
      <c r="E303" s="80"/>
      <c r="F303" s="79"/>
      <c r="G303" s="79"/>
      <c r="H303" s="79"/>
      <c r="I303" s="79"/>
      <c r="J303" s="79"/>
      <c r="K303" s="79"/>
      <c r="L303" s="79"/>
      <c r="M303" s="79"/>
      <c r="N303" s="78"/>
    </row>
    <row r="304" spans="3:14" x14ac:dyDescent="0.25">
      <c r="C304" s="62">
        <f t="shared" si="155"/>
        <v>1</v>
      </c>
      <c r="D304" s="93" t="s">
        <v>94</v>
      </c>
      <c r="E304" s="80"/>
      <c r="F304" s="79"/>
      <c r="G304" s="79"/>
      <c r="H304" s="79"/>
      <c r="I304" s="79"/>
      <c r="J304" s="79"/>
      <c r="K304" s="79"/>
      <c r="L304" s="79"/>
      <c r="M304" s="79"/>
      <c r="N304" s="78"/>
    </row>
    <row r="305" spans="3:14" x14ac:dyDescent="0.25">
      <c r="C305" s="62">
        <f t="shared" si="155"/>
        <v>1</v>
      </c>
      <c r="D305" s="268" t="s">
        <v>105</v>
      </c>
      <c r="E305" s="76" t="s">
        <v>57</v>
      </c>
      <c r="F305" s="75">
        <f t="shared" ref="F305:K305" si="156">+F$8*$E300</f>
        <v>22.989960899597655</v>
      </c>
      <c r="G305" s="74">
        <f t="shared" ca="1" si="156"/>
        <v>915187.5026668018</v>
      </c>
      <c r="H305" s="74">
        <f t="shared" ca="1" si="156"/>
        <v>21758.375954688614</v>
      </c>
      <c r="I305" s="75">
        <f t="shared" si="156"/>
        <v>0</v>
      </c>
      <c r="J305" s="74">
        <f t="shared" si="156"/>
        <v>0</v>
      </c>
      <c r="K305" s="74">
        <f t="shared" si="156"/>
        <v>0</v>
      </c>
      <c r="L305" s="73">
        <f t="shared" ref="L305" si="157">+I305+F305</f>
        <v>22.989960899597655</v>
      </c>
      <c r="M305" s="72">
        <f t="shared" ref="M305" ca="1" si="158">+J305+G305</f>
        <v>915187.5026668018</v>
      </c>
      <c r="N305" s="72">
        <f t="shared" ref="N305" ca="1" si="159">+K305+H305</f>
        <v>21758.375954688614</v>
      </c>
    </row>
    <row r="306" spans="3:14" ht="15.75" thickBot="1" x14ac:dyDescent="0.3">
      <c r="C306" s="62">
        <f t="shared" si="155"/>
        <v>1</v>
      </c>
      <c r="D306" s="71" t="s">
        <v>48</v>
      </c>
      <c r="E306" s="70" t="s">
        <v>56</v>
      </c>
      <c r="F306" s="69">
        <f t="shared" ref="F306:N306" si="160">SUM(F305)</f>
        <v>22.989960899597655</v>
      </c>
      <c r="G306" s="68">
        <f t="shared" ca="1" si="160"/>
        <v>915187.5026668018</v>
      </c>
      <c r="H306" s="68">
        <f t="shared" ca="1" si="160"/>
        <v>21758.375954688614</v>
      </c>
      <c r="I306" s="69">
        <f t="shared" si="160"/>
        <v>0</v>
      </c>
      <c r="J306" s="68">
        <f t="shared" si="160"/>
        <v>0</v>
      </c>
      <c r="K306" s="68">
        <f t="shared" si="160"/>
        <v>0</v>
      </c>
      <c r="L306" s="69">
        <f t="shared" si="160"/>
        <v>22.989960899597655</v>
      </c>
      <c r="M306" s="68">
        <f t="shared" ca="1" si="160"/>
        <v>915187.5026668018</v>
      </c>
      <c r="N306" s="68">
        <f t="shared" ca="1" si="160"/>
        <v>21758.375954688614</v>
      </c>
    </row>
    <row r="307" spans="3:14" ht="15.75" hidden="1" thickBot="1" x14ac:dyDescent="0.3"/>
    <row r="308" spans="3:14" x14ac:dyDescent="0.25">
      <c r="C308" s="62">
        <f>IF(E308&gt;0,1,0)</f>
        <v>1</v>
      </c>
      <c r="D308" s="936" t="str">
        <f>+A41</f>
        <v>Orleans</v>
      </c>
      <c r="E308" s="951">
        <f>SUMIF(A:A,D308,B:B)</f>
        <v>1.1805826190968058E-3</v>
      </c>
      <c r="F308" s="940" t="s">
        <v>106</v>
      </c>
      <c r="G308" s="941"/>
      <c r="H308" s="942"/>
      <c r="I308" s="940" t="s">
        <v>99</v>
      </c>
      <c r="J308" s="941"/>
      <c r="K308" s="942"/>
      <c r="L308" s="940" t="s">
        <v>98</v>
      </c>
      <c r="M308" s="941"/>
      <c r="N308" s="943"/>
    </row>
    <row r="309" spans="3:14" ht="30" x14ac:dyDescent="0.25">
      <c r="C309" s="62">
        <f>C308</f>
        <v>1</v>
      </c>
      <c r="D309" s="937"/>
      <c r="E309" s="952"/>
      <c r="F309" s="88" t="s">
        <v>97</v>
      </c>
      <c r="G309" s="88" t="s">
        <v>96</v>
      </c>
      <c r="H309" s="88" t="s">
        <v>95</v>
      </c>
      <c r="I309" s="88" t="s">
        <v>97</v>
      </c>
      <c r="J309" s="88" t="s">
        <v>96</v>
      </c>
      <c r="K309" s="88" t="s">
        <v>95</v>
      </c>
      <c r="L309" s="88" t="s">
        <v>97</v>
      </c>
      <c r="M309" s="88" t="s">
        <v>96</v>
      </c>
      <c r="N309" s="87" t="s">
        <v>95</v>
      </c>
    </row>
    <row r="310" spans="3:14" x14ac:dyDescent="0.25">
      <c r="C310" s="62">
        <f t="shared" ref="C310:C314" si="161">C309</f>
        <v>1</v>
      </c>
      <c r="D310" s="86"/>
      <c r="E310" s="85"/>
      <c r="F310" s="84" t="s">
        <v>57</v>
      </c>
      <c r="G310" s="84" t="s">
        <v>56</v>
      </c>
      <c r="H310" s="84" t="s">
        <v>55</v>
      </c>
      <c r="I310" s="84" t="s">
        <v>54</v>
      </c>
      <c r="J310" s="84" t="s">
        <v>53</v>
      </c>
      <c r="K310" s="84" t="s">
        <v>52</v>
      </c>
      <c r="L310" s="84" t="s">
        <v>51</v>
      </c>
      <c r="M310" s="84" t="s">
        <v>50</v>
      </c>
      <c r="N310" s="83" t="s">
        <v>49</v>
      </c>
    </row>
    <row r="311" spans="3:14" x14ac:dyDescent="0.25">
      <c r="C311" s="62">
        <f t="shared" si="161"/>
        <v>1</v>
      </c>
      <c r="D311" s="82" t="s">
        <v>26</v>
      </c>
      <c r="E311" s="80"/>
      <c r="F311" s="79"/>
      <c r="G311" s="79"/>
      <c r="H311" s="79"/>
      <c r="I311" s="79"/>
      <c r="J311" s="79"/>
      <c r="K311" s="79"/>
      <c r="L311" s="79"/>
      <c r="M311" s="79"/>
      <c r="N311" s="78"/>
    </row>
    <row r="312" spans="3:14" x14ac:dyDescent="0.25">
      <c r="C312" s="62">
        <f t="shared" si="161"/>
        <v>1</v>
      </c>
      <c r="D312" s="93" t="s">
        <v>94</v>
      </c>
      <c r="E312" s="80"/>
      <c r="F312" s="79"/>
      <c r="G312" s="79"/>
      <c r="H312" s="79"/>
      <c r="I312" s="79"/>
      <c r="J312" s="79"/>
      <c r="K312" s="79"/>
      <c r="L312" s="79"/>
      <c r="M312" s="79"/>
      <c r="N312" s="78"/>
    </row>
    <row r="313" spans="3:14" x14ac:dyDescent="0.25">
      <c r="C313" s="62">
        <f t="shared" si="161"/>
        <v>1</v>
      </c>
      <c r="D313" s="268" t="s">
        <v>105</v>
      </c>
      <c r="E313" s="76" t="s">
        <v>57</v>
      </c>
      <c r="F313" s="75">
        <f t="shared" ref="F313:K313" si="162">+F$8*$E308</f>
        <v>2.2077101068239595</v>
      </c>
      <c r="G313" s="74">
        <f t="shared" ca="1" si="162"/>
        <v>87884.82538532016</v>
      </c>
      <c r="H313" s="74">
        <f t="shared" ca="1" si="162"/>
        <v>2089.4418530343023</v>
      </c>
      <c r="I313" s="75">
        <f t="shared" si="162"/>
        <v>0</v>
      </c>
      <c r="J313" s="74">
        <f t="shared" si="162"/>
        <v>0</v>
      </c>
      <c r="K313" s="74">
        <f t="shared" si="162"/>
        <v>0</v>
      </c>
      <c r="L313" s="73">
        <f t="shared" ref="L313" si="163">+I313+F313</f>
        <v>2.2077101068239595</v>
      </c>
      <c r="M313" s="72">
        <f t="shared" ref="M313" ca="1" si="164">+J313+G313</f>
        <v>87884.82538532016</v>
      </c>
      <c r="N313" s="72">
        <f t="shared" ref="N313" ca="1" si="165">+K313+H313</f>
        <v>2089.4418530343023</v>
      </c>
    </row>
    <row r="314" spans="3:14" ht="15.75" thickBot="1" x14ac:dyDescent="0.3">
      <c r="C314" s="62">
        <f t="shared" si="161"/>
        <v>1</v>
      </c>
      <c r="D314" s="71" t="s">
        <v>48</v>
      </c>
      <c r="E314" s="70" t="s">
        <v>56</v>
      </c>
      <c r="F314" s="69">
        <f t="shared" ref="F314:N314" si="166">SUM(F313)</f>
        <v>2.2077101068239595</v>
      </c>
      <c r="G314" s="68">
        <f t="shared" ca="1" si="166"/>
        <v>87884.82538532016</v>
      </c>
      <c r="H314" s="68">
        <f t="shared" ca="1" si="166"/>
        <v>2089.4418530343023</v>
      </c>
      <c r="I314" s="69">
        <f t="shared" si="166"/>
        <v>0</v>
      </c>
      <c r="J314" s="68">
        <f t="shared" si="166"/>
        <v>0</v>
      </c>
      <c r="K314" s="68">
        <f t="shared" si="166"/>
        <v>0</v>
      </c>
      <c r="L314" s="69">
        <f t="shared" si="166"/>
        <v>2.2077101068239595</v>
      </c>
      <c r="M314" s="68">
        <f t="shared" ca="1" si="166"/>
        <v>87884.82538532016</v>
      </c>
      <c r="N314" s="68">
        <f t="shared" ca="1" si="166"/>
        <v>2089.4418530343023</v>
      </c>
    </row>
    <row r="315" spans="3:14" ht="15.75" hidden="1" thickBot="1" x14ac:dyDescent="0.3"/>
    <row r="316" spans="3:14" x14ac:dyDescent="0.25">
      <c r="C316" s="62">
        <f>IF(E316&gt;0,1,0)</f>
        <v>1</v>
      </c>
      <c r="D316" s="936" t="str">
        <f>+A42</f>
        <v>Oswego</v>
      </c>
      <c r="E316" s="951">
        <f>SUMIF(A:A,D316,B:B)</f>
        <v>3.9130855242887541E-3</v>
      </c>
      <c r="F316" s="940" t="s">
        <v>106</v>
      </c>
      <c r="G316" s="941"/>
      <c r="H316" s="942"/>
      <c r="I316" s="940" t="s">
        <v>99</v>
      </c>
      <c r="J316" s="941"/>
      <c r="K316" s="942"/>
      <c r="L316" s="940" t="s">
        <v>98</v>
      </c>
      <c r="M316" s="941"/>
      <c r="N316" s="943"/>
    </row>
    <row r="317" spans="3:14" ht="30" x14ac:dyDescent="0.25">
      <c r="C317" s="62">
        <f>C316</f>
        <v>1</v>
      </c>
      <c r="D317" s="937"/>
      <c r="E317" s="952"/>
      <c r="F317" s="88" t="s">
        <v>97</v>
      </c>
      <c r="G317" s="88" t="s">
        <v>96</v>
      </c>
      <c r="H317" s="88" t="s">
        <v>95</v>
      </c>
      <c r="I317" s="88" t="s">
        <v>97</v>
      </c>
      <c r="J317" s="88" t="s">
        <v>96</v>
      </c>
      <c r="K317" s="88" t="s">
        <v>95</v>
      </c>
      <c r="L317" s="88" t="s">
        <v>97</v>
      </c>
      <c r="M317" s="88" t="s">
        <v>96</v>
      </c>
      <c r="N317" s="87" t="s">
        <v>95</v>
      </c>
    </row>
    <row r="318" spans="3:14" x14ac:dyDescent="0.25">
      <c r="C318" s="62">
        <f t="shared" ref="C318:C322" si="167">C317</f>
        <v>1</v>
      </c>
      <c r="D318" s="86"/>
      <c r="E318" s="85"/>
      <c r="F318" s="84" t="s">
        <v>57</v>
      </c>
      <c r="G318" s="84" t="s">
        <v>56</v>
      </c>
      <c r="H318" s="84" t="s">
        <v>55</v>
      </c>
      <c r="I318" s="84" t="s">
        <v>54</v>
      </c>
      <c r="J318" s="84" t="s">
        <v>53</v>
      </c>
      <c r="K318" s="84" t="s">
        <v>52</v>
      </c>
      <c r="L318" s="84" t="s">
        <v>51</v>
      </c>
      <c r="M318" s="84" t="s">
        <v>50</v>
      </c>
      <c r="N318" s="83" t="s">
        <v>49</v>
      </c>
    </row>
    <row r="319" spans="3:14" x14ac:dyDescent="0.25">
      <c r="C319" s="62">
        <f t="shared" si="167"/>
        <v>1</v>
      </c>
      <c r="D319" s="82" t="s">
        <v>26</v>
      </c>
      <c r="E319" s="80"/>
      <c r="F319" s="79"/>
      <c r="G319" s="79"/>
      <c r="H319" s="79"/>
      <c r="I319" s="79"/>
      <c r="J319" s="79"/>
      <c r="K319" s="79"/>
      <c r="L319" s="79"/>
      <c r="M319" s="79"/>
      <c r="N319" s="78"/>
    </row>
    <row r="320" spans="3:14" x14ac:dyDescent="0.25">
      <c r="C320" s="62">
        <f t="shared" si="167"/>
        <v>1</v>
      </c>
      <c r="D320" s="93" t="s">
        <v>94</v>
      </c>
      <c r="E320" s="80"/>
      <c r="F320" s="79"/>
      <c r="G320" s="79"/>
      <c r="H320" s="79"/>
      <c r="I320" s="79"/>
      <c r="J320" s="79"/>
      <c r="K320" s="79"/>
      <c r="L320" s="79"/>
      <c r="M320" s="79"/>
      <c r="N320" s="78"/>
    </row>
    <row r="321" spans="3:14" x14ac:dyDescent="0.25">
      <c r="C321" s="62">
        <f t="shared" si="167"/>
        <v>1</v>
      </c>
      <c r="D321" s="268" t="s">
        <v>105</v>
      </c>
      <c r="E321" s="76" t="s">
        <v>57</v>
      </c>
      <c r="F321" s="75">
        <f t="shared" ref="F321:K321" si="168">+F$8*$E316</f>
        <v>7.3175382401004452</v>
      </c>
      <c r="G321" s="74">
        <f t="shared" ca="1" si="168"/>
        <v>291297.56143880839</v>
      </c>
      <c r="H321" s="74">
        <f t="shared" ca="1" si="168"/>
        <v>6925.533661681975</v>
      </c>
      <c r="I321" s="75">
        <f t="shared" si="168"/>
        <v>0</v>
      </c>
      <c r="J321" s="74">
        <f t="shared" si="168"/>
        <v>0</v>
      </c>
      <c r="K321" s="74">
        <f t="shared" si="168"/>
        <v>0</v>
      </c>
      <c r="L321" s="73">
        <f t="shared" ref="L321" si="169">+I321+F321</f>
        <v>7.3175382401004452</v>
      </c>
      <c r="M321" s="72">
        <f t="shared" ref="M321" ca="1" si="170">+J321+G321</f>
        <v>291297.56143880839</v>
      </c>
      <c r="N321" s="72">
        <f t="shared" ref="N321" ca="1" si="171">+K321+H321</f>
        <v>6925.533661681975</v>
      </c>
    </row>
    <row r="322" spans="3:14" ht="15.75" thickBot="1" x14ac:dyDescent="0.3">
      <c r="C322" s="62">
        <f t="shared" si="167"/>
        <v>1</v>
      </c>
      <c r="D322" s="71" t="s">
        <v>48</v>
      </c>
      <c r="E322" s="70" t="s">
        <v>56</v>
      </c>
      <c r="F322" s="69">
        <f t="shared" ref="F322:N322" si="172">SUM(F321)</f>
        <v>7.3175382401004452</v>
      </c>
      <c r="G322" s="68">
        <f t="shared" ca="1" si="172"/>
        <v>291297.56143880839</v>
      </c>
      <c r="H322" s="68">
        <f t="shared" ca="1" si="172"/>
        <v>6925.533661681975</v>
      </c>
      <c r="I322" s="69">
        <f t="shared" si="172"/>
        <v>0</v>
      </c>
      <c r="J322" s="68">
        <f t="shared" si="172"/>
        <v>0</v>
      </c>
      <c r="K322" s="68">
        <f t="shared" si="172"/>
        <v>0</v>
      </c>
      <c r="L322" s="69">
        <f t="shared" si="172"/>
        <v>7.3175382401004452</v>
      </c>
      <c r="M322" s="68">
        <f t="shared" ca="1" si="172"/>
        <v>291297.56143880839</v>
      </c>
      <c r="N322" s="68">
        <f t="shared" ca="1" si="172"/>
        <v>6925.533661681975</v>
      </c>
    </row>
    <row r="323" spans="3:14" ht="15.75" hidden="1" thickBot="1" x14ac:dyDescent="0.3"/>
    <row r="324" spans="3:14" x14ac:dyDescent="0.25">
      <c r="C324" s="62">
        <f>IF(E324&gt;0,1,0)</f>
        <v>1</v>
      </c>
      <c r="D324" s="936" t="str">
        <f>+A43</f>
        <v>Otsego</v>
      </c>
      <c r="E324" s="951">
        <f>SUMIF(A:A,D324,B:B)</f>
        <v>1.6648187600380527E-3</v>
      </c>
      <c r="F324" s="940" t="s">
        <v>106</v>
      </c>
      <c r="G324" s="941"/>
      <c r="H324" s="942"/>
      <c r="I324" s="940" t="s">
        <v>99</v>
      </c>
      <c r="J324" s="941"/>
      <c r="K324" s="942"/>
      <c r="L324" s="940" t="s">
        <v>98</v>
      </c>
      <c r="M324" s="941"/>
      <c r="N324" s="943"/>
    </row>
    <row r="325" spans="3:14" ht="30" x14ac:dyDescent="0.25">
      <c r="C325" s="62">
        <f>C324</f>
        <v>1</v>
      </c>
      <c r="D325" s="937"/>
      <c r="E325" s="952"/>
      <c r="F325" s="88" t="s">
        <v>97</v>
      </c>
      <c r="G325" s="88" t="s">
        <v>96</v>
      </c>
      <c r="H325" s="88" t="s">
        <v>95</v>
      </c>
      <c r="I325" s="88" t="s">
        <v>97</v>
      </c>
      <c r="J325" s="88" t="s">
        <v>96</v>
      </c>
      <c r="K325" s="88" t="s">
        <v>95</v>
      </c>
      <c r="L325" s="88" t="s">
        <v>97</v>
      </c>
      <c r="M325" s="88" t="s">
        <v>96</v>
      </c>
      <c r="N325" s="87" t="s">
        <v>95</v>
      </c>
    </row>
    <row r="326" spans="3:14" x14ac:dyDescent="0.25">
      <c r="C326" s="62">
        <f t="shared" ref="C326:C330" si="173">C325</f>
        <v>1</v>
      </c>
      <c r="D326" s="86"/>
      <c r="E326" s="85"/>
      <c r="F326" s="84" t="s">
        <v>57</v>
      </c>
      <c r="G326" s="84" t="s">
        <v>56</v>
      </c>
      <c r="H326" s="84" t="s">
        <v>55</v>
      </c>
      <c r="I326" s="84" t="s">
        <v>54</v>
      </c>
      <c r="J326" s="84" t="s">
        <v>53</v>
      </c>
      <c r="K326" s="84" t="s">
        <v>52</v>
      </c>
      <c r="L326" s="84" t="s">
        <v>51</v>
      </c>
      <c r="M326" s="84" t="s">
        <v>50</v>
      </c>
      <c r="N326" s="83" t="s">
        <v>49</v>
      </c>
    </row>
    <row r="327" spans="3:14" x14ac:dyDescent="0.25">
      <c r="C327" s="62">
        <f t="shared" si="173"/>
        <v>1</v>
      </c>
      <c r="D327" s="82" t="s">
        <v>26</v>
      </c>
      <c r="E327" s="80"/>
      <c r="F327" s="79"/>
      <c r="G327" s="79"/>
      <c r="H327" s="79"/>
      <c r="I327" s="79"/>
      <c r="J327" s="79"/>
      <c r="K327" s="79"/>
      <c r="L327" s="79"/>
      <c r="M327" s="79"/>
      <c r="N327" s="78"/>
    </row>
    <row r="328" spans="3:14" x14ac:dyDescent="0.25">
      <c r="C328" s="62">
        <f t="shared" si="173"/>
        <v>1</v>
      </c>
      <c r="D328" s="93" t="s">
        <v>94</v>
      </c>
      <c r="E328" s="80"/>
      <c r="F328" s="79"/>
      <c r="G328" s="79"/>
      <c r="H328" s="79"/>
      <c r="I328" s="79"/>
      <c r="J328" s="79"/>
      <c r="K328" s="79"/>
      <c r="L328" s="79"/>
      <c r="M328" s="79"/>
      <c r="N328" s="78"/>
    </row>
    <row r="329" spans="3:14" x14ac:dyDescent="0.25">
      <c r="C329" s="62">
        <f t="shared" si="173"/>
        <v>1</v>
      </c>
      <c r="D329" s="268" t="s">
        <v>105</v>
      </c>
      <c r="E329" s="76" t="s">
        <v>57</v>
      </c>
      <c r="F329" s="75">
        <f t="shared" ref="F329:K329" si="174">+F$8*$E324</f>
        <v>3.1132401435640324</v>
      </c>
      <c r="G329" s="74">
        <f t="shared" ca="1" si="174"/>
        <v>123932.28873391714</v>
      </c>
      <c r="H329" s="74">
        <f t="shared" ca="1" si="174"/>
        <v>2946.4621439212833</v>
      </c>
      <c r="I329" s="75">
        <f t="shared" si="174"/>
        <v>0</v>
      </c>
      <c r="J329" s="74">
        <f t="shared" si="174"/>
        <v>0</v>
      </c>
      <c r="K329" s="74">
        <f t="shared" si="174"/>
        <v>0</v>
      </c>
      <c r="L329" s="73">
        <f t="shared" ref="L329" si="175">+I329+F329</f>
        <v>3.1132401435640324</v>
      </c>
      <c r="M329" s="72">
        <f t="shared" ref="M329" ca="1" si="176">+J329+G329</f>
        <v>123932.28873391714</v>
      </c>
      <c r="N329" s="72">
        <f t="shared" ref="N329" ca="1" si="177">+K329+H329</f>
        <v>2946.4621439212833</v>
      </c>
    </row>
    <row r="330" spans="3:14" ht="15.75" thickBot="1" x14ac:dyDescent="0.3">
      <c r="C330" s="62">
        <f t="shared" si="173"/>
        <v>1</v>
      </c>
      <c r="D330" s="71" t="s">
        <v>48</v>
      </c>
      <c r="E330" s="70" t="s">
        <v>56</v>
      </c>
      <c r="F330" s="69">
        <f t="shared" ref="F330:N330" si="178">SUM(F329)</f>
        <v>3.1132401435640324</v>
      </c>
      <c r="G330" s="68">
        <f t="shared" ca="1" si="178"/>
        <v>123932.28873391714</v>
      </c>
      <c r="H330" s="68">
        <f t="shared" ca="1" si="178"/>
        <v>2946.4621439212833</v>
      </c>
      <c r="I330" s="69">
        <f t="shared" si="178"/>
        <v>0</v>
      </c>
      <c r="J330" s="68">
        <f t="shared" si="178"/>
        <v>0</v>
      </c>
      <c r="K330" s="68">
        <f t="shared" si="178"/>
        <v>0</v>
      </c>
      <c r="L330" s="69">
        <f t="shared" si="178"/>
        <v>3.1132401435640324</v>
      </c>
      <c r="M330" s="68">
        <f t="shared" ca="1" si="178"/>
        <v>123932.28873391714</v>
      </c>
      <c r="N330" s="68">
        <f t="shared" ca="1" si="178"/>
        <v>2946.4621439212833</v>
      </c>
    </row>
    <row r="331" spans="3:14" ht="15.75" hidden="1" thickBot="1" x14ac:dyDescent="0.3"/>
    <row r="332" spans="3:14" x14ac:dyDescent="0.25">
      <c r="C332" s="62">
        <f>IF(E332&gt;0,1,0)</f>
        <v>1</v>
      </c>
      <c r="D332" s="936" t="str">
        <f>+A44</f>
        <v>Putnam</v>
      </c>
      <c r="E332" s="951">
        <f>SUMIF(A:A,D332,B:B)</f>
        <v>6.9943078478575799E-4</v>
      </c>
      <c r="F332" s="940" t="s">
        <v>106</v>
      </c>
      <c r="G332" s="941"/>
      <c r="H332" s="942"/>
      <c r="I332" s="940" t="s">
        <v>99</v>
      </c>
      <c r="J332" s="941"/>
      <c r="K332" s="942"/>
      <c r="L332" s="940" t="s">
        <v>98</v>
      </c>
      <c r="M332" s="941"/>
      <c r="N332" s="943"/>
    </row>
    <row r="333" spans="3:14" ht="30" x14ac:dyDescent="0.25">
      <c r="C333" s="62">
        <f>C332</f>
        <v>1</v>
      </c>
      <c r="D333" s="937"/>
      <c r="E333" s="952"/>
      <c r="F333" s="88" t="s">
        <v>97</v>
      </c>
      <c r="G333" s="88" t="s">
        <v>96</v>
      </c>
      <c r="H333" s="88" t="s">
        <v>95</v>
      </c>
      <c r="I333" s="88" t="s">
        <v>97</v>
      </c>
      <c r="J333" s="88" t="s">
        <v>96</v>
      </c>
      <c r="K333" s="88" t="s">
        <v>95</v>
      </c>
      <c r="L333" s="88" t="s">
        <v>97</v>
      </c>
      <c r="M333" s="88" t="s">
        <v>96</v>
      </c>
      <c r="N333" s="87" t="s">
        <v>95</v>
      </c>
    </row>
    <row r="334" spans="3:14" x14ac:dyDescent="0.25">
      <c r="C334" s="62">
        <f t="shared" ref="C334:C338" si="179">C333</f>
        <v>1</v>
      </c>
      <c r="D334" s="86"/>
      <c r="E334" s="85"/>
      <c r="F334" s="84" t="s">
        <v>57</v>
      </c>
      <c r="G334" s="84" t="s">
        <v>56</v>
      </c>
      <c r="H334" s="84" t="s">
        <v>55</v>
      </c>
      <c r="I334" s="84" t="s">
        <v>54</v>
      </c>
      <c r="J334" s="84" t="s">
        <v>53</v>
      </c>
      <c r="K334" s="84" t="s">
        <v>52</v>
      </c>
      <c r="L334" s="84" t="s">
        <v>51</v>
      </c>
      <c r="M334" s="84" t="s">
        <v>50</v>
      </c>
      <c r="N334" s="83" t="s">
        <v>49</v>
      </c>
    </row>
    <row r="335" spans="3:14" x14ac:dyDescent="0.25">
      <c r="C335" s="62">
        <f t="shared" si="179"/>
        <v>1</v>
      </c>
      <c r="D335" s="82" t="s">
        <v>26</v>
      </c>
      <c r="E335" s="80"/>
      <c r="F335" s="79"/>
      <c r="G335" s="79"/>
      <c r="H335" s="79"/>
      <c r="I335" s="79"/>
      <c r="J335" s="79"/>
      <c r="K335" s="79"/>
      <c r="L335" s="79"/>
      <c r="M335" s="79"/>
      <c r="N335" s="78"/>
    </row>
    <row r="336" spans="3:14" x14ac:dyDescent="0.25">
      <c r="C336" s="62">
        <f t="shared" si="179"/>
        <v>1</v>
      </c>
      <c r="D336" s="93" t="s">
        <v>94</v>
      </c>
      <c r="E336" s="80"/>
      <c r="F336" s="79"/>
      <c r="G336" s="79"/>
      <c r="H336" s="79"/>
      <c r="I336" s="79"/>
      <c r="J336" s="79"/>
      <c r="K336" s="79"/>
      <c r="L336" s="79"/>
      <c r="M336" s="79"/>
      <c r="N336" s="78"/>
    </row>
    <row r="337" spans="3:14" x14ac:dyDescent="0.25">
      <c r="C337" s="62">
        <f t="shared" si="179"/>
        <v>1</v>
      </c>
      <c r="D337" s="268" t="s">
        <v>105</v>
      </c>
      <c r="E337" s="76" t="s">
        <v>57</v>
      </c>
      <c r="F337" s="75">
        <f t="shared" ref="F337:K337" si="180">+F$8*$E332</f>
        <v>1.3079477773242694</v>
      </c>
      <c r="G337" s="74">
        <f t="shared" ca="1" si="180"/>
        <v>52066.963714102756</v>
      </c>
      <c r="H337" s="74">
        <f t="shared" ca="1" si="180"/>
        <v>1237.8802901147542</v>
      </c>
      <c r="I337" s="75">
        <f t="shared" si="180"/>
        <v>0</v>
      </c>
      <c r="J337" s="74">
        <f t="shared" si="180"/>
        <v>0</v>
      </c>
      <c r="K337" s="74">
        <f t="shared" si="180"/>
        <v>0</v>
      </c>
      <c r="L337" s="73">
        <f t="shared" ref="L337" si="181">+I337+F337</f>
        <v>1.3079477773242694</v>
      </c>
      <c r="M337" s="72">
        <f t="shared" ref="M337" ca="1" si="182">+J337+G337</f>
        <v>52066.963714102756</v>
      </c>
      <c r="N337" s="72">
        <f t="shared" ref="N337" ca="1" si="183">+K337+H337</f>
        <v>1237.8802901147542</v>
      </c>
    </row>
    <row r="338" spans="3:14" ht="15.75" thickBot="1" x14ac:dyDescent="0.3">
      <c r="C338" s="62">
        <f t="shared" si="179"/>
        <v>1</v>
      </c>
      <c r="D338" s="71" t="s">
        <v>48</v>
      </c>
      <c r="E338" s="70" t="s">
        <v>56</v>
      </c>
      <c r="F338" s="69">
        <f t="shared" ref="F338:N338" si="184">SUM(F337)</f>
        <v>1.3079477773242694</v>
      </c>
      <c r="G338" s="68">
        <f t="shared" ca="1" si="184"/>
        <v>52066.963714102756</v>
      </c>
      <c r="H338" s="68">
        <f t="shared" ca="1" si="184"/>
        <v>1237.8802901147542</v>
      </c>
      <c r="I338" s="69">
        <f t="shared" si="184"/>
        <v>0</v>
      </c>
      <c r="J338" s="68">
        <f t="shared" si="184"/>
        <v>0</v>
      </c>
      <c r="K338" s="68">
        <f t="shared" si="184"/>
        <v>0</v>
      </c>
      <c r="L338" s="69">
        <f t="shared" si="184"/>
        <v>1.3079477773242694</v>
      </c>
      <c r="M338" s="68">
        <f t="shared" ca="1" si="184"/>
        <v>52066.963714102756</v>
      </c>
      <c r="N338" s="68">
        <f t="shared" ca="1" si="184"/>
        <v>1237.8802901147542</v>
      </c>
    </row>
    <row r="339" spans="3:14" ht="15.75" hidden="1" thickBot="1" x14ac:dyDescent="0.3"/>
    <row r="340" spans="3:14" x14ac:dyDescent="0.25">
      <c r="C340" s="62">
        <f>IF(E340&gt;0,1,0)</f>
        <v>1</v>
      </c>
      <c r="D340" s="936" t="str">
        <f>+A45</f>
        <v>Queens</v>
      </c>
      <c r="E340" s="951">
        <f>SUMIF(A:A,D340,B:B)</f>
        <v>0.13455152735828174</v>
      </c>
      <c r="F340" s="940" t="s">
        <v>106</v>
      </c>
      <c r="G340" s="941"/>
      <c r="H340" s="942"/>
      <c r="I340" s="940" t="s">
        <v>99</v>
      </c>
      <c r="J340" s="941"/>
      <c r="K340" s="942"/>
      <c r="L340" s="940" t="s">
        <v>98</v>
      </c>
      <c r="M340" s="941"/>
      <c r="N340" s="943"/>
    </row>
    <row r="341" spans="3:14" ht="30" x14ac:dyDescent="0.25">
      <c r="C341" s="62">
        <f>C340</f>
        <v>1</v>
      </c>
      <c r="D341" s="937"/>
      <c r="E341" s="952"/>
      <c r="F341" s="88" t="s">
        <v>97</v>
      </c>
      <c r="G341" s="88" t="s">
        <v>96</v>
      </c>
      <c r="H341" s="88" t="s">
        <v>95</v>
      </c>
      <c r="I341" s="88" t="s">
        <v>97</v>
      </c>
      <c r="J341" s="88" t="s">
        <v>96</v>
      </c>
      <c r="K341" s="88" t="s">
        <v>95</v>
      </c>
      <c r="L341" s="88" t="s">
        <v>97</v>
      </c>
      <c r="M341" s="88" t="s">
        <v>96</v>
      </c>
      <c r="N341" s="87" t="s">
        <v>95</v>
      </c>
    </row>
    <row r="342" spans="3:14" x14ac:dyDescent="0.25">
      <c r="C342" s="62">
        <f t="shared" ref="C342:C346" si="185">C341</f>
        <v>1</v>
      </c>
      <c r="D342" s="86"/>
      <c r="E342" s="85"/>
      <c r="F342" s="84" t="s">
        <v>57</v>
      </c>
      <c r="G342" s="84" t="s">
        <v>56</v>
      </c>
      <c r="H342" s="84" t="s">
        <v>55</v>
      </c>
      <c r="I342" s="84" t="s">
        <v>54</v>
      </c>
      <c r="J342" s="84" t="s">
        <v>53</v>
      </c>
      <c r="K342" s="84" t="s">
        <v>52</v>
      </c>
      <c r="L342" s="84" t="s">
        <v>51</v>
      </c>
      <c r="M342" s="84" t="s">
        <v>50</v>
      </c>
      <c r="N342" s="83" t="s">
        <v>49</v>
      </c>
    </row>
    <row r="343" spans="3:14" x14ac:dyDescent="0.25">
      <c r="C343" s="62">
        <f t="shared" si="185"/>
        <v>1</v>
      </c>
      <c r="D343" s="82" t="s">
        <v>26</v>
      </c>
      <c r="E343" s="80"/>
      <c r="F343" s="79"/>
      <c r="G343" s="79"/>
      <c r="H343" s="79"/>
      <c r="I343" s="79"/>
      <c r="J343" s="79"/>
      <c r="K343" s="79"/>
      <c r="L343" s="79"/>
      <c r="M343" s="79"/>
      <c r="N343" s="78"/>
    </row>
    <row r="344" spans="3:14" x14ac:dyDescent="0.25">
      <c r="C344" s="62">
        <f t="shared" si="185"/>
        <v>1</v>
      </c>
      <c r="D344" s="93" t="s">
        <v>94</v>
      </c>
      <c r="E344" s="80"/>
      <c r="F344" s="79"/>
      <c r="G344" s="79"/>
      <c r="H344" s="79"/>
      <c r="I344" s="79"/>
      <c r="J344" s="79"/>
      <c r="K344" s="79"/>
      <c r="L344" s="79"/>
      <c r="M344" s="79"/>
      <c r="N344" s="78"/>
    </row>
    <row r="345" spans="3:14" x14ac:dyDescent="0.25">
      <c r="C345" s="62">
        <f t="shared" si="185"/>
        <v>1</v>
      </c>
      <c r="D345" s="268" t="s">
        <v>105</v>
      </c>
      <c r="E345" s="76" t="s">
        <v>57</v>
      </c>
      <c r="F345" s="75">
        <f t="shared" ref="F345:K345" si="186">+F$8*$E340</f>
        <v>251.61370498977456</v>
      </c>
      <c r="G345" s="74">
        <f t="shared" ca="1" si="186"/>
        <v>10016272.724951141</v>
      </c>
      <c r="H345" s="74">
        <f t="shared" ca="1" si="186"/>
        <v>238134.61938577887</v>
      </c>
      <c r="I345" s="75">
        <f t="shared" si="186"/>
        <v>0</v>
      </c>
      <c r="J345" s="74">
        <f t="shared" si="186"/>
        <v>0</v>
      </c>
      <c r="K345" s="74">
        <f t="shared" si="186"/>
        <v>0</v>
      </c>
      <c r="L345" s="73">
        <f t="shared" ref="L345" si="187">+I345+F345</f>
        <v>251.61370498977456</v>
      </c>
      <c r="M345" s="72">
        <f t="shared" ref="M345" ca="1" si="188">+J345+G345</f>
        <v>10016272.724951141</v>
      </c>
      <c r="N345" s="72">
        <f t="shared" ref="N345" ca="1" si="189">+K345+H345</f>
        <v>238134.61938577887</v>
      </c>
    </row>
    <row r="346" spans="3:14" ht="15.75" thickBot="1" x14ac:dyDescent="0.3">
      <c r="C346" s="62">
        <f t="shared" si="185"/>
        <v>1</v>
      </c>
      <c r="D346" s="71" t="s">
        <v>48</v>
      </c>
      <c r="E346" s="70" t="s">
        <v>56</v>
      </c>
      <c r="F346" s="69">
        <f t="shared" ref="F346:N346" si="190">SUM(F345)</f>
        <v>251.61370498977456</v>
      </c>
      <c r="G346" s="68">
        <f t="shared" ca="1" si="190"/>
        <v>10016272.724951141</v>
      </c>
      <c r="H346" s="68">
        <f t="shared" ca="1" si="190"/>
        <v>238134.61938577887</v>
      </c>
      <c r="I346" s="69">
        <f t="shared" si="190"/>
        <v>0</v>
      </c>
      <c r="J346" s="68">
        <f t="shared" si="190"/>
        <v>0</v>
      </c>
      <c r="K346" s="68">
        <f t="shared" si="190"/>
        <v>0</v>
      </c>
      <c r="L346" s="69">
        <f t="shared" si="190"/>
        <v>251.61370498977456</v>
      </c>
      <c r="M346" s="68">
        <f t="shared" ca="1" si="190"/>
        <v>10016272.724951141</v>
      </c>
      <c r="N346" s="68">
        <f t="shared" ca="1" si="190"/>
        <v>238134.61938577887</v>
      </c>
    </row>
    <row r="347" spans="3:14" ht="15.75" hidden="1" thickBot="1" x14ac:dyDescent="0.3"/>
    <row r="348" spans="3:14" x14ac:dyDescent="0.25">
      <c r="C348" s="62">
        <f>IF(E348&gt;0,1,0)</f>
        <v>1</v>
      </c>
      <c r="D348" s="936" t="str">
        <f>+A46</f>
        <v>Rensselaer</v>
      </c>
      <c r="E348" s="951">
        <f>SUMIF(A:A,D348,B:B)</f>
        <v>1.1879078473435285E-2</v>
      </c>
      <c r="F348" s="940" t="s">
        <v>106</v>
      </c>
      <c r="G348" s="941"/>
      <c r="H348" s="942"/>
      <c r="I348" s="940" t="s">
        <v>99</v>
      </c>
      <c r="J348" s="941"/>
      <c r="K348" s="942"/>
      <c r="L348" s="940" t="s">
        <v>98</v>
      </c>
      <c r="M348" s="941"/>
      <c r="N348" s="943"/>
    </row>
    <row r="349" spans="3:14" ht="30" x14ac:dyDescent="0.25">
      <c r="C349" s="62">
        <f>C348</f>
        <v>1</v>
      </c>
      <c r="D349" s="937"/>
      <c r="E349" s="952"/>
      <c r="F349" s="88" t="s">
        <v>97</v>
      </c>
      <c r="G349" s="88" t="s">
        <v>96</v>
      </c>
      <c r="H349" s="88" t="s">
        <v>95</v>
      </c>
      <c r="I349" s="88" t="s">
        <v>97</v>
      </c>
      <c r="J349" s="88" t="s">
        <v>96</v>
      </c>
      <c r="K349" s="88" t="s">
        <v>95</v>
      </c>
      <c r="L349" s="88" t="s">
        <v>97</v>
      </c>
      <c r="M349" s="88" t="s">
        <v>96</v>
      </c>
      <c r="N349" s="87" t="s">
        <v>95</v>
      </c>
    </row>
    <row r="350" spans="3:14" x14ac:dyDescent="0.25">
      <c r="C350" s="62">
        <f t="shared" ref="C350:C354" si="191">C349</f>
        <v>1</v>
      </c>
      <c r="D350" s="86"/>
      <c r="E350" s="85"/>
      <c r="F350" s="84" t="s">
        <v>57</v>
      </c>
      <c r="G350" s="84" t="s">
        <v>56</v>
      </c>
      <c r="H350" s="84" t="s">
        <v>55</v>
      </c>
      <c r="I350" s="84" t="s">
        <v>54</v>
      </c>
      <c r="J350" s="84" t="s">
        <v>53</v>
      </c>
      <c r="K350" s="84" t="s">
        <v>52</v>
      </c>
      <c r="L350" s="84" t="s">
        <v>51</v>
      </c>
      <c r="M350" s="84" t="s">
        <v>50</v>
      </c>
      <c r="N350" s="83" t="s">
        <v>49</v>
      </c>
    </row>
    <row r="351" spans="3:14" x14ac:dyDescent="0.25">
      <c r="C351" s="62">
        <f t="shared" si="191"/>
        <v>1</v>
      </c>
      <c r="D351" s="82" t="s">
        <v>26</v>
      </c>
      <c r="E351" s="80"/>
      <c r="F351" s="79"/>
      <c r="G351" s="79"/>
      <c r="H351" s="79"/>
      <c r="I351" s="79"/>
      <c r="J351" s="79"/>
      <c r="K351" s="79"/>
      <c r="L351" s="79"/>
      <c r="M351" s="79"/>
      <c r="N351" s="78"/>
    </row>
    <row r="352" spans="3:14" x14ac:dyDescent="0.25">
      <c r="C352" s="62">
        <f t="shared" si="191"/>
        <v>1</v>
      </c>
      <c r="D352" s="93" t="s">
        <v>94</v>
      </c>
      <c r="E352" s="80"/>
      <c r="F352" s="79"/>
      <c r="G352" s="79"/>
      <c r="H352" s="79"/>
      <c r="I352" s="79"/>
      <c r="J352" s="79"/>
      <c r="K352" s="79"/>
      <c r="L352" s="79"/>
      <c r="M352" s="79"/>
      <c r="N352" s="78"/>
    </row>
    <row r="353" spans="3:14" x14ac:dyDescent="0.25">
      <c r="C353" s="62">
        <f t="shared" si="191"/>
        <v>1</v>
      </c>
      <c r="D353" s="268" t="s">
        <v>105</v>
      </c>
      <c r="E353" s="76" t="s">
        <v>57</v>
      </c>
      <c r="F353" s="75">
        <f t="shared" ref="F353:K353" si="192">+F$8*$E348</f>
        <v>22.214084115198684</v>
      </c>
      <c r="G353" s="74">
        <f t="shared" ca="1" si="192"/>
        <v>884301.29369096702</v>
      </c>
      <c r="H353" s="74">
        <f t="shared" ca="1" si="192"/>
        <v>21024.063319569555</v>
      </c>
      <c r="I353" s="75">
        <f t="shared" si="192"/>
        <v>0</v>
      </c>
      <c r="J353" s="74">
        <f t="shared" si="192"/>
        <v>0</v>
      </c>
      <c r="K353" s="74">
        <f t="shared" si="192"/>
        <v>0</v>
      </c>
      <c r="L353" s="73">
        <f t="shared" ref="L353" si="193">+I353+F353</f>
        <v>22.214084115198684</v>
      </c>
      <c r="M353" s="72">
        <f t="shared" ref="M353" ca="1" si="194">+J353+G353</f>
        <v>884301.29369096702</v>
      </c>
      <c r="N353" s="72">
        <f t="shared" ref="N353" ca="1" si="195">+K353+H353</f>
        <v>21024.063319569555</v>
      </c>
    </row>
    <row r="354" spans="3:14" ht="15.75" thickBot="1" x14ac:dyDescent="0.3">
      <c r="C354" s="62">
        <f t="shared" si="191"/>
        <v>1</v>
      </c>
      <c r="D354" s="71" t="s">
        <v>48</v>
      </c>
      <c r="E354" s="70" t="s">
        <v>56</v>
      </c>
      <c r="F354" s="69">
        <f t="shared" ref="F354:N354" si="196">SUM(F353)</f>
        <v>22.214084115198684</v>
      </c>
      <c r="G354" s="68">
        <f t="shared" ca="1" si="196"/>
        <v>884301.29369096702</v>
      </c>
      <c r="H354" s="68">
        <f t="shared" ca="1" si="196"/>
        <v>21024.063319569555</v>
      </c>
      <c r="I354" s="69">
        <f t="shared" si="196"/>
        <v>0</v>
      </c>
      <c r="J354" s="68">
        <f t="shared" si="196"/>
        <v>0</v>
      </c>
      <c r="K354" s="68">
        <f t="shared" si="196"/>
        <v>0</v>
      </c>
      <c r="L354" s="69">
        <f t="shared" si="196"/>
        <v>22.214084115198684</v>
      </c>
      <c r="M354" s="68">
        <f t="shared" ca="1" si="196"/>
        <v>884301.29369096702</v>
      </c>
      <c r="N354" s="68">
        <f t="shared" ca="1" si="196"/>
        <v>21024.063319569555</v>
      </c>
    </row>
    <row r="355" spans="3:14" ht="15.75" hidden="1" thickBot="1" x14ac:dyDescent="0.3"/>
    <row r="356" spans="3:14" x14ac:dyDescent="0.25">
      <c r="C356" s="62">
        <f>IF(E356&gt;0,1,0)</f>
        <v>1</v>
      </c>
      <c r="D356" s="936" t="str">
        <f>+A47</f>
        <v>Richmond</v>
      </c>
      <c r="E356" s="951">
        <f>SUMIF(A:A,D356,B:B)</f>
        <v>6.7007910925224526E-2</v>
      </c>
      <c r="F356" s="940" t="s">
        <v>106</v>
      </c>
      <c r="G356" s="941"/>
      <c r="H356" s="942"/>
      <c r="I356" s="940" t="s">
        <v>99</v>
      </c>
      <c r="J356" s="941"/>
      <c r="K356" s="942"/>
      <c r="L356" s="940" t="s">
        <v>98</v>
      </c>
      <c r="M356" s="941"/>
      <c r="N356" s="943"/>
    </row>
    <row r="357" spans="3:14" ht="30" x14ac:dyDescent="0.25">
      <c r="C357" s="62">
        <f>C356</f>
        <v>1</v>
      </c>
      <c r="D357" s="937"/>
      <c r="E357" s="952"/>
      <c r="F357" s="88" t="s">
        <v>97</v>
      </c>
      <c r="G357" s="88" t="s">
        <v>96</v>
      </c>
      <c r="H357" s="88" t="s">
        <v>95</v>
      </c>
      <c r="I357" s="88" t="s">
        <v>97</v>
      </c>
      <c r="J357" s="88" t="s">
        <v>96</v>
      </c>
      <c r="K357" s="88" t="s">
        <v>95</v>
      </c>
      <c r="L357" s="88" t="s">
        <v>97</v>
      </c>
      <c r="M357" s="88" t="s">
        <v>96</v>
      </c>
      <c r="N357" s="87" t="s">
        <v>95</v>
      </c>
    </row>
    <row r="358" spans="3:14" x14ac:dyDescent="0.25">
      <c r="C358" s="62">
        <f t="shared" ref="C358:C362" si="197">C357</f>
        <v>1</v>
      </c>
      <c r="D358" s="86"/>
      <c r="E358" s="85"/>
      <c r="F358" s="84" t="s">
        <v>57</v>
      </c>
      <c r="G358" s="84" t="s">
        <v>56</v>
      </c>
      <c r="H358" s="84" t="s">
        <v>55</v>
      </c>
      <c r="I358" s="84" t="s">
        <v>54</v>
      </c>
      <c r="J358" s="84" t="s">
        <v>53</v>
      </c>
      <c r="K358" s="84" t="s">
        <v>52</v>
      </c>
      <c r="L358" s="84" t="s">
        <v>51</v>
      </c>
      <c r="M358" s="84" t="s">
        <v>50</v>
      </c>
      <c r="N358" s="83" t="s">
        <v>49</v>
      </c>
    </row>
    <row r="359" spans="3:14" x14ac:dyDescent="0.25">
      <c r="C359" s="62">
        <f t="shared" si="197"/>
        <v>1</v>
      </c>
      <c r="D359" s="82" t="s">
        <v>26</v>
      </c>
      <c r="E359" s="80"/>
      <c r="F359" s="79"/>
      <c r="G359" s="79"/>
      <c r="H359" s="79"/>
      <c r="I359" s="79"/>
      <c r="J359" s="79"/>
      <c r="K359" s="79"/>
      <c r="L359" s="79"/>
      <c r="M359" s="79"/>
      <c r="N359" s="78"/>
    </row>
    <row r="360" spans="3:14" x14ac:dyDescent="0.25">
      <c r="C360" s="62">
        <f t="shared" si="197"/>
        <v>1</v>
      </c>
      <c r="D360" s="93" t="s">
        <v>94</v>
      </c>
      <c r="E360" s="80"/>
      <c r="F360" s="79"/>
      <c r="G360" s="79"/>
      <c r="H360" s="79"/>
      <c r="I360" s="79"/>
      <c r="J360" s="79"/>
      <c r="K360" s="79"/>
      <c r="L360" s="79"/>
      <c r="M360" s="79"/>
      <c r="N360" s="78"/>
    </row>
    <row r="361" spans="3:14" x14ac:dyDescent="0.25">
      <c r="C361" s="62">
        <f t="shared" si="197"/>
        <v>1</v>
      </c>
      <c r="D361" s="268" t="s">
        <v>105</v>
      </c>
      <c r="E361" s="76" t="s">
        <v>57</v>
      </c>
      <c r="F361" s="75">
        <f t="shared" ref="F361:K361" si="198">+F$8*$E356</f>
        <v>125.30596316923031</v>
      </c>
      <c r="G361" s="74">
        <f t="shared" ca="1" si="198"/>
        <v>4988196.8918056358</v>
      </c>
      <c r="H361" s="74">
        <f t="shared" ca="1" si="198"/>
        <v>118593.25328596769</v>
      </c>
      <c r="I361" s="75">
        <f t="shared" si="198"/>
        <v>0</v>
      </c>
      <c r="J361" s="74">
        <f t="shared" si="198"/>
        <v>0</v>
      </c>
      <c r="K361" s="74">
        <f t="shared" si="198"/>
        <v>0</v>
      </c>
      <c r="L361" s="73">
        <f t="shared" ref="L361" si="199">+I361+F361</f>
        <v>125.30596316923031</v>
      </c>
      <c r="M361" s="72">
        <f t="shared" ref="M361" ca="1" si="200">+J361+G361</f>
        <v>4988196.8918056358</v>
      </c>
      <c r="N361" s="72">
        <f t="shared" ref="N361" ca="1" si="201">+K361+H361</f>
        <v>118593.25328596769</v>
      </c>
    </row>
    <row r="362" spans="3:14" ht="15.75" thickBot="1" x14ac:dyDescent="0.3">
      <c r="C362" s="62">
        <f t="shared" si="197"/>
        <v>1</v>
      </c>
      <c r="D362" s="71" t="s">
        <v>48</v>
      </c>
      <c r="E362" s="70" t="s">
        <v>56</v>
      </c>
      <c r="F362" s="69">
        <f t="shared" ref="F362:N362" si="202">SUM(F361)</f>
        <v>125.30596316923031</v>
      </c>
      <c r="G362" s="68">
        <f t="shared" ca="1" si="202"/>
        <v>4988196.8918056358</v>
      </c>
      <c r="H362" s="68">
        <f t="shared" ca="1" si="202"/>
        <v>118593.25328596769</v>
      </c>
      <c r="I362" s="69">
        <f t="shared" si="202"/>
        <v>0</v>
      </c>
      <c r="J362" s="68">
        <f t="shared" si="202"/>
        <v>0</v>
      </c>
      <c r="K362" s="68">
        <f t="shared" si="202"/>
        <v>0</v>
      </c>
      <c r="L362" s="69">
        <f t="shared" si="202"/>
        <v>125.30596316923031</v>
      </c>
      <c r="M362" s="68">
        <f t="shared" ca="1" si="202"/>
        <v>4988196.8918056358</v>
      </c>
      <c r="N362" s="68">
        <f t="shared" ca="1" si="202"/>
        <v>118593.25328596769</v>
      </c>
    </row>
    <row r="363" spans="3:14" ht="15.75" hidden="1" thickBot="1" x14ac:dyDescent="0.3"/>
    <row r="364" spans="3:14" x14ac:dyDescent="0.25">
      <c r="C364" s="62">
        <f>IF(E364&gt;0,1,0)</f>
        <v>1</v>
      </c>
      <c r="D364" s="936" t="str">
        <f>+A48</f>
        <v>Rockland</v>
      </c>
      <c r="E364" s="951">
        <f>SUMIF(A:A,D364,B:B)</f>
        <v>8.6451829716716073E-3</v>
      </c>
      <c r="F364" s="940" t="s">
        <v>106</v>
      </c>
      <c r="G364" s="941"/>
      <c r="H364" s="942"/>
      <c r="I364" s="940" t="s">
        <v>99</v>
      </c>
      <c r="J364" s="941"/>
      <c r="K364" s="942"/>
      <c r="L364" s="940" t="s">
        <v>98</v>
      </c>
      <c r="M364" s="941"/>
      <c r="N364" s="943"/>
    </row>
    <row r="365" spans="3:14" ht="30" x14ac:dyDescent="0.25">
      <c r="C365" s="62">
        <f>C364</f>
        <v>1</v>
      </c>
      <c r="D365" s="937"/>
      <c r="E365" s="952"/>
      <c r="F365" s="88" t="s">
        <v>97</v>
      </c>
      <c r="G365" s="88" t="s">
        <v>96</v>
      </c>
      <c r="H365" s="88" t="s">
        <v>95</v>
      </c>
      <c r="I365" s="88" t="s">
        <v>97</v>
      </c>
      <c r="J365" s="88" t="s">
        <v>96</v>
      </c>
      <c r="K365" s="88" t="s">
        <v>95</v>
      </c>
      <c r="L365" s="88" t="s">
        <v>97</v>
      </c>
      <c r="M365" s="88" t="s">
        <v>96</v>
      </c>
      <c r="N365" s="87" t="s">
        <v>95</v>
      </c>
    </row>
    <row r="366" spans="3:14" x14ac:dyDescent="0.25">
      <c r="C366" s="62">
        <f t="shared" ref="C366:C370" si="203">C365</f>
        <v>1</v>
      </c>
      <c r="D366" s="86"/>
      <c r="E366" s="85"/>
      <c r="F366" s="84" t="s">
        <v>57</v>
      </c>
      <c r="G366" s="84" t="s">
        <v>56</v>
      </c>
      <c r="H366" s="84" t="s">
        <v>55</v>
      </c>
      <c r="I366" s="84" t="s">
        <v>54</v>
      </c>
      <c r="J366" s="84" t="s">
        <v>53</v>
      </c>
      <c r="K366" s="84" t="s">
        <v>52</v>
      </c>
      <c r="L366" s="84" t="s">
        <v>51</v>
      </c>
      <c r="M366" s="84" t="s">
        <v>50</v>
      </c>
      <c r="N366" s="83" t="s">
        <v>49</v>
      </c>
    </row>
    <row r="367" spans="3:14" x14ac:dyDescent="0.25">
      <c r="C367" s="62">
        <f t="shared" si="203"/>
        <v>1</v>
      </c>
      <c r="D367" s="82" t="s">
        <v>26</v>
      </c>
      <c r="E367" s="80"/>
      <c r="F367" s="79"/>
      <c r="G367" s="79"/>
      <c r="H367" s="79"/>
      <c r="I367" s="79"/>
      <c r="J367" s="79"/>
      <c r="K367" s="79"/>
      <c r="L367" s="79"/>
      <c r="M367" s="79"/>
      <c r="N367" s="78"/>
    </row>
    <row r="368" spans="3:14" x14ac:dyDescent="0.25">
      <c r="C368" s="62">
        <f t="shared" si="203"/>
        <v>1</v>
      </c>
      <c r="D368" s="93" t="s">
        <v>94</v>
      </c>
      <c r="E368" s="80"/>
      <c r="F368" s="79"/>
      <c r="G368" s="79"/>
      <c r="H368" s="79"/>
      <c r="I368" s="79"/>
      <c r="J368" s="79"/>
      <c r="K368" s="79"/>
      <c r="L368" s="79"/>
      <c r="M368" s="79"/>
      <c r="N368" s="78"/>
    </row>
    <row r="369" spans="3:14" x14ac:dyDescent="0.25">
      <c r="C369" s="62">
        <f t="shared" si="203"/>
        <v>1</v>
      </c>
      <c r="D369" s="268" t="s">
        <v>105</v>
      </c>
      <c r="E369" s="76" t="s">
        <v>57</v>
      </c>
      <c r="F369" s="75">
        <f t="shared" ref="F369:K369" si="204">+F$8*$E364</f>
        <v>16.166643073657497</v>
      </c>
      <c r="G369" s="74">
        <f t="shared" ca="1" si="204"/>
        <v>643563.93495845771</v>
      </c>
      <c r="H369" s="74">
        <f t="shared" ca="1" si="204"/>
        <v>15300.587045716054</v>
      </c>
      <c r="I369" s="75">
        <f t="shared" si="204"/>
        <v>0</v>
      </c>
      <c r="J369" s="74">
        <f t="shared" si="204"/>
        <v>0</v>
      </c>
      <c r="K369" s="74">
        <f t="shared" si="204"/>
        <v>0</v>
      </c>
      <c r="L369" s="73">
        <f t="shared" ref="L369" si="205">+I369+F369</f>
        <v>16.166643073657497</v>
      </c>
      <c r="M369" s="72">
        <f t="shared" ref="M369" ca="1" si="206">+J369+G369</f>
        <v>643563.93495845771</v>
      </c>
      <c r="N369" s="72">
        <f t="shared" ref="N369" ca="1" si="207">+K369+H369</f>
        <v>15300.587045716054</v>
      </c>
    </row>
    <row r="370" spans="3:14" ht="15.75" thickBot="1" x14ac:dyDescent="0.3">
      <c r="C370" s="62">
        <f t="shared" si="203"/>
        <v>1</v>
      </c>
      <c r="D370" s="71" t="s">
        <v>48</v>
      </c>
      <c r="E370" s="70" t="s">
        <v>56</v>
      </c>
      <c r="F370" s="69">
        <f t="shared" ref="F370:N370" si="208">SUM(F369)</f>
        <v>16.166643073657497</v>
      </c>
      <c r="G370" s="68">
        <f t="shared" ca="1" si="208"/>
        <v>643563.93495845771</v>
      </c>
      <c r="H370" s="68">
        <f t="shared" ca="1" si="208"/>
        <v>15300.587045716054</v>
      </c>
      <c r="I370" s="69">
        <f t="shared" si="208"/>
        <v>0</v>
      </c>
      <c r="J370" s="68">
        <f t="shared" si="208"/>
        <v>0</v>
      </c>
      <c r="K370" s="68">
        <f t="shared" si="208"/>
        <v>0</v>
      </c>
      <c r="L370" s="69">
        <f t="shared" si="208"/>
        <v>16.166643073657497</v>
      </c>
      <c r="M370" s="68">
        <f t="shared" ca="1" si="208"/>
        <v>643563.93495845771</v>
      </c>
      <c r="N370" s="68">
        <f t="shared" ca="1" si="208"/>
        <v>15300.587045716054</v>
      </c>
    </row>
    <row r="371" spans="3:14" ht="15.75" hidden="1" thickBot="1" x14ac:dyDescent="0.3"/>
    <row r="372" spans="3:14" x14ac:dyDescent="0.25">
      <c r="C372" s="62">
        <f>IF(E372&gt;0,1,0)</f>
        <v>1</v>
      </c>
      <c r="D372" s="936" t="str">
        <f>+A49</f>
        <v>Saint Lawrence</v>
      </c>
      <c r="E372" s="951">
        <f>SUMIF(A:A,D372,B:B)</f>
        <v>2.5221917468452523E-3</v>
      </c>
      <c r="F372" s="940" t="s">
        <v>106</v>
      </c>
      <c r="G372" s="941"/>
      <c r="H372" s="942"/>
      <c r="I372" s="940" t="s">
        <v>99</v>
      </c>
      <c r="J372" s="941"/>
      <c r="K372" s="942"/>
      <c r="L372" s="940" t="s">
        <v>98</v>
      </c>
      <c r="M372" s="941"/>
      <c r="N372" s="943"/>
    </row>
    <row r="373" spans="3:14" ht="30" x14ac:dyDescent="0.25">
      <c r="C373" s="62">
        <f>C372</f>
        <v>1</v>
      </c>
      <c r="D373" s="937"/>
      <c r="E373" s="952"/>
      <c r="F373" s="88" t="s">
        <v>97</v>
      </c>
      <c r="G373" s="88" t="s">
        <v>96</v>
      </c>
      <c r="H373" s="88" t="s">
        <v>95</v>
      </c>
      <c r="I373" s="88" t="s">
        <v>97</v>
      </c>
      <c r="J373" s="88" t="s">
        <v>96</v>
      </c>
      <c r="K373" s="88" t="s">
        <v>95</v>
      </c>
      <c r="L373" s="88" t="s">
        <v>97</v>
      </c>
      <c r="M373" s="88" t="s">
        <v>96</v>
      </c>
      <c r="N373" s="87" t="s">
        <v>95</v>
      </c>
    </row>
    <row r="374" spans="3:14" x14ac:dyDescent="0.25">
      <c r="C374" s="62">
        <f t="shared" ref="C374:C378" si="209">C373</f>
        <v>1</v>
      </c>
      <c r="D374" s="86"/>
      <c r="E374" s="85"/>
      <c r="F374" s="84" t="s">
        <v>57</v>
      </c>
      <c r="G374" s="84" t="s">
        <v>56</v>
      </c>
      <c r="H374" s="84" t="s">
        <v>55</v>
      </c>
      <c r="I374" s="84" t="s">
        <v>54</v>
      </c>
      <c r="J374" s="84" t="s">
        <v>53</v>
      </c>
      <c r="K374" s="84" t="s">
        <v>52</v>
      </c>
      <c r="L374" s="84" t="s">
        <v>51</v>
      </c>
      <c r="M374" s="84" t="s">
        <v>50</v>
      </c>
      <c r="N374" s="83" t="s">
        <v>49</v>
      </c>
    </row>
    <row r="375" spans="3:14" x14ac:dyDescent="0.25">
      <c r="C375" s="62">
        <f t="shared" si="209"/>
        <v>1</v>
      </c>
      <c r="D375" s="82" t="s">
        <v>26</v>
      </c>
      <c r="E375" s="80"/>
      <c r="F375" s="79"/>
      <c r="G375" s="79"/>
      <c r="H375" s="79"/>
      <c r="I375" s="79"/>
      <c r="J375" s="79"/>
      <c r="K375" s="79"/>
      <c r="L375" s="79"/>
      <c r="M375" s="79"/>
      <c r="N375" s="78"/>
    </row>
    <row r="376" spans="3:14" x14ac:dyDescent="0.25">
      <c r="C376" s="62">
        <f t="shared" si="209"/>
        <v>1</v>
      </c>
      <c r="D376" s="93" t="s">
        <v>94</v>
      </c>
      <c r="E376" s="80"/>
      <c r="F376" s="79"/>
      <c r="G376" s="79"/>
      <c r="H376" s="79"/>
      <c r="I376" s="79"/>
      <c r="J376" s="79"/>
      <c r="K376" s="79"/>
      <c r="L376" s="79"/>
      <c r="M376" s="79"/>
      <c r="N376" s="78"/>
    </row>
    <row r="377" spans="3:14" x14ac:dyDescent="0.25">
      <c r="C377" s="62">
        <f t="shared" si="209"/>
        <v>1</v>
      </c>
      <c r="D377" s="268" t="s">
        <v>105</v>
      </c>
      <c r="E377" s="76" t="s">
        <v>57</v>
      </c>
      <c r="F377" s="75">
        <f t="shared" ref="F377:K377" si="210">+F$8*$E372</f>
        <v>4.7165425958228955</v>
      </c>
      <c r="G377" s="74">
        <f t="shared" ca="1" si="210"/>
        <v>187756.77167716686</v>
      </c>
      <c r="H377" s="74">
        <f t="shared" ca="1" si="210"/>
        <v>4463.8747953683351</v>
      </c>
      <c r="I377" s="75">
        <f t="shared" si="210"/>
        <v>0</v>
      </c>
      <c r="J377" s="74">
        <f t="shared" si="210"/>
        <v>0</v>
      </c>
      <c r="K377" s="74">
        <f t="shared" si="210"/>
        <v>0</v>
      </c>
      <c r="L377" s="73">
        <f t="shared" ref="L377" si="211">+I377+F377</f>
        <v>4.7165425958228955</v>
      </c>
      <c r="M377" s="72">
        <f t="shared" ref="M377" ca="1" si="212">+J377+G377</f>
        <v>187756.77167716686</v>
      </c>
      <c r="N377" s="72">
        <f t="shared" ref="N377" ca="1" si="213">+K377+H377</f>
        <v>4463.8747953683351</v>
      </c>
    </row>
    <row r="378" spans="3:14" ht="15.75" thickBot="1" x14ac:dyDescent="0.3">
      <c r="C378" s="62">
        <f t="shared" si="209"/>
        <v>1</v>
      </c>
      <c r="D378" s="71" t="s">
        <v>48</v>
      </c>
      <c r="E378" s="70" t="s">
        <v>56</v>
      </c>
      <c r="F378" s="69">
        <f t="shared" ref="F378:N378" si="214">SUM(F377)</f>
        <v>4.7165425958228955</v>
      </c>
      <c r="G378" s="68">
        <f t="shared" ca="1" si="214"/>
        <v>187756.77167716686</v>
      </c>
      <c r="H378" s="68">
        <f t="shared" ca="1" si="214"/>
        <v>4463.8747953683351</v>
      </c>
      <c r="I378" s="69">
        <f t="shared" si="214"/>
        <v>0</v>
      </c>
      <c r="J378" s="68">
        <f t="shared" si="214"/>
        <v>0</v>
      </c>
      <c r="K378" s="68">
        <f t="shared" si="214"/>
        <v>0</v>
      </c>
      <c r="L378" s="69">
        <f t="shared" si="214"/>
        <v>4.7165425958228955</v>
      </c>
      <c r="M378" s="68">
        <f t="shared" ca="1" si="214"/>
        <v>187756.77167716686</v>
      </c>
      <c r="N378" s="68">
        <f t="shared" ca="1" si="214"/>
        <v>4463.8747953683351</v>
      </c>
    </row>
    <row r="379" spans="3:14" ht="15.75" hidden="1" thickBot="1" x14ac:dyDescent="0.3"/>
    <row r="380" spans="3:14" x14ac:dyDescent="0.25">
      <c r="C380" s="62">
        <f>IF(E380&gt;0,1,0)</f>
        <v>1</v>
      </c>
      <c r="D380" s="936" t="str">
        <f>+A50</f>
        <v>Saratoga</v>
      </c>
      <c r="E380" s="951">
        <f>SUMIF(A:A,D380,B:B)</f>
        <v>6.3457038660819764E-3</v>
      </c>
      <c r="F380" s="940" t="s">
        <v>106</v>
      </c>
      <c r="G380" s="941"/>
      <c r="H380" s="942"/>
      <c r="I380" s="940" t="s">
        <v>99</v>
      </c>
      <c r="J380" s="941"/>
      <c r="K380" s="942"/>
      <c r="L380" s="940" t="s">
        <v>98</v>
      </c>
      <c r="M380" s="941"/>
      <c r="N380" s="943"/>
    </row>
    <row r="381" spans="3:14" ht="30" x14ac:dyDescent="0.25">
      <c r="C381" s="62">
        <f>C380</f>
        <v>1</v>
      </c>
      <c r="D381" s="937"/>
      <c r="E381" s="952"/>
      <c r="F381" s="88" t="s">
        <v>97</v>
      </c>
      <c r="G381" s="88" t="s">
        <v>96</v>
      </c>
      <c r="H381" s="88" t="s">
        <v>95</v>
      </c>
      <c r="I381" s="88" t="s">
        <v>97</v>
      </c>
      <c r="J381" s="88" t="s">
        <v>96</v>
      </c>
      <c r="K381" s="88" t="s">
        <v>95</v>
      </c>
      <c r="L381" s="88" t="s">
        <v>97</v>
      </c>
      <c r="M381" s="88" t="s">
        <v>96</v>
      </c>
      <c r="N381" s="87" t="s">
        <v>95</v>
      </c>
    </row>
    <row r="382" spans="3:14" x14ac:dyDescent="0.25">
      <c r="C382" s="62">
        <f t="shared" ref="C382:C386" si="215">C381</f>
        <v>1</v>
      </c>
      <c r="D382" s="86"/>
      <c r="E382" s="85"/>
      <c r="F382" s="84" t="s">
        <v>57</v>
      </c>
      <c r="G382" s="84" t="s">
        <v>56</v>
      </c>
      <c r="H382" s="84" t="s">
        <v>55</v>
      </c>
      <c r="I382" s="84" t="s">
        <v>54</v>
      </c>
      <c r="J382" s="84" t="s">
        <v>53</v>
      </c>
      <c r="K382" s="84" t="s">
        <v>52</v>
      </c>
      <c r="L382" s="84" t="s">
        <v>51</v>
      </c>
      <c r="M382" s="84" t="s">
        <v>50</v>
      </c>
      <c r="N382" s="83" t="s">
        <v>49</v>
      </c>
    </row>
    <row r="383" spans="3:14" x14ac:dyDescent="0.25">
      <c r="C383" s="62">
        <f t="shared" si="215"/>
        <v>1</v>
      </c>
      <c r="D383" s="82" t="s">
        <v>26</v>
      </c>
      <c r="E383" s="80"/>
      <c r="F383" s="79"/>
      <c r="G383" s="79"/>
      <c r="H383" s="79"/>
      <c r="I383" s="79"/>
      <c r="J383" s="79"/>
      <c r="K383" s="79"/>
      <c r="L383" s="79"/>
      <c r="M383" s="79"/>
      <c r="N383" s="78"/>
    </row>
    <row r="384" spans="3:14" x14ac:dyDescent="0.25">
      <c r="C384" s="62">
        <f t="shared" si="215"/>
        <v>1</v>
      </c>
      <c r="D384" s="93" t="s">
        <v>94</v>
      </c>
      <c r="E384" s="80"/>
      <c r="F384" s="79"/>
      <c r="G384" s="79"/>
      <c r="H384" s="79"/>
      <c r="I384" s="79"/>
      <c r="J384" s="79"/>
      <c r="K384" s="79"/>
      <c r="L384" s="79"/>
      <c r="M384" s="79"/>
      <c r="N384" s="78"/>
    </row>
    <row r="385" spans="3:14" x14ac:dyDescent="0.25">
      <c r="C385" s="62">
        <f t="shared" si="215"/>
        <v>1</v>
      </c>
      <c r="D385" s="268" t="s">
        <v>105</v>
      </c>
      <c r="E385" s="76" t="s">
        <v>57</v>
      </c>
      <c r="F385" s="75">
        <f t="shared" ref="F385:K385" si="216">+F$8*$E380</f>
        <v>11.866577004817229</v>
      </c>
      <c r="G385" s="74">
        <f t="shared" ca="1" si="216"/>
        <v>472386.31773540936</v>
      </c>
      <c r="H385" s="74">
        <f t="shared" ca="1" si="216"/>
        <v>11230.87789899611</v>
      </c>
      <c r="I385" s="75">
        <f t="shared" si="216"/>
        <v>0</v>
      </c>
      <c r="J385" s="74">
        <f t="shared" si="216"/>
        <v>0</v>
      </c>
      <c r="K385" s="74">
        <f t="shared" si="216"/>
        <v>0</v>
      </c>
      <c r="L385" s="73">
        <f t="shared" ref="L385" si="217">+I385+F385</f>
        <v>11.866577004817229</v>
      </c>
      <c r="M385" s="72">
        <f t="shared" ref="M385" ca="1" si="218">+J385+G385</f>
        <v>472386.31773540936</v>
      </c>
      <c r="N385" s="72">
        <f t="shared" ref="N385" ca="1" si="219">+K385+H385</f>
        <v>11230.87789899611</v>
      </c>
    </row>
    <row r="386" spans="3:14" ht="15.75" thickBot="1" x14ac:dyDescent="0.3">
      <c r="C386" s="62">
        <f t="shared" si="215"/>
        <v>1</v>
      </c>
      <c r="D386" s="71" t="s">
        <v>48</v>
      </c>
      <c r="E386" s="70" t="s">
        <v>56</v>
      </c>
      <c r="F386" s="69">
        <f t="shared" ref="F386:N386" si="220">SUM(F385)</f>
        <v>11.866577004817229</v>
      </c>
      <c r="G386" s="68">
        <f t="shared" ca="1" si="220"/>
        <v>472386.31773540936</v>
      </c>
      <c r="H386" s="68">
        <f t="shared" ca="1" si="220"/>
        <v>11230.87789899611</v>
      </c>
      <c r="I386" s="69">
        <f t="shared" si="220"/>
        <v>0</v>
      </c>
      <c r="J386" s="68">
        <f t="shared" si="220"/>
        <v>0</v>
      </c>
      <c r="K386" s="68">
        <f t="shared" si="220"/>
        <v>0</v>
      </c>
      <c r="L386" s="69">
        <f t="shared" si="220"/>
        <v>11.866577004817229</v>
      </c>
      <c r="M386" s="68">
        <f t="shared" ca="1" si="220"/>
        <v>472386.31773540936</v>
      </c>
      <c r="N386" s="68">
        <f t="shared" ca="1" si="220"/>
        <v>11230.87789899611</v>
      </c>
    </row>
    <row r="387" spans="3:14" ht="15.75" hidden="1" thickBot="1" x14ac:dyDescent="0.3"/>
    <row r="388" spans="3:14" x14ac:dyDescent="0.25">
      <c r="C388" s="62">
        <f>IF(E388&gt;0,1,0)</f>
        <v>1</v>
      </c>
      <c r="D388" s="936" t="str">
        <f>+A51</f>
        <v>Schenectady</v>
      </c>
      <c r="E388" s="951">
        <f>SUMIF(A:A,D388,B:B)</f>
        <v>3.6612583135718163E-2</v>
      </c>
      <c r="F388" s="940" t="s">
        <v>106</v>
      </c>
      <c r="G388" s="941"/>
      <c r="H388" s="942"/>
      <c r="I388" s="940" t="s">
        <v>99</v>
      </c>
      <c r="J388" s="941"/>
      <c r="K388" s="942"/>
      <c r="L388" s="940" t="s">
        <v>98</v>
      </c>
      <c r="M388" s="941"/>
      <c r="N388" s="943"/>
    </row>
    <row r="389" spans="3:14" ht="30" x14ac:dyDescent="0.25">
      <c r="C389" s="62">
        <f>C388</f>
        <v>1</v>
      </c>
      <c r="D389" s="937"/>
      <c r="E389" s="952"/>
      <c r="F389" s="88" t="s">
        <v>97</v>
      </c>
      <c r="G389" s="88" t="s">
        <v>96</v>
      </c>
      <c r="H389" s="88" t="s">
        <v>95</v>
      </c>
      <c r="I389" s="88" t="s">
        <v>97</v>
      </c>
      <c r="J389" s="88" t="s">
        <v>96</v>
      </c>
      <c r="K389" s="88" t="s">
        <v>95</v>
      </c>
      <c r="L389" s="88" t="s">
        <v>97</v>
      </c>
      <c r="M389" s="88" t="s">
        <v>96</v>
      </c>
      <c r="N389" s="87" t="s">
        <v>95</v>
      </c>
    </row>
    <row r="390" spans="3:14" x14ac:dyDescent="0.25">
      <c r="C390" s="62">
        <f t="shared" ref="C390:C394" si="221">C389</f>
        <v>1</v>
      </c>
      <c r="D390" s="86"/>
      <c r="E390" s="85"/>
      <c r="F390" s="84" t="s">
        <v>57</v>
      </c>
      <c r="G390" s="84" t="s">
        <v>56</v>
      </c>
      <c r="H390" s="84" t="s">
        <v>55</v>
      </c>
      <c r="I390" s="84" t="s">
        <v>54</v>
      </c>
      <c r="J390" s="84" t="s">
        <v>53</v>
      </c>
      <c r="K390" s="84" t="s">
        <v>52</v>
      </c>
      <c r="L390" s="84" t="s">
        <v>51</v>
      </c>
      <c r="M390" s="84" t="s">
        <v>50</v>
      </c>
      <c r="N390" s="83" t="s">
        <v>49</v>
      </c>
    </row>
    <row r="391" spans="3:14" x14ac:dyDescent="0.25">
      <c r="C391" s="62">
        <f t="shared" si="221"/>
        <v>1</v>
      </c>
      <c r="D391" s="82" t="s">
        <v>26</v>
      </c>
      <c r="E391" s="80"/>
      <c r="F391" s="79"/>
      <c r="G391" s="79"/>
      <c r="H391" s="79"/>
      <c r="I391" s="79"/>
      <c r="J391" s="79"/>
      <c r="K391" s="79"/>
      <c r="L391" s="79"/>
      <c r="M391" s="79"/>
      <c r="N391" s="78"/>
    </row>
    <row r="392" spans="3:14" x14ac:dyDescent="0.25">
      <c r="C392" s="62">
        <f t="shared" si="221"/>
        <v>1</v>
      </c>
      <c r="D392" s="93" t="s">
        <v>94</v>
      </c>
      <c r="E392" s="80"/>
      <c r="F392" s="79"/>
      <c r="G392" s="79"/>
      <c r="H392" s="79"/>
      <c r="I392" s="79"/>
      <c r="J392" s="79"/>
      <c r="K392" s="79"/>
      <c r="L392" s="79"/>
      <c r="M392" s="79"/>
      <c r="N392" s="78"/>
    </row>
    <row r="393" spans="3:14" x14ac:dyDescent="0.25">
      <c r="C393" s="62">
        <f t="shared" si="221"/>
        <v>1</v>
      </c>
      <c r="D393" s="268" t="s">
        <v>105</v>
      </c>
      <c r="E393" s="76" t="s">
        <v>57</v>
      </c>
      <c r="F393" s="75">
        <f t="shared" ref="F393:K393" si="222">+F$8*$E388</f>
        <v>68.466169599799542</v>
      </c>
      <c r="G393" s="74">
        <f t="shared" ca="1" si="222"/>
        <v>2725510.6281759199</v>
      </c>
      <c r="H393" s="74">
        <f t="shared" ca="1" si="222"/>
        <v>64798.398954910022</v>
      </c>
      <c r="I393" s="75">
        <f t="shared" si="222"/>
        <v>0</v>
      </c>
      <c r="J393" s="74">
        <f t="shared" si="222"/>
        <v>0</v>
      </c>
      <c r="K393" s="74">
        <f t="shared" si="222"/>
        <v>0</v>
      </c>
      <c r="L393" s="73">
        <f t="shared" ref="L393" si="223">+I393+F393</f>
        <v>68.466169599799542</v>
      </c>
      <c r="M393" s="72">
        <f t="shared" ref="M393" ca="1" si="224">+J393+G393</f>
        <v>2725510.6281759199</v>
      </c>
      <c r="N393" s="72">
        <f t="shared" ref="N393" ca="1" si="225">+K393+H393</f>
        <v>64798.398954910022</v>
      </c>
    </row>
    <row r="394" spans="3:14" ht="15.75" thickBot="1" x14ac:dyDescent="0.3">
      <c r="C394" s="62">
        <f t="shared" si="221"/>
        <v>1</v>
      </c>
      <c r="D394" s="71" t="s">
        <v>48</v>
      </c>
      <c r="E394" s="70" t="s">
        <v>56</v>
      </c>
      <c r="F394" s="69">
        <f t="shared" ref="F394:N394" si="226">SUM(F393)</f>
        <v>68.466169599799542</v>
      </c>
      <c r="G394" s="68">
        <f t="shared" ca="1" si="226"/>
        <v>2725510.6281759199</v>
      </c>
      <c r="H394" s="68">
        <f t="shared" ca="1" si="226"/>
        <v>64798.398954910022</v>
      </c>
      <c r="I394" s="69">
        <f t="shared" si="226"/>
        <v>0</v>
      </c>
      <c r="J394" s="68">
        <f t="shared" si="226"/>
        <v>0</v>
      </c>
      <c r="K394" s="68">
        <f t="shared" si="226"/>
        <v>0</v>
      </c>
      <c r="L394" s="69">
        <f t="shared" si="226"/>
        <v>68.466169599799542</v>
      </c>
      <c r="M394" s="68">
        <f t="shared" ca="1" si="226"/>
        <v>2725510.6281759199</v>
      </c>
      <c r="N394" s="68">
        <f t="shared" ca="1" si="226"/>
        <v>64798.398954910022</v>
      </c>
    </row>
    <row r="395" spans="3:14" ht="15.75" hidden="1" thickBot="1" x14ac:dyDescent="0.3"/>
    <row r="396" spans="3:14" x14ac:dyDescent="0.25">
      <c r="C396" s="62">
        <f>IF(E396&gt;0,1,0)</f>
        <v>1</v>
      </c>
      <c r="D396" s="936" t="str">
        <f>+A52</f>
        <v>Schoharie</v>
      </c>
      <c r="E396" s="951">
        <f>SUMIF(A:A,D396,B:B)</f>
        <v>2.3823698462762297E-3</v>
      </c>
      <c r="F396" s="940" t="s">
        <v>106</v>
      </c>
      <c r="G396" s="941"/>
      <c r="H396" s="942"/>
      <c r="I396" s="940" t="s">
        <v>99</v>
      </c>
      <c r="J396" s="941"/>
      <c r="K396" s="942"/>
      <c r="L396" s="940" t="s">
        <v>98</v>
      </c>
      <c r="M396" s="941"/>
      <c r="N396" s="943"/>
    </row>
    <row r="397" spans="3:14" ht="30" x14ac:dyDescent="0.25">
      <c r="C397" s="62">
        <f>C396</f>
        <v>1</v>
      </c>
      <c r="D397" s="937"/>
      <c r="E397" s="952"/>
      <c r="F397" s="88" t="s">
        <v>97</v>
      </c>
      <c r="G397" s="88" t="s">
        <v>96</v>
      </c>
      <c r="H397" s="88" t="s">
        <v>95</v>
      </c>
      <c r="I397" s="88" t="s">
        <v>97</v>
      </c>
      <c r="J397" s="88" t="s">
        <v>96</v>
      </c>
      <c r="K397" s="88" t="s">
        <v>95</v>
      </c>
      <c r="L397" s="88" t="s">
        <v>97</v>
      </c>
      <c r="M397" s="88" t="s">
        <v>96</v>
      </c>
      <c r="N397" s="87" t="s">
        <v>95</v>
      </c>
    </row>
    <row r="398" spans="3:14" x14ac:dyDescent="0.25">
      <c r="C398" s="62">
        <f t="shared" ref="C398:C402" si="227">C397</f>
        <v>1</v>
      </c>
      <c r="D398" s="86"/>
      <c r="E398" s="85"/>
      <c r="F398" s="84" t="s">
        <v>57</v>
      </c>
      <c r="G398" s="84" t="s">
        <v>56</v>
      </c>
      <c r="H398" s="84" t="s">
        <v>55</v>
      </c>
      <c r="I398" s="84" t="s">
        <v>54</v>
      </c>
      <c r="J398" s="84" t="s">
        <v>53</v>
      </c>
      <c r="K398" s="84" t="s">
        <v>52</v>
      </c>
      <c r="L398" s="84" t="s">
        <v>51</v>
      </c>
      <c r="M398" s="84" t="s">
        <v>50</v>
      </c>
      <c r="N398" s="83" t="s">
        <v>49</v>
      </c>
    </row>
    <row r="399" spans="3:14" x14ac:dyDescent="0.25">
      <c r="C399" s="62">
        <f t="shared" si="227"/>
        <v>1</v>
      </c>
      <c r="D399" s="82" t="s">
        <v>26</v>
      </c>
      <c r="E399" s="80"/>
      <c r="F399" s="79"/>
      <c r="G399" s="79"/>
      <c r="H399" s="79"/>
      <c r="I399" s="79"/>
      <c r="J399" s="79"/>
      <c r="K399" s="79"/>
      <c r="L399" s="79"/>
      <c r="M399" s="79"/>
      <c r="N399" s="78"/>
    </row>
    <row r="400" spans="3:14" x14ac:dyDescent="0.25">
      <c r="C400" s="62">
        <f t="shared" si="227"/>
        <v>1</v>
      </c>
      <c r="D400" s="93" t="s">
        <v>94</v>
      </c>
      <c r="E400" s="80"/>
      <c r="F400" s="79"/>
      <c r="G400" s="79"/>
      <c r="H400" s="79"/>
      <c r="I400" s="79"/>
      <c r="J400" s="79"/>
      <c r="K400" s="79"/>
      <c r="L400" s="79"/>
      <c r="M400" s="79"/>
      <c r="N400" s="78"/>
    </row>
    <row r="401" spans="3:14" x14ac:dyDescent="0.25">
      <c r="C401" s="62">
        <f t="shared" si="227"/>
        <v>1</v>
      </c>
      <c r="D401" s="268" t="s">
        <v>105</v>
      </c>
      <c r="E401" s="76" t="s">
        <v>57</v>
      </c>
      <c r="F401" s="75">
        <f t="shared" ref="F401:K401" si="228">+F$8*$E396</f>
        <v>4.4550732009255496</v>
      </c>
      <c r="G401" s="74">
        <f t="shared" ca="1" si="228"/>
        <v>177348.16230262502</v>
      </c>
      <c r="H401" s="74">
        <f t="shared" ca="1" si="228"/>
        <v>4216.4124608447055</v>
      </c>
      <c r="I401" s="75">
        <f t="shared" si="228"/>
        <v>0</v>
      </c>
      <c r="J401" s="74">
        <f t="shared" si="228"/>
        <v>0</v>
      </c>
      <c r="K401" s="74">
        <f t="shared" si="228"/>
        <v>0</v>
      </c>
      <c r="L401" s="73">
        <f t="shared" ref="L401" si="229">+I401+F401</f>
        <v>4.4550732009255496</v>
      </c>
      <c r="M401" s="72">
        <f t="shared" ref="M401" ca="1" si="230">+J401+G401</f>
        <v>177348.16230262502</v>
      </c>
      <c r="N401" s="72">
        <f t="shared" ref="N401" ca="1" si="231">+K401+H401</f>
        <v>4216.4124608447055</v>
      </c>
    </row>
    <row r="402" spans="3:14" ht="15.75" thickBot="1" x14ac:dyDescent="0.3">
      <c r="C402" s="62">
        <f t="shared" si="227"/>
        <v>1</v>
      </c>
      <c r="D402" s="71" t="s">
        <v>48</v>
      </c>
      <c r="E402" s="70" t="s">
        <v>56</v>
      </c>
      <c r="F402" s="69">
        <f t="shared" ref="F402:N402" si="232">SUM(F401)</f>
        <v>4.4550732009255496</v>
      </c>
      <c r="G402" s="68">
        <f t="shared" ca="1" si="232"/>
        <v>177348.16230262502</v>
      </c>
      <c r="H402" s="68">
        <f t="shared" ca="1" si="232"/>
        <v>4216.4124608447055</v>
      </c>
      <c r="I402" s="69">
        <f t="shared" si="232"/>
        <v>0</v>
      </c>
      <c r="J402" s="68">
        <f t="shared" si="232"/>
        <v>0</v>
      </c>
      <c r="K402" s="68">
        <f t="shared" si="232"/>
        <v>0</v>
      </c>
      <c r="L402" s="69">
        <f t="shared" si="232"/>
        <v>4.4550732009255496</v>
      </c>
      <c r="M402" s="68">
        <f t="shared" ca="1" si="232"/>
        <v>177348.16230262502</v>
      </c>
      <c r="N402" s="68">
        <f t="shared" ca="1" si="232"/>
        <v>4216.4124608447055</v>
      </c>
    </row>
    <row r="403" spans="3:14" ht="15.75" hidden="1" thickBot="1" x14ac:dyDescent="0.3"/>
    <row r="404" spans="3:14" x14ac:dyDescent="0.25">
      <c r="C404" s="62">
        <f>IF(E404&gt;0,1,0)</f>
        <v>1</v>
      </c>
      <c r="D404" s="936" t="str">
        <f>+A53</f>
        <v>Schuyler</v>
      </c>
      <c r="E404" s="951">
        <f>SUMIF(A:A,D404,B:B)</f>
        <v>6.2373675956962351E-4</v>
      </c>
      <c r="F404" s="940" t="s">
        <v>106</v>
      </c>
      <c r="G404" s="941"/>
      <c r="H404" s="942"/>
      <c r="I404" s="940" t="s">
        <v>99</v>
      </c>
      <c r="J404" s="941"/>
      <c r="K404" s="942"/>
      <c r="L404" s="940" t="s">
        <v>98</v>
      </c>
      <c r="M404" s="941"/>
      <c r="N404" s="943"/>
    </row>
    <row r="405" spans="3:14" ht="30" x14ac:dyDescent="0.25">
      <c r="C405" s="62">
        <f>C404</f>
        <v>1</v>
      </c>
      <c r="D405" s="937"/>
      <c r="E405" s="952"/>
      <c r="F405" s="88" t="s">
        <v>97</v>
      </c>
      <c r="G405" s="88" t="s">
        <v>96</v>
      </c>
      <c r="H405" s="88" t="s">
        <v>95</v>
      </c>
      <c r="I405" s="88" t="s">
        <v>97</v>
      </c>
      <c r="J405" s="88" t="s">
        <v>96</v>
      </c>
      <c r="K405" s="88" t="s">
        <v>95</v>
      </c>
      <c r="L405" s="88" t="s">
        <v>97</v>
      </c>
      <c r="M405" s="88" t="s">
        <v>96</v>
      </c>
      <c r="N405" s="87" t="s">
        <v>95</v>
      </c>
    </row>
    <row r="406" spans="3:14" x14ac:dyDescent="0.25">
      <c r="C406" s="62">
        <f t="shared" ref="C406:C410" si="233">C405</f>
        <v>1</v>
      </c>
      <c r="D406" s="86"/>
      <c r="E406" s="85"/>
      <c r="F406" s="84" t="s">
        <v>57</v>
      </c>
      <c r="G406" s="84" t="s">
        <v>56</v>
      </c>
      <c r="H406" s="84" t="s">
        <v>55</v>
      </c>
      <c r="I406" s="84" t="s">
        <v>54</v>
      </c>
      <c r="J406" s="84" t="s">
        <v>53</v>
      </c>
      <c r="K406" s="84" t="s">
        <v>52</v>
      </c>
      <c r="L406" s="84" t="s">
        <v>51</v>
      </c>
      <c r="M406" s="84" t="s">
        <v>50</v>
      </c>
      <c r="N406" s="83" t="s">
        <v>49</v>
      </c>
    </row>
    <row r="407" spans="3:14" x14ac:dyDescent="0.25">
      <c r="C407" s="62">
        <f t="shared" si="233"/>
        <v>1</v>
      </c>
      <c r="D407" s="82" t="s">
        <v>26</v>
      </c>
      <c r="E407" s="80"/>
      <c r="F407" s="79"/>
      <c r="G407" s="79"/>
      <c r="H407" s="79"/>
      <c r="I407" s="79"/>
      <c r="J407" s="79"/>
      <c r="K407" s="79"/>
      <c r="L407" s="79"/>
      <c r="M407" s="79"/>
      <c r="N407" s="78"/>
    </row>
    <row r="408" spans="3:14" x14ac:dyDescent="0.25">
      <c r="C408" s="62">
        <f t="shared" si="233"/>
        <v>1</v>
      </c>
      <c r="D408" s="93" t="s">
        <v>94</v>
      </c>
      <c r="E408" s="80"/>
      <c r="F408" s="79"/>
      <c r="G408" s="79"/>
      <c r="H408" s="79"/>
      <c r="I408" s="79"/>
      <c r="J408" s="79"/>
      <c r="K408" s="79"/>
      <c r="L408" s="79"/>
      <c r="M408" s="79"/>
      <c r="N408" s="78"/>
    </row>
    <row r="409" spans="3:14" x14ac:dyDescent="0.25">
      <c r="C409" s="62">
        <f t="shared" si="233"/>
        <v>1</v>
      </c>
      <c r="D409" s="268" t="s">
        <v>105</v>
      </c>
      <c r="E409" s="76" t="s">
        <v>57</v>
      </c>
      <c r="F409" s="75">
        <f t="shared" ref="F409:K409" si="234">+F$8*$E404</f>
        <v>1.1663986287998789</v>
      </c>
      <c r="G409" s="74">
        <f t="shared" ca="1" si="234"/>
        <v>46432.155881745093</v>
      </c>
      <c r="H409" s="74">
        <f t="shared" ca="1" si="234"/>
        <v>1103.9140079140025</v>
      </c>
      <c r="I409" s="75">
        <f t="shared" si="234"/>
        <v>0</v>
      </c>
      <c r="J409" s="74">
        <f t="shared" si="234"/>
        <v>0</v>
      </c>
      <c r="K409" s="74">
        <f t="shared" si="234"/>
        <v>0</v>
      </c>
      <c r="L409" s="73">
        <f t="shared" ref="L409" si="235">+I409+F409</f>
        <v>1.1663986287998789</v>
      </c>
      <c r="M409" s="72">
        <f t="shared" ref="M409" ca="1" si="236">+J409+G409</f>
        <v>46432.155881745093</v>
      </c>
      <c r="N409" s="72">
        <f t="shared" ref="N409" ca="1" si="237">+K409+H409</f>
        <v>1103.9140079140025</v>
      </c>
    </row>
    <row r="410" spans="3:14" ht="15.75" thickBot="1" x14ac:dyDescent="0.3">
      <c r="C410" s="62">
        <f t="shared" si="233"/>
        <v>1</v>
      </c>
      <c r="D410" s="71" t="s">
        <v>48</v>
      </c>
      <c r="E410" s="70" t="s">
        <v>56</v>
      </c>
      <c r="F410" s="69">
        <f t="shared" ref="F410:N410" si="238">SUM(F409)</f>
        <v>1.1663986287998789</v>
      </c>
      <c r="G410" s="68">
        <f t="shared" ca="1" si="238"/>
        <v>46432.155881745093</v>
      </c>
      <c r="H410" s="68">
        <f t="shared" ca="1" si="238"/>
        <v>1103.9140079140025</v>
      </c>
      <c r="I410" s="69">
        <f t="shared" si="238"/>
        <v>0</v>
      </c>
      <c r="J410" s="68">
        <f t="shared" si="238"/>
        <v>0</v>
      </c>
      <c r="K410" s="68">
        <f t="shared" si="238"/>
        <v>0</v>
      </c>
      <c r="L410" s="69">
        <f t="shared" si="238"/>
        <v>1.1663986287998789</v>
      </c>
      <c r="M410" s="68">
        <f t="shared" ca="1" si="238"/>
        <v>46432.155881745093</v>
      </c>
      <c r="N410" s="68">
        <f t="shared" ca="1" si="238"/>
        <v>1103.9140079140025</v>
      </c>
    </row>
    <row r="411" spans="3:14" ht="15.75" hidden="1" thickBot="1" x14ac:dyDescent="0.3"/>
    <row r="412" spans="3:14" x14ac:dyDescent="0.25">
      <c r="C412" s="62">
        <f>IF(E412&gt;0,1,0)</f>
        <v>1</v>
      </c>
      <c r="D412" s="936" t="str">
        <f>+A54</f>
        <v>Seneca</v>
      </c>
      <c r="E412" s="951">
        <f>SUMIF(A:A,D412,B:B)</f>
        <v>5.0916761953535567E-4</v>
      </c>
      <c r="F412" s="940" t="s">
        <v>106</v>
      </c>
      <c r="G412" s="941"/>
      <c r="H412" s="942"/>
      <c r="I412" s="940" t="s">
        <v>99</v>
      </c>
      <c r="J412" s="941"/>
      <c r="K412" s="942"/>
      <c r="L412" s="940" t="s">
        <v>98</v>
      </c>
      <c r="M412" s="941"/>
      <c r="N412" s="943"/>
    </row>
    <row r="413" spans="3:14" ht="30" x14ac:dyDescent="0.25">
      <c r="C413" s="62">
        <f>C412</f>
        <v>1</v>
      </c>
      <c r="D413" s="937"/>
      <c r="E413" s="952"/>
      <c r="F413" s="88" t="s">
        <v>97</v>
      </c>
      <c r="G413" s="88" t="s">
        <v>96</v>
      </c>
      <c r="H413" s="88" t="s">
        <v>95</v>
      </c>
      <c r="I413" s="88" t="s">
        <v>97</v>
      </c>
      <c r="J413" s="88" t="s">
        <v>96</v>
      </c>
      <c r="K413" s="88" t="s">
        <v>95</v>
      </c>
      <c r="L413" s="88" t="s">
        <v>97</v>
      </c>
      <c r="M413" s="88" t="s">
        <v>96</v>
      </c>
      <c r="N413" s="87" t="s">
        <v>95</v>
      </c>
    </row>
    <row r="414" spans="3:14" x14ac:dyDescent="0.25">
      <c r="C414" s="62">
        <f t="shared" ref="C414:C418" si="239">C413</f>
        <v>1</v>
      </c>
      <c r="D414" s="86"/>
      <c r="E414" s="85"/>
      <c r="F414" s="84" t="s">
        <v>57</v>
      </c>
      <c r="G414" s="84" t="s">
        <v>56</v>
      </c>
      <c r="H414" s="84" t="s">
        <v>55</v>
      </c>
      <c r="I414" s="84" t="s">
        <v>54</v>
      </c>
      <c r="J414" s="84" t="s">
        <v>53</v>
      </c>
      <c r="K414" s="84" t="s">
        <v>52</v>
      </c>
      <c r="L414" s="84" t="s">
        <v>51</v>
      </c>
      <c r="M414" s="84" t="s">
        <v>50</v>
      </c>
      <c r="N414" s="83" t="s">
        <v>49</v>
      </c>
    </row>
    <row r="415" spans="3:14" x14ac:dyDescent="0.25">
      <c r="C415" s="62">
        <f t="shared" si="239"/>
        <v>1</v>
      </c>
      <c r="D415" s="82" t="s">
        <v>26</v>
      </c>
      <c r="E415" s="80"/>
      <c r="F415" s="79"/>
      <c r="G415" s="79"/>
      <c r="H415" s="79"/>
      <c r="I415" s="79"/>
      <c r="J415" s="79"/>
      <c r="K415" s="79"/>
      <c r="L415" s="79"/>
      <c r="M415" s="79"/>
      <c r="N415" s="78"/>
    </row>
    <row r="416" spans="3:14" x14ac:dyDescent="0.25">
      <c r="C416" s="62">
        <f t="shared" si="239"/>
        <v>1</v>
      </c>
      <c r="D416" s="93" t="s">
        <v>94</v>
      </c>
      <c r="E416" s="80"/>
      <c r="F416" s="79"/>
      <c r="G416" s="79"/>
      <c r="H416" s="79"/>
      <c r="I416" s="79"/>
      <c r="J416" s="79"/>
      <c r="K416" s="79"/>
      <c r="L416" s="79"/>
      <c r="M416" s="79"/>
      <c r="N416" s="78"/>
    </row>
    <row r="417" spans="3:14" x14ac:dyDescent="0.25">
      <c r="C417" s="62">
        <f t="shared" si="239"/>
        <v>1</v>
      </c>
      <c r="D417" s="268" t="s">
        <v>105</v>
      </c>
      <c r="E417" s="76" t="s">
        <v>57</v>
      </c>
      <c r="F417" s="75">
        <f t="shared" ref="F417:K417" si="240">+F$8*$E412</f>
        <v>0.95215233693316592</v>
      </c>
      <c r="G417" s="74">
        <f t="shared" ca="1" si="240"/>
        <v>37903.410240748759</v>
      </c>
      <c r="H417" s="74">
        <f t="shared" ca="1" si="240"/>
        <v>901.14500862373109</v>
      </c>
      <c r="I417" s="75">
        <f t="shared" si="240"/>
        <v>0</v>
      </c>
      <c r="J417" s="74">
        <f t="shared" si="240"/>
        <v>0</v>
      </c>
      <c r="K417" s="74">
        <f t="shared" si="240"/>
        <v>0</v>
      </c>
      <c r="L417" s="73">
        <f t="shared" ref="L417" si="241">+I417+F417</f>
        <v>0.95215233693316592</v>
      </c>
      <c r="M417" s="72">
        <f t="shared" ref="M417" ca="1" si="242">+J417+G417</f>
        <v>37903.410240748759</v>
      </c>
      <c r="N417" s="72">
        <f t="shared" ref="N417" ca="1" si="243">+K417+H417</f>
        <v>901.14500862373109</v>
      </c>
    </row>
    <row r="418" spans="3:14" ht="15.75" thickBot="1" x14ac:dyDescent="0.3">
      <c r="C418" s="62">
        <f t="shared" si="239"/>
        <v>1</v>
      </c>
      <c r="D418" s="71" t="s">
        <v>48</v>
      </c>
      <c r="E418" s="70" t="s">
        <v>56</v>
      </c>
      <c r="F418" s="69">
        <f t="shared" ref="F418:N418" si="244">SUM(F417)</f>
        <v>0.95215233693316592</v>
      </c>
      <c r="G418" s="68">
        <f t="shared" ca="1" si="244"/>
        <v>37903.410240748759</v>
      </c>
      <c r="H418" s="68">
        <f t="shared" ca="1" si="244"/>
        <v>901.14500862373109</v>
      </c>
      <c r="I418" s="69">
        <f t="shared" si="244"/>
        <v>0</v>
      </c>
      <c r="J418" s="68">
        <f t="shared" si="244"/>
        <v>0</v>
      </c>
      <c r="K418" s="68">
        <f t="shared" si="244"/>
        <v>0</v>
      </c>
      <c r="L418" s="69">
        <f t="shared" si="244"/>
        <v>0.95215233693316592</v>
      </c>
      <c r="M418" s="68">
        <f t="shared" ca="1" si="244"/>
        <v>37903.410240748759</v>
      </c>
      <c r="N418" s="68">
        <f t="shared" ca="1" si="244"/>
        <v>901.14500862373109</v>
      </c>
    </row>
    <row r="419" spans="3:14" ht="15.75" hidden="1" thickBot="1" x14ac:dyDescent="0.3"/>
    <row r="420" spans="3:14" x14ac:dyDescent="0.25">
      <c r="C420" s="62">
        <f>IF(E420&gt;0,1,0)</f>
        <v>1</v>
      </c>
      <c r="D420" s="936" t="str">
        <f>+A55</f>
        <v>Steuben</v>
      </c>
      <c r="E420" s="951">
        <f>SUMIF(A:A,D420,B:B)</f>
        <v>2.7722133530557608E-3</v>
      </c>
      <c r="F420" s="940" t="s">
        <v>106</v>
      </c>
      <c r="G420" s="941"/>
      <c r="H420" s="942"/>
      <c r="I420" s="940" t="s">
        <v>99</v>
      </c>
      <c r="J420" s="941"/>
      <c r="K420" s="942"/>
      <c r="L420" s="940" t="s">
        <v>98</v>
      </c>
      <c r="M420" s="941"/>
      <c r="N420" s="943"/>
    </row>
    <row r="421" spans="3:14" ht="30" x14ac:dyDescent="0.25">
      <c r="C421" s="62">
        <f>C420</f>
        <v>1</v>
      </c>
      <c r="D421" s="937"/>
      <c r="E421" s="952"/>
      <c r="F421" s="88" t="s">
        <v>97</v>
      </c>
      <c r="G421" s="88" t="s">
        <v>96</v>
      </c>
      <c r="H421" s="88" t="s">
        <v>95</v>
      </c>
      <c r="I421" s="88" t="s">
        <v>97</v>
      </c>
      <c r="J421" s="88" t="s">
        <v>96</v>
      </c>
      <c r="K421" s="88" t="s">
        <v>95</v>
      </c>
      <c r="L421" s="88" t="s">
        <v>97</v>
      </c>
      <c r="M421" s="88" t="s">
        <v>96</v>
      </c>
      <c r="N421" s="87" t="s">
        <v>95</v>
      </c>
    </row>
    <row r="422" spans="3:14" x14ac:dyDescent="0.25">
      <c r="C422" s="62">
        <f t="shared" ref="C422:C426" si="245">C421</f>
        <v>1</v>
      </c>
      <c r="D422" s="86"/>
      <c r="E422" s="85"/>
      <c r="F422" s="84" t="s">
        <v>57</v>
      </c>
      <c r="G422" s="84" t="s">
        <v>56</v>
      </c>
      <c r="H422" s="84" t="s">
        <v>55</v>
      </c>
      <c r="I422" s="84" t="s">
        <v>54</v>
      </c>
      <c r="J422" s="84" t="s">
        <v>53</v>
      </c>
      <c r="K422" s="84" t="s">
        <v>52</v>
      </c>
      <c r="L422" s="84" t="s">
        <v>51</v>
      </c>
      <c r="M422" s="84" t="s">
        <v>50</v>
      </c>
      <c r="N422" s="83" t="s">
        <v>49</v>
      </c>
    </row>
    <row r="423" spans="3:14" x14ac:dyDescent="0.25">
      <c r="C423" s="62">
        <f t="shared" si="245"/>
        <v>1</v>
      </c>
      <c r="D423" s="82" t="s">
        <v>26</v>
      </c>
      <c r="E423" s="80"/>
      <c r="F423" s="79"/>
      <c r="G423" s="79"/>
      <c r="H423" s="79"/>
      <c r="I423" s="79"/>
      <c r="J423" s="79"/>
      <c r="K423" s="79"/>
      <c r="L423" s="79"/>
      <c r="M423" s="79"/>
      <c r="N423" s="78"/>
    </row>
    <row r="424" spans="3:14" x14ac:dyDescent="0.25">
      <c r="C424" s="62">
        <f t="shared" si="245"/>
        <v>1</v>
      </c>
      <c r="D424" s="93" t="s">
        <v>94</v>
      </c>
      <c r="E424" s="80"/>
      <c r="F424" s="79"/>
      <c r="G424" s="79"/>
      <c r="H424" s="79"/>
      <c r="I424" s="79"/>
      <c r="J424" s="79"/>
      <c r="K424" s="79"/>
      <c r="L424" s="79"/>
      <c r="M424" s="79"/>
      <c r="N424" s="78"/>
    </row>
    <row r="425" spans="3:14" x14ac:dyDescent="0.25">
      <c r="C425" s="62">
        <f t="shared" si="245"/>
        <v>1</v>
      </c>
      <c r="D425" s="268" t="s">
        <v>105</v>
      </c>
      <c r="E425" s="76" t="s">
        <v>57</v>
      </c>
      <c r="F425" s="75">
        <f t="shared" ref="F425:K425" si="246">+F$8*$E420</f>
        <v>5.1840873639964125</v>
      </c>
      <c r="G425" s="74">
        <f t="shared" ca="1" si="246"/>
        <v>206368.85764975057</v>
      </c>
      <c r="H425" s="74">
        <f t="shared" ca="1" si="246"/>
        <v>4906.3729312283731</v>
      </c>
      <c r="I425" s="75">
        <f t="shared" si="246"/>
        <v>0</v>
      </c>
      <c r="J425" s="74">
        <f t="shared" si="246"/>
        <v>0</v>
      </c>
      <c r="K425" s="74">
        <f t="shared" si="246"/>
        <v>0</v>
      </c>
      <c r="L425" s="73">
        <f t="shared" ref="L425" si="247">+I425+F425</f>
        <v>5.1840873639964125</v>
      </c>
      <c r="M425" s="72">
        <f t="shared" ref="M425" ca="1" si="248">+J425+G425</f>
        <v>206368.85764975057</v>
      </c>
      <c r="N425" s="72">
        <f t="shared" ref="N425" ca="1" si="249">+K425+H425</f>
        <v>4906.3729312283731</v>
      </c>
    </row>
    <row r="426" spans="3:14" ht="15.75" thickBot="1" x14ac:dyDescent="0.3">
      <c r="C426" s="62">
        <f t="shared" si="245"/>
        <v>1</v>
      </c>
      <c r="D426" s="71" t="s">
        <v>48</v>
      </c>
      <c r="E426" s="70" t="s">
        <v>56</v>
      </c>
      <c r="F426" s="69">
        <f t="shared" ref="F426:N426" si="250">SUM(F425)</f>
        <v>5.1840873639964125</v>
      </c>
      <c r="G426" s="68">
        <f t="shared" ca="1" si="250"/>
        <v>206368.85764975057</v>
      </c>
      <c r="H426" s="68">
        <f t="shared" ca="1" si="250"/>
        <v>4906.3729312283731</v>
      </c>
      <c r="I426" s="69">
        <f t="shared" si="250"/>
        <v>0</v>
      </c>
      <c r="J426" s="68">
        <f t="shared" si="250"/>
        <v>0</v>
      </c>
      <c r="K426" s="68">
        <f t="shared" si="250"/>
        <v>0</v>
      </c>
      <c r="L426" s="69">
        <f t="shared" si="250"/>
        <v>5.1840873639964125</v>
      </c>
      <c r="M426" s="68">
        <f t="shared" ca="1" si="250"/>
        <v>206368.85764975057</v>
      </c>
      <c r="N426" s="68">
        <f t="shared" ca="1" si="250"/>
        <v>4906.3729312283731</v>
      </c>
    </row>
    <row r="427" spans="3:14" ht="15.75" hidden="1" thickBot="1" x14ac:dyDescent="0.3"/>
    <row r="428" spans="3:14" x14ac:dyDescent="0.25">
      <c r="C428" s="62">
        <f>IF(E428&gt;0,1,0)</f>
        <v>1</v>
      </c>
      <c r="D428" s="936" t="str">
        <f>+A56</f>
        <v>Suffolk</v>
      </c>
      <c r="E428" s="951">
        <f>SUMIF(A:A,D428,B:B)</f>
        <v>4.7178453804958088E-2</v>
      </c>
      <c r="F428" s="940" t="s">
        <v>106</v>
      </c>
      <c r="G428" s="941"/>
      <c r="H428" s="942"/>
      <c r="I428" s="940" t="s">
        <v>99</v>
      </c>
      <c r="J428" s="941"/>
      <c r="K428" s="942"/>
      <c r="L428" s="940" t="s">
        <v>98</v>
      </c>
      <c r="M428" s="941"/>
      <c r="N428" s="943"/>
    </row>
    <row r="429" spans="3:14" ht="30" x14ac:dyDescent="0.25">
      <c r="C429" s="62">
        <f>C428</f>
        <v>1</v>
      </c>
      <c r="D429" s="937"/>
      <c r="E429" s="952"/>
      <c r="F429" s="88" t="s">
        <v>97</v>
      </c>
      <c r="G429" s="88" t="s">
        <v>96</v>
      </c>
      <c r="H429" s="88" t="s">
        <v>95</v>
      </c>
      <c r="I429" s="88" t="s">
        <v>97</v>
      </c>
      <c r="J429" s="88" t="s">
        <v>96</v>
      </c>
      <c r="K429" s="88" t="s">
        <v>95</v>
      </c>
      <c r="L429" s="88" t="s">
        <v>97</v>
      </c>
      <c r="M429" s="88" t="s">
        <v>96</v>
      </c>
      <c r="N429" s="87" t="s">
        <v>95</v>
      </c>
    </row>
    <row r="430" spans="3:14" x14ac:dyDescent="0.25">
      <c r="C430" s="62">
        <f t="shared" ref="C430:C434" si="251">C429</f>
        <v>1</v>
      </c>
      <c r="D430" s="86"/>
      <c r="E430" s="85"/>
      <c r="F430" s="84" t="s">
        <v>57</v>
      </c>
      <c r="G430" s="84" t="s">
        <v>56</v>
      </c>
      <c r="H430" s="84" t="s">
        <v>55</v>
      </c>
      <c r="I430" s="84" t="s">
        <v>54</v>
      </c>
      <c r="J430" s="84" t="s">
        <v>53</v>
      </c>
      <c r="K430" s="84" t="s">
        <v>52</v>
      </c>
      <c r="L430" s="84" t="s">
        <v>51</v>
      </c>
      <c r="M430" s="84" t="s">
        <v>50</v>
      </c>
      <c r="N430" s="83" t="s">
        <v>49</v>
      </c>
    </row>
    <row r="431" spans="3:14" x14ac:dyDescent="0.25">
      <c r="C431" s="62">
        <f t="shared" si="251"/>
        <v>1</v>
      </c>
      <c r="D431" s="82" t="s">
        <v>26</v>
      </c>
      <c r="E431" s="80"/>
      <c r="F431" s="79"/>
      <c r="G431" s="79"/>
      <c r="H431" s="79"/>
      <c r="I431" s="79"/>
      <c r="J431" s="79"/>
      <c r="K431" s="79"/>
      <c r="L431" s="79"/>
      <c r="M431" s="79"/>
      <c r="N431" s="78"/>
    </row>
    <row r="432" spans="3:14" x14ac:dyDescent="0.25">
      <c r="C432" s="62">
        <f t="shared" si="251"/>
        <v>1</v>
      </c>
      <c r="D432" s="93" t="s">
        <v>94</v>
      </c>
      <c r="E432" s="80"/>
      <c r="F432" s="79"/>
      <c r="G432" s="79"/>
      <c r="H432" s="79"/>
      <c r="I432" s="79"/>
      <c r="J432" s="79"/>
      <c r="K432" s="79"/>
      <c r="L432" s="79"/>
      <c r="M432" s="79"/>
      <c r="N432" s="78"/>
    </row>
    <row r="433" spans="3:14" x14ac:dyDescent="0.25">
      <c r="C433" s="62">
        <f t="shared" si="251"/>
        <v>1</v>
      </c>
      <c r="D433" s="268" t="s">
        <v>105</v>
      </c>
      <c r="E433" s="76" t="s">
        <v>57</v>
      </c>
      <c r="F433" s="75">
        <f t="shared" ref="F433:K433" si="252">+F$8*$E428</f>
        <v>88.224532196837814</v>
      </c>
      <c r="G433" s="74">
        <f t="shared" ca="1" si="252"/>
        <v>3512054.2243542443</v>
      </c>
      <c r="H433" s="74">
        <f t="shared" ca="1" si="252"/>
        <v>83498.295118845665</v>
      </c>
      <c r="I433" s="75">
        <f t="shared" si="252"/>
        <v>0</v>
      </c>
      <c r="J433" s="74">
        <f t="shared" si="252"/>
        <v>0</v>
      </c>
      <c r="K433" s="74">
        <f t="shared" si="252"/>
        <v>0</v>
      </c>
      <c r="L433" s="73">
        <f t="shared" ref="L433" si="253">+I433+F433</f>
        <v>88.224532196837814</v>
      </c>
      <c r="M433" s="72">
        <f t="shared" ref="M433" ca="1" si="254">+J433+G433</f>
        <v>3512054.2243542443</v>
      </c>
      <c r="N433" s="72">
        <f t="shared" ref="N433" ca="1" si="255">+K433+H433</f>
        <v>83498.295118845665</v>
      </c>
    </row>
    <row r="434" spans="3:14" ht="15.75" thickBot="1" x14ac:dyDescent="0.3">
      <c r="C434" s="62">
        <f t="shared" si="251"/>
        <v>1</v>
      </c>
      <c r="D434" s="71" t="s">
        <v>48</v>
      </c>
      <c r="E434" s="70" t="s">
        <v>56</v>
      </c>
      <c r="F434" s="69">
        <f t="shared" ref="F434:N434" si="256">SUM(F433)</f>
        <v>88.224532196837814</v>
      </c>
      <c r="G434" s="68">
        <f t="shared" ca="1" si="256"/>
        <v>3512054.2243542443</v>
      </c>
      <c r="H434" s="68">
        <f t="shared" ca="1" si="256"/>
        <v>83498.295118845665</v>
      </c>
      <c r="I434" s="69">
        <f t="shared" si="256"/>
        <v>0</v>
      </c>
      <c r="J434" s="68">
        <f t="shared" si="256"/>
        <v>0</v>
      </c>
      <c r="K434" s="68">
        <f t="shared" si="256"/>
        <v>0</v>
      </c>
      <c r="L434" s="69">
        <f t="shared" si="256"/>
        <v>88.224532196837814</v>
      </c>
      <c r="M434" s="68">
        <f t="shared" ca="1" si="256"/>
        <v>3512054.2243542443</v>
      </c>
      <c r="N434" s="68">
        <f t="shared" ca="1" si="256"/>
        <v>83498.295118845665</v>
      </c>
    </row>
    <row r="435" spans="3:14" ht="15.75" hidden="1" thickBot="1" x14ac:dyDescent="0.3"/>
    <row r="436" spans="3:14" x14ac:dyDescent="0.25">
      <c r="C436" s="62">
        <f>IF(E436&gt;0,1,0)</f>
        <v>1</v>
      </c>
      <c r="D436" s="936" t="str">
        <f>+A57</f>
        <v>Sullivan</v>
      </c>
      <c r="E436" s="951">
        <f>SUMIF(A:A,D436,B:B)</f>
        <v>2.5908175693671806E-3</v>
      </c>
      <c r="F436" s="940" t="s">
        <v>106</v>
      </c>
      <c r="G436" s="941"/>
      <c r="H436" s="942"/>
      <c r="I436" s="940" t="s">
        <v>99</v>
      </c>
      <c r="J436" s="941"/>
      <c r="K436" s="942"/>
      <c r="L436" s="940" t="s">
        <v>98</v>
      </c>
      <c r="M436" s="941"/>
      <c r="N436" s="943"/>
    </row>
    <row r="437" spans="3:14" ht="30" x14ac:dyDescent="0.25">
      <c r="C437" s="62">
        <f>C436</f>
        <v>1</v>
      </c>
      <c r="D437" s="937"/>
      <c r="E437" s="952"/>
      <c r="F437" s="88" t="s">
        <v>97</v>
      </c>
      <c r="G437" s="88" t="s">
        <v>96</v>
      </c>
      <c r="H437" s="88" t="s">
        <v>95</v>
      </c>
      <c r="I437" s="88" t="s">
        <v>97</v>
      </c>
      <c r="J437" s="88" t="s">
        <v>96</v>
      </c>
      <c r="K437" s="88" t="s">
        <v>95</v>
      </c>
      <c r="L437" s="88" t="s">
        <v>97</v>
      </c>
      <c r="M437" s="88" t="s">
        <v>96</v>
      </c>
      <c r="N437" s="87" t="s">
        <v>95</v>
      </c>
    </row>
    <row r="438" spans="3:14" x14ac:dyDescent="0.25">
      <c r="C438" s="62">
        <f t="shared" ref="C438:C442" si="257">C437</f>
        <v>1</v>
      </c>
      <c r="D438" s="86"/>
      <c r="E438" s="85"/>
      <c r="F438" s="84" t="s">
        <v>57</v>
      </c>
      <c r="G438" s="84" t="s">
        <v>56</v>
      </c>
      <c r="H438" s="84" t="s">
        <v>55</v>
      </c>
      <c r="I438" s="84" t="s">
        <v>54</v>
      </c>
      <c r="J438" s="84" t="s">
        <v>53</v>
      </c>
      <c r="K438" s="84" t="s">
        <v>52</v>
      </c>
      <c r="L438" s="84" t="s">
        <v>51</v>
      </c>
      <c r="M438" s="84" t="s">
        <v>50</v>
      </c>
      <c r="N438" s="83" t="s">
        <v>49</v>
      </c>
    </row>
    <row r="439" spans="3:14" x14ac:dyDescent="0.25">
      <c r="C439" s="62">
        <f t="shared" si="257"/>
        <v>1</v>
      </c>
      <c r="D439" s="82" t="s">
        <v>26</v>
      </c>
      <c r="E439" s="80"/>
      <c r="F439" s="79"/>
      <c r="G439" s="79"/>
      <c r="H439" s="79"/>
      <c r="I439" s="79"/>
      <c r="J439" s="79"/>
      <c r="K439" s="79"/>
      <c r="L439" s="79"/>
      <c r="M439" s="79"/>
      <c r="N439" s="78"/>
    </row>
    <row r="440" spans="3:14" x14ac:dyDescent="0.25">
      <c r="C440" s="62">
        <f t="shared" si="257"/>
        <v>1</v>
      </c>
      <c r="D440" s="93" t="s">
        <v>94</v>
      </c>
      <c r="E440" s="80"/>
      <c r="F440" s="79"/>
      <c r="G440" s="79"/>
      <c r="H440" s="79"/>
      <c r="I440" s="79"/>
      <c r="J440" s="79"/>
      <c r="K440" s="79"/>
      <c r="L440" s="79"/>
      <c r="M440" s="79"/>
      <c r="N440" s="78"/>
    </row>
    <row r="441" spans="3:14" x14ac:dyDescent="0.25">
      <c r="C441" s="62">
        <f t="shared" si="257"/>
        <v>1</v>
      </c>
      <c r="D441" s="268" t="s">
        <v>105</v>
      </c>
      <c r="E441" s="76" t="s">
        <v>57</v>
      </c>
      <c r="F441" s="75">
        <f t="shared" ref="F441:K441" si="258">+F$8*$E436</f>
        <v>4.8448740819214091</v>
      </c>
      <c r="G441" s="74">
        <f t="shared" ca="1" si="258"/>
        <v>192865.40899886293</v>
      </c>
      <c r="H441" s="74">
        <f t="shared" ca="1" si="258"/>
        <v>4585.3314926437197</v>
      </c>
      <c r="I441" s="75">
        <f t="shared" si="258"/>
        <v>0</v>
      </c>
      <c r="J441" s="74">
        <f t="shared" si="258"/>
        <v>0</v>
      </c>
      <c r="K441" s="74">
        <f t="shared" si="258"/>
        <v>0</v>
      </c>
      <c r="L441" s="73">
        <f t="shared" ref="L441" si="259">+I441+F441</f>
        <v>4.8448740819214091</v>
      </c>
      <c r="M441" s="72">
        <f t="shared" ref="M441" ca="1" si="260">+J441+G441</f>
        <v>192865.40899886293</v>
      </c>
      <c r="N441" s="72">
        <f t="shared" ref="N441" ca="1" si="261">+K441+H441</f>
        <v>4585.3314926437197</v>
      </c>
    </row>
    <row r="442" spans="3:14" ht="15.75" thickBot="1" x14ac:dyDescent="0.3">
      <c r="C442" s="62">
        <f t="shared" si="257"/>
        <v>1</v>
      </c>
      <c r="D442" s="71" t="s">
        <v>48</v>
      </c>
      <c r="E442" s="70" t="s">
        <v>56</v>
      </c>
      <c r="F442" s="69">
        <f t="shared" ref="F442:N442" si="262">SUM(F441)</f>
        <v>4.8448740819214091</v>
      </c>
      <c r="G442" s="68">
        <f t="shared" ca="1" si="262"/>
        <v>192865.40899886293</v>
      </c>
      <c r="H442" s="68">
        <f t="shared" ca="1" si="262"/>
        <v>4585.3314926437197</v>
      </c>
      <c r="I442" s="69">
        <f t="shared" si="262"/>
        <v>0</v>
      </c>
      <c r="J442" s="68">
        <f t="shared" si="262"/>
        <v>0</v>
      </c>
      <c r="K442" s="68">
        <f t="shared" si="262"/>
        <v>0</v>
      </c>
      <c r="L442" s="69">
        <f t="shared" si="262"/>
        <v>4.8448740819214091</v>
      </c>
      <c r="M442" s="68">
        <f t="shared" ca="1" si="262"/>
        <v>192865.40899886293</v>
      </c>
      <c r="N442" s="68">
        <f t="shared" ca="1" si="262"/>
        <v>4585.3314926437197</v>
      </c>
    </row>
    <row r="443" spans="3:14" ht="15.75" hidden="1" thickBot="1" x14ac:dyDescent="0.3"/>
    <row r="444" spans="3:14" x14ac:dyDescent="0.25">
      <c r="C444" s="62">
        <f>IF(E444&gt;0,1,0)</f>
        <v>1</v>
      </c>
      <c r="D444" s="936" t="str">
        <f>+A58</f>
        <v>Tioga</v>
      </c>
      <c r="E444" s="951">
        <f>SUMIF(A:A,D444,B:B)</f>
        <v>1.4345881213713213E-3</v>
      </c>
      <c r="F444" s="940" t="s">
        <v>106</v>
      </c>
      <c r="G444" s="941"/>
      <c r="H444" s="942"/>
      <c r="I444" s="940" t="s">
        <v>99</v>
      </c>
      <c r="J444" s="941"/>
      <c r="K444" s="942"/>
      <c r="L444" s="940" t="s">
        <v>98</v>
      </c>
      <c r="M444" s="941"/>
      <c r="N444" s="943"/>
    </row>
    <row r="445" spans="3:14" ht="30" x14ac:dyDescent="0.25">
      <c r="C445" s="62">
        <f>C444</f>
        <v>1</v>
      </c>
      <c r="D445" s="937"/>
      <c r="E445" s="952"/>
      <c r="F445" s="88" t="s">
        <v>97</v>
      </c>
      <c r="G445" s="88" t="s">
        <v>96</v>
      </c>
      <c r="H445" s="88" t="s">
        <v>95</v>
      </c>
      <c r="I445" s="88" t="s">
        <v>97</v>
      </c>
      <c r="J445" s="88" t="s">
        <v>96</v>
      </c>
      <c r="K445" s="88" t="s">
        <v>95</v>
      </c>
      <c r="L445" s="88" t="s">
        <v>97</v>
      </c>
      <c r="M445" s="88" t="s">
        <v>96</v>
      </c>
      <c r="N445" s="87" t="s">
        <v>95</v>
      </c>
    </row>
    <row r="446" spans="3:14" x14ac:dyDescent="0.25">
      <c r="C446" s="62">
        <f t="shared" ref="C446:C450" si="263">C445</f>
        <v>1</v>
      </c>
      <c r="D446" s="86"/>
      <c r="E446" s="85"/>
      <c r="F446" s="84" t="s">
        <v>57</v>
      </c>
      <c r="G446" s="84" t="s">
        <v>56</v>
      </c>
      <c r="H446" s="84" t="s">
        <v>55</v>
      </c>
      <c r="I446" s="84" t="s">
        <v>54</v>
      </c>
      <c r="J446" s="84" t="s">
        <v>53</v>
      </c>
      <c r="K446" s="84" t="s">
        <v>52</v>
      </c>
      <c r="L446" s="84" t="s">
        <v>51</v>
      </c>
      <c r="M446" s="84" t="s">
        <v>50</v>
      </c>
      <c r="N446" s="83" t="s">
        <v>49</v>
      </c>
    </row>
    <row r="447" spans="3:14" x14ac:dyDescent="0.25">
      <c r="C447" s="62">
        <f t="shared" si="263"/>
        <v>1</v>
      </c>
      <c r="D447" s="82" t="s">
        <v>26</v>
      </c>
      <c r="E447" s="80"/>
      <c r="F447" s="79"/>
      <c r="G447" s="79"/>
      <c r="H447" s="79"/>
      <c r="I447" s="79"/>
      <c r="J447" s="79"/>
      <c r="K447" s="79"/>
      <c r="L447" s="79"/>
      <c r="M447" s="79"/>
      <c r="N447" s="78"/>
    </row>
    <row r="448" spans="3:14" x14ac:dyDescent="0.25">
      <c r="C448" s="62">
        <f t="shared" si="263"/>
        <v>1</v>
      </c>
      <c r="D448" s="93" t="s">
        <v>94</v>
      </c>
      <c r="E448" s="80"/>
      <c r="F448" s="79"/>
      <c r="G448" s="79"/>
      <c r="H448" s="79"/>
      <c r="I448" s="79"/>
      <c r="J448" s="79"/>
      <c r="K448" s="79"/>
      <c r="L448" s="79"/>
      <c r="M448" s="79"/>
      <c r="N448" s="78"/>
    </row>
    <row r="449" spans="3:14" x14ac:dyDescent="0.25">
      <c r="C449" s="62">
        <f t="shared" si="263"/>
        <v>1</v>
      </c>
      <c r="D449" s="268" t="s">
        <v>105</v>
      </c>
      <c r="E449" s="76" t="s">
        <v>57</v>
      </c>
      <c r="F449" s="75">
        <f t="shared" ref="F449:K449" si="264">+F$8*$E444</f>
        <v>2.6827048301829706</v>
      </c>
      <c r="G449" s="74">
        <f t="shared" ca="1" si="264"/>
        <v>106793.48019118585</v>
      </c>
      <c r="H449" s="74">
        <f t="shared" ca="1" si="264"/>
        <v>2538.9908458522741</v>
      </c>
      <c r="I449" s="75">
        <f t="shared" si="264"/>
        <v>0</v>
      </c>
      <c r="J449" s="74">
        <f t="shared" si="264"/>
        <v>0</v>
      </c>
      <c r="K449" s="74">
        <f t="shared" si="264"/>
        <v>0</v>
      </c>
      <c r="L449" s="73">
        <f t="shared" ref="L449" si="265">+I449+F449</f>
        <v>2.6827048301829706</v>
      </c>
      <c r="M449" s="72">
        <f t="shared" ref="M449" ca="1" si="266">+J449+G449</f>
        <v>106793.48019118585</v>
      </c>
      <c r="N449" s="72">
        <f t="shared" ref="N449" ca="1" si="267">+K449+H449</f>
        <v>2538.9908458522741</v>
      </c>
    </row>
    <row r="450" spans="3:14" ht="15.75" thickBot="1" x14ac:dyDescent="0.3">
      <c r="C450" s="62">
        <f t="shared" si="263"/>
        <v>1</v>
      </c>
      <c r="D450" s="71" t="s">
        <v>48</v>
      </c>
      <c r="E450" s="70" t="s">
        <v>56</v>
      </c>
      <c r="F450" s="69">
        <f t="shared" ref="F450:N450" si="268">SUM(F449)</f>
        <v>2.6827048301829706</v>
      </c>
      <c r="G450" s="68">
        <f t="shared" ca="1" si="268"/>
        <v>106793.48019118585</v>
      </c>
      <c r="H450" s="68">
        <f t="shared" ca="1" si="268"/>
        <v>2538.9908458522741</v>
      </c>
      <c r="I450" s="69">
        <f t="shared" si="268"/>
        <v>0</v>
      </c>
      <c r="J450" s="68">
        <f t="shared" si="268"/>
        <v>0</v>
      </c>
      <c r="K450" s="68">
        <f t="shared" si="268"/>
        <v>0</v>
      </c>
      <c r="L450" s="69">
        <f t="shared" si="268"/>
        <v>2.6827048301829706</v>
      </c>
      <c r="M450" s="68">
        <f t="shared" ca="1" si="268"/>
        <v>106793.48019118585</v>
      </c>
      <c r="N450" s="68">
        <f t="shared" ca="1" si="268"/>
        <v>2538.9908458522741</v>
      </c>
    </row>
    <row r="451" spans="3:14" ht="15.75" hidden="1" thickBot="1" x14ac:dyDescent="0.3"/>
    <row r="452" spans="3:14" x14ac:dyDescent="0.25">
      <c r="C452" s="62">
        <f>IF(E452&gt;0,1,0)</f>
        <v>1</v>
      </c>
      <c r="D452" s="936" t="str">
        <f>+A59</f>
        <v>Tompkins</v>
      </c>
      <c r="E452" s="951">
        <f>SUMIF(A:A,D452,B:B)</f>
        <v>1.0364555405231305E-3</v>
      </c>
      <c r="F452" s="940" t="s">
        <v>106</v>
      </c>
      <c r="G452" s="941"/>
      <c r="H452" s="942"/>
      <c r="I452" s="940" t="s">
        <v>99</v>
      </c>
      <c r="J452" s="941"/>
      <c r="K452" s="942"/>
      <c r="L452" s="940" t="s">
        <v>98</v>
      </c>
      <c r="M452" s="941"/>
      <c r="N452" s="943"/>
    </row>
    <row r="453" spans="3:14" ht="30" x14ac:dyDescent="0.25">
      <c r="C453" s="62">
        <f>C452</f>
        <v>1</v>
      </c>
      <c r="D453" s="937"/>
      <c r="E453" s="952"/>
      <c r="F453" s="88" t="s">
        <v>97</v>
      </c>
      <c r="G453" s="88" t="s">
        <v>96</v>
      </c>
      <c r="H453" s="88" t="s">
        <v>95</v>
      </c>
      <c r="I453" s="88" t="s">
        <v>97</v>
      </c>
      <c r="J453" s="88" t="s">
        <v>96</v>
      </c>
      <c r="K453" s="88" t="s">
        <v>95</v>
      </c>
      <c r="L453" s="88" t="s">
        <v>97</v>
      </c>
      <c r="M453" s="88" t="s">
        <v>96</v>
      </c>
      <c r="N453" s="87" t="s">
        <v>95</v>
      </c>
    </row>
    <row r="454" spans="3:14" x14ac:dyDescent="0.25">
      <c r="C454" s="62">
        <f t="shared" ref="C454:C458" si="269">C453</f>
        <v>1</v>
      </c>
      <c r="D454" s="86"/>
      <c r="E454" s="85"/>
      <c r="F454" s="84" t="s">
        <v>57</v>
      </c>
      <c r="G454" s="84" t="s">
        <v>56</v>
      </c>
      <c r="H454" s="84" t="s">
        <v>55</v>
      </c>
      <c r="I454" s="84" t="s">
        <v>54</v>
      </c>
      <c r="J454" s="84" t="s">
        <v>53</v>
      </c>
      <c r="K454" s="84" t="s">
        <v>52</v>
      </c>
      <c r="L454" s="84" t="s">
        <v>51</v>
      </c>
      <c r="M454" s="84" t="s">
        <v>50</v>
      </c>
      <c r="N454" s="83" t="s">
        <v>49</v>
      </c>
    </row>
    <row r="455" spans="3:14" x14ac:dyDescent="0.25">
      <c r="C455" s="62">
        <f t="shared" si="269"/>
        <v>1</v>
      </c>
      <c r="D455" s="82" t="s">
        <v>26</v>
      </c>
      <c r="E455" s="80"/>
      <c r="F455" s="79"/>
      <c r="G455" s="79"/>
      <c r="H455" s="79"/>
      <c r="I455" s="79"/>
      <c r="J455" s="79"/>
      <c r="K455" s="79"/>
      <c r="L455" s="79"/>
      <c r="M455" s="79"/>
      <c r="N455" s="78"/>
    </row>
    <row r="456" spans="3:14" x14ac:dyDescent="0.25">
      <c r="C456" s="62">
        <f t="shared" si="269"/>
        <v>1</v>
      </c>
      <c r="D456" s="93" t="s">
        <v>94</v>
      </c>
      <c r="E456" s="80"/>
      <c r="F456" s="79"/>
      <c r="G456" s="79"/>
      <c r="H456" s="79"/>
      <c r="I456" s="79"/>
      <c r="J456" s="79"/>
      <c r="K456" s="79"/>
      <c r="L456" s="79"/>
      <c r="M456" s="79"/>
      <c r="N456" s="78"/>
    </row>
    <row r="457" spans="3:14" x14ac:dyDescent="0.25">
      <c r="C457" s="62">
        <f t="shared" si="269"/>
        <v>1</v>
      </c>
      <c r="D457" s="268" t="s">
        <v>105</v>
      </c>
      <c r="E457" s="76" t="s">
        <v>57</v>
      </c>
      <c r="F457" s="75">
        <f t="shared" ref="F457:K457" si="270">+F$8*$E452</f>
        <v>1.9381899539035796</v>
      </c>
      <c r="G457" s="74">
        <f t="shared" ca="1" si="270"/>
        <v>77155.730336102657</v>
      </c>
      <c r="H457" s="74">
        <f t="shared" ca="1" si="270"/>
        <v>1834.3600440561308</v>
      </c>
      <c r="I457" s="75">
        <f t="shared" si="270"/>
        <v>0</v>
      </c>
      <c r="J457" s="74">
        <f t="shared" si="270"/>
        <v>0</v>
      </c>
      <c r="K457" s="74">
        <f t="shared" si="270"/>
        <v>0</v>
      </c>
      <c r="L457" s="73">
        <f t="shared" ref="L457" si="271">+I457+F457</f>
        <v>1.9381899539035796</v>
      </c>
      <c r="M457" s="72">
        <f t="shared" ref="M457" ca="1" si="272">+J457+G457</f>
        <v>77155.730336102657</v>
      </c>
      <c r="N457" s="72">
        <f t="shared" ref="N457" ca="1" si="273">+K457+H457</f>
        <v>1834.3600440561308</v>
      </c>
    </row>
    <row r="458" spans="3:14" ht="15.75" thickBot="1" x14ac:dyDescent="0.3">
      <c r="C458" s="62">
        <f t="shared" si="269"/>
        <v>1</v>
      </c>
      <c r="D458" s="71" t="s">
        <v>48</v>
      </c>
      <c r="E458" s="70" t="s">
        <v>56</v>
      </c>
      <c r="F458" s="69">
        <f t="shared" ref="F458:N458" si="274">SUM(F457)</f>
        <v>1.9381899539035796</v>
      </c>
      <c r="G458" s="68">
        <f t="shared" ca="1" si="274"/>
        <v>77155.730336102657</v>
      </c>
      <c r="H458" s="68">
        <f t="shared" ca="1" si="274"/>
        <v>1834.3600440561308</v>
      </c>
      <c r="I458" s="69">
        <f t="shared" si="274"/>
        <v>0</v>
      </c>
      <c r="J458" s="68">
        <f t="shared" si="274"/>
        <v>0</v>
      </c>
      <c r="K458" s="68">
        <f t="shared" si="274"/>
        <v>0</v>
      </c>
      <c r="L458" s="69">
        <f t="shared" si="274"/>
        <v>1.9381899539035796</v>
      </c>
      <c r="M458" s="68">
        <f t="shared" ca="1" si="274"/>
        <v>77155.730336102657</v>
      </c>
      <c r="N458" s="68">
        <f t="shared" ca="1" si="274"/>
        <v>1834.3600440561308</v>
      </c>
    </row>
    <row r="459" spans="3:14" ht="15.75" hidden="1" thickBot="1" x14ac:dyDescent="0.3"/>
    <row r="460" spans="3:14" x14ac:dyDescent="0.25">
      <c r="C460" s="62">
        <f>IF(E460&gt;0,1,0)</f>
        <v>1</v>
      </c>
      <c r="D460" s="936" t="str">
        <f>+A60</f>
        <v>Ulster</v>
      </c>
      <c r="E460" s="951">
        <f>SUMIF(A:A,D460,B:B)</f>
        <v>8.5279793197240439E-3</v>
      </c>
      <c r="F460" s="940" t="s">
        <v>106</v>
      </c>
      <c r="G460" s="941"/>
      <c r="H460" s="942"/>
      <c r="I460" s="940" t="s">
        <v>99</v>
      </c>
      <c r="J460" s="941"/>
      <c r="K460" s="942"/>
      <c r="L460" s="940" t="s">
        <v>98</v>
      </c>
      <c r="M460" s="941"/>
      <c r="N460" s="943"/>
    </row>
    <row r="461" spans="3:14" ht="30" x14ac:dyDescent="0.25">
      <c r="C461" s="62">
        <f>C460</f>
        <v>1</v>
      </c>
      <c r="D461" s="937"/>
      <c r="E461" s="952"/>
      <c r="F461" s="88" t="s">
        <v>97</v>
      </c>
      <c r="G461" s="88" t="s">
        <v>96</v>
      </c>
      <c r="H461" s="88" t="s">
        <v>95</v>
      </c>
      <c r="I461" s="88" t="s">
        <v>97</v>
      </c>
      <c r="J461" s="88" t="s">
        <v>96</v>
      </c>
      <c r="K461" s="88" t="s">
        <v>95</v>
      </c>
      <c r="L461" s="88" t="s">
        <v>97</v>
      </c>
      <c r="M461" s="88" t="s">
        <v>96</v>
      </c>
      <c r="N461" s="87" t="s">
        <v>95</v>
      </c>
    </row>
    <row r="462" spans="3:14" x14ac:dyDescent="0.25">
      <c r="C462" s="62">
        <f t="shared" ref="C462:C466" si="275">C461</f>
        <v>1</v>
      </c>
      <c r="D462" s="86"/>
      <c r="E462" s="85"/>
      <c r="F462" s="84" t="s">
        <v>57</v>
      </c>
      <c r="G462" s="84" t="s">
        <v>56</v>
      </c>
      <c r="H462" s="84" t="s">
        <v>55</v>
      </c>
      <c r="I462" s="84" t="s">
        <v>54</v>
      </c>
      <c r="J462" s="84" t="s">
        <v>53</v>
      </c>
      <c r="K462" s="84" t="s">
        <v>52</v>
      </c>
      <c r="L462" s="84" t="s">
        <v>51</v>
      </c>
      <c r="M462" s="84" t="s">
        <v>50</v>
      </c>
      <c r="N462" s="83" t="s">
        <v>49</v>
      </c>
    </row>
    <row r="463" spans="3:14" x14ac:dyDescent="0.25">
      <c r="C463" s="62">
        <f t="shared" si="275"/>
        <v>1</v>
      </c>
      <c r="D463" s="82" t="s">
        <v>26</v>
      </c>
      <c r="E463" s="80"/>
      <c r="F463" s="79"/>
      <c r="G463" s="79"/>
      <c r="H463" s="79"/>
      <c r="I463" s="79"/>
      <c r="J463" s="79"/>
      <c r="K463" s="79"/>
      <c r="L463" s="79"/>
      <c r="M463" s="79"/>
      <c r="N463" s="78"/>
    </row>
    <row r="464" spans="3:14" x14ac:dyDescent="0.25">
      <c r="C464" s="62">
        <f t="shared" si="275"/>
        <v>1</v>
      </c>
      <c r="D464" s="93" t="s">
        <v>94</v>
      </c>
      <c r="E464" s="80"/>
      <c r="F464" s="79"/>
      <c r="G464" s="79"/>
      <c r="H464" s="79"/>
      <c r="I464" s="79"/>
      <c r="J464" s="79"/>
      <c r="K464" s="79"/>
      <c r="L464" s="79"/>
      <c r="M464" s="79"/>
      <c r="N464" s="78"/>
    </row>
    <row r="465" spans="3:14" x14ac:dyDescent="0.25">
      <c r="C465" s="62">
        <f t="shared" si="275"/>
        <v>1</v>
      </c>
      <c r="D465" s="268" t="s">
        <v>105</v>
      </c>
      <c r="E465" s="76" t="s">
        <v>57</v>
      </c>
      <c r="F465" s="75">
        <f t="shared" ref="F465:K465" si="276">+F$8*$E460</f>
        <v>15.947470198522954</v>
      </c>
      <c r="G465" s="74">
        <f t="shared" ca="1" si="276"/>
        <v>634839.07121803297</v>
      </c>
      <c r="H465" s="74">
        <f t="shared" ca="1" si="276"/>
        <v>15093.155382953601</v>
      </c>
      <c r="I465" s="75">
        <f t="shared" si="276"/>
        <v>0</v>
      </c>
      <c r="J465" s="74">
        <f t="shared" si="276"/>
        <v>0</v>
      </c>
      <c r="K465" s="74">
        <f t="shared" si="276"/>
        <v>0</v>
      </c>
      <c r="L465" s="73">
        <f t="shared" ref="L465" si="277">+I465+F465</f>
        <v>15.947470198522954</v>
      </c>
      <c r="M465" s="72">
        <f t="shared" ref="M465" ca="1" si="278">+J465+G465</f>
        <v>634839.07121803297</v>
      </c>
      <c r="N465" s="72">
        <f t="shared" ref="N465" ca="1" si="279">+K465+H465</f>
        <v>15093.155382953601</v>
      </c>
    </row>
    <row r="466" spans="3:14" ht="15.75" thickBot="1" x14ac:dyDescent="0.3">
      <c r="C466" s="62">
        <f t="shared" si="275"/>
        <v>1</v>
      </c>
      <c r="D466" s="71" t="s">
        <v>48</v>
      </c>
      <c r="E466" s="70" t="s">
        <v>56</v>
      </c>
      <c r="F466" s="69">
        <f t="shared" ref="F466:N466" si="280">SUM(F465)</f>
        <v>15.947470198522954</v>
      </c>
      <c r="G466" s="68">
        <f t="shared" ca="1" si="280"/>
        <v>634839.07121803297</v>
      </c>
      <c r="H466" s="68">
        <f t="shared" ca="1" si="280"/>
        <v>15093.155382953601</v>
      </c>
      <c r="I466" s="69">
        <f t="shared" si="280"/>
        <v>0</v>
      </c>
      <c r="J466" s="68">
        <f t="shared" si="280"/>
        <v>0</v>
      </c>
      <c r="K466" s="68">
        <f t="shared" si="280"/>
        <v>0</v>
      </c>
      <c r="L466" s="69">
        <f t="shared" si="280"/>
        <v>15.947470198522954</v>
      </c>
      <c r="M466" s="68">
        <f t="shared" ca="1" si="280"/>
        <v>634839.07121803297</v>
      </c>
      <c r="N466" s="68">
        <f t="shared" ca="1" si="280"/>
        <v>15093.155382953601</v>
      </c>
    </row>
    <row r="467" spans="3:14" ht="15.75" hidden="1" thickBot="1" x14ac:dyDescent="0.3"/>
    <row r="468" spans="3:14" x14ac:dyDescent="0.25">
      <c r="C468" s="62">
        <f>IF(E468&gt;0,1,0)</f>
        <v>1</v>
      </c>
      <c r="D468" s="936" t="str">
        <f>+A61</f>
        <v>Warren</v>
      </c>
      <c r="E468" s="951">
        <f>SUMIF(A:A,D468,B:B)</f>
        <v>1.4283552517227942E-3</v>
      </c>
      <c r="F468" s="940" t="s">
        <v>106</v>
      </c>
      <c r="G468" s="941"/>
      <c r="H468" s="942"/>
      <c r="I468" s="940" t="s">
        <v>99</v>
      </c>
      <c r="J468" s="941"/>
      <c r="K468" s="942"/>
      <c r="L468" s="940" t="s">
        <v>98</v>
      </c>
      <c r="M468" s="941"/>
      <c r="N468" s="943"/>
    </row>
    <row r="469" spans="3:14" ht="30" x14ac:dyDescent="0.25">
      <c r="C469" s="62">
        <f>C468</f>
        <v>1</v>
      </c>
      <c r="D469" s="937"/>
      <c r="E469" s="952"/>
      <c r="F469" s="88" t="s">
        <v>97</v>
      </c>
      <c r="G469" s="88" t="s">
        <v>96</v>
      </c>
      <c r="H469" s="88" t="s">
        <v>95</v>
      </c>
      <c r="I469" s="88" t="s">
        <v>97</v>
      </c>
      <c r="J469" s="88" t="s">
        <v>96</v>
      </c>
      <c r="K469" s="88" t="s">
        <v>95</v>
      </c>
      <c r="L469" s="88" t="s">
        <v>97</v>
      </c>
      <c r="M469" s="88" t="s">
        <v>96</v>
      </c>
      <c r="N469" s="87" t="s">
        <v>95</v>
      </c>
    </row>
    <row r="470" spans="3:14" x14ac:dyDescent="0.25">
      <c r="C470" s="62">
        <f t="shared" ref="C470:C474" si="281">C469</f>
        <v>1</v>
      </c>
      <c r="D470" s="86"/>
      <c r="E470" s="85"/>
      <c r="F470" s="84" t="s">
        <v>57</v>
      </c>
      <c r="G470" s="84" t="s">
        <v>56</v>
      </c>
      <c r="H470" s="84" t="s">
        <v>55</v>
      </c>
      <c r="I470" s="84" t="s">
        <v>54</v>
      </c>
      <c r="J470" s="84" t="s">
        <v>53</v>
      </c>
      <c r="K470" s="84" t="s">
        <v>52</v>
      </c>
      <c r="L470" s="84" t="s">
        <v>51</v>
      </c>
      <c r="M470" s="84" t="s">
        <v>50</v>
      </c>
      <c r="N470" s="83" t="s">
        <v>49</v>
      </c>
    </row>
    <row r="471" spans="3:14" x14ac:dyDescent="0.25">
      <c r="C471" s="62">
        <f t="shared" si="281"/>
        <v>1</v>
      </c>
      <c r="D471" s="82" t="s">
        <v>26</v>
      </c>
      <c r="E471" s="80"/>
      <c r="F471" s="79"/>
      <c r="G471" s="79"/>
      <c r="H471" s="79"/>
      <c r="I471" s="79"/>
      <c r="J471" s="79"/>
      <c r="K471" s="79"/>
      <c r="L471" s="79"/>
      <c r="M471" s="79"/>
      <c r="N471" s="78"/>
    </row>
    <row r="472" spans="3:14" x14ac:dyDescent="0.25">
      <c r="C472" s="62">
        <f t="shared" si="281"/>
        <v>1</v>
      </c>
      <c r="D472" s="93" t="s">
        <v>94</v>
      </c>
      <c r="E472" s="80"/>
      <c r="F472" s="79"/>
      <c r="G472" s="79"/>
      <c r="H472" s="79"/>
      <c r="I472" s="79"/>
      <c r="J472" s="79"/>
      <c r="K472" s="79"/>
      <c r="L472" s="79"/>
      <c r="M472" s="79"/>
      <c r="N472" s="78"/>
    </row>
    <row r="473" spans="3:14" x14ac:dyDescent="0.25">
      <c r="C473" s="62">
        <f t="shared" si="281"/>
        <v>1</v>
      </c>
      <c r="D473" s="268" t="s">
        <v>105</v>
      </c>
      <c r="E473" s="76" t="s">
        <v>57</v>
      </c>
      <c r="F473" s="75">
        <f t="shared" ref="F473:K473" si="282">+F$8*$E468</f>
        <v>2.6710492551346974</v>
      </c>
      <c r="G473" s="74">
        <f t="shared" ca="1" si="282"/>
        <v>106329.49346814792</v>
      </c>
      <c r="H473" s="74">
        <f t="shared" ca="1" si="282"/>
        <v>2527.9596664180867</v>
      </c>
      <c r="I473" s="75">
        <f t="shared" si="282"/>
        <v>0</v>
      </c>
      <c r="J473" s="74">
        <f t="shared" si="282"/>
        <v>0</v>
      </c>
      <c r="K473" s="74">
        <f t="shared" si="282"/>
        <v>0</v>
      </c>
      <c r="L473" s="73">
        <f t="shared" ref="L473" si="283">+I473+F473</f>
        <v>2.6710492551346974</v>
      </c>
      <c r="M473" s="72">
        <f t="shared" ref="M473" ca="1" si="284">+J473+G473</f>
        <v>106329.49346814792</v>
      </c>
      <c r="N473" s="72">
        <f t="shared" ref="N473" ca="1" si="285">+K473+H473</f>
        <v>2527.9596664180867</v>
      </c>
    </row>
    <row r="474" spans="3:14" ht="15.75" thickBot="1" x14ac:dyDescent="0.3">
      <c r="C474" s="62">
        <f t="shared" si="281"/>
        <v>1</v>
      </c>
      <c r="D474" s="71" t="s">
        <v>48</v>
      </c>
      <c r="E474" s="70" t="s">
        <v>56</v>
      </c>
      <c r="F474" s="69">
        <f t="shared" ref="F474:N474" si="286">SUM(F473)</f>
        <v>2.6710492551346974</v>
      </c>
      <c r="G474" s="68">
        <f t="shared" ca="1" si="286"/>
        <v>106329.49346814792</v>
      </c>
      <c r="H474" s="68">
        <f t="shared" ca="1" si="286"/>
        <v>2527.9596664180867</v>
      </c>
      <c r="I474" s="69">
        <f t="shared" si="286"/>
        <v>0</v>
      </c>
      <c r="J474" s="68">
        <f t="shared" si="286"/>
        <v>0</v>
      </c>
      <c r="K474" s="68">
        <f t="shared" si="286"/>
        <v>0</v>
      </c>
      <c r="L474" s="69">
        <f t="shared" si="286"/>
        <v>2.6710492551346974</v>
      </c>
      <c r="M474" s="68">
        <f t="shared" ca="1" si="286"/>
        <v>106329.49346814792</v>
      </c>
      <c r="N474" s="68">
        <f t="shared" ca="1" si="286"/>
        <v>2527.9596664180867</v>
      </c>
    </row>
    <row r="475" spans="3:14" ht="15.75" hidden="1" thickBot="1" x14ac:dyDescent="0.3"/>
    <row r="476" spans="3:14" x14ac:dyDescent="0.25">
      <c r="C476" s="62">
        <f>IF(E476&gt;0,1,0)</f>
        <v>1</v>
      </c>
      <c r="D476" s="936" t="str">
        <f>+A62</f>
        <v>Washington</v>
      </c>
      <c r="E476" s="951">
        <f>SUMIF(A:A,D476,B:B)</f>
        <v>2.2537928136298082E-3</v>
      </c>
      <c r="F476" s="940" t="s">
        <v>106</v>
      </c>
      <c r="G476" s="941"/>
      <c r="H476" s="942"/>
      <c r="I476" s="940" t="s">
        <v>99</v>
      </c>
      <c r="J476" s="941"/>
      <c r="K476" s="942"/>
      <c r="L476" s="940" t="s">
        <v>98</v>
      </c>
      <c r="M476" s="941"/>
      <c r="N476" s="943"/>
    </row>
    <row r="477" spans="3:14" ht="30" x14ac:dyDescent="0.25">
      <c r="C477" s="62">
        <f>C476</f>
        <v>1</v>
      </c>
      <c r="D477" s="937"/>
      <c r="E477" s="952"/>
      <c r="F477" s="88" t="s">
        <v>97</v>
      </c>
      <c r="G477" s="88" t="s">
        <v>96</v>
      </c>
      <c r="H477" s="88" t="s">
        <v>95</v>
      </c>
      <c r="I477" s="88" t="s">
        <v>97</v>
      </c>
      <c r="J477" s="88" t="s">
        <v>96</v>
      </c>
      <c r="K477" s="88" t="s">
        <v>95</v>
      </c>
      <c r="L477" s="88" t="s">
        <v>97</v>
      </c>
      <c r="M477" s="88" t="s">
        <v>96</v>
      </c>
      <c r="N477" s="87" t="s">
        <v>95</v>
      </c>
    </row>
    <row r="478" spans="3:14" x14ac:dyDescent="0.25">
      <c r="C478" s="62">
        <f t="shared" ref="C478:C482" si="287">C477</f>
        <v>1</v>
      </c>
      <c r="D478" s="86"/>
      <c r="E478" s="85"/>
      <c r="F478" s="84" t="s">
        <v>57</v>
      </c>
      <c r="G478" s="84" t="s">
        <v>56</v>
      </c>
      <c r="H478" s="84" t="s">
        <v>55</v>
      </c>
      <c r="I478" s="84" t="s">
        <v>54</v>
      </c>
      <c r="J478" s="84" t="s">
        <v>53</v>
      </c>
      <c r="K478" s="84" t="s">
        <v>52</v>
      </c>
      <c r="L478" s="84" t="s">
        <v>51</v>
      </c>
      <c r="M478" s="84" t="s">
        <v>50</v>
      </c>
      <c r="N478" s="83" t="s">
        <v>49</v>
      </c>
    </row>
    <row r="479" spans="3:14" x14ac:dyDescent="0.25">
      <c r="C479" s="62">
        <f t="shared" si="287"/>
        <v>1</v>
      </c>
      <c r="D479" s="82" t="s">
        <v>26</v>
      </c>
      <c r="E479" s="80"/>
      <c r="F479" s="79"/>
      <c r="G479" s="79"/>
      <c r="H479" s="79"/>
      <c r="I479" s="79"/>
      <c r="J479" s="79"/>
      <c r="K479" s="79"/>
      <c r="L479" s="79"/>
      <c r="M479" s="79"/>
      <c r="N479" s="78"/>
    </row>
    <row r="480" spans="3:14" x14ac:dyDescent="0.25">
      <c r="C480" s="62">
        <f t="shared" si="287"/>
        <v>1</v>
      </c>
      <c r="D480" s="93" t="s">
        <v>94</v>
      </c>
      <c r="E480" s="80"/>
      <c r="F480" s="79"/>
      <c r="G480" s="79"/>
      <c r="H480" s="79"/>
      <c r="I480" s="79"/>
      <c r="J480" s="79"/>
      <c r="K480" s="79"/>
      <c r="L480" s="79"/>
      <c r="M480" s="79"/>
      <c r="N480" s="78"/>
    </row>
    <row r="481" spans="3:14" x14ac:dyDescent="0.25">
      <c r="C481" s="62">
        <f t="shared" si="287"/>
        <v>1</v>
      </c>
      <c r="D481" s="268" t="s">
        <v>105</v>
      </c>
      <c r="E481" s="76" t="s">
        <v>57</v>
      </c>
      <c r="F481" s="75">
        <f t="shared" ref="F481:K481" si="288">+F$8*$E476</f>
        <v>4.2146319053420989</v>
      </c>
      <c r="G481" s="74">
        <f t="shared" ca="1" si="288"/>
        <v>167776.64237686302</v>
      </c>
      <c r="H481" s="74">
        <f t="shared" ca="1" si="288"/>
        <v>3988.851738702343</v>
      </c>
      <c r="I481" s="75">
        <f t="shared" si="288"/>
        <v>0</v>
      </c>
      <c r="J481" s="74">
        <f t="shared" si="288"/>
        <v>0</v>
      </c>
      <c r="K481" s="74">
        <f t="shared" si="288"/>
        <v>0</v>
      </c>
      <c r="L481" s="73">
        <f t="shared" ref="L481" si="289">+I481+F481</f>
        <v>4.2146319053420989</v>
      </c>
      <c r="M481" s="72">
        <f t="shared" ref="M481" ca="1" si="290">+J481+G481</f>
        <v>167776.64237686302</v>
      </c>
      <c r="N481" s="72">
        <f t="shared" ref="N481" ca="1" si="291">+K481+H481</f>
        <v>3988.851738702343</v>
      </c>
    </row>
    <row r="482" spans="3:14" ht="15.75" thickBot="1" x14ac:dyDescent="0.3">
      <c r="C482" s="62">
        <f t="shared" si="287"/>
        <v>1</v>
      </c>
      <c r="D482" s="71" t="s">
        <v>48</v>
      </c>
      <c r="E482" s="70" t="s">
        <v>56</v>
      </c>
      <c r="F482" s="69">
        <f t="shared" ref="F482:N482" si="292">SUM(F481)</f>
        <v>4.2146319053420989</v>
      </c>
      <c r="G482" s="68">
        <f t="shared" ca="1" si="292"/>
        <v>167776.64237686302</v>
      </c>
      <c r="H482" s="68">
        <f t="shared" ca="1" si="292"/>
        <v>3988.851738702343</v>
      </c>
      <c r="I482" s="69">
        <f t="shared" si="292"/>
        <v>0</v>
      </c>
      <c r="J482" s="68">
        <f t="shared" si="292"/>
        <v>0</v>
      </c>
      <c r="K482" s="68">
        <f t="shared" si="292"/>
        <v>0</v>
      </c>
      <c r="L482" s="69">
        <f t="shared" si="292"/>
        <v>4.2146319053420989</v>
      </c>
      <c r="M482" s="68">
        <f t="shared" ca="1" si="292"/>
        <v>167776.64237686302</v>
      </c>
      <c r="N482" s="68">
        <f t="shared" ca="1" si="292"/>
        <v>3988.851738702343</v>
      </c>
    </row>
    <row r="483" spans="3:14" ht="15.75" hidden="1" thickBot="1" x14ac:dyDescent="0.3"/>
    <row r="484" spans="3:14" x14ac:dyDescent="0.25">
      <c r="C484" s="62">
        <f>IF(E484&gt;0,1,0)</f>
        <v>1</v>
      </c>
      <c r="D484" s="936" t="str">
        <f>+A63</f>
        <v>Wayne</v>
      </c>
      <c r="E484" s="951">
        <f>SUMIF(A:A,D484,B:B)</f>
        <v>8.7420816049703603E-4</v>
      </c>
      <c r="F484" s="940" t="s">
        <v>106</v>
      </c>
      <c r="G484" s="941"/>
      <c r="H484" s="942"/>
      <c r="I484" s="940" t="s">
        <v>99</v>
      </c>
      <c r="J484" s="941"/>
      <c r="K484" s="942"/>
      <c r="L484" s="940" t="s">
        <v>98</v>
      </c>
      <c r="M484" s="941"/>
      <c r="N484" s="943"/>
    </row>
    <row r="485" spans="3:14" ht="30" x14ac:dyDescent="0.25">
      <c r="C485" s="62">
        <f>C484</f>
        <v>1</v>
      </c>
      <c r="D485" s="937"/>
      <c r="E485" s="952"/>
      <c r="F485" s="88" t="s">
        <v>97</v>
      </c>
      <c r="G485" s="88" t="s">
        <v>96</v>
      </c>
      <c r="H485" s="88" t="s">
        <v>95</v>
      </c>
      <c r="I485" s="88" t="s">
        <v>97</v>
      </c>
      <c r="J485" s="88" t="s">
        <v>96</v>
      </c>
      <c r="K485" s="88" t="s">
        <v>95</v>
      </c>
      <c r="L485" s="88" t="s">
        <v>97</v>
      </c>
      <c r="M485" s="88" t="s">
        <v>96</v>
      </c>
      <c r="N485" s="87" t="s">
        <v>95</v>
      </c>
    </row>
    <row r="486" spans="3:14" x14ac:dyDescent="0.25">
      <c r="C486" s="62">
        <f t="shared" ref="C486:C490" si="293">C485</f>
        <v>1</v>
      </c>
      <c r="D486" s="86"/>
      <c r="E486" s="85"/>
      <c r="F486" s="84" t="s">
        <v>57</v>
      </c>
      <c r="G486" s="84" t="s">
        <v>56</v>
      </c>
      <c r="H486" s="84" t="s">
        <v>55</v>
      </c>
      <c r="I486" s="84" t="s">
        <v>54</v>
      </c>
      <c r="J486" s="84" t="s">
        <v>53</v>
      </c>
      <c r="K486" s="84" t="s">
        <v>52</v>
      </c>
      <c r="L486" s="84" t="s">
        <v>51</v>
      </c>
      <c r="M486" s="84" t="s">
        <v>50</v>
      </c>
      <c r="N486" s="83" t="s">
        <v>49</v>
      </c>
    </row>
    <row r="487" spans="3:14" x14ac:dyDescent="0.25">
      <c r="C487" s="62">
        <f t="shared" si="293"/>
        <v>1</v>
      </c>
      <c r="D487" s="82" t="s">
        <v>26</v>
      </c>
      <c r="E487" s="80"/>
      <c r="F487" s="79"/>
      <c r="G487" s="79"/>
      <c r="H487" s="79"/>
      <c r="I487" s="79"/>
      <c r="J487" s="79"/>
      <c r="K487" s="79"/>
      <c r="L487" s="79"/>
      <c r="M487" s="79"/>
      <c r="N487" s="78"/>
    </row>
    <row r="488" spans="3:14" x14ac:dyDescent="0.25">
      <c r="C488" s="62">
        <f t="shared" si="293"/>
        <v>1</v>
      </c>
      <c r="D488" s="93" t="s">
        <v>94</v>
      </c>
      <c r="E488" s="80"/>
      <c r="F488" s="79"/>
      <c r="G488" s="79"/>
      <c r="H488" s="79"/>
      <c r="I488" s="79"/>
      <c r="J488" s="79"/>
      <c r="K488" s="79"/>
      <c r="L488" s="79"/>
      <c r="M488" s="79"/>
      <c r="N488" s="78"/>
    </row>
    <row r="489" spans="3:14" x14ac:dyDescent="0.25">
      <c r="C489" s="62">
        <f t="shared" si="293"/>
        <v>1</v>
      </c>
      <c r="D489" s="268" t="s">
        <v>105</v>
      </c>
      <c r="E489" s="76" t="s">
        <v>57</v>
      </c>
      <c r="F489" s="75">
        <f t="shared" ref="F489:K489" si="294">+F$8*$E484</f>
        <v>1.6347845209459517</v>
      </c>
      <c r="G489" s="74">
        <f t="shared" ca="1" si="294"/>
        <v>65077.725432280015</v>
      </c>
      <c r="H489" s="74">
        <f t="shared" ca="1" si="294"/>
        <v>1547.2082082692909</v>
      </c>
      <c r="I489" s="75">
        <f t="shared" si="294"/>
        <v>0</v>
      </c>
      <c r="J489" s="74">
        <f t="shared" si="294"/>
        <v>0</v>
      </c>
      <c r="K489" s="74">
        <f t="shared" si="294"/>
        <v>0</v>
      </c>
      <c r="L489" s="73">
        <f t="shared" ref="L489" si="295">+I489+F489</f>
        <v>1.6347845209459517</v>
      </c>
      <c r="M489" s="72">
        <f t="shared" ref="M489" ca="1" si="296">+J489+G489</f>
        <v>65077.725432280015</v>
      </c>
      <c r="N489" s="72">
        <f t="shared" ref="N489" ca="1" si="297">+K489+H489</f>
        <v>1547.2082082692909</v>
      </c>
    </row>
    <row r="490" spans="3:14" ht="15.75" thickBot="1" x14ac:dyDescent="0.3">
      <c r="C490" s="62">
        <f t="shared" si="293"/>
        <v>1</v>
      </c>
      <c r="D490" s="71" t="s">
        <v>48</v>
      </c>
      <c r="E490" s="70" t="s">
        <v>56</v>
      </c>
      <c r="F490" s="69">
        <f t="shared" ref="F490:N490" si="298">SUM(F489)</f>
        <v>1.6347845209459517</v>
      </c>
      <c r="G490" s="68">
        <f t="shared" ca="1" si="298"/>
        <v>65077.725432280015</v>
      </c>
      <c r="H490" s="68">
        <f t="shared" ca="1" si="298"/>
        <v>1547.2082082692909</v>
      </c>
      <c r="I490" s="69">
        <f t="shared" si="298"/>
        <v>0</v>
      </c>
      <c r="J490" s="68">
        <f t="shared" si="298"/>
        <v>0</v>
      </c>
      <c r="K490" s="68">
        <f t="shared" si="298"/>
        <v>0</v>
      </c>
      <c r="L490" s="69">
        <f t="shared" si="298"/>
        <v>1.6347845209459517</v>
      </c>
      <c r="M490" s="68">
        <f t="shared" ca="1" si="298"/>
        <v>65077.725432280015</v>
      </c>
      <c r="N490" s="68">
        <f t="shared" ca="1" si="298"/>
        <v>1547.2082082692909</v>
      </c>
    </row>
    <row r="491" spans="3:14" ht="15.75" hidden="1" thickBot="1" x14ac:dyDescent="0.3"/>
    <row r="492" spans="3:14" x14ac:dyDescent="0.25">
      <c r="C492" s="62">
        <f>IF(E492&gt;0,1,0)</f>
        <v>1</v>
      </c>
      <c r="D492" s="936" t="str">
        <f>+A64</f>
        <v>Westchester</v>
      </c>
      <c r="E492" s="951">
        <f>SUMIF(A:A,D492,B:B)</f>
        <v>2.408470791134289E-2</v>
      </c>
      <c r="F492" s="940" t="s">
        <v>106</v>
      </c>
      <c r="G492" s="941"/>
      <c r="H492" s="942"/>
      <c r="I492" s="940" t="s">
        <v>99</v>
      </c>
      <c r="J492" s="941"/>
      <c r="K492" s="942"/>
      <c r="L492" s="940" t="s">
        <v>98</v>
      </c>
      <c r="M492" s="941"/>
      <c r="N492" s="943"/>
    </row>
    <row r="493" spans="3:14" ht="30" x14ac:dyDescent="0.25">
      <c r="C493" s="62">
        <f>C492</f>
        <v>1</v>
      </c>
      <c r="D493" s="937"/>
      <c r="E493" s="952"/>
      <c r="F493" s="88" t="s">
        <v>97</v>
      </c>
      <c r="G493" s="88" t="s">
        <v>96</v>
      </c>
      <c r="H493" s="88" t="s">
        <v>95</v>
      </c>
      <c r="I493" s="88" t="s">
        <v>97</v>
      </c>
      <c r="J493" s="88" t="s">
        <v>96</v>
      </c>
      <c r="K493" s="88" t="s">
        <v>95</v>
      </c>
      <c r="L493" s="88" t="s">
        <v>97</v>
      </c>
      <c r="M493" s="88" t="s">
        <v>96</v>
      </c>
      <c r="N493" s="87" t="s">
        <v>95</v>
      </c>
    </row>
    <row r="494" spans="3:14" x14ac:dyDescent="0.25">
      <c r="C494" s="62">
        <f t="shared" ref="C494:C498" si="299">C493</f>
        <v>1</v>
      </c>
      <c r="D494" s="86"/>
      <c r="E494" s="85"/>
      <c r="F494" s="84" t="s">
        <v>57</v>
      </c>
      <c r="G494" s="84" t="s">
        <v>56</v>
      </c>
      <c r="H494" s="84" t="s">
        <v>55</v>
      </c>
      <c r="I494" s="84" t="s">
        <v>54</v>
      </c>
      <c r="J494" s="84" t="s">
        <v>53</v>
      </c>
      <c r="K494" s="84" t="s">
        <v>52</v>
      </c>
      <c r="L494" s="84" t="s">
        <v>51</v>
      </c>
      <c r="M494" s="84" t="s">
        <v>50</v>
      </c>
      <c r="N494" s="83" t="s">
        <v>49</v>
      </c>
    </row>
    <row r="495" spans="3:14" x14ac:dyDescent="0.25">
      <c r="C495" s="62">
        <f t="shared" si="299"/>
        <v>1</v>
      </c>
      <c r="D495" s="82" t="s">
        <v>26</v>
      </c>
      <c r="E495" s="80"/>
      <c r="F495" s="79"/>
      <c r="G495" s="79"/>
      <c r="H495" s="79"/>
      <c r="I495" s="79"/>
      <c r="J495" s="79"/>
      <c r="K495" s="79"/>
      <c r="L495" s="79"/>
      <c r="M495" s="79"/>
      <c r="N495" s="78"/>
    </row>
    <row r="496" spans="3:14" x14ac:dyDescent="0.25">
      <c r="C496" s="62">
        <f t="shared" si="299"/>
        <v>1</v>
      </c>
      <c r="D496" s="93" t="s">
        <v>94</v>
      </c>
      <c r="E496" s="80"/>
      <c r="F496" s="79"/>
      <c r="G496" s="79"/>
      <c r="H496" s="79"/>
      <c r="I496" s="79"/>
      <c r="J496" s="79"/>
      <c r="K496" s="79"/>
      <c r="L496" s="79"/>
      <c r="M496" s="79"/>
      <c r="N496" s="78"/>
    </row>
    <row r="497" spans="3:14" x14ac:dyDescent="0.25">
      <c r="C497" s="62">
        <f t="shared" si="299"/>
        <v>1</v>
      </c>
      <c r="D497" s="268" t="s">
        <v>105</v>
      </c>
      <c r="E497" s="76" t="s">
        <v>57</v>
      </c>
      <c r="F497" s="75">
        <f t="shared" ref="F497:K497" si="300">+F$8*$E492</f>
        <v>45.038824234472877</v>
      </c>
      <c r="G497" s="74">
        <f t="shared" ca="1" si="300"/>
        <v>1792911.6649744988</v>
      </c>
      <c r="H497" s="74">
        <f t="shared" ca="1" si="300"/>
        <v>42626.069462691077</v>
      </c>
      <c r="I497" s="75">
        <f t="shared" si="300"/>
        <v>0</v>
      </c>
      <c r="J497" s="74">
        <f t="shared" si="300"/>
        <v>0</v>
      </c>
      <c r="K497" s="74">
        <f t="shared" si="300"/>
        <v>0</v>
      </c>
      <c r="L497" s="73">
        <f t="shared" ref="L497" si="301">+I497+F497</f>
        <v>45.038824234472877</v>
      </c>
      <c r="M497" s="72">
        <f t="shared" ref="M497" ca="1" si="302">+J497+G497</f>
        <v>1792911.6649744988</v>
      </c>
      <c r="N497" s="72">
        <f t="shared" ref="N497" ca="1" si="303">+K497+H497</f>
        <v>42626.069462691077</v>
      </c>
    </row>
    <row r="498" spans="3:14" ht="15.75" thickBot="1" x14ac:dyDescent="0.3">
      <c r="C498" s="62">
        <f t="shared" si="299"/>
        <v>1</v>
      </c>
      <c r="D498" s="71" t="s">
        <v>48</v>
      </c>
      <c r="E498" s="70" t="s">
        <v>56</v>
      </c>
      <c r="F498" s="69">
        <f t="shared" ref="F498:N498" si="304">SUM(F497)</f>
        <v>45.038824234472877</v>
      </c>
      <c r="G498" s="68">
        <f t="shared" ca="1" si="304"/>
        <v>1792911.6649744988</v>
      </c>
      <c r="H498" s="68">
        <f t="shared" ca="1" si="304"/>
        <v>42626.069462691077</v>
      </c>
      <c r="I498" s="69">
        <f t="shared" si="304"/>
        <v>0</v>
      </c>
      <c r="J498" s="68">
        <f t="shared" si="304"/>
        <v>0</v>
      </c>
      <c r="K498" s="68">
        <f t="shared" si="304"/>
        <v>0</v>
      </c>
      <c r="L498" s="69">
        <f t="shared" si="304"/>
        <v>45.038824234472877</v>
      </c>
      <c r="M498" s="68">
        <f t="shared" ca="1" si="304"/>
        <v>1792911.6649744988</v>
      </c>
      <c r="N498" s="68">
        <f t="shared" ca="1" si="304"/>
        <v>42626.069462691077</v>
      </c>
    </row>
    <row r="499" spans="3:14" ht="15.75" hidden="1" thickBot="1" x14ac:dyDescent="0.3"/>
    <row r="500" spans="3:14" x14ac:dyDescent="0.25">
      <c r="C500" s="62">
        <f>IF(E500&gt;0,1,0)</f>
        <v>1</v>
      </c>
      <c r="D500" s="936" t="str">
        <f>+A65</f>
        <v>Wyoming</v>
      </c>
      <c r="E500" s="951">
        <f>SUMIF(A:A,D500,B:B)</f>
        <v>6.0201810038197211E-4</v>
      </c>
      <c r="F500" s="940" t="s">
        <v>106</v>
      </c>
      <c r="G500" s="941"/>
      <c r="H500" s="942"/>
      <c r="I500" s="940" t="s">
        <v>99</v>
      </c>
      <c r="J500" s="941"/>
      <c r="K500" s="942"/>
      <c r="L500" s="940" t="s">
        <v>98</v>
      </c>
      <c r="M500" s="941"/>
      <c r="N500" s="943"/>
    </row>
    <row r="501" spans="3:14" ht="30" x14ac:dyDescent="0.25">
      <c r="C501" s="62">
        <f>C500</f>
        <v>1</v>
      </c>
      <c r="D501" s="937"/>
      <c r="E501" s="952"/>
      <c r="F501" s="88" t="s">
        <v>97</v>
      </c>
      <c r="G501" s="88" t="s">
        <v>96</v>
      </c>
      <c r="H501" s="88" t="s">
        <v>95</v>
      </c>
      <c r="I501" s="88" t="s">
        <v>97</v>
      </c>
      <c r="J501" s="88" t="s">
        <v>96</v>
      </c>
      <c r="K501" s="88" t="s">
        <v>95</v>
      </c>
      <c r="L501" s="88" t="s">
        <v>97</v>
      </c>
      <c r="M501" s="88" t="s">
        <v>96</v>
      </c>
      <c r="N501" s="87" t="s">
        <v>95</v>
      </c>
    </row>
    <row r="502" spans="3:14" x14ac:dyDescent="0.25">
      <c r="C502" s="62">
        <f t="shared" ref="C502:C506" si="305">C501</f>
        <v>1</v>
      </c>
      <c r="D502" s="86"/>
      <c r="E502" s="85"/>
      <c r="F502" s="84" t="s">
        <v>57</v>
      </c>
      <c r="G502" s="84" t="s">
        <v>56</v>
      </c>
      <c r="H502" s="84" t="s">
        <v>55</v>
      </c>
      <c r="I502" s="84" t="s">
        <v>54</v>
      </c>
      <c r="J502" s="84" t="s">
        <v>53</v>
      </c>
      <c r="K502" s="84" t="s">
        <v>52</v>
      </c>
      <c r="L502" s="84" t="s">
        <v>51</v>
      </c>
      <c r="M502" s="84" t="s">
        <v>50</v>
      </c>
      <c r="N502" s="83" t="s">
        <v>49</v>
      </c>
    </row>
    <row r="503" spans="3:14" x14ac:dyDescent="0.25">
      <c r="C503" s="62">
        <f t="shared" si="305"/>
        <v>1</v>
      </c>
      <c r="D503" s="82" t="s">
        <v>26</v>
      </c>
      <c r="E503" s="80"/>
      <c r="F503" s="79"/>
      <c r="G503" s="79"/>
      <c r="H503" s="79"/>
      <c r="I503" s="79"/>
      <c r="J503" s="79"/>
      <c r="K503" s="79"/>
      <c r="L503" s="79"/>
      <c r="M503" s="79"/>
      <c r="N503" s="78"/>
    </row>
    <row r="504" spans="3:14" x14ac:dyDescent="0.25">
      <c r="C504" s="62">
        <f t="shared" si="305"/>
        <v>1</v>
      </c>
      <c r="D504" s="93" t="s">
        <v>94</v>
      </c>
      <c r="E504" s="80"/>
      <c r="F504" s="79"/>
      <c r="G504" s="79"/>
      <c r="H504" s="79"/>
      <c r="I504" s="79"/>
      <c r="J504" s="79"/>
      <c r="K504" s="79"/>
      <c r="L504" s="79"/>
      <c r="M504" s="79"/>
      <c r="N504" s="78"/>
    </row>
    <row r="505" spans="3:14" x14ac:dyDescent="0.25">
      <c r="C505" s="62">
        <f t="shared" si="305"/>
        <v>1</v>
      </c>
      <c r="D505" s="268" t="s">
        <v>105</v>
      </c>
      <c r="E505" s="76" t="s">
        <v>57</v>
      </c>
      <c r="F505" s="75">
        <f t="shared" ref="F505:K505" si="306">+F$8*$E500</f>
        <v>1.1257843569821846</v>
      </c>
      <c r="G505" s="74">
        <f t="shared" ca="1" si="306"/>
        <v>44815.377403530423</v>
      </c>
      <c r="H505" s="74">
        <f t="shared" ca="1" si="306"/>
        <v>1065.4754651433286</v>
      </c>
      <c r="I505" s="75">
        <f t="shared" si="306"/>
        <v>0</v>
      </c>
      <c r="J505" s="74">
        <f t="shared" si="306"/>
        <v>0</v>
      </c>
      <c r="K505" s="74">
        <f t="shared" si="306"/>
        <v>0</v>
      </c>
      <c r="L505" s="73">
        <f t="shared" ref="L505" si="307">+I505+F505</f>
        <v>1.1257843569821846</v>
      </c>
      <c r="M505" s="72">
        <f t="shared" ref="M505" ca="1" si="308">+J505+G505</f>
        <v>44815.377403530423</v>
      </c>
      <c r="N505" s="72">
        <f t="shared" ref="N505" ca="1" si="309">+K505+H505</f>
        <v>1065.4754651433286</v>
      </c>
    </row>
    <row r="506" spans="3:14" ht="15.75" thickBot="1" x14ac:dyDescent="0.3">
      <c r="C506" s="62">
        <f t="shared" si="305"/>
        <v>1</v>
      </c>
      <c r="D506" s="71" t="s">
        <v>48</v>
      </c>
      <c r="E506" s="70" t="s">
        <v>56</v>
      </c>
      <c r="F506" s="69">
        <f t="shared" ref="F506:N506" si="310">SUM(F505)</f>
        <v>1.1257843569821846</v>
      </c>
      <c r="G506" s="68">
        <f t="shared" ca="1" si="310"/>
        <v>44815.377403530423</v>
      </c>
      <c r="H506" s="68">
        <f t="shared" ca="1" si="310"/>
        <v>1065.4754651433286</v>
      </c>
      <c r="I506" s="69">
        <f t="shared" si="310"/>
        <v>0</v>
      </c>
      <c r="J506" s="68">
        <f t="shared" si="310"/>
        <v>0</v>
      </c>
      <c r="K506" s="68">
        <f t="shared" si="310"/>
        <v>0</v>
      </c>
      <c r="L506" s="69">
        <f t="shared" si="310"/>
        <v>1.1257843569821846</v>
      </c>
      <c r="M506" s="68">
        <f t="shared" ca="1" si="310"/>
        <v>44815.377403530423</v>
      </c>
      <c r="N506" s="68">
        <f t="shared" ca="1" si="310"/>
        <v>1065.4754651433286</v>
      </c>
    </row>
    <row r="507" spans="3:14" ht="15.75" hidden="1" thickBot="1" x14ac:dyDescent="0.3"/>
    <row r="508" spans="3:14" x14ac:dyDescent="0.25">
      <c r="C508" s="62">
        <f>IF(E508&gt;0,1,0)</f>
        <v>1</v>
      </c>
      <c r="D508" s="936" t="str">
        <f>+A66</f>
        <v>Yates</v>
      </c>
      <c r="E508" s="951">
        <f>SUMIF(A:A,D508,B:B)</f>
        <v>8.2460222886133507E-4</v>
      </c>
      <c r="F508" s="940" t="s">
        <v>106</v>
      </c>
      <c r="G508" s="941"/>
      <c r="H508" s="942"/>
      <c r="I508" s="940" t="s">
        <v>99</v>
      </c>
      <c r="J508" s="941"/>
      <c r="K508" s="942"/>
      <c r="L508" s="940" t="s">
        <v>98</v>
      </c>
      <c r="M508" s="941"/>
      <c r="N508" s="943"/>
    </row>
    <row r="509" spans="3:14" ht="30" x14ac:dyDescent="0.25">
      <c r="C509" s="62">
        <f>C508</f>
        <v>1</v>
      </c>
      <c r="D509" s="937"/>
      <c r="E509" s="952"/>
      <c r="F509" s="88" t="s">
        <v>97</v>
      </c>
      <c r="G509" s="88" t="s">
        <v>96</v>
      </c>
      <c r="H509" s="88" t="s">
        <v>95</v>
      </c>
      <c r="I509" s="88" t="s">
        <v>97</v>
      </c>
      <c r="J509" s="88" t="s">
        <v>96</v>
      </c>
      <c r="K509" s="88" t="s">
        <v>95</v>
      </c>
      <c r="L509" s="88" t="s">
        <v>97</v>
      </c>
      <c r="M509" s="88" t="s">
        <v>96</v>
      </c>
      <c r="N509" s="87" t="s">
        <v>95</v>
      </c>
    </row>
    <row r="510" spans="3:14" x14ac:dyDescent="0.25">
      <c r="C510" s="62">
        <f t="shared" ref="C510:C514" si="311">C509</f>
        <v>1</v>
      </c>
      <c r="D510" s="86"/>
      <c r="E510" s="85"/>
      <c r="F510" s="84" t="s">
        <v>57</v>
      </c>
      <c r="G510" s="84" t="s">
        <v>56</v>
      </c>
      <c r="H510" s="84" t="s">
        <v>55</v>
      </c>
      <c r="I510" s="84" t="s">
        <v>54</v>
      </c>
      <c r="J510" s="84" t="s">
        <v>53</v>
      </c>
      <c r="K510" s="84" t="s">
        <v>52</v>
      </c>
      <c r="L510" s="84" t="s">
        <v>51</v>
      </c>
      <c r="M510" s="84" t="s">
        <v>50</v>
      </c>
      <c r="N510" s="83" t="s">
        <v>49</v>
      </c>
    </row>
    <row r="511" spans="3:14" x14ac:dyDescent="0.25">
      <c r="C511" s="62">
        <f t="shared" si="311"/>
        <v>1</v>
      </c>
      <c r="D511" s="82" t="s">
        <v>26</v>
      </c>
      <c r="E511" s="80"/>
      <c r="F511" s="79"/>
      <c r="G511" s="79"/>
      <c r="H511" s="79"/>
      <c r="I511" s="79"/>
      <c r="J511" s="79"/>
      <c r="K511" s="79"/>
      <c r="L511" s="79"/>
      <c r="M511" s="79"/>
      <c r="N511" s="78"/>
    </row>
    <row r="512" spans="3:14" x14ac:dyDescent="0.25">
      <c r="C512" s="62">
        <f t="shared" si="311"/>
        <v>1</v>
      </c>
      <c r="D512" s="93" t="s">
        <v>94</v>
      </c>
      <c r="E512" s="80"/>
      <c r="F512" s="79"/>
      <c r="G512" s="79"/>
      <c r="H512" s="79"/>
      <c r="I512" s="79"/>
      <c r="J512" s="79"/>
      <c r="K512" s="79"/>
      <c r="L512" s="79"/>
      <c r="M512" s="79"/>
      <c r="N512" s="78"/>
    </row>
    <row r="513" spans="3:14" x14ac:dyDescent="0.25">
      <c r="C513" s="62">
        <f t="shared" si="311"/>
        <v>1</v>
      </c>
      <c r="D513" s="268" t="s">
        <v>105</v>
      </c>
      <c r="E513" s="76" t="s">
        <v>57</v>
      </c>
      <c r="F513" s="75">
        <f t="shared" ref="F513:K513" si="312">+F$8*$E508</f>
        <v>1.5420205628297978</v>
      </c>
      <c r="G513" s="74">
        <f t="shared" ca="1" si="312"/>
        <v>61384.965121091467</v>
      </c>
      <c r="H513" s="74">
        <f t="shared" ca="1" si="312"/>
        <v>1459.4136667930768</v>
      </c>
      <c r="I513" s="75">
        <f t="shared" si="312"/>
        <v>0</v>
      </c>
      <c r="J513" s="74">
        <f t="shared" si="312"/>
        <v>0</v>
      </c>
      <c r="K513" s="74">
        <f t="shared" si="312"/>
        <v>0</v>
      </c>
      <c r="L513" s="73">
        <f t="shared" ref="L513" si="313">+I513+F513</f>
        <v>1.5420205628297978</v>
      </c>
      <c r="M513" s="72">
        <f t="shared" ref="M513" ca="1" si="314">+J513+G513</f>
        <v>61384.965121091467</v>
      </c>
      <c r="N513" s="72">
        <f t="shared" ref="N513" ca="1" si="315">+K513+H513</f>
        <v>1459.4136667930768</v>
      </c>
    </row>
    <row r="514" spans="3:14" ht="15.75" thickBot="1" x14ac:dyDescent="0.3">
      <c r="C514" s="62">
        <f t="shared" si="311"/>
        <v>1</v>
      </c>
      <c r="D514" s="71" t="s">
        <v>48</v>
      </c>
      <c r="E514" s="70" t="s">
        <v>56</v>
      </c>
      <c r="F514" s="69">
        <f t="shared" ref="F514:N514" si="316">SUM(F513)</f>
        <v>1.5420205628297978</v>
      </c>
      <c r="G514" s="68">
        <f t="shared" ca="1" si="316"/>
        <v>61384.965121091467</v>
      </c>
      <c r="H514" s="68">
        <f t="shared" ca="1" si="316"/>
        <v>1459.4136667930768</v>
      </c>
      <c r="I514" s="69">
        <f t="shared" si="316"/>
        <v>0</v>
      </c>
      <c r="J514" s="68">
        <f t="shared" si="316"/>
        <v>0</v>
      </c>
      <c r="K514" s="68">
        <f t="shared" si="316"/>
        <v>0</v>
      </c>
      <c r="L514" s="69">
        <f t="shared" si="316"/>
        <v>1.5420205628297978</v>
      </c>
      <c r="M514" s="68">
        <f t="shared" ca="1" si="316"/>
        <v>61384.965121091467</v>
      </c>
      <c r="N514" s="68">
        <f t="shared" ca="1" si="316"/>
        <v>1459.4136667930768</v>
      </c>
    </row>
    <row r="515" spans="3:14" ht="15.75" thickBot="1" x14ac:dyDescent="0.3">
      <c r="C515" s="62">
        <v>1</v>
      </c>
    </row>
    <row r="516" spans="3:14" ht="15.75" thickBot="1" x14ac:dyDescent="0.3">
      <c r="C516" s="62">
        <v>1</v>
      </c>
      <c r="D516" s="341" t="s">
        <v>379</v>
      </c>
      <c r="E516" s="342">
        <f>SUM(E20:E514)</f>
        <v>0.99999999999999978</v>
      </c>
    </row>
    <row r="517" spans="3:14" x14ac:dyDescent="0.25">
      <c r="C517" s="62">
        <v>1</v>
      </c>
    </row>
    <row r="518" spans="3:14" x14ac:dyDescent="0.25">
      <c r="C518" s="62">
        <v>1</v>
      </c>
      <c r="F518" s="66"/>
      <c r="G518" s="66"/>
      <c r="H518" s="66"/>
    </row>
    <row r="519" spans="3:14" ht="15.75" thickBot="1" x14ac:dyDescent="0.3">
      <c r="C519" s="62">
        <v>1</v>
      </c>
    </row>
    <row r="520" spans="3:14" x14ac:dyDescent="0.25">
      <c r="C520" s="62">
        <v>1</v>
      </c>
      <c r="E520" s="343" t="s">
        <v>68</v>
      </c>
      <c r="F520" s="344">
        <f t="shared" ref="F520:N520" si="317">+F178+F170+F162+F154+F146+F138+F130+F122+F114+F106+F98+F90+F82+F74+F66+F58+F50+F42+F34+F26+F514+F506+F498+F490+F482+F474+F466+F458+F450+F442+F434+F426+F418+F410+F402+F394+F386+F378+F370+F362+F354+F346+F338+F330+F322+F314+F306+F298+F290+F282+F274+F266+F258+F250+F242+F234+F226+F218+F210+F202+F194+F186</f>
        <v>1870.0174567307697</v>
      </c>
      <c r="G520" s="344">
        <f t="shared" ca="1" si="317"/>
        <v>74441910.259999961</v>
      </c>
      <c r="H520" s="344">
        <f t="shared" ca="1" si="317"/>
        <v>1769839.5853335627</v>
      </c>
      <c r="I520" s="344">
        <f t="shared" si="317"/>
        <v>0</v>
      </c>
      <c r="J520" s="344">
        <f t="shared" si="317"/>
        <v>0</v>
      </c>
      <c r="K520" s="344">
        <f t="shared" si="317"/>
        <v>0</v>
      </c>
      <c r="L520" s="344">
        <f t="shared" si="317"/>
        <v>1870.0174567307697</v>
      </c>
      <c r="M520" s="344">
        <f t="shared" ca="1" si="317"/>
        <v>74441910.259999961</v>
      </c>
      <c r="N520" s="345">
        <f t="shared" ca="1" si="317"/>
        <v>1769839.5853335627</v>
      </c>
    </row>
    <row r="521" spans="3:14" ht="15.75" thickBot="1" x14ac:dyDescent="0.3">
      <c r="C521" s="62">
        <v>1</v>
      </c>
      <c r="E521" s="346" t="s">
        <v>69</v>
      </c>
      <c r="F521" s="347">
        <f t="shared" ref="F521:N521" si="318">+F520-F9</f>
        <v>0</v>
      </c>
      <c r="G521" s="347">
        <f t="shared" ca="1" si="318"/>
        <v>0</v>
      </c>
      <c r="H521" s="347">
        <f t="shared" ca="1" si="318"/>
        <v>0</v>
      </c>
      <c r="I521" s="347">
        <f t="shared" si="318"/>
        <v>0</v>
      </c>
      <c r="J521" s="347">
        <f t="shared" si="318"/>
        <v>0</v>
      </c>
      <c r="K521" s="347">
        <f t="shared" si="318"/>
        <v>0</v>
      </c>
      <c r="L521" s="347">
        <f t="shared" si="318"/>
        <v>0</v>
      </c>
      <c r="M521" s="347">
        <f t="shared" ca="1" si="318"/>
        <v>0</v>
      </c>
      <c r="N521" s="348">
        <f t="shared" ca="1" si="318"/>
        <v>0</v>
      </c>
    </row>
  </sheetData>
  <autoFilter ref="A1:N521" xr:uid="{00000000-0009-0000-0000-000010000000}">
    <filterColumn colId="2">
      <customFilters>
        <customFilter operator="notEqual" val=" "/>
      </customFilters>
    </filterColumn>
    <filterColumn colId="4" showButton="0"/>
    <filterColumn colId="5" showButton="0"/>
    <filterColumn colId="6" showButton="0"/>
  </autoFilter>
  <customSheetViews>
    <customSheetView guid="{DE5AAEC6-B417-4CB5-A2E1-8776196B56AA}" scale="70" showPageBreaks="1" fitToPage="1" printArea="1">
      <selection activeCell="A134" sqref="A134"/>
      <pageMargins left="0.7" right="0.7" top="0.75" bottom="0.75" header="0.3" footer="0.3"/>
      <pageSetup paperSize="17" orientation="landscape" r:id="rId1"/>
    </customSheetView>
    <customSheetView guid="{3ACE1F12-3844-4D90-9B24-992DA32A7B7A}" scale="70" fitToPage="1">
      <selection activeCell="A134" sqref="A134"/>
      <pageMargins left="0.7" right="0.7" top="0.75" bottom="0.75" header="0.3" footer="0.3"/>
      <pageSetup paperSize="17" orientation="landscape" r:id="rId2"/>
    </customSheetView>
  </customSheetViews>
  <mergeCells count="317">
    <mergeCell ref="D508:D509"/>
    <mergeCell ref="E508:E509"/>
    <mergeCell ref="F508:H508"/>
    <mergeCell ref="I508:K508"/>
    <mergeCell ref="L508:N508"/>
    <mergeCell ref="D500:D501"/>
    <mergeCell ref="E500:E501"/>
    <mergeCell ref="F500:H500"/>
    <mergeCell ref="I500:K500"/>
    <mergeCell ref="L500:N500"/>
    <mergeCell ref="D484:D485"/>
    <mergeCell ref="E484:E485"/>
    <mergeCell ref="F484:H484"/>
    <mergeCell ref="I484:K484"/>
    <mergeCell ref="L484:N484"/>
    <mergeCell ref="D492:D493"/>
    <mergeCell ref="E492:E493"/>
    <mergeCell ref="F492:H492"/>
    <mergeCell ref="I492:K492"/>
    <mergeCell ref="L492:N492"/>
    <mergeCell ref="D468:D469"/>
    <mergeCell ref="E468:E469"/>
    <mergeCell ref="F468:H468"/>
    <mergeCell ref="I468:K468"/>
    <mergeCell ref="L468:N468"/>
    <mergeCell ref="D476:D477"/>
    <mergeCell ref="E476:E477"/>
    <mergeCell ref="F476:H476"/>
    <mergeCell ref="I476:K476"/>
    <mergeCell ref="L476:N476"/>
    <mergeCell ref="D452:D453"/>
    <mergeCell ref="E452:E453"/>
    <mergeCell ref="F452:H452"/>
    <mergeCell ref="I452:K452"/>
    <mergeCell ref="L452:N452"/>
    <mergeCell ref="D460:D461"/>
    <mergeCell ref="E460:E461"/>
    <mergeCell ref="F460:H460"/>
    <mergeCell ref="I460:K460"/>
    <mergeCell ref="L460:N460"/>
    <mergeCell ref="D436:D437"/>
    <mergeCell ref="E436:E437"/>
    <mergeCell ref="F436:H436"/>
    <mergeCell ref="I436:K436"/>
    <mergeCell ref="L436:N436"/>
    <mergeCell ref="D444:D445"/>
    <mergeCell ref="E444:E445"/>
    <mergeCell ref="F444:H444"/>
    <mergeCell ref="I444:K444"/>
    <mergeCell ref="L444:N444"/>
    <mergeCell ref="D420:D421"/>
    <mergeCell ref="E420:E421"/>
    <mergeCell ref="F420:H420"/>
    <mergeCell ref="I420:K420"/>
    <mergeCell ref="L420:N420"/>
    <mergeCell ref="D428:D429"/>
    <mergeCell ref="E428:E429"/>
    <mergeCell ref="F428:H428"/>
    <mergeCell ref="I428:K428"/>
    <mergeCell ref="L428:N428"/>
    <mergeCell ref="D404:D405"/>
    <mergeCell ref="E404:E405"/>
    <mergeCell ref="F404:H404"/>
    <mergeCell ref="I404:K404"/>
    <mergeCell ref="L404:N404"/>
    <mergeCell ref="D412:D413"/>
    <mergeCell ref="E412:E413"/>
    <mergeCell ref="F412:H412"/>
    <mergeCell ref="I412:K412"/>
    <mergeCell ref="L412:N412"/>
    <mergeCell ref="D388:D389"/>
    <mergeCell ref="E388:E389"/>
    <mergeCell ref="F388:H388"/>
    <mergeCell ref="I388:K388"/>
    <mergeCell ref="L388:N388"/>
    <mergeCell ref="D396:D397"/>
    <mergeCell ref="E396:E397"/>
    <mergeCell ref="F396:H396"/>
    <mergeCell ref="I396:K396"/>
    <mergeCell ref="L396:N396"/>
    <mergeCell ref="D372:D373"/>
    <mergeCell ref="E372:E373"/>
    <mergeCell ref="F372:H372"/>
    <mergeCell ref="I372:K372"/>
    <mergeCell ref="L372:N372"/>
    <mergeCell ref="D380:D381"/>
    <mergeCell ref="E380:E381"/>
    <mergeCell ref="F380:H380"/>
    <mergeCell ref="I380:K380"/>
    <mergeCell ref="L380:N380"/>
    <mergeCell ref="D356:D357"/>
    <mergeCell ref="E356:E357"/>
    <mergeCell ref="F356:H356"/>
    <mergeCell ref="I356:K356"/>
    <mergeCell ref="L356:N356"/>
    <mergeCell ref="D364:D365"/>
    <mergeCell ref="E364:E365"/>
    <mergeCell ref="F364:H364"/>
    <mergeCell ref="I364:K364"/>
    <mergeCell ref="L364:N364"/>
    <mergeCell ref="D340:D341"/>
    <mergeCell ref="E340:E341"/>
    <mergeCell ref="F340:H340"/>
    <mergeCell ref="I340:K340"/>
    <mergeCell ref="L340:N340"/>
    <mergeCell ref="D348:D349"/>
    <mergeCell ref="E348:E349"/>
    <mergeCell ref="F348:H348"/>
    <mergeCell ref="I348:K348"/>
    <mergeCell ref="L348:N348"/>
    <mergeCell ref="D324:D325"/>
    <mergeCell ref="E324:E325"/>
    <mergeCell ref="F324:H324"/>
    <mergeCell ref="I324:K324"/>
    <mergeCell ref="L324:N324"/>
    <mergeCell ref="D332:D333"/>
    <mergeCell ref="E332:E333"/>
    <mergeCell ref="F332:H332"/>
    <mergeCell ref="I332:K332"/>
    <mergeCell ref="L332:N332"/>
    <mergeCell ref="D308:D309"/>
    <mergeCell ref="E308:E309"/>
    <mergeCell ref="F308:H308"/>
    <mergeCell ref="I308:K308"/>
    <mergeCell ref="L308:N308"/>
    <mergeCell ref="D316:D317"/>
    <mergeCell ref="E316:E317"/>
    <mergeCell ref="F316:H316"/>
    <mergeCell ref="I316:K316"/>
    <mergeCell ref="L316:N316"/>
    <mergeCell ref="D292:D293"/>
    <mergeCell ref="E292:E293"/>
    <mergeCell ref="F292:H292"/>
    <mergeCell ref="I292:K292"/>
    <mergeCell ref="L292:N292"/>
    <mergeCell ref="D300:D301"/>
    <mergeCell ref="E300:E301"/>
    <mergeCell ref="F300:H300"/>
    <mergeCell ref="I300:K300"/>
    <mergeCell ref="L300:N300"/>
    <mergeCell ref="D276:D277"/>
    <mergeCell ref="E276:E277"/>
    <mergeCell ref="F276:H276"/>
    <mergeCell ref="I276:K276"/>
    <mergeCell ref="L276:N276"/>
    <mergeCell ref="D284:D285"/>
    <mergeCell ref="E284:E285"/>
    <mergeCell ref="F284:H284"/>
    <mergeCell ref="I284:K284"/>
    <mergeCell ref="L284:N284"/>
    <mergeCell ref="D260:D261"/>
    <mergeCell ref="E260:E261"/>
    <mergeCell ref="F260:H260"/>
    <mergeCell ref="I260:K260"/>
    <mergeCell ref="L260:N260"/>
    <mergeCell ref="D268:D269"/>
    <mergeCell ref="E268:E269"/>
    <mergeCell ref="F268:H268"/>
    <mergeCell ref="I268:K268"/>
    <mergeCell ref="L268:N268"/>
    <mergeCell ref="D244:D245"/>
    <mergeCell ref="E244:E245"/>
    <mergeCell ref="F244:H244"/>
    <mergeCell ref="I244:K244"/>
    <mergeCell ref="L244:N244"/>
    <mergeCell ref="D252:D253"/>
    <mergeCell ref="E252:E253"/>
    <mergeCell ref="F252:H252"/>
    <mergeCell ref="I252:K252"/>
    <mergeCell ref="L252:N252"/>
    <mergeCell ref="D228:D229"/>
    <mergeCell ref="E228:E229"/>
    <mergeCell ref="F228:H228"/>
    <mergeCell ref="I228:K228"/>
    <mergeCell ref="L228:N228"/>
    <mergeCell ref="D236:D237"/>
    <mergeCell ref="E236:E237"/>
    <mergeCell ref="F236:H236"/>
    <mergeCell ref="I236:K236"/>
    <mergeCell ref="L236:N236"/>
    <mergeCell ref="D212:D213"/>
    <mergeCell ref="E212:E213"/>
    <mergeCell ref="F212:H212"/>
    <mergeCell ref="I212:K212"/>
    <mergeCell ref="L212:N212"/>
    <mergeCell ref="D220:D221"/>
    <mergeCell ref="E220:E221"/>
    <mergeCell ref="F220:H220"/>
    <mergeCell ref="I220:K220"/>
    <mergeCell ref="L220:N220"/>
    <mergeCell ref="D196:D197"/>
    <mergeCell ref="E196:E197"/>
    <mergeCell ref="F196:H196"/>
    <mergeCell ref="I196:K196"/>
    <mergeCell ref="L196:N196"/>
    <mergeCell ref="D204:D205"/>
    <mergeCell ref="E204:E205"/>
    <mergeCell ref="F204:H204"/>
    <mergeCell ref="I204:K204"/>
    <mergeCell ref="L204:N204"/>
    <mergeCell ref="D180:D181"/>
    <mergeCell ref="E180:E181"/>
    <mergeCell ref="F180:H180"/>
    <mergeCell ref="I180:K180"/>
    <mergeCell ref="L180:N180"/>
    <mergeCell ref="D188:D189"/>
    <mergeCell ref="E188:E189"/>
    <mergeCell ref="F188:H188"/>
    <mergeCell ref="I188:K188"/>
    <mergeCell ref="L188:N188"/>
    <mergeCell ref="D172:D173"/>
    <mergeCell ref="E172:E173"/>
    <mergeCell ref="F172:H172"/>
    <mergeCell ref="I172:K172"/>
    <mergeCell ref="L172:N172"/>
    <mergeCell ref="D164:D165"/>
    <mergeCell ref="E164:E165"/>
    <mergeCell ref="F164:H164"/>
    <mergeCell ref="I164:K164"/>
    <mergeCell ref="L164:N164"/>
    <mergeCell ref="D156:D157"/>
    <mergeCell ref="E156:E157"/>
    <mergeCell ref="F156:H156"/>
    <mergeCell ref="I156:K156"/>
    <mergeCell ref="L156:N156"/>
    <mergeCell ref="D148:D149"/>
    <mergeCell ref="E148:E149"/>
    <mergeCell ref="F148:H148"/>
    <mergeCell ref="I148:K148"/>
    <mergeCell ref="L148:N148"/>
    <mergeCell ref="D140:D141"/>
    <mergeCell ref="E140:E141"/>
    <mergeCell ref="F140:H140"/>
    <mergeCell ref="I140:K140"/>
    <mergeCell ref="L140:N140"/>
    <mergeCell ref="D3:D4"/>
    <mergeCell ref="E3:E4"/>
    <mergeCell ref="I3:K3"/>
    <mergeCell ref="L3:N3"/>
    <mergeCell ref="D44:D45"/>
    <mergeCell ref="E44:E45"/>
    <mergeCell ref="F44:H44"/>
    <mergeCell ref="I44:K44"/>
    <mergeCell ref="L44:N44"/>
    <mergeCell ref="D36:D37"/>
    <mergeCell ref="E36:E37"/>
    <mergeCell ref="F36:H36"/>
    <mergeCell ref="I36:K36"/>
    <mergeCell ref="L36:N36"/>
    <mergeCell ref="D60:D61"/>
    <mergeCell ref="E60:E61"/>
    <mergeCell ref="F60:H60"/>
    <mergeCell ref="I60:K60"/>
    <mergeCell ref="L60:N60"/>
    <mergeCell ref="E1:H1"/>
    <mergeCell ref="E2:H2"/>
    <mergeCell ref="F3:H3"/>
    <mergeCell ref="D28:D29"/>
    <mergeCell ref="E28:E29"/>
    <mergeCell ref="F28:H28"/>
    <mergeCell ref="I28:K28"/>
    <mergeCell ref="L28:N28"/>
    <mergeCell ref="D20:D21"/>
    <mergeCell ref="E20:E21"/>
    <mergeCell ref="F20:H20"/>
    <mergeCell ref="I20:K20"/>
    <mergeCell ref="L20:N20"/>
    <mergeCell ref="D84:D85"/>
    <mergeCell ref="E84:E85"/>
    <mergeCell ref="F84:H84"/>
    <mergeCell ref="I84:K84"/>
    <mergeCell ref="L84:N84"/>
    <mergeCell ref="D52:D53"/>
    <mergeCell ref="E52:E53"/>
    <mergeCell ref="F52:H52"/>
    <mergeCell ref="I52:K52"/>
    <mergeCell ref="L52:N52"/>
    <mergeCell ref="D76:D77"/>
    <mergeCell ref="E76:E77"/>
    <mergeCell ref="F76:H76"/>
    <mergeCell ref="I76:K76"/>
    <mergeCell ref="L76:N76"/>
    <mergeCell ref="D68:D69"/>
    <mergeCell ref="E68:E69"/>
    <mergeCell ref="F68:H68"/>
    <mergeCell ref="I68:K68"/>
    <mergeCell ref="L68:N68"/>
    <mergeCell ref="D100:D101"/>
    <mergeCell ref="E100:E101"/>
    <mergeCell ref="F100:H100"/>
    <mergeCell ref="I100:K100"/>
    <mergeCell ref="L100:N100"/>
    <mergeCell ref="D92:D93"/>
    <mergeCell ref="E92:E93"/>
    <mergeCell ref="F92:H92"/>
    <mergeCell ref="I92:K92"/>
    <mergeCell ref="L92:N92"/>
    <mergeCell ref="D116:D117"/>
    <mergeCell ref="E116:E117"/>
    <mergeCell ref="F116:H116"/>
    <mergeCell ref="I116:K116"/>
    <mergeCell ref="L116:N116"/>
    <mergeCell ref="D108:D109"/>
    <mergeCell ref="E108:E109"/>
    <mergeCell ref="F108:H108"/>
    <mergeCell ref="I108:K108"/>
    <mergeCell ref="L108:N108"/>
    <mergeCell ref="D132:D133"/>
    <mergeCell ref="E132:E133"/>
    <mergeCell ref="F132:H132"/>
    <mergeCell ref="I132:K132"/>
    <mergeCell ref="L132:N132"/>
    <mergeCell ref="D124:D125"/>
    <mergeCell ref="E124:E125"/>
    <mergeCell ref="F124:H124"/>
    <mergeCell ref="I124:K124"/>
    <mergeCell ref="L124:N124"/>
  </mergeCells>
  <conditionalFormatting sqref="E516">
    <cfRule type="cellIs" dxfId="565" priority="4" operator="equal">
      <formula>1</formula>
    </cfRule>
    <cfRule type="cellIs" dxfId="564" priority="5" operator="lessThan">
      <formula>1</formula>
    </cfRule>
    <cfRule type="cellIs" dxfId="563" priority="6" operator="greaterThan">
      <formula>1</formula>
    </cfRule>
  </conditionalFormatting>
  <conditionalFormatting sqref="F521:N521">
    <cfRule type="cellIs" dxfId="562" priority="1" operator="equal">
      <formula>0</formula>
    </cfRule>
    <cfRule type="cellIs" dxfId="561" priority="2" operator="lessThan">
      <formula>0</formula>
    </cfRule>
    <cfRule type="cellIs" dxfId="560" priority="3" operator="greaterThan">
      <formula>0</formula>
    </cfRule>
  </conditionalFormatting>
  <pageMargins left="0.7" right="0.7" top="0.75" bottom="0.75" header="0.3" footer="0.3"/>
  <pageSetup paperSize="17" orientation="landscape"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>
    <tabColor rgb="FF92D050"/>
  </sheetPr>
  <dimension ref="A1:X497"/>
  <sheetViews>
    <sheetView workbookViewId="0"/>
  </sheetViews>
  <sheetFormatPr defaultColWidth="9.140625" defaultRowHeight="15" x14ac:dyDescent="0.25"/>
  <cols>
    <col min="1" max="1" width="5.42578125" style="519" customWidth="1"/>
    <col min="2" max="2" width="15.7109375" style="519" customWidth="1"/>
    <col min="3" max="3" width="11" style="519" customWidth="1"/>
    <col min="4" max="4" width="16.42578125" style="519" customWidth="1"/>
    <col min="5" max="5" width="17.140625" style="519" customWidth="1"/>
    <col min="6" max="10" width="16.42578125" style="519" customWidth="1"/>
    <col min="11" max="13" width="9.140625" style="519"/>
    <col min="14" max="14" width="25.85546875" style="519" bestFit="1" customWidth="1"/>
    <col min="15" max="15" width="19.42578125" style="519" bestFit="1" customWidth="1"/>
    <col min="16" max="17" width="17.28515625" style="519" bestFit="1" customWidth="1"/>
    <col min="18" max="18" width="9.140625" style="519"/>
    <col min="19" max="19" width="13.42578125" style="519" bestFit="1" customWidth="1"/>
    <col min="20" max="21" width="14.28515625" style="519" bestFit="1" customWidth="1"/>
    <col min="22" max="22" width="22.7109375" style="519" bestFit="1" customWidth="1"/>
    <col min="23" max="23" width="29.42578125" style="519" bestFit="1" customWidth="1"/>
    <col min="24" max="16384" width="9.140625" style="519"/>
  </cols>
  <sheetData>
    <row r="1" spans="1:24" ht="53.25" thickBot="1" x14ac:dyDescent="0.3">
      <c r="A1" s="518" t="s">
        <v>0</v>
      </c>
      <c r="B1" s="518" t="s">
        <v>170</v>
      </c>
      <c r="C1" s="518" t="s">
        <v>1</v>
      </c>
      <c r="D1" s="518" t="s">
        <v>2</v>
      </c>
      <c r="E1" s="518" t="s">
        <v>3</v>
      </c>
      <c r="F1" s="518" t="s">
        <v>4</v>
      </c>
      <c r="G1" s="518" t="s">
        <v>298</v>
      </c>
      <c r="H1" s="518" t="s">
        <v>297</v>
      </c>
      <c r="I1" s="518" t="s">
        <v>296</v>
      </c>
      <c r="J1" s="518" t="s">
        <v>295</v>
      </c>
      <c r="L1" s="519" t="str" cm="1">
        <f t="array" ref="L1:L63">_xlfn.UNIQUE(C3:C1048576)</f>
        <v>Kings</v>
      </c>
      <c r="N1" s="1" t="s">
        <v>283</v>
      </c>
      <c r="O1" t="s">
        <v>506</v>
      </c>
    </row>
    <row r="2" spans="1:24" x14ac:dyDescent="0.25">
      <c r="A2" s="581"/>
      <c r="B2" s="581"/>
      <c r="C2" s="581"/>
      <c r="D2" s="581"/>
      <c r="E2" s="581"/>
      <c r="F2" s="581"/>
      <c r="G2" s="582"/>
      <c r="H2" s="582"/>
      <c r="I2" s="582"/>
      <c r="J2" s="582"/>
      <c r="L2" s="519" t="str">
        <v>Queens</v>
      </c>
      <c r="R2" s="531"/>
      <c r="S2" s="532"/>
      <c r="T2" s="532"/>
      <c r="U2" s="532"/>
      <c r="V2" s="532"/>
      <c r="W2" s="532"/>
      <c r="X2" s="533"/>
    </row>
    <row r="3" spans="1:24" ht="21" x14ac:dyDescent="0.25">
      <c r="A3" s="581">
        <v>2</v>
      </c>
      <c r="B3" s="581" t="s">
        <v>1206</v>
      </c>
      <c r="C3" s="713" t="s">
        <v>365</v>
      </c>
      <c r="D3" s="581" t="s">
        <v>491</v>
      </c>
      <c r="E3" s="581" t="s">
        <v>13</v>
      </c>
      <c r="F3" s="713" t="s">
        <v>20</v>
      </c>
      <c r="G3" s="582">
        <v>0</v>
      </c>
      <c r="H3" s="582">
        <v>0</v>
      </c>
      <c r="I3" s="582">
        <v>2</v>
      </c>
      <c r="J3" s="582">
        <v>0</v>
      </c>
      <c r="L3" s="519" t="str">
        <v>Nassau</v>
      </c>
      <c r="N3" s="1" t="s">
        <v>23</v>
      </c>
      <c r="O3" s="1" t="s">
        <v>24</v>
      </c>
      <c r="P3"/>
      <c r="Q3"/>
      <c r="R3" s="534"/>
      <c r="S3"/>
      <c r="T3" s="526">
        <f>'Schedule 3c'!H14</f>
        <v>2983787.0813338077</v>
      </c>
      <c r="U3" s="526">
        <f>'Schedule 3b'!H14</f>
        <v>5530124.9443754954</v>
      </c>
      <c r="V3"/>
      <c r="W3"/>
      <c r="X3" s="535"/>
    </row>
    <row r="4" spans="1:24" ht="21" x14ac:dyDescent="0.25">
      <c r="A4" s="581">
        <v>3</v>
      </c>
      <c r="B4" s="581" t="s">
        <v>1206</v>
      </c>
      <c r="C4" s="713" t="s">
        <v>339</v>
      </c>
      <c r="D4" s="581" t="s">
        <v>870</v>
      </c>
      <c r="E4" s="581" t="s">
        <v>13</v>
      </c>
      <c r="F4" s="713" t="s">
        <v>20</v>
      </c>
      <c r="G4" s="582">
        <v>0</v>
      </c>
      <c r="H4" s="582">
        <v>0</v>
      </c>
      <c r="I4" s="582">
        <v>2</v>
      </c>
      <c r="J4" s="582">
        <v>0</v>
      </c>
      <c r="L4" s="519" t="str">
        <v>Richmond</v>
      </c>
      <c r="N4" s="1" t="s">
        <v>21</v>
      </c>
      <c r="O4" t="s">
        <v>421</v>
      </c>
      <c r="P4" t="s">
        <v>428</v>
      </c>
      <c r="Q4"/>
      <c r="R4" s="534"/>
      <c r="S4" s="527"/>
      <c r="T4" s="527" t="s">
        <v>460</v>
      </c>
      <c r="U4" s="527" t="s">
        <v>461</v>
      </c>
      <c r="V4" s="527" t="s">
        <v>462</v>
      </c>
      <c r="W4" s="528" t="s">
        <v>463</v>
      </c>
      <c r="X4" s="535"/>
    </row>
    <row r="5" spans="1:24" ht="21" x14ac:dyDescent="0.25">
      <c r="A5" s="581">
        <v>4</v>
      </c>
      <c r="B5" s="581" t="s">
        <v>1206</v>
      </c>
      <c r="C5" s="713" t="s">
        <v>329</v>
      </c>
      <c r="D5" s="581" t="s">
        <v>465</v>
      </c>
      <c r="E5" s="581" t="s">
        <v>13</v>
      </c>
      <c r="F5" s="713" t="s">
        <v>20</v>
      </c>
      <c r="G5" s="582">
        <v>1</v>
      </c>
      <c r="H5" s="582">
        <v>1</v>
      </c>
      <c r="I5" s="582">
        <v>14</v>
      </c>
      <c r="J5" s="582">
        <v>1</v>
      </c>
      <c r="L5" s="519">
        <v>0</v>
      </c>
      <c r="N5" s="2" t="s">
        <v>303</v>
      </c>
      <c r="O5" s="3">
        <v>2.8863005701790602E-2</v>
      </c>
      <c r="P5" s="3">
        <v>2.0511820074421632E-2</v>
      </c>
      <c r="Q5"/>
      <c r="R5" s="513">
        <v>1</v>
      </c>
      <c r="S5" s="529" t="str">
        <f>N5</f>
        <v>Albany</v>
      </c>
      <c r="T5" s="574">
        <f>O5</f>
        <v>2.8863005701790602E-2</v>
      </c>
      <c r="U5" s="574">
        <f>P5</f>
        <v>2.0511820074421632E-2</v>
      </c>
      <c r="V5" s="530">
        <f>$T$3*T5</f>
        <v>86121.063541466836</v>
      </c>
      <c r="W5" s="530">
        <f>$U$3*U5</f>
        <v>113432.9278481011</v>
      </c>
      <c r="X5" s="535"/>
    </row>
    <row r="6" spans="1:24" ht="21" x14ac:dyDescent="0.25">
      <c r="A6" s="581">
        <v>5</v>
      </c>
      <c r="B6" s="581" t="s">
        <v>1206</v>
      </c>
      <c r="C6" s="713" t="s">
        <v>329</v>
      </c>
      <c r="D6" s="581" t="s">
        <v>458</v>
      </c>
      <c r="E6" s="581" t="s">
        <v>13</v>
      </c>
      <c r="F6" s="713" t="s">
        <v>20</v>
      </c>
      <c r="G6" s="582">
        <v>0</v>
      </c>
      <c r="H6" s="582">
        <v>0</v>
      </c>
      <c r="I6" s="582">
        <v>3</v>
      </c>
      <c r="J6" s="582">
        <v>0</v>
      </c>
      <c r="L6" s="519" t="str">
        <v>Monroe</v>
      </c>
      <c r="N6" s="2" t="s">
        <v>304</v>
      </c>
      <c r="O6" s="3">
        <v>6.0503815062404201E-4</v>
      </c>
      <c r="P6" s="3">
        <v>0</v>
      </c>
      <c r="Q6"/>
      <c r="R6" s="513">
        <v>2</v>
      </c>
      <c r="S6" s="529" t="str">
        <f t="shared" ref="S6:S69" si="0">N6</f>
        <v>Allegany</v>
      </c>
      <c r="T6" s="574">
        <f t="shared" ref="T6:T69" si="1">O6</f>
        <v>6.0503815062404201E-4</v>
      </c>
      <c r="U6" s="574">
        <f t="shared" ref="U6:U69" si="2">P6</f>
        <v>0</v>
      </c>
      <c r="V6" s="530">
        <f t="shared" ref="V6:V10" si="3">$T$3*T6</f>
        <v>1805.3050175461151</v>
      </c>
      <c r="W6" s="530">
        <f t="shared" ref="W6:W10" si="4">$U$3*U6</f>
        <v>0</v>
      </c>
      <c r="X6" s="535"/>
    </row>
    <row r="7" spans="1:24" ht="21" x14ac:dyDescent="0.25">
      <c r="A7" s="581">
        <v>6</v>
      </c>
      <c r="B7" s="581" t="s">
        <v>1206</v>
      </c>
      <c r="C7" s="713" t="s">
        <v>339</v>
      </c>
      <c r="D7" s="581" t="s">
        <v>459</v>
      </c>
      <c r="E7" s="581" t="s">
        <v>13</v>
      </c>
      <c r="F7" s="713" t="s">
        <v>20</v>
      </c>
      <c r="G7" s="582">
        <v>8</v>
      </c>
      <c r="H7" s="582">
        <v>7</v>
      </c>
      <c r="I7" s="582">
        <v>14</v>
      </c>
      <c r="J7" s="582">
        <v>1</v>
      </c>
      <c r="L7" s="519" t="str">
        <v>Albany</v>
      </c>
      <c r="N7" s="2" t="s">
        <v>305</v>
      </c>
      <c r="O7" s="3">
        <v>0.10098052035465671</v>
      </c>
      <c r="P7" s="3">
        <v>0.12406044830038239</v>
      </c>
      <c r="Q7"/>
      <c r="R7" s="513">
        <v>3</v>
      </c>
      <c r="S7" s="529" t="str">
        <f t="shared" si="0"/>
        <v>Bronx</v>
      </c>
      <c r="T7" s="574">
        <f t="shared" si="1"/>
        <v>0.10098052035465671</v>
      </c>
      <c r="U7" s="574">
        <f t="shared" si="2"/>
        <v>0.12406044830038239</v>
      </c>
      <c r="V7" s="530">
        <f t="shared" si="3"/>
        <v>301304.37210059032</v>
      </c>
      <c r="W7" s="530">
        <f t="shared" si="4"/>
        <v>686069.77975635114</v>
      </c>
      <c r="X7" s="535"/>
    </row>
    <row r="8" spans="1:24" ht="21" x14ac:dyDescent="0.25">
      <c r="A8" s="581">
        <v>7</v>
      </c>
      <c r="B8" s="581" t="s">
        <v>1206</v>
      </c>
      <c r="C8" s="713" t="s">
        <v>339</v>
      </c>
      <c r="D8" s="581" t="s">
        <v>248</v>
      </c>
      <c r="E8" s="581" t="s">
        <v>16</v>
      </c>
      <c r="F8" s="713" t="s">
        <v>20</v>
      </c>
      <c r="G8" s="582">
        <v>1</v>
      </c>
      <c r="H8" s="582">
        <v>1</v>
      </c>
      <c r="I8" s="582">
        <v>0</v>
      </c>
      <c r="J8" s="582">
        <v>0</v>
      </c>
      <c r="L8" s="519" t="str">
        <v>Allegany</v>
      </c>
      <c r="N8" s="2" t="s">
        <v>306</v>
      </c>
      <c r="O8" s="3">
        <v>1.3044882123262387E-2</v>
      </c>
      <c r="P8" s="3">
        <v>0</v>
      </c>
      <c r="Q8"/>
      <c r="R8" s="513">
        <v>4</v>
      </c>
      <c r="S8" s="529" t="str">
        <f t="shared" si="0"/>
        <v>Broome</v>
      </c>
      <c r="T8" s="574">
        <f t="shared" si="1"/>
        <v>1.3044882123262387E-2</v>
      </c>
      <c r="U8" s="574">
        <f t="shared" si="2"/>
        <v>0</v>
      </c>
      <c r="V8" s="530">
        <f t="shared" si="3"/>
        <v>38923.150756912641</v>
      </c>
      <c r="W8" s="530">
        <f t="shared" si="4"/>
        <v>0</v>
      </c>
      <c r="X8" s="535"/>
    </row>
    <row r="9" spans="1:24" ht="21" x14ac:dyDescent="0.25">
      <c r="A9" s="581">
        <v>8</v>
      </c>
      <c r="B9" s="581" t="s">
        <v>1206</v>
      </c>
      <c r="C9" s="713" t="s">
        <v>367</v>
      </c>
      <c r="D9" s="581" t="s">
        <v>866</v>
      </c>
      <c r="E9" s="581" t="s">
        <v>16</v>
      </c>
      <c r="F9" s="713" t="s">
        <v>20</v>
      </c>
      <c r="G9" s="582">
        <v>6</v>
      </c>
      <c r="H9" s="582">
        <v>5</v>
      </c>
      <c r="I9" s="582">
        <v>12</v>
      </c>
      <c r="J9" s="582">
        <v>0</v>
      </c>
      <c r="L9" s="519" t="str">
        <v>Bronx</v>
      </c>
      <c r="N9" s="2" t="s">
        <v>307</v>
      </c>
      <c r="O9" s="3">
        <v>2.4245220368889499E-3</v>
      </c>
      <c r="P9" s="3">
        <v>0</v>
      </c>
      <c r="Q9"/>
      <c r="R9" s="513">
        <v>5</v>
      </c>
      <c r="S9" s="529" t="str">
        <f t="shared" si="0"/>
        <v>Cattaraugus</v>
      </c>
      <c r="T9" s="574">
        <f t="shared" si="1"/>
        <v>2.4245220368889499E-3</v>
      </c>
      <c r="U9" s="574">
        <f t="shared" si="2"/>
        <v>0</v>
      </c>
      <c r="V9" s="530">
        <f t="shared" si="3"/>
        <v>7234.2575320783781</v>
      </c>
      <c r="W9" s="530">
        <f t="shared" si="4"/>
        <v>0</v>
      </c>
      <c r="X9" s="535"/>
    </row>
    <row r="10" spans="1:24" ht="21" x14ac:dyDescent="0.25">
      <c r="A10" s="581">
        <v>9</v>
      </c>
      <c r="B10" s="581" t="s">
        <v>1206</v>
      </c>
      <c r="C10" s="713" t="s">
        <v>339</v>
      </c>
      <c r="D10" s="581" t="s">
        <v>878</v>
      </c>
      <c r="E10" s="581" t="s">
        <v>434</v>
      </c>
      <c r="F10" s="713" t="s">
        <v>20</v>
      </c>
      <c r="G10" s="582">
        <v>18</v>
      </c>
      <c r="H10" s="582">
        <v>16</v>
      </c>
      <c r="I10" s="582">
        <v>23</v>
      </c>
      <c r="J10" s="582">
        <v>1</v>
      </c>
      <c r="L10" s="519" t="str">
        <v>Broome</v>
      </c>
      <c r="N10" s="2" t="s">
        <v>308</v>
      </c>
      <c r="O10" s="3">
        <v>2.2764753186393966E-3</v>
      </c>
      <c r="P10" s="3">
        <v>0</v>
      </c>
      <c r="Q10"/>
      <c r="R10" s="513">
        <v>6</v>
      </c>
      <c r="S10" s="529" t="str">
        <f t="shared" si="0"/>
        <v>Cayuga</v>
      </c>
      <c r="T10" s="574">
        <f t="shared" si="1"/>
        <v>2.2764753186393966E-3</v>
      </c>
      <c r="U10" s="574">
        <f t="shared" si="2"/>
        <v>0</v>
      </c>
      <c r="V10" s="530">
        <f t="shared" si="3"/>
        <v>6792.517646731495</v>
      </c>
      <c r="W10" s="530">
        <f t="shared" si="4"/>
        <v>0</v>
      </c>
      <c r="X10" s="535"/>
    </row>
    <row r="11" spans="1:24" ht="21" x14ac:dyDescent="0.25">
      <c r="A11" s="581">
        <v>10</v>
      </c>
      <c r="B11" s="581" t="s">
        <v>1206</v>
      </c>
      <c r="C11" s="713" t="s">
        <v>339</v>
      </c>
      <c r="D11" s="581" t="s">
        <v>874</v>
      </c>
      <c r="E11" s="581" t="s">
        <v>434</v>
      </c>
      <c r="F11" s="713" t="s">
        <v>20</v>
      </c>
      <c r="G11" s="582">
        <v>1</v>
      </c>
      <c r="H11" s="582">
        <v>1</v>
      </c>
      <c r="I11" s="582">
        <v>1</v>
      </c>
      <c r="J11" s="582">
        <v>0</v>
      </c>
      <c r="L11" s="519" t="str">
        <v>Cattaraugus</v>
      </c>
      <c r="N11" s="2" t="s">
        <v>309</v>
      </c>
      <c r="O11" s="3">
        <v>4.8428754605175017E-3</v>
      </c>
      <c r="P11" s="3">
        <v>0</v>
      </c>
      <c r="Q11"/>
      <c r="R11" s="513">
        <v>7</v>
      </c>
      <c r="S11" s="529" t="str">
        <f t="shared" si="0"/>
        <v>Chautauqua</v>
      </c>
      <c r="T11" s="574">
        <f t="shared" si="1"/>
        <v>4.8428754605175017E-3</v>
      </c>
      <c r="U11" s="574">
        <f t="shared" si="2"/>
        <v>0</v>
      </c>
      <c r="V11" s="530">
        <f t="shared" ref="V11:V72" si="5">$T$3*T11</f>
        <v>14450.109235600636</v>
      </c>
      <c r="W11" s="530">
        <f t="shared" ref="W11:W72" si="6">$U$3*U11</f>
        <v>0</v>
      </c>
      <c r="X11" s="535"/>
    </row>
    <row r="12" spans="1:24" x14ac:dyDescent="0.25">
      <c r="A12" s="581"/>
      <c r="B12" s="581"/>
      <c r="C12" s="581"/>
      <c r="D12" s="581"/>
      <c r="E12" s="581"/>
      <c r="F12" s="581"/>
      <c r="G12" s="582"/>
      <c r="H12" s="582"/>
      <c r="I12" s="582"/>
      <c r="J12" s="582"/>
      <c r="L12" s="519" t="str">
        <v>Cayuga</v>
      </c>
      <c r="N12" s="2" t="s">
        <v>310</v>
      </c>
      <c r="O12" s="3">
        <v>4.5517940222924687E-3</v>
      </c>
      <c r="P12" s="3">
        <v>0</v>
      </c>
      <c r="Q12"/>
      <c r="R12" s="513">
        <v>8</v>
      </c>
      <c r="S12" s="529" t="str">
        <f t="shared" si="0"/>
        <v>Chemung</v>
      </c>
      <c r="T12" s="574">
        <f t="shared" si="1"/>
        <v>4.5517940222924687E-3</v>
      </c>
      <c r="U12" s="574">
        <f t="shared" si="2"/>
        <v>0</v>
      </c>
      <c r="V12" s="530">
        <f t="shared" si="5"/>
        <v>13581.584200608719</v>
      </c>
      <c r="W12" s="530">
        <f t="shared" si="6"/>
        <v>0</v>
      </c>
      <c r="X12" s="535"/>
    </row>
    <row r="13" spans="1:24" ht="31.5" x14ac:dyDescent="0.25">
      <c r="A13" s="581">
        <v>12</v>
      </c>
      <c r="B13" s="581" t="s">
        <v>1207</v>
      </c>
      <c r="C13" s="713" t="s">
        <v>367</v>
      </c>
      <c r="D13" s="581" t="s">
        <v>864</v>
      </c>
      <c r="E13" s="581" t="s">
        <v>16</v>
      </c>
      <c r="F13" s="713" t="s">
        <v>15</v>
      </c>
      <c r="G13" s="582">
        <v>1</v>
      </c>
      <c r="H13" s="582">
        <v>1</v>
      </c>
      <c r="I13" s="582">
        <v>0</v>
      </c>
      <c r="J13" s="582">
        <v>0</v>
      </c>
      <c r="L13" s="519" t="str">
        <v>Chautauqua</v>
      </c>
      <c r="N13" s="2" t="s">
        <v>360</v>
      </c>
      <c r="O13" s="3">
        <v>2.3404746812160262E-3</v>
      </c>
      <c r="P13" s="3">
        <v>0</v>
      </c>
      <c r="Q13"/>
      <c r="R13" s="513">
        <v>9</v>
      </c>
      <c r="S13" s="529" t="str">
        <f t="shared" si="0"/>
        <v>Chenango</v>
      </c>
      <c r="T13" s="574">
        <f t="shared" si="1"/>
        <v>2.3404746812160262E-3</v>
      </c>
      <c r="U13" s="574">
        <f t="shared" si="2"/>
        <v>0</v>
      </c>
      <c r="V13" s="530">
        <f t="shared" si="5"/>
        <v>6983.4781180012405</v>
      </c>
      <c r="W13" s="530">
        <f t="shared" si="6"/>
        <v>0</v>
      </c>
      <c r="X13" s="535"/>
    </row>
    <row r="14" spans="1:24" ht="31.5" x14ac:dyDescent="0.25">
      <c r="A14" s="581">
        <v>13</v>
      </c>
      <c r="B14" s="581" t="s">
        <v>1207</v>
      </c>
      <c r="C14" s="713" t="s">
        <v>365</v>
      </c>
      <c r="D14" s="581" t="s">
        <v>861</v>
      </c>
      <c r="E14" s="581" t="s">
        <v>14</v>
      </c>
      <c r="F14" s="713" t="s">
        <v>15</v>
      </c>
      <c r="G14" s="582">
        <v>0</v>
      </c>
      <c r="H14" s="582">
        <v>0</v>
      </c>
      <c r="I14" s="582">
        <v>1</v>
      </c>
      <c r="J14" s="582">
        <v>0</v>
      </c>
      <c r="L14" s="519" t="str">
        <v>Chemung</v>
      </c>
      <c r="N14" s="2" t="s">
        <v>311</v>
      </c>
      <c r="O14" s="3">
        <v>1.9496030722264293E-3</v>
      </c>
      <c r="P14" s="3">
        <v>0</v>
      </c>
      <c r="Q14"/>
      <c r="R14" s="513">
        <v>10</v>
      </c>
      <c r="S14" s="529" t="str">
        <f t="shared" si="0"/>
        <v>Clinton</v>
      </c>
      <c r="T14" s="574">
        <f t="shared" si="1"/>
        <v>1.9496030722264293E-3</v>
      </c>
      <c r="U14" s="574">
        <f t="shared" si="2"/>
        <v>0</v>
      </c>
      <c r="V14" s="530">
        <f t="shared" si="5"/>
        <v>5817.2004606379223</v>
      </c>
      <c r="W14" s="530">
        <f t="shared" si="6"/>
        <v>0</v>
      </c>
      <c r="X14" s="535"/>
    </row>
    <row r="15" spans="1:24" ht="21.75" thickBot="1" x14ac:dyDescent="0.3">
      <c r="A15" s="581">
        <v>14</v>
      </c>
      <c r="B15" s="581" t="s">
        <v>1207</v>
      </c>
      <c r="C15" s="713" t="s">
        <v>285</v>
      </c>
      <c r="D15" s="581" t="s">
        <v>876</v>
      </c>
      <c r="E15" s="581" t="s">
        <v>434</v>
      </c>
      <c r="F15" s="713" t="s">
        <v>15</v>
      </c>
      <c r="G15" s="582">
        <v>0</v>
      </c>
      <c r="H15" s="582">
        <v>0</v>
      </c>
      <c r="I15" s="582">
        <v>1</v>
      </c>
      <c r="J15" s="582">
        <v>0</v>
      </c>
      <c r="L15" s="519" t="str">
        <v>Chenango</v>
      </c>
      <c r="N15" s="2" t="s">
        <v>312</v>
      </c>
      <c r="O15" s="3">
        <v>5.0344880099186158E-4</v>
      </c>
      <c r="P15" s="3">
        <v>2.1891340417572186E-4</v>
      </c>
      <c r="Q15"/>
      <c r="R15" s="513">
        <v>11</v>
      </c>
      <c r="S15" s="529" t="str">
        <f t="shared" si="0"/>
        <v>Columbia</v>
      </c>
      <c r="T15" s="574">
        <f t="shared" si="1"/>
        <v>5.0344880099186158E-4</v>
      </c>
      <c r="U15" s="574">
        <f t="shared" si="2"/>
        <v>2.1891340417572186E-4</v>
      </c>
      <c r="V15" s="530">
        <f t="shared" si="5"/>
        <v>1502.1840285125115</v>
      </c>
      <c r="W15" s="530">
        <f t="shared" si="6"/>
        <v>1210.6184770903142</v>
      </c>
      <c r="X15" s="536"/>
    </row>
    <row r="16" spans="1:24" x14ac:dyDescent="0.25">
      <c r="A16" s="581"/>
      <c r="B16" s="581"/>
      <c r="C16" s="581"/>
      <c r="D16" s="581"/>
      <c r="E16" s="581"/>
      <c r="F16" s="581"/>
      <c r="G16" s="582"/>
      <c r="H16" s="582"/>
      <c r="I16" s="582"/>
      <c r="J16" s="582"/>
      <c r="L16" s="519" t="str">
        <v>Clinton</v>
      </c>
      <c r="N16" s="2" t="s">
        <v>313</v>
      </c>
      <c r="O16" s="3">
        <v>1.1321975588355585E-3</v>
      </c>
      <c r="P16" s="3">
        <v>0</v>
      </c>
      <c r="Q16"/>
      <c r="R16" s="513">
        <v>12</v>
      </c>
      <c r="S16" s="529" t="str">
        <f t="shared" si="0"/>
        <v>Cortland</v>
      </c>
      <c r="T16" s="574">
        <f t="shared" si="1"/>
        <v>1.1321975588355585E-3</v>
      </c>
      <c r="U16" s="574">
        <f t="shared" si="2"/>
        <v>0</v>
      </c>
      <c r="V16" s="530">
        <f t="shared" si="5"/>
        <v>3378.2364495712131</v>
      </c>
      <c r="W16" s="530">
        <f t="shared" si="6"/>
        <v>0</v>
      </c>
    </row>
    <row r="17" spans="1:23" ht="21" x14ac:dyDescent="0.25">
      <c r="A17" s="581">
        <v>16</v>
      </c>
      <c r="B17" s="581" t="s">
        <v>1206</v>
      </c>
      <c r="C17" s="581" t="s">
        <v>303</v>
      </c>
      <c r="D17" s="581" t="s">
        <v>248</v>
      </c>
      <c r="E17" s="581" t="s">
        <v>16</v>
      </c>
      <c r="F17" s="713" t="s">
        <v>20</v>
      </c>
      <c r="G17" s="582">
        <v>1</v>
      </c>
      <c r="H17" s="582">
        <v>1</v>
      </c>
      <c r="I17" s="582">
        <v>1</v>
      </c>
      <c r="J17" s="582">
        <v>1</v>
      </c>
      <c r="L17" s="519" t="str">
        <v>Columbia</v>
      </c>
      <c r="N17" s="2" t="s">
        <v>314</v>
      </c>
      <c r="O17" s="3">
        <v>1.0651138896287298E-3</v>
      </c>
      <c r="P17" s="3">
        <v>0</v>
      </c>
      <c r="Q17"/>
      <c r="R17" s="513">
        <v>13</v>
      </c>
      <c r="S17" s="529" t="str">
        <f t="shared" si="0"/>
        <v>Delaware</v>
      </c>
      <c r="T17" s="574">
        <f t="shared" si="1"/>
        <v>1.0651138896287298E-3</v>
      </c>
      <c r="U17" s="574">
        <f t="shared" si="2"/>
        <v>0</v>
      </c>
      <c r="V17" s="530">
        <f t="shared" si="5"/>
        <v>3178.0730640234069</v>
      </c>
      <c r="W17" s="530">
        <f t="shared" si="6"/>
        <v>0</v>
      </c>
    </row>
    <row r="18" spans="1:23" ht="21" x14ac:dyDescent="0.25">
      <c r="A18" s="581">
        <v>17</v>
      </c>
      <c r="B18" s="581" t="s">
        <v>1206</v>
      </c>
      <c r="C18" s="581" t="s">
        <v>303</v>
      </c>
      <c r="D18" s="581" t="s">
        <v>914</v>
      </c>
      <c r="E18" s="581" t="s">
        <v>434</v>
      </c>
      <c r="F18" s="713" t="s">
        <v>20</v>
      </c>
      <c r="G18" s="582">
        <v>5</v>
      </c>
      <c r="H18" s="582">
        <v>3</v>
      </c>
      <c r="I18" s="582">
        <v>1</v>
      </c>
      <c r="J18" s="582">
        <v>0</v>
      </c>
      <c r="L18" s="519" t="str">
        <v>Cortland</v>
      </c>
      <c r="N18" s="2" t="s">
        <v>315</v>
      </c>
      <c r="O18" s="3">
        <v>8.4414902213022138E-3</v>
      </c>
      <c r="P18" s="3">
        <v>0</v>
      </c>
      <c r="Q18"/>
      <c r="R18" s="513">
        <v>14</v>
      </c>
      <c r="S18" s="529" t="str">
        <f t="shared" si="0"/>
        <v>Dutchess</v>
      </c>
      <c r="T18" s="574">
        <f t="shared" si="1"/>
        <v>8.4414902213022138E-3</v>
      </c>
      <c r="U18" s="574">
        <f t="shared" si="2"/>
        <v>0</v>
      </c>
      <c r="V18" s="530">
        <f t="shared" si="5"/>
        <v>25187.609469527211</v>
      </c>
      <c r="W18" s="530">
        <f t="shared" si="6"/>
        <v>0</v>
      </c>
    </row>
    <row r="19" spans="1:23" ht="21" x14ac:dyDescent="0.25">
      <c r="A19" s="581">
        <v>18</v>
      </c>
      <c r="B19" s="581" t="s">
        <v>1206</v>
      </c>
      <c r="C19" s="581" t="s">
        <v>303</v>
      </c>
      <c r="D19" s="581" t="s">
        <v>906</v>
      </c>
      <c r="E19" s="581" t="s">
        <v>14</v>
      </c>
      <c r="F19" s="713" t="s">
        <v>20</v>
      </c>
      <c r="G19" s="582">
        <v>49</v>
      </c>
      <c r="H19" s="582">
        <v>26</v>
      </c>
      <c r="I19" s="582">
        <v>207</v>
      </c>
      <c r="J19" s="582">
        <v>29</v>
      </c>
      <c r="L19" s="519" t="str">
        <v>Delaware</v>
      </c>
      <c r="N19" s="2" t="s">
        <v>316</v>
      </c>
      <c r="O19" s="3">
        <v>2.6305537197862446E-2</v>
      </c>
      <c r="P19" s="3">
        <v>0</v>
      </c>
      <c r="Q19"/>
      <c r="R19" s="513">
        <v>15</v>
      </c>
      <c r="S19" s="529" t="str">
        <f t="shared" si="0"/>
        <v>Erie</v>
      </c>
      <c r="T19" s="574">
        <f t="shared" si="1"/>
        <v>2.6305537197862446E-2</v>
      </c>
      <c r="U19" s="574">
        <f t="shared" si="2"/>
        <v>0</v>
      </c>
      <c r="V19" s="530">
        <f t="shared" si="5"/>
        <v>78490.122058527893</v>
      </c>
      <c r="W19" s="530">
        <f t="shared" si="6"/>
        <v>0</v>
      </c>
    </row>
    <row r="20" spans="1:23" ht="21" x14ac:dyDescent="0.25">
      <c r="A20" s="581">
        <v>19</v>
      </c>
      <c r="B20" s="581" t="s">
        <v>1206</v>
      </c>
      <c r="C20" s="581" t="s">
        <v>303</v>
      </c>
      <c r="D20" s="581" t="s">
        <v>894</v>
      </c>
      <c r="E20" s="581" t="s">
        <v>14</v>
      </c>
      <c r="F20" s="713" t="s">
        <v>20</v>
      </c>
      <c r="G20" s="582">
        <v>2</v>
      </c>
      <c r="H20" s="582">
        <v>1</v>
      </c>
      <c r="I20" s="582">
        <v>0</v>
      </c>
      <c r="J20" s="582">
        <v>0</v>
      </c>
      <c r="L20" s="519" t="str">
        <v>Dutchess</v>
      </c>
      <c r="N20" s="2" t="s">
        <v>317</v>
      </c>
      <c r="O20" s="3">
        <v>2.022791098305527E-4</v>
      </c>
      <c r="P20" s="3">
        <v>0</v>
      </c>
      <c r="Q20"/>
      <c r="R20" s="513">
        <v>16</v>
      </c>
      <c r="S20" s="529" t="str">
        <f t="shared" si="0"/>
        <v>Essex</v>
      </c>
      <c r="T20" s="574">
        <f t="shared" si="1"/>
        <v>2.022791098305527E-4</v>
      </c>
      <c r="U20" s="574">
        <f t="shared" si="2"/>
        <v>0</v>
      </c>
      <c r="V20" s="530">
        <f t="shared" si="5"/>
        <v>603.55779473610551</v>
      </c>
      <c r="W20" s="530">
        <f t="shared" si="6"/>
        <v>0</v>
      </c>
    </row>
    <row r="21" spans="1:23" ht="21" x14ac:dyDescent="0.25">
      <c r="A21" s="581">
        <v>20</v>
      </c>
      <c r="B21" s="581" t="s">
        <v>1206</v>
      </c>
      <c r="C21" s="581" t="s">
        <v>303</v>
      </c>
      <c r="D21" s="581" t="s">
        <v>874</v>
      </c>
      <c r="E21" s="581" t="s">
        <v>434</v>
      </c>
      <c r="F21" s="713" t="s">
        <v>20</v>
      </c>
      <c r="G21" s="582">
        <v>46</v>
      </c>
      <c r="H21" s="582">
        <v>25</v>
      </c>
      <c r="I21" s="582">
        <v>221</v>
      </c>
      <c r="J21" s="582">
        <v>29</v>
      </c>
      <c r="L21" s="519" t="str">
        <v>Erie</v>
      </c>
      <c r="N21" s="2" t="s">
        <v>318</v>
      </c>
      <c r="O21" s="3">
        <v>9.3602280587727475E-4</v>
      </c>
      <c r="P21" s="3">
        <v>0</v>
      </c>
      <c r="Q21"/>
      <c r="R21" s="513">
        <v>17</v>
      </c>
      <c r="S21" s="529" t="str">
        <f t="shared" si="0"/>
        <v>Franklin</v>
      </c>
      <c r="T21" s="574">
        <f t="shared" si="1"/>
        <v>9.3602280587727475E-4</v>
      </c>
      <c r="U21" s="574">
        <f t="shared" si="2"/>
        <v>0</v>
      </c>
      <c r="V21" s="530">
        <f t="shared" si="5"/>
        <v>2792.8927560104348</v>
      </c>
      <c r="W21" s="530">
        <f t="shared" si="6"/>
        <v>0</v>
      </c>
    </row>
    <row r="22" spans="1:23" ht="21" x14ac:dyDescent="0.25">
      <c r="A22" s="581">
        <v>21</v>
      </c>
      <c r="B22" s="581" t="s">
        <v>1206</v>
      </c>
      <c r="C22" s="581" t="s">
        <v>303</v>
      </c>
      <c r="D22" s="581" t="s">
        <v>899</v>
      </c>
      <c r="E22" s="581" t="s">
        <v>14</v>
      </c>
      <c r="F22" s="713" t="s">
        <v>20</v>
      </c>
      <c r="G22" s="582">
        <v>4</v>
      </c>
      <c r="H22" s="582">
        <v>4</v>
      </c>
      <c r="I22" s="582">
        <v>40</v>
      </c>
      <c r="J22" s="582">
        <v>0</v>
      </c>
      <c r="L22" s="519" t="str">
        <v>Essex</v>
      </c>
      <c r="N22" s="2" t="s">
        <v>319</v>
      </c>
      <c r="O22" s="3">
        <v>4.1658701551888161E-3</v>
      </c>
      <c r="P22" s="3">
        <v>0</v>
      </c>
      <c r="R22" s="513">
        <v>18</v>
      </c>
      <c r="S22" s="529" t="str">
        <f t="shared" si="0"/>
        <v>Fulton</v>
      </c>
      <c r="T22" s="574">
        <f t="shared" si="1"/>
        <v>4.1658701551888161E-3</v>
      </c>
      <c r="U22" s="574">
        <f t="shared" si="2"/>
        <v>0</v>
      </c>
      <c r="V22" s="530">
        <f t="shared" si="5"/>
        <v>12430.069551566454</v>
      </c>
      <c r="W22" s="530">
        <f t="shared" si="6"/>
        <v>0</v>
      </c>
    </row>
    <row r="23" spans="1:23" ht="21" x14ac:dyDescent="0.25">
      <c r="A23" s="581">
        <v>22</v>
      </c>
      <c r="B23" s="581" t="s">
        <v>1206</v>
      </c>
      <c r="C23" s="581" t="s">
        <v>303</v>
      </c>
      <c r="D23" s="581" t="s">
        <v>886</v>
      </c>
      <c r="E23" s="581" t="s">
        <v>495</v>
      </c>
      <c r="F23" s="713" t="s">
        <v>20</v>
      </c>
      <c r="G23" s="582">
        <v>1</v>
      </c>
      <c r="H23" s="582">
        <v>0</v>
      </c>
      <c r="I23" s="582">
        <v>13</v>
      </c>
      <c r="J23" s="582">
        <v>0</v>
      </c>
      <c r="L23" s="519" t="str">
        <v>Franklin</v>
      </c>
      <c r="N23" s="2" t="s">
        <v>320</v>
      </c>
      <c r="O23" s="3">
        <v>1.7283040715096493E-3</v>
      </c>
      <c r="P23" s="3">
        <v>0</v>
      </c>
      <c r="R23" s="513">
        <v>19</v>
      </c>
      <c r="S23" s="529" t="str">
        <f t="shared" si="0"/>
        <v>Genesee</v>
      </c>
      <c r="T23" s="574">
        <f t="shared" si="1"/>
        <v>1.7283040715096493E-3</v>
      </c>
      <c r="U23" s="574">
        <f t="shared" si="2"/>
        <v>0</v>
      </c>
      <c r="V23" s="530">
        <f t="shared" si="5"/>
        <v>5156.891361187113</v>
      </c>
      <c r="W23" s="530">
        <f t="shared" si="6"/>
        <v>0</v>
      </c>
    </row>
    <row r="24" spans="1:23" ht="21" x14ac:dyDescent="0.25">
      <c r="A24" s="581">
        <v>23</v>
      </c>
      <c r="B24" s="581" t="s">
        <v>1206</v>
      </c>
      <c r="C24" s="581" t="s">
        <v>303</v>
      </c>
      <c r="D24" s="581" t="s">
        <v>492</v>
      </c>
      <c r="E24" s="581" t="s">
        <v>16</v>
      </c>
      <c r="F24" s="713" t="s">
        <v>20</v>
      </c>
      <c r="G24" s="582">
        <v>0</v>
      </c>
      <c r="H24" s="582">
        <v>0</v>
      </c>
      <c r="I24" s="582">
        <v>1</v>
      </c>
      <c r="J24" s="582">
        <v>0</v>
      </c>
      <c r="L24" s="519" t="str">
        <v>Fulton</v>
      </c>
      <c r="N24" s="2" t="s">
        <v>321</v>
      </c>
      <c r="O24" s="3">
        <v>1.8330419841601578E-3</v>
      </c>
      <c r="P24" s="3">
        <v>0</v>
      </c>
      <c r="R24" s="513">
        <v>20</v>
      </c>
      <c r="S24" s="529" t="str">
        <f t="shared" si="0"/>
        <v>Greene</v>
      </c>
      <c r="T24" s="574">
        <f t="shared" si="1"/>
        <v>1.8330419841601578E-3</v>
      </c>
      <c r="U24" s="574">
        <f t="shared" si="2"/>
        <v>0</v>
      </c>
      <c r="V24" s="530">
        <f t="shared" si="5"/>
        <v>5469.4069918795685</v>
      </c>
      <c r="W24" s="530">
        <f t="shared" si="6"/>
        <v>0</v>
      </c>
    </row>
    <row r="25" spans="1:23" ht="21" x14ac:dyDescent="0.25">
      <c r="A25" s="581">
        <v>24</v>
      </c>
      <c r="B25" s="581" t="s">
        <v>1207</v>
      </c>
      <c r="C25" s="581" t="s">
        <v>303</v>
      </c>
      <c r="D25" s="581" t="s">
        <v>897</v>
      </c>
      <c r="E25" s="581" t="s">
        <v>14</v>
      </c>
      <c r="F25" s="713" t="s">
        <v>15</v>
      </c>
      <c r="G25" s="582">
        <v>6</v>
      </c>
      <c r="H25" s="582">
        <v>5</v>
      </c>
      <c r="I25" s="582">
        <v>12</v>
      </c>
      <c r="J25" s="582">
        <v>3</v>
      </c>
      <c r="L25" s="519" t="str">
        <v>Genesee</v>
      </c>
      <c r="N25" s="2" t="s">
        <v>322</v>
      </c>
      <c r="O25" s="3">
        <v>1.0782221928070756E-4</v>
      </c>
      <c r="P25" s="3">
        <v>0</v>
      </c>
      <c r="R25" s="513">
        <v>21</v>
      </c>
      <c r="S25" s="529" t="str">
        <f t="shared" si="0"/>
        <v>Hamilton</v>
      </c>
      <c r="T25" s="574">
        <f t="shared" si="1"/>
        <v>1.0782221928070756E-4</v>
      </c>
      <c r="U25" s="574">
        <f t="shared" si="2"/>
        <v>0</v>
      </c>
      <c r="V25" s="530">
        <f t="shared" si="5"/>
        <v>321.71854497051623</v>
      </c>
      <c r="W25" s="530">
        <f t="shared" si="6"/>
        <v>0</v>
      </c>
    </row>
    <row r="26" spans="1:23" ht="21" x14ac:dyDescent="0.25">
      <c r="A26" s="581">
        <v>25</v>
      </c>
      <c r="B26" s="581" t="s">
        <v>1207</v>
      </c>
      <c r="C26" s="581" t="s">
        <v>303</v>
      </c>
      <c r="D26" s="581" t="s">
        <v>876</v>
      </c>
      <c r="E26" s="581" t="s">
        <v>434</v>
      </c>
      <c r="F26" s="713" t="s">
        <v>15</v>
      </c>
      <c r="G26" s="582">
        <v>21</v>
      </c>
      <c r="H26" s="582">
        <v>14</v>
      </c>
      <c r="I26" s="582">
        <v>55</v>
      </c>
      <c r="J26" s="582">
        <v>13</v>
      </c>
      <c r="L26" s="519" t="str">
        <v>Greene</v>
      </c>
      <c r="N26" s="2" t="s">
        <v>323</v>
      </c>
      <c r="O26" s="3">
        <v>1.6613489150790787E-3</v>
      </c>
      <c r="P26" s="3">
        <v>0</v>
      </c>
      <c r="R26" s="513">
        <v>22</v>
      </c>
      <c r="S26" s="529" t="str">
        <f t="shared" si="0"/>
        <v>Herkimer</v>
      </c>
      <c r="T26" s="574">
        <f t="shared" si="1"/>
        <v>1.6613489150790787E-3</v>
      </c>
      <c r="U26" s="574">
        <f t="shared" si="2"/>
        <v>0</v>
      </c>
      <c r="V26" s="530">
        <f t="shared" si="5"/>
        <v>4957.1114304008925</v>
      </c>
      <c r="W26" s="530">
        <f t="shared" si="6"/>
        <v>0</v>
      </c>
    </row>
    <row r="27" spans="1:23" ht="21" x14ac:dyDescent="0.25">
      <c r="A27" s="581">
        <v>26</v>
      </c>
      <c r="B27" s="581" t="s">
        <v>1207</v>
      </c>
      <c r="C27" s="581" t="s">
        <v>303</v>
      </c>
      <c r="D27" s="581" t="s">
        <v>909</v>
      </c>
      <c r="E27" s="581" t="s">
        <v>14</v>
      </c>
      <c r="F27" s="713" t="s">
        <v>15</v>
      </c>
      <c r="G27" s="582">
        <v>35</v>
      </c>
      <c r="H27" s="582">
        <v>26</v>
      </c>
      <c r="I27" s="582">
        <v>43</v>
      </c>
      <c r="J27" s="582">
        <v>17</v>
      </c>
      <c r="L27" s="519" t="str">
        <v>Hamilton</v>
      </c>
      <c r="N27" s="2" t="s">
        <v>324</v>
      </c>
      <c r="O27" s="3">
        <v>6.5581997416250632E-3</v>
      </c>
      <c r="P27" s="3">
        <v>0</v>
      </c>
      <c r="R27" s="513">
        <v>23</v>
      </c>
      <c r="S27" s="529" t="str">
        <f t="shared" si="0"/>
        <v>Jefferson</v>
      </c>
      <c r="T27" s="574">
        <f t="shared" si="1"/>
        <v>6.5581997416250632E-3</v>
      </c>
      <c r="U27" s="574">
        <f t="shared" si="2"/>
        <v>0</v>
      </c>
      <c r="V27" s="530">
        <f t="shared" si="5"/>
        <v>19568.271665867578</v>
      </c>
      <c r="W27" s="530">
        <f t="shared" si="6"/>
        <v>0</v>
      </c>
    </row>
    <row r="28" spans="1:23" ht="21" x14ac:dyDescent="0.25">
      <c r="A28" s="581">
        <v>27</v>
      </c>
      <c r="B28" s="581" t="s">
        <v>1208</v>
      </c>
      <c r="C28" s="581" t="s">
        <v>303</v>
      </c>
      <c r="D28" s="581" t="s">
        <v>905</v>
      </c>
      <c r="E28" s="581" t="s">
        <v>16</v>
      </c>
      <c r="F28" s="713" t="s">
        <v>20</v>
      </c>
      <c r="G28" s="582">
        <v>2</v>
      </c>
      <c r="H28" s="582">
        <v>1</v>
      </c>
      <c r="I28" s="582">
        <v>1</v>
      </c>
      <c r="J28" s="582">
        <v>0</v>
      </c>
      <c r="L28" s="519" t="str">
        <v>Herkimer</v>
      </c>
      <c r="N28" s="2" t="s">
        <v>365</v>
      </c>
      <c r="O28" s="3">
        <v>0.19849003913535318</v>
      </c>
      <c r="P28" s="3">
        <v>0.30735450870584607</v>
      </c>
      <c r="R28" s="513">
        <v>24</v>
      </c>
      <c r="S28" s="529" t="str">
        <f t="shared" si="0"/>
        <v>Kings</v>
      </c>
      <c r="T28" s="574">
        <f t="shared" si="1"/>
        <v>0.19849003913535318</v>
      </c>
      <c r="U28" s="574">
        <f t="shared" si="2"/>
        <v>0.30735450870584607</v>
      </c>
      <c r="V28" s="530">
        <f t="shared" si="5"/>
        <v>592252.01454550878</v>
      </c>
      <c r="W28" s="530">
        <f t="shared" si="6"/>
        <v>1699708.8353604747</v>
      </c>
    </row>
    <row r="29" spans="1:23" ht="21" x14ac:dyDescent="0.25">
      <c r="A29" s="581">
        <v>28</v>
      </c>
      <c r="B29" s="581" t="s">
        <v>1207</v>
      </c>
      <c r="C29" s="581" t="s">
        <v>304</v>
      </c>
      <c r="D29" s="581" t="s">
        <v>876</v>
      </c>
      <c r="E29" s="581" t="s">
        <v>434</v>
      </c>
      <c r="F29" s="713" t="s">
        <v>15</v>
      </c>
      <c r="G29" s="582">
        <v>0</v>
      </c>
      <c r="H29" s="582">
        <v>0</v>
      </c>
      <c r="I29" s="582">
        <v>4</v>
      </c>
      <c r="J29" s="582">
        <v>1</v>
      </c>
      <c r="L29" s="519" t="str">
        <v>Jefferson</v>
      </c>
      <c r="N29" s="2" t="s">
        <v>325</v>
      </c>
      <c r="O29" s="3">
        <v>1.5695907928306577E-3</v>
      </c>
      <c r="P29" s="3">
        <v>0</v>
      </c>
      <c r="R29" s="513">
        <v>25</v>
      </c>
      <c r="S29" s="529" t="str">
        <f t="shared" si="0"/>
        <v>Lewis</v>
      </c>
      <c r="T29" s="574">
        <f t="shared" si="1"/>
        <v>1.5695907928306577E-3</v>
      </c>
      <c r="U29" s="574">
        <f t="shared" si="2"/>
        <v>0</v>
      </c>
      <c r="V29" s="530">
        <f t="shared" si="5"/>
        <v>4683.3247306286057</v>
      </c>
      <c r="W29" s="530">
        <f t="shared" si="6"/>
        <v>0</v>
      </c>
    </row>
    <row r="30" spans="1:23" ht="21" x14ac:dyDescent="0.25">
      <c r="A30" s="581">
        <v>29</v>
      </c>
      <c r="B30" s="581" t="s">
        <v>1206</v>
      </c>
      <c r="C30" s="581" t="s">
        <v>305</v>
      </c>
      <c r="D30" s="581" t="s">
        <v>491</v>
      </c>
      <c r="E30" s="581" t="s">
        <v>13</v>
      </c>
      <c r="F30" s="713" t="s">
        <v>20</v>
      </c>
      <c r="G30" s="582">
        <v>1</v>
      </c>
      <c r="H30" s="582">
        <v>1</v>
      </c>
      <c r="I30" s="582">
        <v>0</v>
      </c>
      <c r="J30" s="582">
        <v>0</v>
      </c>
      <c r="L30" s="519" t="str">
        <v>Lewis</v>
      </c>
      <c r="N30" s="2" t="s">
        <v>326</v>
      </c>
      <c r="O30" s="3">
        <v>1.1180611534471463E-3</v>
      </c>
      <c r="P30" s="3">
        <v>0</v>
      </c>
      <c r="R30" s="513">
        <v>26</v>
      </c>
      <c r="S30" s="529" t="str">
        <f t="shared" si="0"/>
        <v>Livingston</v>
      </c>
      <c r="T30" s="574">
        <f t="shared" si="1"/>
        <v>1.1180611534471463E-3</v>
      </c>
      <c r="U30" s="574">
        <f t="shared" si="2"/>
        <v>0</v>
      </c>
      <c r="V30" s="530">
        <f t="shared" si="5"/>
        <v>3336.0564257967712</v>
      </c>
      <c r="W30" s="530">
        <f t="shared" si="6"/>
        <v>0</v>
      </c>
    </row>
    <row r="31" spans="1:23" ht="21" x14ac:dyDescent="0.25">
      <c r="A31" s="581">
        <v>30</v>
      </c>
      <c r="B31" s="581" t="s">
        <v>1206</v>
      </c>
      <c r="C31" s="581" t="s">
        <v>305</v>
      </c>
      <c r="D31" s="581" t="s">
        <v>464</v>
      </c>
      <c r="E31" s="581" t="s">
        <v>13</v>
      </c>
      <c r="F31" s="713" t="s">
        <v>20</v>
      </c>
      <c r="G31" s="582">
        <v>4</v>
      </c>
      <c r="H31" s="582">
        <v>4</v>
      </c>
      <c r="I31" s="582">
        <v>9</v>
      </c>
      <c r="J31" s="582">
        <v>0</v>
      </c>
      <c r="L31" s="519" t="str">
        <v>Livingston</v>
      </c>
      <c r="N31" s="2" t="s">
        <v>327</v>
      </c>
      <c r="O31" s="3">
        <v>1.9127199054402991E-3</v>
      </c>
      <c r="P31" s="3">
        <v>0</v>
      </c>
      <c r="R31" s="513">
        <v>27</v>
      </c>
      <c r="S31" s="529" t="str">
        <f t="shared" si="0"/>
        <v>Madison</v>
      </c>
      <c r="T31" s="574">
        <f t="shared" si="1"/>
        <v>1.9127199054402991E-3</v>
      </c>
      <c r="U31" s="574">
        <f t="shared" si="2"/>
        <v>0</v>
      </c>
      <c r="V31" s="530">
        <f t="shared" si="5"/>
        <v>5707.1489440627865</v>
      </c>
      <c r="W31" s="530">
        <f t="shared" si="6"/>
        <v>0</v>
      </c>
    </row>
    <row r="32" spans="1:23" ht="21" x14ac:dyDescent="0.25">
      <c r="A32" s="581">
        <v>31</v>
      </c>
      <c r="B32" s="581" t="s">
        <v>1206</v>
      </c>
      <c r="C32" s="581" t="s">
        <v>305</v>
      </c>
      <c r="D32" s="581" t="s">
        <v>870</v>
      </c>
      <c r="E32" s="581" t="s">
        <v>13</v>
      </c>
      <c r="F32" s="713" t="s">
        <v>20</v>
      </c>
      <c r="G32" s="582">
        <v>101</v>
      </c>
      <c r="H32" s="582">
        <v>94</v>
      </c>
      <c r="I32" s="582">
        <v>90</v>
      </c>
      <c r="J32" s="582">
        <v>2</v>
      </c>
      <c r="L32" s="519" t="str">
        <v>Madison</v>
      </c>
      <c r="N32" s="2" t="s">
        <v>285</v>
      </c>
      <c r="O32" s="3">
        <v>3.1956436739103963E-2</v>
      </c>
      <c r="P32" s="3">
        <v>0</v>
      </c>
      <c r="R32" s="513">
        <v>28</v>
      </c>
      <c r="S32" s="529" t="str">
        <f t="shared" si="0"/>
        <v>Monroe</v>
      </c>
      <c r="T32" s="574">
        <f t="shared" si="1"/>
        <v>3.1956436739103963E-2</v>
      </c>
      <c r="U32" s="574">
        <f t="shared" si="2"/>
        <v>0</v>
      </c>
      <c r="V32" s="530">
        <f t="shared" si="5"/>
        <v>95351.203107599475</v>
      </c>
      <c r="W32" s="530">
        <f t="shared" si="6"/>
        <v>0</v>
      </c>
    </row>
    <row r="33" spans="1:23" ht="21" x14ac:dyDescent="0.25">
      <c r="A33" s="581">
        <v>32</v>
      </c>
      <c r="B33" s="581" t="s">
        <v>1206</v>
      </c>
      <c r="C33" s="581" t="s">
        <v>305</v>
      </c>
      <c r="D33" s="581" t="s">
        <v>465</v>
      </c>
      <c r="E33" s="581" t="s">
        <v>13</v>
      </c>
      <c r="F33" s="713" t="s">
        <v>20</v>
      </c>
      <c r="G33" s="582">
        <v>197</v>
      </c>
      <c r="H33" s="582">
        <v>164</v>
      </c>
      <c r="I33" s="582">
        <v>210</v>
      </c>
      <c r="J33" s="582">
        <v>10</v>
      </c>
      <c r="L33" s="519" t="str">
        <v>Montgomery</v>
      </c>
      <c r="N33" s="2" t="s">
        <v>328</v>
      </c>
      <c r="O33" s="3">
        <v>5.4683471425666123E-3</v>
      </c>
      <c r="P33" s="3">
        <v>3.3992709193042178E-4</v>
      </c>
      <c r="R33" s="513">
        <v>29</v>
      </c>
      <c r="S33" s="529" t="str">
        <f t="shared" si="0"/>
        <v>Montgomery</v>
      </c>
      <c r="T33" s="574">
        <f t="shared" si="1"/>
        <v>5.4683471425666123E-3</v>
      </c>
      <c r="U33" s="574">
        <f t="shared" si="2"/>
        <v>3.3992709193042178E-4</v>
      </c>
      <c r="V33" s="530">
        <f t="shared" si="5"/>
        <v>16316.383560238899</v>
      </c>
      <c r="W33" s="530">
        <f t="shared" si="6"/>
        <v>1879.8392903534477</v>
      </c>
    </row>
    <row r="34" spans="1:23" ht="21" x14ac:dyDescent="0.25">
      <c r="A34" s="581">
        <v>33</v>
      </c>
      <c r="B34" s="581" t="s">
        <v>1206</v>
      </c>
      <c r="C34" s="581" t="s">
        <v>305</v>
      </c>
      <c r="D34" s="581" t="s">
        <v>458</v>
      </c>
      <c r="E34" s="581" t="s">
        <v>13</v>
      </c>
      <c r="F34" s="713" t="s">
        <v>20</v>
      </c>
      <c r="G34" s="582">
        <v>364</v>
      </c>
      <c r="H34" s="582">
        <v>316</v>
      </c>
      <c r="I34" s="582">
        <v>368</v>
      </c>
      <c r="J34" s="582">
        <v>25</v>
      </c>
      <c r="L34" s="519" t="str">
        <v>New York</v>
      </c>
      <c r="N34" s="2" t="s">
        <v>329</v>
      </c>
      <c r="O34" s="3">
        <v>5.1693236147688171E-2</v>
      </c>
      <c r="P34" s="3">
        <v>9.0655940594059403E-2</v>
      </c>
      <c r="R34" s="513">
        <v>30</v>
      </c>
      <c r="S34" s="529" t="str">
        <f t="shared" si="0"/>
        <v>Nassau</v>
      </c>
      <c r="T34" s="574">
        <f t="shared" si="1"/>
        <v>5.1693236147688171E-2</v>
      </c>
      <c r="U34" s="574">
        <f t="shared" si="2"/>
        <v>9.0655940594059403E-2</v>
      </c>
      <c r="V34" s="530">
        <f t="shared" si="5"/>
        <v>154241.61020980976</v>
      </c>
      <c r="W34" s="530">
        <f t="shared" si="6"/>
        <v>501338.67843503098</v>
      </c>
    </row>
    <row r="35" spans="1:23" ht="31.5" x14ac:dyDescent="0.25">
      <c r="A35" s="581">
        <v>34</v>
      </c>
      <c r="B35" s="581" t="s">
        <v>1206</v>
      </c>
      <c r="C35" s="581" t="s">
        <v>305</v>
      </c>
      <c r="D35" s="581" t="s">
        <v>921</v>
      </c>
      <c r="E35" s="581" t="s">
        <v>13</v>
      </c>
      <c r="F35" s="713" t="s">
        <v>20</v>
      </c>
      <c r="G35" s="582">
        <v>2</v>
      </c>
      <c r="H35" s="582">
        <v>2</v>
      </c>
      <c r="I35" s="582">
        <v>2</v>
      </c>
      <c r="J35" s="582">
        <v>0</v>
      </c>
      <c r="L35" s="519" t="str">
        <v>Niagara</v>
      </c>
      <c r="N35" s="2" t="s">
        <v>366</v>
      </c>
      <c r="O35" s="3">
        <v>6.8695669215824678E-2</v>
      </c>
      <c r="P35" s="3">
        <v>0.13973662923690697</v>
      </c>
      <c r="R35" s="513">
        <v>31</v>
      </c>
      <c r="S35" s="529" t="str">
        <f t="shared" si="0"/>
        <v>New York</v>
      </c>
      <c r="T35" s="574">
        <f t="shared" si="1"/>
        <v>6.8695669215824678E-2</v>
      </c>
      <c r="U35" s="574">
        <f t="shared" si="2"/>
        <v>0.13973662923690697</v>
      </c>
      <c r="V35" s="530">
        <f t="shared" si="5"/>
        <v>204973.25034975822</v>
      </c>
      <c r="W35" s="530">
        <f t="shared" si="6"/>
        <v>772761.01898596936</v>
      </c>
    </row>
    <row r="36" spans="1:23" ht="21" x14ac:dyDescent="0.25">
      <c r="A36" s="581">
        <v>35</v>
      </c>
      <c r="B36" s="581" t="s">
        <v>1206</v>
      </c>
      <c r="C36" s="581" t="s">
        <v>305</v>
      </c>
      <c r="D36" s="581" t="s">
        <v>248</v>
      </c>
      <c r="E36" s="581" t="s">
        <v>16</v>
      </c>
      <c r="F36" s="713" t="s">
        <v>20</v>
      </c>
      <c r="G36" s="582">
        <v>4</v>
      </c>
      <c r="H36" s="582">
        <v>4</v>
      </c>
      <c r="I36" s="582">
        <v>5</v>
      </c>
      <c r="J36" s="582">
        <v>1</v>
      </c>
      <c r="L36" s="519" t="str">
        <v>Oneida</v>
      </c>
      <c r="N36" s="2" t="s">
        <v>330</v>
      </c>
      <c r="O36" s="3">
        <v>5.8328093760351305E-3</v>
      </c>
      <c r="P36" s="3">
        <v>0</v>
      </c>
      <c r="R36" s="513">
        <v>32</v>
      </c>
      <c r="S36" s="529" t="str">
        <f t="shared" si="0"/>
        <v>Niagara</v>
      </c>
      <c r="T36" s="574">
        <f t="shared" si="1"/>
        <v>5.8328093760351305E-3</v>
      </c>
      <c r="U36" s="574">
        <f t="shared" si="2"/>
        <v>0</v>
      </c>
      <c r="V36" s="530">
        <f t="shared" si="5"/>
        <v>17403.861264096329</v>
      </c>
      <c r="W36" s="530">
        <f t="shared" si="6"/>
        <v>0</v>
      </c>
    </row>
    <row r="37" spans="1:23" ht="21" x14ac:dyDescent="0.25">
      <c r="A37" s="581">
        <v>36</v>
      </c>
      <c r="B37" s="581" t="s">
        <v>1206</v>
      </c>
      <c r="C37" s="581" t="s">
        <v>305</v>
      </c>
      <c r="D37" s="581" t="s">
        <v>866</v>
      </c>
      <c r="E37" s="581" t="s">
        <v>16</v>
      </c>
      <c r="F37" s="713" t="s">
        <v>20</v>
      </c>
      <c r="G37" s="582">
        <v>162</v>
      </c>
      <c r="H37" s="582">
        <v>139</v>
      </c>
      <c r="I37" s="582">
        <v>113</v>
      </c>
      <c r="J37" s="582">
        <v>11</v>
      </c>
      <c r="L37" s="519" t="str">
        <v>Onondaga</v>
      </c>
      <c r="N37" s="2" t="s">
        <v>331</v>
      </c>
      <c r="O37" s="3">
        <v>7.1008449393757042E-3</v>
      </c>
      <c r="P37" s="3">
        <v>0</v>
      </c>
      <c r="R37" s="513">
        <v>33</v>
      </c>
      <c r="S37" s="529" t="str">
        <f t="shared" si="0"/>
        <v>Oneida</v>
      </c>
      <c r="T37" s="574">
        <f t="shared" si="1"/>
        <v>7.1008449393757042E-3</v>
      </c>
      <c r="U37" s="574">
        <f t="shared" si="2"/>
        <v>0</v>
      </c>
      <c r="V37" s="530">
        <f t="shared" si="5"/>
        <v>21187.40939666377</v>
      </c>
      <c r="W37" s="530">
        <f t="shared" si="6"/>
        <v>0</v>
      </c>
    </row>
    <row r="38" spans="1:23" ht="21" x14ac:dyDescent="0.25">
      <c r="A38" s="581">
        <v>37</v>
      </c>
      <c r="B38" s="581" t="s">
        <v>1206</v>
      </c>
      <c r="C38" s="581" t="s">
        <v>305</v>
      </c>
      <c r="D38" s="581" t="s">
        <v>926</v>
      </c>
      <c r="E38" s="581" t="s">
        <v>14</v>
      </c>
      <c r="F38" s="713" t="s">
        <v>20</v>
      </c>
      <c r="G38" s="582">
        <v>238</v>
      </c>
      <c r="H38" s="582">
        <v>204</v>
      </c>
      <c r="I38" s="582">
        <v>176</v>
      </c>
      <c r="J38" s="582">
        <v>15</v>
      </c>
      <c r="L38" s="519" t="str">
        <v>Ontario</v>
      </c>
      <c r="N38" s="2" t="s">
        <v>332</v>
      </c>
      <c r="O38" s="3">
        <v>2.2146992270920353E-2</v>
      </c>
      <c r="P38" s="3">
        <v>0</v>
      </c>
      <c r="R38" s="513">
        <v>34</v>
      </c>
      <c r="S38" s="529" t="str">
        <f t="shared" si="0"/>
        <v>Onondaga</v>
      </c>
      <c r="T38" s="574">
        <f t="shared" si="1"/>
        <v>2.2146992270920353E-2</v>
      </c>
      <c r="U38" s="574">
        <f t="shared" si="2"/>
        <v>0</v>
      </c>
      <c r="V38" s="530">
        <f t="shared" si="5"/>
        <v>66081.90942837183</v>
      </c>
      <c r="W38" s="530">
        <f t="shared" si="6"/>
        <v>0</v>
      </c>
    </row>
    <row r="39" spans="1:23" ht="21" x14ac:dyDescent="0.25">
      <c r="A39" s="581">
        <v>38</v>
      </c>
      <c r="B39" s="581" t="s">
        <v>1206</v>
      </c>
      <c r="C39" s="581" t="s">
        <v>305</v>
      </c>
      <c r="D39" s="581" t="s">
        <v>931</v>
      </c>
      <c r="E39" s="581" t="s">
        <v>14</v>
      </c>
      <c r="F39" s="713" t="s">
        <v>20</v>
      </c>
      <c r="G39" s="582">
        <v>16</v>
      </c>
      <c r="H39" s="582">
        <v>15</v>
      </c>
      <c r="I39" s="582">
        <v>20</v>
      </c>
      <c r="J39" s="582">
        <v>0</v>
      </c>
      <c r="L39" s="519" t="str">
        <v>Orange</v>
      </c>
      <c r="N39" s="2" t="s">
        <v>333</v>
      </c>
      <c r="O39" s="3">
        <v>3.0558410502578128E-3</v>
      </c>
      <c r="P39" s="3">
        <v>0</v>
      </c>
      <c r="R39" s="513">
        <v>35</v>
      </c>
      <c r="S39" s="529" t="str">
        <f t="shared" si="0"/>
        <v>Ontario</v>
      </c>
      <c r="T39" s="574">
        <f t="shared" si="1"/>
        <v>3.0558410502578128E-3</v>
      </c>
      <c r="U39" s="574">
        <f t="shared" si="2"/>
        <v>0</v>
      </c>
      <c r="V39" s="530">
        <f t="shared" si="5"/>
        <v>9117.9790483687975</v>
      </c>
      <c r="W39" s="530">
        <f t="shared" si="6"/>
        <v>0</v>
      </c>
    </row>
    <row r="40" spans="1:23" ht="31.5" x14ac:dyDescent="0.25">
      <c r="A40" s="581">
        <v>39</v>
      </c>
      <c r="B40" s="581" t="s">
        <v>1206</v>
      </c>
      <c r="C40" s="581" t="s">
        <v>305</v>
      </c>
      <c r="D40" s="581" t="s">
        <v>919</v>
      </c>
      <c r="E40" s="581" t="s">
        <v>495</v>
      </c>
      <c r="F40" s="713" t="s">
        <v>20</v>
      </c>
      <c r="G40" s="582">
        <v>51</v>
      </c>
      <c r="H40" s="582">
        <v>48</v>
      </c>
      <c r="I40" s="582">
        <v>21</v>
      </c>
      <c r="J40" s="582">
        <v>4</v>
      </c>
      <c r="L40" s="519" t="str">
        <v>Orleans</v>
      </c>
      <c r="N40" s="2" t="s">
        <v>334</v>
      </c>
      <c r="O40" s="3">
        <v>1.2293981971585183E-2</v>
      </c>
      <c r="P40" s="3">
        <v>3.7482115676234481E-6</v>
      </c>
      <c r="R40" s="513">
        <v>36</v>
      </c>
      <c r="S40" s="529" t="str">
        <f t="shared" si="0"/>
        <v>Orange</v>
      </c>
      <c r="T40" s="574">
        <f t="shared" si="1"/>
        <v>1.2293981971585183E-2</v>
      </c>
      <c r="U40" s="574">
        <f t="shared" si="2"/>
        <v>3.7482115676234481E-6</v>
      </c>
      <c r="V40" s="530">
        <f t="shared" si="5"/>
        <v>36682.624584966601</v>
      </c>
      <c r="W40" s="530">
        <f t="shared" si="6"/>
        <v>20.728078286911209</v>
      </c>
    </row>
    <row r="41" spans="1:23" ht="21" x14ac:dyDescent="0.25">
      <c r="A41" s="581">
        <v>40</v>
      </c>
      <c r="B41" s="581" t="s">
        <v>1206</v>
      </c>
      <c r="C41" s="581" t="s">
        <v>305</v>
      </c>
      <c r="D41" s="581" t="s">
        <v>914</v>
      </c>
      <c r="E41" s="581" t="s">
        <v>434</v>
      </c>
      <c r="F41" s="713" t="s">
        <v>20</v>
      </c>
      <c r="G41" s="582">
        <v>11</v>
      </c>
      <c r="H41" s="582">
        <v>10</v>
      </c>
      <c r="I41" s="582">
        <v>2</v>
      </c>
      <c r="J41" s="582">
        <v>1</v>
      </c>
      <c r="L41" s="519" t="str">
        <v>Oswego</v>
      </c>
      <c r="N41" s="2" t="s">
        <v>335</v>
      </c>
      <c r="O41" s="3">
        <v>1.1805826190968058E-3</v>
      </c>
      <c r="P41" s="3">
        <v>0</v>
      </c>
      <c r="R41" s="513">
        <v>37</v>
      </c>
      <c r="S41" s="529" t="str">
        <f t="shared" si="0"/>
        <v>Orleans</v>
      </c>
      <c r="T41" s="574">
        <f t="shared" si="1"/>
        <v>1.1805826190968058E-3</v>
      </c>
      <c r="U41" s="574">
        <f t="shared" si="2"/>
        <v>0</v>
      </c>
      <c r="V41" s="530">
        <f t="shared" si="5"/>
        <v>3522.6071673082806</v>
      </c>
      <c r="W41" s="530">
        <f t="shared" si="6"/>
        <v>0</v>
      </c>
    </row>
    <row r="42" spans="1:23" ht="21" x14ac:dyDescent="0.25">
      <c r="A42" s="581">
        <v>41</v>
      </c>
      <c r="B42" s="581" t="s">
        <v>1206</v>
      </c>
      <c r="C42" s="581" t="s">
        <v>305</v>
      </c>
      <c r="D42" s="581" t="s">
        <v>958</v>
      </c>
      <c r="E42" s="581" t="s">
        <v>14</v>
      </c>
      <c r="F42" s="713" t="s">
        <v>20</v>
      </c>
      <c r="G42" s="582">
        <v>530</v>
      </c>
      <c r="H42" s="582">
        <v>455</v>
      </c>
      <c r="I42" s="582">
        <v>548</v>
      </c>
      <c r="J42" s="582">
        <v>41</v>
      </c>
      <c r="L42" s="519" t="str">
        <v>Otsego</v>
      </c>
      <c r="N42" s="2" t="s">
        <v>336</v>
      </c>
      <c r="O42" s="3">
        <v>3.9130855242887541E-3</v>
      </c>
      <c r="P42" s="3">
        <v>0</v>
      </c>
      <c r="R42" s="513">
        <v>38</v>
      </c>
      <c r="S42" s="529" t="str">
        <f t="shared" si="0"/>
        <v>Oswego</v>
      </c>
      <c r="T42" s="574">
        <f t="shared" si="1"/>
        <v>3.9130855242887541E-3</v>
      </c>
      <c r="U42" s="574">
        <f t="shared" si="2"/>
        <v>0</v>
      </c>
      <c r="V42" s="530">
        <f t="shared" si="5"/>
        <v>11675.814035527113</v>
      </c>
      <c r="W42" s="530">
        <f t="shared" si="6"/>
        <v>0</v>
      </c>
    </row>
    <row r="43" spans="1:23" ht="21" x14ac:dyDescent="0.25">
      <c r="A43" s="581">
        <v>42</v>
      </c>
      <c r="B43" s="581" t="s">
        <v>1206</v>
      </c>
      <c r="C43" s="581" t="s">
        <v>305</v>
      </c>
      <c r="D43" s="581" t="s">
        <v>953</v>
      </c>
      <c r="E43" s="581" t="s">
        <v>16</v>
      </c>
      <c r="F43" s="713" t="s">
        <v>20</v>
      </c>
      <c r="G43" s="582">
        <v>72</v>
      </c>
      <c r="H43" s="582">
        <v>59</v>
      </c>
      <c r="I43" s="582">
        <v>46</v>
      </c>
      <c r="J43" s="582">
        <v>4</v>
      </c>
      <c r="L43" s="519" t="str">
        <v>Putnam</v>
      </c>
      <c r="N43" s="2" t="s">
        <v>337</v>
      </c>
      <c r="O43" s="3">
        <v>1.6648187600380527E-3</v>
      </c>
      <c r="P43" s="3">
        <v>0</v>
      </c>
      <c r="R43" s="513">
        <v>39</v>
      </c>
      <c r="S43" s="529" t="str">
        <f t="shared" si="0"/>
        <v>Otsego</v>
      </c>
      <c r="T43" s="574">
        <f t="shared" si="1"/>
        <v>1.6648187600380527E-3</v>
      </c>
      <c r="U43" s="574">
        <f t="shared" si="2"/>
        <v>0</v>
      </c>
      <c r="V43" s="530">
        <f t="shared" si="5"/>
        <v>4967.4647089637101</v>
      </c>
      <c r="W43" s="530">
        <f t="shared" si="6"/>
        <v>0</v>
      </c>
    </row>
    <row r="44" spans="1:23" ht="21" x14ac:dyDescent="0.25">
      <c r="A44" s="581">
        <v>43</v>
      </c>
      <c r="B44" s="581" t="s">
        <v>1206</v>
      </c>
      <c r="C44" s="581" t="s">
        <v>305</v>
      </c>
      <c r="D44" s="581" t="s">
        <v>878</v>
      </c>
      <c r="E44" s="581" t="s">
        <v>434</v>
      </c>
      <c r="F44" s="713" t="s">
        <v>20</v>
      </c>
      <c r="G44" s="582">
        <v>346</v>
      </c>
      <c r="H44" s="582">
        <v>303</v>
      </c>
      <c r="I44" s="582">
        <v>404</v>
      </c>
      <c r="J44" s="582">
        <v>35</v>
      </c>
      <c r="L44" s="519" t="str">
        <v>Rensselaer</v>
      </c>
      <c r="N44" s="2" t="s">
        <v>338</v>
      </c>
      <c r="O44" s="3">
        <v>6.9943078478575799E-4</v>
      </c>
      <c r="P44" s="3">
        <v>0</v>
      </c>
      <c r="R44" s="513">
        <v>40</v>
      </c>
      <c r="S44" s="529" t="str">
        <f t="shared" si="0"/>
        <v>Putnam</v>
      </c>
      <c r="T44" s="574">
        <f t="shared" si="1"/>
        <v>6.9943078478575799E-4</v>
      </c>
      <c r="U44" s="574">
        <f t="shared" si="2"/>
        <v>0</v>
      </c>
      <c r="V44" s="530">
        <f t="shared" si="5"/>
        <v>2086.9525399309114</v>
      </c>
      <c r="W44" s="530">
        <f t="shared" si="6"/>
        <v>0</v>
      </c>
    </row>
    <row r="45" spans="1:23" ht="31.5" x14ac:dyDescent="0.25">
      <c r="A45" s="581">
        <v>44</v>
      </c>
      <c r="B45" s="581" t="s">
        <v>1206</v>
      </c>
      <c r="C45" s="581" t="s">
        <v>305</v>
      </c>
      <c r="D45" s="581" t="s">
        <v>946</v>
      </c>
      <c r="E45" s="581" t="s">
        <v>13</v>
      </c>
      <c r="F45" s="713" t="s">
        <v>20</v>
      </c>
      <c r="G45" s="582">
        <v>2</v>
      </c>
      <c r="H45" s="582">
        <v>2</v>
      </c>
      <c r="I45" s="582">
        <v>0</v>
      </c>
      <c r="J45" s="582">
        <v>0</v>
      </c>
      <c r="L45" s="519" t="str">
        <v>Rockland</v>
      </c>
      <c r="N45" s="2" t="s">
        <v>339</v>
      </c>
      <c r="O45" s="3">
        <v>0.13455152735828174</v>
      </c>
      <c r="P45" s="3">
        <v>0.16773523418825875</v>
      </c>
      <c r="R45" s="513">
        <v>41</v>
      </c>
      <c r="S45" s="529" t="str">
        <f t="shared" si="0"/>
        <v>Queens</v>
      </c>
      <c r="T45" s="574">
        <f t="shared" si="1"/>
        <v>0.13455152735828174</v>
      </c>
      <c r="U45" s="574">
        <f t="shared" si="2"/>
        <v>0.16773523418825875</v>
      </c>
      <c r="V45" s="530">
        <f t="shared" si="5"/>
        <v>401473.10910537344</v>
      </c>
      <c r="W45" s="530">
        <f t="shared" si="6"/>
        <v>927596.80263515515</v>
      </c>
    </row>
    <row r="46" spans="1:23" ht="21" x14ac:dyDescent="0.25">
      <c r="A46" s="581">
        <v>45</v>
      </c>
      <c r="B46" s="581" t="s">
        <v>1206</v>
      </c>
      <c r="C46" s="581" t="s">
        <v>305</v>
      </c>
      <c r="D46" s="581" t="s">
        <v>927</v>
      </c>
      <c r="E46" s="581" t="s">
        <v>14</v>
      </c>
      <c r="F46" s="713" t="s">
        <v>20</v>
      </c>
      <c r="G46" s="582">
        <v>144</v>
      </c>
      <c r="H46" s="582">
        <v>122</v>
      </c>
      <c r="I46" s="582">
        <v>147</v>
      </c>
      <c r="J46" s="582">
        <v>12</v>
      </c>
      <c r="L46" s="519" t="str">
        <v>Saint Lawrence</v>
      </c>
      <c r="N46" s="2" t="s">
        <v>340</v>
      </c>
      <c r="O46" s="3">
        <v>1.1879078473435285E-2</v>
      </c>
      <c r="P46" s="3">
        <v>3.0064226497642553E-3</v>
      </c>
      <c r="R46" s="513">
        <v>42</v>
      </c>
      <c r="S46" s="529" t="str">
        <f t="shared" si="0"/>
        <v>Rensselaer</v>
      </c>
      <c r="T46" s="574">
        <f t="shared" si="1"/>
        <v>1.1879078473435285E-2</v>
      </c>
      <c r="U46" s="574">
        <f t="shared" si="2"/>
        <v>3.0064226497642553E-3</v>
      </c>
      <c r="V46" s="530">
        <f t="shared" si="5"/>
        <v>35444.640887186732</v>
      </c>
      <c r="W46" s="530">
        <f t="shared" si="6"/>
        <v>16625.892888796781</v>
      </c>
    </row>
    <row r="47" spans="1:23" ht="21" x14ac:dyDescent="0.25">
      <c r="A47" s="581">
        <v>46</v>
      </c>
      <c r="B47" s="581" t="s">
        <v>1206</v>
      </c>
      <c r="C47" s="581" t="s">
        <v>305</v>
      </c>
      <c r="D47" s="581" t="s">
        <v>940</v>
      </c>
      <c r="E47" s="581" t="s">
        <v>495</v>
      </c>
      <c r="F47" s="713" t="s">
        <v>20</v>
      </c>
      <c r="G47" s="582">
        <v>42</v>
      </c>
      <c r="H47" s="582">
        <v>32</v>
      </c>
      <c r="I47" s="582">
        <v>42</v>
      </c>
      <c r="J47" s="582">
        <v>4</v>
      </c>
      <c r="L47" s="519" t="str">
        <v>Saratoga</v>
      </c>
      <c r="N47" s="2" t="s">
        <v>367</v>
      </c>
      <c r="O47" s="3">
        <v>6.7007910925224526E-2</v>
      </c>
      <c r="P47" s="3">
        <v>0.11259877429912013</v>
      </c>
      <c r="R47" s="513">
        <v>43</v>
      </c>
      <c r="S47" s="529" t="str">
        <f t="shared" si="0"/>
        <v>Richmond</v>
      </c>
      <c r="T47" s="574">
        <f t="shared" si="1"/>
        <v>6.7007910925224526E-2</v>
      </c>
      <c r="U47" s="574">
        <f t="shared" si="2"/>
        <v>0.11259877429912013</v>
      </c>
      <c r="V47" s="530">
        <f t="shared" si="5"/>
        <v>199937.33896585146</v>
      </c>
      <c r="W47" s="530">
        <f t="shared" si="6"/>
        <v>622685.29045767069</v>
      </c>
    </row>
    <row r="48" spans="1:23" ht="31.5" x14ac:dyDescent="0.25">
      <c r="A48" s="581">
        <v>47</v>
      </c>
      <c r="B48" s="581" t="s">
        <v>1206</v>
      </c>
      <c r="C48" s="581" t="s">
        <v>305</v>
      </c>
      <c r="D48" s="581" t="s">
        <v>924</v>
      </c>
      <c r="E48" s="581" t="s">
        <v>16</v>
      </c>
      <c r="F48" s="713" t="s">
        <v>20</v>
      </c>
      <c r="G48" s="582">
        <v>1</v>
      </c>
      <c r="H48" s="582">
        <v>1</v>
      </c>
      <c r="I48" s="582">
        <v>0</v>
      </c>
      <c r="J48" s="582">
        <v>0</v>
      </c>
      <c r="L48" s="519" t="str">
        <v>Schenectady</v>
      </c>
      <c r="N48" s="2" t="s">
        <v>341</v>
      </c>
      <c r="O48" s="3">
        <v>8.6451829716716073E-3</v>
      </c>
      <c r="P48" s="3">
        <v>0</v>
      </c>
      <c r="R48" s="513">
        <v>44</v>
      </c>
      <c r="S48" s="529" t="str">
        <f t="shared" si="0"/>
        <v>Rockland</v>
      </c>
      <c r="T48" s="574">
        <f t="shared" si="1"/>
        <v>8.6451829716716073E-3</v>
      </c>
      <c r="U48" s="574">
        <f t="shared" si="2"/>
        <v>0</v>
      </c>
      <c r="V48" s="530">
        <f t="shared" si="5"/>
        <v>25795.385266640758</v>
      </c>
      <c r="W48" s="530">
        <f t="shared" si="6"/>
        <v>0</v>
      </c>
    </row>
    <row r="49" spans="1:23" ht="21" x14ac:dyDescent="0.25">
      <c r="A49" s="581">
        <v>48</v>
      </c>
      <c r="B49" s="581" t="s">
        <v>1206</v>
      </c>
      <c r="C49" s="581" t="s">
        <v>305</v>
      </c>
      <c r="D49" s="581" t="s">
        <v>906</v>
      </c>
      <c r="E49" s="581" t="s">
        <v>14</v>
      </c>
      <c r="F49" s="713" t="s">
        <v>20</v>
      </c>
      <c r="G49" s="582">
        <v>345</v>
      </c>
      <c r="H49" s="582">
        <v>292</v>
      </c>
      <c r="I49" s="582">
        <v>280</v>
      </c>
      <c r="J49" s="582">
        <v>27</v>
      </c>
      <c r="L49" s="519" t="str">
        <v>Schoharie</v>
      </c>
      <c r="N49" s="2" t="s">
        <v>342</v>
      </c>
      <c r="O49" s="3">
        <v>2.5221917468452523E-3</v>
      </c>
      <c r="P49" s="3">
        <v>0</v>
      </c>
      <c r="R49" s="513">
        <v>45</v>
      </c>
      <c r="S49" s="529" t="str">
        <f t="shared" si="0"/>
        <v>Saint Lawrence</v>
      </c>
      <c r="T49" s="574">
        <f t="shared" si="1"/>
        <v>2.5221917468452523E-3</v>
      </c>
      <c r="U49" s="574">
        <f t="shared" si="2"/>
        <v>0</v>
      </c>
      <c r="V49" s="530">
        <f t="shared" si="5"/>
        <v>7525.6831508836131</v>
      </c>
      <c r="W49" s="530">
        <f t="shared" si="6"/>
        <v>0</v>
      </c>
    </row>
    <row r="50" spans="1:23" ht="21" x14ac:dyDescent="0.25">
      <c r="A50" s="581">
        <v>49</v>
      </c>
      <c r="B50" s="581" t="s">
        <v>1206</v>
      </c>
      <c r="C50" s="581" t="s">
        <v>305</v>
      </c>
      <c r="D50" s="581" t="s">
        <v>941</v>
      </c>
      <c r="E50" s="581" t="s">
        <v>13</v>
      </c>
      <c r="F50" s="713" t="s">
        <v>20</v>
      </c>
      <c r="G50" s="582">
        <v>219</v>
      </c>
      <c r="H50" s="582">
        <v>180</v>
      </c>
      <c r="I50" s="582">
        <v>209</v>
      </c>
      <c r="J50" s="582">
        <v>17</v>
      </c>
      <c r="L50" s="519" t="str">
        <v>Schuyler</v>
      </c>
      <c r="N50" s="2" t="s">
        <v>343</v>
      </c>
      <c r="O50" s="3">
        <v>6.3457038660819764E-3</v>
      </c>
      <c r="P50" s="3">
        <v>4.6567066571093219E-4</v>
      </c>
      <c r="R50" s="513">
        <v>46</v>
      </c>
      <c r="S50" s="529" t="str">
        <f t="shared" si="0"/>
        <v>Saratoga</v>
      </c>
      <c r="T50" s="574">
        <f t="shared" si="1"/>
        <v>6.3457038660819764E-3</v>
      </c>
      <c r="U50" s="574">
        <f t="shared" si="2"/>
        <v>4.6567066571093219E-4</v>
      </c>
      <c r="V50" s="530">
        <f t="shared" si="5"/>
        <v>18934.229217585398</v>
      </c>
      <c r="W50" s="530">
        <f t="shared" si="6"/>
        <v>2575.2169643119687</v>
      </c>
    </row>
    <row r="51" spans="1:23" ht="21" x14ac:dyDescent="0.25">
      <c r="A51" s="581">
        <v>50</v>
      </c>
      <c r="B51" s="581" t="s">
        <v>1206</v>
      </c>
      <c r="C51" s="581" t="s">
        <v>305</v>
      </c>
      <c r="D51" s="581" t="s">
        <v>894</v>
      </c>
      <c r="E51" s="581" t="s">
        <v>14</v>
      </c>
      <c r="F51" s="713" t="s">
        <v>20</v>
      </c>
      <c r="G51" s="582">
        <v>6</v>
      </c>
      <c r="H51" s="582">
        <v>3</v>
      </c>
      <c r="I51" s="582">
        <v>3</v>
      </c>
      <c r="J51" s="582">
        <v>0</v>
      </c>
      <c r="L51" s="519" t="str">
        <v>Seneca</v>
      </c>
      <c r="N51" s="2" t="s">
        <v>344</v>
      </c>
      <c r="O51" s="3">
        <v>3.6612583135718163E-2</v>
      </c>
      <c r="P51" s="3">
        <v>8.8556852873057715E-3</v>
      </c>
      <c r="R51" s="513">
        <v>47</v>
      </c>
      <c r="S51" s="529" t="str">
        <f t="shared" si="0"/>
        <v>Schenectady</v>
      </c>
      <c r="T51" s="574">
        <f t="shared" si="1"/>
        <v>3.6612583135718163E-2</v>
      </c>
      <c r="U51" s="574">
        <f t="shared" si="2"/>
        <v>8.8556852873057715E-3</v>
      </c>
      <c r="V51" s="530">
        <f t="shared" si="5"/>
        <v>109244.15257461589</v>
      </c>
      <c r="W51" s="530">
        <f t="shared" si="6"/>
        <v>48973.046106868722</v>
      </c>
    </row>
    <row r="52" spans="1:23" ht="21" x14ac:dyDescent="0.25">
      <c r="A52" s="581">
        <v>51</v>
      </c>
      <c r="B52" s="581" t="s">
        <v>1206</v>
      </c>
      <c r="C52" s="581" t="s">
        <v>305</v>
      </c>
      <c r="D52" s="581" t="s">
        <v>874</v>
      </c>
      <c r="E52" s="581" t="s">
        <v>434</v>
      </c>
      <c r="F52" s="713" t="s">
        <v>20</v>
      </c>
      <c r="G52" s="582">
        <v>315</v>
      </c>
      <c r="H52" s="582">
        <v>265</v>
      </c>
      <c r="I52" s="582">
        <v>302</v>
      </c>
      <c r="J52" s="582">
        <v>29</v>
      </c>
      <c r="L52" s="519" t="str">
        <v>Steuben</v>
      </c>
      <c r="N52" s="2" t="s">
        <v>345</v>
      </c>
      <c r="O52" s="3">
        <v>2.3823698462762297E-3</v>
      </c>
      <c r="P52" s="3">
        <v>0</v>
      </c>
      <c r="R52" s="513">
        <v>48</v>
      </c>
      <c r="S52" s="529" t="str">
        <f t="shared" si="0"/>
        <v>Schoharie</v>
      </c>
      <c r="T52" s="574">
        <f t="shared" si="1"/>
        <v>2.3823698462762297E-3</v>
      </c>
      <c r="U52" s="574">
        <f t="shared" si="2"/>
        <v>0</v>
      </c>
      <c r="V52" s="530">
        <f t="shared" si="5"/>
        <v>7108.4843702782237</v>
      </c>
      <c r="W52" s="530">
        <f t="shared" si="6"/>
        <v>0</v>
      </c>
    </row>
    <row r="53" spans="1:23" ht="21" x14ac:dyDescent="0.25">
      <c r="A53" s="581">
        <v>52</v>
      </c>
      <c r="B53" s="581" t="s">
        <v>1206</v>
      </c>
      <c r="C53" s="581" t="s">
        <v>305</v>
      </c>
      <c r="D53" s="581" t="s">
        <v>950</v>
      </c>
      <c r="E53" s="581" t="s">
        <v>16</v>
      </c>
      <c r="F53" s="713" t="s">
        <v>20</v>
      </c>
      <c r="G53" s="582">
        <v>3</v>
      </c>
      <c r="H53" s="582">
        <v>3</v>
      </c>
      <c r="I53" s="582">
        <v>2</v>
      </c>
      <c r="J53" s="582">
        <v>0</v>
      </c>
      <c r="L53" s="519" t="str">
        <v>Suffolk</v>
      </c>
      <c r="N53" s="2" t="s">
        <v>346</v>
      </c>
      <c r="O53" s="3">
        <v>6.2373675956962351E-4</v>
      </c>
      <c r="P53" s="3">
        <v>0</v>
      </c>
      <c r="R53" s="513">
        <v>49</v>
      </c>
      <c r="S53" s="529" t="str">
        <f t="shared" si="0"/>
        <v>Schuyler</v>
      </c>
      <c r="T53" s="574">
        <f t="shared" si="1"/>
        <v>6.2373675956962351E-4</v>
      </c>
      <c r="U53" s="574">
        <f t="shared" si="2"/>
        <v>0</v>
      </c>
      <c r="V53" s="530">
        <f t="shared" si="5"/>
        <v>1861.0976853568538</v>
      </c>
      <c r="W53" s="530">
        <f t="shared" si="6"/>
        <v>0</v>
      </c>
    </row>
    <row r="54" spans="1:23" ht="21" x14ac:dyDescent="0.25">
      <c r="A54" s="581">
        <v>53</v>
      </c>
      <c r="B54" s="581" t="s">
        <v>1206</v>
      </c>
      <c r="C54" s="581" t="s">
        <v>305</v>
      </c>
      <c r="D54" s="581" t="s">
        <v>937</v>
      </c>
      <c r="E54" s="581" t="s">
        <v>14</v>
      </c>
      <c r="F54" s="713" t="s">
        <v>20</v>
      </c>
      <c r="G54" s="582">
        <v>26</v>
      </c>
      <c r="H54" s="582">
        <v>21</v>
      </c>
      <c r="I54" s="582">
        <v>19</v>
      </c>
      <c r="J54" s="582">
        <v>4</v>
      </c>
      <c r="L54" s="519" t="str">
        <v>Sullivan</v>
      </c>
      <c r="N54" s="2" t="s">
        <v>347</v>
      </c>
      <c r="O54" s="3">
        <v>5.0916761953535567E-4</v>
      </c>
      <c r="P54" s="3">
        <v>0</v>
      </c>
      <c r="R54" s="513">
        <v>50</v>
      </c>
      <c r="S54" s="529" t="str">
        <f t="shared" si="0"/>
        <v>Seneca</v>
      </c>
      <c r="T54" s="574">
        <f t="shared" si="1"/>
        <v>5.0916761953535567E-4</v>
      </c>
      <c r="U54" s="574">
        <f t="shared" si="2"/>
        <v>0</v>
      </c>
      <c r="V54" s="530">
        <f t="shared" si="5"/>
        <v>1519.2477654030815</v>
      </c>
      <c r="W54" s="530">
        <f t="shared" si="6"/>
        <v>0</v>
      </c>
    </row>
    <row r="55" spans="1:23" ht="21" x14ac:dyDescent="0.25">
      <c r="A55" s="581">
        <v>54</v>
      </c>
      <c r="B55" s="581" t="s">
        <v>1206</v>
      </c>
      <c r="C55" s="581" t="s">
        <v>305</v>
      </c>
      <c r="D55" s="581" t="s">
        <v>916</v>
      </c>
      <c r="E55" s="581" t="s">
        <v>495</v>
      </c>
      <c r="F55" s="713" t="s">
        <v>20</v>
      </c>
      <c r="G55" s="582">
        <v>6</v>
      </c>
      <c r="H55" s="582">
        <v>6</v>
      </c>
      <c r="I55" s="582">
        <v>6</v>
      </c>
      <c r="J55" s="582">
        <v>0</v>
      </c>
      <c r="L55" s="519" t="str">
        <v>Tioga</v>
      </c>
      <c r="N55" s="2" t="s">
        <v>348</v>
      </c>
      <c r="O55" s="3">
        <v>2.7722133530557608E-3</v>
      </c>
      <c r="P55" s="3">
        <v>0</v>
      </c>
      <c r="R55" s="513">
        <v>51</v>
      </c>
      <c r="S55" s="529" t="str">
        <f t="shared" si="0"/>
        <v>Steuben</v>
      </c>
      <c r="T55" s="574">
        <f t="shared" si="1"/>
        <v>2.7722133530557608E-3</v>
      </c>
      <c r="U55" s="574">
        <f t="shared" si="2"/>
        <v>0</v>
      </c>
      <c r="V55" s="530">
        <f t="shared" si="5"/>
        <v>8271.6943895488566</v>
      </c>
      <c r="W55" s="530">
        <f t="shared" si="6"/>
        <v>0</v>
      </c>
    </row>
    <row r="56" spans="1:23" ht="21" x14ac:dyDescent="0.25">
      <c r="A56" s="581">
        <v>55</v>
      </c>
      <c r="B56" s="581" t="s">
        <v>1206</v>
      </c>
      <c r="C56" s="581" t="s">
        <v>305</v>
      </c>
      <c r="D56" s="581" t="s">
        <v>492</v>
      </c>
      <c r="E56" s="581" t="s">
        <v>16</v>
      </c>
      <c r="F56" s="713" t="s">
        <v>20</v>
      </c>
      <c r="G56" s="582">
        <v>10</v>
      </c>
      <c r="H56" s="582">
        <v>10</v>
      </c>
      <c r="I56" s="582">
        <v>15</v>
      </c>
      <c r="J56" s="582">
        <v>1</v>
      </c>
      <c r="L56" s="519" t="str">
        <v>Tompkins</v>
      </c>
      <c r="N56" s="2" t="s">
        <v>349</v>
      </c>
      <c r="O56" s="3">
        <v>4.7178453804958088E-2</v>
      </c>
      <c r="P56" s="3">
        <v>2.7397641696676158E-5</v>
      </c>
      <c r="R56" s="513">
        <v>52</v>
      </c>
      <c r="S56" s="529" t="str">
        <f t="shared" si="0"/>
        <v>Suffolk</v>
      </c>
      <c r="T56" s="574">
        <f t="shared" si="1"/>
        <v>4.7178453804958088E-2</v>
      </c>
      <c r="U56" s="574">
        <f t="shared" si="2"/>
        <v>2.7397641696676158E-5</v>
      </c>
      <c r="V56" s="530">
        <f t="shared" si="5"/>
        <v>140770.46098053775</v>
      </c>
      <c r="W56" s="530">
        <f t="shared" si="6"/>
        <v>151.51238176385098</v>
      </c>
    </row>
    <row r="57" spans="1:23" ht="31.5" x14ac:dyDescent="0.25">
      <c r="A57" s="581">
        <v>56</v>
      </c>
      <c r="B57" s="581" t="s">
        <v>1207</v>
      </c>
      <c r="C57" s="581" t="s">
        <v>305</v>
      </c>
      <c r="D57" s="581" t="s">
        <v>864</v>
      </c>
      <c r="E57" s="581" t="s">
        <v>16</v>
      </c>
      <c r="F57" s="713" t="s">
        <v>15</v>
      </c>
      <c r="G57" s="582">
        <v>23</v>
      </c>
      <c r="H57" s="582">
        <v>19</v>
      </c>
      <c r="I57" s="582">
        <v>10</v>
      </c>
      <c r="J57" s="582">
        <v>8</v>
      </c>
      <c r="L57" s="519" t="str">
        <v>Ulster</v>
      </c>
      <c r="N57" s="2" t="s">
        <v>350</v>
      </c>
      <c r="O57" s="3">
        <v>2.5908175693671806E-3</v>
      </c>
      <c r="P57" s="3">
        <v>0</v>
      </c>
      <c r="R57" s="513">
        <v>53</v>
      </c>
      <c r="S57" s="529" t="str">
        <f t="shared" si="0"/>
        <v>Sullivan</v>
      </c>
      <c r="T57" s="574">
        <f t="shared" si="1"/>
        <v>2.5908175693671806E-3</v>
      </c>
      <c r="U57" s="574">
        <f t="shared" si="2"/>
        <v>0</v>
      </c>
      <c r="V57" s="530">
        <f t="shared" si="5"/>
        <v>7730.4479935704494</v>
      </c>
      <c r="W57" s="530">
        <f t="shared" si="6"/>
        <v>0</v>
      </c>
    </row>
    <row r="58" spans="1:23" ht="31.5" x14ac:dyDescent="0.25">
      <c r="A58" s="581">
        <v>57</v>
      </c>
      <c r="B58" s="581" t="s">
        <v>1207</v>
      </c>
      <c r="C58" s="581" t="s">
        <v>305</v>
      </c>
      <c r="D58" s="581" t="s">
        <v>861</v>
      </c>
      <c r="E58" s="581" t="s">
        <v>14</v>
      </c>
      <c r="F58" s="713" t="s">
        <v>15</v>
      </c>
      <c r="G58" s="582">
        <v>30</v>
      </c>
      <c r="H58" s="582">
        <v>26</v>
      </c>
      <c r="I58" s="582">
        <v>24</v>
      </c>
      <c r="J58" s="582">
        <v>9</v>
      </c>
      <c r="L58" s="519" t="str">
        <v>Warren</v>
      </c>
      <c r="N58" s="2" t="s">
        <v>351</v>
      </c>
      <c r="O58" s="3">
        <v>1.4345881213713213E-3</v>
      </c>
      <c r="P58" s="3">
        <v>0</v>
      </c>
      <c r="R58" s="513">
        <v>54</v>
      </c>
      <c r="S58" s="529" t="str">
        <f t="shared" si="0"/>
        <v>Tioga</v>
      </c>
      <c r="T58" s="574">
        <f t="shared" si="1"/>
        <v>1.4345881213713213E-3</v>
      </c>
      <c r="U58" s="574">
        <f t="shared" si="2"/>
        <v>0</v>
      </c>
      <c r="V58" s="530">
        <f t="shared" si="5"/>
        <v>4280.5055035826854</v>
      </c>
      <c r="W58" s="530">
        <f t="shared" si="6"/>
        <v>0</v>
      </c>
    </row>
    <row r="59" spans="1:23" ht="21" x14ac:dyDescent="0.25">
      <c r="A59" s="581">
        <v>58</v>
      </c>
      <c r="B59" s="581" t="s">
        <v>1207</v>
      </c>
      <c r="C59" s="581" t="s">
        <v>305</v>
      </c>
      <c r="D59" s="581" t="s">
        <v>930</v>
      </c>
      <c r="E59" s="581" t="s">
        <v>14</v>
      </c>
      <c r="F59" s="713" t="s">
        <v>15</v>
      </c>
      <c r="G59" s="582">
        <v>6</v>
      </c>
      <c r="H59" s="582">
        <v>5</v>
      </c>
      <c r="I59" s="582">
        <v>0</v>
      </c>
      <c r="J59" s="582">
        <v>3</v>
      </c>
      <c r="L59" s="519" t="str">
        <v>Washington</v>
      </c>
      <c r="N59" s="2" t="s">
        <v>352</v>
      </c>
      <c r="O59" s="3">
        <v>1.0364555405231305E-3</v>
      </c>
      <c r="P59" s="3">
        <v>0</v>
      </c>
      <c r="R59" s="513">
        <v>55</v>
      </c>
      <c r="S59" s="529" t="str">
        <f t="shared" si="0"/>
        <v>Tompkins</v>
      </c>
      <c r="T59" s="574">
        <f t="shared" si="1"/>
        <v>1.0364555405231305E-3</v>
      </c>
      <c r="U59" s="574">
        <f t="shared" si="2"/>
        <v>0</v>
      </c>
      <c r="V59" s="530">
        <f t="shared" si="5"/>
        <v>3092.5626521897657</v>
      </c>
      <c r="W59" s="530">
        <f t="shared" si="6"/>
        <v>0</v>
      </c>
    </row>
    <row r="60" spans="1:23" ht="31.5" x14ac:dyDescent="0.25">
      <c r="A60" s="581">
        <v>59</v>
      </c>
      <c r="B60" s="581" t="s">
        <v>1207</v>
      </c>
      <c r="C60" s="581" t="s">
        <v>305</v>
      </c>
      <c r="D60" s="581" t="s">
        <v>918</v>
      </c>
      <c r="E60" s="581" t="s">
        <v>495</v>
      </c>
      <c r="F60" s="713" t="s">
        <v>15</v>
      </c>
      <c r="G60" s="582">
        <v>2</v>
      </c>
      <c r="H60" s="582">
        <v>2</v>
      </c>
      <c r="I60" s="582">
        <v>0</v>
      </c>
      <c r="J60" s="582">
        <v>0</v>
      </c>
      <c r="L60" s="519" t="str">
        <v>Wayne</v>
      </c>
      <c r="N60" s="2" t="s">
        <v>353</v>
      </c>
      <c r="O60" s="3">
        <v>8.5279793197240439E-3</v>
      </c>
      <c r="P60" s="3">
        <v>0</v>
      </c>
      <c r="R60" s="513">
        <v>56</v>
      </c>
      <c r="S60" s="529" t="str">
        <f t="shared" si="0"/>
        <v>Ulster</v>
      </c>
      <c r="T60" s="574">
        <f t="shared" si="1"/>
        <v>8.5279793197240439E-3</v>
      </c>
      <c r="U60" s="574">
        <f t="shared" si="2"/>
        <v>0</v>
      </c>
      <c r="V60" s="530">
        <f t="shared" si="5"/>
        <v>25445.674524074475</v>
      </c>
      <c r="W60" s="530">
        <f t="shared" si="6"/>
        <v>0</v>
      </c>
    </row>
    <row r="61" spans="1:23" ht="21" x14ac:dyDescent="0.25">
      <c r="A61" s="581">
        <v>60</v>
      </c>
      <c r="B61" s="581" t="s">
        <v>1207</v>
      </c>
      <c r="C61" s="581" t="s">
        <v>305</v>
      </c>
      <c r="D61" s="581" t="s">
        <v>955</v>
      </c>
      <c r="E61" s="581" t="s">
        <v>495</v>
      </c>
      <c r="F61" s="713" t="s">
        <v>15</v>
      </c>
      <c r="G61" s="582">
        <v>39</v>
      </c>
      <c r="H61" s="582">
        <v>30</v>
      </c>
      <c r="I61" s="582">
        <v>81</v>
      </c>
      <c r="J61" s="582">
        <v>19</v>
      </c>
      <c r="L61" s="519" t="str">
        <v>Westchester</v>
      </c>
      <c r="N61" s="2" t="s">
        <v>354</v>
      </c>
      <c r="O61" s="3">
        <v>1.4283552517227942E-3</v>
      </c>
      <c r="P61" s="3">
        <v>0</v>
      </c>
      <c r="R61" s="513">
        <v>57</v>
      </c>
      <c r="S61" s="529" t="str">
        <f t="shared" si="0"/>
        <v>Warren</v>
      </c>
      <c r="T61" s="574">
        <f t="shared" si="1"/>
        <v>1.4283552517227942E-3</v>
      </c>
      <c r="U61" s="574">
        <f t="shared" si="2"/>
        <v>0</v>
      </c>
      <c r="V61" s="530">
        <f t="shared" si="5"/>
        <v>4261.9079476457719</v>
      </c>
      <c r="W61" s="530">
        <f t="shared" si="6"/>
        <v>0</v>
      </c>
    </row>
    <row r="62" spans="1:23" ht="21" x14ac:dyDescent="0.25">
      <c r="A62" s="581">
        <v>61</v>
      </c>
      <c r="B62" s="581" t="s">
        <v>1207</v>
      </c>
      <c r="C62" s="581" t="s">
        <v>305</v>
      </c>
      <c r="D62" s="581" t="s">
        <v>954</v>
      </c>
      <c r="E62" s="581" t="s">
        <v>16</v>
      </c>
      <c r="F62" s="713" t="s">
        <v>15</v>
      </c>
      <c r="G62" s="582">
        <v>22</v>
      </c>
      <c r="H62" s="582">
        <v>17</v>
      </c>
      <c r="I62" s="582">
        <v>4</v>
      </c>
      <c r="J62" s="582">
        <v>10</v>
      </c>
      <c r="L62" s="519" t="str">
        <v>Wyoming</v>
      </c>
      <c r="N62" s="2" t="s">
        <v>355</v>
      </c>
      <c r="O62" s="3">
        <v>2.2537928136298082E-3</v>
      </c>
      <c r="P62" s="3">
        <v>0</v>
      </c>
      <c r="R62" s="513">
        <v>58</v>
      </c>
      <c r="S62" s="529" t="str">
        <f t="shared" si="0"/>
        <v>Washington</v>
      </c>
      <c r="T62" s="574">
        <f t="shared" si="1"/>
        <v>2.2537928136298082E-3</v>
      </c>
      <c r="U62" s="574">
        <f t="shared" si="2"/>
        <v>0</v>
      </c>
      <c r="V62" s="530">
        <f t="shared" si="5"/>
        <v>6724.837881311596</v>
      </c>
      <c r="W62" s="530">
        <f t="shared" si="6"/>
        <v>0</v>
      </c>
    </row>
    <row r="63" spans="1:23" ht="21" x14ac:dyDescent="0.25">
      <c r="A63" s="581">
        <v>62</v>
      </c>
      <c r="B63" s="581" t="s">
        <v>1207</v>
      </c>
      <c r="C63" s="581" t="s">
        <v>305</v>
      </c>
      <c r="D63" s="581" t="s">
        <v>938</v>
      </c>
      <c r="E63" s="581" t="s">
        <v>495</v>
      </c>
      <c r="F63" s="713" t="s">
        <v>15</v>
      </c>
      <c r="G63" s="582">
        <v>0</v>
      </c>
      <c r="H63" s="582">
        <v>0</v>
      </c>
      <c r="I63" s="582">
        <v>3</v>
      </c>
      <c r="J63" s="582">
        <v>0</v>
      </c>
      <c r="L63" s="519" t="str">
        <v>Yates</v>
      </c>
      <c r="N63" s="2" t="s">
        <v>361</v>
      </c>
      <c r="O63" s="3">
        <v>8.7420816049703603E-4</v>
      </c>
      <c r="P63" s="3">
        <v>0</v>
      </c>
      <c r="R63" s="513">
        <v>59</v>
      </c>
      <c r="S63" s="529" t="str">
        <f t="shared" si="0"/>
        <v>Wayne</v>
      </c>
      <c r="T63" s="574">
        <f t="shared" si="1"/>
        <v>8.7420816049703603E-4</v>
      </c>
      <c r="U63" s="574">
        <f t="shared" si="2"/>
        <v>0</v>
      </c>
      <c r="V63" s="530">
        <f t="shared" si="5"/>
        <v>2608.4510156876481</v>
      </c>
      <c r="W63" s="530">
        <f t="shared" si="6"/>
        <v>0</v>
      </c>
    </row>
    <row r="64" spans="1:23" ht="21" x14ac:dyDescent="0.25">
      <c r="A64" s="581">
        <v>63</v>
      </c>
      <c r="B64" s="581" t="s">
        <v>1207</v>
      </c>
      <c r="C64" s="581" t="s">
        <v>305</v>
      </c>
      <c r="D64" s="581" t="s">
        <v>928</v>
      </c>
      <c r="E64" s="581" t="s">
        <v>14</v>
      </c>
      <c r="F64" s="713" t="s">
        <v>15</v>
      </c>
      <c r="G64" s="582">
        <v>10</v>
      </c>
      <c r="H64" s="582">
        <v>9</v>
      </c>
      <c r="I64" s="582">
        <v>9</v>
      </c>
      <c r="J64" s="582">
        <v>2</v>
      </c>
      <c r="N64" s="2" t="s">
        <v>362</v>
      </c>
      <c r="O64" s="3">
        <v>2.408470791134289E-2</v>
      </c>
      <c r="P64" s="3">
        <v>2.442887964885326E-2</v>
      </c>
      <c r="R64" s="513">
        <v>60</v>
      </c>
      <c r="S64" s="529" t="str">
        <f t="shared" si="0"/>
        <v>Westchester</v>
      </c>
      <c r="T64" s="574">
        <f t="shared" si="1"/>
        <v>2.408470791134289E-2</v>
      </c>
      <c r="U64" s="574">
        <f t="shared" si="2"/>
        <v>2.442887964885326E-2</v>
      </c>
      <c r="V64" s="530">
        <f t="shared" si="5"/>
        <v>71863.640323563071</v>
      </c>
      <c r="W64" s="530">
        <f t="shared" si="6"/>
        <v>135094.7567092703</v>
      </c>
    </row>
    <row r="65" spans="1:23" ht="21" x14ac:dyDescent="0.25">
      <c r="A65" s="581">
        <v>64</v>
      </c>
      <c r="B65" s="581" t="s">
        <v>1207</v>
      </c>
      <c r="C65" s="581" t="s">
        <v>305</v>
      </c>
      <c r="D65" s="581" t="s">
        <v>1209</v>
      </c>
      <c r="E65" s="581" t="s">
        <v>495</v>
      </c>
      <c r="F65" s="713" t="s">
        <v>15</v>
      </c>
      <c r="G65" s="582">
        <v>0</v>
      </c>
      <c r="H65" s="582">
        <v>0</v>
      </c>
      <c r="I65" s="582">
        <v>0</v>
      </c>
      <c r="J65" s="582">
        <v>1</v>
      </c>
      <c r="N65" s="2" t="s">
        <v>363</v>
      </c>
      <c r="O65" s="3">
        <v>6.0201810038197211E-4</v>
      </c>
      <c r="P65" s="3">
        <v>0</v>
      </c>
      <c r="R65" s="513">
        <v>61</v>
      </c>
      <c r="S65" s="529" t="str">
        <f t="shared" si="0"/>
        <v>Wyoming</v>
      </c>
      <c r="T65" s="574">
        <f t="shared" si="1"/>
        <v>6.0201810038197211E-4</v>
      </c>
      <c r="U65" s="574">
        <f t="shared" si="2"/>
        <v>0</v>
      </c>
      <c r="V65" s="530">
        <f t="shared" si="5"/>
        <v>1796.2938306488479</v>
      </c>
      <c r="W65" s="530">
        <f t="shared" si="6"/>
        <v>0</v>
      </c>
    </row>
    <row r="66" spans="1:23" ht="21" x14ac:dyDescent="0.25">
      <c r="A66" s="581">
        <v>65</v>
      </c>
      <c r="B66" s="581" t="s">
        <v>1207</v>
      </c>
      <c r="C66" s="581" t="s">
        <v>305</v>
      </c>
      <c r="D66" s="581" t="s">
        <v>876</v>
      </c>
      <c r="E66" s="581" t="s">
        <v>434</v>
      </c>
      <c r="F66" s="713" t="s">
        <v>15</v>
      </c>
      <c r="G66" s="582">
        <v>49</v>
      </c>
      <c r="H66" s="582">
        <v>38</v>
      </c>
      <c r="I66" s="582">
        <v>68</v>
      </c>
      <c r="J66" s="582">
        <v>18</v>
      </c>
      <c r="N66" s="2" t="s">
        <v>364</v>
      </c>
      <c r="O66" s="3">
        <v>8.2460222886133507E-4</v>
      </c>
      <c r="P66" s="3">
        <v>0</v>
      </c>
      <c r="R66" s="513">
        <v>62</v>
      </c>
      <c r="S66" s="529" t="str">
        <f t="shared" si="0"/>
        <v>Yates</v>
      </c>
      <c r="T66" s="574">
        <f t="shared" si="1"/>
        <v>8.2460222886133507E-4</v>
      </c>
      <c r="U66" s="574">
        <f t="shared" si="2"/>
        <v>0</v>
      </c>
      <c r="V66" s="530">
        <f t="shared" si="5"/>
        <v>2460.4374777155153</v>
      </c>
      <c r="W66" s="530">
        <f t="shared" si="6"/>
        <v>0</v>
      </c>
    </row>
    <row r="67" spans="1:23" ht="21" x14ac:dyDescent="0.25">
      <c r="A67" s="581">
        <v>66</v>
      </c>
      <c r="B67" s="581" t="s">
        <v>1207</v>
      </c>
      <c r="C67" s="581" t="s">
        <v>305</v>
      </c>
      <c r="D67" s="581" t="s">
        <v>935</v>
      </c>
      <c r="E67" s="581" t="s">
        <v>495</v>
      </c>
      <c r="F67" s="713" t="s">
        <v>15</v>
      </c>
      <c r="G67" s="582">
        <v>2</v>
      </c>
      <c r="H67" s="582">
        <v>2</v>
      </c>
      <c r="I67" s="582">
        <v>2</v>
      </c>
      <c r="J67" s="582">
        <v>0</v>
      </c>
      <c r="N67" s="2" t="s">
        <v>22</v>
      </c>
      <c r="O67" s="3">
        <v>1</v>
      </c>
      <c r="P67" s="3">
        <v>1</v>
      </c>
      <c r="R67" s="513">
        <v>63</v>
      </c>
      <c r="S67" s="529" t="str">
        <f t="shared" si="0"/>
        <v>Grand Total</v>
      </c>
      <c r="T67" s="574">
        <f t="shared" si="1"/>
        <v>1</v>
      </c>
      <c r="U67" s="574">
        <f t="shared" si="2"/>
        <v>1</v>
      </c>
      <c r="V67" s="530">
        <f t="shared" si="5"/>
        <v>2983787.0813338077</v>
      </c>
      <c r="W67" s="530">
        <f t="shared" si="6"/>
        <v>5530124.9443754954</v>
      </c>
    </row>
    <row r="68" spans="1:23" ht="31.5" x14ac:dyDescent="0.25">
      <c r="A68" s="581">
        <v>67</v>
      </c>
      <c r="B68" s="581" t="s">
        <v>1207</v>
      </c>
      <c r="C68" s="581" t="s">
        <v>305</v>
      </c>
      <c r="D68" s="581" t="s">
        <v>925</v>
      </c>
      <c r="E68" s="581" t="s">
        <v>16</v>
      </c>
      <c r="F68" s="713" t="s">
        <v>15</v>
      </c>
      <c r="G68" s="582">
        <v>1</v>
      </c>
      <c r="H68" s="582">
        <v>1</v>
      </c>
      <c r="I68" s="582">
        <v>0</v>
      </c>
      <c r="J68" s="582">
        <v>0</v>
      </c>
      <c r="N68"/>
      <c r="O68"/>
      <c r="P68"/>
      <c r="R68" s="513">
        <v>64</v>
      </c>
      <c r="S68" s="529">
        <f t="shared" si="0"/>
        <v>0</v>
      </c>
      <c r="T68" s="574">
        <f t="shared" si="1"/>
        <v>0</v>
      </c>
      <c r="U68" s="574">
        <f t="shared" si="2"/>
        <v>0</v>
      </c>
      <c r="V68" s="530">
        <f t="shared" si="5"/>
        <v>0</v>
      </c>
      <c r="W68" s="530">
        <f t="shared" si="6"/>
        <v>0</v>
      </c>
    </row>
    <row r="69" spans="1:23" ht="21" x14ac:dyDescent="0.25">
      <c r="A69" s="581">
        <v>68</v>
      </c>
      <c r="B69" s="581" t="s">
        <v>1207</v>
      </c>
      <c r="C69" s="581" t="s">
        <v>305</v>
      </c>
      <c r="D69" s="581" t="s">
        <v>909</v>
      </c>
      <c r="E69" s="581" t="s">
        <v>14</v>
      </c>
      <c r="F69" s="713" t="s">
        <v>15</v>
      </c>
      <c r="G69" s="582">
        <v>29</v>
      </c>
      <c r="H69" s="582">
        <v>25</v>
      </c>
      <c r="I69" s="582">
        <v>30</v>
      </c>
      <c r="J69" s="582">
        <v>7</v>
      </c>
      <c r="R69" s="513">
        <v>65</v>
      </c>
      <c r="S69" s="529">
        <f t="shared" si="0"/>
        <v>0</v>
      </c>
      <c r="T69" s="574">
        <f t="shared" si="1"/>
        <v>0</v>
      </c>
      <c r="U69" s="574">
        <f t="shared" si="2"/>
        <v>0</v>
      </c>
      <c r="V69" s="530">
        <f t="shared" si="5"/>
        <v>0</v>
      </c>
      <c r="W69" s="530">
        <f t="shared" si="6"/>
        <v>0</v>
      </c>
    </row>
    <row r="70" spans="1:23" ht="21" x14ac:dyDescent="0.25">
      <c r="A70" s="581">
        <v>69</v>
      </c>
      <c r="B70" s="581" t="s">
        <v>1207</v>
      </c>
      <c r="C70" s="581" t="s">
        <v>305</v>
      </c>
      <c r="D70" s="581" t="s">
        <v>943</v>
      </c>
      <c r="E70" s="581" t="s">
        <v>13</v>
      </c>
      <c r="F70" s="713" t="s">
        <v>15</v>
      </c>
      <c r="G70" s="582">
        <v>28</v>
      </c>
      <c r="H70" s="582">
        <v>22</v>
      </c>
      <c r="I70" s="582">
        <v>57</v>
      </c>
      <c r="J70" s="582">
        <v>12</v>
      </c>
      <c r="R70" s="513">
        <v>66</v>
      </c>
      <c r="S70" s="529">
        <f t="shared" ref="S70:S72" si="7">N70</f>
        <v>0</v>
      </c>
      <c r="T70" s="574">
        <f t="shared" ref="T70:T72" si="8">O70</f>
        <v>0</v>
      </c>
      <c r="U70" s="574">
        <f t="shared" ref="U70:U72" si="9">P70</f>
        <v>0</v>
      </c>
      <c r="V70" s="530">
        <f t="shared" si="5"/>
        <v>0</v>
      </c>
      <c r="W70" s="530">
        <f t="shared" si="6"/>
        <v>0</v>
      </c>
    </row>
    <row r="71" spans="1:23" ht="21" x14ac:dyDescent="0.25">
      <c r="A71" s="581">
        <v>70</v>
      </c>
      <c r="B71" s="581" t="s">
        <v>1207</v>
      </c>
      <c r="C71" s="581" t="s">
        <v>305</v>
      </c>
      <c r="D71" s="581" t="s">
        <v>492</v>
      </c>
      <c r="E71" s="581" t="s">
        <v>16</v>
      </c>
      <c r="F71" s="713" t="s">
        <v>15</v>
      </c>
      <c r="G71" s="582">
        <v>1</v>
      </c>
      <c r="H71" s="582">
        <v>1</v>
      </c>
      <c r="I71" s="582">
        <v>1</v>
      </c>
      <c r="J71" s="582">
        <v>0</v>
      </c>
      <c r="R71" s="513">
        <v>67</v>
      </c>
      <c r="S71" s="529">
        <f t="shared" si="7"/>
        <v>0</v>
      </c>
      <c r="T71" s="574">
        <f t="shared" si="8"/>
        <v>0</v>
      </c>
      <c r="U71" s="574">
        <f t="shared" si="9"/>
        <v>0</v>
      </c>
      <c r="V71" s="530">
        <f t="shared" si="5"/>
        <v>0</v>
      </c>
      <c r="W71" s="530">
        <f t="shared" si="6"/>
        <v>0</v>
      </c>
    </row>
    <row r="72" spans="1:23" ht="21" x14ac:dyDescent="0.25">
      <c r="A72" s="581">
        <v>71</v>
      </c>
      <c r="B72" s="581" t="s">
        <v>1207</v>
      </c>
      <c r="C72" s="581" t="s">
        <v>305</v>
      </c>
      <c r="D72" s="581" t="s">
        <v>920</v>
      </c>
      <c r="E72" s="581" t="s">
        <v>495</v>
      </c>
      <c r="F72" s="713" t="s">
        <v>15</v>
      </c>
      <c r="G72" s="582">
        <v>0</v>
      </c>
      <c r="H72" s="582">
        <v>0</v>
      </c>
      <c r="I72" s="582">
        <v>1</v>
      </c>
      <c r="J72" s="582">
        <v>0</v>
      </c>
      <c r="R72" s="513">
        <v>68</v>
      </c>
      <c r="S72" s="529">
        <f t="shared" si="7"/>
        <v>0</v>
      </c>
      <c r="T72" s="574">
        <f t="shared" si="8"/>
        <v>0</v>
      </c>
      <c r="U72" s="574">
        <f t="shared" si="9"/>
        <v>0</v>
      </c>
      <c r="V72" s="530">
        <f t="shared" si="5"/>
        <v>0</v>
      </c>
      <c r="W72" s="530">
        <f t="shared" si="6"/>
        <v>0</v>
      </c>
    </row>
    <row r="73" spans="1:23" ht="21" x14ac:dyDescent="0.25">
      <c r="A73" s="581">
        <v>72</v>
      </c>
      <c r="B73" s="581" t="s">
        <v>1208</v>
      </c>
      <c r="C73" s="581" t="s">
        <v>305</v>
      </c>
      <c r="D73" s="581" t="s">
        <v>905</v>
      </c>
      <c r="E73" s="581" t="s">
        <v>16</v>
      </c>
      <c r="F73" s="713" t="s">
        <v>20</v>
      </c>
      <c r="G73" s="582">
        <v>7</v>
      </c>
      <c r="H73" s="582">
        <v>7</v>
      </c>
      <c r="I73" s="582">
        <v>6</v>
      </c>
      <c r="J73" s="582">
        <v>0</v>
      </c>
    </row>
    <row r="74" spans="1:23" ht="21" x14ac:dyDescent="0.25">
      <c r="A74" s="581">
        <v>73</v>
      </c>
      <c r="B74" s="581" t="s">
        <v>1207</v>
      </c>
      <c r="C74" s="581" t="s">
        <v>306</v>
      </c>
      <c r="D74" s="581" t="s">
        <v>897</v>
      </c>
      <c r="E74" s="581" t="s">
        <v>14</v>
      </c>
      <c r="F74" s="713" t="s">
        <v>15</v>
      </c>
      <c r="G74" s="582">
        <v>12</v>
      </c>
      <c r="H74" s="582">
        <v>9</v>
      </c>
      <c r="I74" s="582">
        <v>22</v>
      </c>
      <c r="J74" s="582">
        <v>10</v>
      </c>
    </row>
    <row r="75" spans="1:23" ht="21" x14ac:dyDescent="0.25">
      <c r="A75" s="581">
        <v>74</v>
      </c>
      <c r="B75" s="581" t="s">
        <v>1207</v>
      </c>
      <c r="C75" s="581" t="s">
        <v>306</v>
      </c>
      <c r="D75" s="581" t="s">
        <v>876</v>
      </c>
      <c r="E75" s="581" t="s">
        <v>434</v>
      </c>
      <c r="F75" s="713" t="s">
        <v>15</v>
      </c>
      <c r="G75" s="582">
        <v>9</v>
      </c>
      <c r="H75" s="582">
        <v>7</v>
      </c>
      <c r="I75" s="582">
        <v>28</v>
      </c>
      <c r="J75" s="582">
        <v>7</v>
      </c>
    </row>
    <row r="76" spans="1:23" ht="21" x14ac:dyDescent="0.25">
      <c r="A76" s="581">
        <v>75</v>
      </c>
      <c r="B76" s="581" t="s">
        <v>1207</v>
      </c>
      <c r="C76" s="581" t="s">
        <v>306</v>
      </c>
      <c r="D76" s="581" t="s">
        <v>909</v>
      </c>
      <c r="E76" s="581" t="s">
        <v>14</v>
      </c>
      <c r="F76" s="713" t="s">
        <v>15</v>
      </c>
      <c r="G76" s="582">
        <v>0</v>
      </c>
      <c r="H76" s="582">
        <v>0</v>
      </c>
      <c r="I76" s="582">
        <v>1</v>
      </c>
      <c r="J76" s="582">
        <v>1</v>
      </c>
    </row>
    <row r="77" spans="1:23" ht="21" x14ac:dyDescent="0.25">
      <c r="A77" s="581">
        <v>76</v>
      </c>
      <c r="B77" s="581" t="s">
        <v>1207</v>
      </c>
      <c r="C77" s="581" t="s">
        <v>307</v>
      </c>
      <c r="D77" s="581" t="s">
        <v>897</v>
      </c>
      <c r="E77" s="581" t="s">
        <v>14</v>
      </c>
      <c r="F77" s="713" t="s">
        <v>15</v>
      </c>
      <c r="G77" s="582">
        <v>4</v>
      </c>
      <c r="H77" s="582">
        <v>3</v>
      </c>
      <c r="I77" s="582">
        <v>3</v>
      </c>
      <c r="J77" s="582">
        <v>2</v>
      </c>
    </row>
    <row r="78" spans="1:23" ht="21" x14ac:dyDescent="0.25">
      <c r="A78" s="581">
        <v>77</v>
      </c>
      <c r="B78" s="581" t="s">
        <v>1207</v>
      </c>
      <c r="C78" s="581" t="s">
        <v>307</v>
      </c>
      <c r="D78" s="581" t="s">
        <v>876</v>
      </c>
      <c r="E78" s="581" t="s">
        <v>434</v>
      </c>
      <c r="F78" s="713" t="s">
        <v>15</v>
      </c>
      <c r="G78" s="582">
        <v>1</v>
      </c>
      <c r="H78" s="582">
        <v>0</v>
      </c>
      <c r="I78" s="582">
        <v>10</v>
      </c>
      <c r="J78" s="582">
        <v>2</v>
      </c>
    </row>
    <row r="79" spans="1:23" ht="21" x14ac:dyDescent="0.25">
      <c r="A79" s="581">
        <v>78</v>
      </c>
      <c r="B79" s="581" t="s">
        <v>1207</v>
      </c>
      <c r="C79" s="581" t="s">
        <v>308</v>
      </c>
      <c r="D79" s="581" t="s">
        <v>897</v>
      </c>
      <c r="E79" s="581" t="s">
        <v>14</v>
      </c>
      <c r="F79" s="713" t="s">
        <v>15</v>
      </c>
      <c r="G79" s="582">
        <v>2</v>
      </c>
      <c r="H79" s="582">
        <v>2</v>
      </c>
      <c r="I79" s="582">
        <v>1</v>
      </c>
      <c r="J79" s="582">
        <v>2</v>
      </c>
    </row>
    <row r="80" spans="1:23" ht="21" x14ac:dyDescent="0.25">
      <c r="A80" s="581">
        <v>79</v>
      </c>
      <c r="B80" s="581" t="s">
        <v>1207</v>
      </c>
      <c r="C80" s="581" t="s">
        <v>308</v>
      </c>
      <c r="D80" s="581" t="s">
        <v>876</v>
      </c>
      <c r="E80" s="581" t="s">
        <v>434</v>
      </c>
      <c r="F80" s="713" t="s">
        <v>15</v>
      </c>
      <c r="G80" s="582">
        <v>3</v>
      </c>
      <c r="H80" s="582">
        <v>2</v>
      </c>
      <c r="I80" s="582">
        <v>5</v>
      </c>
      <c r="J80" s="582">
        <v>3</v>
      </c>
    </row>
    <row r="81" spans="1:10" ht="21" x14ac:dyDescent="0.25">
      <c r="A81" s="581">
        <v>80</v>
      </c>
      <c r="B81" s="581" t="s">
        <v>1207</v>
      </c>
      <c r="C81" s="581" t="s">
        <v>309</v>
      </c>
      <c r="D81" s="581" t="s">
        <v>897</v>
      </c>
      <c r="E81" s="581" t="s">
        <v>14</v>
      </c>
      <c r="F81" s="713" t="s">
        <v>15</v>
      </c>
      <c r="G81" s="582">
        <v>3</v>
      </c>
      <c r="H81" s="582">
        <v>2</v>
      </c>
      <c r="I81" s="582">
        <v>6</v>
      </c>
      <c r="J81" s="582">
        <v>2</v>
      </c>
    </row>
    <row r="82" spans="1:10" ht="21" x14ac:dyDescent="0.25">
      <c r="A82" s="581">
        <v>81</v>
      </c>
      <c r="B82" s="581" t="s">
        <v>1207</v>
      </c>
      <c r="C82" s="581" t="s">
        <v>309</v>
      </c>
      <c r="D82" s="581" t="s">
        <v>876</v>
      </c>
      <c r="E82" s="581" t="s">
        <v>434</v>
      </c>
      <c r="F82" s="713" t="s">
        <v>15</v>
      </c>
      <c r="G82" s="582">
        <v>8</v>
      </c>
      <c r="H82" s="582">
        <v>6</v>
      </c>
      <c r="I82" s="582">
        <v>15</v>
      </c>
      <c r="J82" s="582">
        <v>3</v>
      </c>
    </row>
    <row r="83" spans="1:10" ht="21" x14ac:dyDescent="0.25">
      <c r="A83" s="581">
        <v>82</v>
      </c>
      <c r="B83" s="581" t="s">
        <v>1207</v>
      </c>
      <c r="C83" s="581" t="s">
        <v>310</v>
      </c>
      <c r="D83" s="581" t="s">
        <v>897</v>
      </c>
      <c r="E83" s="581" t="s">
        <v>14</v>
      </c>
      <c r="F83" s="713" t="s">
        <v>15</v>
      </c>
      <c r="G83" s="582">
        <v>6</v>
      </c>
      <c r="H83" s="582">
        <v>5</v>
      </c>
      <c r="I83" s="582">
        <v>5</v>
      </c>
      <c r="J83" s="582">
        <v>3</v>
      </c>
    </row>
    <row r="84" spans="1:10" ht="21" x14ac:dyDescent="0.25">
      <c r="A84" s="581">
        <v>83</v>
      </c>
      <c r="B84" s="581" t="s">
        <v>1207</v>
      </c>
      <c r="C84" s="581" t="s">
        <v>310</v>
      </c>
      <c r="D84" s="581" t="s">
        <v>876</v>
      </c>
      <c r="E84" s="581" t="s">
        <v>434</v>
      </c>
      <c r="F84" s="713" t="s">
        <v>15</v>
      </c>
      <c r="G84" s="582">
        <v>4</v>
      </c>
      <c r="H84" s="582">
        <v>3</v>
      </c>
      <c r="I84" s="582">
        <v>10</v>
      </c>
      <c r="J84" s="582">
        <v>1</v>
      </c>
    </row>
    <row r="85" spans="1:10" ht="21" x14ac:dyDescent="0.25">
      <c r="A85" s="581">
        <v>84</v>
      </c>
      <c r="B85" s="581" t="s">
        <v>1207</v>
      </c>
      <c r="C85" s="581" t="s">
        <v>360</v>
      </c>
      <c r="D85" s="581" t="s">
        <v>897</v>
      </c>
      <c r="E85" s="581" t="s">
        <v>14</v>
      </c>
      <c r="F85" s="713" t="s">
        <v>15</v>
      </c>
      <c r="G85" s="582">
        <v>3</v>
      </c>
      <c r="H85" s="582">
        <v>2</v>
      </c>
      <c r="I85" s="582">
        <v>4</v>
      </c>
      <c r="J85" s="582">
        <v>2</v>
      </c>
    </row>
    <row r="86" spans="1:10" ht="21" x14ac:dyDescent="0.25">
      <c r="A86" s="581">
        <v>85</v>
      </c>
      <c r="B86" s="581" t="s">
        <v>1207</v>
      </c>
      <c r="C86" s="581" t="s">
        <v>360</v>
      </c>
      <c r="D86" s="581" t="s">
        <v>876</v>
      </c>
      <c r="E86" s="581" t="s">
        <v>434</v>
      </c>
      <c r="F86" s="713" t="s">
        <v>15</v>
      </c>
      <c r="G86" s="582">
        <v>2</v>
      </c>
      <c r="H86" s="582">
        <v>1</v>
      </c>
      <c r="I86" s="582">
        <v>9</v>
      </c>
      <c r="J86" s="582">
        <v>2</v>
      </c>
    </row>
    <row r="87" spans="1:10" ht="21" x14ac:dyDescent="0.25">
      <c r="A87" s="581">
        <v>86</v>
      </c>
      <c r="B87" s="581" t="s">
        <v>1207</v>
      </c>
      <c r="C87" s="581" t="s">
        <v>311</v>
      </c>
      <c r="D87" s="581" t="s">
        <v>876</v>
      </c>
      <c r="E87" s="581" t="s">
        <v>434</v>
      </c>
      <c r="F87" s="713" t="s">
        <v>15</v>
      </c>
      <c r="G87" s="582">
        <v>0</v>
      </c>
      <c r="H87" s="582">
        <v>0</v>
      </c>
      <c r="I87" s="582">
        <v>2</v>
      </c>
      <c r="J87" s="582">
        <v>0</v>
      </c>
    </row>
    <row r="88" spans="1:10" ht="21" x14ac:dyDescent="0.25">
      <c r="A88" s="581">
        <v>87</v>
      </c>
      <c r="B88" s="581" t="s">
        <v>1207</v>
      </c>
      <c r="C88" s="581" t="s">
        <v>311</v>
      </c>
      <c r="D88" s="581" t="s">
        <v>897</v>
      </c>
      <c r="E88" s="581" t="s">
        <v>14</v>
      </c>
      <c r="F88" s="713" t="s">
        <v>15</v>
      </c>
      <c r="G88" s="582">
        <v>3</v>
      </c>
      <c r="H88" s="582">
        <v>3</v>
      </c>
      <c r="I88" s="582">
        <v>2</v>
      </c>
      <c r="J88" s="582">
        <v>0</v>
      </c>
    </row>
    <row r="89" spans="1:10" ht="21" x14ac:dyDescent="0.25">
      <c r="A89" s="581">
        <v>88</v>
      </c>
      <c r="B89" s="581" t="s">
        <v>1207</v>
      </c>
      <c r="C89" s="581" t="s">
        <v>311</v>
      </c>
      <c r="D89" s="581" t="s">
        <v>876</v>
      </c>
      <c r="E89" s="581" t="s">
        <v>434</v>
      </c>
      <c r="F89" s="713" t="s">
        <v>15</v>
      </c>
      <c r="G89" s="582">
        <v>0</v>
      </c>
      <c r="H89" s="582">
        <v>0</v>
      </c>
      <c r="I89" s="582">
        <v>5</v>
      </c>
      <c r="J89" s="582">
        <v>0</v>
      </c>
    </row>
    <row r="90" spans="1:10" ht="21" x14ac:dyDescent="0.25">
      <c r="A90" s="581">
        <v>89</v>
      </c>
      <c r="B90" s="581" t="s">
        <v>1206</v>
      </c>
      <c r="C90" s="581" t="s">
        <v>312</v>
      </c>
      <c r="D90" s="581" t="s">
        <v>906</v>
      </c>
      <c r="E90" s="581" t="s">
        <v>14</v>
      </c>
      <c r="F90" s="713" t="s">
        <v>20</v>
      </c>
      <c r="G90" s="582">
        <v>1</v>
      </c>
      <c r="H90" s="582">
        <v>0</v>
      </c>
      <c r="I90" s="582">
        <v>4</v>
      </c>
      <c r="J90" s="582">
        <v>2</v>
      </c>
    </row>
    <row r="91" spans="1:10" ht="21" x14ac:dyDescent="0.25">
      <c r="A91" s="581">
        <v>90</v>
      </c>
      <c r="B91" s="581" t="s">
        <v>1207</v>
      </c>
      <c r="C91" s="581" t="s">
        <v>312</v>
      </c>
      <c r="D91" s="581" t="s">
        <v>909</v>
      </c>
      <c r="E91" s="581" t="s">
        <v>14</v>
      </c>
      <c r="F91" s="713" t="s">
        <v>15</v>
      </c>
      <c r="G91" s="582">
        <v>1</v>
      </c>
      <c r="H91" s="582">
        <v>1</v>
      </c>
      <c r="I91" s="582">
        <v>4</v>
      </c>
      <c r="J91" s="582">
        <v>1</v>
      </c>
    </row>
    <row r="92" spans="1:10" ht="21" x14ac:dyDescent="0.25">
      <c r="A92" s="581">
        <v>91</v>
      </c>
      <c r="B92" s="581" t="s">
        <v>1207</v>
      </c>
      <c r="C92" s="581" t="s">
        <v>313</v>
      </c>
      <c r="D92" s="581" t="s">
        <v>897</v>
      </c>
      <c r="E92" s="581" t="s">
        <v>14</v>
      </c>
      <c r="F92" s="713" t="s">
        <v>15</v>
      </c>
      <c r="G92" s="582">
        <v>1</v>
      </c>
      <c r="H92" s="582">
        <v>1</v>
      </c>
      <c r="I92" s="582">
        <v>1</v>
      </c>
      <c r="J92" s="582">
        <v>1</v>
      </c>
    </row>
    <row r="93" spans="1:10" ht="21" x14ac:dyDescent="0.25">
      <c r="A93" s="581">
        <v>92</v>
      </c>
      <c r="B93" s="581" t="s">
        <v>1207</v>
      </c>
      <c r="C93" s="581" t="s">
        <v>313</v>
      </c>
      <c r="D93" s="581" t="s">
        <v>876</v>
      </c>
      <c r="E93" s="581" t="s">
        <v>434</v>
      </c>
      <c r="F93" s="713" t="s">
        <v>15</v>
      </c>
      <c r="G93" s="582">
        <v>1</v>
      </c>
      <c r="H93" s="582">
        <v>1</v>
      </c>
      <c r="I93" s="582">
        <v>3</v>
      </c>
      <c r="J93" s="582">
        <v>0</v>
      </c>
    </row>
    <row r="94" spans="1:10" ht="21" x14ac:dyDescent="0.25">
      <c r="A94" s="581">
        <v>93</v>
      </c>
      <c r="B94" s="581" t="s">
        <v>1207</v>
      </c>
      <c r="C94" s="581" t="s">
        <v>314</v>
      </c>
      <c r="D94" s="581" t="s">
        <v>897</v>
      </c>
      <c r="E94" s="581" t="s">
        <v>14</v>
      </c>
      <c r="F94" s="713" t="s">
        <v>15</v>
      </c>
      <c r="G94" s="582">
        <v>0</v>
      </c>
      <c r="H94" s="582">
        <v>0</v>
      </c>
      <c r="I94" s="582">
        <v>2</v>
      </c>
      <c r="J94" s="582">
        <v>1</v>
      </c>
    </row>
    <row r="95" spans="1:10" ht="21" x14ac:dyDescent="0.25">
      <c r="A95" s="581">
        <v>94</v>
      </c>
      <c r="B95" s="581" t="s">
        <v>1207</v>
      </c>
      <c r="C95" s="581" t="s">
        <v>314</v>
      </c>
      <c r="D95" s="581" t="s">
        <v>876</v>
      </c>
      <c r="E95" s="581" t="s">
        <v>434</v>
      </c>
      <c r="F95" s="713" t="s">
        <v>15</v>
      </c>
      <c r="G95" s="582">
        <v>0</v>
      </c>
      <c r="H95" s="582">
        <v>0</v>
      </c>
      <c r="I95" s="582">
        <v>8</v>
      </c>
      <c r="J95" s="582">
        <v>1</v>
      </c>
    </row>
    <row r="96" spans="1:10" ht="21" x14ac:dyDescent="0.25">
      <c r="A96" s="581">
        <v>95</v>
      </c>
      <c r="B96" s="581" t="s">
        <v>1207</v>
      </c>
      <c r="C96" s="581" t="s">
        <v>314</v>
      </c>
      <c r="D96" s="581" t="s">
        <v>909</v>
      </c>
      <c r="E96" s="581" t="s">
        <v>14</v>
      </c>
      <c r="F96" s="713" t="s">
        <v>15</v>
      </c>
      <c r="G96" s="582">
        <v>0</v>
      </c>
      <c r="H96" s="582">
        <v>0</v>
      </c>
      <c r="I96" s="582">
        <v>5</v>
      </c>
      <c r="J96" s="582">
        <v>1</v>
      </c>
    </row>
    <row r="97" spans="1:10" ht="21" x14ac:dyDescent="0.25">
      <c r="A97" s="581">
        <v>96</v>
      </c>
      <c r="B97" s="581" t="s">
        <v>1207</v>
      </c>
      <c r="C97" s="581" t="s">
        <v>315</v>
      </c>
      <c r="D97" s="581" t="s">
        <v>928</v>
      </c>
      <c r="E97" s="581" t="s">
        <v>14</v>
      </c>
      <c r="F97" s="713" t="s">
        <v>15</v>
      </c>
      <c r="G97" s="582">
        <v>1</v>
      </c>
      <c r="H97" s="582">
        <v>1</v>
      </c>
      <c r="I97" s="582">
        <v>3</v>
      </c>
      <c r="J97" s="582">
        <v>0</v>
      </c>
    </row>
    <row r="98" spans="1:10" ht="21" x14ac:dyDescent="0.25">
      <c r="A98" s="581">
        <v>97</v>
      </c>
      <c r="B98" s="581" t="s">
        <v>1207</v>
      </c>
      <c r="C98" s="581" t="s">
        <v>315</v>
      </c>
      <c r="D98" s="581" t="s">
        <v>876</v>
      </c>
      <c r="E98" s="581" t="s">
        <v>434</v>
      </c>
      <c r="F98" s="713" t="s">
        <v>15</v>
      </c>
      <c r="G98" s="582">
        <v>3</v>
      </c>
      <c r="H98" s="582">
        <v>1</v>
      </c>
      <c r="I98" s="582">
        <v>6</v>
      </c>
      <c r="J98" s="582">
        <v>3</v>
      </c>
    </row>
    <row r="99" spans="1:10" ht="21" x14ac:dyDescent="0.25">
      <c r="A99" s="581">
        <v>98</v>
      </c>
      <c r="B99" s="581" t="s">
        <v>1207</v>
      </c>
      <c r="C99" s="581" t="s">
        <v>315</v>
      </c>
      <c r="D99" s="581" t="s">
        <v>935</v>
      </c>
      <c r="E99" s="581" t="s">
        <v>495</v>
      </c>
      <c r="F99" s="713" t="s">
        <v>15</v>
      </c>
      <c r="G99" s="582">
        <v>1</v>
      </c>
      <c r="H99" s="582">
        <v>1</v>
      </c>
      <c r="I99" s="582">
        <v>1</v>
      </c>
      <c r="J99" s="582">
        <v>0</v>
      </c>
    </row>
    <row r="100" spans="1:10" ht="21" x14ac:dyDescent="0.25">
      <c r="A100" s="581">
        <v>99</v>
      </c>
      <c r="B100" s="581" t="s">
        <v>1207</v>
      </c>
      <c r="C100" s="581" t="s">
        <v>315</v>
      </c>
      <c r="D100" s="581" t="s">
        <v>909</v>
      </c>
      <c r="E100" s="581" t="s">
        <v>14</v>
      </c>
      <c r="F100" s="713" t="s">
        <v>15</v>
      </c>
      <c r="G100" s="582">
        <v>10</v>
      </c>
      <c r="H100" s="582">
        <v>10</v>
      </c>
      <c r="I100" s="582">
        <v>10</v>
      </c>
      <c r="J100" s="582">
        <v>3</v>
      </c>
    </row>
    <row r="101" spans="1:10" ht="31.5" x14ac:dyDescent="0.25">
      <c r="A101" s="581">
        <v>100</v>
      </c>
      <c r="B101" s="581" t="s">
        <v>1207</v>
      </c>
      <c r="C101" s="581" t="s">
        <v>316</v>
      </c>
      <c r="D101" s="581" t="s">
        <v>861</v>
      </c>
      <c r="E101" s="581" t="s">
        <v>14</v>
      </c>
      <c r="F101" s="713" t="s">
        <v>15</v>
      </c>
      <c r="G101" s="582">
        <v>22</v>
      </c>
      <c r="H101" s="582">
        <v>17</v>
      </c>
      <c r="I101" s="582">
        <v>16</v>
      </c>
      <c r="J101" s="582">
        <v>12</v>
      </c>
    </row>
    <row r="102" spans="1:10" ht="21" x14ac:dyDescent="0.25">
      <c r="A102" s="581">
        <v>101</v>
      </c>
      <c r="B102" s="581" t="s">
        <v>1207</v>
      </c>
      <c r="C102" s="581" t="s">
        <v>316</v>
      </c>
      <c r="D102" s="581" t="s">
        <v>994</v>
      </c>
      <c r="E102" s="581" t="s">
        <v>495</v>
      </c>
      <c r="F102" s="713" t="s">
        <v>15</v>
      </c>
      <c r="G102" s="582">
        <v>3</v>
      </c>
      <c r="H102" s="582">
        <v>0</v>
      </c>
      <c r="I102" s="582">
        <v>0</v>
      </c>
      <c r="J102" s="582">
        <v>3</v>
      </c>
    </row>
    <row r="103" spans="1:10" ht="21" x14ac:dyDescent="0.25">
      <c r="A103" s="581">
        <v>102</v>
      </c>
      <c r="B103" s="581" t="s">
        <v>1207</v>
      </c>
      <c r="C103" s="581" t="s">
        <v>316</v>
      </c>
      <c r="D103" s="581" t="s">
        <v>897</v>
      </c>
      <c r="E103" s="581" t="s">
        <v>14</v>
      </c>
      <c r="F103" s="713" t="s">
        <v>15</v>
      </c>
      <c r="G103" s="582">
        <v>1</v>
      </c>
      <c r="H103" s="582">
        <v>1</v>
      </c>
      <c r="I103" s="582">
        <v>5</v>
      </c>
      <c r="J103" s="582">
        <v>2</v>
      </c>
    </row>
    <row r="104" spans="1:10" ht="21" x14ac:dyDescent="0.25">
      <c r="A104" s="581">
        <v>103</v>
      </c>
      <c r="B104" s="581" t="s">
        <v>1207</v>
      </c>
      <c r="C104" s="581" t="s">
        <v>316</v>
      </c>
      <c r="D104" s="581" t="s">
        <v>876</v>
      </c>
      <c r="E104" s="581" t="s">
        <v>434</v>
      </c>
      <c r="F104" s="713" t="s">
        <v>15</v>
      </c>
      <c r="G104" s="582">
        <v>5</v>
      </c>
      <c r="H104" s="582">
        <v>4</v>
      </c>
      <c r="I104" s="582">
        <v>37</v>
      </c>
      <c r="J104" s="582">
        <v>3</v>
      </c>
    </row>
    <row r="105" spans="1:10" ht="21" x14ac:dyDescent="0.25">
      <c r="A105" s="581">
        <v>104</v>
      </c>
      <c r="B105" s="581" t="s">
        <v>1207</v>
      </c>
      <c r="C105" s="581" t="s">
        <v>316</v>
      </c>
      <c r="D105" s="581" t="s">
        <v>909</v>
      </c>
      <c r="E105" s="581" t="s">
        <v>14</v>
      </c>
      <c r="F105" s="713" t="s">
        <v>15</v>
      </c>
      <c r="G105" s="582">
        <v>18</v>
      </c>
      <c r="H105" s="582">
        <v>11</v>
      </c>
      <c r="I105" s="582">
        <v>28</v>
      </c>
      <c r="J105" s="582">
        <v>13</v>
      </c>
    </row>
    <row r="106" spans="1:10" ht="21" x14ac:dyDescent="0.25">
      <c r="A106" s="581">
        <v>105</v>
      </c>
      <c r="B106" s="581" t="s">
        <v>1207</v>
      </c>
      <c r="C106" s="581" t="s">
        <v>317</v>
      </c>
      <c r="D106" s="581" t="s">
        <v>876</v>
      </c>
      <c r="E106" s="581" t="s">
        <v>434</v>
      </c>
      <c r="F106" s="713" t="s">
        <v>15</v>
      </c>
      <c r="G106" s="582">
        <v>0</v>
      </c>
      <c r="H106" s="582">
        <v>0</v>
      </c>
      <c r="I106" s="582">
        <v>2</v>
      </c>
      <c r="J106" s="582">
        <v>0</v>
      </c>
    </row>
    <row r="107" spans="1:10" ht="21" x14ac:dyDescent="0.25">
      <c r="A107" s="581">
        <v>106</v>
      </c>
      <c r="B107" s="581" t="s">
        <v>1207</v>
      </c>
      <c r="C107" s="581" t="s">
        <v>318</v>
      </c>
      <c r="D107" s="581" t="s">
        <v>897</v>
      </c>
      <c r="E107" s="581" t="s">
        <v>14</v>
      </c>
      <c r="F107" s="713" t="s">
        <v>15</v>
      </c>
      <c r="G107" s="582">
        <v>0</v>
      </c>
      <c r="H107" s="582">
        <v>0</v>
      </c>
      <c r="I107" s="582">
        <v>2</v>
      </c>
      <c r="J107" s="582">
        <v>0</v>
      </c>
    </row>
    <row r="108" spans="1:10" ht="21" x14ac:dyDescent="0.25">
      <c r="A108" s="581">
        <v>107</v>
      </c>
      <c r="B108" s="581" t="s">
        <v>1207</v>
      </c>
      <c r="C108" s="581" t="s">
        <v>318</v>
      </c>
      <c r="D108" s="581" t="s">
        <v>876</v>
      </c>
      <c r="E108" s="581" t="s">
        <v>434</v>
      </c>
      <c r="F108" s="713" t="s">
        <v>15</v>
      </c>
      <c r="G108" s="582">
        <v>0</v>
      </c>
      <c r="H108" s="582">
        <v>0</v>
      </c>
      <c r="I108" s="582">
        <v>4</v>
      </c>
      <c r="J108" s="582">
        <v>0</v>
      </c>
    </row>
    <row r="109" spans="1:10" ht="21" x14ac:dyDescent="0.25">
      <c r="A109" s="581">
        <v>108</v>
      </c>
      <c r="B109" s="581" t="s">
        <v>1207</v>
      </c>
      <c r="C109" s="581" t="s">
        <v>318</v>
      </c>
      <c r="D109" s="581" t="s">
        <v>909</v>
      </c>
      <c r="E109" s="581" t="s">
        <v>14</v>
      </c>
      <c r="F109" s="713" t="s">
        <v>15</v>
      </c>
      <c r="G109" s="582">
        <v>1</v>
      </c>
      <c r="H109" s="582">
        <v>0</v>
      </c>
      <c r="I109" s="582">
        <v>0</v>
      </c>
      <c r="J109" s="582">
        <v>1</v>
      </c>
    </row>
    <row r="110" spans="1:10" ht="21" x14ac:dyDescent="0.25">
      <c r="A110" s="581">
        <v>109</v>
      </c>
      <c r="B110" s="581" t="s">
        <v>1207</v>
      </c>
      <c r="C110" s="581" t="s">
        <v>319</v>
      </c>
      <c r="D110" s="581" t="s">
        <v>1209</v>
      </c>
      <c r="E110" s="581" t="s">
        <v>495</v>
      </c>
      <c r="F110" s="713" t="s">
        <v>15</v>
      </c>
      <c r="G110" s="582">
        <v>0</v>
      </c>
      <c r="H110" s="582">
        <v>0</v>
      </c>
      <c r="I110" s="582">
        <v>1</v>
      </c>
      <c r="J110" s="582">
        <v>1</v>
      </c>
    </row>
    <row r="111" spans="1:10" ht="21" x14ac:dyDescent="0.25">
      <c r="A111" s="581">
        <v>110</v>
      </c>
      <c r="B111" s="581" t="s">
        <v>1207</v>
      </c>
      <c r="C111" s="581" t="s">
        <v>319</v>
      </c>
      <c r="D111" s="581" t="s">
        <v>876</v>
      </c>
      <c r="E111" s="581" t="s">
        <v>434</v>
      </c>
      <c r="F111" s="713" t="s">
        <v>15</v>
      </c>
      <c r="G111" s="582">
        <v>7</v>
      </c>
      <c r="H111" s="582">
        <v>6</v>
      </c>
      <c r="I111" s="582">
        <v>13</v>
      </c>
      <c r="J111" s="582">
        <v>4</v>
      </c>
    </row>
    <row r="112" spans="1:10" ht="21" x14ac:dyDescent="0.25">
      <c r="A112" s="581">
        <v>111</v>
      </c>
      <c r="B112" s="581" t="s">
        <v>1207</v>
      </c>
      <c r="C112" s="581" t="s">
        <v>319</v>
      </c>
      <c r="D112" s="581" t="s">
        <v>909</v>
      </c>
      <c r="E112" s="581" t="s">
        <v>14</v>
      </c>
      <c r="F112" s="713" t="s">
        <v>15</v>
      </c>
      <c r="G112" s="582">
        <v>3</v>
      </c>
      <c r="H112" s="582">
        <v>3</v>
      </c>
      <c r="I112" s="582">
        <v>6</v>
      </c>
      <c r="J112" s="582">
        <v>5</v>
      </c>
    </row>
    <row r="113" spans="1:10" ht="21" x14ac:dyDescent="0.25">
      <c r="A113" s="581">
        <v>112</v>
      </c>
      <c r="B113" s="581" t="s">
        <v>1207</v>
      </c>
      <c r="C113" s="581" t="s">
        <v>320</v>
      </c>
      <c r="D113" s="581" t="s">
        <v>1000</v>
      </c>
      <c r="E113" s="581" t="s">
        <v>14</v>
      </c>
      <c r="F113" s="713" t="s">
        <v>15</v>
      </c>
      <c r="G113" s="582">
        <v>1</v>
      </c>
      <c r="H113" s="582">
        <v>1</v>
      </c>
      <c r="I113" s="582">
        <v>0</v>
      </c>
      <c r="J113" s="582">
        <v>0</v>
      </c>
    </row>
    <row r="114" spans="1:10" ht="21" x14ac:dyDescent="0.25">
      <c r="A114" s="581">
        <v>113</v>
      </c>
      <c r="B114" s="581" t="s">
        <v>1207</v>
      </c>
      <c r="C114" s="581" t="s">
        <v>320</v>
      </c>
      <c r="D114" s="581" t="s">
        <v>897</v>
      </c>
      <c r="E114" s="581" t="s">
        <v>14</v>
      </c>
      <c r="F114" s="713" t="s">
        <v>15</v>
      </c>
      <c r="G114" s="582">
        <v>2</v>
      </c>
      <c r="H114" s="582">
        <v>2</v>
      </c>
      <c r="I114" s="582">
        <v>3</v>
      </c>
      <c r="J114" s="582">
        <v>0</v>
      </c>
    </row>
    <row r="115" spans="1:10" ht="21" x14ac:dyDescent="0.25">
      <c r="A115" s="581">
        <v>114</v>
      </c>
      <c r="B115" s="581" t="s">
        <v>1207</v>
      </c>
      <c r="C115" s="581" t="s">
        <v>320</v>
      </c>
      <c r="D115" s="581" t="s">
        <v>876</v>
      </c>
      <c r="E115" s="581" t="s">
        <v>434</v>
      </c>
      <c r="F115" s="713" t="s">
        <v>15</v>
      </c>
      <c r="G115" s="582">
        <v>1</v>
      </c>
      <c r="H115" s="582">
        <v>1</v>
      </c>
      <c r="I115" s="582">
        <v>2</v>
      </c>
      <c r="J115" s="582">
        <v>0</v>
      </c>
    </row>
    <row r="116" spans="1:10" ht="21" x14ac:dyDescent="0.25">
      <c r="A116" s="581">
        <v>115</v>
      </c>
      <c r="B116" s="581" t="s">
        <v>1207</v>
      </c>
      <c r="C116" s="581" t="s">
        <v>320</v>
      </c>
      <c r="D116" s="581" t="s">
        <v>909</v>
      </c>
      <c r="E116" s="581" t="s">
        <v>14</v>
      </c>
      <c r="F116" s="713" t="s">
        <v>15</v>
      </c>
      <c r="G116" s="582">
        <v>0</v>
      </c>
      <c r="H116" s="582">
        <v>0</v>
      </c>
      <c r="I116" s="582">
        <v>3</v>
      </c>
      <c r="J116" s="582">
        <v>1</v>
      </c>
    </row>
    <row r="117" spans="1:10" ht="21" x14ac:dyDescent="0.25">
      <c r="A117" s="581">
        <v>116</v>
      </c>
      <c r="B117" s="581" t="s">
        <v>1207</v>
      </c>
      <c r="C117" s="581" t="s">
        <v>321</v>
      </c>
      <c r="D117" s="581" t="s">
        <v>897</v>
      </c>
      <c r="E117" s="581" t="s">
        <v>14</v>
      </c>
      <c r="F117" s="713" t="s">
        <v>15</v>
      </c>
      <c r="G117" s="582">
        <v>0</v>
      </c>
      <c r="H117" s="582">
        <v>0</v>
      </c>
      <c r="I117" s="582">
        <v>0</v>
      </c>
      <c r="J117" s="582">
        <v>1</v>
      </c>
    </row>
    <row r="118" spans="1:10" ht="21" x14ac:dyDescent="0.25">
      <c r="A118" s="581">
        <v>117</v>
      </c>
      <c r="B118" s="581" t="s">
        <v>1207</v>
      </c>
      <c r="C118" s="581" t="s">
        <v>321</v>
      </c>
      <c r="D118" s="581" t="s">
        <v>876</v>
      </c>
      <c r="E118" s="581" t="s">
        <v>434</v>
      </c>
      <c r="F118" s="713" t="s">
        <v>15</v>
      </c>
      <c r="G118" s="582">
        <v>0</v>
      </c>
      <c r="H118" s="582">
        <v>0</v>
      </c>
      <c r="I118" s="582">
        <v>6</v>
      </c>
      <c r="J118" s="582">
        <v>1</v>
      </c>
    </row>
    <row r="119" spans="1:10" ht="21" x14ac:dyDescent="0.25">
      <c r="A119" s="581">
        <v>118</v>
      </c>
      <c r="B119" s="581" t="s">
        <v>1207</v>
      </c>
      <c r="C119" s="581" t="s">
        <v>321</v>
      </c>
      <c r="D119" s="581" t="s">
        <v>909</v>
      </c>
      <c r="E119" s="581" t="s">
        <v>14</v>
      </c>
      <c r="F119" s="713" t="s">
        <v>15</v>
      </c>
      <c r="G119" s="582">
        <v>3</v>
      </c>
      <c r="H119" s="582">
        <v>3</v>
      </c>
      <c r="I119" s="582">
        <v>0</v>
      </c>
      <c r="J119" s="582">
        <v>1</v>
      </c>
    </row>
    <row r="120" spans="1:10" ht="21" x14ac:dyDescent="0.25">
      <c r="A120" s="581">
        <v>119</v>
      </c>
      <c r="B120" s="581" t="s">
        <v>1207</v>
      </c>
      <c r="C120" s="581" t="s">
        <v>322</v>
      </c>
      <c r="D120" s="581" t="s">
        <v>897</v>
      </c>
      <c r="E120" s="581" t="s">
        <v>14</v>
      </c>
      <c r="F120" s="713" t="s">
        <v>15</v>
      </c>
      <c r="G120" s="582">
        <v>0</v>
      </c>
      <c r="H120" s="582">
        <v>0</v>
      </c>
      <c r="I120" s="582">
        <v>1</v>
      </c>
      <c r="J120" s="582">
        <v>0</v>
      </c>
    </row>
    <row r="121" spans="1:10" ht="21" x14ac:dyDescent="0.25">
      <c r="A121" s="581">
        <v>120</v>
      </c>
      <c r="B121" s="581" t="s">
        <v>1207</v>
      </c>
      <c r="C121" s="581" t="s">
        <v>323</v>
      </c>
      <c r="D121" s="581" t="s">
        <v>897</v>
      </c>
      <c r="E121" s="581" t="s">
        <v>14</v>
      </c>
      <c r="F121" s="713" t="s">
        <v>15</v>
      </c>
      <c r="G121" s="582">
        <v>1</v>
      </c>
      <c r="H121" s="582">
        <v>1</v>
      </c>
      <c r="I121" s="582">
        <v>2</v>
      </c>
      <c r="J121" s="582">
        <v>0</v>
      </c>
    </row>
    <row r="122" spans="1:10" ht="21" x14ac:dyDescent="0.25">
      <c r="A122" s="581">
        <v>121</v>
      </c>
      <c r="B122" s="581" t="s">
        <v>1207</v>
      </c>
      <c r="C122" s="581" t="s">
        <v>323</v>
      </c>
      <c r="D122" s="581" t="s">
        <v>876</v>
      </c>
      <c r="E122" s="581" t="s">
        <v>434</v>
      </c>
      <c r="F122" s="713" t="s">
        <v>15</v>
      </c>
      <c r="G122" s="582">
        <v>1</v>
      </c>
      <c r="H122" s="582">
        <v>0</v>
      </c>
      <c r="I122" s="582">
        <v>8</v>
      </c>
      <c r="J122" s="582">
        <v>2</v>
      </c>
    </row>
    <row r="123" spans="1:10" ht="21" x14ac:dyDescent="0.25">
      <c r="A123" s="581">
        <v>122</v>
      </c>
      <c r="B123" s="581" t="s">
        <v>1207</v>
      </c>
      <c r="C123" s="581" t="s">
        <v>323</v>
      </c>
      <c r="D123" s="581" t="s">
        <v>909</v>
      </c>
      <c r="E123" s="581" t="s">
        <v>14</v>
      </c>
      <c r="F123" s="713" t="s">
        <v>15</v>
      </c>
      <c r="G123" s="582">
        <v>0</v>
      </c>
      <c r="H123" s="582">
        <v>0</v>
      </c>
      <c r="I123" s="582">
        <v>6</v>
      </c>
      <c r="J123" s="582">
        <v>1</v>
      </c>
    </row>
    <row r="124" spans="1:10" ht="21" x14ac:dyDescent="0.25">
      <c r="A124" s="581">
        <v>123</v>
      </c>
      <c r="B124" s="581" t="s">
        <v>1207</v>
      </c>
      <c r="C124" s="581" t="s">
        <v>324</v>
      </c>
      <c r="D124" s="581" t="s">
        <v>897</v>
      </c>
      <c r="E124" s="581" t="s">
        <v>14</v>
      </c>
      <c r="F124" s="713" t="s">
        <v>15</v>
      </c>
      <c r="G124" s="582">
        <v>5</v>
      </c>
      <c r="H124" s="582">
        <v>3</v>
      </c>
      <c r="I124" s="582">
        <v>7</v>
      </c>
      <c r="J124" s="582">
        <v>2</v>
      </c>
    </row>
    <row r="125" spans="1:10" ht="21" x14ac:dyDescent="0.25">
      <c r="A125" s="581">
        <v>124</v>
      </c>
      <c r="B125" s="581" t="s">
        <v>1207</v>
      </c>
      <c r="C125" s="581" t="s">
        <v>324</v>
      </c>
      <c r="D125" s="581" t="s">
        <v>876</v>
      </c>
      <c r="E125" s="581" t="s">
        <v>434</v>
      </c>
      <c r="F125" s="713" t="s">
        <v>15</v>
      </c>
      <c r="G125" s="582">
        <v>7</v>
      </c>
      <c r="H125" s="582">
        <v>5</v>
      </c>
      <c r="I125" s="582">
        <v>9</v>
      </c>
      <c r="J125" s="582">
        <v>4</v>
      </c>
    </row>
    <row r="126" spans="1:10" ht="21" x14ac:dyDescent="0.25">
      <c r="A126" s="581">
        <v>125</v>
      </c>
      <c r="B126" s="581" t="s">
        <v>1206</v>
      </c>
      <c r="C126" s="581" t="s">
        <v>365</v>
      </c>
      <c r="D126" s="581" t="s">
        <v>491</v>
      </c>
      <c r="E126" s="581" t="s">
        <v>13</v>
      </c>
      <c r="F126" s="713" t="s">
        <v>20</v>
      </c>
      <c r="G126" s="582">
        <v>4</v>
      </c>
      <c r="H126" s="582">
        <v>3</v>
      </c>
      <c r="I126" s="582">
        <v>10</v>
      </c>
      <c r="J126" s="582">
        <v>0</v>
      </c>
    </row>
    <row r="127" spans="1:10" ht="21" x14ac:dyDescent="0.25">
      <c r="A127" s="581">
        <v>126</v>
      </c>
      <c r="B127" s="581" t="s">
        <v>1206</v>
      </c>
      <c r="C127" s="581" t="s">
        <v>365</v>
      </c>
      <c r="D127" s="581" t="s">
        <v>464</v>
      </c>
      <c r="E127" s="581" t="s">
        <v>13</v>
      </c>
      <c r="F127" s="713" t="s">
        <v>20</v>
      </c>
      <c r="G127" s="582">
        <v>24</v>
      </c>
      <c r="H127" s="582">
        <v>20</v>
      </c>
      <c r="I127" s="582">
        <v>31</v>
      </c>
      <c r="J127" s="582">
        <v>1</v>
      </c>
    </row>
    <row r="128" spans="1:10" ht="21" x14ac:dyDescent="0.25">
      <c r="A128" s="581">
        <v>127</v>
      </c>
      <c r="B128" s="581" t="s">
        <v>1206</v>
      </c>
      <c r="C128" s="581" t="s">
        <v>365</v>
      </c>
      <c r="D128" s="581" t="s">
        <v>870</v>
      </c>
      <c r="E128" s="581" t="s">
        <v>13</v>
      </c>
      <c r="F128" s="713" t="s">
        <v>20</v>
      </c>
      <c r="G128" s="582">
        <v>248</v>
      </c>
      <c r="H128" s="582">
        <v>222</v>
      </c>
      <c r="I128" s="582">
        <v>235</v>
      </c>
      <c r="J128" s="582">
        <v>9</v>
      </c>
    </row>
    <row r="129" spans="1:10" ht="21" x14ac:dyDescent="0.25">
      <c r="A129" s="581">
        <v>128</v>
      </c>
      <c r="B129" s="581" t="s">
        <v>1206</v>
      </c>
      <c r="C129" s="581" t="s">
        <v>365</v>
      </c>
      <c r="D129" s="581" t="s">
        <v>465</v>
      </c>
      <c r="E129" s="581" t="s">
        <v>13</v>
      </c>
      <c r="F129" s="713" t="s">
        <v>20</v>
      </c>
      <c r="G129" s="582">
        <v>143</v>
      </c>
      <c r="H129" s="582">
        <v>114</v>
      </c>
      <c r="I129" s="582">
        <v>223</v>
      </c>
      <c r="J129" s="582">
        <v>12</v>
      </c>
    </row>
    <row r="130" spans="1:10" ht="21" x14ac:dyDescent="0.25">
      <c r="A130" s="581">
        <v>129</v>
      </c>
      <c r="B130" s="581" t="s">
        <v>1206</v>
      </c>
      <c r="C130" s="581" t="s">
        <v>365</v>
      </c>
      <c r="D130" s="581" t="s">
        <v>458</v>
      </c>
      <c r="E130" s="581" t="s">
        <v>13</v>
      </c>
      <c r="F130" s="713" t="s">
        <v>20</v>
      </c>
      <c r="G130" s="582">
        <v>341</v>
      </c>
      <c r="H130" s="582">
        <v>293</v>
      </c>
      <c r="I130" s="582">
        <v>544</v>
      </c>
      <c r="J130" s="582">
        <v>27</v>
      </c>
    </row>
    <row r="131" spans="1:10" ht="21" x14ac:dyDescent="0.25">
      <c r="A131" s="581">
        <v>130</v>
      </c>
      <c r="B131" s="581" t="s">
        <v>1206</v>
      </c>
      <c r="C131" s="581" t="s">
        <v>1016</v>
      </c>
      <c r="D131" s="581" t="s">
        <v>459</v>
      </c>
      <c r="E131" s="581" t="s">
        <v>13</v>
      </c>
      <c r="F131" s="713" t="s">
        <v>20</v>
      </c>
      <c r="G131" s="582">
        <v>31</v>
      </c>
      <c r="H131" s="582">
        <v>30</v>
      </c>
      <c r="I131" s="582">
        <v>34</v>
      </c>
      <c r="J131" s="582">
        <v>1</v>
      </c>
    </row>
    <row r="132" spans="1:10" ht="21" x14ac:dyDescent="0.25">
      <c r="A132" s="581">
        <v>131</v>
      </c>
      <c r="B132" s="581" t="s">
        <v>1206</v>
      </c>
      <c r="C132" s="581" t="s">
        <v>365</v>
      </c>
      <c r="D132" s="581" t="s">
        <v>494</v>
      </c>
      <c r="E132" s="581" t="s">
        <v>13</v>
      </c>
      <c r="F132" s="713" t="s">
        <v>20</v>
      </c>
      <c r="G132" s="582">
        <v>2</v>
      </c>
      <c r="H132" s="582">
        <v>2</v>
      </c>
      <c r="I132" s="582">
        <v>0</v>
      </c>
      <c r="J132" s="582">
        <v>0</v>
      </c>
    </row>
    <row r="133" spans="1:10" ht="31.5" x14ac:dyDescent="0.25">
      <c r="A133" s="581">
        <v>132</v>
      </c>
      <c r="B133" s="581" t="s">
        <v>1206</v>
      </c>
      <c r="C133" s="581" t="s">
        <v>365</v>
      </c>
      <c r="D133" s="581" t="s">
        <v>921</v>
      </c>
      <c r="E133" s="581" t="s">
        <v>13</v>
      </c>
      <c r="F133" s="713" t="s">
        <v>20</v>
      </c>
      <c r="G133" s="582">
        <v>1</v>
      </c>
      <c r="H133" s="582">
        <v>1</v>
      </c>
      <c r="I133" s="582">
        <v>1</v>
      </c>
      <c r="J133" s="582">
        <v>0</v>
      </c>
    </row>
    <row r="134" spans="1:10" ht="21" x14ac:dyDescent="0.25">
      <c r="A134" s="581">
        <v>133</v>
      </c>
      <c r="B134" s="581" t="s">
        <v>1206</v>
      </c>
      <c r="C134" s="581" t="s">
        <v>365</v>
      </c>
      <c r="D134" s="581" t="s">
        <v>248</v>
      </c>
      <c r="E134" s="581" t="s">
        <v>16</v>
      </c>
      <c r="F134" s="713" t="s">
        <v>20</v>
      </c>
      <c r="G134" s="582">
        <v>138</v>
      </c>
      <c r="H134" s="582">
        <v>119</v>
      </c>
      <c r="I134" s="582">
        <v>100</v>
      </c>
      <c r="J134" s="582">
        <v>12</v>
      </c>
    </row>
    <row r="135" spans="1:10" ht="21" x14ac:dyDescent="0.25">
      <c r="A135" s="581">
        <v>134</v>
      </c>
      <c r="B135" s="581" t="s">
        <v>1206</v>
      </c>
      <c r="C135" s="581" t="s">
        <v>365</v>
      </c>
      <c r="D135" s="581" t="s">
        <v>866</v>
      </c>
      <c r="E135" s="581" t="s">
        <v>16</v>
      </c>
      <c r="F135" s="713" t="s">
        <v>20</v>
      </c>
      <c r="G135" s="582">
        <v>188</v>
      </c>
      <c r="H135" s="582">
        <v>163</v>
      </c>
      <c r="I135" s="582">
        <v>184</v>
      </c>
      <c r="J135" s="582">
        <v>19</v>
      </c>
    </row>
    <row r="136" spans="1:10" ht="31.5" x14ac:dyDescent="0.25">
      <c r="A136" s="581">
        <v>135</v>
      </c>
      <c r="B136" s="581" t="s">
        <v>1206</v>
      </c>
      <c r="C136" s="581" t="s">
        <v>365</v>
      </c>
      <c r="D136" s="581" t="s">
        <v>1034</v>
      </c>
      <c r="E136" s="581" t="s">
        <v>16</v>
      </c>
      <c r="F136" s="713" t="s">
        <v>20</v>
      </c>
      <c r="G136" s="582">
        <v>8</v>
      </c>
      <c r="H136" s="582">
        <v>6</v>
      </c>
      <c r="I136" s="582">
        <v>3</v>
      </c>
      <c r="J136" s="582">
        <v>1</v>
      </c>
    </row>
    <row r="137" spans="1:10" ht="21" x14ac:dyDescent="0.25">
      <c r="A137" s="581">
        <v>136</v>
      </c>
      <c r="B137" s="581" t="s">
        <v>1206</v>
      </c>
      <c r="C137" s="581" t="s">
        <v>365</v>
      </c>
      <c r="D137" s="581" t="s">
        <v>926</v>
      </c>
      <c r="E137" s="581" t="s">
        <v>14</v>
      </c>
      <c r="F137" s="713" t="s">
        <v>20</v>
      </c>
      <c r="G137" s="582">
        <v>382</v>
      </c>
      <c r="H137" s="582">
        <v>313</v>
      </c>
      <c r="I137" s="582">
        <v>374</v>
      </c>
      <c r="J137" s="582">
        <v>43</v>
      </c>
    </row>
    <row r="138" spans="1:10" ht="21" x14ac:dyDescent="0.25">
      <c r="A138" s="581">
        <v>137</v>
      </c>
      <c r="B138" s="581" t="s">
        <v>1206</v>
      </c>
      <c r="C138" s="581" t="s">
        <v>365</v>
      </c>
      <c r="D138" s="581" t="s">
        <v>931</v>
      </c>
      <c r="E138" s="581" t="s">
        <v>14</v>
      </c>
      <c r="F138" s="713" t="s">
        <v>20</v>
      </c>
      <c r="G138" s="582">
        <v>36</v>
      </c>
      <c r="H138" s="582">
        <v>31</v>
      </c>
      <c r="I138" s="582">
        <v>38</v>
      </c>
      <c r="J138" s="582">
        <v>4</v>
      </c>
    </row>
    <row r="139" spans="1:10" ht="21" x14ac:dyDescent="0.25">
      <c r="A139" s="581">
        <v>138</v>
      </c>
      <c r="B139" s="581" t="s">
        <v>1206</v>
      </c>
      <c r="C139" s="581" t="s">
        <v>365</v>
      </c>
      <c r="D139" s="581" t="s">
        <v>1023</v>
      </c>
      <c r="E139" s="581" t="s">
        <v>14</v>
      </c>
      <c r="F139" s="713" t="s">
        <v>20</v>
      </c>
      <c r="G139" s="582">
        <v>1</v>
      </c>
      <c r="H139" s="582">
        <v>1</v>
      </c>
      <c r="I139" s="582">
        <v>1</v>
      </c>
      <c r="J139" s="582">
        <v>0</v>
      </c>
    </row>
    <row r="140" spans="1:10" ht="31.5" x14ac:dyDescent="0.25">
      <c r="A140" s="581">
        <v>139</v>
      </c>
      <c r="B140" s="581" t="s">
        <v>1206</v>
      </c>
      <c r="C140" s="581" t="s">
        <v>365</v>
      </c>
      <c r="D140" s="581" t="s">
        <v>919</v>
      </c>
      <c r="E140" s="581" t="s">
        <v>495</v>
      </c>
      <c r="F140" s="713" t="s">
        <v>20</v>
      </c>
      <c r="G140" s="582">
        <v>79</v>
      </c>
      <c r="H140" s="582">
        <v>70</v>
      </c>
      <c r="I140" s="582">
        <v>31</v>
      </c>
      <c r="J140" s="582">
        <v>5</v>
      </c>
    </row>
    <row r="141" spans="1:10" ht="21" x14ac:dyDescent="0.25">
      <c r="A141" s="581">
        <v>140</v>
      </c>
      <c r="B141" s="581" t="s">
        <v>1206</v>
      </c>
      <c r="C141" s="581" t="s">
        <v>365</v>
      </c>
      <c r="D141" s="581" t="s">
        <v>914</v>
      </c>
      <c r="E141" s="581" t="s">
        <v>434</v>
      </c>
      <c r="F141" s="713" t="s">
        <v>20</v>
      </c>
      <c r="G141" s="582">
        <v>6</v>
      </c>
      <c r="H141" s="582">
        <v>5</v>
      </c>
      <c r="I141" s="582">
        <v>12</v>
      </c>
      <c r="J141" s="582">
        <v>2</v>
      </c>
    </row>
    <row r="142" spans="1:10" ht="21" x14ac:dyDescent="0.25">
      <c r="A142" s="581">
        <v>141</v>
      </c>
      <c r="B142" s="581" t="s">
        <v>1206</v>
      </c>
      <c r="C142" s="581" t="s">
        <v>365</v>
      </c>
      <c r="D142" s="581" t="s">
        <v>958</v>
      </c>
      <c r="E142" s="581" t="s">
        <v>14</v>
      </c>
      <c r="F142" s="713" t="s">
        <v>20</v>
      </c>
      <c r="G142" s="582">
        <v>647</v>
      </c>
      <c r="H142" s="582">
        <v>540</v>
      </c>
      <c r="I142" s="582">
        <v>868</v>
      </c>
      <c r="J142" s="582">
        <v>67</v>
      </c>
    </row>
    <row r="143" spans="1:10" ht="21" x14ac:dyDescent="0.25">
      <c r="A143" s="581">
        <v>142</v>
      </c>
      <c r="B143" s="581" t="s">
        <v>1206</v>
      </c>
      <c r="C143" s="581" t="s">
        <v>365</v>
      </c>
      <c r="D143" s="581" t="s">
        <v>953</v>
      </c>
      <c r="E143" s="581" t="s">
        <v>16</v>
      </c>
      <c r="F143" s="713" t="s">
        <v>20</v>
      </c>
      <c r="G143" s="582">
        <v>159</v>
      </c>
      <c r="H143" s="582">
        <v>141</v>
      </c>
      <c r="I143" s="582">
        <v>141</v>
      </c>
      <c r="J143" s="582">
        <v>11</v>
      </c>
    </row>
    <row r="144" spans="1:10" ht="21" x14ac:dyDescent="0.25">
      <c r="A144" s="581">
        <v>143</v>
      </c>
      <c r="B144" s="581" t="s">
        <v>1206</v>
      </c>
      <c r="C144" s="581" t="s">
        <v>365</v>
      </c>
      <c r="D144" s="581" t="s">
        <v>1051</v>
      </c>
      <c r="E144" s="581" t="s">
        <v>13</v>
      </c>
      <c r="F144" s="713" t="s">
        <v>20</v>
      </c>
      <c r="G144" s="582">
        <v>369</v>
      </c>
      <c r="H144" s="582">
        <v>324</v>
      </c>
      <c r="I144" s="582">
        <v>490</v>
      </c>
      <c r="J144" s="582">
        <v>14</v>
      </c>
    </row>
    <row r="145" spans="1:10" ht="21" x14ac:dyDescent="0.25">
      <c r="A145" s="581">
        <v>144</v>
      </c>
      <c r="B145" s="581" t="s">
        <v>1206</v>
      </c>
      <c r="C145" s="581" t="s">
        <v>365</v>
      </c>
      <c r="D145" s="581" t="s">
        <v>878</v>
      </c>
      <c r="E145" s="581" t="s">
        <v>434</v>
      </c>
      <c r="F145" s="713" t="s">
        <v>20</v>
      </c>
      <c r="G145" s="582">
        <v>719</v>
      </c>
      <c r="H145" s="582">
        <v>626</v>
      </c>
      <c r="I145" s="582">
        <v>894</v>
      </c>
      <c r="J145" s="582">
        <v>48</v>
      </c>
    </row>
    <row r="146" spans="1:10" ht="21" x14ac:dyDescent="0.25">
      <c r="A146" s="581">
        <v>145</v>
      </c>
      <c r="B146" s="581" t="s">
        <v>1206</v>
      </c>
      <c r="C146" s="581" t="s">
        <v>365</v>
      </c>
      <c r="D146" s="581" t="s">
        <v>1037</v>
      </c>
      <c r="E146" s="581" t="s">
        <v>434</v>
      </c>
      <c r="F146" s="713" t="s">
        <v>20</v>
      </c>
      <c r="G146" s="582">
        <v>40</v>
      </c>
      <c r="H146" s="582">
        <v>36</v>
      </c>
      <c r="I146" s="582">
        <v>29</v>
      </c>
      <c r="J146" s="582">
        <v>1</v>
      </c>
    </row>
    <row r="147" spans="1:10" ht="21" x14ac:dyDescent="0.25">
      <c r="A147" s="581">
        <v>146</v>
      </c>
      <c r="B147" s="581" t="s">
        <v>1206</v>
      </c>
      <c r="C147" s="581" t="s">
        <v>365</v>
      </c>
      <c r="D147" s="581" t="s">
        <v>927</v>
      </c>
      <c r="E147" s="581" t="s">
        <v>14</v>
      </c>
      <c r="F147" s="713" t="s">
        <v>20</v>
      </c>
      <c r="G147" s="582">
        <v>159</v>
      </c>
      <c r="H147" s="582">
        <v>143</v>
      </c>
      <c r="I147" s="582">
        <v>250</v>
      </c>
      <c r="J147" s="582">
        <v>16</v>
      </c>
    </row>
    <row r="148" spans="1:10" ht="21" x14ac:dyDescent="0.25">
      <c r="A148" s="581">
        <v>147</v>
      </c>
      <c r="B148" s="581" t="s">
        <v>1206</v>
      </c>
      <c r="C148" s="581" t="s">
        <v>365</v>
      </c>
      <c r="D148" s="581" t="s">
        <v>940</v>
      </c>
      <c r="E148" s="581" t="s">
        <v>495</v>
      </c>
      <c r="F148" s="713" t="s">
        <v>20</v>
      </c>
      <c r="G148" s="582">
        <v>19</v>
      </c>
      <c r="H148" s="582">
        <v>14</v>
      </c>
      <c r="I148" s="582">
        <v>31</v>
      </c>
      <c r="J148" s="582">
        <v>2</v>
      </c>
    </row>
    <row r="149" spans="1:10" ht="31.5" x14ac:dyDescent="0.25">
      <c r="A149" s="581">
        <v>148</v>
      </c>
      <c r="B149" s="581" t="s">
        <v>1206</v>
      </c>
      <c r="C149" s="581" t="s">
        <v>365</v>
      </c>
      <c r="D149" s="581" t="s">
        <v>945</v>
      </c>
      <c r="E149" s="581" t="s">
        <v>495</v>
      </c>
      <c r="F149" s="713" t="s">
        <v>20</v>
      </c>
      <c r="G149" s="582">
        <v>2</v>
      </c>
      <c r="H149" s="582">
        <v>2</v>
      </c>
      <c r="I149" s="582">
        <v>2</v>
      </c>
      <c r="J149" s="582">
        <v>0</v>
      </c>
    </row>
    <row r="150" spans="1:10" ht="21" x14ac:dyDescent="0.25">
      <c r="A150" s="581">
        <v>149</v>
      </c>
      <c r="B150" s="581" t="s">
        <v>1206</v>
      </c>
      <c r="C150" s="581" t="s">
        <v>365</v>
      </c>
      <c r="D150" s="581" t="s">
        <v>906</v>
      </c>
      <c r="E150" s="581" t="s">
        <v>14</v>
      </c>
      <c r="F150" s="713" t="s">
        <v>20</v>
      </c>
      <c r="G150" s="582">
        <v>517</v>
      </c>
      <c r="H150" s="582">
        <v>428</v>
      </c>
      <c r="I150" s="582">
        <v>567</v>
      </c>
      <c r="J150" s="582">
        <v>54</v>
      </c>
    </row>
    <row r="151" spans="1:10" ht="21" x14ac:dyDescent="0.25">
      <c r="A151" s="581">
        <v>150</v>
      </c>
      <c r="B151" s="581" t="s">
        <v>1206</v>
      </c>
      <c r="C151" s="581" t="s">
        <v>365</v>
      </c>
      <c r="D151" s="581" t="s">
        <v>941</v>
      </c>
      <c r="E151" s="581" t="s">
        <v>13</v>
      </c>
      <c r="F151" s="713" t="s">
        <v>20</v>
      </c>
      <c r="G151" s="582">
        <v>237</v>
      </c>
      <c r="H151" s="582">
        <v>192</v>
      </c>
      <c r="I151" s="582">
        <v>311</v>
      </c>
      <c r="J151" s="582">
        <v>34</v>
      </c>
    </row>
    <row r="152" spans="1:10" ht="21" x14ac:dyDescent="0.25">
      <c r="A152" s="581">
        <v>151</v>
      </c>
      <c r="B152" s="581" t="s">
        <v>1206</v>
      </c>
      <c r="C152" s="581" t="s">
        <v>365</v>
      </c>
      <c r="D152" s="581" t="s">
        <v>894</v>
      </c>
      <c r="E152" s="581" t="s">
        <v>14</v>
      </c>
      <c r="F152" s="713" t="s">
        <v>20</v>
      </c>
      <c r="G152" s="582">
        <v>4</v>
      </c>
      <c r="H152" s="582">
        <v>4</v>
      </c>
      <c r="I152" s="582">
        <v>5</v>
      </c>
      <c r="J152" s="582">
        <v>0</v>
      </c>
    </row>
    <row r="153" spans="1:10" ht="21" x14ac:dyDescent="0.25">
      <c r="A153" s="581">
        <v>152</v>
      </c>
      <c r="B153" s="581" t="s">
        <v>1206</v>
      </c>
      <c r="C153" s="581" t="s">
        <v>365</v>
      </c>
      <c r="D153" s="581" t="s">
        <v>874</v>
      </c>
      <c r="E153" s="581" t="s">
        <v>434</v>
      </c>
      <c r="F153" s="713" t="s">
        <v>20</v>
      </c>
      <c r="G153" s="582">
        <v>427</v>
      </c>
      <c r="H153" s="582">
        <v>350</v>
      </c>
      <c r="I153" s="582">
        <v>588</v>
      </c>
      <c r="J153" s="582">
        <v>46</v>
      </c>
    </row>
    <row r="154" spans="1:10" ht="21" x14ac:dyDescent="0.25">
      <c r="A154" s="581">
        <v>153</v>
      </c>
      <c r="B154" s="581" t="s">
        <v>1206</v>
      </c>
      <c r="C154" s="581" t="s">
        <v>365</v>
      </c>
      <c r="D154" s="581" t="s">
        <v>937</v>
      </c>
      <c r="E154" s="581" t="s">
        <v>14</v>
      </c>
      <c r="F154" s="713" t="s">
        <v>20</v>
      </c>
      <c r="G154" s="582">
        <v>44</v>
      </c>
      <c r="H154" s="582">
        <v>39</v>
      </c>
      <c r="I154" s="582">
        <v>45</v>
      </c>
      <c r="J154" s="582">
        <v>5</v>
      </c>
    </row>
    <row r="155" spans="1:10" ht="21" x14ac:dyDescent="0.25">
      <c r="A155" s="581">
        <v>154</v>
      </c>
      <c r="B155" s="581" t="s">
        <v>1206</v>
      </c>
      <c r="C155" s="581" t="s">
        <v>365</v>
      </c>
      <c r="D155" s="581" t="s">
        <v>916</v>
      </c>
      <c r="E155" s="581" t="s">
        <v>495</v>
      </c>
      <c r="F155" s="713" t="s">
        <v>20</v>
      </c>
      <c r="G155" s="582">
        <v>1</v>
      </c>
      <c r="H155" s="582">
        <v>1</v>
      </c>
      <c r="I155" s="582">
        <v>14</v>
      </c>
      <c r="J155" s="582">
        <v>0</v>
      </c>
    </row>
    <row r="156" spans="1:10" ht="21" x14ac:dyDescent="0.25">
      <c r="A156" s="581">
        <v>155</v>
      </c>
      <c r="B156" s="581" t="s">
        <v>1206</v>
      </c>
      <c r="C156" s="581" t="s">
        <v>365</v>
      </c>
      <c r="D156" s="581" t="s">
        <v>492</v>
      </c>
      <c r="E156" s="581" t="s">
        <v>16</v>
      </c>
      <c r="F156" s="713" t="s">
        <v>20</v>
      </c>
      <c r="G156" s="582">
        <v>142</v>
      </c>
      <c r="H156" s="582">
        <v>138</v>
      </c>
      <c r="I156" s="582">
        <v>219</v>
      </c>
      <c r="J156" s="582">
        <v>5</v>
      </c>
    </row>
    <row r="157" spans="1:10" x14ac:dyDescent="0.25">
      <c r="A157" s="581"/>
      <c r="B157" s="581"/>
      <c r="C157" s="581"/>
      <c r="D157" s="581"/>
      <c r="E157" s="581"/>
      <c r="F157" s="713"/>
      <c r="G157" s="582"/>
      <c r="H157" s="582"/>
      <c r="I157" s="582"/>
      <c r="J157" s="582"/>
    </row>
    <row r="158" spans="1:10" ht="31.5" x14ac:dyDescent="0.25">
      <c r="A158" s="581">
        <v>157</v>
      </c>
      <c r="B158" s="581" t="s">
        <v>1207</v>
      </c>
      <c r="C158" s="581" t="s">
        <v>365</v>
      </c>
      <c r="D158" s="581" t="s">
        <v>864</v>
      </c>
      <c r="E158" s="581" t="s">
        <v>16</v>
      </c>
      <c r="F158" s="713" t="s">
        <v>15</v>
      </c>
      <c r="G158" s="582">
        <v>39</v>
      </c>
      <c r="H158" s="582">
        <v>38</v>
      </c>
      <c r="I158" s="582">
        <v>21</v>
      </c>
      <c r="J158" s="582">
        <v>7</v>
      </c>
    </row>
    <row r="159" spans="1:10" ht="31.5" x14ac:dyDescent="0.25">
      <c r="A159" s="581">
        <v>158</v>
      </c>
      <c r="B159" s="581" t="s">
        <v>1207</v>
      </c>
      <c r="C159" s="581" t="s">
        <v>365</v>
      </c>
      <c r="D159" s="581" t="s">
        <v>861</v>
      </c>
      <c r="E159" s="581" t="s">
        <v>14</v>
      </c>
      <c r="F159" s="713" t="s">
        <v>15</v>
      </c>
      <c r="G159" s="582">
        <v>74</v>
      </c>
      <c r="H159" s="582">
        <v>65</v>
      </c>
      <c r="I159" s="582">
        <v>66</v>
      </c>
      <c r="J159" s="582">
        <v>26</v>
      </c>
    </row>
    <row r="160" spans="1:10" ht="21" x14ac:dyDescent="0.25">
      <c r="A160" s="581">
        <v>159</v>
      </c>
      <c r="B160" s="581" t="s">
        <v>1207</v>
      </c>
      <c r="C160" s="581" t="s">
        <v>365</v>
      </c>
      <c r="D160" s="581" t="s">
        <v>930</v>
      </c>
      <c r="E160" s="581" t="s">
        <v>14</v>
      </c>
      <c r="F160" s="713" t="s">
        <v>15</v>
      </c>
      <c r="G160" s="582">
        <v>3</v>
      </c>
      <c r="H160" s="582">
        <v>1</v>
      </c>
      <c r="I160" s="582">
        <v>1</v>
      </c>
      <c r="J160" s="582">
        <v>4</v>
      </c>
    </row>
    <row r="161" spans="1:10" ht="31.5" x14ac:dyDescent="0.25">
      <c r="A161" s="581">
        <v>160</v>
      </c>
      <c r="B161" s="581" t="s">
        <v>1207</v>
      </c>
      <c r="C161" s="581" t="s">
        <v>365</v>
      </c>
      <c r="D161" s="581" t="s">
        <v>918</v>
      </c>
      <c r="E161" s="581" t="s">
        <v>495</v>
      </c>
      <c r="F161" s="713" t="s">
        <v>15</v>
      </c>
      <c r="G161" s="582">
        <v>8</v>
      </c>
      <c r="H161" s="582">
        <v>7</v>
      </c>
      <c r="I161" s="582">
        <v>5</v>
      </c>
      <c r="J161" s="582">
        <v>3</v>
      </c>
    </row>
    <row r="162" spans="1:10" ht="21" x14ac:dyDescent="0.25">
      <c r="A162" s="581">
        <v>161</v>
      </c>
      <c r="B162" s="581" t="s">
        <v>1207</v>
      </c>
      <c r="C162" s="581" t="s">
        <v>365</v>
      </c>
      <c r="D162" s="581" t="s">
        <v>1000</v>
      </c>
      <c r="E162" s="581" t="s">
        <v>14</v>
      </c>
      <c r="F162" s="713" t="s">
        <v>15</v>
      </c>
      <c r="G162" s="582">
        <v>1</v>
      </c>
      <c r="H162" s="582">
        <v>0</v>
      </c>
      <c r="I162" s="582">
        <v>1</v>
      </c>
      <c r="J162" s="582">
        <v>2</v>
      </c>
    </row>
    <row r="163" spans="1:10" ht="21" x14ac:dyDescent="0.25">
      <c r="A163" s="581">
        <v>162</v>
      </c>
      <c r="B163" s="581" t="s">
        <v>1207</v>
      </c>
      <c r="C163" s="581" t="s">
        <v>365</v>
      </c>
      <c r="D163" s="581" t="s">
        <v>955</v>
      </c>
      <c r="E163" s="581" t="s">
        <v>495</v>
      </c>
      <c r="F163" s="713" t="s">
        <v>15</v>
      </c>
      <c r="G163" s="582">
        <v>87</v>
      </c>
      <c r="H163" s="582">
        <v>78</v>
      </c>
      <c r="I163" s="582">
        <v>155</v>
      </c>
      <c r="J163" s="582">
        <v>22</v>
      </c>
    </row>
    <row r="164" spans="1:10" ht="21" x14ac:dyDescent="0.25">
      <c r="A164" s="581">
        <v>163</v>
      </c>
      <c r="B164" s="581" t="s">
        <v>1207</v>
      </c>
      <c r="C164" s="581" t="s">
        <v>365</v>
      </c>
      <c r="D164" s="581" t="s">
        <v>954</v>
      </c>
      <c r="E164" s="581" t="s">
        <v>16</v>
      </c>
      <c r="F164" s="713" t="s">
        <v>15</v>
      </c>
      <c r="G164" s="582">
        <v>42</v>
      </c>
      <c r="H164" s="582">
        <v>36</v>
      </c>
      <c r="I164" s="582">
        <v>11</v>
      </c>
      <c r="J164" s="582">
        <v>9</v>
      </c>
    </row>
    <row r="165" spans="1:10" ht="21" x14ac:dyDescent="0.25">
      <c r="A165" s="581">
        <v>164</v>
      </c>
      <c r="B165" s="581" t="s">
        <v>1207</v>
      </c>
      <c r="C165" s="581" t="s">
        <v>365</v>
      </c>
      <c r="D165" s="581" t="s">
        <v>897</v>
      </c>
      <c r="E165" s="581" t="s">
        <v>14</v>
      </c>
      <c r="F165" s="713" t="s">
        <v>15</v>
      </c>
      <c r="G165" s="582">
        <v>1</v>
      </c>
      <c r="H165" s="582">
        <v>1</v>
      </c>
      <c r="I165" s="582">
        <v>0</v>
      </c>
      <c r="J165" s="582">
        <v>0</v>
      </c>
    </row>
    <row r="166" spans="1:10" ht="21" x14ac:dyDescent="0.25">
      <c r="A166" s="581">
        <v>165</v>
      </c>
      <c r="B166" s="581" t="s">
        <v>1207</v>
      </c>
      <c r="C166" s="581" t="s">
        <v>365</v>
      </c>
      <c r="D166" s="581" t="s">
        <v>938</v>
      </c>
      <c r="E166" s="581" t="s">
        <v>495</v>
      </c>
      <c r="F166" s="713" t="s">
        <v>15</v>
      </c>
      <c r="G166" s="582">
        <v>5</v>
      </c>
      <c r="H166" s="582">
        <v>5</v>
      </c>
      <c r="I166" s="582">
        <v>5</v>
      </c>
      <c r="J166" s="582">
        <v>2</v>
      </c>
    </row>
    <row r="167" spans="1:10" ht="21" x14ac:dyDescent="0.25">
      <c r="A167" s="581">
        <v>166</v>
      </c>
      <c r="B167" s="581" t="s">
        <v>1207</v>
      </c>
      <c r="C167" s="581" t="s">
        <v>365</v>
      </c>
      <c r="D167" s="581" t="s">
        <v>928</v>
      </c>
      <c r="E167" s="581" t="s">
        <v>14</v>
      </c>
      <c r="F167" s="713" t="s">
        <v>15</v>
      </c>
      <c r="G167" s="582">
        <v>14</v>
      </c>
      <c r="H167" s="582">
        <v>12</v>
      </c>
      <c r="I167" s="582">
        <v>34</v>
      </c>
      <c r="J167" s="582">
        <v>5</v>
      </c>
    </row>
    <row r="168" spans="1:10" ht="21" x14ac:dyDescent="0.25">
      <c r="A168" s="581">
        <v>167</v>
      </c>
      <c r="B168" s="581" t="s">
        <v>1207</v>
      </c>
      <c r="C168" s="581" t="s">
        <v>365</v>
      </c>
      <c r="D168" s="581" t="s">
        <v>876</v>
      </c>
      <c r="E168" s="581" t="s">
        <v>434</v>
      </c>
      <c r="F168" s="713" t="s">
        <v>15</v>
      </c>
      <c r="G168" s="582">
        <v>33</v>
      </c>
      <c r="H168" s="582">
        <v>25</v>
      </c>
      <c r="I168" s="582">
        <v>89</v>
      </c>
      <c r="J168" s="582">
        <v>19</v>
      </c>
    </row>
    <row r="169" spans="1:10" ht="21" x14ac:dyDescent="0.25">
      <c r="A169" s="581">
        <v>168</v>
      </c>
      <c r="B169" s="581" t="s">
        <v>1207</v>
      </c>
      <c r="C169" s="581" t="s">
        <v>365</v>
      </c>
      <c r="D169" s="581" t="s">
        <v>935</v>
      </c>
      <c r="E169" s="581" t="s">
        <v>495</v>
      </c>
      <c r="F169" s="713" t="s">
        <v>15</v>
      </c>
      <c r="G169" s="582">
        <v>2</v>
      </c>
      <c r="H169" s="582">
        <v>2</v>
      </c>
      <c r="I169" s="582">
        <v>2</v>
      </c>
      <c r="J169" s="582">
        <v>0</v>
      </c>
    </row>
    <row r="170" spans="1:10" ht="31.5" x14ac:dyDescent="0.25">
      <c r="A170" s="581">
        <v>169</v>
      </c>
      <c r="B170" s="581" t="s">
        <v>1207</v>
      </c>
      <c r="C170" s="581" t="s">
        <v>365</v>
      </c>
      <c r="D170" s="581" t="s">
        <v>925</v>
      </c>
      <c r="E170" s="581" t="s">
        <v>16</v>
      </c>
      <c r="F170" s="713" t="s">
        <v>15</v>
      </c>
      <c r="G170" s="582">
        <v>1</v>
      </c>
      <c r="H170" s="582">
        <v>1</v>
      </c>
      <c r="I170" s="582">
        <v>0</v>
      </c>
      <c r="J170" s="582">
        <v>0</v>
      </c>
    </row>
    <row r="171" spans="1:10" ht="31.5" x14ac:dyDescent="0.25">
      <c r="A171" s="581">
        <v>170</v>
      </c>
      <c r="B171" s="581" t="s">
        <v>1207</v>
      </c>
      <c r="C171" s="581" t="s">
        <v>365</v>
      </c>
      <c r="D171" s="581" t="s">
        <v>1210</v>
      </c>
      <c r="E171" s="581" t="s">
        <v>13</v>
      </c>
      <c r="F171" s="713" t="s">
        <v>15</v>
      </c>
      <c r="G171" s="582">
        <v>0</v>
      </c>
      <c r="H171" s="582">
        <v>0</v>
      </c>
      <c r="I171" s="582">
        <v>1</v>
      </c>
      <c r="J171" s="582">
        <v>0</v>
      </c>
    </row>
    <row r="172" spans="1:10" ht="21" x14ac:dyDescent="0.25">
      <c r="A172" s="581">
        <v>171</v>
      </c>
      <c r="B172" s="581" t="s">
        <v>1207</v>
      </c>
      <c r="C172" s="581" t="s">
        <v>365</v>
      </c>
      <c r="D172" s="581" t="s">
        <v>909</v>
      </c>
      <c r="E172" s="581" t="s">
        <v>14</v>
      </c>
      <c r="F172" s="713" t="s">
        <v>15</v>
      </c>
      <c r="G172" s="582">
        <v>65</v>
      </c>
      <c r="H172" s="582">
        <v>53</v>
      </c>
      <c r="I172" s="582">
        <v>67</v>
      </c>
      <c r="J172" s="582">
        <v>24</v>
      </c>
    </row>
    <row r="173" spans="1:10" ht="21" x14ac:dyDescent="0.25">
      <c r="A173" s="581">
        <v>172</v>
      </c>
      <c r="B173" s="581" t="s">
        <v>1207</v>
      </c>
      <c r="C173" s="581" t="s">
        <v>365</v>
      </c>
      <c r="D173" s="581" t="s">
        <v>943</v>
      </c>
      <c r="E173" s="581" t="s">
        <v>13</v>
      </c>
      <c r="F173" s="713" t="s">
        <v>15</v>
      </c>
      <c r="G173" s="582">
        <v>41</v>
      </c>
      <c r="H173" s="582">
        <v>37</v>
      </c>
      <c r="I173" s="582">
        <v>63</v>
      </c>
      <c r="J173" s="582">
        <v>17</v>
      </c>
    </row>
    <row r="174" spans="1:10" ht="21" x14ac:dyDescent="0.25">
      <c r="A174" s="581">
        <v>173</v>
      </c>
      <c r="B174" s="581" t="s">
        <v>1207</v>
      </c>
      <c r="C174" s="581" t="s">
        <v>365</v>
      </c>
      <c r="D174" s="581" t="s">
        <v>492</v>
      </c>
      <c r="E174" s="581" t="s">
        <v>16</v>
      </c>
      <c r="F174" s="713" t="s">
        <v>15</v>
      </c>
      <c r="G174" s="582">
        <v>0</v>
      </c>
      <c r="H174" s="582">
        <v>0</v>
      </c>
      <c r="I174" s="582">
        <v>2</v>
      </c>
      <c r="J174" s="582">
        <v>0</v>
      </c>
    </row>
    <row r="175" spans="1:10" ht="21" x14ac:dyDescent="0.25">
      <c r="A175" s="581">
        <v>174</v>
      </c>
      <c r="B175" s="581" t="s">
        <v>1208</v>
      </c>
      <c r="C175" s="581" t="s">
        <v>365</v>
      </c>
      <c r="D175" s="581" t="s">
        <v>905</v>
      </c>
      <c r="E175" s="581" t="s">
        <v>16</v>
      </c>
      <c r="F175" s="713" t="s">
        <v>20</v>
      </c>
      <c r="G175" s="582">
        <v>43</v>
      </c>
      <c r="H175" s="582">
        <v>37</v>
      </c>
      <c r="I175" s="582">
        <v>32</v>
      </c>
      <c r="J175" s="582">
        <v>3</v>
      </c>
    </row>
    <row r="176" spans="1:10" ht="21" x14ac:dyDescent="0.25">
      <c r="A176" s="581">
        <v>175</v>
      </c>
      <c r="B176" s="581" t="s">
        <v>1208</v>
      </c>
      <c r="C176" s="581" t="s">
        <v>365</v>
      </c>
      <c r="D176" s="581" t="s">
        <v>1007</v>
      </c>
      <c r="E176" s="581" t="s">
        <v>16</v>
      </c>
      <c r="F176" s="713" t="s">
        <v>20</v>
      </c>
      <c r="G176" s="582">
        <v>13</v>
      </c>
      <c r="H176" s="582">
        <v>13</v>
      </c>
      <c r="I176" s="582">
        <v>1</v>
      </c>
      <c r="J176" s="582">
        <v>0</v>
      </c>
    </row>
    <row r="177" spans="1:10" ht="21" x14ac:dyDescent="0.25">
      <c r="A177" s="581">
        <v>176</v>
      </c>
      <c r="B177" s="581" t="s">
        <v>1207</v>
      </c>
      <c r="C177" s="581" t="s">
        <v>325</v>
      </c>
      <c r="D177" s="581" t="s">
        <v>897</v>
      </c>
      <c r="E177" s="581" t="s">
        <v>14</v>
      </c>
      <c r="F177" s="713" t="s">
        <v>15</v>
      </c>
      <c r="G177" s="582">
        <v>2</v>
      </c>
      <c r="H177" s="582">
        <v>2</v>
      </c>
      <c r="I177" s="582">
        <v>0</v>
      </c>
      <c r="J177" s="582">
        <v>0</v>
      </c>
    </row>
    <row r="178" spans="1:10" ht="21" x14ac:dyDescent="0.25">
      <c r="A178" s="581">
        <v>177</v>
      </c>
      <c r="B178" s="581" t="s">
        <v>1207</v>
      </c>
      <c r="C178" s="581" t="s">
        <v>325</v>
      </c>
      <c r="D178" s="581" t="s">
        <v>876</v>
      </c>
      <c r="E178" s="581" t="s">
        <v>434</v>
      </c>
      <c r="F178" s="713" t="s">
        <v>15</v>
      </c>
      <c r="G178" s="582">
        <v>0</v>
      </c>
      <c r="H178" s="582">
        <v>0</v>
      </c>
      <c r="I178" s="582">
        <v>2</v>
      </c>
      <c r="J178" s="582">
        <v>0</v>
      </c>
    </row>
    <row r="179" spans="1:10" ht="21" x14ac:dyDescent="0.25">
      <c r="A179" s="581">
        <v>178</v>
      </c>
      <c r="B179" s="581" t="s">
        <v>1207</v>
      </c>
      <c r="C179" s="581" t="s">
        <v>326</v>
      </c>
      <c r="D179" s="581" t="s">
        <v>897</v>
      </c>
      <c r="E179" s="581" t="s">
        <v>14</v>
      </c>
      <c r="F179" s="713" t="s">
        <v>15</v>
      </c>
      <c r="G179" s="582">
        <v>1</v>
      </c>
      <c r="H179" s="582">
        <v>1</v>
      </c>
      <c r="I179" s="582">
        <v>0</v>
      </c>
      <c r="J179" s="582">
        <v>0</v>
      </c>
    </row>
    <row r="180" spans="1:10" ht="21" x14ac:dyDescent="0.25">
      <c r="A180" s="581">
        <v>179</v>
      </c>
      <c r="B180" s="581" t="s">
        <v>1207</v>
      </c>
      <c r="C180" s="581" t="s">
        <v>326</v>
      </c>
      <c r="D180" s="581" t="s">
        <v>876</v>
      </c>
      <c r="E180" s="581" t="s">
        <v>434</v>
      </c>
      <c r="F180" s="713" t="s">
        <v>15</v>
      </c>
      <c r="G180" s="582">
        <v>3</v>
      </c>
      <c r="H180" s="582">
        <v>1</v>
      </c>
      <c r="I180" s="582">
        <v>3</v>
      </c>
      <c r="J180" s="582">
        <v>2</v>
      </c>
    </row>
    <row r="181" spans="1:10" ht="21" x14ac:dyDescent="0.25">
      <c r="A181" s="581">
        <v>180</v>
      </c>
      <c r="B181" s="581" t="s">
        <v>1207</v>
      </c>
      <c r="C181" s="581" t="s">
        <v>327</v>
      </c>
      <c r="D181" s="581" t="s">
        <v>876</v>
      </c>
      <c r="E181" s="581" t="s">
        <v>434</v>
      </c>
      <c r="F181" s="713" t="s">
        <v>15</v>
      </c>
      <c r="G181" s="582">
        <v>1</v>
      </c>
      <c r="H181" s="582">
        <v>1</v>
      </c>
      <c r="I181" s="582">
        <v>1</v>
      </c>
      <c r="J181" s="582">
        <v>0</v>
      </c>
    </row>
    <row r="182" spans="1:10" ht="21" x14ac:dyDescent="0.25">
      <c r="A182" s="581">
        <v>181</v>
      </c>
      <c r="B182" s="581" t="s">
        <v>1207</v>
      </c>
      <c r="C182" s="581" t="s">
        <v>327</v>
      </c>
      <c r="D182" s="581" t="s">
        <v>909</v>
      </c>
      <c r="E182" s="581" t="s">
        <v>14</v>
      </c>
      <c r="F182" s="713" t="s">
        <v>15</v>
      </c>
      <c r="G182" s="582">
        <v>2</v>
      </c>
      <c r="H182" s="582">
        <v>2</v>
      </c>
      <c r="I182" s="582">
        <v>3</v>
      </c>
      <c r="J182" s="582">
        <v>0</v>
      </c>
    </row>
    <row r="183" spans="1:10" ht="21" x14ac:dyDescent="0.25">
      <c r="A183" s="581">
        <v>182</v>
      </c>
      <c r="B183" s="581" t="s">
        <v>1207</v>
      </c>
      <c r="C183" s="581" t="s">
        <v>285</v>
      </c>
      <c r="D183" s="581" t="s">
        <v>1000</v>
      </c>
      <c r="E183" s="581" t="s">
        <v>14</v>
      </c>
      <c r="F183" s="713" t="s">
        <v>15</v>
      </c>
      <c r="G183" s="582">
        <v>1</v>
      </c>
      <c r="H183" s="582">
        <v>1</v>
      </c>
      <c r="I183" s="582">
        <v>0</v>
      </c>
      <c r="J183" s="582">
        <v>0</v>
      </c>
    </row>
    <row r="184" spans="1:10" ht="21" x14ac:dyDescent="0.25">
      <c r="A184" s="581">
        <v>183</v>
      </c>
      <c r="B184" s="581" t="s">
        <v>1207</v>
      </c>
      <c r="C184" s="581" t="s">
        <v>285</v>
      </c>
      <c r="D184" s="581" t="s">
        <v>994</v>
      </c>
      <c r="E184" s="581" t="s">
        <v>495</v>
      </c>
      <c r="F184" s="713" t="s">
        <v>15</v>
      </c>
      <c r="G184" s="582">
        <v>7</v>
      </c>
      <c r="H184" s="582">
        <v>6</v>
      </c>
      <c r="I184" s="582">
        <v>1</v>
      </c>
      <c r="J184" s="582">
        <v>0</v>
      </c>
    </row>
    <row r="185" spans="1:10" ht="21" x14ac:dyDescent="0.25">
      <c r="A185" s="581">
        <v>184</v>
      </c>
      <c r="B185" s="581" t="s">
        <v>1207</v>
      </c>
      <c r="C185" s="581" t="s">
        <v>285</v>
      </c>
      <c r="D185" s="581" t="s">
        <v>897</v>
      </c>
      <c r="E185" s="581" t="s">
        <v>14</v>
      </c>
      <c r="F185" s="713" t="s">
        <v>15</v>
      </c>
      <c r="G185" s="582">
        <v>2</v>
      </c>
      <c r="H185" s="582">
        <v>2</v>
      </c>
      <c r="I185" s="582">
        <v>5</v>
      </c>
      <c r="J185" s="582">
        <v>0</v>
      </c>
    </row>
    <row r="186" spans="1:10" ht="21" x14ac:dyDescent="0.25">
      <c r="A186" s="581">
        <v>185</v>
      </c>
      <c r="B186" s="581" t="s">
        <v>1207</v>
      </c>
      <c r="C186" s="581" t="s">
        <v>285</v>
      </c>
      <c r="D186" s="581" t="s">
        <v>876</v>
      </c>
      <c r="E186" s="581" t="s">
        <v>434</v>
      </c>
      <c r="F186" s="713" t="s">
        <v>15</v>
      </c>
      <c r="G186" s="582">
        <v>10</v>
      </c>
      <c r="H186" s="582">
        <v>6</v>
      </c>
      <c r="I186" s="582">
        <v>23</v>
      </c>
      <c r="J186" s="582">
        <v>4</v>
      </c>
    </row>
    <row r="187" spans="1:10" ht="21" x14ac:dyDescent="0.25">
      <c r="A187" s="581">
        <v>186</v>
      </c>
      <c r="B187" s="581" t="s">
        <v>1207</v>
      </c>
      <c r="C187" s="581" t="s">
        <v>285</v>
      </c>
      <c r="D187" s="581" t="s">
        <v>909</v>
      </c>
      <c r="E187" s="581" t="s">
        <v>14</v>
      </c>
      <c r="F187" s="713" t="s">
        <v>15</v>
      </c>
      <c r="G187" s="582">
        <v>51</v>
      </c>
      <c r="H187" s="582">
        <v>43</v>
      </c>
      <c r="I187" s="582">
        <v>44</v>
      </c>
      <c r="J187" s="582">
        <v>13</v>
      </c>
    </row>
    <row r="188" spans="1:10" ht="21" x14ac:dyDescent="0.25">
      <c r="A188" s="581">
        <v>187</v>
      </c>
      <c r="B188" s="581" t="s">
        <v>1206</v>
      </c>
      <c r="C188" s="581" t="s">
        <v>328</v>
      </c>
      <c r="D188" s="581" t="s">
        <v>894</v>
      </c>
      <c r="E188" s="581" t="s">
        <v>14</v>
      </c>
      <c r="F188" s="713" t="s">
        <v>20</v>
      </c>
      <c r="G188" s="582">
        <v>0</v>
      </c>
      <c r="H188" s="582">
        <v>0</v>
      </c>
      <c r="I188" s="582">
        <v>1</v>
      </c>
      <c r="J188" s="582">
        <v>0</v>
      </c>
    </row>
    <row r="189" spans="1:10" ht="21" x14ac:dyDescent="0.25">
      <c r="A189" s="581">
        <v>188</v>
      </c>
      <c r="B189" s="581" t="s">
        <v>1206</v>
      </c>
      <c r="C189" s="581" t="s">
        <v>328</v>
      </c>
      <c r="D189" s="581" t="s">
        <v>874</v>
      </c>
      <c r="E189" s="581" t="s">
        <v>434</v>
      </c>
      <c r="F189" s="713" t="s">
        <v>20</v>
      </c>
      <c r="G189" s="582">
        <v>2</v>
      </c>
      <c r="H189" s="582">
        <v>1</v>
      </c>
      <c r="I189" s="582">
        <v>9</v>
      </c>
      <c r="J189" s="582">
        <v>2</v>
      </c>
    </row>
    <row r="190" spans="1:10" ht="21" x14ac:dyDescent="0.25">
      <c r="A190" s="581">
        <v>189</v>
      </c>
      <c r="B190" s="581" t="s">
        <v>1207</v>
      </c>
      <c r="C190" s="581" t="s">
        <v>328</v>
      </c>
      <c r="D190" s="581" t="s">
        <v>897</v>
      </c>
      <c r="E190" s="581" t="s">
        <v>14</v>
      </c>
      <c r="F190" s="713" t="s">
        <v>15</v>
      </c>
      <c r="G190" s="582">
        <v>0</v>
      </c>
      <c r="H190" s="582">
        <v>0</v>
      </c>
      <c r="I190" s="582">
        <v>1</v>
      </c>
      <c r="J190" s="582">
        <v>1</v>
      </c>
    </row>
    <row r="191" spans="1:10" ht="21" x14ac:dyDescent="0.25">
      <c r="A191" s="581">
        <v>190</v>
      </c>
      <c r="B191" s="581" t="s">
        <v>1207</v>
      </c>
      <c r="C191" s="581" t="s">
        <v>328</v>
      </c>
      <c r="D191" s="581" t="s">
        <v>876</v>
      </c>
      <c r="E191" s="581" t="s">
        <v>434</v>
      </c>
      <c r="F191" s="713" t="s">
        <v>15</v>
      </c>
      <c r="G191" s="582">
        <v>4</v>
      </c>
      <c r="H191" s="582">
        <v>4</v>
      </c>
      <c r="I191" s="582">
        <v>15</v>
      </c>
      <c r="J191" s="582">
        <v>1</v>
      </c>
    </row>
    <row r="192" spans="1:10" ht="21" x14ac:dyDescent="0.25">
      <c r="A192" s="581">
        <v>191</v>
      </c>
      <c r="B192" s="581" t="s">
        <v>1207</v>
      </c>
      <c r="C192" s="581" t="s">
        <v>328</v>
      </c>
      <c r="D192" s="581" t="s">
        <v>909</v>
      </c>
      <c r="E192" s="581" t="s">
        <v>14</v>
      </c>
      <c r="F192" s="713" t="s">
        <v>15</v>
      </c>
      <c r="G192" s="582">
        <v>4</v>
      </c>
      <c r="H192" s="582">
        <v>3</v>
      </c>
      <c r="I192" s="582">
        <v>4</v>
      </c>
      <c r="J192" s="582">
        <v>1</v>
      </c>
    </row>
    <row r="193" spans="1:10" ht="21" x14ac:dyDescent="0.25">
      <c r="A193" s="581">
        <v>192</v>
      </c>
      <c r="B193" s="581" t="s">
        <v>1206</v>
      </c>
      <c r="C193" s="581" t="s">
        <v>329</v>
      </c>
      <c r="D193" s="581" t="s">
        <v>491</v>
      </c>
      <c r="E193" s="581" t="s">
        <v>13</v>
      </c>
      <c r="F193" s="713" t="s">
        <v>20</v>
      </c>
      <c r="G193" s="582">
        <v>3</v>
      </c>
      <c r="H193" s="582">
        <v>3</v>
      </c>
      <c r="I193" s="582">
        <v>11</v>
      </c>
      <c r="J193" s="582">
        <v>0</v>
      </c>
    </row>
    <row r="194" spans="1:10" ht="21" x14ac:dyDescent="0.25">
      <c r="A194" s="581">
        <v>193</v>
      </c>
      <c r="B194" s="581" t="s">
        <v>1206</v>
      </c>
      <c r="C194" s="581" t="s">
        <v>329</v>
      </c>
      <c r="D194" s="581" t="s">
        <v>870</v>
      </c>
      <c r="E194" s="581" t="s">
        <v>13</v>
      </c>
      <c r="F194" s="713" t="s">
        <v>20</v>
      </c>
      <c r="G194" s="582">
        <v>22</v>
      </c>
      <c r="H194" s="582">
        <v>15</v>
      </c>
      <c r="I194" s="582">
        <v>39</v>
      </c>
      <c r="J194" s="582">
        <v>4</v>
      </c>
    </row>
    <row r="195" spans="1:10" ht="21" x14ac:dyDescent="0.25">
      <c r="A195" s="581">
        <v>194</v>
      </c>
      <c r="B195" s="581" t="s">
        <v>1206</v>
      </c>
      <c r="C195" s="581" t="s">
        <v>329</v>
      </c>
      <c r="D195" s="581" t="s">
        <v>465</v>
      </c>
      <c r="E195" s="581" t="s">
        <v>13</v>
      </c>
      <c r="F195" s="713" t="s">
        <v>20</v>
      </c>
      <c r="G195" s="582">
        <v>32</v>
      </c>
      <c r="H195" s="582">
        <v>26</v>
      </c>
      <c r="I195" s="582">
        <v>105</v>
      </c>
      <c r="J195" s="582">
        <v>4</v>
      </c>
    </row>
    <row r="196" spans="1:10" ht="21" x14ac:dyDescent="0.25">
      <c r="A196" s="581">
        <v>195</v>
      </c>
      <c r="B196" s="581" t="s">
        <v>1206</v>
      </c>
      <c r="C196" s="581" t="s">
        <v>329</v>
      </c>
      <c r="D196" s="581" t="s">
        <v>458</v>
      </c>
      <c r="E196" s="581" t="s">
        <v>13</v>
      </c>
      <c r="F196" s="713" t="s">
        <v>20</v>
      </c>
      <c r="G196" s="582">
        <v>109</v>
      </c>
      <c r="H196" s="582">
        <v>88</v>
      </c>
      <c r="I196" s="582">
        <v>214</v>
      </c>
      <c r="J196" s="582">
        <v>10</v>
      </c>
    </row>
    <row r="197" spans="1:10" ht="21" x14ac:dyDescent="0.25">
      <c r="A197" s="581">
        <v>196</v>
      </c>
      <c r="B197" s="581" t="s">
        <v>1206</v>
      </c>
      <c r="C197" s="581" t="s">
        <v>329</v>
      </c>
      <c r="D197" s="581" t="s">
        <v>1071</v>
      </c>
      <c r="E197" s="581" t="s">
        <v>16</v>
      </c>
      <c r="F197" s="713" t="s">
        <v>20</v>
      </c>
      <c r="G197" s="582">
        <v>59</v>
      </c>
      <c r="H197" s="582">
        <v>43</v>
      </c>
      <c r="I197" s="582">
        <v>93</v>
      </c>
      <c r="J197" s="582">
        <v>7</v>
      </c>
    </row>
    <row r="198" spans="1:10" ht="21" x14ac:dyDescent="0.25">
      <c r="A198" s="581">
        <v>197</v>
      </c>
      <c r="B198" s="581" t="s">
        <v>1206</v>
      </c>
      <c r="C198" s="581" t="s">
        <v>329</v>
      </c>
      <c r="D198" s="581" t="s">
        <v>248</v>
      </c>
      <c r="E198" s="581" t="s">
        <v>16</v>
      </c>
      <c r="F198" s="713" t="s">
        <v>20</v>
      </c>
      <c r="G198" s="582">
        <v>7</v>
      </c>
      <c r="H198" s="582">
        <v>7</v>
      </c>
      <c r="I198" s="582">
        <v>14</v>
      </c>
      <c r="J198" s="582">
        <v>2</v>
      </c>
    </row>
    <row r="199" spans="1:10" ht="21" x14ac:dyDescent="0.25">
      <c r="A199" s="581">
        <v>198</v>
      </c>
      <c r="B199" s="581" t="s">
        <v>1206</v>
      </c>
      <c r="C199" s="581" t="s">
        <v>329</v>
      </c>
      <c r="D199" s="581" t="s">
        <v>866</v>
      </c>
      <c r="E199" s="581" t="s">
        <v>16</v>
      </c>
      <c r="F199" s="713" t="s">
        <v>20</v>
      </c>
      <c r="G199" s="582">
        <v>55</v>
      </c>
      <c r="H199" s="582">
        <v>38</v>
      </c>
      <c r="I199" s="582">
        <v>107</v>
      </c>
      <c r="J199" s="582">
        <v>9</v>
      </c>
    </row>
    <row r="200" spans="1:10" ht="31.5" x14ac:dyDescent="0.25">
      <c r="A200" s="581">
        <v>199</v>
      </c>
      <c r="B200" s="581" t="s">
        <v>1206</v>
      </c>
      <c r="C200" s="581" t="s">
        <v>329</v>
      </c>
      <c r="D200" s="581" t="s">
        <v>1034</v>
      </c>
      <c r="E200" s="581" t="s">
        <v>16</v>
      </c>
      <c r="F200" s="713" t="s">
        <v>20</v>
      </c>
      <c r="G200" s="582">
        <v>1</v>
      </c>
      <c r="H200" s="582">
        <v>0</v>
      </c>
      <c r="I200" s="582">
        <v>0</v>
      </c>
      <c r="J200" s="582">
        <v>1</v>
      </c>
    </row>
    <row r="201" spans="1:10" ht="21" x14ac:dyDescent="0.25">
      <c r="A201" s="581">
        <v>200</v>
      </c>
      <c r="B201" s="581" t="s">
        <v>1206</v>
      </c>
      <c r="C201" s="581" t="s">
        <v>329</v>
      </c>
      <c r="D201" s="581" t="s">
        <v>926</v>
      </c>
      <c r="E201" s="581" t="s">
        <v>14</v>
      </c>
      <c r="F201" s="713" t="s">
        <v>20</v>
      </c>
      <c r="G201" s="582">
        <v>94</v>
      </c>
      <c r="H201" s="582">
        <v>74</v>
      </c>
      <c r="I201" s="582">
        <v>160</v>
      </c>
      <c r="J201" s="582">
        <v>14</v>
      </c>
    </row>
    <row r="202" spans="1:10" ht="21" x14ac:dyDescent="0.25">
      <c r="A202" s="581">
        <v>201</v>
      </c>
      <c r="B202" s="581" t="s">
        <v>1206</v>
      </c>
      <c r="C202" s="581" t="s">
        <v>329</v>
      </c>
      <c r="D202" s="581" t="s">
        <v>931</v>
      </c>
      <c r="E202" s="581" t="s">
        <v>14</v>
      </c>
      <c r="F202" s="713" t="s">
        <v>20</v>
      </c>
      <c r="G202" s="582">
        <v>11</v>
      </c>
      <c r="H202" s="582">
        <v>10</v>
      </c>
      <c r="I202" s="582">
        <v>7</v>
      </c>
      <c r="J202" s="582">
        <v>0</v>
      </c>
    </row>
    <row r="203" spans="1:10" ht="21" x14ac:dyDescent="0.25">
      <c r="A203" s="581">
        <v>202</v>
      </c>
      <c r="B203" s="581" t="s">
        <v>1206</v>
      </c>
      <c r="C203" s="581" t="s">
        <v>329</v>
      </c>
      <c r="D203" s="581" t="s">
        <v>914</v>
      </c>
      <c r="E203" s="581" t="s">
        <v>434</v>
      </c>
      <c r="F203" s="713" t="s">
        <v>20</v>
      </c>
      <c r="G203" s="582">
        <v>2</v>
      </c>
      <c r="H203" s="582">
        <v>2</v>
      </c>
      <c r="I203" s="582">
        <v>3</v>
      </c>
      <c r="J203" s="582">
        <v>0</v>
      </c>
    </row>
    <row r="204" spans="1:10" ht="21" x14ac:dyDescent="0.25">
      <c r="A204" s="581">
        <v>203</v>
      </c>
      <c r="B204" s="581" t="s">
        <v>1206</v>
      </c>
      <c r="C204" s="581" t="s">
        <v>329</v>
      </c>
      <c r="D204" s="581" t="s">
        <v>958</v>
      </c>
      <c r="E204" s="581" t="s">
        <v>14</v>
      </c>
      <c r="F204" s="713" t="s">
        <v>20</v>
      </c>
      <c r="G204" s="582">
        <v>3</v>
      </c>
      <c r="H204" s="582">
        <v>3</v>
      </c>
      <c r="I204" s="582">
        <v>0</v>
      </c>
      <c r="J204" s="582">
        <v>0</v>
      </c>
    </row>
    <row r="205" spans="1:10" ht="21" x14ac:dyDescent="0.25">
      <c r="A205" s="581">
        <v>204</v>
      </c>
      <c r="B205" s="581" t="s">
        <v>1206</v>
      </c>
      <c r="C205" s="581" t="s">
        <v>329</v>
      </c>
      <c r="D205" s="581" t="s">
        <v>953</v>
      </c>
      <c r="E205" s="581" t="s">
        <v>16</v>
      </c>
      <c r="F205" s="713" t="s">
        <v>20</v>
      </c>
      <c r="G205" s="582">
        <v>16</v>
      </c>
      <c r="H205" s="582">
        <v>10</v>
      </c>
      <c r="I205" s="582">
        <v>20</v>
      </c>
      <c r="J205" s="582">
        <v>3</v>
      </c>
    </row>
    <row r="206" spans="1:10" ht="21" x14ac:dyDescent="0.25">
      <c r="A206" s="581">
        <v>205</v>
      </c>
      <c r="B206" s="581" t="s">
        <v>1206</v>
      </c>
      <c r="C206" s="581" t="s">
        <v>329</v>
      </c>
      <c r="D206" s="581" t="s">
        <v>878</v>
      </c>
      <c r="E206" s="581" t="s">
        <v>434</v>
      </c>
      <c r="F206" s="713" t="s">
        <v>20</v>
      </c>
      <c r="G206" s="582">
        <v>348</v>
      </c>
      <c r="H206" s="582">
        <v>272</v>
      </c>
      <c r="I206" s="582">
        <v>687</v>
      </c>
      <c r="J206" s="582">
        <v>45</v>
      </c>
    </row>
    <row r="207" spans="1:10" ht="21" x14ac:dyDescent="0.25">
      <c r="A207" s="581">
        <v>206</v>
      </c>
      <c r="B207" s="581" t="s">
        <v>1206</v>
      </c>
      <c r="C207" s="581" t="s">
        <v>329</v>
      </c>
      <c r="D207" s="581" t="s">
        <v>927</v>
      </c>
      <c r="E207" s="581" t="s">
        <v>14</v>
      </c>
      <c r="F207" s="713" t="s">
        <v>20</v>
      </c>
      <c r="G207" s="582">
        <v>67</v>
      </c>
      <c r="H207" s="582">
        <v>55</v>
      </c>
      <c r="I207" s="582">
        <v>123</v>
      </c>
      <c r="J207" s="582">
        <v>7</v>
      </c>
    </row>
    <row r="208" spans="1:10" ht="21" x14ac:dyDescent="0.25">
      <c r="A208" s="581">
        <v>207</v>
      </c>
      <c r="B208" s="581" t="s">
        <v>1206</v>
      </c>
      <c r="C208" s="581" t="s">
        <v>329</v>
      </c>
      <c r="D208" s="581" t="s">
        <v>940</v>
      </c>
      <c r="E208" s="581" t="s">
        <v>495</v>
      </c>
      <c r="F208" s="713" t="s">
        <v>20</v>
      </c>
      <c r="G208" s="582">
        <v>2</v>
      </c>
      <c r="H208" s="582">
        <v>2</v>
      </c>
      <c r="I208" s="582">
        <v>1</v>
      </c>
      <c r="J208" s="582">
        <v>0</v>
      </c>
    </row>
    <row r="209" spans="1:10" ht="31.5" x14ac:dyDescent="0.25">
      <c r="A209" s="581">
        <v>208</v>
      </c>
      <c r="B209" s="581" t="s">
        <v>1206</v>
      </c>
      <c r="C209" s="581" t="s">
        <v>329</v>
      </c>
      <c r="D209" s="581" t="s">
        <v>924</v>
      </c>
      <c r="E209" s="581" t="s">
        <v>16</v>
      </c>
      <c r="F209" s="713" t="s">
        <v>20</v>
      </c>
      <c r="G209" s="582">
        <v>2</v>
      </c>
      <c r="H209" s="582">
        <v>2</v>
      </c>
      <c r="I209" s="582">
        <v>1</v>
      </c>
      <c r="J209" s="582">
        <v>0</v>
      </c>
    </row>
    <row r="210" spans="1:10" ht="21" x14ac:dyDescent="0.25">
      <c r="A210" s="581">
        <v>209</v>
      </c>
      <c r="B210" s="581" t="s">
        <v>1206</v>
      </c>
      <c r="C210" s="581" t="s">
        <v>329</v>
      </c>
      <c r="D210" s="581" t="s">
        <v>906</v>
      </c>
      <c r="E210" s="581" t="s">
        <v>14</v>
      </c>
      <c r="F210" s="713" t="s">
        <v>20</v>
      </c>
      <c r="G210" s="582">
        <v>226</v>
      </c>
      <c r="H210" s="582">
        <v>177</v>
      </c>
      <c r="I210" s="582">
        <v>426</v>
      </c>
      <c r="J210" s="582">
        <v>29</v>
      </c>
    </row>
    <row r="211" spans="1:10" ht="21" x14ac:dyDescent="0.25">
      <c r="A211" s="581">
        <v>210</v>
      </c>
      <c r="B211" s="581" t="s">
        <v>1206</v>
      </c>
      <c r="C211" s="581" t="s">
        <v>329</v>
      </c>
      <c r="D211" s="581" t="s">
        <v>941</v>
      </c>
      <c r="E211" s="581" t="s">
        <v>13</v>
      </c>
      <c r="F211" s="713" t="s">
        <v>20</v>
      </c>
      <c r="G211" s="582">
        <v>63</v>
      </c>
      <c r="H211" s="582">
        <v>49</v>
      </c>
      <c r="I211" s="582">
        <v>98</v>
      </c>
      <c r="J211" s="582">
        <v>8</v>
      </c>
    </row>
    <row r="212" spans="1:10" ht="21" x14ac:dyDescent="0.25">
      <c r="A212" s="581">
        <v>211</v>
      </c>
      <c r="B212" s="581" t="s">
        <v>1206</v>
      </c>
      <c r="C212" s="581" t="s">
        <v>329</v>
      </c>
      <c r="D212" s="581" t="s">
        <v>894</v>
      </c>
      <c r="E212" s="581" t="s">
        <v>14</v>
      </c>
      <c r="F212" s="713" t="s">
        <v>20</v>
      </c>
      <c r="G212" s="582">
        <v>14</v>
      </c>
      <c r="H212" s="582">
        <v>9</v>
      </c>
      <c r="I212" s="582">
        <v>5</v>
      </c>
      <c r="J212" s="582">
        <v>3</v>
      </c>
    </row>
    <row r="213" spans="1:10" ht="21" x14ac:dyDescent="0.25">
      <c r="A213" s="520">
        <v>212</v>
      </c>
      <c r="B213" s="520" t="s">
        <v>1206</v>
      </c>
      <c r="C213" s="520" t="s">
        <v>329</v>
      </c>
      <c r="D213" s="520" t="s">
        <v>874</v>
      </c>
      <c r="E213" s="520" t="s">
        <v>434</v>
      </c>
      <c r="F213" s="713" t="s">
        <v>20</v>
      </c>
      <c r="G213" s="521">
        <v>144</v>
      </c>
      <c r="H213" s="521">
        <v>115</v>
      </c>
      <c r="I213" s="521">
        <v>258</v>
      </c>
      <c r="J213" s="521">
        <v>18</v>
      </c>
    </row>
    <row r="214" spans="1:10" ht="21" x14ac:dyDescent="0.25">
      <c r="A214" s="520">
        <v>213</v>
      </c>
      <c r="B214" s="520" t="s">
        <v>1206</v>
      </c>
      <c r="C214" s="520" t="s">
        <v>329</v>
      </c>
      <c r="D214" s="520" t="s">
        <v>950</v>
      </c>
      <c r="E214" s="520" t="s">
        <v>16</v>
      </c>
      <c r="F214" s="713" t="s">
        <v>20</v>
      </c>
      <c r="G214" s="521">
        <v>0</v>
      </c>
      <c r="H214" s="521">
        <v>0</v>
      </c>
      <c r="I214" s="521">
        <v>1</v>
      </c>
      <c r="J214" s="521">
        <v>0</v>
      </c>
    </row>
    <row r="215" spans="1:10" ht="21" x14ac:dyDescent="0.25">
      <c r="A215" s="520">
        <v>214</v>
      </c>
      <c r="B215" s="520" t="s">
        <v>1206</v>
      </c>
      <c r="C215" s="520" t="s">
        <v>329</v>
      </c>
      <c r="D215" s="520" t="s">
        <v>937</v>
      </c>
      <c r="E215" s="520" t="s">
        <v>14</v>
      </c>
      <c r="F215" s="713" t="s">
        <v>20</v>
      </c>
      <c r="G215" s="521">
        <v>8</v>
      </c>
      <c r="H215" s="521">
        <v>5</v>
      </c>
      <c r="I215" s="521">
        <v>9</v>
      </c>
      <c r="J215" s="521">
        <v>2</v>
      </c>
    </row>
    <row r="216" spans="1:10" x14ac:dyDescent="0.25">
      <c r="A216" s="519">
        <v>215</v>
      </c>
      <c r="B216" s="519" t="s">
        <v>1206</v>
      </c>
      <c r="C216" s="519" t="s">
        <v>329</v>
      </c>
      <c r="D216" s="519" t="s">
        <v>916</v>
      </c>
      <c r="E216" s="519" t="s">
        <v>495</v>
      </c>
      <c r="F216" s="713" t="s">
        <v>20</v>
      </c>
      <c r="G216" s="519">
        <v>7</v>
      </c>
      <c r="H216" s="519">
        <v>7</v>
      </c>
      <c r="I216" s="519">
        <v>14</v>
      </c>
      <c r="J216" s="519">
        <v>0</v>
      </c>
    </row>
    <row r="217" spans="1:10" x14ac:dyDescent="0.25">
      <c r="A217" s="519">
        <v>216</v>
      </c>
      <c r="B217" s="519" t="s">
        <v>1206</v>
      </c>
      <c r="C217" s="519" t="s">
        <v>329</v>
      </c>
      <c r="D217" s="519" t="s">
        <v>492</v>
      </c>
      <c r="E217" s="519" t="s">
        <v>16</v>
      </c>
      <c r="F217" s="713" t="s">
        <v>20</v>
      </c>
      <c r="G217" s="519">
        <v>3</v>
      </c>
      <c r="H217" s="519">
        <v>3</v>
      </c>
      <c r="I217" s="519">
        <v>6</v>
      </c>
      <c r="J217" s="519">
        <v>0</v>
      </c>
    </row>
    <row r="218" spans="1:10" x14ac:dyDescent="0.25">
      <c r="A218" s="519">
        <v>217</v>
      </c>
      <c r="B218" s="519" t="s">
        <v>1207</v>
      </c>
      <c r="C218" s="519" t="s">
        <v>329</v>
      </c>
      <c r="D218" s="519" t="s">
        <v>864</v>
      </c>
      <c r="E218" s="519" t="s">
        <v>16</v>
      </c>
      <c r="F218" s="713" t="s">
        <v>15</v>
      </c>
      <c r="G218" s="519">
        <v>13</v>
      </c>
      <c r="H218" s="519">
        <v>12</v>
      </c>
      <c r="I218" s="519">
        <v>3</v>
      </c>
      <c r="J218" s="519">
        <v>3</v>
      </c>
    </row>
    <row r="219" spans="1:10" x14ac:dyDescent="0.25">
      <c r="A219" s="519">
        <v>218</v>
      </c>
      <c r="B219" s="519" t="s">
        <v>1207</v>
      </c>
      <c r="C219" s="519" t="s">
        <v>329</v>
      </c>
      <c r="D219" s="519" t="s">
        <v>861</v>
      </c>
      <c r="E219" s="519" t="s">
        <v>14</v>
      </c>
      <c r="F219" s="713" t="s">
        <v>15</v>
      </c>
      <c r="G219" s="519">
        <v>26</v>
      </c>
      <c r="H219" s="519">
        <v>20</v>
      </c>
      <c r="I219" s="519">
        <v>27</v>
      </c>
      <c r="J219" s="519">
        <v>15</v>
      </c>
    </row>
    <row r="220" spans="1:10" x14ac:dyDescent="0.25">
      <c r="A220" s="519">
        <v>219</v>
      </c>
      <c r="B220" s="519" t="s">
        <v>1207</v>
      </c>
      <c r="C220" s="519" t="s">
        <v>329</v>
      </c>
      <c r="D220" s="519" t="s">
        <v>930</v>
      </c>
      <c r="E220" s="519" t="s">
        <v>14</v>
      </c>
      <c r="F220" s="713" t="s">
        <v>15</v>
      </c>
      <c r="G220" s="519">
        <v>3</v>
      </c>
      <c r="H220" s="519">
        <v>3</v>
      </c>
      <c r="I220" s="519">
        <v>0</v>
      </c>
      <c r="J220" s="519">
        <v>0</v>
      </c>
    </row>
    <row r="221" spans="1:10" x14ac:dyDescent="0.25">
      <c r="A221" s="519">
        <v>220</v>
      </c>
      <c r="B221" s="519" t="s">
        <v>1207</v>
      </c>
      <c r="C221" s="519" t="s">
        <v>329</v>
      </c>
      <c r="D221" s="519" t="s">
        <v>954</v>
      </c>
      <c r="E221" s="519" t="s">
        <v>16</v>
      </c>
      <c r="F221" s="713" t="s">
        <v>15</v>
      </c>
      <c r="G221" s="519">
        <v>5</v>
      </c>
      <c r="H221" s="519">
        <v>5</v>
      </c>
      <c r="I221" s="519">
        <v>5</v>
      </c>
      <c r="J221" s="519">
        <v>1</v>
      </c>
    </row>
    <row r="222" spans="1:10" x14ac:dyDescent="0.25">
      <c r="A222" s="519">
        <v>221</v>
      </c>
      <c r="B222" s="519" t="s">
        <v>1207</v>
      </c>
      <c r="C222" s="519" t="s">
        <v>329</v>
      </c>
      <c r="D222" s="519" t="s">
        <v>938</v>
      </c>
      <c r="E222" s="519" t="s">
        <v>495</v>
      </c>
      <c r="F222" s="713" t="s">
        <v>15</v>
      </c>
      <c r="G222" s="519">
        <v>3</v>
      </c>
      <c r="H222" s="519">
        <v>3</v>
      </c>
      <c r="I222" s="519">
        <v>1</v>
      </c>
      <c r="J222" s="519">
        <v>0</v>
      </c>
    </row>
    <row r="223" spans="1:10" x14ac:dyDescent="0.25">
      <c r="A223" s="519">
        <v>222</v>
      </c>
      <c r="B223" s="519" t="s">
        <v>1207</v>
      </c>
      <c r="C223" s="519" t="s">
        <v>329</v>
      </c>
      <c r="D223" s="519" t="s">
        <v>928</v>
      </c>
      <c r="E223" s="519" t="s">
        <v>14</v>
      </c>
      <c r="F223" s="713" t="s">
        <v>15</v>
      </c>
      <c r="G223" s="519">
        <v>3</v>
      </c>
      <c r="H223" s="519">
        <v>2</v>
      </c>
      <c r="I223" s="519">
        <v>15</v>
      </c>
      <c r="J223" s="519">
        <v>4</v>
      </c>
    </row>
    <row r="224" spans="1:10" x14ac:dyDescent="0.25">
      <c r="A224" s="519">
        <v>223</v>
      </c>
      <c r="B224" s="519" t="s">
        <v>1207</v>
      </c>
      <c r="C224" s="519" t="s">
        <v>329</v>
      </c>
      <c r="D224" s="519" t="s">
        <v>876</v>
      </c>
      <c r="E224" s="519" t="s">
        <v>434</v>
      </c>
      <c r="F224" s="713" t="s">
        <v>15</v>
      </c>
      <c r="G224" s="519">
        <v>9</v>
      </c>
      <c r="H224" s="519">
        <v>4</v>
      </c>
      <c r="I224" s="519">
        <v>32</v>
      </c>
      <c r="J224" s="519">
        <v>8</v>
      </c>
    </row>
    <row r="225" spans="1:10" x14ac:dyDescent="0.25">
      <c r="A225" s="519">
        <v>224</v>
      </c>
      <c r="B225" s="519" t="s">
        <v>1207</v>
      </c>
      <c r="C225" s="519" t="s">
        <v>329</v>
      </c>
      <c r="D225" s="519" t="s">
        <v>935</v>
      </c>
      <c r="E225" s="519" t="s">
        <v>495</v>
      </c>
      <c r="F225" s="713" t="s">
        <v>15</v>
      </c>
      <c r="G225" s="519">
        <v>1</v>
      </c>
      <c r="H225" s="519">
        <v>1</v>
      </c>
      <c r="I225" s="519">
        <v>0</v>
      </c>
      <c r="J225" s="519">
        <v>0</v>
      </c>
    </row>
    <row r="226" spans="1:10" x14ac:dyDescent="0.25">
      <c r="A226" s="519">
        <v>225</v>
      </c>
      <c r="B226" s="519" t="s">
        <v>1207</v>
      </c>
      <c r="C226" s="519" t="s">
        <v>329</v>
      </c>
      <c r="D226" s="519" t="s">
        <v>925</v>
      </c>
      <c r="E226" s="519" t="s">
        <v>16</v>
      </c>
      <c r="F226" s="713" t="s">
        <v>15</v>
      </c>
      <c r="G226" s="519">
        <v>1</v>
      </c>
      <c r="H226" s="519">
        <v>1</v>
      </c>
      <c r="I226" s="519">
        <v>1</v>
      </c>
      <c r="J226" s="519">
        <v>0</v>
      </c>
    </row>
    <row r="227" spans="1:10" x14ac:dyDescent="0.25">
      <c r="A227" s="519">
        <v>226</v>
      </c>
      <c r="B227" s="519" t="s">
        <v>1207</v>
      </c>
      <c r="C227" s="519" t="s">
        <v>329</v>
      </c>
      <c r="D227" s="519" t="s">
        <v>909</v>
      </c>
      <c r="E227" s="519" t="s">
        <v>14</v>
      </c>
      <c r="F227" s="713" t="s">
        <v>15</v>
      </c>
      <c r="G227" s="519">
        <v>23</v>
      </c>
      <c r="H227" s="519">
        <v>18</v>
      </c>
      <c r="I227" s="519">
        <v>43</v>
      </c>
      <c r="J227" s="519">
        <v>10</v>
      </c>
    </row>
    <row r="228" spans="1:10" x14ac:dyDescent="0.25">
      <c r="A228" s="519">
        <v>227</v>
      </c>
      <c r="B228" s="519" t="s">
        <v>1207</v>
      </c>
      <c r="C228" s="519" t="s">
        <v>329</v>
      </c>
      <c r="D228" s="519" t="s">
        <v>943</v>
      </c>
      <c r="E228" s="519" t="s">
        <v>13</v>
      </c>
      <c r="F228" s="713" t="s">
        <v>15</v>
      </c>
      <c r="G228" s="519">
        <v>13</v>
      </c>
      <c r="H228" s="519">
        <v>9</v>
      </c>
      <c r="I228" s="519">
        <v>24</v>
      </c>
      <c r="J228" s="519">
        <v>4</v>
      </c>
    </row>
    <row r="229" spans="1:10" x14ac:dyDescent="0.25">
      <c r="A229" s="519">
        <v>228</v>
      </c>
      <c r="B229" s="519" t="s">
        <v>1207</v>
      </c>
      <c r="C229" s="519" t="s">
        <v>329</v>
      </c>
      <c r="D229" s="519" t="s">
        <v>1059</v>
      </c>
      <c r="E229" s="519" t="s">
        <v>14</v>
      </c>
      <c r="F229" s="713" t="s">
        <v>15</v>
      </c>
      <c r="G229" s="519">
        <v>0</v>
      </c>
      <c r="H229" s="519">
        <v>0</v>
      </c>
      <c r="I229" s="519">
        <v>1</v>
      </c>
      <c r="J229" s="519">
        <v>1</v>
      </c>
    </row>
    <row r="230" spans="1:10" x14ac:dyDescent="0.25">
      <c r="A230" s="519">
        <v>229</v>
      </c>
      <c r="B230" s="519" t="s">
        <v>1208</v>
      </c>
      <c r="C230" s="519" t="s">
        <v>329</v>
      </c>
      <c r="D230" s="519" t="s">
        <v>905</v>
      </c>
      <c r="E230" s="519" t="s">
        <v>16</v>
      </c>
      <c r="F230" s="713" t="s">
        <v>20</v>
      </c>
      <c r="G230" s="519">
        <v>30</v>
      </c>
      <c r="H230" s="519">
        <v>25</v>
      </c>
      <c r="I230" s="519">
        <v>19</v>
      </c>
      <c r="J230" s="519">
        <v>1</v>
      </c>
    </row>
    <row r="231" spans="1:10" x14ac:dyDescent="0.25">
      <c r="A231" s="519">
        <v>230</v>
      </c>
      <c r="B231" s="519" t="s">
        <v>1206</v>
      </c>
      <c r="C231" s="519" t="s">
        <v>366</v>
      </c>
      <c r="D231" s="519" t="s">
        <v>464</v>
      </c>
      <c r="E231" s="519" t="s">
        <v>13</v>
      </c>
      <c r="F231" s="713" t="s">
        <v>20</v>
      </c>
      <c r="G231" s="519">
        <v>22</v>
      </c>
      <c r="H231" s="519">
        <v>20</v>
      </c>
      <c r="I231" s="519">
        <v>19</v>
      </c>
      <c r="J231" s="519">
        <v>1</v>
      </c>
    </row>
    <row r="232" spans="1:10" x14ac:dyDescent="0.25">
      <c r="A232" s="519">
        <v>231</v>
      </c>
      <c r="B232" s="519" t="s">
        <v>1206</v>
      </c>
      <c r="C232" s="519" t="s">
        <v>366</v>
      </c>
      <c r="D232" s="519" t="s">
        <v>870</v>
      </c>
      <c r="E232" s="519" t="s">
        <v>13</v>
      </c>
      <c r="F232" s="713" t="s">
        <v>20</v>
      </c>
      <c r="G232" s="519">
        <v>71</v>
      </c>
      <c r="H232" s="519">
        <v>63</v>
      </c>
      <c r="I232" s="519">
        <v>48</v>
      </c>
      <c r="J232" s="519">
        <v>2</v>
      </c>
    </row>
    <row r="233" spans="1:10" x14ac:dyDescent="0.25">
      <c r="A233" s="519">
        <v>232</v>
      </c>
      <c r="B233" s="519" t="s">
        <v>1206</v>
      </c>
      <c r="C233" s="519" t="s">
        <v>366</v>
      </c>
      <c r="D233" s="519" t="s">
        <v>465</v>
      </c>
      <c r="E233" s="519" t="s">
        <v>13</v>
      </c>
      <c r="F233" s="713" t="s">
        <v>20</v>
      </c>
      <c r="G233" s="519">
        <v>117</v>
      </c>
      <c r="H233" s="519">
        <v>103</v>
      </c>
      <c r="I233" s="519">
        <v>144</v>
      </c>
      <c r="J233" s="519">
        <v>6</v>
      </c>
    </row>
    <row r="234" spans="1:10" x14ac:dyDescent="0.25">
      <c r="A234" s="519">
        <v>233</v>
      </c>
      <c r="B234" s="519" t="s">
        <v>1206</v>
      </c>
      <c r="C234" s="519" t="s">
        <v>366</v>
      </c>
      <c r="D234" s="519" t="s">
        <v>458</v>
      </c>
      <c r="E234" s="519" t="s">
        <v>13</v>
      </c>
      <c r="F234" s="713" t="s">
        <v>20</v>
      </c>
      <c r="G234" s="519">
        <v>221</v>
      </c>
      <c r="H234" s="519">
        <v>199</v>
      </c>
      <c r="I234" s="519">
        <v>269</v>
      </c>
      <c r="J234" s="519">
        <v>9</v>
      </c>
    </row>
    <row r="235" spans="1:10" x14ac:dyDescent="0.25">
      <c r="A235" s="519">
        <v>234</v>
      </c>
      <c r="B235" s="519" t="s">
        <v>1206</v>
      </c>
      <c r="C235" s="519" t="s">
        <v>1081</v>
      </c>
      <c r="D235" s="519" t="s">
        <v>459</v>
      </c>
      <c r="E235" s="519" t="s">
        <v>13</v>
      </c>
      <c r="F235" s="713" t="s">
        <v>20</v>
      </c>
      <c r="G235" s="519">
        <v>17</v>
      </c>
      <c r="H235" s="519">
        <v>15</v>
      </c>
      <c r="I235" s="519">
        <v>10</v>
      </c>
      <c r="J235" s="519">
        <v>1</v>
      </c>
    </row>
    <row r="236" spans="1:10" x14ac:dyDescent="0.25">
      <c r="A236" s="519">
        <v>235</v>
      </c>
      <c r="B236" s="519" t="s">
        <v>1206</v>
      </c>
      <c r="C236" s="519" t="s">
        <v>366</v>
      </c>
      <c r="D236" s="519" t="s">
        <v>248</v>
      </c>
      <c r="E236" s="519" t="s">
        <v>16</v>
      </c>
      <c r="F236" s="713" t="s">
        <v>20</v>
      </c>
      <c r="G236" s="519">
        <v>5</v>
      </c>
      <c r="H236" s="519">
        <v>5</v>
      </c>
      <c r="I236" s="519">
        <v>7</v>
      </c>
      <c r="J236" s="519">
        <v>0</v>
      </c>
    </row>
    <row r="237" spans="1:10" x14ac:dyDescent="0.25">
      <c r="A237" s="519">
        <v>236</v>
      </c>
      <c r="B237" s="519" t="s">
        <v>1206</v>
      </c>
      <c r="C237" s="519" t="s">
        <v>366</v>
      </c>
      <c r="D237" s="519" t="s">
        <v>866</v>
      </c>
      <c r="E237" s="519" t="s">
        <v>16</v>
      </c>
      <c r="F237" s="713" t="s">
        <v>20</v>
      </c>
      <c r="G237" s="519">
        <v>167</v>
      </c>
      <c r="H237" s="519">
        <v>153</v>
      </c>
      <c r="I237" s="519">
        <v>146</v>
      </c>
      <c r="J237" s="519">
        <v>11</v>
      </c>
    </row>
    <row r="238" spans="1:10" x14ac:dyDescent="0.25">
      <c r="A238" s="519">
        <v>237</v>
      </c>
      <c r="B238" s="519" t="s">
        <v>1206</v>
      </c>
      <c r="C238" s="519" t="s">
        <v>366</v>
      </c>
      <c r="D238" s="519" t="s">
        <v>926</v>
      </c>
      <c r="E238" s="519" t="s">
        <v>14</v>
      </c>
      <c r="F238" s="713" t="s">
        <v>20</v>
      </c>
      <c r="G238" s="519">
        <v>175</v>
      </c>
      <c r="H238" s="519">
        <v>147</v>
      </c>
      <c r="I238" s="519">
        <v>137</v>
      </c>
      <c r="J238" s="519">
        <v>14</v>
      </c>
    </row>
    <row r="239" spans="1:10" x14ac:dyDescent="0.25">
      <c r="A239" s="519">
        <v>238</v>
      </c>
      <c r="B239" s="519" t="s">
        <v>1206</v>
      </c>
      <c r="C239" s="519" t="s">
        <v>366</v>
      </c>
      <c r="D239" s="519" t="s">
        <v>931</v>
      </c>
      <c r="E239" s="519" t="s">
        <v>14</v>
      </c>
      <c r="F239" s="713" t="s">
        <v>20</v>
      </c>
      <c r="G239" s="519">
        <v>10</v>
      </c>
      <c r="H239" s="519">
        <v>9</v>
      </c>
      <c r="I239" s="519">
        <v>54</v>
      </c>
      <c r="J239" s="519">
        <v>1</v>
      </c>
    </row>
    <row r="240" spans="1:10" x14ac:dyDescent="0.25">
      <c r="A240" s="519">
        <v>239</v>
      </c>
      <c r="B240" s="519" t="s">
        <v>1206</v>
      </c>
      <c r="C240" s="519" t="s">
        <v>366</v>
      </c>
      <c r="D240" s="519" t="s">
        <v>919</v>
      </c>
      <c r="E240" s="519" t="s">
        <v>495</v>
      </c>
      <c r="F240" s="713" t="s">
        <v>20</v>
      </c>
      <c r="G240" s="519">
        <v>38</v>
      </c>
      <c r="H240" s="519">
        <v>34</v>
      </c>
      <c r="I240" s="519">
        <v>15</v>
      </c>
      <c r="J240" s="519">
        <v>2</v>
      </c>
    </row>
    <row r="241" spans="1:10" x14ac:dyDescent="0.25">
      <c r="A241" s="519">
        <v>240</v>
      </c>
      <c r="B241" s="519" t="s">
        <v>1206</v>
      </c>
      <c r="C241" s="519" t="s">
        <v>366</v>
      </c>
      <c r="D241" s="519" t="s">
        <v>958</v>
      </c>
      <c r="E241" s="519" t="s">
        <v>14</v>
      </c>
      <c r="F241" s="713" t="s">
        <v>20</v>
      </c>
      <c r="G241" s="519">
        <v>558</v>
      </c>
      <c r="H241" s="519">
        <v>474</v>
      </c>
      <c r="I241" s="519">
        <v>565</v>
      </c>
      <c r="J241" s="519">
        <v>60</v>
      </c>
    </row>
    <row r="242" spans="1:10" x14ac:dyDescent="0.25">
      <c r="A242" s="519">
        <v>241</v>
      </c>
      <c r="B242" s="519" t="s">
        <v>1206</v>
      </c>
      <c r="C242" s="519" t="s">
        <v>366</v>
      </c>
      <c r="D242" s="519" t="s">
        <v>953</v>
      </c>
      <c r="E242" s="519" t="s">
        <v>16</v>
      </c>
      <c r="F242" s="713" t="s">
        <v>20</v>
      </c>
      <c r="G242" s="519">
        <v>77</v>
      </c>
      <c r="H242" s="519">
        <v>63</v>
      </c>
      <c r="I242" s="519">
        <v>94</v>
      </c>
      <c r="J242" s="519">
        <v>8</v>
      </c>
    </row>
    <row r="243" spans="1:10" x14ac:dyDescent="0.25">
      <c r="A243" s="519">
        <v>242</v>
      </c>
      <c r="B243" s="519" t="s">
        <v>1206</v>
      </c>
      <c r="C243" s="519" t="s">
        <v>366</v>
      </c>
      <c r="D243" s="519" t="s">
        <v>1051</v>
      </c>
      <c r="E243" s="519" t="s">
        <v>13</v>
      </c>
      <c r="F243" s="713" t="s">
        <v>20</v>
      </c>
      <c r="G243" s="519">
        <v>2</v>
      </c>
      <c r="H243" s="519">
        <v>1</v>
      </c>
      <c r="I243" s="519">
        <v>5</v>
      </c>
      <c r="J243" s="519">
        <v>0</v>
      </c>
    </row>
    <row r="244" spans="1:10" x14ac:dyDescent="0.25">
      <c r="A244" s="519">
        <v>243</v>
      </c>
      <c r="B244" s="519" t="s">
        <v>1206</v>
      </c>
      <c r="C244" s="519" t="s">
        <v>366</v>
      </c>
      <c r="D244" s="519" t="s">
        <v>878</v>
      </c>
      <c r="E244" s="519" t="s">
        <v>434</v>
      </c>
      <c r="F244" s="713" t="s">
        <v>20</v>
      </c>
      <c r="G244" s="519">
        <v>410</v>
      </c>
      <c r="H244" s="519">
        <v>361</v>
      </c>
      <c r="I244" s="519">
        <v>475</v>
      </c>
      <c r="J244" s="519">
        <v>35</v>
      </c>
    </row>
    <row r="245" spans="1:10" x14ac:dyDescent="0.25">
      <c r="A245" s="519">
        <v>244</v>
      </c>
      <c r="B245" s="519" t="s">
        <v>1206</v>
      </c>
      <c r="C245" s="519" t="s">
        <v>366</v>
      </c>
      <c r="D245" s="519" t="s">
        <v>1037</v>
      </c>
      <c r="E245" s="519" t="s">
        <v>434</v>
      </c>
      <c r="F245" s="713" t="s">
        <v>20</v>
      </c>
      <c r="G245" s="519">
        <v>21</v>
      </c>
      <c r="H245" s="519">
        <v>18</v>
      </c>
      <c r="I245" s="519">
        <v>53</v>
      </c>
      <c r="J245" s="519">
        <v>4</v>
      </c>
    </row>
    <row r="246" spans="1:10" x14ac:dyDescent="0.25">
      <c r="A246" s="519">
        <v>245</v>
      </c>
      <c r="B246" s="519" t="s">
        <v>1206</v>
      </c>
      <c r="C246" s="519" t="s">
        <v>366</v>
      </c>
      <c r="D246" s="519" t="s">
        <v>927</v>
      </c>
      <c r="E246" s="519" t="s">
        <v>14</v>
      </c>
      <c r="F246" s="713" t="s">
        <v>20</v>
      </c>
      <c r="G246" s="519">
        <v>105</v>
      </c>
      <c r="H246" s="519">
        <v>89</v>
      </c>
      <c r="I246" s="519">
        <v>134</v>
      </c>
      <c r="J246" s="519">
        <v>8</v>
      </c>
    </row>
    <row r="247" spans="1:10" x14ac:dyDescent="0.25">
      <c r="A247" s="519">
        <v>246</v>
      </c>
      <c r="B247" s="519" t="s">
        <v>1206</v>
      </c>
      <c r="C247" s="519" t="s">
        <v>366</v>
      </c>
      <c r="D247" s="519" t="s">
        <v>940</v>
      </c>
      <c r="E247" s="519" t="s">
        <v>495</v>
      </c>
      <c r="F247" s="713" t="s">
        <v>20</v>
      </c>
      <c r="G247" s="519">
        <v>42</v>
      </c>
      <c r="H247" s="519">
        <v>37</v>
      </c>
      <c r="I247" s="519">
        <v>37</v>
      </c>
      <c r="J247" s="519">
        <v>0</v>
      </c>
    </row>
    <row r="248" spans="1:10" x14ac:dyDescent="0.25">
      <c r="A248" s="519">
        <v>247</v>
      </c>
      <c r="B248" s="519" t="s">
        <v>1206</v>
      </c>
      <c r="C248" s="519" t="s">
        <v>366</v>
      </c>
      <c r="D248" s="519" t="s">
        <v>924</v>
      </c>
      <c r="E248" s="519" t="s">
        <v>16</v>
      </c>
      <c r="F248" s="713" t="s">
        <v>20</v>
      </c>
      <c r="G248" s="519">
        <v>1</v>
      </c>
      <c r="H248" s="519">
        <v>1</v>
      </c>
      <c r="I248" s="519">
        <v>1</v>
      </c>
      <c r="J248" s="519">
        <v>0</v>
      </c>
    </row>
    <row r="249" spans="1:10" x14ac:dyDescent="0.25">
      <c r="A249" s="519">
        <v>248</v>
      </c>
      <c r="B249" s="519" t="s">
        <v>1206</v>
      </c>
      <c r="C249" s="519" t="s">
        <v>366</v>
      </c>
      <c r="D249" s="519" t="s">
        <v>906</v>
      </c>
      <c r="E249" s="519" t="s">
        <v>14</v>
      </c>
      <c r="F249" s="713" t="s">
        <v>20</v>
      </c>
      <c r="G249" s="519">
        <v>390</v>
      </c>
      <c r="H249" s="519">
        <v>326</v>
      </c>
      <c r="I249" s="519">
        <v>387</v>
      </c>
      <c r="J249" s="519">
        <v>39</v>
      </c>
    </row>
    <row r="250" spans="1:10" x14ac:dyDescent="0.25">
      <c r="A250" s="519">
        <v>249</v>
      </c>
      <c r="B250" s="519" t="s">
        <v>1206</v>
      </c>
      <c r="C250" s="519" t="s">
        <v>366</v>
      </c>
      <c r="D250" s="519" t="s">
        <v>941</v>
      </c>
      <c r="E250" s="519" t="s">
        <v>13</v>
      </c>
      <c r="F250" s="713" t="s">
        <v>20</v>
      </c>
      <c r="G250" s="519">
        <v>169</v>
      </c>
      <c r="H250" s="519">
        <v>141</v>
      </c>
      <c r="I250" s="519">
        <v>202</v>
      </c>
      <c r="J250" s="519">
        <v>17</v>
      </c>
    </row>
    <row r="251" spans="1:10" x14ac:dyDescent="0.25">
      <c r="A251" s="519">
        <v>250</v>
      </c>
      <c r="B251" s="519" t="s">
        <v>1206</v>
      </c>
      <c r="C251" s="519" t="s">
        <v>366</v>
      </c>
      <c r="D251" s="519" t="s">
        <v>894</v>
      </c>
      <c r="E251" s="519" t="s">
        <v>14</v>
      </c>
      <c r="F251" s="713" t="s">
        <v>20</v>
      </c>
      <c r="G251" s="519">
        <v>3</v>
      </c>
      <c r="H251" s="519">
        <v>3</v>
      </c>
      <c r="I251" s="519">
        <v>2</v>
      </c>
      <c r="J251" s="519">
        <v>0</v>
      </c>
    </row>
    <row r="252" spans="1:10" x14ac:dyDescent="0.25">
      <c r="A252" s="519">
        <v>251</v>
      </c>
      <c r="B252" s="519" t="s">
        <v>1206</v>
      </c>
      <c r="C252" s="519" t="s">
        <v>366</v>
      </c>
      <c r="D252" s="519" t="s">
        <v>874</v>
      </c>
      <c r="E252" s="519" t="s">
        <v>434</v>
      </c>
      <c r="F252" s="713" t="s">
        <v>20</v>
      </c>
      <c r="G252" s="519">
        <v>278</v>
      </c>
      <c r="H252" s="519">
        <v>236</v>
      </c>
      <c r="I252" s="519">
        <v>297</v>
      </c>
      <c r="J252" s="519">
        <v>27</v>
      </c>
    </row>
    <row r="253" spans="1:10" x14ac:dyDescent="0.25">
      <c r="A253" s="519">
        <v>252</v>
      </c>
      <c r="B253" s="519" t="s">
        <v>1206</v>
      </c>
      <c r="C253" s="519" t="s">
        <v>366</v>
      </c>
      <c r="D253" s="519" t="s">
        <v>950</v>
      </c>
      <c r="E253" s="519" t="s">
        <v>16</v>
      </c>
      <c r="F253" s="713" t="s">
        <v>20</v>
      </c>
      <c r="G253" s="519">
        <v>4</v>
      </c>
      <c r="H253" s="519">
        <v>2</v>
      </c>
      <c r="I253" s="519">
        <v>0</v>
      </c>
      <c r="J253" s="519">
        <v>0</v>
      </c>
    </row>
    <row r="254" spans="1:10" x14ac:dyDescent="0.25">
      <c r="A254" s="519">
        <v>253</v>
      </c>
      <c r="B254" s="519" t="s">
        <v>1206</v>
      </c>
      <c r="C254" s="519" t="s">
        <v>366</v>
      </c>
      <c r="D254" s="519" t="s">
        <v>937</v>
      </c>
      <c r="E254" s="519" t="s">
        <v>14</v>
      </c>
      <c r="F254" s="713" t="s">
        <v>20</v>
      </c>
      <c r="G254" s="519">
        <v>19</v>
      </c>
      <c r="H254" s="519">
        <v>16</v>
      </c>
      <c r="I254" s="519">
        <v>26</v>
      </c>
      <c r="J254" s="519">
        <v>4</v>
      </c>
    </row>
    <row r="255" spans="1:10" x14ac:dyDescent="0.25">
      <c r="A255" s="519">
        <v>254</v>
      </c>
      <c r="B255" s="519" t="s">
        <v>1206</v>
      </c>
      <c r="C255" s="519" t="s">
        <v>366</v>
      </c>
      <c r="D255" s="519" t="s">
        <v>1082</v>
      </c>
      <c r="E255" s="519" t="s">
        <v>16</v>
      </c>
      <c r="F255" s="713" t="s">
        <v>20</v>
      </c>
      <c r="G255" s="519">
        <v>19</v>
      </c>
      <c r="H255" s="519">
        <v>4</v>
      </c>
      <c r="I255" s="519">
        <v>14</v>
      </c>
      <c r="J255" s="519">
        <v>3</v>
      </c>
    </row>
    <row r="256" spans="1:10" x14ac:dyDescent="0.25">
      <c r="A256" s="519">
        <v>255</v>
      </c>
      <c r="B256" s="519" t="s">
        <v>1206</v>
      </c>
      <c r="C256" s="519" t="s">
        <v>366</v>
      </c>
      <c r="D256" s="519" t="s">
        <v>492</v>
      </c>
      <c r="E256" s="519" t="s">
        <v>16</v>
      </c>
      <c r="F256" s="713" t="s">
        <v>20</v>
      </c>
      <c r="G256" s="519">
        <v>19</v>
      </c>
      <c r="H256" s="519">
        <v>19</v>
      </c>
      <c r="I256" s="519">
        <v>11</v>
      </c>
      <c r="J256" s="519">
        <v>0</v>
      </c>
    </row>
    <row r="257" spans="1:10" x14ac:dyDescent="0.25">
      <c r="A257" s="519">
        <v>256</v>
      </c>
      <c r="B257" s="519" t="s">
        <v>1207</v>
      </c>
      <c r="C257" s="519" t="s">
        <v>366</v>
      </c>
      <c r="D257" s="519" t="s">
        <v>864</v>
      </c>
      <c r="E257" s="519" t="s">
        <v>16</v>
      </c>
      <c r="F257" s="713" t="s">
        <v>15</v>
      </c>
      <c r="G257" s="519">
        <v>13</v>
      </c>
      <c r="H257" s="519">
        <v>9</v>
      </c>
      <c r="I257" s="519">
        <v>9</v>
      </c>
      <c r="J257" s="519">
        <v>7</v>
      </c>
    </row>
    <row r="258" spans="1:10" x14ac:dyDescent="0.25">
      <c r="A258" s="519">
        <v>257</v>
      </c>
      <c r="B258" s="519" t="s">
        <v>1207</v>
      </c>
      <c r="C258" s="519" t="s">
        <v>366</v>
      </c>
      <c r="D258" s="519" t="s">
        <v>861</v>
      </c>
      <c r="E258" s="519" t="s">
        <v>14</v>
      </c>
      <c r="F258" s="713" t="s">
        <v>15</v>
      </c>
      <c r="G258" s="519">
        <v>18</v>
      </c>
      <c r="H258" s="519">
        <v>14</v>
      </c>
      <c r="I258" s="519">
        <v>19</v>
      </c>
      <c r="J258" s="519">
        <v>7</v>
      </c>
    </row>
    <row r="259" spans="1:10" x14ac:dyDescent="0.25">
      <c r="A259" s="519">
        <v>258</v>
      </c>
      <c r="B259" s="519" t="s">
        <v>1207</v>
      </c>
      <c r="C259" s="519" t="s">
        <v>366</v>
      </c>
      <c r="D259" s="519" t="s">
        <v>930</v>
      </c>
      <c r="E259" s="519" t="s">
        <v>14</v>
      </c>
      <c r="F259" s="713" t="s">
        <v>15</v>
      </c>
      <c r="G259" s="519">
        <v>4</v>
      </c>
      <c r="H259" s="519">
        <v>2</v>
      </c>
      <c r="I259" s="519">
        <v>4</v>
      </c>
      <c r="J259" s="519">
        <v>2</v>
      </c>
    </row>
    <row r="260" spans="1:10" x14ac:dyDescent="0.25">
      <c r="A260" s="519">
        <v>259</v>
      </c>
      <c r="B260" s="519" t="s">
        <v>1207</v>
      </c>
      <c r="C260" s="519" t="s">
        <v>366</v>
      </c>
      <c r="D260" s="519" t="s">
        <v>918</v>
      </c>
      <c r="E260" s="519" t="s">
        <v>495</v>
      </c>
      <c r="F260" s="713" t="s">
        <v>15</v>
      </c>
      <c r="G260" s="519">
        <v>3</v>
      </c>
      <c r="H260" s="519">
        <v>3</v>
      </c>
      <c r="I260" s="519">
        <v>0</v>
      </c>
      <c r="J260" s="519">
        <v>0</v>
      </c>
    </row>
    <row r="261" spans="1:10" x14ac:dyDescent="0.25">
      <c r="A261" s="519">
        <v>260</v>
      </c>
      <c r="B261" s="519" t="s">
        <v>1207</v>
      </c>
      <c r="C261" s="519" t="s">
        <v>366</v>
      </c>
      <c r="D261" s="519" t="s">
        <v>1000</v>
      </c>
      <c r="E261" s="519" t="s">
        <v>14</v>
      </c>
      <c r="F261" s="713" t="s">
        <v>15</v>
      </c>
      <c r="G261" s="519">
        <v>0</v>
      </c>
      <c r="H261" s="519">
        <v>0</v>
      </c>
      <c r="I261" s="519">
        <v>1</v>
      </c>
      <c r="J261" s="519">
        <v>0</v>
      </c>
    </row>
    <row r="262" spans="1:10" x14ac:dyDescent="0.25">
      <c r="A262" s="519">
        <v>261</v>
      </c>
      <c r="B262" s="519" t="s">
        <v>1207</v>
      </c>
      <c r="C262" s="519" t="s">
        <v>366</v>
      </c>
      <c r="D262" s="519" t="s">
        <v>955</v>
      </c>
      <c r="E262" s="519" t="s">
        <v>495</v>
      </c>
      <c r="F262" s="713" t="s">
        <v>15</v>
      </c>
      <c r="G262" s="519">
        <v>28</v>
      </c>
      <c r="H262" s="519">
        <v>18</v>
      </c>
      <c r="I262" s="519">
        <v>68</v>
      </c>
      <c r="J262" s="519">
        <v>17</v>
      </c>
    </row>
    <row r="263" spans="1:10" x14ac:dyDescent="0.25">
      <c r="A263" s="519">
        <v>262</v>
      </c>
      <c r="B263" s="519" t="s">
        <v>1207</v>
      </c>
      <c r="C263" s="519" t="s">
        <v>366</v>
      </c>
      <c r="D263" s="519" t="s">
        <v>493</v>
      </c>
      <c r="E263" s="519" t="s">
        <v>14</v>
      </c>
      <c r="F263" s="713" t="s">
        <v>15</v>
      </c>
      <c r="G263" s="519">
        <v>0</v>
      </c>
      <c r="H263" s="519">
        <v>0</v>
      </c>
      <c r="I263" s="519">
        <v>1</v>
      </c>
      <c r="J263" s="519">
        <v>0</v>
      </c>
    </row>
    <row r="264" spans="1:10" x14ac:dyDescent="0.25">
      <c r="A264" s="519">
        <v>263</v>
      </c>
      <c r="B264" s="519" t="s">
        <v>1207</v>
      </c>
      <c r="C264" s="519" t="s">
        <v>366</v>
      </c>
      <c r="D264" s="519" t="s">
        <v>954</v>
      </c>
      <c r="E264" s="519" t="s">
        <v>16</v>
      </c>
      <c r="F264" s="713" t="s">
        <v>15</v>
      </c>
      <c r="G264" s="519">
        <v>22</v>
      </c>
      <c r="H264" s="519">
        <v>16</v>
      </c>
      <c r="I264" s="519">
        <v>4</v>
      </c>
      <c r="J264" s="519">
        <v>5</v>
      </c>
    </row>
    <row r="265" spans="1:10" x14ac:dyDescent="0.25">
      <c r="A265" s="519">
        <v>264</v>
      </c>
      <c r="B265" s="519" t="s">
        <v>1207</v>
      </c>
      <c r="C265" s="519" t="s">
        <v>366</v>
      </c>
      <c r="D265" s="519" t="s">
        <v>938</v>
      </c>
      <c r="E265" s="519" t="s">
        <v>495</v>
      </c>
      <c r="F265" s="713" t="s">
        <v>15</v>
      </c>
      <c r="G265" s="519">
        <v>4</v>
      </c>
      <c r="H265" s="519">
        <v>2</v>
      </c>
      <c r="I265" s="519">
        <v>4</v>
      </c>
      <c r="J265" s="519">
        <v>4</v>
      </c>
    </row>
    <row r="266" spans="1:10" x14ac:dyDescent="0.25">
      <c r="A266" s="519">
        <v>265</v>
      </c>
      <c r="B266" s="519" t="s">
        <v>1207</v>
      </c>
      <c r="C266" s="519" t="s">
        <v>366</v>
      </c>
      <c r="D266" s="519" t="s">
        <v>928</v>
      </c>
      <c r="E266" s="519" t="s">
        <v>14</v>
      </c>
      <c r="F266" s="713" t="s">
        <v>15</v>
      </c>
      <c r="G266" s="519">
        <v>2</v>
      </c>
      <c r="H266" s="519">
        <v>0</v>
      </c>
      <c r="I266" s="519">
        <v>7</v>
      </c>
      <c r="J266" s="519">
        <v>3</v>
      </c>
    </row>
    <row r="267" spans="1:10" x14ac:dyDescent="0.25">
      <c r="A267" s="519">
        <v>266</v>
      </c>
      <c r="B267" s="519" t="s">
        <v>1207</v>
      </c>
      <c r="C267" s="519" t="s">
        <v>366</v>
      </c>
      <c r="D267" s="519" t="s">
        <v>876</v>
      </c>
      <c r="E267" s="519" t="s">
        <v>434</v>
      </c>
      <c r="F267" s="713" t="s">
        <v>15</v>
      </c>
      <c r="G267" s="519">
        <v>21</v>
      </c>
      <c r="H267" s="519">
        <v>13</v>
      </c>
      <c r="I267" s="519">
        <v>34</v>
      </c>
      <c r="J267" s="519">
        <v>16</v>
      </c>
    </row>
    <row r="268" spans="1:10" x14ac:dyDescent="0.25">
      <c r="A268" s="519">
        <v>267</v>
      </c>
      <c r="B268" s="519" t="s">
        <v>1207</v>
      </c>
      <c r="C268" s="519" t="s">
        <v>366</v>
      </c>
      <c r="D268" s="519" t="s">
        <v>935</v>
      </c>
      <c r="E268" s="519" t="s">
        <v>495</v>
      </c>
      <c r="F268" s="713" t="s">
        <v>15</v>
      </c>
      <c r="G268" s="519">
        <v>1</v>
      </c>
      <c r="H268" s="519">
        <v>1</v>
      </c>
      <c r="I268" s="519">
        <v>0</v>
      </c>
      <c r="J268" s="519">
        <v>0</v>
      </c>
    </row>
    <row r="269" spans="1:10" x14ac:dyDescent="0.25">
      <c r="A269" s="519">
        <v>268</v>
      </c>
      <c r="B269" s="519" t="s">
        <v>1207</v>
      </c>
      <c r="C269" s="519" t="s">
        <v>366</v>
      </c>
      <c r="D269" s="519" t="s">
        <v>909</v>
      </c>
      <c r="E269" s="519" t="s">
        <v>14</v>
      </c>
      <c r="F269" s="713" t="s">
        <v>15</v>
      </c>
      <c r="G269" s="519">
        <v>20</v>
      </c>
      <c r="H269" s="519">
        <v>14</v>
      </c>
      <c r="I269" s="519">
        <v>17</v>
      </c>
      <c r="J269" s="519">
        <v>10</v>
      </c>
    </row>
    <row r="270" spans="1:10" x14ac:dyDescent="0.25">
      <c r="A270" s="519">
        <v>269</v>
      </c>
      <c r="B270" s="519" t="s">
        <v>1207</v>
      </c>
      <c r="C270" s="519" t="s">
        <v>366</v>
      </c>
      <c r="D270" s="519" t="s">
        <v>943</v>
      </c>
      <c r="E270" s="519" t="s">
        <v>13</v>
      </c>
      <c r="F270" s="713" t="s">
        <v>15</v>
      </c>
      <c r="G270" s="519">
        <v>10</v>
      </c>
      <c r="H270" s="519">
        <v>9</v>
      </c>
      <c r="I270" s="519">
        <v>28</v>
      </c>
      <c r="J270" s="519">
        <v>3</v>
      </c>
    </row>
    <row r="271" spans="1:10" x14ac:dyDescent="0.25">
      <c r="A271" s="519">
        <v>270</v>
      </c>
      <c r="B271" s="519" t="s">
        <v>1207</v>
      </c>
      <c r="C271" s="519" t="s">
        <v>366</v>
      </c>
      <c r="D271" s="519" t="s">
        <v>1059</v>
      </c>
      <c r="E271" s="519" t="s">
        <v>14</v>
      </c>
      <c r="F271" s="713" t="s">
        <v>15</v>
      </c>
      <c r="G271" s="519">
        <v>0</v>
      </c>
      <c r="H271" s="519">
        <v>0</v>
      </c>
      <c r="I271" s="519">
        <v>1</v>
      </c>
      <c r="J271" s="519">
        <v>0</v>
      </c>
    </row>
    <row r="272" spans="1:10" x14ac:dyDescent="0.25">
      <c r="A272" s="519">
        <v>271</v>
      </c>
      <c r="B272" s="519" t="s">
        <v>1208</v>
      </c>
      <c r="C272" s="519" t="s">
        <v>366</v>
      </c>
      <c r="D272" s="519" t="s">
        <v>905</v>
      </c>
      <c r="E272" s="519" t="s">
        <v>16</v>
      </c>
      <c r="F272" s="713" t="s">
        <v>20</v>
      </c>
      <c r="G272" s="519">
        <v>57</v>
      </c>
      <c r="H272" s="519">
        <v>45</v>
      </c>
      <c r="I272" s="519">
        <v>41</v>
      </c>
      <c r="J272" s="519">
        <v>7</v>
      </c>
    </row>
    <row r="273" spans="1:10" x14ac:dyDescent="0.25">
      <c r="A273" s="519">
        <v>272</v>
      </c>
      <c r="B273" s="519" t="s">
        <v>1207</v>
      </c>
      <c r="C273" s="519" t="s">
        <v>330</v>
      </c>
      <c r="D273" s="519" t="s">
        <v>861</v>
      </c>
      <c r="E273" s="519" t="s">
        <v>14</v>
      </c>
      <c r="F273" s="713" t="s">
        <v>15</v>
      </c>
      <c r="G273" s="519">
        <v>2</v>
      </c>
      <c r="H273" s="519">
        <v>2</v>
      </c>
      <c r="I273" s="519">
        <v>4</v>
      </c>
      <c r="J273" s="519">
        <v>2</v>
      </c>
    </row>
    <row r="274" spans="1:10" x14ac:dyDescent="0.25">
      <c r="A274" s="519">
        <v>273</v>
      </c>
      <c r="B274" s="519" t="s">
        <v>1207</v>
      </c>
      <c r="C274" s="519" t="s">
        <v>330</v>
      </c>
      <c r="D274" s="519" t="s">
        <v>1000</v>
      </c>
      <c r="E274" s="519" t="s">
        <v>14</v>
      </c>
      <c r="F274" s="713" t="s">
        <v>15</v>
      </c>
      <c r="G274" s="519">
        <v>1</v>
      </c>
      <c r="H274" s="519">
        <v>1</v>
      </c>
      <c r="I274" s="519">
        <v>0</v>
      </c>
      <c r="J274" s="519">
        <v>0</v>
      </c>
    </row>
    <row r="275" spans="1:10" x14ac:dyDescent="0.25">
      <c r="A275" s="519">
        <v>274</v>
      </c>
      <c r="B275" s="519" t="s">
        <v>1207</v>
      </c>
      <c r="C275" s="519" t="s">
        <v>330</v>
      </c>
      <c r="D275" s="519" t="s">
        <v>994</v>
      </c>
      <c r="E275" s="519" t="s">
        <v>495</v>
      </c>
      <c r="F275" s="713" t="s">
        <v>15</v>
      </c>
      <c r="G275" s="519">
        <v>1</v>
      </c>
      <c r="H275" s="519">
        <v>1</v>
      </c>
      <c r="I275" s="519">
        <v>0</v>
      </c>
      <c r="J275" s="519">
        <v>0</v>
      </c>
    </row>
    <row r="276" spans="1:10" x14ac:dyDescent="0.25">
      <c r="A276" s="519">
        <v>275</v>
      </c>
      <c r="B276" s="519" t="s">
        <v>1207</v>
      </c>
      <c r="C276" s="519" t="s">
        <v>330</v>
      </c>
      <c r="D276" s="519" t="s">
        <v>897</v>
      </c>
      <c r="E276" s="519" t="s">
        <v>14</v>
      </c>
      <c r="F276" s="713" t="s">
        <v>15</v>
      </c>
      <c r="G276" s="519">
        <v>3</v>
      </c>
      <c r="H276" s="519">
        <v>2</v>
      </c>
      <c r="I276" s="519">
        <v>2</v>
      </c>
      <c r="J276" s="519">
        <v>1</v>
      </c>
    </row>
    <row r="277" spans="1:10" x14ac:dyDescent="0.25">
      <c r="A277" s="519">
        <v>276</v>
      </c>
      <c r="B277" s="519" t="s">
        <v>1207</v>
      </c>
      <c r="C277" s="519" t="s">
        <v>330</v>
      </c>
      <c r="D277" s="519" t="s">
        <v>876</v>
      </c>
      <c r="E277" s="519" t="s">
        <v>434</v>
      </c>
      <c r="F277" s="713" t="s">
        <v>15</v>
      </c>
      <c r="G277" s="519">
        <v>6</v>
      </c>
      <c r="H277" s="519">
        <v>4</v>
      </c>
      <c r="I277" s="519">
        <v>14</v>
      </c>
      <c r="J277" s="519">
        <v>2</v>
      </c>
    </row>
    <row r="278" spans="1:10" x14ac:dyDescent="0.25">
      <c r="A278" s="519">
        <v>277</v>
      </c>
      <c r="B278" s="519" t="s">
        <v>1207</v>
      </c>
      <c r="C278" s="519" t="s">
        <v>330</v>
      </c>
      <c r="D278" s="519" t="s">
        <v>909</v>
      </c>
      <c r="E278" s="519" t="s">
        <v>14</v>
      </c>
      <c r="F278" s="713" t="s">
        <v>15</v>
      </c>
      <c r="G278" s="519">
        <v>1</v>
      </c>
      <c r="H278" s="519">
        <v>1</v>
      </c>
      <c r="I278" s="519">
        <v>1</v>
      </c>
      <c r="J278" s="519">
        <v>0</v>
      </c>
    </row>
    <row r="279" spans="1:10" x14ac:dyDescent="0.25">
      <c r="A279" s="519">
        <v>278</v>
      </c>
      <c r="B279" s="519" t="s">
        <v>1207</v>
      </c>
      <c r="C279" s="519" t="s">
        <v>331</v>
      </c>
      <c r="D279" s="519" t="s">
        <v>897</v>
      </c>
      <c r="E279" s="519" t="s">
        <v>14</v>
      </c>
      <c r="F279" s="713" t="s">
        <v>15</v>
      </c>
      <c r="G279" s="519">
        <v>1</v>
      </c>
      <c r="H279" s="519">
        <v>1</v>
      </c>
      <c r="I279" s="519">
        <v>5</v>
      </c>
      <c r="J279" s="519">
        <v>0</v>
      </c>
    </row>
    <row r="280" spans="1:10" x14ac:dyDescent="0.25">
      <c r="A280" s="519">
        <v>279</v>
      </c>
      <c r="B280" s="519" t="s">
        <v>1207</v>
      </c>
      <c r="C280" s="519" t="s">
        <v>331</v>
      </c>
      <c r="D280" s="519" t="s">
        <v>876</v>
      </c>
      <c r="E280" s="519" t="s">
        <v>434</v>
      </c>
      <c r="F280" s="713" t="s">
        <v>15</v>
      </c>
      <c r="G280" s="519">
        <v>10</v>
      </c>
      <c r="H280" s="519">
        <v>7</v>
      </c>
      <c r="I280" s="519">
        <v>7</v>
      </c>
      <c r="J280" s="519">
        <v>3</v>
      </c>
    </row>
    <row r="281" spans="1:10" x14ac:dyDescent="0.25">
      <c r="A281" s="519">
        <v>280</v>
      </c>
      <c r="B281" s="519" t="s">
        <v>1207</v>
      </c>
      <c r="C281" s="519" t="s">
        <v>331</v>
      </c>
      <c r="D281" s="519" t="s">
        <v>909</v>
      </c>
      <c r="E281" s="519" t="s">
        <v>14</v>
      </c>
      <c r="F281" s="713" t="s">
        <v>15</v>
      </c>
      <c r="G281" s="519">
        <v>12</v>
      </c>
      <c r="H281" s="519">
        <v>8</v>
      </c>
      <c r="I281" s="519">
        <v>11</v>
      </c>
      <c r="J281" s="519">
        <v>10</v>
      </c>
    </row>
    <row r="282" spans="1:10" x14ac:dyDescent="0.25">
      <c r="A282" s="519">
        <v>281</v>
      </c>
      <c r="B282" s="519" t="s">
        <v>1207</v>
      </c>
      <c r="C282" s="519" t="s">
        <v>332</v>
      </c>
      <c r="D282" s="519" t="s">
        <v>897</v>
      </c>
      <c r="E282" s="519" t="s">
        <v>14</v>
      </c>
      <c r="F282" s="713" t="s">
        <v>15</v>
      </c>
      <c r="G282" s="519">
        <v>3</v>
      </c>
      <c r="H282" s="519">
        <v>2</v>
      </c>
      <c r="I282" s="519">
        <v>3</v>
      </c>
      <c r="J282" s="519">
        <v>1</v>
      </c>
    </row>
    <row r="283" spans="1:10" x14ac:dyDescent="0.25">
      <c r="A283" s="519">
        <v>282</v>
      </c>
      <c r="B283" s="519" t="s">
        <v>1207</v>
      </c>
      <c r="C283" s="519" t="s">
        <v>332</v>
      </c>
      <c r="D283" s="519" t="s">
        <v>876</v>
      </c>
      <c r="E283" s="519" t="s">
        <v>434</v>
      </c>
      <c r="F283" s="713" t="s">
        <v>15</v>
      </c>
      <c r="G283" s="519">
        <v>11</v>
      </c>
      <c r="H283" s="519">
        <v>8</v>
      </c>
      <c r="I283" s="519">
        <v>26</v>
      </c>
      <c r="J283" s="519">
        <v>8</v>
      </c>
    </row>
    <row r="284" spans="1:10" x14ac:dyDescent="0.25">
      <c r="A284" s="519">
        <v>283</v>
      </c>
      <c r="B284" s="519" t="s">
        <v>1207</v>
      </c>
      <c r="C284" s="519" t="s">
        <v>332</v>
      </c>
      <c r="D284" s="519" t="s">
        <v>909</v>
      </c>
      <c r="E284" s="519" t="s">
        <v>14</v>
      </c>
      <c r="F284" s="713" t="s">
        <v>15</v>
      </c>
      <c r="G284" s="519">
        <v>26</v>
      </c>
      <c r="H284" s="519">
        <v>23</v>
      </c>
      <c r="I284" s="519">
        <v>10</v>
      </c>
      <c r="J284" s="519">
        <v>6</v>
      </c>
    </row>
    <row r="285" spans="1:10" x14ac:dyDescent="0.25">
      <c r="A285" s="519">
        <v>284</v>
      </c>
      <c r="B285" s="519" t="s">
        <v>1207</v>
      </c>
      <c r="C285" s="519" t="s">
        <v>333</v>
      </c>
      <c r="D285" s="519" t="s">
        <v>897</v>
      </c>
      <c r="E285" s="519" t="s">
        <v>14</v>
      </c>
      <c r="F285" s="713" t="s">
        <v>15</v>
      </c>
      <c r="G285" s="519">
        <v>2</v>
      </c>
      <c r="H285" s="519">
        <v>2</v>
      </c>
      <c r="I285" s="519">
        <v>1</v>
      </c>
      <c r="J285" s="519">
        <v>0</v>
      </c>
    </row>
    <row r="286" spans="1:10" x14ac:dyDescent="0.25">
      <c r="A286" s="519">
        <v>285</v>
      </c>
      <c r="B286" s="519" t="s">
        <v>1207</v>
      </c>
      <c r="C286" s="519" t="s">
        <v>333</v>
      </c>
      <c r="D286" s="519" t="s">
        <v>876</v>
      </c>
      <c r="E286" s="519" t="s">
        <v>434</v>
      </c>
      <c r="F286" s="713" t="s">
        <v>15</v>
      </c>
      <c r="G286" s="519">
        <v>3</v>
      </c>
      <c r="H286" s="519">
        <v>3</v>
      </c>
      <c r="I286" s="519">
        <v>4</v>
      </c>
      <c r="J286" s="519">
        <v>1</v>
      </c>
    </row>
    <row r="287" spans="1:10" x14ac:dyDescent="0.25">
      <c r="A287" s="519">
        <v>286</v>
      </c>
      <c r="B287" s="519" t="s">
        <v>1206</v>
      </c>
      <c r="C287" s="519" t="s">
        <v>334</v>
      </c>
      <c r="D287" s="519" t="s">
        <v>894</v>
      </c>
      <c r="E287" s="519" t="s">
        <v>14</v>
      </c>
      <c r="F287" s="713" t="s">
        <v>20</v>
      </c>
      <c r="G287" s="519">
        <v>1</v>
      </c>
      <c r="H287" s="519">
        <v>1</v>
      </c>
      <c r="I287" s="519">
        <v>1</v>
      </c>
      <c r="J287" s="519">
        <v>0</v>
      </c>
    </row>
    <row r="288" spans="1:10" x14ac:dyDescent="0.25">
      <c r="A288" s="519">
        <v>287</v>
      </c>
      <c r="B288" s="519" t="s">
        <v>1206</v>
      </c>
      <c r="C288" s="519" t="s">
        <v>334</v>
      </c>
      <c r="D288" s="519" t="s">
        <v>874</v>
      </c>
      <c r="E288" s="519" t="s">
        <v>434</v>
      </c>
      <c r="F288" s="713" t="s">
        <v>20</v>
      </c>
      <c r="G288" s="519">
        <v>2</v>
      </c>
      <c r="H288" s="519">
        <v>0</v>
      </c>
      <c r="I288" s="519">
        <v>1</v>
      </c>
      <c r="J288" s="519">
        <v>1</v>
      </c>
    </row>
    <row r="289" spans="1:10" x14ac:dyDescent="0.25">
      <c r="A289" s="519">
        <v>288</v>
      </c>
      <c r="B289" s="519" t="s">
        <v>1207</v>
      </c>
      <c r="C289" s="519" t="s">
        <v>334</v>
      </c>
      <c r="D289" s="519" t="s">
        <v>938</v>
      </c>
      <c r="E289" s="519" t="s">
        <v>495</v>
      </c>
      <c r="F289" s="713" t="s">
        <v>15</v>
      </c>
      <c r="G289" s="519">
        <v>1</v>
      </c>
      <c r="H289" s="519">
        <v>1</v>
      </c>
      <c r="I289" s="519">
        <v>0</v>
      </c>
      <c r="J289" s="519">
        <v>0</v>
      </c>
    </row>
    <row r="290" spans="1:10" x14ac:dyDescent="0.25">
      <c r="A290" s="519">
        <v>289</v>
      </c>
      <c r="B290" s="519" t="s">
        <v>1207</v>
      </c>
      <c r="C290" s="519" t="s">
        <v>334</v>
      </c>
      <c r="D290" s="519" t="s">
        <v>928</v>
      </c>
      <c r="E290" s="519" t="s">
        <v>14</v>
      </c>
      <c r="F290" s="713" t="s">
        <v>15</v>
      </c>
      <c r="G290" s="519">
        <v>2</v>
      </c>
      <c r="H290" s="519">
        <v>2</v>
      </c>
      <c r="I290" s="519">
        <v>7</v>
      </c>
      <c r="J290" s="519">
        <v>2</v>
      </c>
    </row>
    <row r="291" spans="1:10" x14ac:dyDescent="0.25">
      <c r="A291" s="519">
        <v>290</v>
      </c>
      <c r="B291" s="519" t="s">
        <v>1207</v>
      </c>
      <c r="C291" s="519" t="s">
        <v>334</v>
      </c>
      <c r="D291" s="519" t="s">
        <v>876</v>
      </c>
      <c r="E291" s="519" t="s">
        <v>434</v>
      </c>
      <c r="F291" s="713" t="s">
        <v>15</v>
      </c>
      <c r="G291" s="519">
        <v>3</v>
      </c>
      <c r="H291" s="519">
        <v>2</v>
      </c>
      <c r="I291" s="519">
        <v>6</v>
      </c>
      <c r="J291" s="519">
        <v>1</v>
      </c>
    </row>
    <row r="292" spans="1:10" x14ac:dyDescent="0.25">
      <c r="A292" s="519">
        <v>291</v>
      </c>
      <c r="B292" s="519" t="s">
        <v>1207</v>
      </c>
      <c r="C292" s="519" t="s">
        <v>334</v>
      </c>
      <c r="D292" s="519" t="s">
        <v>935</v>
      </c>
      <c r="E292" s="519" t="s">
        <v>495</v>
      </c>
      <c r="F292" s="713" t="s">
        <v>15</v>
      </c>
      <c r="G292" s="519">
        <v>4</v>
      </c>
      <c r="H292" s="519">
        <v>3</v>
      </c>
      <c r="I292" s="519">
        <v>2</v>
      </c>
      <c r="J292" s="519">
        <v>1</v>
      </c>
    </row>
    <row r="293" spans="1:10" x14ac:dyDescent="0.25">
      <c r="A293" s="519">
        <v>292</v>
      </c>
      <c r="B293" s="519" t="s">
        <v>1207</v>
      </c>
      <c r="C293" s="519" t="s">
        <v>334</v>
      </c>
      <c r="D293" s="519" t="s">
        <v>909</v>
      </c>
      <c r="E293" s="519" t="s">
        <v>14</v>
      </c>
      <c r="F293" s="713" t="s">
        <v>15</v>
      </c>
      <c r="G293" s="519">
        <v>13</v>
      </c>
      <c r="H293" s="519">
        <v>13</v>
      </c>
      <c r="I293" s="519">
        <v>9</v>
      </c>
      <c r="J293" s="519">
        <v>2</v>
      </c>
    </row>
    <row r="294" spans="1:10" x14ac:dyDescent="0.25">
      <c r="A294" s="519">
        <v>293</v>
      </c>
      <c r="B294" s="519" t="s">
        <v>1207</v>
      </c>
      <c r="C294" s="519" t="s">
        <v>334</v>
      </c>
      <c r="D294" s="519" t="s">
        <v>1091</v>
      </c>
      <c r="E294" s="519" t="s">
        <v>14</v>
      </c>
      <c r="F294" s="713" t="s">
        <v>15</v>
      </c>
      <c r="G294" s="519">
        <v>1</v>
      </c>
      <c r="H294" s="519">
        <v>1</v>
      </c>
      <c r="I294" s="519">
        <v>0</v>
      </c>
      <c r="J294" s="519">
        <v>0</v>
      </c>
    </row>
    <row r="295" spans="1:10" x14ac:dyDescent="0.25">
      <c r="A295" s="519">
        <v>294</v>
      </c>
      <c r="B295" s="519" t="s">
        <v>1207</v>
      </c>
      <c r="C295" s="519" t="s">
        <v>334</v>
      </c>
      <c r="D295" s="519" t="s">
        <v>1059</v>
      </c>
      <c r="E295" s="519" t="s">
        <v>14</v>
      </c>
      <c r="F295" s="713" t="s">
        <v>15</v>
      </c>
      <c r="G295" s="519">
        <v>0</v>
      </c>
      <c r="H295" s="519">
        <v>0</v>
      </c>
      <c r="I295" s="519">
        <v>2</v>
      </c>
      <c r="J295" s="519">
        <v>0</v>
      </c>
    </row>
    <row r="296" spans="1:10" x14ac:dyDescent="0.25">
      <c r="A296" s="519">
        <v>295</v>
      </c>
      <c r="B296" s="519" t="s">
        <v>1207</v>
      </c>
      <c r="C296" s="519" t="s">
        <v>335</v>
      </c>
      <c r="D296" s="519" t="s">
        <v>1000</v>
      </c>
      <c r="E296" s="519" t="s">
        <v>14</v>
      </c>
      <c r="F296" s="713" t="s">
        <v>15</v>
      </c>
      <c r="G296" s="519">
        <v>2</v>
      </c>
      <c r="H296" s="519">
        <v>2</v>
      </c>
      <c r="I296" s="519">
        <v>0</v>
      </c>
      <c r="J296" s="519">
        <v>0</v>
      </c>
    </row>
    <row r="297" spans="1:10" x14ac:dyDescent="0.25">
      <c r="A297" s="519">
        <v>296</v>
      </c>
      <c r="B297" s="519" t="s">
        <v>1207</v>
      </c>
      <c r="C297" s="519" t="s">
        <v>335</v>
      </c>
      <c r="D297" s="519" t="s">
        <v>994</v>
      </c>
      <c r="E297" s="519" t="s">
        <v>495</v>
      </c>
      <c r="F297" s="713" t="s">
        <v>15</v>
      </c>
      <c r="G297" s="519">
        <v>2</v>
      </c>
      <c r="H297" s="519">
        <v>2</v>
      </c>
      <c r="I297" s="519">
        <v>0</v>
      </c>
      <c r="J297" s="519">
        <v>0</v>
      </c>
    </row>
    <row r="298" spans="1:10" x14ac:dyDescent="0.25">
      <c r="A298" s="519">
        <v>297</v>
      </c>
      <c r="B298" s="519" t="s">
        <v>1207</v>
      </c>
      <c r="C298" s="519" t="s">
        <v>335</v>
      </c>
      <c r="D298" s="519" t="s">
        <v>897</v>
      </c>
      <c r="E298" s="519" t="s">
        <v>14</v>
      </c>
      <c r="F298" s="713" t="s">
        <v>15</v>
      </c>
      <c r="G298" s="519">
        <v>1</v>
      </c>
      <c r="H298" s="519">
        <v>1</v>
      </c>
      <c r="I298" s="519">
        <v>1</v>
      </c>
      <c r="J298" s="519">
        <v>0</v>
      </c>
    </row>
    <row r="299" spans="1:10" x14ac:dyDescent="0.25">
      <c r="A299" s="519">
        <v>298</v>
      </c>
      <c r="B299" s="519" t="s">
        <v>1207</v>
      </c>
      <c r="C299" s="519" t="s">
        <v>335</v>
      </c>
      <c r="D299" s="519" t="s">
        <v>876</v>
      </c>
      <c r="E299" s="519" t="s">
        <v>434</v>
      </c>
      <c r="F299" s="713" t="s">
        <v>15</v>
      </c>
      <c r="G299" s="519">
        <v>3</v>
      </c>
      <c r="H299" s="519">
        <v>3</v>
      </c>
      <c r="I299" s="519">
        <v>0</v>
      </c>
      <c r="J299" s="519">
        <v>0</v>
      </c>
    </row>
    <row r="300" spans="1:10" x14ac:dyDescent="0.25">
      <c r="A300" s="519">
        <v>299</v>
      </c>
      <c r="B300" s="519" t="s">
        <v>1207</v>
      </c>
      <c r="C300" s="519" t="s">
        <v>335</v>
      </c>
      <c r="D300" s="519" t="s">
        <v>909</v>
      </c>
      <c r="E300" s="519" t="s">
        <v>14</v>
      </c>
      <c r="F300" s="713" t="s">
        <v>15</v>
      </c>
      <c r="G300" s="519">
        <v>2</v>
      </c>
      <c r="H300" s="519">
        <v>2</v>
      </c>
      <c r="I300" s="519">
        <v>0</v>
      </c>
      <c r="J300" s="519">
        <v>0</v>
      </c>
    </row>
    <row r="301" spans="1:10" x14ac:dyDescent="0.25">
      <c r="A301" s="519">
        <v>300</v>
      </c>
      <c r="B301" s="519" t="s">
        <v>1207</v>
      </c>
      <c r="C301" s="519" t="s">
        <v>336</v>
      </c>
      <c r="D301" s="519" t="s">
        <v>897</v>
      </c>
      <c r="E301" s="519" t="s">
        <v>14</v>
      </c>
      <c r="F301" s="713" t="s">
        <v>15</v>
      </c>
      <c r="G301" s="519">
        <v>7</v>
      </c>
      <c r="H301" s="519">
        <v>6</v>
      </c>
      <c r="I301" s="519">
        <v>2</v>
      </c>
      <c r="J301" s="519">
        <v>1</v>
      </c>
    </row>
    <row r="302" spans="1:10" x14ac:dyDescent="0.25">
      <c r="A302" s="519">
        <v>301</v>
      </c>
      <c r="B302" s="519" t="s">
        <v>1207</v>
      </c>
      <c r="C302" s="519" t="s">
        <v>336</v>
      </c>
      <c r="D302" s="519" t="s">
        <v>876</v>
      </c>
      <c r="E302" s="519" t="s">
        <v>434</v>
      </c>
      <c r="F302" s="713" t="s">
        <v>15</v>
      </c>
      <c r="G302" s="519">
        <v>2</v>
      </c>
      <c r="H302" s="519">
        <v>1</v>
      </c>
      <c r="I302" s="519">
        <v>11</v>
      </c>
      <c r="J302" s="519">
        <v>2</v>
      </c>
    </row>
    <row r="303" spans="1:10" x14ac:dyDescent="0.25">
      <c r="A303" s="519">
        <v>302</v>
      </c>
      <c r="B303" s="519" t="s">
        <v>1207</v>
      </c>
      <c r="C303" s="519" t="s">
        <v>337</v>
      </c>
      <c r="D303" s="519" t="s">
        <v>897</v>
      </c>
      <c r="E303" s="519" t="s">
        <v>14</v>
      </c>
      <c r="F303" s="713" t="s">
        <v>15</v>
      </c>
      <c r="G303" s="519">
        <v>1</v>
      </c>
      <c r="H303" s="519">
        <v>1</v>
      </c>
      <c r="I303" s="519">
        <v>1</v>
      </c>
      <c r="J303" s="519">
        <v>0</v>
      </c>
    </row>
    <row r="304" spans="1:10" x14ac:dyDescent="0.25">
      <c r="A304" s="519">
        <v>303</v>
      </c>
      <c r="B304" s="519" t="s">
        <v>1207</v>
      </c>
      <c r="C304" s="519" t="s">
        <v>337</v>
      </c>
      <c r="D304" s="519" t="s">
        <v>876</v>
      </c>
      <c r="E304" s="519" t="s">
        <v>434</v>
      </c>
      <c r="F304" s="713" t="s">
        <v>15</v>
      </c>
      <c r="G304" s="519">
        <v>1</v>
      </c>
      <c r="H304" s="519">
        <v>0</v>
      </c>
      <c r="I304" s="519">
        <v>6</v>
      </c>
      <c r="J304" s="519">
        <v>2</v>
      </c>
    </row>
    <row r="305" spans="1:10" x14ac:dyDescent="0.25">
      <c r="A305" s="519">
        <v>304</v>
      </c>
      <c r="B305" s="519" t="s">
        <v>1207</v>
      </c>
      <c r="C305" s="519" t="s">
        <v>337</v>
      </c>
      <c r="D305" s="519" t="s">
        <v>909</v>
      </c>
      <c r="E305" s="519" t="s">
        <v>14</v>
      </c>
      <c r="F305" s="713" t="s">
        <v>15</v>
      </c>
      <c r="G305" s="519">
        <v>1</v>
      </c>
      <c r="H305" s="519">
        <v>1</v>
      </c>
      <c r="I305" s="519">
        <v>4</v>
      </c>
      <c r="J305" s="519">
        <v>1</v>
      </c>
    </row>
    <row r="306" spans="1:10" x14ac:dyDescent="0.25">
      <c r="A306" s="519">
        <v>305</v>
      </c>
      <c r="B306" s="519" t="s">
        <v>1207</v>
      </c>
      <c r="C306" s="519" t="s">
        <v>338</v>
      </c>
      <c r="D306" s="519" t="s">
        <v>928</v>
      </c>
      <c r="E306" s="519" t="s">
        <v>14</v>
      </c>
      <c r="F306" s="713" t="s">
        <v>15</v>
      </c>
      <c r="G306" s="519">
        <v>0</v>
      </c>
      <c r="H306" s="519">
        <v>0</v>
      </c>
      <c r="I306" s="519">
        <v>2</v>
      </c>
      <c r="J306" s="519">
        <v>0</v>
      </c>
    </row>
    <row r="307" spans="1:10" x14ac:dyDescent="0.25">
      <c r="A307" s="519">
        <v>306</v>
      </c>
      <c r="B307" s="519" t="s">
        <v>1207</v>
      </c>
      <c r="C307" s="519" t="s">
        <v>338</v>
      </c>
      <c r="D307" s="519" t="s">
        <v>876</v>
      </c>
      <c r="E307" s="519" t="s">
        <v>434</v>
      </c>
      <c r="F307" s="713" t="s">
        <v>15</v>
      </c>
      <c r="G307" s="519">
        <v>1</v>
      </c>
      <c r="H307" s="519">
        <v>1</v>
      </c>
      <c r="I307" s="519">
        <v>2</v>
      </c>
      <c r="J307" s="519">
        <v>0</v>
      </c>
    </row>
    <row r="308" spans="1:10" x14ac:dyDescent="0.25">
      <c r="A308" s="519">
        <v>307</v>
      </c>
      <c r="B308" s="519" t="s">
        <v>1207</v>
      </c>
      <c r="C308" s="519" t="s">
        <v>338</v>
      </c>
      <c r="D308" s="519" t="s">
        <v>1059</v>
      </c>
      <c r="E308" s="519" t="s">
        <v>14</v>
      </c>
      <c r="F308" s="713" t="s">
        <v>15</v>
      </c>
      <c r="G308" s="519">
        <v>0</v>
      </c>
      <c r="H308" s="519">
        <v>0</v>
      </c>
      <c r="I308" s="519">
        <v>1</v>
      </c>
      <c r="J308" s="519">
        <v>0</v>
      </c>
    </row>
    <row r="309" spans="1:10" x14ac:dyDescent="0.25">
      <c r="A309" s="519">
        <v>308</v>
      </c>
      <c r="B309" s="519" t="s">
        <v>1206</v>
      </c>
      <c r="C309" s="519" t="s">
        <v>339</v>
      </c>
      <c r="D309" s="519" t="s">
        <v>491</v>
      </c>
      <c r="E309" s="519" t="s">
        <v>13</v>
      </c>
      <c r="F309" s="713" t="s">
        <v>20</v>
      </c>
      <c r="G309" s="519">
        <v>7</v>
      </c>
      <c r="H309" s="519">
        <v>5</v>
      </c>
      <c r="I309" s="519">
        <v>5</v>
      </c>
      <c r="J309" s="519">
        <v>1</v>
      </c>
    </row>
    <row r="310" spans="1:10" x14ac:dyDescent="0.25">
      <c r="A310" s="519">
        <v>309</v>
      </c>
      <c r="B310" s="519" t="s">
        <v>1206</v>
      </c>
      <c r="C310" s="519" t="s">
        <v>339</v>
      </c>
      <c r="D310" s="519" t="s">
        <v>464</v>
      </c>
      <c r="E310" s="519" t="s">
        <v>13</v>
      </c>
      <c r="F310" s="713" t="s">
        <v>20</v>
      </c>
      <c r="G310" s="519">
        <v>6</v>
      </c>
      <c r="H310" s="519">
        <v>5</v>
      </c>
      <c r="I310" s="519">
        <v>14</v>
      </c>
      <c r="J310" s="519">
        <v>0</v>
      </c>
    </row>
    <row r="311" spans="1:10" x14ac:dyDescent="0.25">
      <c r="A311" s="519">
        <v>310</v>
      </c>
      <c r="B311" s="519" t="s">
        <v>1206</v>
      </c>
      <c r="C311" s="519" t="s">
        <v>339</v>
      </c>
      <c r="D311" s="519" t="s">
        <v>870</v>
      </c>
      <c r="E311" s="519" t="s">
        <v>13</v>
      </c>
      <c r="F311" s="713" t="s">
        <v>20</v>
      </c>
      <c r="G311" s="519">
        <v>63</v>
      </c>
      <c r="H311" s="519">
        <v>52</v>
      </c>
      <c r="I311" s="519">
        <v>66</v>
      </c>
      <c r="J311" s="519">
        <v>8</v>
      </c>
    </row>
    <row r="312" spans="1:10" x14ac:dyDescent="0.25">
      <c r="A312" s="519">
        <v>311</v>
      </c>
      <c r="B312" s="519" t="s">
        <v>1206</v>
      </c>
      <c r="C312" s="519" t="s">
        <v>339</v>
      </c>
      <c r="D312" s="519" t="s">
        <v>465</v>
      </c>
      <c r="E312" s="519" t="s">
        <v>13</v>
      </c>
      <c r="F312" s="713" t="s">
        <v>20</v>
      </c>
      <c r="G312" s="519">
        <v>105</v>
      </c>
      <c r="H312" s="519">
        <v>90</v>
      </c>
      <c r="I312" s="519">
        <v>181</v>
      </c>
      <c r="J312" s="519">
        <v>5</v>
      </c>
    </row>
    <row r="313" spans="1:10" x14ac:dyDescent="0.25">
      <c r="A313" s="519">
        <v>312</v>
      </c>
      <c r="B313" s="519" t="s">
        <v>1206</v>
      </c>
      <c r="C313" s="519" t="s">
        <v>339</v>
      </c>
      <c r="D313" s="519" t="s">
        <v>458</v>
      </c>
      <c r="E313" s="519" t="s">
        <v>13</v>
      </c>
      <c r="F313" s="713" t="s">
        <v>20</v>
      </c>
      <c r="G313" s="519">
        <v>239</v>
      </c>
      <c r="H313" s="519">
        <v>200</v>
      </c>
      <c r="I313" s="519">
        <v>461</v>
      </c>
      <c r="J313" s="519">
        <v>22</v>
      </c>
    </row>
    <row r="314" spans="1:10" x14ac:dyDescent="0.25">
      <c r="A314" s="519">
        <v>313</v>
      </c>
      <c r="B314" s="519" t="s">
        <v>1206</v>
      </c>
      <c r="C314" s="519" t="s">
        <v>17</v>
      </c>
      <c r="D314" s="519" t="s">
        <v>459</v>
      </c>
      <c r="E314" s="519" t="s">
        <v>13</v>
      </c>
      <c r="F314" s="713" t="s">
        <v>20</v>
      </c>
      <c r="G314" s="519">
        <v>69</v>
      </c>
      <c r="H314" s="519">
        <v>61</v>
      </c>
      <c r="I314" s="519">
        <v>63</v>
      </c>
      <c r="J314" s="519">
        <v>6</v>
      </c>
    </row>
    <row r="315" spans="1:10" x14ac:dyDescent="0.25">
      <c r="A315" s="519">
        <v>314</v>
      </c>
      <c r="B315" s="519" t="s">
        <v>1206</v>
      </c>
      <c r="C315" s="519" t="s">
        <v>339</v>
      </c>
      <c r="D315" s="519" t="s">
        <v>1071</v>
      </c>
      <c r="E315" s="519" t="s">
        <v>16</v>
      </c>
      <c r="F315" s="713" t="s">
        <v>20</v>
      </c>
      <c r="G315" s="519">
        <v>106</v>
      </c>
      <c r="H315" s="519">
        <v>90</v>
      </c>
      <c r="I315" s="519">
        <v>118</v>
      </c>
      <c r="J315" s="519">
        <v>5</v>
      </c>
    </row>
    <row r="316" spans="1:10" x14ac:dyDescent="0.25">
      <c r="A316" s="519">
        <v>315</v>
      </c>
      <c r="B316" s="519" t="s">
        <v>1206</v>
      </c>
      <c r="C316" s="519" t="s">
        <v>339</v>
      </c>
      <c r="D316" s="519" t="s">
        <v>921</v>
      </c>
      <c r="E316" s="519" t="s">
        <v>13</v>
      </c>
      <c r="F316" s="713" t="s">
        <v>20</v>
      </c>
      <c r="G316" s="519">
        <v>7</v>
      </c>
      <c r="H316" s="519">
        <v>6</v>
      </c>
      <c r="I316" s="519">
        <v>7</v>
      </c>
      <c r="J316" s="519">
        <v>0</v>
      </c>
    </row>
    <row r="317" spans="1:10" x14ac:dyDescent="0.25">
      <c r="A317" s="519">
        <v>316</v>
      </c>
      <c r="B317" s="519" t="s">
        <v>1206</v>
      </c>
      <c r="C317" s="519" t="s">
        <v>339</v>
      </c>
      <c r="D317" s="519" t="s">
        <v>248</v>
      </c>
      <c r="E317" s="519" t="s">
        <v>16</v>
      </c>
      <c r="F317" s="713" t="s">
        <v>20</v>
      </c>
      <c r="G317" s="519">
        <v>17</v>
      </c>
      <c r="H317" s="519">
        <v>16</v>
      </c>
      <c r="I317" s="519">
        <v>19</v>
      </c>
      <c r="J317" s="519">
        <v>3</v>
      </c>
    </row>
    <row r="318" spans="1:10" x14ac:dyDescent="0.25">
      <c r="A318" s="519">
        <v>317</v>
      </c>
      <c r="B318" s="519" t="s">
        <v>1206</v>
      </c>
      <c r="C318" s="519" t="s">
        <v>339</v>
      </c>
      <c r="D318" s="519" t="s">
        <v>866</v>
      </c>
      <c r="E318" s="519" t="s">
        <v>16</v>
      </c>
      <c r="F318" s="713" t="s">
        <v>20</v>
      </c>
      <c r="G318" s="519">
        <v>112</v>
      </c>
      <c r="H318" s="519">
        <v>96</v>
      </c>
      <c r="I318" s="519">
        <v>155</v>
      </c>
      <c r="J318" s="519">
        <v>8</v>
      </c>
    </row>
    <row r="319" spans="1:10" x14ac:dyDescent="0.25">
      <c r="A319" s="519">
        <v>318</v>
      </c>
      <c r="B319" s="519" t="s">
        <v>1206</v>
      </c>
      <c r="C319" s="519" t="s">
        <v>339</v>
      </c>
      <c r="D319" s="519" t="s">
        <v>926</v>
      </c>
      <c r="E319" s="519" t="s">
        <v>14</v>
      </c>
      <c r="F319" s="713" t="s">
        <v>20</v>
      </c>
      <c r="G319" s="519">
        <v>225</v>
      </c>
      <c r="H319" s="519">
        <v>188</v>
      </c>
      <c r="I319" s="519">
        <v>342</v>
      </c>
      <c r="J319" s="519">
        <v>23</v>
      </c>
    </row>
    <row r="320" spans="1:10" x14ac:dyDescent="0.25">
      <c r="A320" s="519">
        <v>319</v>
      </c>
      <c r="B320" s="519" t="s">
        <v>1206</v>
      </c>
      <c r="C320" s="519" t="s">
        <v>339</v>
      </c>
      <c r="D320" s="519" t="s">
        <v>931</v>
      </c>
      <c r="E320" s="519" t="s">
        <v>14</v>
      </c>
      <c r="F320" s="713" t="s">
        <v>20</v>
      </c>
      <c r="G320" s="519">
        <v>21</v>
      </c>
      <c r="H320" s="519">
        <v>18</v>
      </c>
      <c r="I320" s="519">
        <v>32</v>
      </c>
      <c r="J320" s="519">
        <v>1</v>
      </c>
    </row>
    <row r="321" spans="1:10" x14ac:dyDescent="0.25">
      <c r="A321" s="519">
        <v>320</v>
      </c>
      <c r="B321" s="519" t="s">
        <v>1206</v>
      </c>
      <c r="C321" s="519" t="s">
        <v>339</v>
      </c>
      <c r="D321" s="519" t="s">
        <v>919</v>
      </c>
      <c r="E321" s="519" t="s">
        <v>495</v>
      </c>
      <c r="F321" s="713" t="s">
        <v>20</v>
      </c>
      <c r="G321" s="519">
        <v>33</v>
      </c>
      <c r="H321" s="519">
        <v>27</v>
      </c>
      <c r="I321" s="519">
        <v>11</v>
      </c>
      <c r="J321" s="519">
        <v>3</v>
      </c>
    </row>
    <row r="322" spans="1:10" x14ac:dyDescent="0.25">
      <c r="A322" s="519">
        <v>321</v>
      </c>
      <c r="B322" s="519" t="s">
        <v>1206</v>
      </c>
      <c r="C322" s="519" t="s">
        <v>339</v>
      </c>
      <c r="D322" s="519" t="s">
        <v>914</v>
      </c>
      <c r="E322" s="519" t="s">
        <v>434</v>
      </c>
      <c r="F322" s="713" t="s">
        <v>20</v>
      </c>
      <c r="G322" s="519">
        <v>2</v>
      </c>
      <c r="H322" s="519">
        <v>2</v>
      </c>
      <c r="I322" s="519">
        <v>0</v>
      </c>
      <c r="J322" s="519">
        <v>0</v>
      </c>
    </row>
    <row r="323" spans="1:10" x14ac:dyDescent="0.25">
      <c r="A323" s="519">
        <v>322</v>
      </c>
      <c r="B323" s="519" t="s">
        <v>1206</v>
      </c>
      <c r="C323" s="519" t="s">
        <v>339</v>
      </c>
      <c r="D323" s="519" t="s">
        <v>958</v>
      </c>
      <c r="E323" s="519" t="s">
        <v>14</v>
      </c>
      <c r="F323" s="713" t="s">
        <v>20</v>
      </c>
      <c r="G323" s="519">
        <v>403</v>
      </c>
      <c r="H323" s="519">
        <v>335</v>
      </c>
      <c r="I323" s="519">
        <v>565</v>
      </c>
      <c r="J323" s="519">
        <v>35</v>
      </c>
    </row>
    <row r="324" spans="1:10" x14ac:dyDescent="0.25">
      <c r="A324" s="519">
        <v>323</v>
      </c>
      <c r="B324" s="519" t="s">
        <v>1206</v>
      </c>
      <c r="C324" s="519" t="s">
        <v>339</v>
      </c>
      <c r="D324" s="519" t="s">
        <v>953</v>
      </c>
      <c r="E324" s="519" t="s">
        <v>16</v>
      </c>
      <c r="F324" s="713" t="s">
        <v>20</v>
      </c>
      <c r="G324" s="519">
        <v>86</v>
      </c>
      <c r="H324" s="519">
        <v>73</v>
      </c>
      <c r="I324" s="519">
        <v>89</v>
      </c>
      <c r="J324" s="519">
        <v>6</v>
      </c>
    </row>
    <row r="325" spans="1:10" x14ac:dyDescent="0.25">
      <c r="A325" s="519">
        <v>324</v>
      </c>
      <c r="B325" s="519" t="s">
        <v>1206</v>
      </c>
      <c r="C325" s="519" t="s">
        <v>339</v>
      </c>
      <c r="D325" s="519" t="s">
        <v>1051</v>
      </c>
      <c r="E325" s="519" t="s">
        <v>13</v>
      </c>
      <c r="F325" s="713" t="s">
        <v>20</v>
      </c>
      <c r="G325" s="519">
        <v>39</v>
      </c>
      <c r="H325" s="519">
        <v>35</v>
      </c>
      <c r="I325" s="519">
        <v>70</v>
      </c>
      <c r="J325" s="519">
        <v>1</v>
      </c>
    </row>
    <row r="326" spans="1:10" x14ac:dyDescent="0.25">
      <c r="A326" s="519">
        <v>325</v>
      </c>
      <c r="B326" s="519" t="s">
        <v>1206</v>
      </c>
      <c r="C326" s="519" t="s">
        <v>339</v>
      </c>
      <c r="D326" s="519" t="s">
        <v>878</v>
      </c>
      <c r="E326" s="519" t="s">
        <v>434</v>
      </c>
      <c r="F326" s="713" t="s">
        <v>20</v>
      </c>
      <c r="G326" s="519">
        <v>525</v>
      </c>
      <c r="H326" s="519">
        <v>448</v>
      </c>
      <c r="I326" s="519">
        <v>780</v>
      </c>
      <c r="J326" s="519">
        <v>39</v>
      </c>
    </row>
    <row r="327" spans="1:10" x14ac:dyDescent="0.25">
      <c r="A327" s="519">
        <v>326</v>
      </c>
      <c r="B327" s="519" t="s">
        <v>1206</v>
      </c>
      <c r="C327" s="519" t="s">
        <v>339</v>
      </c>
      <c r="D327" s="519" t="s">
        <v>1037</v>
      </c>
      <c r="E327" s="519" t="s">
        <v>434</v>
      </c>
      <c r="F327" s="713" t="s">
        <v>20</v>
      </c>
      <c r="G327" s="519">
        <v>17</v>
      </c>
      <c r="H327" s="519">
        <v>15</v>
      </c>
      <c r="I327" s="519">
        <v>6</v>
      </c>
      <c r="J327" s="519">
        <v>1</v>
      </c>
    </row>
    <row r="328" spans="1:10" x14ac:dyDescent="0.25">
      <c r="A328" s="519">
        <v>327</v>
      </c>
      <c r="B328" s="519" t="s">
        <v>1206</v>
      </c>
      <c r="C328" s="519" t="s">
        <v>339</v>
      </c>
      <c r="D328" s="519" t="s">
        <v>927</v>
      </c>
      <c r="E328" s="519" t="s">
        <v>14</v>
      </c>
      <c r="F328" s="713" t="s">
        <v>20</v>
      </c>
      <c r="G328" s="519">
        <v>111</v>
      </c>
      <c r="H328" s="519">
        <v>98</v>
      </c>
      <c r="I328" s="519">
        <v>136</v>
      </c>
      <c r="J328" s="519">
        <v>8</v>
      </c>
    </row>
    <row r="329" spans="1:10" x14ac:dyDescent="0.25">
      <c r="A329" s="519">
        <v>328</v>
      </c>
      <c r="B329" s="519" t="s">
        <v>1206</v>
      </c>
      <c r="C329" s="519" t="s">
        <v>339</v>
      </c>
      <c r="D329" s="519" t="s">
        <v>940</v>
      </c>
      <c r="E329" s="519" t="s">
        <v>495</v>
      </c>
      <c r="F329" s="713" t="s">
        <v>20</v>
      </c>
      <c r="G329" s="519">
        <v>29</v>
      </c>
      <c r="H329" s="519">
        <v>20</v>
      </c>
      <c r="I329" s="519">
        <v>27</v>
      </c>
      <c r="J329" s="519">
        <v>1</v>
      </c>
    </row>
    <row r="330" spans="1:10" x14ac:dyDescent="0.25">
      <c r="A330" s="519">
        <v>329</v>
      </c>
      <c r="B330" s="519" t="s">
        <v>1206</v>
      </c>
      <c r="C330" s="519" t="s">
        <v>339</v>
      </c>
      <c r="D330" s="519" t="s">
        <v>924</v>
      </c>
      <c r="E330" s="519" t="s">
        <v>16</v>
      </c>
      <c r="F330" s="713" t="s">
        <v>20</v>
      </c>
      <c r="G330" s="519">
        <v>0</v>
      </c>
      <c r="H330" s="519">
        <v>0</v>
      </c>
      <c r="I330" s="519">
        <v>2</v>
      </c>
      <c r="J330" s="519">
        <v>0</v>
      </c>
    </row>
    <row r="331" spans="1:10" x14ac:dyDescent="0.25">
      <c r="A331" s="519">
        <v>330</v>
      </c>
      <c r="B331" s="519" t="s">
        <v>1206</v>
      </c>
      <c r="C331" s="519" t="s">
        <v>339</v>
      </c>
      <c r="D331" s="519" t="s">
        <v>906</v>
      </c>
      <c r="E331" s="519" t="s">
        <v>14</v>
      </c>
      <c r="F331" s="713" t="s">
        <v>20</v>
      </c>
      <c r="G331" s="519">
        <v>274</v>
      </c>
      <c r="H331" s="519">
        <v>233</v>
      </c>
      <c r="I331" s="519">
        <v>306</v>
      </c>
      <c r="J331" s="519">
        <v>29</v>
      </c>
    </row>
    <row r="332" spans="1:10" x14ac:dyDescent="0.25">
      <c r="A332" s="519">
        <v>331</v>
      </c>
      <c r="B332" s="519" t="s">
        <v>1206</v>
      </c>
      <c r="C332" s="519" t="s">
        <v>339</v>
      </c>
      <c r="D332" s="519" t="s">
        <v>941</v>
      </c>
      <c r="E332" s="519" t="s">
        <v>13</v>
      </c>
      <c r="F332" s="713" t="s">
        <v>20</v>
      </c>
      <c r="G332" s="519">
        <v>168</v>
      </c>
      <c r="H332" s="519">
        <v>145</v>
      </c>
      <c r="I332" s="519">
        <v>300</v>
      </c>
      <c r="J332" s="519">
        <v>11</v>
      </c>
    </row>
    <row r="333" spans="1:10" x14ac:dyDescent="0.25">
      <c r="A333" s="519">
        <v>332</v>
      </c>
      <c r="B333" s="519" t="s">
        <v>1206</v>
      </c>
      <c r="C333" s="519" t="s">
        <v>339</v>
      </c>
      <c r="D333" s="519" t="s">
        <v>894</v>
      </c>
      <c r="E333" s="519" t="s">
        <v>14</v>
      </c>
      <c r="F333" s="713" t="s">
        <v>20</v>
      </c>
      <c r="G333" s="519">
        <v>0</v>
      </c>
      <c r="H333" s="519">
        <v>0</v>
      </c>
      <c r="I333" s="519">
        <v>3</v>
      </c>
      <c r="J333" s="519">
        <v>0</v>
      </c>
    </row>
    <row r="334" spans="1:10" x14ac:dyDescent="0.25">
      <c r="A334" s="519">
        <v>333</v>
      </c>
      <c r="B334" s="519" t="s">
        <v>1206</v>
      </c>
      <c r="C334" s="519" t="s">
        <v>339</v>
      </c>
      <c r="D334" s="519" t="s">
        <v>874</v>
      </c>
      <c r="E334" s="519" t="s">
        <v>434</v>
      </c>
      <c r="F334" s="713" t="s">
        <v>20</v>
      </c>
      <c r="G334" s="519">
        <v>312</v>
      </c>
      <c r="H334" s="519">
        <v>258</v>
      </c>
      <c r="I334" s="519">
        <v>410</v>
      </c>
      <c r="J334" s="519">
        <v>28</v>
      </c>
    </row>
    <row r="335" spans="1:10" x14ac:dyDescent="0.25">
      <c r="A335" s="519">
        <v>334</v>
      </c>
      <c r="B335" s="519" t="s">
        <v>1206</v>
      </c>
      <c r="C335" s="519" t="s">
        <v>339</v>
      </c>
      <c r="D335" s="519" t="s">
        <v>937</v>
      </c>
      <c r="E335" s="519" t="s">
        <v>14</v>
      </c>
      <c r="F335" s="713" t="s">
        <v>20</v>
      </c>
      <c r="G335" s="519">
        <v>19</v>
      </c>
      <c r="H335" s="519">
        <v>18</v>
      </c>
      <c r="I335" s="519">
        <v>39</v>
      </c>
      <c r="J335" s="519">
        <v>1</v>
      </c>
    </row>
    <row r="336" spans="1:10" x14ac:dyDescent="0.25">
      <c r="A336" s="519">
        <v>335</v>
      </c>
      <c r="B336" s="519" t="s">
        <v>1206</v>
      </c>
      <c r="C336" s="519" t="s">
        <v>339</v>
      </c>
      <c r="D336" s="519" t="s">
        <v>492</v>
      </c>
      <c r="E336" s="519" t="s">
        <v>16</v>
      </c>
      <c r="F336" s="713" t="s">
        <v>20</v>
      </c>
      <c r="G336" s="519">
        <v>13</v>
      </c>
      <c r="H336" s="519">
        <v>12</v>
      </c>
      <c r="I336" s="519">
        <v>24</v>
      </c>
      <c r="J336" s="519">
        <v>0</v>
      </c>
    </row>
    <row r="337" spans="1:10" x14ac:dyDescent="0.25">
      <c r="A337" s="519">
        <v>336</v>
      </c>
      <c r="B337" s="519" t="s">
        <v>1207</v>
      </c>
      <c r="C337" s="519" t="s">
        <v>339</v>
      </c>
      <c r="D337" s="519" t="s">
        <v>864</v>
      </c>
      <c r="E337" s="519" t="s">
        <v>16</v>
      </c>
      <c r="F337" s="713" t="s">
        <v>15</v>
      </c>
      <c r="G337" s="519">
        <v>28</v>
      </c>
      <c r="H337" s="519">
        <v>23</v>
      </c>
      <c r="I337" s="519">
        <v>18</v>
      </c>
      <c r="J337" s="519">
        <v>9</v>
      </c>
    </row>
    <row r="338" spans="1:10" x14ac:dyDescent="0.25">
      <c r="A338" s="519">
        <v>337</v>
      </c>
      <c r="B338" s="519" t="s">
        <v>1207</v>
      </c>
      <c r="C338" s="519" t="s">
        <v>339</v>
      </c>
      <c r="D338" s="519" t="s">
        <v>861</v>
      </c>
      <c r="E338" s="519" t="s">
        <v>14</v>
      </c>
      <c r="F338" s="713" t="s">
        <v>15</v>
      </c>
      <c r="G338" s="519">
        <v>29</v>
      </c>
      <c r="H338" s="519">
        <v>24</v>
      </c>
      <c r="I338" s="519">
        <v>42</v>
      </c>
      <c r="J338" s="519">
        <v>18</v>
      </c>
    </row>
    <row r="339" spans="1:10" x14ac:dyDescent="0.25">
      <c r="A339" s="519">
        <v>338</v>
      </c>
      <c r="B339" s="519" t="s">
        <v>1207</v>
      </c>
      <c r="C339" s="519" t="s">
        <v>339</v>
      </c>
      <c r="D339" s="519" t="s">
        <v>930</v>
      </c>
      <c r="E339" s="519" t="s">
        <v>14</v>
      </c>
      <c r="F339" s="713" t="s">
        <v>15</v>
      </c>
      <c r="G339" s="519">
        <v>5</v>
      </c>
      <c r="H339" s="519">
        <v>5</v>
      </c>
      <c r="I339" s="519">
        <v>3</v>
      </c>
      <c r="J339" s="519">
        <v>0</v>
      </c>
    </row>
    <row r="340" spans="1:10" x14ac:dyDescent="0.25">
      <c r="A340" s="519">
        <v>339</v>
      </c>
      <c r="B340" s="519" t="s">
        <v>1207</v>
      </c>
      <c r="C340" s="519" t="s">
        <v>339</v>
      </c>
      <c r="D340" s="519" t="s">
        <v>918</v>
      </c>
      <c r="E340" s="519" t="s">
        <v>495</v>
      </c>
      <c r="F340" s="713" t="s">
        <v>15</v>
      </c>
      <c r="G340" s="519">
        <v>2</v>
      </c>
      <c r="H340" s="519">
        <v>1</v>
      </c>
      <c r="I340" s="519">
        <v>3</v>
      </c>
      <c r="J340" s="519">
        <v>2</v>
      </c>
    </row>
    <row r="341" spans="1:10" x14ac:dyDescent="0.25">
      <c r="A341" s="519">
        <v>340</v>
      </c>
      <c r="B341" s="519" t="s">
        <v>1207</v>
      </c>
      <c r="C341" s="519" t="s">
        <v>339</v>
      </c>
      <c r="D341" s="519" t="s">
        <v>955</v>
      </c>
      <c r="E341" s="519" t="s">
        <v>495</v>
      </c>
      <c r="F341" s="713" t="s">
        <v>15</v>
      </c>
      <c r="G341" s="519">
        <v>63</v>
      </c>
      <c r="H341" s="519">
        <v>51</v>
      </c>
      <c r="I341" s="519">
        <v>121</v>
      </c>
      <c r="J341" s="519">
        <v>24</v>
      </c>
    </row>
    <row r="342" spans="1:10" x14ac:dyDescent="0.25">
      <c r="A342" s="519">
        <v>341</v>
      </c>
      <c r="B342" s="519" t="s">
        <v>1207</v>
      </c>
      <c r="C342" s="519" t="s">
        <v>339</v>
      </c>
      <c r="D342" s="519" t="s">
        <v>954</v>
      </c>
      <c r="E342" s="519" t="s">
        <v>16</v>
      </c>
      <c r="F342" s="713" t="s">
        <v>15</v>
      </c>
      <c r="G342" s="519">
        <v>18</v>
      </c>
      <c r="H342" s="519">
        <v>13</v>
      </c>
      <c r="I342" s="519">
        <v>8</v>
      </c>
      <c r="J342" s="519">
        <v>12</v>
      </c>
    </row>
    <row r="343" spans="1:10" x14ac:dyDescent="0.25">
      <c r="A343" s="519">
        <v>342</v>
      </c>
      <c r="B343" s="519" t="s">
        <v>1207</v>
      </c>
      <c r="C343" s="519" t="s">
        <v>339</v>
      </c>
      <c r="D343" s="519" t="s">
        <v>938</v>
      </c>
      <c r="E343" s="519" t="s">
        <v>495</v>
      </c>
      <c r="F343" s="713" t="s">
        <v>15</v>
      </c>
      <c r="G343" s="519">
        <v>3</v>
      </c>
      <c r="H343" s="519">
        <v>2</v>
      </c>
      <c r="I343" s="519">
        <v>2</v>
      </c>
      <c r="J343" s="519">
        <v>1</v>
      </c>
    </row>
    <row r="344" spans="1:10" x14ac:dyDescent="0.25">
      <c r="A344" s="519">
        <v>343</v>
      </c>
      <c r="B344" s="519" t="s">
        <v>1207</v>
      </c>
      <c r="C344" s="519" t="s">
        <v>339</v>
      </c>
      <c r="D344" s="519" t="s">
        <v>928</v>
      </c>
      <c r="E344" s="519" t="s">
        <v>14</v>
      </c>
      <c r="F344" s="713" t="s">
        <v>15</v>
      </c>
      <c r="G344" s="519">
        <v>4</v>
      </c>
      <c r="H344" s="519">
        <v>4</v>
      </c>
      <c r="I344" s="519">
        <v>20</v>
      </c>
      <c r="J344" s="519">
        <v>2</v>
      </c>
    </row>
    <row r="345" spans="1:10" x14ac:dyDescent="0.25">
      <c r="A345" s="519">
        <v>344</v>
      </c>
      <c r="B345" s="519" t="s">
        <v>1207</v>
      </c>
      <c r="C345" s="519" t="s">
        <v>339</v>
      </c>
      <c r="D345" s="519" t="s">
        <v>876</v>
      </c>
      <c r="E345" s="519" t="s">
        <v>434</v>
      </c>
      <c r="F345" s="713" t="s">
        <v>15</v>
      </c>
      <c r="G345" s="519">
        <v>37</v>
      </c>
      <c r="H345" s="519">
        <v>32</v>
      </c>
      <c r="I345" s="519">
        <v>67</v>
      </c>
      <c r="J345" s="519">
        <v>12</v>
      </c>
    </row>
    <row r="346" spans="1:10" x14ac:dyDescent="0.25">
      <c r="A346" s="519">
        <v>345</v>
      </c>
      <c r="B346" s="519" t="s">
        <v>1207</v>
      </c>
      <c r="C346" s="519" t="s">
        <v>339</v>
      </c>
      <c r="D346" s="519" t="s">
        <v>935</v>
      </c>
      <c r="E346" s="519" t="s">
        <v>495</v>
      </c>
      <c r="F346" s="713" t="s">
        <v>15</v>
      </c>
      <c r="G346" s="519">
        <v>0</v>
      </c>
      <c r="H346" s="519">
        <v>0</v>
      </c>
      <c r="I346" s="519">
        <v>2</v>
      </c>
      <c r="J346" s="519">
        <v>0</v>
      </c>
    </row>
    <row r="347" spans="1:10" x14ac:dyDescent="0.25">
      <c r="A347" s="519">
        <v>346</v>
      </c>
      <c r="B347" s="519" t="s">
        <v>1207</v>
      </c>
      <c r="C347" s="519" t="s">
        <v>339</v>
      </c>
      <c r="D347" s="519" t="s">
        <v>925</v>
      </c>
      <c r="E347" s="519" t="s">
        <v>16</v>
      </c>
      <c r="F347" s="713" t="s">
        <v>15</v>
      </c>
      <c r="G347" s="519">
        <v>0</v>
      </c>
      <c r="H347" s="519">
        <v>0</v>
      </c>
      <c r="I347" s="519">
        <v>0</v>
      </c>
      <c r="J347" s="519">
        <v>1</v>
      </c>
    </row>
    <row r="348" spans="1:10" x14ac:dyDescent="0.25">
      <c r="A348" s="519">
        <v>347</v>
      </c>
      <c r="B348" s="519" t="s">
        <v>1207</v>
      </c>
      <c r="C348" s="519" t="s">
        <v>339</v>
      </c>
      <c r="D348" s="519" t="s">
        <v>909</v>
      </c>
      <c r="E348" s="519" t="s">
        <v>14</v>
      </c>
      <c r="F348" s="713" t="s">
        <v>15</v>
      </c>
      <c r="G348" s="519">
        <v>47</v>
      </c>
      <c r="H348" s="519">
        <v>40</v>
      </c>
      <c r="I348" s="519">
        <v>34</v>
      </c>
      <c r="J348" s="519">
        <v>14</v>
      </c>
    </row>
    <row r="349" spans="1:10" x14ac:dyDescent="0.25">
      <c r="A349" s="519">
        <v>348</v>
      </c>
      <c r="B349" s="519" t="s">
        <v>1207</v>
      </c>
      <c r="C349" s="519" t="s">
        <v>339</v>
      </c>
      <c r="D349" s="519" t="s">
        <v>943</v>
      </c>
      <c r="E349" s="519" t="s">
        <v>13</v>
      </c>
      <c r="F349" s="713" t="s">
        <v>15</v>
      </c>
      <c r="G349" s="519">
        <v>23</v>
      </c>
      <c r="H349" s="519">
        <v>20</v>
      </c>
      <c r="I349" s="519">
        <v>46</v>
      </c>
      <c r="J349" s="519">
        <v>6</v>
      </c>
    </row>
    <row r="350" spans="1:10" x14ac:dyDescent="0.25">
      <c r="A350" s="519">
        <v>349</v>
      </c>
      <c r="B350" s="519" t="s">
        <v>1207</v>
      </c>
      <c r="C350" s="519" t="s">
        <v>339</v>
      </c>
      <c r="D350" s="519" t="s">
        <v>1100</v>
      </c>
      <c r="E350" s="519" t="s">
        <v>495</v>
      </c>
      <c r="F350" s="713" t="s">
        <v>15</v>
      </c>
      <c r="G350" s="519">
        <v>0</v>
      </c>
      <c r="H350" s="519">
        <v>0</v>
      </c>
      <c r="I350" s="519">
        <v>0</v>
      </c>
      <c r="J350" s="519">
        <v>1</v>
      </c>
    </row>
    <row r="351" spans="1:10" x14ac:dyDescent="0.25">
      <c r="A351" s="519">
        <v>350</v>
      </c>
      <c r="B351" s="519" t="s">
        <v>1207</v>
      </c>
      <c r="C351" s="519" t="s">
        <v>339</v>
      </c>
      <c r="D351" s="519" t="s">
        <v>1059</v>
      </c>
      <c r="E351" s="519" t="s">
        <v>14</v>
      </c>
      <c r="F351" s="713" t="s">
        <v>15</v>
      </c>
      <c r="G351" s="519">
        <v>0</v>
      </c>
      <c r="H351" s="519">
        <v>0</v>
      </c>
      <c r="I351" s="519">
        <v>2</v>
      </c>
      <c r="J351" s="519">
        <v>0</v>
      </c>
    </row>
    <row r="352" spans="1:10" x14ac:dyDescent="0.25">
      <c r="A352" s="519">
        <v>351</v>
      </c>
      <c r="B352" s="519" t="s">
        <v>1208</v>
      </c>
      <c r="C352" s="519" t="s">
        <v>339</v>
      </c>
      <c r="D352" s="519" t="s">
        <v>905</v>
      </c>
      <c r="E352" s="519" t="s">
        <v>16</v>
      </c>
      <c r="F352" s="713" t="s">
        <v>20</v>
      </c>
      <c r="G352" s="519">
        <v>52</v>
      </c>
      <c r="H352" s="519">
        <v>46</v>
      </c>
      <c r="I352" s="519">
        <v>38</v>
      </c>
      <c r="J352" s="519">
        <v>8</v>
      </c>
    </row>
    <row r="353" spans="1:10" x14ac:dyDescent="0.25">
      <c r="A353" s="519">
        <v>352</v>
      </c>
      <c r="B353" s="519" t="s">
        <v>1206</v>
      </c>
      <c r="C353" s="519" t="s">
        <v>340</v>
      </c>
      <c r="D353" s="519" t="s">
        <v>248</v>
      </c>
      <c r="E353" s="519" t="s">
        <v>16</v>
      </c>
      <c r="F353" s="713" t="s">
        <v>20</v>
      </c>
      <c r="G353" s="519">
        <v>3</v>
      </c>
      <c r="H353" s="519">
        <v>3</v>
      </c>
      <c r="I353" s="519">
        <v>0</v>
      </c>
      <c r="J353" s="519">
        <v>0</v>
      </c>
    </row>
    <row r="354" spans="1:10" x14ac:dyDescent="0.25">
      <c r="A354" s="519">
        <v>353</v>
      </c>
      <c r="B354" s="519" t="s">
        <v>1206</v>
      </c>
      <c r="C354" s="519" t="s">
        <v>340</v>
      </c>
      <c r="D354" s="519" t="s">
        <v>906</v>
      </c>
      <c r="E354" s="519" t="s">
        <v>14</v>
      </c>
      <c r="F354" s="713" t="s">
        <v>20</v>
      </c>
      <c r="G354" s="519">
        <v>22</v>
      </c>
      <c r="H354" s="519">
        <v>11</v>
      </c>
      <c r="I354" s="519">
        <v>97</v>
      </c>
      <c r="J354" s="519">
        <v>11</v>
      </c>
    </row>
    <row r="355" spans="1:10" x14ac:dyDescent="0.25">
      <c r="A355" s="519">
        <v>354</v>
      </c>
      <c r="B355" s="519" t="s">
        <v>1206</v>
      </c>
      <c r="C355" s="519" t="s">
        <v>340</v>
      </c>
      <c r="D355" s="519" t="s">
        <v>894</v>
      </c>
      <c r="E355" s="519" t="s">
        <v>14</v>
      </c>
      <c r="F355" s="713" t="s">
        <v>20</v>
      </c>
      <c r="G355" s="519">
        <v>1</v>
      </c>
      <c r="H355" s="519">
        <v>0</v>
      </c>
      <c r="I355" s="519">
        <v>0</v>
      </c>
      <c r="J355" s="519">
        <v>0</v>
      </c>
    </row>
    <row r="356" spans="1:10" x14ac:dyDescent="0.25">
      <c r="A356" s="519">
        <v>355</v>
      </c>
      <c r="B356" s="519" t="s">
        <v>1206</v>
      </c>
      <c r="C356" s="519" t="s">
        <v>340</v>
      </c>
      <c r="D356" s="519" t="s">
        <v>874</v>
      </c>
      <c r="E356" s="519" t="s">
        <v>434</v>
      </c>
      <c r="F356" s="713" t="s">
        <v>20</v>
      </c>
      <c r="G356" s="519">
        <v>14</v>
      </c>
      <c r="H356" s="519">
        <v>10</v>
      </c>
      <c r="I356" s="519">
        <v>59</v>
      </c>
      <c r="J356" s="519">
        <v>10</v>
      </c>
    </row>
    <row r="357" spans="1:10" x14ac:dyDescent="0.25">
      <c r="A357" s="519">
        <v>356</v>
      </c>
      <c r="B357" s="519" t="s">
        <v>1206</v>
      </c>
      <c r="C357" s="519" t="s">
        <v>340</v>
      </c>
      <c r="D357" s="519" t="s">
        <v>899</v>
      </c>
      <c r="E357" s="519" t="s">
        <v>14</v>
      </c>
      <c r="F357" s="713" t="s">
        <v>20</v>
      </c>
      <c r="G357" s="519">
        <v>2</v>
      </c>
      <c r="H357" s="519">
        <v>1</v>
      </c>
      <c r="I357" s="519">
        <v>13</v>
      </c>
      <c r="J357" s="519">
        <v>0</v>
      </c>
    </row>
    <row r="358" spans="1:10" x14ac:dyDescent="0.25">
      <c r="A358" s="519">
        <v>357</v>
      </c>
      <c r="B358" s="519" t="s">
        <v>1206</v>
      </c>
      <c r="C358" s="519" t="s">
        <v>340</v>
      </c>
      <c r="D358" s="519" t="s">
        <v>886</v>
      </c>
      <c r="E358" s="519" t="s">
        <v>495</v>
      </c>
      <c r="F358" s="713" t="s">
        <v>20</v>
      </c>
      <c r="G358" s="519">
        <v>0</v>
      </c>
      <c r="H358" s="519">
        <v>0</v>
      </c>
      <c r="I358" s="519">
        <v>6</v>
      </c>
      <c r="J358" s="519">
        <v>0</v>
      </c>
    </row>
    <row r="359" spans="1:10" x14ac:dyDescent="0.25">
      <c r="A359" s="519">
        <v>358</v>
      </c>
      <c r="B359" s="519" t="s">
        <v>1207</v>
      </c>
      <c r="C359" s="519" t="s">
        <v>340</v>
      </c>
      <c r="D359" s="519" t="s">
        <v>897</v>
      </c>
      <c r="E359" s="519" t="s">
        <v>14</v>
      </c>
      <c r="F359" s="713" t="s">
        <v>15</v>
      </c>
      <c r="G359" s="519">
        <v>2</v>
      </c>
      <c r="H359" s="519">
        <v>2</v>
      </c>
      <c r="I359" s="519">
        <v>2</v>
      </c>
      <c r="J359" s="519">
        <v>1</v>
      </c>
    </row>
    <row r="360" spans="1:10" x14ac:dyDescent="0.25">
      <c r="A360" s="519">
        <v>359</v>
      </c>
      <c r="B360" s="519" t="s">
        <v>1207</v>
      </c>
      <c r="C360" s="519" t="s">
        <v>340</v>
      </c>
      <c r="D360" s="519" t="s">
        <v>876</v>
      </c>
      <c r="E360" s="519" t="s">
        <v>434</v>
      </c>
      <c r="F360" s="713" t="s">
        <v>15</v>
      </c>
      <c r="G360" s="519">
        <v>17</v>
      </c>
      <c r="H360" s="519">
        <v>15</v>
      </c>
      <c r="I360" s="519">
        <v>23</v>
      </c>
      <c r="J360" s="519">
        <v>3</v>
      </c>
    </row>
    <row r="361" spans="1:10" x14ac:dyDescent="0.25">
      <c r="A361" s="519">
        <v>360</v>
      </c>
      <c r="B361" s="519" t="s">
        <v>1207</v>
      </c>
      <c r="C361" s="519" t="s">
        <v>340</v>
      </c>
      <c r="D361" s="519" t="s">
        <v>909</v>
      </c>
      <c r="E361" s="519" t="s">
        <v>14</v>
      </c>
      <c r="F361" s="713" t="s">
        <v>15</v>
      </c>
      <c r="G361" s="519">
        <v>7</v>
      </c>
      <c r="H361" s="519">
        <v>6</v>
      </c>
      <c r="I361" s="519">
        <v>18</v>
      </c>
      <c r="J361" s="519">
        <v>6</v>
      </c>
    </row>
    <row r="362" spans="1:10" x14ac:dyDescent="0.25">
      <c r="A362" s="519">
        <v>361</v>
      </c>
      <c r="B362" s="519" t="s">
        <v>1206</v>
      </c>
      <c r="C362" s="519" t="s">
        <v>367</v>
      </c>
      <c r="D362" s="519" t="s">
        <v>491</v>
      </c>
      <c r="E362" s="519" t="s">
        <v>13</v>
      </c>
      <c r="F362" s="713" t="s">
        <v>20</v>
      </c>
      <c r="G362" s="519">
        <v>5</v>
      </c>
      <c r="H362" s="519">
        <v>5</v>
      </c>
      <c r="I362" s="519">
        <v>8</v>
      </c>
      <c r="J362" s="519">
        <v>0</v>
      </c>
    </row>
    <row r="363" spans="1:10" x14ac:dyDescent="0.25">
      <c r="A363" s="519">
        <v>362</v>
      </c>
      <c r="B363" s="519" t="s">
        <v>1206</v>
      </c>
      <c r="C363" s="519" t="s">
        <v>367</v>
      </c>
      <c r="D363" s="519" t="s">
        <v>464</v>
      </c>
      <c r="E363" s="519" t="s">
        <v>13</v>
      </c>
      <c r="F363" s="713" t="s">
        <v>20</v>
      </c>
      <c r="G363" s="519">
        <v>0</v>
      </c>
      <c r="H363" s="519">
        <v>0</v>
      </c>
      <c r="I363" s="519">
        <v>1</v>
      </c>
      <c r="J363" s="519">
        <v>0</v>
      </c>
    </row>
    <row r="364" spans="1:10" x14ac:dyDescent="0.25">
      <c r="A364" s="519">
        <v>363</v>
      </c>
      <c r="B364" s="519" t="s">
        <v>1206</v>
      </c>
      <c r="C364" s="519" t="s">
        <v>367</v>
      </c>
      <c r="D364" s="519" t="s">
        <v>465</v>
      </c>
      <c r="E364" s="519" t="s">
        <v>13</v>
      </c>
      <c r="F364" s="713" t="s">
        <v>20</v>
      </c>
      <c r="G364" s="519">
        <v>33</v>
      </c>
      <c r="H364" s="519">
        <v>25</v>
      </c>
      <c r="I364" s="519">
        <v>63</v>
      </c>
      <c r="J364" s="519">
        <v>10</v>
      </c>
    </row>
    <row r="365" spans="1:10" x14ac:dyDescent="0.25">
      <c r="A365" s="519">
        <v>364</v>
      </c>
      <c r="B365" s="519" t="s">
        <v>1206</v>
      </c>
      <c r="C365" s="519" t="s">
        <v>367</v>
      </c>
      <c r="D365" s="519" t="s">
        <v>458</v>
      </c>
      <c r="E365" s="519" t="s">
        <v>13</v>
      </c>
      <c r="F365" s="713" t="s">
        <v>20</v>
      </c>
      <c r="G365" s="519">
        <v>77</v>
      </c>
      <c r="H365" s="519">
        <v>58</v>
      </c>
      <c r="I365" s="519">
        <v>127</v>
      </c>
      <c r="J365" s="519">
        <v>15</v>
      </c>
    </row>
    <row r="366" spans="1:10" x14ac:dyDescent="0.25">
      <c r="A366" s="519">
        <v>365</v>
      </c>
      <c r="B366" s="519" t="s">
        <v>1206</v>
      </c>
      <c r="C366" s="519" t="s">
        <v>367</v>
      </c>
      <c r="D366" s="519" t="s">
        <v>248</v>
      </c>
      <c r="E366" s="519" t="s">
        <v>16</v>
      </c>
      <c r="F366" s="713" t="s">
        <v>20</v>
      </c>
      <c r="G366" s="519">
        <v>9</v>
      </c>
      <c r="H366" s="519">
        <v>8</v>
      </c>
      <c r="I366" s="519">
        <v>8</v>
      </c>
      <c r="J366" s="519">
        <v>2</v>
      </c>
    </row>
    <row r="367" spans="1:10" x14ac:dyDescent="0.25">
      <c r="A367" s="519">
        <v>366</v>
      </c>
      <c r="B367" s="519" t="s">
        <v>1206</v>
      </c>
      <c r="C367" s="519" t="s">
        <v>367</v>
      </c>
      <c r="D367" s="519" t="s">
        <v>866</v>
      </c>
      <c r="E367" s="519" t="s">
        <v>16</v>
      </c>
      <c r="F367" s="713" t="s">
        <v>20</v>
      </c>
      <c r="G367" s="519">
        <v>94</v>
      </c>
      <c r="H367" s="519">
        <v>67</v>
      </c>
      <c r="I367" s="519">
        <v>103</v>
      </c>
      <c r="J367" s="519">
        <v>14</v>
      </c>
    </row>
    <row r="368" spans="1:10" x14ac:dyDescent="0.25">
      <c r="A368" s="519">
        <v>367</v>
      </c>
      <c r="B368" s="519" t="s">
        <v>1206</v>
      </c>
      <c r="C368" s="519" t="s">
        <v>367</v>
      </c>
      <c r="D368" s="519" t="s">
        <v>926</v>
      </c>
      <c r="E368" s="519" t="s">
        <v>14</v>
      </c>
      <c r="F368" s="713" t="s">
        <v>20</v>
      </c>
      <c r="G368" s="519">
        <v>229</v>
      </c>
      <c r="H368" s="519">
        <v>170</v>
      </c>
      <c r="I368" s="519">
        <v>269</v>
      </c>
      <c r="J368" s="519">
        <v>41</v>
      </c>
    </row>
    <row r="369" spans="1:10" x14ac:dyDescent="0.25">
      <c r="A369" s="519">
        <v>368</v>
      </c>
      <c r="B369" s="519" t="s">
        <v>1206</v>
      </c>
      <c r="C369" s="519" t="s">
        <v>367</v>
      </c>
      <c r="D369" s="519" t="s">
        <v>931</v>
      </c>
      <c r="E369" s="519" t="s">
        <v>14</v>
      </c>
      <c r="F369" s="713" t="s">
        <v>20</v>
      </c>
      <c r="G369" s="519">
        <v>1</v>
      </c>
      <c r="H369" s="519">
        <v>1</v>
      </c>
      <c r="I369" s="519">
        <v>5</v>
      </c>
      <c r="J369" s="519">
        <v>0</v>
      </c>
    </row>
    <row r="370" spans="1:10" x14ac:dyDescent="0.25">
      <c r="A370" s="519">
        <v>369</v>
      </c>
      <c r="B370" s="519" t="s">
        <v>1206</v>
      </c>
      <c r="C370" s="519" t="s">
        <v>367</v>
      </c>
      <c r="D370" s="519" t="s">
        <v>919</v>
      </c>
      <c r="E370" s="519" t="s">
        <v>495</v>
      </c>
      <c r="F370" s="713" t="s">
        <v>20</v>
      </c>
      <c r="G370" s="519">
        <v>47</v>
      </c>
      <c r="H370" s="519">
        <v>36</v>
      </c>
      <c r="I370" s="519">
        <v>21</v>
      </c>
      <c r="J370" s="519">
        <v>7</v>
      </c>
    </row>
    <row r="371" spans="1:10" x14ac:dyDescent="0.25">
      <c r="A371" s="519">
        <v>370</v>
      </c>
      <c r="B371" s="519" t="s">
        <v>1206</v>
      </c>
      <c r="C371" s="519" t="s">
        <v>367</v>
      </c>
      <c r="D371" s="519" t="s">
        <v>914</v>
      </c>
      <c r="E371" s="519" t="s">
        <v>434</v>
      </c>
      <c r="F371" s="713" t="s">
        <v>20</v>
      </c>
      <c r="G371" s="519">
        <v>7</v>
      </c>
      <c r="H371" s="519">
        <v>6</v>
      </c>
      <c r="I371" s="519">
        <v>0</v>
      </c>
      <c r="J371" s="519">
        <v>0</v>
      </c>
    </row>
    <row r="372" spans="1:10" x14ac:dyDescent="0.25">
      <c r="A372" s="519">
        <v>371</v>
      </c>
      <c r="B372" s="519" t="s">
        <v>1206</v>
      </c>
      <c r="C372" s="519" t="s">
        <v>367</v>
      </c>
      <c r="D372" s="519" t="s">
        <v>958</v>
      </c>
      <c r="E372" s="519" t="s">
        <v>14</v>
      </c>
      <c r="F372" s="713" t="s">
        <v>20</v>
      </c>
      <c r="G372" s="519">
        <v>71</v>
      </c>
      <c r="H372" s="519">
        <v>65</v>
      </c>
      <c r="I372" s="519">
        <v>156</v>
      </c>
      <c r="J372" s="519">
        <v>9</v>
      </c>
    </row>
    <row r="373" spans="1:10" x14ac:dyDescent="0.25">
      <c r="A373" s="519">
        <v>372</v>
      </c>
      <c r="B373" s="519" t="s">
        <v>1206</v>
      </c>
      <c r="C373" s="519" t="s">
        <v>367</v>
      </c>
      <c r="D373" s="519" t="s">
        <v>878</v>
      </c>
      <c r="E373" s="519" t="s">
        <v>434</v>
      </c>
      <c r="F373" s="713" t="s">
        <v>20</v>
      </c>
      <c r="G373" s="519">
        <v>282</v>
      </c>
      <c r="H373" s="519">
        <v>230</v>
      </c>
      <c r="I373" s="519">
        <v>340</v>
      </c>
      <c r="J373" s="519">
        <v>41</v>
      </c>
    </row>
    <row r="374" spans="1:10" x14ac:dyDescent="0.25">
      <c r="A374" s="519">
        <v>373</v>
      </c>
      <c r="B374" s="519" t="s">
        <v>1206</v>
      </c>
      <c r="C374" s="519" t="s">
        <v>367</v>
      </c>
      <c r="D374" s="519" t="s">
        <v>1037</v>
      </c>
      <c r="E374" s="519" t="s">
        <v>434</v>
      </c>
      <c r="F374" s="713" t="s">
        <v>20</v>
      </c>
      <c r="G374" s="519">
        <v>3</v>
      </c>
      <c r="H374" s="519">
        <v>2</v>
      </c>
      <c r="I374" s="519">
        <v>3</v>
      </c>
      <c r="J374" s="519">
        <v>0</v>
      </c>
    </row>
    <row r="375" spans="1:10" x14ac:dyDescent="0.25">
      <c r="A375" s="519">
        <v>374</v>
      </c>
      <c r="B375" s="519" t="s">
        <v>1206</v>
      </c>
      <c r="C375" s="519" t="s">
        <v>367</v>
      </c>
      <c r="D375" s="519" t="s">
        <v>927</v>
      </c>
      <c r="E375" s="519" t="s">
        <v>14</v>
      </c>
      <c r="F375" s="713" t="s">
        <v>20</v>
      </c>
      <c r="G375" s="519">
        <v>71</v>
      </c>
      <c r="H375" s="519">
        <v>61</v>
      </c>
      <c r="I375" s="519">
        <v>103</v>
      </c>
      <c r="J375" s="519">
        <v>15</v>
      </c>
    </row>
    <row r="376" spans="1:10" x14ac:dyDescent="0.25">
      <c r="A376" s="519">
        <v>375</v>
      </c>
      <c r="B376" s="519" t="s">
        <v>1206</v>
      </c>
      <c r="C376" s="519" t="s">
        <v>367</v>
      </c>
      <c r="D376" s="519" t="s">
        <v>940</v>
      </c>
      <c r="E376" s="519" t="s">
        <v>495</v>
      </c>
      <c r="F376" s="713" t="s">
        <v>20</v>
      </c>
      <c r="G376" s="519">
        <v>23</v>
      </c>
      <c r="H376" s="519">
        <v>20</v>
      </c>
      <c r="I376" s="519">
        <v>12</v>
      </c>
      <c r="J376" s="519">
        <v>2</v>
      </c>
    </row>
    <row r="377" spans="1:10" x14ac:dyDescent="0.25">
      <c r="A377" s="519">
        <v>376</v>
      </c>
      <c r="B377" s="519" t="s">
        <v>1206</v>
      </c>
      <c r="C377" s="519" t="s">
        <v>367</v>
      </c>
      <c r="D377" s="519" t="s">
        <v>924</v>
      </c>
      <c r="E377" s="519" t="s">
        <v>16</v>
      </c>
      <c r="F377" s="713" t="s">
        <v>20</v>
      </c>
      <c r="G377" s="519">
        <v>4</v>
      </c>
      <c r="H377" s="519">
        <v>3</v>
      </c>
      <c r="I377" s="519">
        <v>1</v>
      </c>
      <c r="J377" s="519">
        <v>0</v>
      </c>
    </row>
    <row r="378" spans="1:10" x14ac:dyDescent="0.25">
      <c r="A378" s="519">
        <v>377</v>
      </c>
      <c r="B378" s="519" t="s">
        <v>1206</v>
      </c>
      <c r="C378" s="519" t="s">
        <v>367</v>
      </c>
      <c r="D378" s="519" t="s">
        <v>906</v>
      </c>
      <c r="E378" s="519" t="s">
        <v>14</v>
      </c>
      <c r="F378" s="713" t="s">
        <v>20</v>
      </c>
      <c r="G378" s="519">
        <v>261</v>
      </c>
      <c r="H378" s="519">
        <v>199</v>
      </c>
      <c r="I378" s="519">
        <v>270</v>
      </c>
      <c r="J378" s="519">
        <v>45</v>
      </c>
    </row>
    <row r="379" spans="1:10" x14ac:dyDescent="0.25">
      <c r="A379" s="519">
        <v>378</v>
      </c>
      <c r="B379" s="519" t="s">
        <v>1206</v>
      </c>
      <c r="C379" s="519" t="s">
        <v>367</v>
      </c>
      <c r="D379" s="519" t="s">
        <v>1110</v>
      </c>
      <c r="E379" s="519" t="s">
        <v>495</v>
      </c>
      <c r="F379" s="713" t="s">
        <v>20</v>
      </c>
      <c r="G379" s="519">
        <v>8</v>
      </c>
      <c r="H379" s="519">
        <v>8</v>
      </c>
      <c r="I379" s="519">
        <v>6</v>
      </c>
      <c r="J379" s="519">
        <v>0</v>
      </c>
    </row>
    <row r="380" spans="1:10" x14ac:dyDescent="0.25">
      <c r="A380" s="519">
        <v>379</v>
      </c>
      <c r="B380" s="519" t="s">
        <v>1206</v>
      </c>
      <c r="C380" s="519" t="s">
        <v>367</v>
      </c>
      <c r="D380" s="519" t="s">
        <v>941</v>
      </c>
      <c r="E380" s="519" t="s">
        <v>13</v>
      </c>
      <c r="F380" s="713" t="s">
        <v>20</v>
      </c>
      <c r="G380" s="519">
        <v>74</v>
      </c>
      <c r="H380" s="519">
        <v>57</v>
      </c>
      <c r="I380" s="519">
        <v>83</v>
      </c>
      <c r="J380" s="519">
        <v>14</v>
      </c>
    </row>
    <row r="381" spans="1:10" x14ac:dyDescent="0.25">
      <c r="A381" s="519">
        <v>380</v>
      </c>
      <c r="B381" s="519" t="s">
        <v>1206</v>
      </c>
      <c r="C381" s="519" t="s">
        <v>367</v>
      </c>
      <c r="D381" s="519" t="s">
        <v>894</v>
      </c>
      <c r="E381" s="519" t="s">
        <v>14</v>
      </c>
      <c r="F381" s="713" t="s">
        <v>20</v>
      </c>
      <c r="G381" s="519">
        <v>6</v>
      </c>
      <c r="H381" s="519">
        <v>4</v>
      </c>
      <c r="I381" s="519">
        <v>1</v>
      </c>
      <c r="J381" s="519">
        <v>0</v>
      </c>
    </row>
    <row r="382" spans="1:10" x14ac:dyDescent="0.25">
      <c r="A382" s="519">
        <v>381</v>
      </c>
      <c r="B382" s="519" t="s">
        <v>1206</v>
      </c>
      <c r="C382" s="519" t="s">
        <v>367</v>
      </c>
      <c r="D382" s="519" t="s">
        <v>874</v>
      </c>
      <c r="E382" s="519" t="s">
        <v>434</v>
      </c>
      <c r="F382" s="713" t="s">
        <v>20</v>
      </c>
      <c r="G382" s="519">
        <v>200</v>
      </c>
      <c r="H382" s="519">
        <v>157</v>
      </c>
      <c r="I382" s="519">
        <v>253</v>
      </c>
      <c r="J382" s="519">
        <v>31</v>
      </c>
    </row>
    <row r="383" spans="1:10" x14ac:dyDescent="0.25">
      <c r="A383" s="519">
        <v>382</v>
      </c>
      <c r="B383" s="519" t="s">
        <v>1206</v>
      </c>
      <c r="C383" s="519" t="s">
        <v>367</v>
      </c>
      <c r="D383" s="519" t="s">
        <v>937</v>
      </c>
      <c r="E383" s="519" t="s">
        <v>14</v>
      </c>
      <c r="F383" s="713" t="s">
        <v>20</v>
      </c>
      <c r="G383" s="519">
        <v>44</v>
      </c>
      <c r="H383" s="519">
        <v>34</v>
      </c>
      <c r="I383" s="519">
        <v>70</v>
      </c>
      <c r="J383" s="519">
        <v>5</v>
      </c>
    </row>
    <row r="384" spans="1:10" x14ac:dyDescent="0.25">
      <c r="A384" s="519">
        <v>383</v>
      </c>
      <c r="B384" s="519" t="s">
        <v>1206</v>
      </c>
      <c r="C384" s="519" t="s">
        <v>367</v>
      </c>
      <c r="D384" s="519" t="s">
        <v>492</v>
      </c>
      <c r="E384" s="519" t="s">
        <v>16</v>
      </c>
      <c r="F384" s="713" t="s">
        <v>20</v>
      </c>
      <c r="G384" s="519">
        <v>9</v>
      </c>
      <c r="H384" s="519">
        <v>8</v>
      </c>
      <c r="I384" s="519">
        <v>7</v>
      </c>
      <c r="J384" s="519">
        <v>0</v>
      </c>
    </row>
    <row r="385" spans="1:10" x14ac:dyDescent="0.25">
      <c r="A385" s="519">
        <v>384</v>
      </c>
      <c r="B385" s="519" t="s">
        <v>1207</v>
      </c>
      <c r="C385" s="519" t="s">
        <v>367</v>
      </c>
      <c r="D385" s="519" t="s">
        <v>864</v>
      </c>
      <c r="E385" s="519" t="s">
        <v>16</v>
      </c>
      <c r="F385" s="713" t="s">
        <v>15</v>
      </c>
      <c r="G385" s="519">
        <v>26</v>
      </c>
      <c r="H385" s="519">
        <v>21</v>
      </c>
      <c r="I385" s="519">
        <v>11</v>
      </c>
      <c r="J385" s="519">
        <v>7</v>
      </c>
    </row>
    <row r="386" spans="1:10" x14ac:dyDescent="0.25">
      <c r="A386" s="519">
        <v>385</v>
      </c>
      <c r="B386" s="519" t="s">
        <v>1207</v>
      </c>
      <c r="C386" s="519" t="s">
        <v>367</v>
      </c>
      <c r="D386" s="519" t="s">
        <v>861</v>
      </c>
      <c r="E386" s="519" t="s">
        <v>14</v>
      </c>
      <c r="F386" s="713" t="s">
        <v>15</v>
      </c>
      <c r="G386" s="519">
        <v>25</v>
      </c>
      <c r="H386" s="519">
        <v>23</v>
      </c>
      <c r="I386" s="519">
        <v>22</v>
      </c>
      <c r="J386" s="519">
        <v>9</v>
      </c>
    </row>
    <row r="387" spans="1:10" x14ac:dyDescent="0.25">
      <c r="A387" s="519">
        <v>386</v>
      </c>
      <c r="B387" s="519" t="s">
        <v>1207</v>
      </c>
      <c r="C387" s="519" t="s">
        <v>367</v>
      </c>
      <c r="D387" s="519" t="s">
        <v>930</v>
      </c>
      <c r="E387" s="519" t="s">
        <v>14</v>
      </c>
      <c r="F387" s="713" t="s">
        <v>15</v>
      </c>
      <c r="G387" s="519">
        <v>1</v>
      </c>
      <c r="H387" s="519">
        <v>1</v>
      </c>
      <c r="I387" s="519">
        <v>2</v>
      </c>
      <c r="J387" s="519">
        <v>0</v>
      </c>
    </row>
    <row r="388" spans="1:10" x14ac:dyDescent="0.25">
      <c r="A388" s="519">
        <v>387</v>
      </c>
      <c r="B388" s="519" t="s">
        <v>1207</v>
      </c>
      <c r="C388" s="519" t="s">
        <v>367</v>
      </c>
      <c r="D388" s="519" t="s">
        <v>918</v>
      </c>
      <c r="E388" s="519" t="s">
        <v>495</v>
      </c>
      <c r="F388" s="713" t="s">
        <v>15</v>
      </c>
      <c r="G388" s="519">
        <v>6</v>
      </c>
      <c r="H388" s="519">
        <v>6</v>
      </c>
      <c r="I388" s="519">
        <v>1</v>
      </c>
      <c r="J388" s="519">
        <v>0</v>
      </c>
    </row>
    <row r="389" spans="1:10" x14ac:dyDescent="0.25">
      <c r="A389" s="519">
        <v>388</v>
      </c>
      <c r="B389" s="519" t="s">
        <v>1207</v>
      </c>
      <c r="C389" s="519" t="s">
        <v>367</v>
      </c>
      <c r="D389" s="519" t="s">
        <v>1000</v>
      </c>
      <c r="E389" s="519" t="s">
        <v>14</v>
      </c>
      <c r="F389" s="713" t="s">
        <v>15</v>
      </c>
      <c r="G389" s="519">
        <v>0</v>
      </c>
      <c r="H389" s="519">
        <v>0</v>
      </c>
      <c r="I389" s="519">
        <v>1</v>
      </c>
      <c r="J389" s="519">
        <v>0</v>
      </c>
    </row>
    <row r="390" spans="1:10" x14ac:dyDescent="0.25">
      <c r="A390" s="519">
        <v>389</v>
      </c>
      <c r="B390" s="519" t="s">
        <v>1207</v>
      </c>
      <c r="C390" s="519" t="s">
        <v>367</v>
      </c>
      <c r="D390" s="519" t="s">
        <v>955</v>
      </c>
      <c r="E390" s="519" t="s">
        <v>495</v>
      </c>
      <c r="F390" s="713" t="s">
        <v>15</v>
      </c>
      <c r="G390" s="519">
        <v>7</v>
      </c>
      <c r="H390" s="519">
        <v>7</v>
      </c>
      <c r="I390" s="519">
        <v>23</v>
      </c>
      <c r="J390" s="519">
        <v>0</v>
      </c>
    </row>
    <row r="391" spans="1:10" x14ac:dyDescent="0.25">
      <c r="A391" s="519">
        <v>390</v>
      </c>
      <c r="B391" s="519" t="s">
        <v>1207</v>
      </c>
      <c r="C391" s="519" t="s">
        <v>367</v>
      </c>
      <c r="D391" s="519" t="s">
        <v>928</v>
      </c>
      <c r="E391" s="519" t="s">
        <v>14</v>
      </c>
      <c r="F391" s="713" t="s">
        <v>15</v>
      </c>
      <c r="G391" s="519">
        <v>8</v>
      </c>
      <c r="H391" s="519">
        <v>8</v>
      </c>
      <c r="I391" s="519">
        <v>2</v>
      </c>
      <c r="J391" s="519">
        <v>3</v>
      </c>
    </row>
    <row r="392" spans="1:10" x14ac:dyDescent="0.25">
      <c r="A392" s="519">
        <v>391</v>
      </c>
      <c r="B392" s="519" t="s">
        <v>1207</v>
      </c>
      <c r="C392" s="519" t="s">
        <v>367</v>
      </c>
      <c r="D392" s="519" t="s">
        <v>1209</v>
      </c>
      <c r="E392" s="519" t="s">
        <v>495</v>
      </c>
      <c r="F392" s="713" t="s">
        <v>15</v>
      </c>
      <c r="G392" s="519">
        <v>0</v>
      </c>
      <c r="H392" s="519">
        <v>0</v>
      </c>
      <c r="I392" s="519">
        <v>1</v>
      </c>
      <c r="J392" s="519">
        <v>0</v>
      </c>
    </row>
    <row r="393" spans="1:10" x14ac:dyDescent="0.25">
      <c r="A393" s="519">
        <v>392</v>
      </c>
      <c r="B393" s="519" t="s">
        <v>1207</v>
      </c>
      <c r="C393" s="519" t="s">
        <v>367</v>
      </c>
      <c r="D393" s="519" t="s">
        <v>876</v>
      </c>
      <c r="E393" s="519" t="s">
        <v>434</v>
      </c>
      <c r="F393" s="713" t="s">
        <v>15</v>
      </c>
      <c r="G393" s="519">
        <v>11</v>
      </c>
      <c r="H393" s="519">
        <v>7</v>
      </c>
      <c r="I393" s="519">
        <v>24</v>
      </c>
      <c r="J393" s="519">
        <v>7</v>
      </c>
    </row>
    <row r="394" spans="1:10" x14ac:dyDescent="0.25">
      <c r="A394" s="519">
        <v>393</v>
      </c>
      <c r="B394" s="519" t="s">
        <v>1207</v>
      </c>
      <c r="C394" s="519" t="s">
        <v>367</v>
      </c>
      <c r="D394" s="519" t="s">
        <v>935</v>
      </c>
      <c r="E394" s="519" t="s">
        <v>495</v>
      </c>
      <c r="F394" s="713" t="s">
        <v>15</v>
      </c>
      <c r="G394" s="519">
        <v>1</v>
      </c>
      <c r="H394" s="519">
        <v>1</v>
      </c>
      <c r="I394" s="519">
        <v>0</v>
      </c>
      <c r="J394" s="519">
        <v>0</v>
      </c>
    </row>
    <row r="395" spans="1:10" x14ac:dyDescent="0.25">
      <c r="A395" s="519">
        <v>394</v>
      </c>
      <c r="B395" s="519" t="s">
        <v>1207</v>
      </c>
      <c r="C395" s="519" t="s">
        <v>367</v>
      </c>
      <c r="D395" s="519" t="s">
        <v>909</v>
      </c>
      <c r="E395" s="519" t="s">
        <v>14</v>
      </c>
      <c r="F395" s="713" t="s">
        <v>15</v>
      </c>
      <c r="G395" s="519">
        <v>51</v>
      </c>
      <c r="H395" s="519">
        <v>39</v>
      </c>
      <c r="I395" s="519">
        <v>31</v>
      </c>
      <c r="J395" s="519">
        <v>23</v>
      </c>
    </row>
    <row r="396" spans="1:10" x14ac:dyDescent="0.25">
      <c r="A396" s="519">
        <v>395</v>
      </c>
      <c r="B396" s="519" t="s">
        <v>1207</v>
      </c>
      <c r="C396" s="519" t="s">
        <v>367</v>
      </c>
      <c r="D396" s="519" t="s">
        <v>943</v>
      </c>
      <c r="E396" s="519" t="s">
        <v>13</v>
      </c>
      <c r="F396" s="713" t="s">
        <v>15</v>
      </c>
      <c r="G396" s="519">
        <v>4</v>
      </c>
      <c r="H396" s="519">
        <v>4</v>
      </c>
      <c r="I396" s="519">
        <v>9</v>
      </c>
      <c r="J396" s="519">
        <v>1</v>
      </c>
    </row>
    <row r="397" spans="1:10" x14ac:dyDescent="0.25">
      <c r="A397" s="519">
        <v>396</v>
      </c>
      <c r="B397" s="519" t="s">
        <v>1208</v>
      </c>
      <c r="C397" s="519" t="s">
        <v>367</v>
      </c>
      <c r="D397" s="519" t="s">
        <v>905</v>
      </c>
      <c r="E397" s="519" t="s">
        <v>16</v>
      </c>
      <c r="F397" s="713" t="s">
        <v>20</v>
      </c>
      <c r="G397" s="519">
        <v>15</v>
      </c>
      <c r="H397" s="519">
        <v>13</v>
      </c>
      <c r="I397" s="519">
        <v>15</v>
      </c>
      <c r="J397" s="519">
        <v>0</v>
      </c>
    </row>
    <row r="398" spans="1:10" x14ac:dyDescent="0.25">
      <c r="A398" s="519">
        <v>397</v>
      </c>
      <c r="B398" s="519" t="s">
        <v>1208</v>
      </c>
      <c r="C398" s="519" t="s">
        <v>367</v>
      </c>
      <c r="D398" s="519" t="s">
        <v>1109</v>
      </c>
      <c r="E398" s="519" t="s">
        <v>16</v>
      </c>
      <c r="F398" s="713" t="s">
        <v>20</v>
      </c>
      <c r="G398" s="519">
        <v>1</v>
      </c>
      <c r="H398" s="519">
        <v>1</v>
      </c>
      <c r="I398" s="519">
        <v>0</v>
      </c>
      <c r="J398" s="519">
        <v>0</v>
      </c>
    </row>
    <row r="399" spans="1:10" x14ac:dyDescent="0.25">
      <c r="A399" s="519">
        <v>398</v>
      </c>
      <c r="B399" s="519" t="s">
        <v>1207</v>
      </c>
      <c r="C399" s="519" t="s">
        <v>341</v>
      </c>
      <c r="D399" s="519" t="s">
        <v>861</v>
      </c>
      <c r="E399" s="519" t="s">
        <v>14</v>
      </c>
      <c r="F399" s="713" t="s">
        <v>15</v>
      </c>
      <c r="G399" s="519">
        <v>2</v>
      </c>
      <c r="H399" s="519">
        <v>1</v>
      </c>
      <c r="I399" s="519">
        <v>5</v>
      </c>
      <c r="J399" s="519">
        <v>1</v>
      </c>
    </row>
    <row r="400" spans="1:10" x14ac:dyDescent="0.25">
      <c r="A400" s="519">
        <v>399</v>
      </c>
      <c r="B400" s="519" t="s">
        <v>1207</v>
      </c>
      <c r="C400" s="519" t="s">
        <v>341</v>
      </c>
      <c r="D400" s="519" t="s">
        <v>928</v>
      </c>
      <c r="E400" s="519" t="s">
        <v>14</v>
      </c>
      <c r="F400" s="713" t="s">
        <v>15</v>
      </c>
      <c r="G400" s="519">
        <v>1</v>
      </c>
      <c r="H400" s="519">
        <v>0</v>
      </c>
      <c r="I400" s="519">
        <v>1</v>
      </c>
      <c r="J400" s="519">
        <v>1</v>
      </c>
    </row>
    <row r="401" spans="1:10" x14ac:dyDescent="0.25">
      <c r="A401" s="519">
        <v>400</v>
      </c>
      <c r="B401" s="519" t="s">
        <v>1207</v>
      </c>
      <c r="C401" s="519" t="s">
        <v>341</v>
      </c>
      <c r="D401" s="519" t="s">
        <v>876</v>
      </c>
      <c r="E401" s="519" t="s">
        <v>434</v>
      </c>
      <c r="F401" s="713" t="s">
        <v>15</v>
      </c>
      <c r="G401" s="519">
        <v>0</v>
      </c>
      <c r="H401" s="519">
        <v>0</v>
      </c>
      <c r="I401" s="519">
        <v>7</v>
      </c>
      <c r="J401" s="519">
        <v>0</v>
      </c>
    </row>
    <row r="402" spans="1:10" x14ac:dyDescent="0.25">
      <c r="A402" s="519">
        <v>401</v>
      </c>
      <c r="B402" s="519" t="s">
        <v>1207</v>
      </c>
      <c r="C402" s="519" t="s">
        <v>341</v>
      </c>
      <c r="D402" s="519" t="s">
        <v>935</v>
      </c>
      <c r="E402" s="519" t="s">
        <v>495</v>
      </c>
      <c r="F402" s="713" t="s">
        <v>15</v>
      </c>
      <c r="G402" s="519">
        <v>3</v>
      </c>
      <c r="H402" s="519">
        <v>2</v>
      </c>
      <c r="I402" s="519">
        <v>1</v>
      </c>
      <c r="J402" s="519">
        <v>1</v>
      </c>
    </row>
    <row r="403" spans="1:10" x14ac:dyDescent="0.25">
      <c r="A403" s="519">
        <v>402</v>
      </c>
      <c r="B403" s="519" t="s">
        <v>1207</v>
      </c>
      <c r="C403" s="519" t="s">
        <v>341</v>
      </c>
      <c r="D403" s="519" t="s">
        <v>909</v>
      </c>
      <c r="E403" s="519" t="s">
        <v>14</v>
      </c>
      <c r="F403" s="713" t="s">
        <v>15</v>
      </c>
      <c r="G403" s="519">
        <v>10</v>
      </c>
      <c r="H403" s="519">
        <v>8</v>
      </c>
      <c r="I403" s="519">
        <v>4</v>
      </c>
      <c r="J403" s="519">
        <v>3</v>
      </c>
    </row>
    <row r="404" spans="1:10" x14ac:dyDescent="0.25">
      <c r="A404" s="519">
        <v>403</v>
      </c>
      <c r="B404" s="519" t="s">
        <v>1207</v>
      </c>
      <c r="C404" s="519" t="s">
        <v>341</v>
      </c>
      <c r="D404" s="519" t="s">
        <v>943</v>
      </c>
      <c r="E404" s="519" t="s">
        <v>13</v>
      </c>
      <c r="F404" s="713" t="s">
        <v>15</v>
      </c>
      <c r="G404" s="519">
        <v>0</v>
      </c>
      <c r="H404" s="519">
        <v>0</v>
      </c>
      <c r="I404" s="519">
        <v>1</v>
      </c>
      <c r="J404" s="519">
        <v>0</v>
      </c>
    </row>
    <row r="405" spans="1:10" x14ac:dyDescent="0.25">
      <c r="A405" s="519">
        <v>404</v>
      </c>
      <c r="B405" s="519" t="s">
        <v>1207</v>
      </c>
      <c r="C405" s="519" t="s">
        <v>342</v>
      </c>
      <c r="D405" s="519" t="s">
        <v>897</v>
      </c>
      <c r="E405" s="519" t="s">
        <v>14</v>
      </c>
      <c r="F405" s="713" t="s">
        <v>15</v>
      </c>
      <c r="G405" s="519">
        <v>2</v>
      </c>
      <c r="H405" s="519">
        <v>2</v>
      </c>
      <c r="I405" s="519">
        <v>0</v>
      </c>
      <c r="J405" s="519">
        <v>0</v>
      </c>
    </row>
    <row r="406" spans="1:10" x14ac:dyDescent="0.25">
      <c r="A406" s="519">
        <v>405</v>
      </c>
      <c r="B406" s="519" t="s">
        <v>1207</v>
      </c>
      <c r="C406" s="519" t="s">
        <v>342</v>
      </c>
      <c r="D406" s="519" t="s">
        <v>876</v>
      </c>
      <c r="E406" s="519" t="s">
        <v>434</v>
      </c>
      <c r="F406" s="713" t="s">
        <v>15</v>
      </c>
      <c r="G406" s="519">
        <v>7</v>
      </c>
      <c r="H406" s="519">
        <v>2</v>
      </c>
      <c r="I406" s="519">
        <v>5</v>
      </c>
      <c r="J406" s="519">
        <v>7</v>
      </c>
    </row>
    <row r="407" spans="1:10" x14ac:dyDescent="0.25">
      <c r="A407" s="519">
        <v>406</v>
      </c>
      <c r="B407" s="519" t="s">
        <v>1206</v>
      </c>
      <c r="C407" s="519" t="s">
        <v>343</v>
      </c>
      <c r="D407" s="519" t="s">
        <v>906</v>
      </c>
      <c r="E407" s="519" t="s">
        <v>14</v>
      </c>
      <c r="F407" s="713" t="s">
        <v>20</v>
      </c>
      <c r="G407" s="519">
        <v>2</v>
      </c>
      <c r="H407" s="519">
        <v>1</v>
      </c>
      <c r="I407" s="519">
        <v>24</v>
      </c>
      <c r="J407" s="519">
        <v>2</v>
      </c>
    </row>
    <row r="408" spans="1:10" x14ac:dyDescent="0.25">
      <c r="A408" s="519">
        <v>407</v>
      </c>
      <c r="B408" s="519" t="s">
        <v>1206</v>
      </c>
      <c r="C408" s="519" t="s">
        <v>343</v>
      </c>
      <c r="D408" s="519" t="s">
        <v>874</v>
      </c>
      <c r="E408" s="519" t="s">
        <v>434</v>
      </c>
      <c r="F408" s="713" t="s">
        <v>20</v>
      </c>
      <c r="G408" s="519">
        <v>1</v>
      </c>
      <c r="H408" s="519">
        <v>0</v>
      </c>
      <c r="I408" s="519">
        <v>14</v>
      </c>
      <c r="J408" s="519">
        <v>1</v>
      </c>
    </row>
    <row r="409" spans="1:10" x14ac:dyDescent="0.25">
      <c r="A409" s="519">
        <v>408</v>
      </c>
      <c r="B409" s="519" t="s">
        <v>1207</v>
      </c>
      <c r="C409" s="519" t="s">
        <v>343</v>
      </c>
      <c r="D409" s="519" t="s">
        <v>897</v>
      </c>
      <c r="E409" s="519" t="s">
        <v>14</v>
      </c>
      <c r="F409" s="713" t="s">
        <v>15</v>
      </c>
      <c r="G409" s="519">
        <v>3</v>
      </c>
      <c r="H409" s="519">
        <v>3</v>
      </c>
      <c r="I409" s="519">
        <v>2</v>
      </c>
      <c r="J409" s="519">
        <v>0</v>
      </c>
    </row>
    <row r="410" spans="1:10" x14ac:dyDescent="0.25">
      <c r="A410" s="519">
        <v>409</v>
      </c>
      <c r="B410" s="519" t="s">
        <v>1207</v>
      </c>
      <c r="C410" s="519" t="s">
        <v>343</v>
      </c>
      <c r="D410" s="519" t="s">
        <v>876</v>
      </c>
      <c r="E410" s="519" t="s">
        <v>434</v>
      </c>
      <c r="F410" s="713" t="s">
        <v>15</v>
      </c>
      <c r="G410" s="519">
        <v>3</v>
      </c>
      <c r="H410" s="519">
        <v>3</v>
      </c>
      <c r="I410" s="519">
        <v>14</v>
      </c>
      <c r="J410" s="519">
        <v>1</v>
      </c>
    </row>
    <row r="411" spans="1:10" x14ac:dyDescent="0.25">
      <c r="A411" s="519">
        <v>410</v>
      </c>
      <c r="B411" s="519" t="s">
        <v>1207</v>
      </c>
      <c r="C411" s="519" t="s">
        <v>343</v>
      </c>
      <c r="D411" s="519" t="s">
        <v>909</v>
      </c>
      <c r="E411" s="519" t="s">
        <v>14</v>
      </c>
      <c r="F411" s="713" t="s">
        <v>15</v>
      </c>
      <c r="G411" s="519">
        <v>9</v>
      </c>
      <c r="H411" s="519">
        <v>7</v>
      </c>
      <c r="I411" s="519">
        <v>7</v>
      </c>
      <c r="J411" s="519">
        <v>3</v>
      </c>
    </row>
    <row r="412" spans="1:10" x14ac:dyDescent="0.25">
      <c r="A412" s="519">
        <v>411</v>
      </c>
      <c r="B412" s="519" t="s">
        <v>1206</v>
      </c>
      <c r="C412" s="519" t="s">
        <v>344</v>
      </c>
      <c r="D412" s="519" t="s">
        <v>914</v>
      </c>
      <c r="E412" s="519" t="s">
        <v>434</v>
      </c>
      <c r="F412" s="713" t="s">
        <v>20</v>
      </c>
      <c r="G412" s="519">
        <v>1</v>
      </c>
      <c r="H412" s="519">
        <v>1</v>
      </c>
      <c r="I412" s="519">
        <v>0</v>
      </c>
      <c r="J412" s="519">
        <v>0</v>
      </c>
    </row>
    <row r="413" spans="1:10" x14ac:dyDescent="0.25">
      <c r="A413" s="519">
        <v>412</v>
      </c>
      <c r="B413" s="519" t="s">
        <v>1206</v>
      </c>
      <c r="C413" s="519" t="s">
        <v>344</v>
      </c>
      <c r="D413" s="519" t="s">
        <v>906</v>
      </c>
      <c r="E413" s="519" t="s">
        <v>14</v>
      </c>
      <c r="F413" s="713" t="s">
        <v>20</v>
      </c>
      <c r="G413" s="519">
        <v>26</v>
      </c>
      <c r="H413" s="519">
        <v>15</v>
      </c>
      <c r="I413" s="519">
        <v>102</v>
      </c>
      <c r="J413" s="519">
        <v>18</v>
      </c>
    </row>
    <row r="414" spans="1:10" x14ac:dyDescent="0.25">
      <c r="A414" s="519">
        <v>413</v>
      </c>
      <c r="B414" s="519" t="s">
        <v>1206</v>
      </c>
      <c r="C414" s="519" t="s">
        <v>344</v>
      </c>
      <c r="D414" s="519" t="s">
        <v>894</v>
      </c>
      <c r="E414" s="519" t="s">
        <v>14</v>
      </c>
      <c r="F414" s="713" t="s">
        <v>20</v>
      </c>
      <c r="G414" s="519">
        <v>2</v>
      </c>
      <c r="H414" s="519">
        <v>1</v>
      </c>
      <c r="I414" s="519">
        <v>3</v>
      </c>
      <c r="J414" s="519">
        <v>1</v>
      </c>
    </row>
    <row r="415" spans="1:10" x14ac:dyDescent="0.25">
      <c r="A415" s="519">
        <v>414</v>
      </c>
      <c r="B415" s="519" t="s">
        <v>1206</v>
      </c>
      <c r="C415" s="519" t="s">
        <v>344</v>
      </c>
      <c r="D415" s="519" t="s">
        <v>874</v>
      </c>
      <c r="E415" s="519" t="s">
        <v>434</v>
      </c>
      <c r="F415" s="713" t="s">
        <v>20</v>
      </c>
      <c r="G415" s="519">
        <v>20</v>
      </c>
      <c r="H415" s="519">
        <v>12</v>
      </c>
      <c r="I415" s="519">
        <v>94</v>
      </c>
      <c r="J415" s="519">
        <v>14</v>
      </c>
    </row>
    <row r="416" spans="1:10" x14ac:dyDescent="0.25">
      <c r="A416" s="519">
        <v>415</v>
      </c>
      <c r="B416" s="519" t="s">
        <v>1206</v>
      </c>
      <c r="C416" s="519" t="s">
        <v>344</v>
      </c>
      <c r="D416" s="519" t="s">
        <v>899</v>
      </c>
      <c r="E416" s="519" t="s">
        <v>14</v>
      </c>
      <c r="F416" s="713" t="s">
        <v>20</v>
      </c>
      <c r="G416" s="519">
        <v>1</v>
      </c>
      <c r="H416" s="519">
        <v>1</v>
      </c>
      <c r="I416" s="519">
        <v>3</v>
      </c>
      <c r="J416" s="519">
        <v>0</v>
      </c>
    </row>
    <row r="417" spans="1:10" x14ac:dyDescent="0.25">
      <c r="A417" s="519">
        <v>416</v>
      </c>
      <c r="B417" s="519" t="s">
        <v>1206</v>
      </c>
      <c r="C417" s="519" t="s">
        <v>344</v>
      </c>
      <c r="D417" s="519" t="s">
        <v>886</v>
      </c>
      <c r="E417" s="519" t="s">
        <v>495</v>
      </c>
      <c r="F417" s="713" t="s">
        <v>20</v>
      </c>
      <c r="G417" s="519">
        <v>1</v>
      </c>
      <c r="H417" s="519">
        <v>1</v>
      </c>
      <c r="I417" s="519">
        <v>6</v>
      </c>
      <c r="J417" s="519">
        <v>0</v>
      </c>
    </row>
    <row r="418" spans="1:10" x14ac:dyDescent="0.25">
      <c r="A418" s="519">
        <v>417</v>
      </c>
      <c r="B418" s="519" t="s">
        <v>1206</v>
      </c>
      <c r="C418" s="519" t="s">
        <v>344</v>
      </c>
      <c r="D418" s="519" t="s">
        <v>492</v>
      </c>
      <c r="E418" s="519" t="s">
        <v>16</v>
      </c>
      <c r="F418" s="713" t="s">
        <v>20</v>
      </c>
      <c r="G418" s="519">
        <v>1</v>
      </c>
      <c r="H418" s="519">
        <v>1</v>
      </c>
      <c r="I418" s="519">
        <v>1</v>
      </c>
      <c r="J418" s="519">
        <v>0</v>
      </c>
    </row>
    <row r="419" spans="1:10" x14ac:dyDescent="0.25">
      <c r="A419" s="519">
        <v>418</v>
      </c>
      <c r="B419" s="519" t="s">
        <v>1207</v>
      </c>
      <c r="C419" s="519" t="s">
        <v>344</v>
      </c>
      <c r="D419" s="519" t="s">
        <v>897</v>
      </c>
      <c r="E419" s="519" t="s">
        <v>14</v>
      </c>
      <c r="F419" s="713" t="s">
        <v>15</v>
      </c>
      <c r="G419" s="519">
        <v>0</v>
      </c>
      <c r="H419" s="519">
        <v>0</v>
      </c>
      <c r="I419" s="519">
        <v>4</v>
      </c>
      <c r="J419" s="519">
        <v>0</v>
      </c>
    </row>
    <row r="420" spans="1:10" x14ac:dyDescent="0.25">
      <c r="A420" s="519">
        <v>419</v>
      </c>
      <c r="B420" s="519" t="s">
        <v>1207</v>
      </c>
      <c r="C420" s="519" t="s">
        <v>344</v>
      </c>
      <c r="D420" s="519" t="s">
        <v>876</v>
      </c>
      <c r="E420" s="519" t="s">
        <v>434</v>
      </c>
      <c r="F420" s="713" t="s">
        <v>15</v>
      </c>
      <c r="G420" s="519">
        <v>26</v>
      </c>
      <c r="H420" s="519">
        <v>21</v>
      </c>
      <c r="I420" s="519">
        <v>52</v>
      </c>
      <c r="J420" s="519">
        <v>7</v>
      </c>
    </row>
    <row r="421" spans="1:10" x14ac:dyDescent="0.25">
      <c r="A421" s="519">
        <v>420</v>
      </c>
      <c r="B421" s="519" t="s">
        <v>1207</v>
      </c>
      <c r="C421" s="519" t="s">
        <v>344</v>
      </c>
      <c r="D421" s="519" t="s">
        <v>909</v>
      </c>
      <c r="E421" s="519" t="s">
        <v>14</v>
      </c>
      <c r="F421" s="713" t="s">
        <v>15</v>
      </c>
      <c r="G421" s="519">
        <v>40</v>
      </c>
      <c r="H421" s="519">
        <v>37</v>
      </c>
      <c r="I421" s="519">
        <v>57</v>
      </c>
      <c r="J421" s="519">
        <v>13</v>
      </c>
    </row>
    <row r="422" spans="1:10" x14ac:dyDescent="0.25">
      <c r="A422" s="519">
        <v>421</v>
      </c>
      <c r="B422" s="519" t="s">
        <v>1207</v>
      </c>
      <c r="C422" s="519" t="s">
        <v>344</v>
      </c>
      <c r="D422" s="519" t="s">
        <v>492</v>
      </c>
      <c r="E422" s="519" t="s">
        <v>16</v>
      </c>
      <c r="F422" s="713" t="s">
        <v>15</v>
      </c>
      <c r="G422" s="519">
        <v>1</v>
      </c>
      <c r="H422" s="519">
        <v>1</v>
      </c>
      <c r="I422" s="519">
        <v>0</v>
      </c>
      <c r="J422" s="519">
        <v>0</v>
      </c>
    </row>
    <row r="423" spans="1:10" x14ac:dyDescent="0.25">
      <c r="A423" s="519">
        <v>422</v>
      </c>
      <c r="B423" s="519" t="s">
        <v>1208</v>
      </c>
      <c r="C423" s="519" t="s">
        <v>344</v>
      </c>
      <c r="D423" s="519" t="s">
        <v>905</v>
      </c>
      <c r="E423" s="519" t="s">
        <v>16</v>
      </c>
      <c r="F423" s="713" t="s">
        <v>20</v>
      </c>
      <c r="G423" s="519">
        <v>0</v>
      </c>
      <c r="H423" s="519">
        <v>0</v>
      </c>
      <c r="I423" s="519">
        <v>2</v>
      </c>
      <c r="J423" s="519">
        <v>0</v>
      </c>
    </row>
    <row r="424" spans="1:10" x14ac:dyDescent="0.25">
      <c r="A424" s="519">
        <v>423</v>
      </c>
      <c r="B424" s="519" t="s">
        <v>1207</v>
      </c>
      <c r="C424" s="519" t="s">
        <v>345</v>
      </c>
      <c r="D424" s="519" t="s">
        <v>876</v>
      </c>
      <c r="E424" s="519" t="s">
        <v>434</v>
      </c>
      <c r="F424" s="713" t="s">
        <v>15</v>
      </c>
      <c r="G424" s="519">
        <v>0</v>
      </c>
      <c r="H424" s="519">
        <v>0</v>
      </c>
      <c r="I424" s="519">
        <v>4</v>
      </c>
      <c r="J424" s="519">
        <v>0</v>
      </c>
    </row>
    <row r="425" spans="1:10" x14ac:dyDescent="0.25">
      <c r="A425" s="519">
        <v>424</v>
      </c>
      <c r="B425" s="519" t="s">
        <v>1207</v>
      </c>
      <c r="C425" s="519" t="s">
        <v>345</v>
      </c>
      <c r="D425" s="519" t="s">
        <v>909</v>
      </c>
      <c r="E425" s="519" t="s">
        <v>14</v>
      </c>
      <c r="F425" s="713" t="s">
        <v>15</v>
      </c>
      <c r="G425" s="519">
        <v>2</v>
      </c>
      <c r="H425" s="519">
        <v>1</v>
      </c>
      <c r="I425" s="519">
        <v>4</v>
      </c>
      <c r="J425" s="519">
        <v>1</v>
      </c>
    </row>
    <row r="426" spans="1:10" x14ac:dyDescent="0.25">
      <c r="A426" s="519">
        <v>425</v>
      </c>
      <c r="B426" s="519" t="s">
        <v>1207</v>
      </c>
      <c r="C426" s="519" t="s">
        <v>346</v>
      </c>
      <c r="D426" s="519" t="s">
        <v>897</v>
      </c>
      <c r="E426" s="519" t="s">
        <v>14</v>
      </c>
      <c r="F426" s="713" t="s">
        <v>15</v>
      </c>
      <c r="G426" s="519">
        <v>1</v>
      </c>
      <c r="H426" s="519">
        <v>1</v>
      </c>
      <c r="I426" s="519">
        <v>1</v>
      </c>
      <c r="J426" s="519">
        <v>1</v>
      </c>
    </row>
    <row r="427" spans="1:10" x14ac:dyDescent="0.25">
      <c r="A427" s="519">
        <v>426</v>
      </c>
      <c r="B427" s="519" t="s">
        <v>1207</v>
      </c>
      <c r="C427" s="519" t="s">
        <v>346</v>
      </c>
      <c r="D427" s="519" t="s">
        <v>876</v>
      </c>
      <c r="E427" s="519" t="s">
        <v>434</v>
      </c>
      <c r="F427" s="713" t="s">
        <v>15</v>
      </c>
      <c r="G427" s="519">
        <v>1</v>
      </c>
      <c r="H427" s="519">
        <v>1</v>
      </c>
      <c r="I427" s="519">
        <v>3</v>
      </c>
      <c r="J427" s="519">
        <v>0</v>
      </c>
    </row>
    <row r="428" spans="1:10" x14ac:dyDescent="0.25">
      <c r="A428" s="519">
        <v>427</v>
      </c>
      <c r="B428" s="519" t="s">
        <v>1207</v>
      </c>
      <c r="C428" s="519" t="s">
        <v>347</v>
      </c>
      <c r="D428" s="519" t="s">
        <v>897</v>
      </c>
      <c r="E428" s="519" t="s">
        <v>14</v>
      </c>
      <c r="F428" s="713" t="s">
        <v>15</v>
      </c>
      <c r="G428" s="519">
        <v>1</v>
      </c>
      <c r="H428" s="519">
        <v>1</v>
      </c>
      <c r="I428" s="519">
        <v>1</v>
      </c>
      <c r="J428" s="519">
        <v>0</v>
      </c>
    </row>
    <row r="429" spans="1:10" x14ac:dyDescent="0.25">
      <c r="A429" s="519">
        <v>428</v>
      </c>
      <c r="B429" s="519" t="s">
        <v>1207</v>
      </c>
      <c r="C429" s="519" t="s">
        <v>347</v>
      </c>
      <c r="D429" s="519" t="s">
        <v>876</v>
      </c>
      <c r="E429" s="519" t="s">
        <v>434</v>
      </c>
      <c r="F429" s="713" t="s">
        <v>15</v>
      </c>
      <c r="G429" s="519">
        <v>0</v>
      </c>
      <c r="H429" s="519">
        <v>0</v>
      </c>
      <c r="I429" s="519">
        <v>1</v>
      </c>
      <c r="J429" s="519">
        <v>0</v>
      </c>
    </row>
    <row r="430" spans="1:10" x14ac:dyDescent="0.25">
      <c r="A430" s="519">
        <v>429</v>
      </c>
      <c r="B430" s="519" t="s">
        <v>1207</v>
      </c>
      <c r="C430" s="519" t="s">
        <v>348</v>
      </c>
      <c r="D430" s="519" t="s">
        <v>897</v>
      </c>
      <c r="E430" s="519" t="s">
        <v>14</v>
      </c>
      <c r="F430" s="713" t="s">
        <v>15</v>
      </c>
      <c r="G430" s="519">
        <v>2</v>
      </c>
      <c r="H430" s="519">
        <v>2</v>
      </c>
      <c r="I430" s="519">
        <v>3</v>
      </c>
      <c r="J430" s="519">
        <v>1</v>
      </c>
    </row>
    <row r="431" spans="1:10" x14ac:dyDescent="0.25">
      <c r="A431" s="519">
        <v>430</v>
      </c>
      <c r="B431" s="519" t="s">
        <v>1207</v>
      </c>
      <c r="C431" s="519" t="s">
        <v>348</v>
      </c>
      <c r="D431" s="519" t="s">
        <v>876</v>
      </c>
      <c r="E431" s="519" t="s">
        <v>434</v>
      </c>
      <c r="F431" s="713" t="s">
        <v>15</v>
      </c>
      <c r="G431" s="519">
        <v>1</v>
      </c>
      <c r="H431" s="519">
        <v>1</v>
      </c>
      <c r="I431" s="519">
        <v>10</v>
      </c>
      <c r="J431" s="519">
        <v>0</v>
      </c>
    </row>
    <row r="432" spans="1:10" x14ac:dyDescent="0.25">
      <c r="A432" s="519">
        <v>431</v>
      </c>
      <c r="B432" s="519" t="s">
        <v>1206</v>
      </c>
      <c r="C432" s="519" t="s">
        <v>349</v>
      </c>
      <c r="D432" s="519" t="s">
        <v>465</v>
      </c>
      <c r="E432" s="519" t="s">
        <v>13</v>
      </c>
      <c r="F432" s="713" t="s">
        <v>20</v>
      </c>
      <c r="G432" s="519">
        <v>3</v>
      </c>
      <c r="H432" s="519">
        <v>3</v>
      </c>
      <c r="I432" s="519">
        <v>5</v>
      </c>
      <c r="J432" s="519">
        <v>0</v>
      </c>
    </row>
    <row r="433" spans="1:10" x14ac:dyDescent="0.25">
      <c r="A433" s="519">
        <v>432</v>
      </c>
      <c r="B433" s="519" t="s">
        <v>1206</v>
      </c>
      <c r="C433" s="519" t="s">
        <v>349</v>
      </c>
      <c r="D433" s="519" t="s">
        <v>458</v>
      </c>
      <c r="E433" s="519" t="s">
        <v>13</v>
      </c>
      <c r="F433" s="713" t="s">
        <v>20</v>
      </c>
      <c r="G433" s="519">
        <v>1</v>
      </c>
      <c r="H433" s="519">
        <v>1</v>
      </c>
      <c r="I433" s="519">
        <v>2</v>
      </c>
      <c r="J433" s="519">
        <v>0</v>
      </c>
    </row>
    <row r="434" spans="1:10" x14ac:dyDescent="0.25">
      <c r="A434" s="519">
        <v>433</v>
      </c>
      <c r="B434" s="519" t="s">
        <v>1206</v>
      </c>
      <c r="C434" s="519" t="s">
        <v>349</v>
      </c>
      <c r="D434" s="519" t="s">
        <v>866</v>
      </c>
      <c r="E434" s="519" t="s">
        <v>16</v>
      </c>
      <c r="F434" s="713" t="s">
        <v>20</v>
      </c>
      <c r="G434" s="519">
        <v>2</v>
      </c>
      <c r="H434" s="519">
        <v>1</v>
      </c>
      <c r="I434" s="519">
        <v>0</v>
      </c>
      <c r="J434" s="519">
        <v>0</v>
      </c>
    </row>
    <row r="435" spans="1:10" x14ac:dyDescent="0.25">
      <c r="A435" s="519">
        <v>434</v>
      </c>
      <c r="B435" s="519" t="s">
        <v>1207</v>
      </c>
      <c r="C435" s="519" t="s">
        <v>349</v>
      </c>
      <c r="D435" s="519" t="s">
        <v>864</v>
      </c>
      <c r="E435" s="519" t="s">
        <v>16</v>
      </c>
      <c r="F435" s="713" t="s">
        <v>15</v>
      </c>
      <c r="G435" s="519">
        <v>9</v>
      </c>
      <c r="H435" s="519">
        <v>8</v>
      </c>
      <c r="I435" s="519">
        <v>4</v>
      </c>
      <c r="J435" s="519">
        <v>2</v>
      </c>
    </row>
    <row r="436" spans="1:10" x14ac:dyDescent="0.25">
      <c r="A436" s="519">
        <v>435</v>
      </c>
      <c r="B436" s="519" t="s">
        <v>1207</v>
      </c>
      <c r="C436" s="519" t="s">
        <v>349</v>
      </c>
      <c r="D436" s="519" t="s">
        <v>861</v>
      </c>
      <c r="E436" s="519" t="s">
        <v>14</v>
      </c>
      <c r="F436" s="713" t="s">
        <v>15</v>
      </c>
      <c r="G436" s="519">
        <v>26</v>
      </c>
      <c r="H436" s="519">
        <v>24</v>
      </c>
      <c r="I436" s="519">
        <v>30</v>
      </c>
      <c r="J436" s="519">
        <v>6</v>
      </c>
    </row>
    <row r="437" spans="1:10" x14ac:dyDescent="0.25">
      <c r="A437" s="519">
        <v>436</v>
      </c>
      <c r="B437" s="519" t="s">
        <v>1207</v>
      </c>
      <c r="C437" s="519" t="s">
        <v>349</v>
      </c>
      <c r="D437" s="519" t="s">
        <v>954</v>
      </c>
      <c r="E437" s="519" t="s">
        <v>16</v>
      </c>
      <c r="F437" s="713" t="s">
        <v>15</v>
      </c>
      <c r="G437" s="519">
        <v>1</v>
      </c>
      <c r="H437" s="519">
        <v>1</v>
      </c>
      <c r="I437" s="519">
        <v>1</v>
      </c>
      <c r="J437" s="519">
        <v>1</v>
      </c>
    </row>
    <row r="438" spans="1:10" x14ac:dyDescent="0.25">
      <c r="A438" s="519">
        <v>437</v>
      </c>
      <c r="B438" s="519" t="s">
        <v>1207</v>
      </c>
      <c r="C438" s="519" t="s">
        <v>349</v>
      </c>
      <c r="D438" s="519" t="s">
        <v>876</v>
      </c>
      <c r="E438" s="519" t="s">
        <v>434</v>
      </c>
      <c r="F438" s="713" t="s">
        <v>15</v>
      </c>
      <c r="G438" s="519">
        <v>11</v>
      </c>
      <c r="H438" s="519">
        <v>10</v>
      </c>
      <c r="I438" s="519">
        <v>29</v>
      </c>
      <c r="J438" s="519">
        <v>6</v>
      </c>
    </row>
    <row r="439" spans="1:10" x14ac:dyDescent="0.25">
      <c r="A439" s="519">
        <v>438</v>
      </c>
      <c r="B439" s="519" t="s">
        <v>1207</v>
      </c>
      <c r="C439" s="519" t="s">
        <v>349</v>
      </c>
      <c r="D439" s="519" t="s">
        <v>935</v>
      </c>
      <c r="E439" s="519" t="s">
        <v>495</v>
      </c>
      <c r="F439" s="713" t="s">
        <v>15</v>
      </c>
      <c r="G439" s="519">
        <v>1</v>
      </c>
      <c r="H439" s="519">
        <v>1</v>
      </c>
      <c r="I439" s="519">
        <v>0</v>
      </c>
      <c r="J439" s="519">
        <v>0</v>
      </c>
    </row>
    <row r="440" spans="1:10" x14ac:dyDescent="0.25">
      <c r="A440" s="519">
        <v>439</v>
      </c>
      <c r="B440" s="519" t="s">
        <v>1207</v>
      </c>
      <c r="C440" s="519" t="s">
        <v>349</v>
      </c>
      <c r="D440" s="519" t="s">
        <v>909</v>
      </c>
      <c r="E440" s="519" t="s">
        <v>14</v>
      </c>
      <c r="F440" s="713" t="s">
        <v>15</v>
      </c>
      <c r="G440" s="519">
        <v>33</v>
      </c>
      <c r="H440" s="519">
        <v>28</v>
      </c>
      <c r="I440" s="519">
        <v>57</v>
      </c>
      <c r="J440" s="519">
        <v>10</v>
      </c>
    </row>
    <row r="441" spans="1:10" x14ac:dyDescent="0.25">
      <c r="A441" s="519">
        <v>440</v>
      </c>
      <c r="B441" s="519" t="s">
        <v>1207</v>
      </c>
      <c r="C441" s="519" t="s">
        <v>349</v>
      </c>
      <c r="D441" s="519" t="s">
        <v>943</v>
      </c>
      <c r="E441" s="519" t="s">
        <v>13</v>
      </c>
      <c r="F441" s="713" t="s">
        <v>15</v>
      </c>
      <c r="G441" s="519">
        <v>1</v>
      </c>
      <c r="H441" s="519">
        <v>1</v>
      </c>
      <c r="I441" s="519">
        <v>9</v>
      </c>
      <c r="J441" s="519">
        <v>0</v>
      </c>
    </row>
    <row r="442" spans="1:10" x14ac:dyDescent="0.25">
      <c r="A442" s="519">
        <v>441</v>
      </c>
      <c r="B442" s="519" t="s">
        <v>1207</v>
      </c>
      <c r="C442" s="519" t="s">
        <v>349</v>
      </c>
      <c r="D442" s="519" t="s">
        <v>1059</v>
      </c>
      <c r="E442" s="519" t="s">
        <v>14</v>
      </c>
      <c r="F442" s="713" t="s">
        <v>15</v>
      </c>
      <c r="G442" s="519">
        <v>0</v>
      </c>
      <c r="H442" s="519">
        <v>0</v>
      </c>
      <c r="I442" s="519">
        <v>1</v>
      </c>
      <c r="J442" s="519">
        <v>0</v>
      </c>
    </row>
    <row r="443" spans="1:10" x14ac:dyDescent="0.25">
      <c r="A443" s="519">
        <v>442</v>
      </c>
      <c r="B443" s="519" t="s">
        <v>1207</v>
      </c>
      <c r="C443" s="519" t="s">
        <v>350</v>
      </c>
      <c r="D443" s="519" t="s">
        <v>928</v>
      </c>
      <c r="E443" s="519" t="s">
        <v>14</v>
      </c>
      <c r="F443" s="713" t="s">
        <v>15</v>
      </c>
      <c r="G443" s="519">
        <v>0</v>
      </c>
      <c r="H443" s="519">
        <v>0</v>
      </c>
      <c r="I443" s="519">
        <v>1</v>
      </c>
      <c r="J443" s="519">
        <v>0</v>
      </c>
    </row>
    <row r="444" spans="1:10" x14ac:dyDescent="0.25">
      <c r="A444" s="519">
        <v>443</v>
      </c>
      <c r="B444" s="519" t="s">
        <v>1207</v>
      </c>
      <c r="C444" s="519" t="s">
        <v>350</v>
      </c>
      <c r="D444" s="519" t="s">
        <v>876</v>
      </c>
      <c r="E444" s="519" t="s">
        <v>434</v>
      </c>
      <c r="F444" s="713" t="s">
        <v>15</v>
      </c>
      <c r="G444" s="519">
        <v>1</v>
      </c>
      <c r="H444" s="519">
        <v>1</v>
      </c>
      <c r="I444" s="519">
        <v>4</v>
      </c>
      <c r="J444" s="519">
        <v>0</v>
      </c>
    </row>
    <row r="445" spans="1:10" x14ac:dyDescent="0.25">
      <c r="A445" s="519">
        <v>444</v>
      </c>
      <c r="B445" s="519" t="s">
        <v>1207</v>
      </c>
      <c r="C445" s="519" t="s">
        <v>350</v>
      </c>
      <c r="D445" s="519" t="s">
        <v>909</v>
      </c>
      <c r="E445" s="519" t="s">
        <v>14</v>
      </c>
      <c r="F445" s="713" t="s">
        <v>15</v>
      </c>
      <c r="G445" s="519">
        <v>4</v>
      </c>
      <c r="H445" s="519">
        <v>3</v>
      </c>
      <c r="I445" s="519">
        <v>3</v>
      </c>
      <c r="J445" s="519">
        <v>6</v>
      </c>
    </row>
    <row r="446" spans="1:10" x14ac:dyDescent="0.25">
      <c r="A446" s="519">
        <v>445</v>
      </c>
      <c r="B446" s="519" t="s">
        <v>1207</v>
      </c>
      <c r="C446" s="519" t="s">
        <v>351</v>
      </c>
      <c r="D446" s="519" t="s">
        <v>897</v>
      </c>
      <c r="E446" s="519" t="s">
        <v>14</v>
      </c>
      <c r="F446" s="713" t="s">
        <v>15</v>
      </c>
      <c r="G446" s="519">
        <v>2</v>
      </c>
      <c r="H446" s="519">
        <v>2</v>
      </c>
      <c r="I446" s="519">
        <v>4</v>
      </c>
      <c r="J446" s="519">
        <v>0</v>
      </c>
    </row>
    <row r="447" spans="1:10" x14ac:dyDescent="0.25">
      <c r="A447" s="519">
        <v>446</v>
      </c>
      <c r="B447" s="519" t="s">
        <v>1207</v>
      </c>
      <c r="C447" s="519" t="s">
        <v>351</v>
      </c>
      <c r="D447" s="519" t="s">
        <v>876</v>
      </c>
      <c r="E447" s="519" t="s">
        <v>434</v>
      </c>
      <c r="F447" s="713" t="s">
        <v>15</v>
      </c>
      <c r="G447" s="519">
        <v>1</v>
      </c>
      <c r="H447" s="519">
        <v>1</v>
      </c>
      <c r="I447" s="519">
        <v>6</v>
      </c>
      <c r="J447" s="519">
        <v>0</v>
      </c>
    </row>
    <row r="448" spans="1:10" x14ac:dyDescent="0.25">
      <c r="A448" s="519">
        <v>447</v>
      </c>
      <c r="B448" s="519" t="s">
        <v>1207</v>
      </c>
      <c r="C448" s="519" t="s">
        <v>352</v>
      </c>
      <c r="D448" s="519" t="s">
        <v>897</v>
      </c>
      <c r="E448" s="519" t="s">
        <v>14</v>
      </c>
      <c r="F448" s="713" t="s">
        <v>15</v>
      </c>
      <c r="G448" s="519">
        <v>1</v>
      </c>
      <c r="H448" s="519">
        <v>1</v>
      </c>
      <c r="I448" s="519">
        <v>4</v>
      </c>
      <c r="J448" s="519">
        <v>1</v>
      </c>
    </row>
    <row r="449" spans="1:10" x14ac:dyDescent="0.25">
      <c r="A449" s="519">
        <v>448</v>
      </c>
      <c r="B449" s="519" t="s">
        <v>1207</v>
      </c>
      <c r="C449" s="519" t="s">
        <v>352</v>
      </c>
      <c r="D449" s="519" t="s">
        <v>876</v>
      </c>
      <c r="E449" s="519" t="s">
        <v>434</v>
      </c>
      <c r="F449" s="713" t="s">
        <v>15</v>
      </c>
      <c r="G449" s="519">
        <v>1</v>
      </c>
      <c r="H449" s="519">
        <v>1</v>
      </c>
      <c r="I449" s="519">
        <v>3</v>
      </c>
      <c r="J449" s="519">
        <v>0</v>
      </c>
    </row>
    <row r="450" spans="1:10" x14ac:dyDescent="0.25">
      <c r="A450" s="519">
        <v>449</v>
      </c>
      <c r="B450" s="519" t="s">
        <v>1207</v>
      </c>
      <c r="C450" s="519" t="s">
        <v>353</v>
      </c>
      <c r="D450" s="519" t="s">
        <v>938</v>
      </c>
      <c r="E450" s="519" t="s">
        <v>495</v>
      </c>
      <c r="F450" s="713" t="s">
        <v>15</v>
      </c>
      <c r="G450" s="519">
        <v>1</v>
      </c>
      <c r="H450" s="519">
        <v>1</v>
      </c>
      <c r="I450" s="519">
        <v>0</v>
      </c>
      <c r="J450" s="519">
        <v>0</v>
      </c>
    </row>
    <row r="451" spans="1:10" x14ac:dyDescent="0.25">
      <c r="A451" s="519">
        <v>450</v>
      </c>
      <c r="B451" s="519" t="s">
        <v>1207</v>
      </c>
      <c r="C451" s="519" t="s">
        <v>353</v>
      </c>
      <c r="D451" s="519" t="s">
        <v>928</v>
      </c>
      <c r="E451" s="519" t="s">
        <v>14</v>
      </c>
      <c r="F451" s="713" t="s">
        <v>15</v>
      </c>
      <c r="G451" s="519">
        <v>1</v>
      </c>
      <c r="H451" s="519">
        <v>1</v>
      </c>
      <c r="I451" s="519">
        <v>1</v>
      </c>
      <c r="J451" s="519">
        <v>0</v>
      </c>
    </row>
    <row r="452" spans="1:10" x14ac:dyDescent="0.25">
      <c r="A452" s="519">
        <v>451</v>
      </c>
      <c r="B452" s="519" t="s">
        <v>1207</v>
      </c>
      <c r="C452" s="519" t="s">
        <v>353</v>
      </c>
      <c r="D452" s="519" t="s">
        <v>876</v>
      </c>
      <c r="E452" s="519" t="s">
        <v>434</v>
      </c>
      <c r="F452" s="713" t="s">
        <v>15</v>
      </c>
      <c r="G452" s="519">
        <v>4</v>
      </c>
      <c r="H452" s="519">
        <v>3</v>
      </c>
      <c r="I452" s="519">
        <v>9</v>
      </c>
      <c r="J452" s="519">
        <v>4</v>
      </c>
    </row>
    <row r="453" spans="1:10" x14ac:dyDescent="0.25">
      <c r="A453" s="519">
        <v>452</v>
      </c>
      <c r="B453" s="519" t="s">
        <v>1207</v>
      </c>
      <c r="C453" s="519" t="s">
        <v>353</v>
      </c>
      <c r="D453" s="519" t="s">
        <v>935</v>
      </c>
      <c r="E453" s="519" t="s">
        <v>495</v>
      </c>
      <c r="F453" s="713" t="s">
        <v>15</v>
      </c>
      <c r="G453" s="519">
        <v>0</v>
      </c>
      <c r="H453" s="519">
        <v>0</v>
      </c>
      <c r="I453" s="519">
        <v>6</v>
      </c>
      <c r="J453" s="519">
        <v>0</v>
      </c>
    </row>
    <row r="454" spans="1:10" x14ac:dyDescent="0.25">
      <c r="A454" s="519">
        <v>453</v>
      </c>
      <c r="B454" s="519" t="s">
        <v>1207</v>
      </c>
      <c r="C454" s="519" t="s">
        <v>353</v>
      </c>
      <c r="D454" s="519" t="s">
        <v>909</v>
      </c>
      <c r="E454" s="519" t="s">
        <v>14</v>
      </c>
      <c r="F454" s="713" t="s">
        <v>15</v>
      </c>
      <c r="G454" s="519">
        <v>7</v>
      </c>
      <c r="H454" s="519">
        <v>5</v>
      </c>
      <c r="I454" s="519">
        <v>7</v>
      </c>
      <c r="J454" s="519">
        <v>4</v>
      </c>
    </row>
    <row r="455" spans="1:10" x14ac:dyDescent="0.25">
      <c r="A455" s="519">
        <v>454</v>
      </c>
      <c r="B455" s="519" t="s">
        <v>1207</v>
      </c>
      <c r="C455" s="519" t="s">
        <v>354</v>
      </c>
      <c r="D455" s="519" t="s">
        <v>897</v>
      </c>
      <c r="E455" s="519" t="s">
        <v>14</v>
      </c>
      <c r="F455" s="713" t="s">
        <v>15</v>
      </c>
      <c r="G455" s="519">
        <v>0</v>
      </c>
      <c r="H455" s="519">
        <v>0</v>
      </c>
      <c r="I455" s="519">
        <v>1</v>
      </c>
      <c r="J455" s="519">
        <v>1</v>
      </c>
    </row>
    <row r="456" spans="1:10" x14ac:dyDescent="0.25">
      <c r="A456" s="519">
        <v>455</v>
      </c>
      <c r="B456" s="519" t="s">
        <v>1207</v>
      </c>
      <c r="C456" s="519" t="s">
        <v>354</v>
      </c>
      <c r="D456" s="519" t="s">
        <v>876</v>
      </c>
      <c r="E456" s="519" t="s">
        <v>434</v>
      </c>
      <c r="F456" s="713" t="s">
        <v>15</v>
      </c>
      <c r="G456" s="519">
        <v>4</v>
      </c>
      <c r="H456" s="519">
        <v>2</v>
      </c>
      <c r="I456" s="519">
        <v>1</v>
      </c>
      <c r="J456" s="519">
        <v>2</v>
      </c>
    </row>
    <row r="457" spans="1:10" x14ac:dyDescent="0.25">
      <c r="A457" s="519">
        <v>456</v>
      </c>
      <c r="B457" s="519" t="s">
        <v>1207</v>
      </c>
      <c r="C457" s="519" t="s">
        <v>354</v>
      </c>
      <c r="D457" s="519" t="s">
        <v>909</v>
      </c>
      <c r="E457" s="519" t="s">
        <v>14</v>
      </c>
      <c r="F457" s="713" t="s">
        <v>15</v>
      </c>
      <c r="G457" s="519">
        <v>1</v>
      </c>
      <c r="H457" s="519">
        <v>1</v>
      </c>
      <c r="I457" s="519">
        <v>2</v>
      </c>
      <c r="J457" s="519">
        <v>0</v>
      </c>
    </row>
    <row r="458" spans="1:10" x14ac:dyDescent="0.25">
      <c r="A458" s="519">
        <v>457</v>
      </c>
      <c r="B458" s="519" t="s">
        <v>1207</v>
      </c>
      <c r="C458" s="519" t="s">
        <v>355</v>
      </c>
      <c r="D458" s="519" t="s">
        <v>897</v>
      </c>
      <c r="E458" s="519" t="s">
        <v>14</v>
      </c>
      <c r="F458" s="713" t="s">
        <v>15</v>
      </c>
      <c r="G458" s="519">
        <v>1</v>
      </c>
      <c r="H458" s="519">
        <v>1</v>
      </c>
      <c r="I458" s="519">
        <v>0</v>
      </c>
      <c r="J458" s="519">
        <v>0</v>
      </c>
    </row>
    <row r="459" spans="1:10" x14ac:dyDescent="0.25">
      <c r="A459" s="519">
        <v>458</v>
      </c>
      <c r="B459" s="519" t="s">
        <v>1207</v>
      </c>
      <c r="C459" s="519" t="s">
        <v>355</v>
      </c>
      <c r="D459" s="519" t="s">
        <v>876</v>
      </c>
      <c r="E459" s="519" t="s">
        <v>434</v>
      </c>
      <c r="F459" s="713" t="s">
        <v>15</v>
      </c>
      <c r="G459" s="519">
        <v>2</v>
      </c>
      <c r="H459" s="519">
        <v>1</v>
      </c>
      <c r="I459" s="519">
        <v>5</v>
      </c>
      <c r="J459" s="519">
        <v>1</v>
      </c>
    </row>
    <row r="460" spans="1:10" x14ac:dyDescent="0.25">
      <c r="A460" s="519">
        <v>459</v>
      </c>
      <c r="B460" s="519" t="s">
        <v>1207</v>
      </c>
      <c r="C460" s="519" t="s">
        <v>355</v>
      </c>
      <c r="D460" s="519" t="s">
        <v>909</v>
      </c>
      <c r="E460" s="519" t="s">
        <v>14</v>
      </c>
      <c r="F460" s="713" t="s">
        <v>15</v>
      </c>
      <c r="G460" s="519">
        <v>3</v>
      </c>
      <c r="H460" s="519">
        <v>2</v>
      </c>
      <c r="I460" s="519">
        <v>5</v>
      </c>
      <c r="J460" s="519">
        <v>2</v>
      </c>
    </row>
    <row r="461" spans="1:10" x14ac:dyDescent="0.25">
      <c r="A461" s="519">
        <v>460</v>
      </c>
      <c r="B461" s="519" t="s">
        <v>1207</v>
      </c>
      <c r="C461" s="519" t="s">
        <v>361</v>
      </c>
      <c r="D461" s="519" t="s">
        <v>897</v>
      </c>
      <c r="E461" s="519" t="s">
        <v>14</v>
      </c>
      <c r="F461" s="713" t="s">
        <v>15</v>
      </c>
      <c r="G461" s="519">
        <v>3</v>
      </c>
      <c r="H461" s="519">
        <v>2</v>
      </c>
      <c r="I461" s="519">
        <v>0</v>
      </c>
      <c r="J461" s="519">
        <v>1</v>
      </c>
    </row>
    <row r="462" spans="1:10" x14ac:dyDescent="0.25">
      <c r="A462" s="519">
        <v>461</v>
      </c>
      <c r="B462" s="519" t="s">
        <v>1207</v>
      </c>
      <c r="C462" s="519" t="s">
        <v>361</v>
      </c>
      <c r="D462" s="519" t="s">
        <v>876</v>
      </c>
      <c r="E462" s="519" t="s">
        <v>434</v>
      </c>
      <c r="F462" s="713" t="s">
        <v>15</v>
      </c>
      <c r="G462" s="519">
        <v>1</v>
      </c>
      <c r="H462" s="519">
        <v>1</v>
      </c>
      <c r="I462" s="519">
        <v>3</v>
      </c>
      <c r="J462" s="519">
        <v>0</v>
      </c>
    </row>
    <row r="463" spans="1:10" x14ac:dyDescent="0.25">
      <c r="A463" s="519">
        <v>462</v>
      </c>
      <c r="B463" s="519" t="s">
        <v>1206</v>
      </c>
      <c r="C463" s="519" t="s">
        <v>362</v>
      </c>
      <c r="D463" s="519" t="s">
        <v>491</v>
      </c>
      <c r="E463" s="519" t="s">
        <v>13</v>
      </c>
      <c r="F463" s="713" t="s">
        <v>20</v>
      </c>
      <c r="G463" s="519">
        <v>2</v>
      </c>
      <c r="H463" s="519">
        <v>2</v>
      </c>
      <c r="I463" s="519">
        <v>13</v>
      </c>
      <c r="J463" s="519">
        <v>0</v>
      </c>
    </row>
    <row r="464" spans="1:10" x14ac:dyDescent="0.25">
      <c r="A464" s="519">
        <v>463</v>
      </c>
      <c r="B464" s="519" t="s">
        <v>1206</v>
      </c>
      <c r="C464" s="519" t="s">
        <v>362</v>
      </c>
      <c r="D464" s="519" t="s">
        <v>464</v>
      </c>
      <c r="E464" s="519" t="s">
        <v>13</v>
      </c>
      <c r="F464" s="713" t="s">
        <v>20</v>
      </c>
      <c r="G464" s="519">
        <v>10</v>
      </c>
      <c r="H464" s="519">
        <v>8</v>
      </c>
      <c r="I464" s="519">
        <v>11</v>
      </c>
      <c r="J464" s="519">
        <v>1</v>
      </c>
    </row>
    <row r="465" spans="1:10" x14ac:dyDescent="0.25">
      <c r="A465" s="519">
        <v>464</v>
      </c>
      <c r="B465" s="519" t="s">
        <v>1206</v>
      </c>
      <c r="C465" s="519" t="s">
        <v>362</v>
      </c>
      <c r="D465" s="519" t="s">
        <v>458</v>
      </c>
      <c r="E465" s="519" t="s">
        <v>13</v>
      </c>
      <c r="F465" s="713" t="s">
        <v>20</v>
      </c>
      <c r="G465" s="519">
        <v>81</v>
      </c>
      <c r="H465" s="519">
        <v>68</v>
      </c>
      <c r="I465" s="519">
        <v>100</v>
      </c>
      <c r="J465" s="519">
        <v>8</v>
      </c>
    </row>
    <row r="466" spans="1:10" x14ac:dyDescent="0.25">
      <c r="A466" s="519">
        <v>465</v>
      </c>
      <c r="B466" s="519" t="s">
        <v>1206</v>
      </c>
      <c r="C466" s="519" t="s">
        <v>362</v>
      </c>
      <c r="D466" s="519" t="s">
        <v>248</v>
      </c>
      <c r="E466" s="519" t="s">
        <v>16</v>
      </c>
      <c r="F466" s="713" t="s">
        <v>20</v>
      </c>
      <c r="G466" s="519">
        <v>2</v>
      </c>
      <c r="H466" s="519">
        <v>1</v>
      </c>
      <c r="I466" s="519">
        <v>2</v>
      </c>
      <c r="J466" s="519">
        <v>0</v>
      </c>
    </row>
    <row r="467" spans="1:10" x14ac:dyDescent="0.25">
      <c r="A467" s="519">
        <v>466</v>
      </c>
      <c r="B467" s="519" t="s">
        <v>1206</v>
      </c>
      <c r="C467" s="519" t="s">
        <v>362</v>
      </c>
      <c r="D467" s="519" t="s">
        <v>866</v>
      </c>
      <c r="E467" s="519" t="s">
        <v>16</v>
      </c>
      <c r="F467" s="713" t="s">
        <v>20</v>
      </c>
      <c r="G467" s="519">
        <v>22</v>
      </c>
      <c r="H467" s="519">
        <v>16</v>
      </c>
      <c r="I467" s="519">
        <v>34</v>
      </c>
      <c r="J467" s="519">
        <v>9</v>
      </c>
    </row>
    <row r="468" spans="1:10" x14ac:dyDescent="0.25">
      <c r="A468" s="519">
        <v>467</v>
      </c>
      <c r="B468" s="519" t="s">
        <v>1206</v>
      </c>
      <c r="C468" s="519" t="s">
        <v>362</v>
      </c>
      <c r="D468" s="519" t="s">
        <v>926</v>
      </c>
      <c r="E468" s="519" t="s">
        <v>14</v>
      </c>
      <c r="F468" s="713" t="s">
        <v>20</v>
      </c>
      <c r="G468" s="519">
        <v>14</v>
      </c>
      <c r="H468" s="519">
        <v>8</v>
      </c>
      <c r="I468" s="519">
        <v>21</v>
      </c>
      <c r="J468" s="519">
        <v>3</v>
      </c>
    </row>
    <row r="469" spans="1:10" x14ac:dyDescent="0.25">
      <c r="A469" s="519">
        <v>468</v>
      </c>
      <c r="B469" s="519" t="s">
        <v>1206</v>
      </c>
      <c r="C469" s="519" t="s">
        <v>362</v>
      </c>
      <c r="D469" s="519" t="s">
        <v>931</v>
      </c>
      <c r="E469" s="519" t="s">
        <v>14</v>
      </c>
      <c r="F469" s="713" t="s">
        <v>20</v>
      </c>
      <c r="G469" s="519">
        <v>11</v>
      </c>
      <c r="H469" s="519">
        <v>7</v>
      </c>
      <c r="I469" s="519">
        <v>35</v>
      </c>
      <c r="J469" s="519">
        <v>2</v>
      </c>
    </row>
    <row r="470" spans="1:10" x14ac:dyDescent="0.25">
      <c r="A470" s="519">
        <v>469</v>
      </c>
      <c r="B470" s="519" t="s">
        <v>1206</v>
      </c>
      <c r="C470" s="519" t="s">
        <v>362</v>
      </c>
      <c r="D470" s="519" t="s">
        <v>919</v>
      </c>
      <c r="E470" s="519" t="s">
        <v>495</v>
      </c>
      <c r="F470" s="713" t="s">
        <v>20</v>
      </c>
      <c r="G470" s="519">
        <v>3</v>
      </c>
      <c r="H470" s="519">
        <v>1</v>
      </c>
      <c r="I470" s="519">
        <v>2</v>
      </c>
      <c r="J470" s="519">
        <v>1</v>
      </c>
    </row>
    <row r="471" spans="1:10" x14ac:dyDescent="0.25">
      <c r="A471" s="519">
        <v>470</v>
      </c>
      <c r="B471" s="519" t="s">
        <v>1206</v>
      </c>
      <c r="C471" s="519" t="s">
        <v>362</v>
      </c>
      <c r="D471" s="519" t="s">
        <v>958</v>
      </c>
      <c r="E471" s="519" t="s">
        <v>14</v>
      </c>
      <c r="F471" s="713" t="s">
        <v>20</v>
      </c>
      <c r="G471" s="519">
        <v>4</v>
      </c>
      <c r="H471" s="519">
        <v>4</v>
      </c>
      <c r="I471" s="519">
        <v>24</v>
      </c>
      <c r="J471" s="519">
        <v>0</v>
      </c>
    </row>
    <row r="472" spans="1:10" x14ac:dyDescent="0.25">
      <c r="A472" s="519">
        <v>471</v>
      </c>
      <c r="B472" s="519" t="s">
        <v>1206</v>
      </c>
      <c r="C472" s="519" t="s">
        <v>362</v>
      </c>
      <c r="D472" s="519" t="s">
        <v>953</v>
      </c>
      <c r="E472" s="519" t="s">
        <v>16</v>
      </c>
      <c r="F472" s="713" t="s">
        <v>20</v>
      </c>
      <c r="G472" s="519">
        <v>4</v>
      </c>
      <c r="H472" s="519">
        <v>2</v>
      </c>
      <c r="I472" s="519">
        <v>1</v>
      </c>
      <c r="J472" s="519">
        <v>1</v>
      </c>
    </row>
    <row r="473" spans="1:10" x14ac:dyDescent="0.25">
      <c r="A473" s="519">
        <v>472</v>
      </c>
      <c r="B473" s="519" t="s">
        <v>1206</v>
      </c>
      <c r="C473" s="519" t="s">
        <v>362</v>
      </c>
      <c r="D473" s="519" t="s">
        <v>878</v>
      </c>
      <c r="E473" s="519" t="s">
        <v>434</v>
      </c>
      <c r="F473" s="713" t="s">
        <v>20</v>
      </c>
      <c r="G473" s="519">
        <v>131</v>
      </c>
      <c r="H473" s="519">
        <v>103</v>
      </c>
      <c r="I473" s="519">
        <v>243</v>
      </c>
      <c r="J473" s="519">
        <v>20</v>
      </c>
    </row>
    <row r="474" spans="1:10" x14ac:dyDescent="0.25">
      <c r="A474" s="519">
        <v>473</v>
      </c>
      <c r="B474" s="519" t="s">
        <v>1206</v>
      </c>
      <c r="C474" s="519" t="s">
        <v>362</v>
      </c>
      <c r="D474" s="519" t="s">
        <v>927</v>
      </c>
      <c r="E474" s="519" t="s">
        <v>14</v>
      </c>
      <c r="F474" s="713" t="s">
        <v>20</v>
      </c>
      <c r="G474" s="519">
        <v>24</v>
      </c>
      <c r="H474" s="519">
        <v>14</v>
      </c>
      <c r="I474" s="519">
        <v>54</v>
      </c>
      <c r="J474" s="519">
        <v>4</v>
      </c>
    </row>
    <row r="475" spans="1:10" x14ac:dyDescent="0.25">
      <c r="A475" s="519">
        <v>474</v>
      </c>
      <c r="B475" s="519" t="s">
        <v>1206</v>
      </c>
      <c r="C475" s="519" t="s">
        <v>362</v>
      </c>
      <c r="D475" s="519" t="s">
        <v>940</v>
      </c>
      <c r="E475" s="519" t="s">
        <v>495</v>
      </c>
      <c r="F475" s="713" t="s">
        <v>20</v>
      </c>
      <c r="G475" s="519">
        <v>5</v>
      </c>
      <c r="H475" s="519">
        <v>3</v>
      </c>
      <c r="I475" s="519">
        <v>0</v>
      </c>
      <c r="J475" s="519">
        <v>0</v>
      </c>
    </row>
    <row r="476" spans="1:10" x14ac:dyDescent="0.25">
      <c r="A476" s="519">
        <v>475</v>
      </c>
      <c r="B476" s="519" t="s">
        <v>1206</v>
      </c>
      <c r="C476" s="519" t="s">
        <v>362</v>
      </c>
      <c r="D476" s="519" t="s">
        <v>906</v>
      </c>
      <c r="E476" s="519" t="s">
        <v>14</v>
      </c>
      <c r="F476" s="713" t="s">
        <v>20</v>
      </c>
      <c r="G476" s="519">
        <v>91</v>
      </c>
      <c r="H476" s="519">
        <v>57</v>
      </c>
      <c r="I476" s="519">
        <v>89</v>
      </c>
      <c r="J476" s="519">
        <v>20</v>
      </c>
    </row>
    <row r="477" spans="1:10" x14ac:dyDescent="0.25">
      <c r="A477" s="519">
        <v>476</v>
      </c>
      <c r="B477" s="519" t="s">
        <v>1206</v>
      </c>
      <c r="C477" s="519" t="s">
        <v>362</v>
      </c>
      <c r="D477" s="519" t="s">
        <v>941</v>
      </c>
      <c r="E477" s="519" t="s">
        <v>13</v>
      </c>
      <c r="F477" s="713" t="s">
        <v>20</v>
      </c>
      <c r="G477" s="519">
        <v>47</v>
      </c>
      <c r="H477" s="519">
        <v>32</v>
      </c>
      <c r="I477" s="519">
        <v>57</v>
      </c>
      <c r="J477" s="519">
        <v>9</v>
      </c>
    </row>
    <row r="478" spans="1:10" x14ac:dyDescent="0.25">
      <c r="A478" s="519">
        <v>477</v>
      </c>
      <c r="B478" s="519" t="s">
        <v>1206</v>
      </c>
      <c r="C478" s="519" t="s">
        <v>362</v>
      </c>
      <c r="D478" s="519" t="s">
        <v>894</v>
      </c>
      <c r="E478" s="519" t="s">
        <v>14</v>
      </c>
      <c r="F478" s="713" t="s">
        <v>20</v>
      </c>
      <c r="G478" s="519">
        <v>1</v>
      </c>
      <c r="H478" s="519">
        <v>1</v>
      </c>
      <c r="I478" s="519">
        <v>1</v>
      </c>
      <c r="J478" s="519">
        <v>0</v>
      </c>
    </row>
    <row r="479" spans="1:10" x14ac:dyDescent="0.25">
      <c r="A479" s="519">
        <v>478</v>
      </c>
      <c r="B479" s="519" t="s">
        <v>1206</v>
      </c>
      <c r="C479" s="519" t="s">
        <v>362</v>
      </c>
      <c r="D479" s="519" t="s">
        <v>874</v>
      </c>
      <c r="E479" s="519" t="s">
        <v>434</v>
      </c>
      <c r="F479" s="713" t="s">
        <v>20</v>
      </c>
      <c r="G479" s="519">
        <v>72</v>
      </c>
      <c r="H479" s="519">
        <v>54</v>
      </c>
      <c r="I479" s="519">
        <v>116</v>
      </c>
      <c r="J479" s="519">
        <v>11</v>
      </c>
    </row>
    <row r="480" spans="1:10" x14ac:dyDescent="0.25">
      <c r="A480" s="519">
        <v>479</v>
      </c>
      <c r="B480" s="519" t="s">
        <v>1206</v>
      </c>
      <c r="C480" s="519" t="s">
        <v>362</v>
      </c>
      <c r="D480" s="519" t="s">
        <v>950</v>
      </c>
      <c r="E480" s="519" t="s">
        <v>16</v>
      </c>
      <c r="F480" s="713" t="s">
        <v>20</v>
      </c>
      <c r="G480" s="519">
        <v>1</v>
      </c>
      <c r="H480" s="519">
        <v>1</v>
      </c>
      <c r="I480" s="519">
        <v>2</v>
      </c>
      <c r="J480" s="519">
        <v>0</v>
      </c>
    </row>
    <row r="481" spans="1:10" x14ac:dyDescent="0.25">
      <c r="A481" s="519">
        <v>480</v>
      </c>
      <c r="B481" s="519" t="s">
        <v>1206</v>
      </c>
      <c r="C481" s="519" t="s">
        <v>362</v>
      </c>
      <c r="D481" s="519" t="s">
        <v>916</v>
      </c>
      <c r="E481" s="519" t="s">
        <v>495</v>
      </c>
      <c r="F481" s="713" t="s">
        <v>20</v>
      </c>
      <c r="G481" s="519">
        <v>1</v>
      </c>
      <c r="H481" s="519">
        <v>1</v>
      </c>
      <c r="I481" s="519">
        <v>2</v>
      </c>
      <c r="J481" s="519">
        <v>0</v>
      </c>
    </row>
    <row r="482" spans="1:10" x14ac:dyDescent="0.25">
      <c r="A482" s="519">
        <v>481</v>
      </c>
      <c r="B482" s="519" t="s">
        <v>1206</v>
      </c>
      <c r="C482" s="519" t="s">
        <v>362</v>
      </c>
      <c r="D482" s="519" t="s">
        <v>492</v>
      </c>
      <c r="E482" s="519" t="s">
        <v>16</v>
      </c>
      <c r="F482" s="713" t="s">
        <v>20</v>
      </c>
      <c r="G482" s="519">
        <v>1</v>
      </c>
      <c r="H482" s="519">
        <v>0</v>
      </c>
      <c r="I482" s="519">
        <v>7</v>
      </c>
      <c r="J482" s="519">
        <v>0</v>
      </c>
    </row>
    <row r="483" spans="1:10" x14ac:dyDescent="0.25">
      <c r="A483" s="519">
        <v>482</v>
      </c>
      <c r="B483" s="519" t="s">
        <v>1206</v>
      </c>
      <c r="C483" s="519" t="s">
        <v>362</v>
      </c>
      <c r="D483" s="519" t="s">
        <v>1143</v>
      </c>
      <c r="E483" s="519" t="s">
        <v>495</v>
      </c>
      <c r="F483" s="713" t="s">
        <v>20</v>
      </c>
      <c r="G483" s="519">
        <v>0</v>
      </c>
      <c r="H483" s="519">
        <v>0</v>
      </c>
      <c r="I483" s="519">
        <v>3</v>
      </c>
      <c r="J483" s="519">
        <v>0</v>
      </c>
    </row>
    <row r="484" spans="1:10" x14ac:dyDescent="0.25">
      <c r="A484" s="519">
        <v>483</v>
      </c>
      <c r="B484" s="519" t="s">
        <v>1207</v>
      </c>
      <c r="C484" s="519" t="s">
        <v>362</v>
      </c>
      <c r="D484" s="519" t="s">
        <v>864</v>
      </c>
      <c r="E484" s="519" t="s">
        <v>16</v>
      </c>
      <c r="F484" s="713" t="s">
        <v>15</v>
      </c>
      <c r="G484" s="519">
        <v>3</v>
      </c>
      <c r="H484" s="519">
        <v>3</v>
      </c>
      <c r="I484" s="519">
        <v>6</v>
      </c>
      <c r="J484" s="519">
        <v>0</v>
      </c>
    </row>
    <row r="485" spans="1:10" x14ac:dyDescent="0.25">
      <c r="A485" s="519">
        <v>484</v>
      </c>
      <c r="B485" s="519" t="s">
        <v>1207</v>
      </c>
      <c r="C485" s="519" t="s">
        <v>362</v>
      </c>
      <c r="D485" s="519" t="s">
        <v>861</v>
      </c>
      <c r="E485" s="519" t="s">
        <v>14</v>
      </c>
      <c r="F485" s="713" t="s">
        <v>15</v>
      </c>
      <c r="G485" s="519">
        <v>7</v>
      </c>
      <c r="H485" s="519">
        <v>5</v>
      </c>
      <c r="I485" s="519">
        <v>8</v>
      </c>
      <c r="J485" s="519">
        <v>6</v>
      </c>
    </row>
    <row r="486" spans="1:10" x14ac:dyDescent="0.25">
      <c r="A486" s="519">
        <v>485</v>
      </c>
      <c r="B486" s="519" t="s">
        <v>1207</v>
      </c>
      <c r="C486" s="519" t="s">
        <v>362</v>
      </c>
      <c r="D486" s="519" t="s">
        <v>930</v>
      </c>
      <c r="E486" s="519" t="s">
        <v>14</v>
      </c>
      <c r="F486" s="713" t="s">
        <v>15</v>
      </c>
      <c r="G486" s="519">
        <v>3</v>
      </c>
      <c r="H486" s="519">
        <v>0</v>
      </c>
      <c r="I486" s="519">
        <v>8</v>
      </c>
      <c r="J486" s="519">
        <v>5</v>
      </c>
    </row>
    <row r="487" spans="1:10" x14ac:dyDescent="0.25">
      <c r="A487" s="519">
        <v>486</v>
      </c>
      <c r="B487" s="519" t="s">
        <v>1207</v>
      </c>
      <c r="C487" s="519" t="s">
        <v>362</v>
      </c>
      <c r="D487" s="519" t="s">
        <v>955</v>
      </c>
      <c r="E487" s="519" t="s">
        <v>495</v>
      </c>
      <c r="F487" s="713" t="s">
        <v>15</v>
      </c>
      <c r="G487" s="519">
        <v>1</v>
      </c>
      <c r="H487" s="519">
        <v>1</v>
      </c>
      <c r="I487" s="519">
        <v>7</v>
      </c>
      <c r="J487" s="519">
        <v>0</v>
      </c>
    </row>
    <row r="488" spans="1:10" x14ac:dyDescent="0.25">
      <c r="A488" s="519">
        <v>487</v>
      </c>
      <c r="B488" s="519" t="s">
        <v>1207</v>
      </c>
      <c r="C488" s="519" t="s">
        <v>362</v>
      </c>
      <c r="D488" s="519" t="s">
        <v>954</v>
      </c>
      <c r="E488" s="519" t="s">
        <v>16</v>
      </c>
      <c r="F488" s="713" t="s">
        <v>15</v>
      </c>
      <c r="G488" s="519">
        <v>2</v>
      </c>
      <c r="H488" s="519">
        <v>1</v>
      </c>
      <c r="I488" s="519">
        <v>1</v>
      </c>
      <c r="J488" s="519">
        <v>1</v>
      </c>
    </row>
    <row r="489" spans="1:10" x14ac:dyDescent="0.25">
      <c r="A489" s="519">
        <v>488</v>
      </c>
      <c r="B489" s="519" t="s">
        <v>1207</v>
      </c>
      <c r="C489" s="519" t="s">
        <v>362</v>
      </c>
      <c r="D489" s="519" t="s">
        <v>938</v>
      </c>
      <c r="E489" s="519" t="s">
        <v>495</v>
      </c>
      <c r="F489" s="713" t="s">
        <v>15</v>
      </c>
      <c r="G489" s="519">
        <v>3</v>
      </c>
      <c r="H489" s="519">
        <v>3</v>
      </c>
      <c r="I489" s="519">
        <v>2</v>
      </c>
      <c r="J489" s="519">
        <v>0</v>
      </c>
    </row>
    <row r="490" spans="1:10" x14ac:dyDescent="0.25">
      <c r="A490" s="519">
        <v>489</v>
      </c>
      <c r="B490" s="519" t="s">
        <v>1207</v>
      </c>
      <c r="C490" s="519" t="s">
        <v>362</v>
      </c>
      <c r="D490" s="519" t="s">
        <v>928</v>
      </c>
      <c r="E490" s="519" t="s">
        <v>14</v>
      </c>
      <c r="F490" s="713" t="s">
        <v>15</v>
      </c>
      <c r="G490" s="519">
        <v>7</v>
      </c>
      <c r="H490" s="519">
        <v>3</v>
      </c>
      <c r="I490" s="519">
        <v>10</v>
      </c>
      <c r="J490" s="519">
        <v>2</v>
      </c>
    </row>
    <row r="491" spans="1:10" x14ac:dyDescent="0.25">
      <c r="A491" s="519">
        <v>490</v>
      </c>
      <c r="B491" s="519" t="s">
        <v>1207</v>
      </c>
      <c r="C491" s="519" t="s">
        <v>362</v>
      </c>
      <c r="D491" s="519" t="s">
        <v>876</v>
      </c>
      <c r="E491" s="519" t="s">
        <v>434</v>
      </c>
      <c r="F491" s="713" t="s">
        <v>15</v>
      </c>
      <c r="G491" s="519">
        <v>13</v>
      </c>
      <c r="H491" s="519">
        <v>13</v>
      </c>
      <c r="I491" s="519">
        <v>22</v>
      </c>
      <c r="J491" s="519">
        <v>4</v>
      </c>
    </row>
    <row r="492" spans="1:10" x14ac:dyDescent="0.25">
      <c r="A492" s="519">
        <v>491</v>
      </c>
      <c r="B492" s="519" t="s">
        <v>1207</v>
      </c>
      <c r="C492" s="519" t="s">
        <v>362</v>
      </c>
      <c r="D492" s="519" t="s">
        <v>909</v>
      </c>
      <c r="E492" s="519" t="s">
        <v>14</v>
      </c>
      <c r="F492" s="713" t="s">
        <v>15</v>
      </c>
      <c r="G492" s="519">
        <v>10</v>
      </c>
      <c r="H492" s="519">
        <v>10</v>
      </c>
      <c r="I492" s="519">
        <v>31</v>
      </c>
      <c r="J492" s="519">
        <v>4</v>
      </c>
    </row>
    <row r="493" spans="1:10" x14ac:dyDescent="0.25">
      <c r="A493" s="519">
        <v>492</v>
      </c>
      <c r="B493" s="519" t="s">
        <v>1207</v>
      </c>
      <c r="C493" s="519" t="s">
        <v>362</v>
      </c>
      <c r="D493" s="519" t="s">
        <v>943</v>
      </c>
      <c r="E493" s="519" t="s">
        <v>13</v>
      </c>
      <c r="F493" s="713" t="s">
        <v>15</v>
      </c>
      <c r="G493" s="519">
        <v>1</v>
      </c>
      <c r="H493" s="519">
        <v>1</v>
      </c>
      <c r="I493" s="519">
        <v>6</v>
      </c>
      <c r="J493" s="519">
        <v>2</v>
      </c>
    </row>
    <row r="494" spans="1:10" x14ac:dyDescent="0.25">
      <c r="A494" s="519">
        <v>493</v>
      </c>
      <c r="B494" s="519" t="s">
        <v>1207</v>
      </c>
      <c r="C494" s="519" t="s">
        <v>362</v>
      </c>
      <c r="D494" s="519" t="s">
        <v>1059</v>
      </c>
      <c r="E494" s="519" t="s">
        <v>14</v>
      </c>
      <c r="F494" s="713" t="s">
        <v>15</v>
      </c>
      <c r="G494" s="519">
        <v>0</v>
      </c>
      <c r="H494" s="519">
        <v>0</v>
      </c>
      <c r="I494" s="519">
        <v>2</v>
      </c>
      <c r="J494" s="519">
        <v>0</v>
      </c>
    </row>
    <row r="495" spans="1:10" x14ac:dyDescent="0.25">
      <c r="A495" s="519">
        <v>494</v>
      </c>
      <c r="B495" s="519" t="s">
        <v>1207</v>
      </c>
      <c r="C495" s="519" t="s">
        <v>363</v>
      </c>
      <c r="D495" s="519" t="s">
        <v>876</v>
      </c>
      <c r="E495" s="519" t="s">
        <v>434</v>
      </c>
      <c r="F495" s="713" t="s">
        <v>15</v>
      </c>
      <c r="G495" s="519">
        <v>1</v>
      </c>
      <c r="H495" s="519">
        <v>1</v>
      </c>
      <c r="I495" s="519">
        <v>2</v>
      </c>
      <c r="J495" s="519">
        <v>0</v>
      </c>
    </row>
    <row r="496" spans="1:10" x14ac:dyDescent="0.25">
      <c r="A496" s="519">
        <v>495</v>
      </c>
      <c r="B496" s="519" t="s">
        <v>1207</v>
      </c>
      <c r="C496" s="519" t="s">
        <v>364</v>
      </c>
      <c r="D496" s="519" t="s">
        <v>897</v>
      </c>
      <c r="E496" s="519" t="s">
        <v>14</v>
      </c>
      <c r="F496" s="713" t="s">
        <v>15</v>
      </c>
      <c r="G496" s="519">
        <v>1</v>
      </c>
      <c r="H496" s="519">
        <v>1</v>
      </c>
      <c r="I496" s="519">
        <v>0</v>
      </c>
      <c r="J496" s="519">
        <v>0</v>
      </c>
    </row>
    <row r="497" spans="1:10" x14ac:dyDescent="0.25">
      <c r="A497" s="519">
        <v>496</v>
      </c>
      <c r="B497" s="519" t="s">
        <v>1207</v>
      </c>
      <c r="C497" s="519" t="s">
        <v>364</v>
      </c>
      <c r="D497" s="519" t="s">
        <v>876</v>
      </c>
      <c r="E497" s="519" t="s">
        <v>434</v>
      </c>
      <c r="F497" s="713" t="s">
        <v>15</v>
      </c>
      <c r="G497" s="519">
        <v>1</v>
      </c>
      <c r="H497" s="519">
        <v>1</v>
      </c>
      <c r="I497" s="519">
        <v>1</v>
      </c>
      <c r="J497" s="519">
        <v>0</v>
      </c>
    </row>
  </sheetData>
  <autoFilter ref="A1:J497" xr:uid="{00000000-0009-0000-0000-000012000000}"/>
  <pageMargins left="0.1" right="0.1" top="0.1" bottom="0.1" header="0.1" footer="0.1"/>
  <pageSetup orientation="portrait" horizontalDpi="300" verticalDpi="300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>
    <tabColor rgb="FF92D050"/>
  </sheetPr>
  <dimension ref="A1:AH40"/>
  <sheetViews>
    <sheetView workbookViewId="0"/>
  </sheetViews>
  <sheetFormatPr defaultColWidth="9.28515625" defaultRowHeight="15" x14ac:dyDescent="0.25"/>
  <cols>
    <col min="1" max="1" width="13.28515625" bestFit="1" customWidth="1"/>
    <col min="2" max="2" width="25.7109375" bestFit="1" customWidth="1"/>
    <col min="3" max="3" width="63" bestFit="1" customWidth="1"/>
    <col min="4" max="4" width="41.7109375" bestFit="1" customWidth="1"/>
    <col min="5" max="5" width="52.85546875" bestFit="1" customWidth="1"/>
    <col min="7" max="7" width="38.28515625" hidden="1" customWidth="1"/>
    <col min="8" max="8" width="13.42578125" hidden="1" customWidth="1"/>
    <col min="9" max="9" width="25.85546875" hidden="1" customWidth="1"/>
    <col min="10" max="10" width="12.42578125" hidden="1" customWidth="1"/>
    <col min="11" max="11" width="12.42578125" style="374" hidden="1" customWidth="1"/>
    <col min="12" max="12" width="12.42578125" hidden="1" customWidth="1"/>
    <col min="13" max="13" width="32.7109375" hidden="1" customWidth="1"/>
    <col min="14" max="14" width="25.85546875" hidden="1" customWidth="1"/>
    <col min="15" max="15" width="38" hidden="1" customWidth="1"/>
    <col min="16" max="16" width="4" hidden="1" customWidth="1"/>
    <col min="17" max="17" width="29.140625" hidden="1" customWidth="1"/>
    <col min="18" max="18" width="0" hidden="1" customWidth="1"/>
    <col min="19" max="19" width="24.42578125" hidden="1" customWidth="1"/>
    <col min="20" max="20" width="4" hidden="1" customWidth="1"/>
    <col min="21" max="21" width="26.85546875" hidden="1" customWidth="1"/>
    <col min="22" max="26" width="0" hidden="1" customWidth="1"/>
    <col min="27" max="27" width="38" bestFit="1" customWidth="1"/>
    <col min="29" max="29" width="22.42578125" customWidth="1"/>
    <col min="30" max="30" width="18.7109375" customWidth="1"/>
    <col min="31" max="31" width="14.28515625" customWidth="1"/>
    <col min="32" max="32" width="18.28515625" customWidth="1"/>
    <col min="33" max="33" width="16.28515625" customWidth="1"/>
    <col min="34" max="34" width="18.85546875" customWidth="1"/>
  </cols>
  <sheetData>
    <row r="1" spans="1:34" x14ac:dyDescent="0.25">
      <c r="A1" s="1" t="s">
        <v>4</v>
      </c>
      <c r="B1" t="s">
        <v>20</v>
      </c>
      <c r="G1" s="362" t="s">
        <v>385</v>
      </c>
      <c r="O1" s="476" t="s">
        <v>64</v>
      </c>
      <c r="P1" s="953"/>
      <c r="Q1" s="954"/>
      <c r="S1" s="476" t="s">
        <v>65</v>
      </c>
      <c r="T1" s="953"/>
      <c r="U1" s="954"/>
      <c r="Z1" s="54"/>
      <c r="AA1" s="476" t="s">
        <v>64</v>
      </c>
      <c r="AB1" s="953"/>
      <c r="AC1" s="954"/>
      <c r="AD1" s="493"/>
      <c r="AE1" s="493"/>
      <c r="AF1" s="493"/>
      <c r="AG1" s="493"/>
      <c r="AH1" s="493"/>
    </row>
    <row r="2" spans="1:34" ht="15.75" thickBot="1" x14ac:dyDescent="0.3">
      <c r="O2" s="477" t="s">
        <v>63</v>
      </c>
      <c r="P2" s="955"/>
      <c r="Q2" s="956"/>
      <c r="S2" s="477" t="s">
        <v>66</v>
      </c>
      <c r="T2" s="955"/>
      <c r="U2" s="956"/>
      <c r="Z2" s="54"/>
      <c r="AA2" s="477" t="s">
        <v>63</v>
      </c>
      <c r="AB2" s="955"/>
      <c r="AC2" s="956"/>
      <c r="AD2" s="493"/>
      <c r="AE2" s="493"/>
      <c r="AF2" s="493"/>
      <c r="AG2" s="493"/>
      <c r="AH2" s="493"/>
    </row>
    <row r="3" spans="1:34" ht="60" x14ac:dyDescent="0.25">
      <c r="A3" s="1" t="s">
        <v>21</v>
      </c>
      <c r="B3" t="s">
        <v>302</v>
      </c>
      <c r="C3" t="s">
        <v>301</v>
      </c>
      <c r="D3" t="s">
        <v>300</v>
      </c>
      <c r="E3" t="s">
        <v>299</v>
      </c>
      <c r="K3" s="374">
        <f>'Schedule 19'!E7</f>
        <v>8513912.0257093012</v>
      </c>
      <c r="L3" s="374">
        <f>-'Schedule 19'!G6/(1+0.0456)+'Schedule 19'!G6</f>
        <v>8513912.0257093012</v>
      </c>
      <c r="O3" s="478" t="s">
        <v>451</v>
      </c>
      <c r="P3" s="479"/>
      <c r="Q3" s="46" t="s">
        <v>452</v>
      </c>
      <c r="S3" s="478" t="s">
        <v>453</v>
      </c>
      <c r="T3" s="479"/>
      <c r="U3" s="46" t="s">
        <v>452</v>
      </c>
      <c r="Z3" s="54"/>
      <c r="AA3" s="478" t="s">
        <v>451</v>
      </c>
      <c r="AB3" s="479"/>
      <c r="AC3" s="46" t="s">
        <v>452</v>
      </c>
      <c r="AD3" s="509" t="s">
        <v>298</v>
      </c>
      <c r="AE3" s="509" t="s">
        <v>457</v>
      </c>
      <c r="AF3" s="509" t="s">
        <v>456</v>
      </c>
      <c r="AG3" s="509" t="s">
        <v>455</v>
      </c>
      <c r="AH3" s="508" t="s">
        <v>454</v>
      </c>
    </row>
    <row r="4" spans="1:34" x14ac:dyDescent="0.25">
      <c r="A4" s="2" t="s">
        <v>303</v>
      </c>
      <c r="B4">
        <v>110</v>
      </c>
      <c r="C4">
        <v>61</v>
      </c>
      <c r="D4">
        <v>485</v>
      </c>
      <c r="E4">
        <v>59</v>
      </c>
      <c r="O4" s="480"/>
      <c r="P4" s="481"/>
      <c r="Q4" s="49" t="s">
        <v>57</v>
      </c>
      <c r="S4" s="480"/>
      <c r="T4" s="481"/>
      <c r="U4" s="49" t="s">
        <v>57</v>
      </c>
      <c r="Z4" s="54"/>
      <c r="AA4" s="480"/>
      <c r="AB4" s="481"/>
      <c r="AC4" s="49" t="s">
        <v>57</v>
      </c>
      <c r="AD4" s="49" t="s">
        <v>56</v>
      </c>
      <c r="AE4" s="49" t="s">
        <v>55</v>
      </c>
      <c r="AF4" s="49" t="s">
        <v>54</v>
      </c>
      <c r="AG4" s="49" t="s">
        <v>53</v>
      </c>
      <c r="AH4" s="50" t="s">
        <v>52</v>
      </c>
    </row>
    <row r="5" spans="1:34" ht="15.75" x14ac:dyDescent="0.25">
      <c r="A5" s="2" t="s">
        <v>305</v>
      </c>
      <c r="B5">
        <v>3225</v>
      </c>
      <c r="C5">
        <v>2762</v>
      </c>
      <c r="D5">
        <v>3045</v>
      </c>
      <c r="E5">
        <v>243</v>
      </c>
      <c r="O5" s="59" t="s">
        <v>26</v>
      </c>
      <c r="P5" s="481"/>
      <c r="Q5" s="482"/>
      <c r="S5" s="51" t="s">
        <v>26</v>
      </c>
      <c r="T5" s="481"/>
      <c r="U5" s="482"/>
      <c r="Z5" s="54"/>
      <c r="AA5" s="59" t="s">
        <v>26</v>
      </c>
      <c r="AB5" s="481"/>
      <c r="AC5" s="482"/>
      <c r="AD5" s="507"/>
      <c r="AE5" s="504"/>
      <c r="AF5" s="507"/>
      <c r="AG5" s="507"/>
      <c r="AH5" s="506"/>
    </row>
    <row r="6" spans="1:34" ht="15.75" x14ac:dyDescent="0.25">
      <c r="A6" s="2" t="s">
        <v>312</v>
      </c>
      <c r="B6">
        <v>1</v>
      </c>
      <c r="C6">
        <v>0</v>
      </c>
      <c r="D6">
        <v>4</v>
      </c>
      <c r="E6">
        <v>2</v>
      </c>
      <c r="O6" s="483" t="s">
        <v>94</v>
      </c>
      <c r="P6" s="484"/>
      <c r="Q6" s="485"/>
      <c r="S6" s="483" t="s">
        <v>94</v>
      </c>
      <c r="T6" s="481"/>
      <c r="U6" s="482"/>
      <c r="Z6" s="54"/>
      <c r="AA6" s="483" t="s">
        <v>94</v>
      </c>
      <c r="AB6" s="484"/>
      <c r="AC6" s="485"/>
      <c r="AD6" s="504"/>
      <c r="AE6" s="504"/>
      <c r="AF6" s="504"/>
      <c r="AG6" s="505"/>
      <c r="AH6" s="504"/>
    </row>
    <row r="7" spans="1:34" ht="15.75" x14ac:dyDescent="0.25">
      <c r="A7" s="2" t="s">
        <v>365</v>
      </c>
      <c r="B7">
        <v>5174</v>
      </c>
      <c r="C7">
        <v>4421</v>
      </c>
      <c r="D7">
        <v>6310</v>
      </c>
      <c r="E7">
        <v>442</v>
      </c>
      <c r="O7" s="7" t="s">
        <v>93</v>
      </c>
      <c r="P7" s="48" t="s">
        <v>57</v>
      </c>
      <c r="Q7" s="486" t="e">
        <f>K3*GETPIVOTDATA("Unique Billed Hours",$M$17,"Personal Care Aide","Personal Care Aide")</f>
        <v>#REF!</v>
      </c>
      <c r="S7" s="487" t="s">
        <v>105</v>
      </c>
      <c r="T7" s="48" t="s">
        <v>57</v>
      </c>
      <c r="U7" s="486" t="e">
        <f>K3*GETPIVOTDATA("Unique Billed Hours",$M$17,"Personal Care Aide","Personal Assistant")</f>
        <v>#REF!</v>
      </c>
      <c r="Z7" s="54"/>
      <c r="AA7" s="7" t="s">
        <v>93</v>
      </c>
      <c r="AB7" s="48" t="s">
        <v>57</v>
      </c>
      <c r="AC7" s="499"/>
      <c r="AD7" s="503"/>
      <c r="AE7" s="498">
        <f>SUM(AD7+AG7-AH7)</f>
        <v>0</v>
      </c>
      <c r="AF7" s="503"/>
      <c r="AG7" s="502"/>
      <c r="AH7" s="501"/>
    </row>
    <row r="8" spans="1:34" ht="16.5" thickBot="1" x14ac:dyDescent="0.3">
      <c r="A8" s="2" t="s">
        <v>328</v>
      </c>
      <c r="B8">
        <v>2</v>
      </c>
      <c r="C8">
        <v>1</v>
      </c>
      <c r="D8">
        <v>10</v>
      </c>
      <c r="E8">
        <v>2</v>
      </c>
      <c r="O8" s="7" t="s">
        <v>92</v>
      </c>
      <c r="P8" s="48" t="s">
        <v>56</v>
      </c>
      <c r="Q8" s="484"/>
      <c r="S8" s="488" t="s">
        <v>48</v>
      </c>
      <c r="T8" s="53" t="s">
        <v>56</v>
      </c>
      <c r="U8" s="489" t="e">
        <f>SUM(U7)</f>
        <v>#REF!</v>
      </c>
      <c r="Z8" s="54"/>
      <c r="AA8" s="7" t="s">
        <v>92</v>
      </c>
      <c r="AB8" s="48" t="s">
        <v>56</v>
      </c>
      <c r="AC8" s="500"/>
      <c r="AD8" s="497"/>
      <c r="AE8" s="498">
        <f>SUM(AD8+AG8-AH8)</f>
        <v>0</v>
      </c>
      <c r="AF8" s="497"/>
      <c r="AG8" s="496"/>
      <c r="AH8" s="495"/>
    </row>
    <row r="9" spans="1:34" ht="15.75" x14ac:dyDescent="0.25">
      <c r="A9" s="2" t="s">
        <v>329</v>
      </c>
      <c r="B9">
        <v>1329</v>
      </c>
      <c r="C9">
        <v>1041</v>
      </c>
      <c r="D9">
        <v>2438</v>
      </c>
      <c r="E9">
        <v>168</v>
      </c>
      <c r="O9" s="7" t="s">
        <v>91</v>
      </c>
      <c r="P9" s="48" t="s">
        <v>55</v>
      </c>
      <c r="Q9" s="486" t="e">
        <f>K3*GETPIVOTDATA("Unique Billed Hours",$M$17,"Personal Care Aide","Nursing Supervision/Assessment")</f>
        <v>#REF!</v>
      </c>
      <c r="Z9" s="54"/>
      <c r="AA9" s="7" t="s">
        <v>91</v>
      </c>
      <c r="AB9" s="48" t="s">
        <v>55</v>
      </c>
      <c r="AC9" s="499"/>
      <c r="AD9" s="497"/>
      <c r="AE9" s="498">
        <f>SUM(AD9+AG9-AH9)</f>
        <v>0</v>
      </c>
      <c r="AF9" s="497"/>
      <c r="AG9" s="496"/>
      <c r="AH9" s="495"/>
    </row>
    <row r="10" spans="1:34" ht="15.75" thickBot="1" x14ac:dyDescent="0.3">
      <c r="A10" s="2" t="s">
        <v>366</v>
      </c>
      <c r="B10">
        <v>3017</v>
      </c>
      <c r="C10">
        <v>2584</v>
      </c>
      <c r="D10">
        <v>3193</v>
      </c>
      <c r="E10">
        <v>259</v>
      </c>
      <c r="O10" s="488" t="s">
        <v>48</v>
      </c>
      <c r="P10" s="53" t="s">
        <v>54</v>
      </c>
      <c r="Q10" s="489" t="e">
        <f>SUM(Q7:Q9)</f>
        <v>#REF!</v>
      </c>
      <c r="Z10" s="54"/>
      <c r="AA10" s="488" t="s">
        <v>48</v>
      </c>
      <c r="AB10" s="53" t="s">
        <v>54</v>
      </c>
      <c r="AC10" s="494">
        <f t="shared" ref="AC10:AH10" si="0">SUM(AC7:AC9)</f>
        <v>0</v>
      </c>
      <c r="AD10" s="494">
        <f t="shared" si="0"/>
        <v>0</v>
      </c>
      <c r="AE10" s="494">
        <f t="shared" si="0"/>
        <v>0</v>
      </c>
      <c r="AF10" s="494">
        <f t="shared" si="0"/>
        <v>0</v>
      </c>
      <c r="AG10" s="494">
        <f t="shared" si="0"/>
        <v>0</v>
      </c>
      <c r="AH10" s="494">
        <f t="shared" si="0"/>
        <v>0</v>
      </c>
    </row>
    <row r="11" spans="1:34" ht="16.5" thickBot="1" x14ac:dyDescent="0.3">
      <c r="A11" s="2" t="s">
        <v>334</v>
      </c>
      <c r="B11">
        <v>3</v>
      </c>
      <c r="C11">
        <v>1</v>
      </c>
      <c r="D11">
        <v>2</v>
      </c>
      <c r="E11">
        <v>1</v>
      </c>
      <c r="Z11" s="54"/>
      <c r="AA11" s="54"/>
      <c r="AB11" s="493"/>
      <c r="AC11" s="55"/>
      <c r="AD11" s="54"/>
      <c r="AE11" s="492"/>
      <c r="AF11" s="54"/>
      <c r="AG11" s="54"/>
      <c r="AH11" s="54"/>
    </row>
    <row r="12" spans="1:34" ht="15.75" thickBot="1" x14ac:dyDescent="0.3">
      <c r="A12" s="2" t="s">
        <v>339</v>
      </c>
      <c r="B12">
        <v>3088</v>
      </c>
      <c r="C12">
        <v>2617</v>
      </c>
      <c r="D12">
        <v>4309</v>
      </c>
      <c r="E12">
        <v>255</v>
      </c>
      <c r="J12" s="490"/>
    </row>
    <row r="13" spans="1:34" x14ac:dyDescent="0.25">
      <c r="A13" s="2" t="s">
        <v>340</v>
      </c>
      <c r="B13">
        <v>42</v>
      </c>
      <c r="C13">
        <v>25</v>
      </c>
      <c r="D13">
        <v>175</v>
      </c>
      <c r="E13">
        <v>21</v>
      </c>
      <c r="J13" s="491"/>
    </row>
    <row r="14" spans="1:34" x14ac:dyDescent="0.25">
      <c r="A14" s="2" t="s">
        <v>367</v>
      </c>
      <c r="B14">
        <v>1580</v>
      </c>
      <c r="C14">
        <v>1243</v>
      </c>
      <c r="D14">
        <v>1937</v>
      </c>
      <c r="E14">
        <v>251</v>
      </c>
      <c r="J14" s="491"/>
    </row>
    <row r="15" spans="1:34" ht="15.75" thickBot="1" x14ac:dyDescent="0.3">
      <c r="A15" s="2" t="s">
        <v>343</v>
      </c>
      <c r="B15">
        <v>3</v>
      </c>
      <c r="C15">
        <v>1</v>
      </c>
      <c r="D15">
        <v>38</v>
      </c>
      <c r="E15">
        <v>3</v>
      </c>
      <c r="J15" s="491"/>
    </row>
    <row r="16" spans="1:34" x14ac:dyDescent="0.25">
      <c r="A16" s="2" t="s">
        <v>344</v>
      </c>
      <c r="B16">
        <v>52</v>
      </c>
      <c r="C16">
        <v>32</v>
      </c>
      <c r="D16">
        <v>211</v>
      </c>
      <c r="E16">
        <v>33</v>
      </c>
      <c r="J16" s="491"/>
      <c r="L16" s="510"/>
      <c r="M16" s="511"/>
      <c r="N16" s="511"/>
      <c r="O16" s="512"/>
    </row>
    <row r="17" spans="1:15" x14ac:dyDescent="0.25">
      <c r="A17" s="2" t="s">
        <v>349</v>
      </c>
      <c r="B17">
        <v>6</v>
      </c>
      <c r="C17">
        <v>5</v>
      </c>
      <c r="D17">
        <v>7</v>
      </c>
      <c r="E17">
        <v>0</v>
      </c>
      <c r="J17" s="491"/>
      <c r="L17" s="513"/>
      <c r="O17" s="514"/>
    </row>
    <row r="18" spans="1:15" x14ac:dyDescent="0.25">
      <c r="A18" s="2" t="s">
        <v>362</v>
      </c>
      <c r="B18">
        <v>527</v>
      </c>
      <c r="C18">
        <v>383</v>
      </c>
      <c r="D18">
        <v>817</v>
      </c>
      <c r="E18">
        <v>89</v>
      </c>
      <c r="J18" s="491"/>
      <c r="L18" s="513"/>
      <c r="O18" s="514"/>
    </row>
    <row r="19" spans="1:15" x14ac:dyDescent="0.25">
      <c r="A19" s="2" t="s">
        <v>22</v>
      </c>
      <c r="B19">
        <v>18159</v>
      </c>
      <c r="C19">
        <v>15177</v>
      </c>
      <c r="D19">
        <v>22981</v>
      </c>
      <c r="E19">
        <v>1828</v>
      </c>
      <c r="J19" s="491"/>
      <c r="L19" s="513"/>
      <c r="O19" s="514"/>
    </row>
    <row r="20" spans="1:15" x14ac:dyDescent="0.25">
      <c r="J20" s="491"/>
      <c r="L20" s="513"/>
      <c r="O20" s="514"/>
    </row>
    <row r="21" spans="1:15" x14ac:dyDescent="0.25">
      <c r="J21" s="491"/>
      <c r="L21" s="513"/>
      <c r="O21" s="514"/>
    </row>
    <row r="22" spans="1:15" x14ac:dyDescent="0.25">
      <c r="J22" s="491"/>
      <c r="L22" s="513"/>
      <c r="O22" s="514"/>
    </row>
    <row r="23" spans="1:15" x14ac:dyDescent="0.25">
      <c r="J23" s="491"/>
      <c r="L23" s="513"/>
      <c r="O23" s="514"/>
    </row>
    <row r="24" spans="1:15" x14ac:dyDescent="0.25">
      <c r="J24" s="491"/>
      <c r="L24" s="513"/>
      <c r="O24" s="514"/>
    </row>
    <row r="25" spans="1:15" x14ac:dyDescent="0.25">
      <c r="J25" s="491"/>
      <c r="L25" s="513"/>
      <c r="O25" s="514"/>
    </row>
    <row r="26" spans="1:15" x14ac:dyDescent="0.25">
      <c r="L26" s="513"/>
      <c r="O26" s="514"/>
    </row>
    <row r="27" spans="1:15" x14ac:dyDescent="0.25">
      <c r="L27" s="513"/>
      <c r="O27" s="514"/>
    </row>
    <row r="28" spans="1:15" x14ac:dyDescent="0.25">
      <c r="L28" s="513"/>
      <c r="O28" s="514"/>
    </row>
    <row r="29" spans="1:15" x14ac:dyDescent="0.25">
      <c r="L29" s="513"/>
      <c r="O29" s="514"/>
    </row>
    <row r="30" spans="1:15" x14ac:dyDescent="0.25">
      <c r="L30" s="513"/>
      <c r="O30" s="514"/>
    </row>
    <row r="31" spans="1:15" x14ac:dyDescent="0.25">
      <c r="L31" s="513"/>
      <c r="O31" s="514"/>
    </row>
    <row r="32" spans="1:15" x14ac:dyDescent="0.25">
      <c r="L32" s="513"/>
      <c r="O32" s="514"/>
    </row>
    <row r="33" spans="12:15" x14ac:dyDescent="0.25">
      <c r="L33" s="513"/>
      <c r="O33" s="514"/>
    </row>
    <row r="34" spans="12:15" x14ac:dyDescent="0.25">
      <c r="L34" s="513"/>
      <c r="O34" s="514"/>
    </row>
    <row r="35" spans="12:15" x14ac:dyDescent="0.25">
      <c r="L35" s="513"/>
      <c r="O35" s="514"/>
    </row>
    <row r="36" spans="12:15" x14ac:dyDescent="0.25">
      <c r="L36" s="513"/>
      <c r="O36" s="514"/>
    </row>
    <row r="37" spans="12:15" x14ac:dyDescent="0.25">
      <c r="L37" s="513"/>
      <c r="O37" s="514"/>
    </row>
    <row r="38" spans="12:15" x14ac:dyDescent="0.25">
      <c r="L38" s="513"/>
      <c r="O38" s="514"/>
    </row>
    <row r="39" spans="12:15" x14ac:dyDescent="0.25">
      <c r="L39" s="513"/>
      <c r="O39" s="514"/>
    </row>
    <row r="40" spans="12:15" ht="15.75" thickBot="1" x14ac:dyDescent="0.3">
      <c r="L40" s="515"/>
      <c r="M40" s="516"/>
      <c r="N40" s="516"/>
      <c r="O40" s="517"/>
    </row>
  </sheetData>
  <mergeCells count="6">
    <mergeCell ref="P1:Q1"/>
    <mergeCell ref="T1:U1"/>
    <mergeCell ref="P2:Q2"/>
    <mergeCell ref="T2:U2"/>
    <mergeCell ref="AB1:AC1"/>
    <mergeCell ref="AB2:AC2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92D050"/>
  </sheetPr>
  <dimension ref="A1:T66"/>
  <sheetViews>
    <sheetView workbookViewId="0"/>
  </sheetViews>
  <sheetFormatPr defaultColWidth="9.28515625" defaultRowHeight="15" x14ac:dyDescent="0.25"/>
  <cols>
    <col min="1" max="1" width="14.42578125" style="284" bestFit="1" customWidth="1"/>
    <col min="2" max="2" width="17.42578125" style="284" bestFit="1" customWidth="1"/>
    <col min="3" max="3" width="24.42578125" style="284" bestFit="1" customWidth="1"/>
    <col min="4" max="4" width="18.28515625" style="284" bestFit="1" customWidth="1"/>
    <col min="5" max="5" width="20.42578125" style="284" bestFit="1" customWidth="1"/>
    <col min="6" max="7" width="9.28515625" style="284"/>
    <col min="8" max="8" width="42.140625" style="284" customWidth="1"/>
    <col min="9" max="12" width="9.28515625" style="284"/>
    <col min="13" max="13" width="24.42578125" style="284" bestFit="1" customWidth="1"/>
    <col min="14" max="14" width="9.28515625" style="284"/>
    <col min="15" max="15" width="20.140625" style="284" bestFit="1" customWidth="1"/>
    <col min="16" max="16" width="8.7109375" style="284" bestFit="1" customWidth="1"/>
    <col min="17" max="17" width="13.28515625" style="284" bestFit="1" customWidth="1"/>
    <col min="18" max="18" width="20" style="284" bestFit="1" customWidth="1"/>
    <col min="19" max="19" width="14.42578125" style="284" bestFit="1" customWidth="1"/>
    <col min="20" max="20" width="20.42578125" style="284" bestFit="1" customWidth="1"/>
    <col min="21" max="16384" width="9.28515625" style="284"/>
  </cols>
  <sheetData>
    <row r="1" spans="1:20" x14ac:dyDescent="0.25">
      <c r="A1" s="1" t="s">
        <v>4</v>
      </c>
      <c r="B1" t="s">
        <v>15</v>
      </c>
      <c r="H1" s="363" t="s">
        <v>385</v>
      </c>
      <c r="M1" s="476" t="s">
        <v>65</v>
      </c>
      <c r="N1" s="953"/>
      <c r="O1" s="954"/>
      <c r="P1" s="493"/>
      <c r="Q1" s="493"/>
      <c r="R1" s="493"/>
      <c r="S1" s="493"/>
      <c r="T1" s="493"/>
    </row>
    <row r="2" spans="1:20" ht="15.75" thickBot="1" x14ac:dyDescent="0.3">
      <c r="M2" s="477" t="s">
        <v>66</v>
      </c>
      <c r="N2" s="955"/>
      <c r="O2" s="956"/>
      <c r="P2" s="493"/>
      <c r="Q2" s="493"/>
      <c r="R2" s="493"/>
      <c r="S2" s="493"/>
      <c r="T2" s="493"/>
    </row>
    <row r="3" spans="1:20" s="285" customFormat="1" ht="48" customHeight="1" x14ac:dyDescent="0.25">
      <c r="A3" s="282" t="s">
        <v>21</v>
      </c>
      <c r="B3" s="266" t="s">
        <v>302</v>
      </c>
      <c r="C3" s="266" t="s">
        <v>301</v>
      </c>
      <c r="D3" s="266" t="s">
        <v>300</v>
      </c>
      <c r="E3" s="266" t="s">
        <v>299</v>
      </c>
      <c r="M3" s="478" t="s">
        <v>453</v>
      </c>
      <c r="N3" s="479"/>
      <c r="O3" s="46" t="s">
        <v>452</v>
      </c>
      <c r="P3" s="509" t="s">
        <v>298</v>
      </c>
      <c r="Q3" s="509" t="s">
        <v>457</v>
      </c>
      <c r="R3" s="509" t="s">
        <v>456</v>
      </c>
      <c r="S3" s="509" t="s">
        <v>455</v>
      </c>
      <c r="T3" s="508" t="s">
        <v>454</v>
      </c>
    </row>
    <row r="4" spans="1:20" x14ac:dyDescent="0.25">
      <c r="A4" s="2" t="s">
        <v>303</v>
      </c>
      <c r="B4">
        <v>62</v>
      </c>
      <c r="C4">
        <v>45</v>
      </c>
      <c r="D4">
        <v>110</v>
      </c>
      <c r="E4">
        <v>33</v>
      </c>
      <c r="M4" s="480"/>
      <c r="N4" s="481"/>
      <c r="O4" s="49" t="s">
        <v>57</v>
      </c>
      <c r="P4" s="49" t="s">
        <v>56</v>
      </c>
      <c r="Q4" s="49" t="s">
        <v>55</v>
      </c>
      <c r="R4" s="49" t="s">
        <v>54</v>
      </c>
      <c r="S4" s="49" t="s">
        <v>53</v>
      </c>
      <c r="T4" s="50" t="s">
        <v>52</v>
      </c>
    </row>
    <row r="5" spans="1:20" ht="15.75" x14ac:dyDescent="0.25">
      <c r="A5" s="2" t="s">
        <v>304</v>
      </c>
      <c r="B5">
        <v>0</v>
      </c>
      <c r="C5">
        <v>0</v>
      </c>
      <c r="D5">
        <v>4</v>
      </c>
      <c r="E5">
        <v>1</v>
      </c>
      <c r="M5" s="51" t="s">
        <v>26</v>
      </c>
      <c r="N5" s="481"/>
      <c r="O5" s="482"/>
      <c r="P5" s="507"/>
      <c r="Q5" s="504"/>
      <c r="R5" s="507"/>
      <c r="S5" s="507"/>
      <c r="T5" s="506"/>
    </row>
    <row r="6" spans="1:20" ht="15.75" x14ac:dyDescent="0.25">
      <c r="A6" s="2" t="s">
        <v>305</v>
      </c>
      <c r="B6">
        <v>242</v>
      </c>
      <c r="C6">
        <v>197</v>
      </c>
      <c r="D6">
        <v>290</v>
      </c>
      <c r="E6">
        <v>89</v>
      </c>
      <c r="M6" s="483" t="s">
        <v>94</v>
      </c>
      <c r="N6" s="481"/>
      <c r="O6" s="482"/>
      <c r="P6" s="507"/>
      <c r="Q6" s="504"/>
      <c r="R6" s="507"/>
      <c r="S6" s="507"/>
      <c r="T6" s="506"/>
    </row>
    <row r="7" spans="1:20" ht="15.75" x14ac:dyDescent="0.25">
      <c r="A7" s="2" t="s">
        <v>306</v>
      </c>
      <c r="B7">
        <v>21</v>
      </c>
      <c r="C7">
        <v>16</v>
      </c>
      <c r="D7">
        <v>51</v>
      </c>
      <c r="E7">
        <v>18</v>
      </c>
      <c r="M7" s="487" t="s">
        <v>105</v>
      </c>
      <c r="N7" s="48" t="s">
        <v>57</v>
      </c>
      <c r="O7" s="499"/>
      <c r="P7" s="503"/>
      <c r="Q7" s="498">
        <f>SUM(P7+S7-T7)</f>
        <v>0</v>
      </c>
      <c r="R7" s="503"/>
      <c r="S7" s="502"/>
      <c r="T7" s="501"/>
    </row>
    <row r="8" spans="1:20" ht="14.25" customHeight="1" thickBot="1" x14ac:dyDescent="0.3">
      <c r="A8" s="2" t="s">
        <v>307</v>
      </c>
      <c r="B8">
        <v>5</v>
      </c>
      <c r="C8">
        <v>3</v>
      </c>
      <c r="D8">
        <v>13</v>
      </c>
      <c r="E8">
        <v>4</v>
      </c>
      <c r="M8" s="488" t="s">
        <v>48</v>
      </c>
      <c r="N8" s="53" t="s">
        <v>56</v>
      </c>
      <c r="O8" s="494">
        <f>SUM(O7)</f>
        <v>0</v>
      </c>
      <c r="P8" s="494">
        <f t="shared" ref="P8:T8" si="0">SUM(P7)</f>
        <v>0</v>
      </c>
      <c r="Q8" s="494">
        <f t="shared" si="0"/>
        <v>0</v>
      </c>
      <c r="R8" s="494">
        <f t="shared" si="0"/>
        <v>0</v>
      </c>
      <c r="S8" s="494">
        <f t="shared" si="0"/>
        <v>0</v>
      </c>
      <c r="T8" s="494">
        <f t="shared" si="0"/>
        <v>0</v>
      </c>
    </row>
    <row r="9" spans="1:20" x14ac:dyDescent="0.25">
      <c r="A9" s="2" t="s">
        <v>308</v>
      </c>
      <c r="B9">
        <v>5</v>
      </c>
      <c r="C9">
        <v>4</v>
      </c>
      <c r="D9">
        <v>6</v>
      </c>
      <c r="E9">
        <v>5</v>
      </c>
    </row>
    <row r="10" spans="1:20" x14ac:dyDescent="0.25">
      <c r="A10" s="2" t="s">
        <v>309</v>
      </c>
      <c r="B10">
        <v>11</v>
      </c>
      <c r="C10">
        <v>8</v>
      </c>
      <c r="D10">
        <v>21</v>
      </c>
      <c r="E10">
        <v>5</v>
      </c>
    </row>
    <row r="11" spans="1:20" x14ac:dyDescent="0.25">
      <c r="A11" s="2" t="s">
        <v>310</v>
      </c>
      <c r="B11">
        <v>10</v>
      </c>
      <c r="C11">
        <v>8</v>
      </c>
      <c r="D11">
        <v>15</v>
      </c>
      <c r="E11">
        <v>4</v>
      </c>
    </row>
    <row r="12" spans="1:20" x14ac:dyDescent="0.25">
      <c r="A12" s="2" t="s">
        <v>360</v>
      </c>
      <c r="B12">
        <v>5</v>
      </c>
      <c r="C12">
        <v>3</v>
      </c>
      <c r="D12">
        <v>13</v>
      </c>
      <c r="E12">
        <v>4</v>
      </c>
    </row>
    <row r="13" spans="1:20" x14ac:dyDescent="0.25">
      <c r="A13" s="2" t="s">
        <v>311</v>
      </c>
      <c r="B13">
        <v>3</v>
      </c>
      <c r="C13">
        <v>3</v>
      </c>
      <c r="D13">
        <v>9</v>
      </c>
      <c r="E13">
        <v>0</v>
      </c>
    </row>
    <row r="14" spans="1:20" x14ac:dyDescent="0.25">
      <c r="A14" s="2" t="s">
        <v>312</v>
      </c>
      <c r="B14">
        <v>1</v>
      </c>
      <c r="C14">
        <v>1</v>
      </c>
      <c r="D14">
        <v>4</v>
      </c>
      <c r="E14">
        <v>1</v>
      </c>
    </row>
    <row r="15" spans="1:20" x14ac:dyDescent="0.25">
      <c r="A15" s="2" t="s">
        <v>313</v>
      </c>
      <c r="B15">
        <v>2</v>
      </c>
      <c r="C15">
        <v>2</v>
      </c>
      <c r="D15">
        <v>4</v>
      </c>
      <c r="E15">
        <v>1</v>
      </c>
    </row>
    <row r="16" spans="1:20" x14ac:dyDescent="0.25">
      <c r="A16" s="2" t="s">
        <v>314</v>
      </c>
      <c r="B16">
        <v>0</v>
      </c>
      <c r="C16">
        <v>0</v>
      </c>
      <c r="D16">
        <v>15</v>
      </c>
      <c r="E16">
        <v>3</v>
      </c>
    </row>
    <row r="17" spans="1:5" x14ac:dyDescent="0.25">
      <c r="A17" s="2" t="s">
        <v>315</v>
      </c>
      <c r="B17">
        <v>15</v>
      </c>
      <c r="C17">
        <v>13</v>
      </c>
      <c r="D17">
        <v>20</v>
      </c>
      <c r="E17">
        <v>6</v>
      </c>
    </row>
    <row r="18" spans="1:5" x14ac:dyDescent="0.25">
      <c r="A18" s="2" t="s">
        <v>316</v>
      </c>
      <c r="B18">
        <v>49</v>
      </c>
      <c r="C18">
        <v>33</v>
      </c>
      <c r="D18">
        <v>86</v>
      </c>
      <c r="E18">
        <v>33</v>
      </c>
    </row>
    <row r="19" spans="1:5" x14ac:dyDescent="0.25">
      <c r="A19" s="2" t="s">
        <v>317</v>
      </c>
      <c r="B19">
        <v>0</v>
      </c>
      <c r="C19">
        <v>0</v>
      </c>
      <c r="D19">
        <v>2</v>
      </c>
      <c r="E19">
        <v>0</v>
      </c>
    </row>
    <row r="20" spans="1:5" x14ac:dyDescent="0.25">
      <c r="A20" s="2" t="s">
        <v>318</v>
      </c>
      <c r="B20">
        <v>1</v>
      </c>
      <c r="C20">
        <v>0</v>
      </c>
      <c r="D20">
        <v>6</v>
      </c>
      <c r="E20">
        <v>1</v>
      </c>
    </row>
    <row r="21" spans="1:5" x14ac:dyDescent="0.25">
      <c r="A21" s="2" t="s">
        <v>319</v>
      </c>
      <c r="B21">
        <v>10</v>
      </c>
      <c r="C21">
        <v>9</v>
      </c>
      <c r="D21">
        <v>20</v>
      </c>
      <c r="E21">
        <v>10</v>
      </c>
    </row>
    <row r="22" spans="1:5" x14ac:dyDescent="0.25">
      <c r="A22" s="2" t="s">
        <v>320</v>
      </c>
      <c r="B22">
        <v>4</v>
      </c>
      <c r="C22">
        <v>4</v>
      </c>
      <c r="D22">
        <v>8</v>
      </c>
      <c r="E22">
        <v>1</v>
      </c>
    </row>
    <row r="23" spans="1:5" x14ac:dyDescent="0.25">
      <c r="A23" s="2" t="s">
        <v>321</v>
      </c>
      <c r="B23">
        <v>3</v>
      </c>
      <c r="C23">
        <v>3</v>
      </c>
      <c r="D23">
        <v>6</v>
      </c>
      <c r="E23">
        <v>3</v>
      </c>
    </row>
    <row r="24" spans="1:5" x14ac:dyDescent="0.25">
      <c r="A24" s="2" t="s">
        <v>322</v>
      </c>
      <c r="B24">
        <v>0</v>
      </c>
      <c r="C24">
        <v>0</v>
      </c>
      <c r="D24">
        <v>1</v>
      </c>
      <c r="E24">
        <v>0</v>
      </c>
    </row>
    <row r="25" spans="1:5" x14ac:dyDescent="0.25">
      <c r="A25" s="2" t="s">
        <v>323</v>
      </c>
      <c r="B25">
        <v>2</v>
      </c>
      <c r="C25">
        <v>1</v>
      </c>
      <c r="D25">
        <v>16</v>
      </c>
      <c r="E25">
        <v>3</v>
      </c>
    </row>
    <row r="26" spans="1:5" x14ac:dyDescent="0.25">
      <c r="A26" s="2" t="s">
        <v>324</v>
      </c>
      <c r="B26">
        <v>12</v>
      </c>
      <c r="C26">
        <v>8</v>
      </c>
      <c r="D26">
        <v>16</v>
      </c>
      <c r="E26">
        <v>6</v>
      </c>
    </row>
    <row r="27" spans="1:5" x14ac:dyDescent="0.25">
      <c r="A27" s="2" t="s">
        <v>365</v>
      </c>
      <c r="B27">
        <v>416</v>
      </c>
      <c r="C27">
        <v>361</v>
      </c>
      <c r="D27">
        <v>524</v>
      </c>
      <c r="E27">
        <v>140</v>
      </c>
    </row>
    <row r="28" spans="1:5" x14ac:dyDescent="0.25">
      <c r="A28" s="2" t="s">
        <v>325</v>
      </c>
      <c r="B28">
        <v>2</v>
      </c>
      <c r="C28">
        <v>2</v>
      </c>
      <c r="D28">
        <v>2</v>
      </c>
      <c r="E28">
        <v>0</v>
      </c>
    </row>
    <row r="29" spans="1:5" x14ac:dyDescent="0.25">
      <c r="A29" s="2" t="s">
        <v>326</v>
      </c>
      <c r="B29">
        <v>4</v>
      </c>
      <c r="C29">
        <v>2</v>
      </c>
      <c r="D29">
        <v>3</v>
      </c>
      <c r="E29">
        <v>2</v>
      </c>
    </row>
    <row r="30" spans="1:5" x14ac:dyDescent="0.25">
      <c r="A30" s="2" t="s">
        <v>327</v>
      </c>
      <c r="B30">
        <v>3</v>
      </c>
      <c r="C30">
        <v>3</v>
      </c>
      <c r="D30">
        <v>4</v>
      </c>
      <c r="E30">
        <v>0</v>
      </c>
    </row>
    <row r="31" spans="1:5" x14ac:dyDescent="0.25">
      <c r="A31" s="2" t="s">
        <v>285</v>
      </c>
      <c r="B31">
        <v>71</v>
      </c>
      <c r="C31">
        <v>58</v>
      </c>
      <c r="D31">
        <v>74</v>
      </c>
      <c r="E31">
        <v>17</v>
      </c>
    </row>
    <row r="32" spans="1:5" x14ac:dyDescent="0.25">
      <c r="A32" s="2" t="s">
        <v>328</v>
      </c>
      <c r="B32">
        <v>8</v>
      </c>
      <c r="C32">
        <v>7</v>
      </c>
      <c r="D32">
        <v>20</v>
      </c>
      <c r="E32">
        <v>3</v>
      </c>
    </row>
    <row r="33" spans="1:5" x14ac:dyDescent="0.25">
      <c r="A33" s="2" t="s">
        <v>329</v>
      </c>
      <c r="B33">
        <v>100</v>
      </c>
      <c r="C33">
        <v>78</v>
      </c>
      <c r="D33">
        <v>152</v>
      </c>
      <c r="E33">
        <v>46</v>
      </c>
    </row>
    <row r="34" spans="1:5" x14ac:dyDescent="0.25">
      <c r="A34" s="2" t="s">
        <v>366</v>
      </c>
      <c r="B34">
        <v>146</v>
      </c>
      <c r="C34">
        <v>101</v>
      </c>
      <c r="D34">
        <v>197</v>
      </c>
      <c r="E34">
        <v>74</v>
      </c>
    </row>
    <row r="35" spans="1:5" x14ac:dyDescent="0.25">
      <c r="A35" s="2" t="s">
        <v>330</v>
      </c>
      <c r="B35">
        <v>14</v>
      </c>
      <c r="C35">
        <v>11</v>
      </c>
      <c r="D35">
        <v>21</v>
      </c>
      <c r="E35">
        <v>5</v>
      </c>
    </row>
    <row r="36" spans="1:5" x14ac:dyDescent="0.25">
      <c r="A36" s="2" t="s">
        <v>331</v>
      </c>
      <c r="B36">
        <v>23</v>
      </c>
      <c r="C36">
        <v>16</v>
      </c>
      <c r="D36">
        <v>23</v>
      </c>
      <c r="E36">
        <v>13</v>
      </c>
    </row>
    <row r="37" spans="1:5" x14ac:dyDescent="0.25">
      <c r="A37" s="2" t="s">
        <v>332</v>
      </c>
      <c r="B37">
        <v>40</v>
      </c>
      <c r="C37">
        <v>33</v>
      </c>
      <c r="D37">
        <v>39</v>
      </c>
      <c r="E37">
        <v>15</v>
      </c>
    </row>
    <row r="38" spans="1:5" x14ac:dyDescent="0.25">
      <c r="A38" s="2" t="s">
        <v>333</v>
      </c>
      <c r="B38">
        <v>5</v>
      </c>
      <c r="C38">
        <v>5</v>
      </c>
      <c r="D38">
        <v>5</v>
      </c>
      <c r="E38">
        <v>1</v>
      </c>
    </row>
    <row r="39" spans="1:5" x14ac:dyDescent="0.25">
      <c r="A39" s="2" t="s">
        <v>334</v>
      </c>
      <c r="B39">
        <v>24</v>
      </c>
      <c r="C39">
        <v>22</v>
      </c>
      <c r="D39">
        <v>26</v>
      </c>
      <c r="E39">
        <v>6</v>
      </c>
    </row>
    <row r="40" spans="1:5" x14ac:dyDescent="0.25">
      <c r="A40" s="2" t="s">
        <v>335</v>
      </c>
      <c r="B40">
        <v>10</v>
      </c>
      <c r="C40">
        <v>10</v>
      </c>
      <c r="D40">
        <v>1</v>
      </c>
      <c r="E40">
        <v>0</v>
      </c>
    </row>
    <row r="41" spans="1:5" x14ac:dyDescent="0.25">
      <c r="A41" s="2" t="s">
        <v>336</v>
      </c>
      <c r="B41">
        <v>9</v>
      </c>
      <c r="C41">
        <v>7</v>
      </c>
      <c r="D41">
        <v>13</v>
      </c>
      <c r="E41">
        <v>3</v>
      </c>
    </row>
    <row r="42" spans="1:5" x14ac:dyDescent="0.25">
      <c r="A42" s="2" t="s">
        <v>337</v>
      </c>
      <c r="B42">
        <v>3</v>
      </c>
      <c r="C42">
        <v>2</v>
      </c>
      <c r="D42">
        <v>11</v>
      </c>
      <c r="E42">
        <v>3</v>
      </c>
    </row>
    <row r="43" spans="1:5" x14ac:dyDescent="0.25">
      <c r="A43" s="2" t="s">
        <v>338</v>
      </c>
      <c r="B43">
        <v>1</v>
      </c>
      <c r="C43">
        <v>1</v>
      </c>
      <c r="D43">
        <v>5</v>
      </c>
      <c r="E43">
        <v>0</v>
      </c>
    </row>
    <row r="44" spans="1:5" x14ac:dyDescent="0.25">
      <c r="A44" s="2" t="s">
        <v>339</v>
      </c>
      <c r="B44">
        <v>259</v>
      </c>
      <c r="C44">
        <v>215</v>
      </c>
      <c r="D44">
        <v>368</v>
      </c>
      <c r="E44">
        <v>102</v>
      </c>
    </row>
    <row r="45" spans="1:5" x14ac:dyDescent="0.25">
      <c r="A45" s="2" t="s">
        <v>340</v>
      </c>
      <c r="B45">
        <v>26</v>
      </c>
      <c r="C45">
        <v>23</v>
      </c>
      <c r="D45">
        <v>43</v>
      </c>
      <c r="E45">
        <v>10</v>
      </c>
    </row>
    <row r="46" spans="1:5" x14ac:dyDescent="0.25">
      <c r="A46" s="2" t="s">
        <v>367</v>
      </c>
      <c r="B46">
        <v>141</v>
      </c>
      <c r="C46">
        <v>118</v>
      </c>
      <c r="D46">
        <v>127</v>
      </c>
      <c r="E46">
        <v>50</v>
      </c>
    </row>
    <row r="47" spans="1:5" x14ac:dyDescent="0.25">
      <c r="A47" s="2" t="s">
        <v>341</v>
      </c>
      <c r="B47">
        <v>16</v>
      </c>
      <c r="C47">
        <v>11</v>
      </c>
      <c r="D47">
        <v>19</v>
      </c>
      <c r="E47">
        <v>6</v>
      </c>
    </row>
    <row r="48" spans="1:5" x14ac:dyDescent="0.25">
      <c r="A48" s="2" t="s">
        <v>342</v>
      </c>
      <c r="B48">
        <v>9</v>
      </c>
      <c r="C48">
        <v>4</v>
      </c>
      <c r="D48">
        <v>5</v>
      </c>
      <c r="E48">
        <v>7</v>
      </c>
    </row>
    <row r="49" spans="1:5" x14ac:dyDescent="0.25">
      <c r="A49" s="2" t="s">
        <v>343</v>
      </c>
      <c r="B49">
        <v>15</v>
      </c>
      <c r="C49">
        <v>13</v>
      </c>
      <c r="D49">
        <v>23</v>
      </c>
      <c r="E49">
        <v>4</v>
      </c>
    </row>
    <row r="50" spans="1:5" x14ac:dyDescent="0.25">
      <c r="A50" s="2" t="s">
        <v>344</v>
      </c>
      <c r="B50">
        <v>67</v>
      </c>
      <c r="C50">
        <v>59</v>
      </c>
      <c r="D50">
        <v>113</v>
      </c>
      <c r="E50">
        <v>20</v>
      </c>
    </row>
    <row r="51" spans="1:5" x14ac:dyDescent="0.25">
      <c r="A51" s="2" t="s">
        <v>345</v>
      </c>
      <c r="B51">
        <v>2</v>
      </c>
      <c r="C51">
        <v>1</v>
      </c>
      <c r="D51">
        <v>8</v>
      </c>
      <c r="E51">
        <v>1</v>
      </c>
    </row>
    <row r="52" spans="1:5" x14ac:dyDescent="0.25">
      <c r="A52" s="2" t="s">
        <v>346</v>
      </c>
      <c r="B52">
        <v>2</v>
      </c>
      <c r="C52">
        <v>2</v>
      </c>
      <c r="D52">
        <v>4</v>
      </c>
      <c r="E52">
        <v>1</v>
      </c>
    </row>
    <row r="53" spans="1:5" x14ac:dyDescent="0.25">
      <c r="A53" s="2" t="s">
        <v>347</v>
      </c>
      <c r="B53">
        <v>1</v>
      </c>
      <c r="C53">
        <v>1</v>
      </c>
      <c r="D53">
        <v>2</v>
      </c>
      <c r="E53">
        <v>0</v>
      </c>
    </row>
    <row r="54" spans="1:5" x14ac:dyDescent="0.25">
      <c r="A54" s="2" t="s">
        <v>348</v>
      </c>
      <c r="B54">
        <v>3</v>
      </c>
      <c r="C54">
        <v>3</v>
      </c>
      <c r="D54">
        <v>13</v>
      </c>
      <c r="E54">
        <v>1</v>
      </c>
    </row>
    <row r="55" spans="1:5" x14ac:dyDescent="0.25">
      <c r="A55" s="2" t="s">
        <v>349</v>
      </c>
      <c r="B55">
        <v>82</v>
      </c>
      <c r="C55">
        <v>73</v>
      </c>
      <c r="D55">
        <v>131</v>
      </c>
      <c r="E55">
        <v>25</v>
      </c>
    </row>
    <row r="56" spans="1:5" x14ac:dyDescent="0.25">
      <c r="A56" s="2" t="s">
        <v>350</v>
      </c>
      <c r="B56">
        <v>5</v>
      </c>
      <c r="C56">
        <v>4</v>
      </c>
      <c r="D56">
        <v>8</v>
      </c>
      <c r="E56">
        <v>6</v>
      </c>
    </row>
    <row r="57" spans="1:5" x14ac:dyDescent="0.25">
      <c r="A57" s="2" t="s">
        <v>351</v>
      </c>
      <c r="B57">
        <v>3</v>
      </c>
      <c r="C57">
        <v>3</v>
      </c>
      <c r="D57">
        <v>10</v>
      </c>
      <c r="E57">
        <v>0</v>
      </c>
    </row>
    <row r="58" spans="1:5" x14ac:dyDescent="0.25">
      <c r="A58" s="2" t="s">
        <v>352</v>
      </c>
      <c r="B58">
        <v>2</v>
      </c>
      <c r="C58">
        <v>2</v>
      </c>
      <c r="D58">
        <v>7</v>
      </c>
      <c r="E58">
        <v>1</v>
      </c>
    </row>
    <row r="59" spans="1:5" x14ac:dyDescent="0.25">
      <c r="A59" s="2" t="s">
        <v>353</v>
      </c>
      <c r="B59">
        <v>13</v>
      </c>
      <c r="C59">
        <v>10</v>
      </c>
      <c r="D59">
        <v>23</v>
      </c>
      <c r="E59">
        <v>8</v>
      </c>
    </row>
    <row r="60" spans="1:5" x14ac:dyDescent="0.25">
      <c r="A60" s="2" t="s">
        <v>354</v>
      </c>
      <c r="B60">
        <v>5</v>
      </c>
      <c r="C60">
        <v>3</v>
      </c>
      <c r="D60">
        <v>4</v>
      </c>
      <c r="E60">
        <v>3</v>
      </c>
    </row>
    <row r="61" spans="1:5" x14ac:dyDescent="0.25">
      <c r="A61" s="2" t="s">
        <v>355</v>
      </c>
      <c r="B61">
        <v>6</v>
      </c>
      <c r="C61">
        <v>4</v>
      </c>
      <c r="D61">
        <v>10</v>
      </c>
      <c r="E61">
        <v>3</v>
      </c>
    </row>
    <row r="62" spans="1:5" x14ac:dyDescent="0.25">
      <c r="A62" s="2" t="s">
        <v>361</v>
      </c>
      <c r="B62">
        <v>4</v>
      </c>
      <c r="C62">
        <v>3</v>
      </c>
      <c r="D62">
        <v>3</v>
      </c>
      <c r="E62">
        <v>1</v>
      </c>
    </row>
    <row r="63" spans="1:5" x14ac:dyDescent="0.25">
      <c r="A63" s="2" t="s">
        <v>362</v>
      </c>
      <c r="B63">
        <v>50</v>
      </c>
      <c r="C63">
        <v>40</v>
      </c>
      <c r="D63">
        <v>103</v>
      </c>
      <c r="E63">
        <v>24</v>
      </c>
    </row>
    <row r="64" spans="1:5" x14ac:dyDescent="0.25">
      <c r="A64" s="2" t="s">
        <v>363</v>
      </c>
      <c r="B64">
        <v>1</v>
      </c>
      <c r="C64">
        <v>1</v>
      </c>
      <c r="D64">
        <v>2</v>
      </c>
      <c r="E64">
        <v>0</v>
      </c>
    </row>
    <row r="65" spans="1:5" x14ac:dyDescent="0.25">
      <c r="A65" s="2" t="s">
        <v>364</v>
      </c>
      <c r="B65">
        <v>2</v>
      </c>
      <c r="C65">
        <v>2</v>
      </c>
      <c r="D65">
        <v>1</v>
      </c>
      <c r="E65">
        <v>0</v>
      </c>
    </row>
    <row r="66" spans="1:5" x14ac:dyDescent="0.25">
      <c r="A66" s="2" t="s">
        <v>22</v>
      </c>
      <c r="B66">
        <v>2056</v>
      </c>
      <c r="C66">
        <v>1675</v>
      </c>
      <c r="D66">
        <v>2883</v>
      </c>
      <c r="E66">
        <v>832</v>
      </c>
    </row>
  </sheetData>
  <mergeCells count="2">
    <mergeCell ref="N1:O1"/>
    <mergeCell ref="N2:O2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 filterMode="1">
    <tabColor rgb="FF92D050"/>
    <pageSetUpPr fitToPage="1"/>
  </sheetPr>
  <dimension ref="A1:Y1081"/>
  <sheetViews>
    <sheetView zoomScale="85" zoomScaleNormal="85" workbookViewId="0"/>
  </sheetViews>
  <sheetFormatPr defaultColWidth="7.28515625" defaultRowHeight="15" x14ac:dyDescent="0.25"/>
  <cols>
    <col min="1" max="1" width="16.28515625" style="782" bestFit="1" customWidth="1"/>
    <col min="2" max="2" width="15.7109375" style="789" bestFit="1" customWidth="1"/>
    <col min="3" max="3" width="8.7109375" style="117" customWidth="1"/>
    <col min="4" max="4" width="56.42578125" style="117" bestFit="1" customWidth="1"/>
    <col min="5" max="5" width="16.7109375" style="117" bestFit="1" customWidth="1"/>
    <col min="6" max="6" width="21.140625" style="118" bestFit="1" customWidth="1"/>
    <col min="7" max="7" width="20.42578125" style="118" bestFit="1" customWidth="1"/>
    <col min="8" max="8" width="16.42578125" style="782" bestFit="1" customWidth="1"/>
    <col min="9" max="9" width="19.7109375" style="118" bestFit="1" customWidth="1"/>
    <col min="10" max="10" width="21.85546875" style="118" bestFit="1" customWidth="1"/>
    <col min="11" max="11" width="19.140625" style="118" bestFit="1" customWidth="1"/>
    <col min="12" max="12" width="21.28515625" style="118" bestFit="1" customWidth="1"/>
    <col min="13" max="13" width="21" style="782" bestFit="1" customWidth="1"/>
    <col min="14" max="14" width="21.7109375" style="782" bestFit="1" customWidth="1"/>
    <col min="15" max="15" width="16.42578125" style="118" bestFit="1" customWidth="1"/>
    <col min="16" max="16" width="18.28515625" style="782" bestFit="1" customWidth="1"/>
    <col min="17" max="17" width="21.140625" style="118" bestFit="1" customWidth="1"/>
    <col min="18" max="18" width="18.7109375" style="117" bestFit="1" customWidth="1"/>
    <col min="19" max="19" width="19.7109375" style="118" bestFit="1" customWidth="1"/>
    <col min="20" max="20" width="25" style="782" bestFit="1" customWidth="1"/>
    <col min="21" max="21" width="18.28515625" style="118" bestFit="1" customWidth="1"/>
    <col min="22" max="22" width="9" style="782" bestFit="1" customWidth="1"/>
    <col min="23" max="23" width="18.7109375" style="782" bestFit="1" customWidth="1"/>
    <col min="24" max="24" width="18.28515625" style="782" bestFit="1" customWidth="1"/>
    <col min="25" max="25" width="15" style="782" bestFit="1" customWidth="1"/>
    <col min="26" max="16384" width="7.28515625" style="782"/>
  </cols>
  <sheetData>
    <row r="1" spans="1:24" s="757" customFormat="1" ht="18.75" x14ac:dyDescent="0.25">
      <c r="A1" s="753" t="s">
        <v>20</v>
      </c>
      <c r="B1" s="754"/>
      <c r="C1" s="755">
        <v>1</v>
      </c>
      <c r="D1" s="94" t="s">
        <v>64</v>
      </c>
      <c r="E1" s="546"/>
      <c r="F1" s="547"/>
      <c r="G1" s="756"/>
      <c r="H1" s="548"/>
      <c r="J1" s="756"/>
      <c r="K1" s="756"/>
      <c r="L1" s="756"/>
      <c r="M1" s="547"/>
      <c r="N1" s="554"/>
      <c r="O1" s="756"/>
      <c r="R1" s="756"/>
    </row>
    <row r="2" spans="1:24" s="757" customFormat="1" ht="19.5" thickBot="1" x14ac:dyDescent="0.3">
      <c r="B2" s="754"/>
      <c r="C2" s="755">
        <v>1</v>
      </c>
      <c r="D2" s="95" t="s">
        <v>63</v>
      </c>
      <c r="E2" s="549"/>
      <c r="F2" s="550"/>
      <c r="G2" s="756"/>
      <c r="H2" s="551"/>
      <c r="J2" s="756"/>
      <c r="K2" s="756"/>
      <c r="L2" s="756"/>
      <c r="M2" s="550"/>
      <c r="N2" s="554"/>
      <c r="O2" s="756"/>
      <c r="R2" s="756"/>
    </row>
    <row r="3" spans="1:24" s="758" customFormat="1" ht="93.75" x14ac:dyDescent="0.25">
      <c r="B3" s="759"/>
      <c r="C3" s="755">
        <v>1</v>
      </c>
      <c r="D3" s="96" t="s">
        <v>108</v>
      </c>
      <c r="E3" s="97"/>
      <c r="F3" s="98" t="s">
        <v>356</v>
      </c>
      <c r="G3" s="98" t="s">
        <v>373</v>
      </c>
      <c r="H3" s="98" t="s">
        <v>358</v>
      </c>
      <c r="I3" s="98" t="s">
        <v>109</v>
      </c>
      <c r="J3" s="98" t="s">
        <v>111</v>
      </c>
      <c r="K3" s="98" t="s">
        <v>469</v>
      </c>
      <c r="L3" s="98" t="s">
        <v>470</v>
      </c>
      <c r="M3" s="98" t="s">
        <v>357</v>
      </c>
      <c r="N3" s="509" t="s">
        <v>471</v>
      </c>
      <c r="O3" s="98" t="s">
        <v>472</v>
      </c>
      <c r="P3" s="98" t="s">
        <v>110</v>
      </c>
      <c r="Q3" s="99" t="s">
        <v>116</v>
      </c>
      <c r="R3" s="98" t="s">
        <v>112</v>
      </c>
      <c r="S3" s="98" t="s">
        <v>113</v>
      </c>
      <c r="T3" s="98" t="s">
        <v>114</v>
      </c>
      <c r="U3" s="98" t="s">
        <v>115</v>
      </c>
    </row>
    <row r="4" spans="1:24" s="758" customFormat="1" ht="18.75" x14ac:dyDescent="0.25">
      <c r="A4" s="760" t="s">
        <v>303</v>
      </c>
      <c r="B4" s="761">
        <f>IFERROR(+GETPIVOTDATA("Unique Billed Hours",'County allocation'!$A$3,"County",A4,"HHA/CDPAP","HHA"),0)</f>
        <v>1.0414062357525667E-2</v>
      </c>
      <c r="C4" s="755">
        <v>1</v>
      </c>
      <c r="D4" s="101"/>
      <c r="E4" s="102"/>
      <c r="F4" s="84" t="s">
        <v>57</v>
      </c>
      <c r="G4" s="84" t="s">
        <v>56</v>
      </c>
      <c r="H4" s="84" t="s">
        <v>55</v>
      </c>
      <c r="I4" s="84" t="s">
        <v>54</v>
      </c>
      <c r="J4" s="84" t="s">
        <v>53</v>
      </c>
      <c r="K4" s="84" t="s">
        <v>52</v>
      </c>
      <c r="L4" s="84" t="s">
        <v>51</v>
      </c>
      <c r="M4" s="84" t="s">
        <v>50</v>
      </c>
      <c r="N4" s="84" t="s">
        <v>49</v>
      </c>
      <c r="O4" s="84" t="s">
        <v>47</v>
      </c>
      <c r="P4" s="84" t="s">
        <v>77</v>
      </c>
      <c r="Q4" s="83" t="s">
        <v>78</v>
      </c>
      <c r="R4" s="84" t="s">
        <v>79</v>
      </c>
      <c r="S4" s="84" t="s">
        <v>81</v>
      </c>
      <c r="T4" s="84" t="s">
        <v>83</v>
      </c>
      <c r="U4" s="84" t="s">
        <v>85</v>
      </c>
    </row>
    <row r="5" spans="1:24" s="758" customFormat="1" ht="18.75" x14ac:dyDescent="0.25">
      <c r="A5" s="760" t="s">
        <v>304</v>
      </c>
      <c r="B5" s="761">
        <f>IFERROR(+GETPIVOTDATA("Unique Billed Hours",'County allocation'!$A$3,"County",A5,"HHA/CDPAP","HHA"),0)</f>
        <v>0</v>
      </c>
      <c r="C5" s="755">
        <v>1</v>
      </c>
      <c r="D5" s="103" t="s">
        <v>26</v>
      </c>
      <c r="E5" s="104"/>
      <c r="F5" s="105"/>
      <c r="G5" s="105"/>
      <c r="H5" s="762"/>
      <c r="I5" s="105"/>
      <c r="J5" s="105"/>
      <c r="K5" s="105"/>
      <c r="L5" s="105"/>
      <c r="M5" s="762"/>
      <c r="N5" s="762"/>
      <c r="O5" s="105"/>
      <c r="P5" s="762"/>
      <c r="Q5" s="108"/>
      <c r="R5" s="106"/>
      <c r="S5" s="105"/>
      <c r="T5" s="762"/>
      <c r="U5" s="107"/>
      <c r="X5" s="758" t="s">
        <v>378</v>
      </c>
    </row>
    <row r="6" spans="1:24" s="758" customFormat="1" ht="18.75" x14ac:dyDescent="0.25">
      <c r="A6" s="760" t="s">
        <v>305</v>
      </c>
      <c r="B6" s="761">
        <f>IFERROR(+GETPIVOTDATA("Unique Billed Hours",'County allocation'!$A$3,"County",A6,"HHA/CDPAP","HHA"),0)</f>
        <v>0.11142587660428063</v>
      </c>
      <c r="C6" s="755">
        <v>1</v>
      </c>
      <c r="D6" s="763" t="s">
        <v>93</v>
      </c>
      <c r="E6" s="84" t="s">
        <v>57</v>
      </c>
      <c r="F6" s="733">
        <f>+'Payroll Reports Input'!V13</f>
        <v>126233577.89999998</v>
      </c>
      <c r="G6" s="733">
        <f>+'Payroll Reports Input'!W13</f>
        <v>8743045.6899999995</v>
      </c>
      <c r="H6" s="733">
        <f>+'Payroll Reports Input'!X13</f>
        <v>19602.86</v>
      </c>
      <c r="I6" s="733">
        <f>+'Payroll Reports Input'!Y13</f>
        <v>3140701.2399999998</v>
      </c>
      <c r="J6" s="733">
        <f>+'Payroll Reports Input'!Z13</f>
        <v>2291351.62</v>
      </c>
      <c r="K6" s="733">
        <f>+'Payroll Reports Input'!AA13</f>
        <v>123273.60999999999</v>
      </c>
      <c r="L6" s="733">
        <f>+'Payroll Reports Input'!AB13</f>
        <v>0</v>
      </c>
      <c r="M6" s="733">
        <f>+'Payroll Reports Input'!AC13</f>
        <v>89545.2</v>
      </c>
      <c r="N6" s="733">
        <f>+'Payroll Reports Input'!AD13</f>
        <v>0</v>
      </c>
      <c r="O6" s="733">
        <f>+'Payroll Reports Input'!AE13</f>
        <v>584855.66</v>
      </c>
      <c r="P6" s="733">
        <f>+'Payroll Reports Input'!AF13</f>
        <v>0</v>
      </c>
      <c r="Q6" s="734">
        <f t="shared" ref="Q6:Q17" si="0">SUM(F6:P6)</f>
        <v>141225953.78</v>
      </c>
      <c r="R6" s="733">
        <f>+'Payroll Reports Input'!AH13</f>
        <v>0</v>
      </c>
      <c r="S6" s="733">
        <f>+'Payroll Reports Input'!AI13</f>
        <v>10785320.93</v>
      </c>
      <c r="T6" s="733">
        <f ca="1">+'Payroll Reports Input'!AJ13</f>
        <v>4446308.5034509376</v>
      </c>
      <c r="U6" s="733">
        <f ca="1">+'Payroll Reports Input'!AK13</f>
        <v>3330486.0425387723</v>
      </c>
      <c r="V6" s="758" t="b">
        <f ca="1">'Payroll Reports Input'!AL13='Schedule 11b'!W6</f>
        <v>1</v>
      </c>
      <c r="W6" s="764">
        <f ca="1">SUM(Q6:U6)</f>
        <v>159788069.2559897</v>
      </c>
      <c r="X6" s="764">
        <f ca="1">SUM(R6:U6)</f>
        <v>18562115.475989711</v>
      </c>
    </row>
    <row r="7" spans="1:24" s="758" customFormat="1" ht="18.75" x14ac:dyDescent="0.25">
      <c r="A7" s="760" t="s">
        <v>306</v>
      </c>
      <c r="B7" s="761">
        <f>IFERROR(+GETPIVOTDATA("Unique Billed Hours",'County allocation'!$A$3,"County",A7,"HHA/CDPAP","HHA"),0)</f>
        <v>0</v>
      </c>
      <c r="C7" s="755">
        <v>1</v>
      </c>
      <c r="D7" s="765" t="s">
        <v>92</v>
      </c>
      <c r="E7" s="84" t="s">
        <v>56</v>
      </c>
      <c r="F7" s="733"/>
      <c r="G7" s="733"/>
      <c r="H7" s="733"/>
      <c r="I7" s="733"/>
      <c r="J7" s="733"/>
      <c r="K7" s="895"/>
      <c r="L7" s="895"/>
      <c r="M7" s="895"/>
      <c r="N7" s="895"/>
      <c r="O7" s="895"/>
      <c r="P7" s="733"/>
      <c r="Q7" s="734">
        <f t="shared" si="0"/>
        <v>0</v>
      </c>
      <c r="R7" s="733"/>
      <c r="S7" s="733"/>
      <c r="T7" s="733"/>
      <c r="U7" s="733"/>
      <c r="W7" s="764">
        <f t="shared" ref="W7:W16" si="1">SUM(F7:U7)</f>
        <v>0</v>
      </c>
    </row>
    <row r="8" spans="1:24" s="758" customFormat="1" ht="18.75" x14ac:dyDescent="0.25">
      <c r="A8" s="760" t="s">
        <v>307</v>
      </c>
      <c r="B8" s="761">
        <f>IFERROR(+GETPIVOTDATA("Unique Billed Hours",'County allocation'!$A$3,"County",A8,"HHA/CDPAP","HHA"),0)</f>
        <v>0</v>
      </c>
      <c r="C8" s="755">
        <v>1</v>
      </c>
      <c r="D8" s="765" t="s">
        <v>91</v>
      </c>
      <c r="E8" s="84" t="s">
        <v>55</v>
      </c>
      <c r="F8" s="733">
        <f>'Payroll Reports Input'!V20</f>
        <v>1123590</v>
      </c>
      <c r="G8" s="733">
        <f>'Payroll Reports Input'!W20</f>
        <v>0</v>
      </c>
      <c r="H8" s="733">
        <f>'Payroll Reports Input'!X20</f>
        <v>0</v>
      </c>
      <c r="I8" s="733">
        <f>'Payroll Reports Input'!Y20</f>
        <v>18775</v>
      </c>
      <c r="J8" s="733">
        <f>'Payroll Reports Input'!Z20</f>
        <v>0</v>
      </c>
      <c r="K8" s="895">
        <f>'Payroll Reports Input'!AA20</f>
        <v>0</v>
      </c>
      <c r="L8" s="895">
        <f>'Payroll Reports Input'!AB20</f>
        <v>0</v>
      </c>
      <c r="M8" s="895">
        <f>'Payroll Reports Input'!AC20</f>
        <v>0</v>
      </c>
      <c r="N8" s="895">
        <f>'Payroll Reports Input'!AD20</f>
        <v>0</v>
      </c>
      <c r="O8" s="895">
        <f>'Payroll Reports Input'!AE20</f>
        <v>33720</v>
      </c>
      <c r="P8" s="733">
        <f>'Payroll Reports Input'!AF20</f>
        <v>0</v>
      </c>
      <c r="Q8" s="734">
        <f t="shared" si="0"/>
        <v>1176085</v>
      </c>
      <c r="R8" s="733">
        <f>'Payroll Reports Input'!AH20</f>
        <v>0</v>
      </c>
      <c r="S8" s="733">
        <f>'Payroll Reports Input'!AI20</f>
        <v>33951.78</v>
      </c>
      <c r="T8" s="733">
        <f ca="1">'Payroll Reports Input'!AJ20</f>
        <v>13893.39478818066</v>
      </c>
      <c r="U8" s="733">
        <f ca="1">'Payroll Reports Input'!AK20</f>
        <v>1385.9958245065091</v>
      </c>
      <c r="V8" s="758" t="b">
        <f ca="1">W8='Payroll Reports Input'!AL20</f>
        <v>1</v>
      </c>
      <c r="W8" s="764">
        <f ca="1">SUM(Q8:U8)</f>
        <v>1225316.1706126872</v>
      </c>
      <c r="X8" s="764">
        <f ca="1">SUM(R8:U8)</f>
        <v>49231.170612687165</v>
      </c>
    </row>
    <row r="9" spans="1:24" s="757" customFormat="1" ht="18.75" x14ac:dyDescent="0.25">
      <c r="A9" s="760" t="s">
        <v>308</v>
      </c>
      <c r="B9" s="761">
        <f>IFERROR(+GETPIVOTDATA("Unique Billed Hours",'County allocation'!$A$3,"County",A9,"HHA/CDPAP","HHA"),0)</f>
        <v>0</v>
      </c>
      <c r="C9" s="755">
        <v>1</v>
      </c>
      <c r="D9" s="766" t="s">
        <v>117</v>
      </c>
      <c r="E9" s="84" t="s">
        <v>54</v>
      </c>
      <c r="F9" s="733"/>
      <c r="G9" s="733"/>
      <c r="H9" s="733"/>
      <c r="I9" s="733"/>
      <c r="J9" s="733"/>
      <c r="K9" s="895"/>
      <c r="L9" s="895"/>
      <c r="M9" s="895"/>
      <c r="N9" s="895"/>
      <c r="O9" s="895"/>
      <c r="P9" s="733"/>
      <c r="Q9" s="734">
        <f t="shared" si="0"/>
        <v>0</v>
      </c>
      <c r="R9" s="733"/>
      <c r="S9" s="733"/>
      <c r="T9" s="733"/>
      <c r="U9" s="733"/>
      <c r="W9" s="764">
        <f t="shared" si="1"/>
        <v>0</v>
      </c>
    </row>
    <row r="10" spans="1:24" s="757" customFormat="1" ht="18.75" x14ac:dyDescent="0.25">
      <c r="A10" s="760" t="s">
        <v>309</v>
      </c>
      <c r="B10" s="761">
        <f>IFERROR(+GETPIVOTDATA("Unique Billed Hours",'County allocation'!$A$3,"County",A10,"HHA/CDPAP","HHA"),0)</f>
        <v>0</v>
      </c>
      <c r="C10" s="755">
        <v>1</v>
      </c>
      <c r="D10" s="112" t="s">
        <v>31</v>
      </c>
      <c r="E10" s="84"/>
      <c r="F10" s="767"/>
      <c r="G10" s="768"/>
      <c r="H10" s="769"/>
      <c r="I10" s="768"/>
      <c r="J10" s="768"/>
      <c r="K10" s="768"/>
      <c r="L10" s="768"/>
      <c r="M10" s="769"/>
      <c r="N10" s="769"/>
      <c r="O10" s="770"/>
      <c r="P10" s="771"/>
      <c r="Q10" s="734">
        <f t="shared" si="0"/>
        <v>0</v>
      </c>
      <c r="R10" s="772"/>
      <c r="S10" s="768"/>
      <c r="T10" s="773"/>
      <c r="U10" s="774"/>
      <c r="W10" s="764">
        <f t="shared" si="1"/>
        <v>0</v>
      </c>
    </row>
    <row r="11" spans="1:24" s="757" customFormat="1" ht="18.75" x14ac:dyDescent="0.25">
      <c r="A11" s="760" t="s">
        <v>310</v>
      </c>
      <c r="B11" s="761">
        <f>IFERROR(+GETPIVOTDATA("Unique Billed Hours",'County allocation'!$A$3,"County",A11,"HHA/CDPAP","HHA"),0)</f>
        <v>0</v>
      </c>
      <c r="C11" s="755">
        <v>1</v>
      </c>
      <c r="D11" s="775" t="s">
        <v>118</v>
      </c>
      <c r="E11" s="84" t="s">
        <v>53</v>
      </c>
      <c r="F11" s="733"/>
      <c r="G11" s="733"/>
      <c r="H11" s="733"/>
      <c r="I11" s="733"/>
      <c r="J11" s="733"/>
      <c r="K11" s="895"/>
      <c r="L11" s="895"/>
      <c r="M11" s="895"/>
      <c r="N11" s="895"/>
      <c r="O11" s="895"/>
      <c r="P11" s="733"/>
      <c r="Q11" s="734">
        <f t="shared" si="0"/>
        <v>0</v>
      </c>
      <c r="R11" s="733"/>
      <c r="S11" s="733"/>
      <c r="T11" s="733"/>
      <c r="U11" s="733"/>
      <c r="W11" s="764">
        <f t="shared" si="1"/>
        <v>0</v>
      </c>
    </row>
    <row r="12" spans="1:24" s="757" customFormat="1" ht="18.75" x14ac:dyDescent="0.25">
      <c r="A12" s="760" t="s">
        <v>360</v>
      </c>
      <c r="B12" s="761">
        <f>IFERROR(+GETPIVOTDATA("Unique Billed Hours",'County allocation'!$A$3,"County",A12,"HHA/CDPAP","HHA"),0)</f>
        <v>0</v>
      </c>
      <c r="C12" s="755">
        <v>1</v>
      </c>
      <c r="D12" s="775" t="s">
        <v>119</v>
      </c>
      <c r="E12" s="84" t="s">
        <v>52</v>
      </c>
      <c r="F12" s="733"/>
      <c r="G12" s="733"/>
      <c r="H12" s="733"/>
      <c r="I12" s="733"/>
      <c r="J12" s="733"/>
      <c r="K12" s="895"/>
      <c r="L12" s="895"/>
      <c r="M12" s="895"/>
      <c r="N12" s="895"/>
      <c r="O12" s="895"/>
      <c r="P12" s="733"/>
      <c r="Q12" s="734">
        <f t="shared" si="0"/>
        <v>0</v>
      </c>
      <c r="R12" s="733"/>
      <c r="S12" s="733"/>
      <c r="T12" s="733"/>
      <c r="U12" s="733"/>
      <c r="W12" s="764">
        <f t="shared" si="1"/>
        <v>0</v>
      </c>
    </row>
    <row r="13" spans="1:24" s="757" customFormat="1" ht="18.75" x14ac:dyDescent="0.25">
      <c r="A13" s="760" t="s">
        <v>311</v>
      </c>
      <c r="B13" s="761">
        <f>IFERROR(+GETPIVOTDATA("Unique Billed Hours",'County allocation'!$A$3,"County",A13,"HHA/CDPAP","HHA"),0)</f>
        <v>0</v>
      </c>
      <c r="C13" s="755">
        <v>1</v>
      </c>
      <c r="D13" s="775" t="s">
        <v>120</v>
      </c>
      <c r="E13" s="84" t="s">
        <v>51</v>
      </c>
      <c r="F13" s="733"/>
      <c r="G13" s="733"/>
      <c r="H13" s="733"/>
      <c r="I13" s="733"/>
      <c r="J13" s="733"/>
      <c r="K13" s="895"/>
      <c r="L13" s="895"/>
      <c r="M13" s="895"/>
      <c r="N13" s="895"/>
      <c r="O13" s="895"/>
      <c r="P13" s="733"/>
      <c r="Q13" s="734">
        <f t="shared" si="0"/>
        <v>0</v>
      </c>
      <c r="R13" s="733"/>
      <c r="S13" s="733"/>
      <c r="T13" s="733"/>
      <c r="U13" s="733"/>
      <c r="W13" s="764">
        <f t="shared" si="1"/>
        <v>0</v>
      </c>
    </row>
    <row r="14" spans="1:24" s="757" customFormat="1" ht="18.75" x14ac:dyDescent="0.25">
      <c r="A14" s="760" t="s">
        <v>312</v>
      </c>
      <c r="B14" s="761">
        <f>IFERROR(+GETPIVOTDATA("Unique Billed Hours",'County allocation'!$A$3,"County",A14,"HHA/CDPAP","HHA"),0)</f>
        <v>1.1018389345949667E-4</v>
      </c>
      <c r="C14" s="755">
        <v>1</v>
      </c>
      <c r="D14" s="775" t="s">
        <v>121</v>
      </c>
      <c r="E14" s="84" t="s">
        <v>50</v>
      </c>
      <c r="F14" s="733"/>
      <c r="G14" s="733"/>
      <c r="H14" s="733"/>
      <c r="I14" s="733"/>
      <c r="J14" s="733"/>
      <c r="K14" s="895"/>
      <c r="L14" s="895"/>
      <c r="M14" s="895"/>
      <c r="N14" s="895"/>
      <c r="O14" s="895"/>
      <c r="P14" s="733"/>
      <c r="Q14" s="734">
        <f t="shared" si="0"/>
        <v>0</v>
      </c>
      <c r="R14" s="733"/>
      <c r="S14" s="733"/>
      <c r="T14" s="733"/>
      <c r="U14" s="733"/>
      <c r="W14" s="764">
        <f t="shared" si="1"/>
        <v>0</v>
      </c>
    </row>
    <row r="15" spans="1:24" s="757" customFormat="1" ht="18.75" x14ac:dyDescent="0.25">
      <c r="A15" s="760" t="s">
        <v>313</v>
      </c>
      <c r="B15" s="761">
        <f>IFERROR(+GETPIVOTDATA("Unique Billed Hours",'County allocation'!$A$3,"County",A15,"HHA/CDPAP","HHA"),0)</f>
        <v>0</v>
      </c>
      <c r="C15" s="755">
        <v>1</v>
      </c>
      <c r="D15" s="775" t="s">
        <v>122</v>
      </c>
      <c r="E15" s="84" t="s">
        <v>49</v>
      </c>
      <c r="F15" s="733"/>
      <c r="G15" s="733"/>
      <c r="H15" s="733"/>
      <c r="I15" s="733"/>
      <c r="J15" s="733"/>
      <c r="K15" s="895"/>
      <c r="L15" s="895"/>
      <c r="M15" s="895"/>
      <c r="N15" s="895"/>
      <c r="O15" s="895"/>
      <c r="P15" s="733"/>
      <c r="Q15" s="734">
        <f t="shared" si="0"/>
        <v>0</v>
      </c>
      <c r="R15" s="733"/>
      <c r="S15" s="733"/>
      <c r="T15" s="733"/>
      <c r="U15" s="733"/>
      <c r="W15" s="764">
        <f t="shared" si="1"/>
        <v>0</v>
      </c>
    </row>
    <row r="16" spans="1:24" s="757" customFormat="1" ht="18.75" x14ac:dyDescent="0.25">
      <c r="A16" s="760" t="s">
        <v>314</v>
      </c>
      <c r="B16" s="761">
        <f>IFERROR(+GETPIVOTDATA("Unique Billed Hours",'County allocation'!$A$3,"County",A16,"HHA/CDPAP","HHA"),0)</f>
        <v>0</v>
      </c>
      <c r="C16" s="755">
        <v>1</v>
      </c>
      <c r="D16" s="775" t="s">
        <v>123</v>
      </c>
      <c r="E16" s="84" t="s">
        <v>47</v>
      </c>
      <c r="F16" s="733"/>
      <c r="G16" s="733"/>
      <c r="H16" s="733"/>
      <c r="I16" s="733"/>
      <c r="J16" s="733"/>
      <c r="K16" s="895"/>
      <c r="L16" s="895"/>
      <c r="M16" s="895"/>
      <c r="N16" s="895"/>
      <c r="O16" s="895"/>
      <c r="P16" s="733"/>
      <c r="Q16" s="734">
        <f t="shared" si="0"/>
        <v>0</v>
      </c>
      <c r="R16" s="733"/>
      <c r="S16" s="733"/>
      <c r="T16" s="733"/>
      <c r="U16" s="733"/>
      <c r="W16" s="764">
        <f t="shared" si="1"/>
        <v>0</v>
      </c>
    </row>
    <row r="17" spans="1:24" s="757" customFormat="1" ht="19.5" thickBot="1" x14ac:dyDescent="0.3">
      <c r="A17" s="760" t="s">
        <v>315</v>
      </c>
      <c r="B17" s="761">
        <f>IFERROR(+GETPIVOTDATA("Unique Billed Hours",'County allocation'!$A$3,"County",A17,"HHA/CDPAP","HHA"),0)</f>
        <v>0</v>
      </c>
      <c r="C17" s="755">
        <v>1</v>
      </c>
      <c r="D17" s="776" t="s">
        <v>16</v>
      </c>
      <c r="E17" s="777" t="s">
        <v>77</v>
      </c>
      <c r="F17" s="733">
        <f>'Payroll Reports Input'!V17</f>
        <v>13957282.70345185</v>
      </c>
      <c r="G17" s="733">
        <f>'Payroll Reports Input'!W17</f>
        <v>277259.20594208298</v>
      </c>
      <c r="H17" s="733">
        <f>'Payroll Reports Input'!X17</f>
        <v>0</v>
      </c>
      <c r="I17" s="733">
        <f>'Payroll Reports Input'!Y17</f>
        <v>0</v>
      </c>
      <c r="J17" s="733">
        <f>'Payroll Reports Input'!Z17</f>
        <v>591931.68507652194</v>
      </c>
      <c r="K17" s="733">
        <f>'Payroll Reports Input'!AA17</f>
        <v>2437.0084769667146</v>
      </c>
      <c r="L17" s="733">
        <f>'Payroll Reports Input'!AB17</f>
        <v>342.95702866239117</v>
      </c>
      <c r="M17" s="733">
        <f>'Payroll Reports Input'!AC17</f>
        <v>0</v>
      </c>
      <c r="N17" s="733">
        <f>'Payroll Reports Input'!AD17</f>
        <v>0</v>
      </c>
      <c r="O17" s="733">
        <f>'Payroll Reports Input'!AE17</f>
        <v>177382.8313587356</v>
      </c>
      <c r="P17" s="733">
        <f>'Payroll Reports Input'!AF17</f>
        <v>3021120.5794047778</v>
      </c>
      <c r="Q17" s="734">
        <f t="shared" si="0"/>
        <v>18027756.970739599</v>
      </c>
      <c r="R17" s="733">
        <f>'Payroll Reports Input'!AH17</f>
        <v>0</v>
      </c>
      <c r="S17" s="733">
        <f>'Payroll Reports Input'!AI17</f>
        <v>1253530.2449586992</v>
      </c>
      <c r="T17" s="733">
        <f ca="1">'Payroll Reports Input'!AJ17</f>
        <v>363557.47379038832</v>
      </c>
      <c r="U17" s="733">
        <f ca="1">'Payroll Reports Input'!AK17</f>
        <v>20716.662099748559</v>
      </c>
      <c r="V17" s="758" t="b">
        <f ca="1">W17='Payroll Reports Input'!AL17</f>
        <v>1</v>
      </c>
      <c r="W17" s="764">
        <f ca="1">SUM(Q17:U17)</f>
        <v>19665561.351588435</v>
      </c>
      <c r="X17" s="764">
        <f ca="1">SUM(R17:U17)</f>
        <v>1637804.3808488362</v>
      </c>
    </row>
    <row r="18" spans="1:24" s="757" customFormat="1" ht="19.5" thickBot="1" x14ac:dyDescent="0.3">
      <c r="A18" s="760" t="s">
        <v>316</v>
      </c>
      <c r="B18" s="761">
        <f>IFERROR(+GETPIVOTDATA("Unique Billed Hours",'County allocation'!$A$3,"County",A18,"HHA/CDPAP","HHA"),0)</f>
        <v>0</v>
      </c>
      <c r="C18" s="755">
        <v>1</v>
      </c>
      <c r="D18" s="115" t="s">
        <v>124</v>
      </c>
      <c r="E18" s="778" t="s">
        <v>78</v>
      </c>
      <c r="F18" s="779">
        <f>SUBTOTAL(9,F6:F17)</f>
        <v>141314450.60345182</v>
      </c>
      <c r="G18" s="779">
        <f t="shared" ref="G18" si="2">SUBTOTAL(9,G6:G17)</f>
        <v>9020304.8959420826</v>
      </c>
      <c r="H18" s="779">
        <f t="shared" ref="H18" si="3">SUBTOTAL(9,H6:H17)</f>
        <v>19602.86</v>
      </c>
      <c r="I18" s="779">
        <f t="shared" ref="I18" si="4">SUBTOTAL(9,I6:I17)</f>
        <v>3159476.2399999998</v>
      </c>
      <c r="J18" s="779">
        <f t="shared" ref="J18:L18" si="5">SUBTOTAL(9,J6:J17)</f>
        <v>2883283.3050765218</v>
      </c>
      <c r="K18" s="779">
        <f t="shared" si="5"/>
        <v>125710.6184769667</v>
      </c>
      <c r="L18" s="779">
        <f t="shared" si="5"/>
        <v>342.95702866239117</v>
      </c>
      <c r="M18" s="779">
        <f t="shared" ref="M18:N18" si="6">SUBTOTAL(9,M6:M17)</f>
        <v>89545.2</v>
      </c>
      <c r="N18" s="779">
        <f t="shared" si="6"/>
        <v>0</v>
      </c>
      <c r="O18" s="779">
        <f>SUBTOTAL(9,O6:O17)</f>
        <v>795958.4913587356</v>
      </c>
      <c r="P18" s="779">
        <f t="shared" ref="P18" si="7">SUBTOTAL(9,P6:P17)</f>
        <v>3021120.5794047778</v>
      </c>
      <c r="Q18" s="780">
        <f t="shared" ref="Q18" si="8">SUBTOTAL(9,Q6:Q17)</f>
        <v>160429795.7507396</v>
      </c>
      <c r="R18" s="779">
        <f t="shared" ref="R18" si="9">SUBTOTAL(9,R6:R17)</f>
        <v>0</v>
      </c>
      <c r="S18" s="779">
        <f t="shared" ref="S18" si="10">SUBTOTAL(9,S6:S17)</f>
        <v>12072802.954958698</v>
      </c>
      <c r="T18" s="779">
        <f t="shared" ref="T18" ca="1" si="11">SUBTOTAL(9,T6:T17)</f>
        <v>4823759.3720295066</v>
      </c>
      <c r="U18" s="779">
        <f t="shared" ref="U18" ca="1" si="12">SUBTOTAL(9,U6:U17)</f>
        <v>3352588.7004630272</v>
      </c>
    </row>
    <row r="19" spans="1:24" ht="19.5" thickBot="1" x14ac:dyDescent="0.3">
      <c r="A19" s="760" t="s">
        <v>317</v>
      </c>
      <c r="B19" s="761">
        <f>IFERROR(+GETPIVOTDATA("Unique Billed Hours",'County allocation'!$A$3,"County",A19,"HHA/CDPAP","HHA"),0)</f>
        <v>0</v>
      </c>
      <c r="C19" s="117">
        <v>1</v>
      </c>
      <c r="F19" s="751"/>
      <c r="G19" s="751"/>
      <c r="H19" s="781"/>
      <c r="I19" s="751"/>
      <c r="J19" s="751"/>
      <c r="K19" s="751"/>
      <c r="L19" s="751"/>
      <c r="M19" s="781"/>
      <c r="N19" s="781"/>
      <c r="O19" s="751"/>
      <c r="P19" s="781"/>
      <c r="Q19" s="744"/>
      <c r="R19" s="752"/>
      <c r="S19" s="751"/>
      <c r="T19" s="781"/>
      <c r="U19" s="744"/>
    </row>
    <row r="20" spans="1:24" s="119" customFormat="1" ht="15.75" hidden="1" thickBot="1" x14ac:dyDescent="0.3">
      <c r="A20" s="60" t="s">
        <v>318</v>
      </c>
      <c r="B20" s="339">
        <f>IFERROR(+GETPIVOTDATA("Unique Billed Hours",'County allocation'!$A$3,"County",A20,"HHA/CDPAP","HHA"),0)</f>
        <v>0</v>
      </c>
      <c r="D20" s="117"/>
      <c r="E20" s="117"/>
      <c r="F20" s="118"/>
      <c r="G20" s="118"/>
      <c r="I20" s="118"/>
      <c r="J20" s="118"/>
      <c r="K20" s="118"/>
      <c r="L20" s="118"/>
      <c r="O20" s="118"/>
      <c r="Q20" s="118"/>
      <c r="R20" s="117"/>
      <c r="S20" s="118"/>
      <c r="U20" s="118"/>
    </row>
    <row r="21" spans="1:24" s="119" customFormat="1" ht="15.75" hidden="1" thickBot="1" x14ac:dyDescent="0.3">
      <c r="A21" s="119" t="s">
        <v>319</v>
      </c>
      <c r="B21" s="339">
        <f>IFERROR(+GETPIVOTDATA("Unique Billed Hours",'County allocation'!$A$3,"County",A21,"HHA/CDPAP","HHA"),0)</f>
        <v>0</v>
      </c>
      <c r="D21" s="117"/>
      <c r="E21" s="117"/>
      <c r="F21" s="118"/>
      <c r="G21" s="118"/>
      <c r="I21" s="118"/>
      <c r="J21" s="118"/>
      <c r="K21" s="118"/>
      <c r="L21" s="118"/>
      <c r="O21" s="118"/>
      <c r="Q21" s="118"/>
      <c r="R21" s="117"/>
      <c r="S21" s="118"/>
      <c r="U21" s="118"/>
    </row>
    <row r="22" spans="1:24" s="119" customFormat="1" ht="15.75" hidden="1" thickBot="1" x14ac:dyDescent="0.3">
      <c r="A22" s="119" t="s">
        <v>320</v>
      </c>
      <c r="B22" s="339">
        <f>IFERROR(+GETPIVOTDATA("Unique Billed Hours",'County allocation'!$A$3,"County",A22,"HHA/CDPAP","HHA"),0)</f>
        <v>0</v>
      </c>
      <c r="D22" s="117"/>
      <c r="E22" s="117"/>
      <c r="F22" s="118"/>
      <c r="G22" s="118"/>
      <c r="I22" s="118"/>
      <c r="J22" s="118"/>
      <c r="K22" s="118"/>
      <c r="L22" s="118"/>
      <c r="O22" s="118"/>
      <c r="Q22" s="118"/>
      <c r="R22" s="117"/>
      <c r="S22" s="118"/>
      <c r="U22" s="118"/>
    </row>
    <row r="23" spans="1:24" ht="93.75" x14ac:dyDescent="0.25">
      <c r="A23" s="782" t="s">
        <v>321</v>
      </c>
      <c r="B23" s="783">
        <f>IFERROR(+GETPIVOTDATA("Unique Billed Hours",'County allocation'!$A$3,"County",A23,"HHA/CDPAP","HHA"),0)</f>
        <v>0</v>
      </c>
      <c r="C23" s="117">
        <f>IF($E23&gt;0,1,0)</f>
        <v>1</v>
      </c>
      <c r="D23" s="96" t="str">
        <f>A4</f>
        <v>Albany</v>
      </c>
      <c r="E23" s="166">
        <f>IFERROR(SUMIF(A:A,D23,B:B),0)</f>
        <v>1.0414062357525667E-2</v>
      </c>
      <c r="F23" s="98" t="s">
        <v>356</v>
      </c>
      <c r="G23" s="98" t="s">
        <v>373</v>
      </c>
      <c r="H23" s="98" t="s">
        <v>358</v>
      </c>
      <c r="I23" s="98" t="s">
        <v>109</v>
      </c>
      <c r="J23" s="98" t="s">
        <v>111</v>
      </c>
      <c r="K23" s="98" t="s">
        <v>469</v>
      </c>
      <c r="L23" s="98" t="s">
        <v>470</v>
      </c>
      <c r="M23" s="98" t="s">
        <v>357</v>
      </c>
      <c r="N23" s="509" t="s">
        <v>471</v>
      </c>
      <c r="O23" s="98" t="s">
        <v>472</v>
      </c>
      <c r="P23" s="98" t="s">
        <v>110</v>
      </c>
      <c r="Q23" s="99" t="s">
        <v>116</v>
      </c>
      <c r="R23" s="98" t="s">
        <v>112</v>
      </c>
      <c r="S23" s="98" t="s">
        <v>113</v>
      </c>
      <c r="T23" s="98" t="s">
        <v>114</v>
      </c>
      <c r="U23" s="98" t="s">
        <v>115</v>
      </c>
    </row>
    <row r="24" spans="1:24" ht="18.75" x14ac:dyDescent="0.25">
      <c r="A24" s="782" t="s">
        <v>322</v>
      </c>
      <c r="B24" s="783">
        <f>IFERROR(+GETPIVOTDATA("Unique Billed Hours",'County allocation'!$A$3,"County",A24,"HHA/CDPAP","HHA"),0)</f>
        <v>0</v>
      </c>
      <c r="C24" s="117">
        <f>C23</f>
        <v>1</v>
      </c>
      <c r="D24" s="101"/>
      <c r="E24" s="102"/>
      <c r="F24" s="84" t="s">
        <v>57</v>
      </c>
      <c r="G24" s="84" t="s">
        <v>56</v>
      </c>
      <c r="H24" s="84" t="s">
        <v>55</v>
      </c>
      <c r="I24" s="84" t="s">
        <v>54</v>
      </c>
      <c r="J24" s="84" t="s">
        <v>53</v>
      </c>
      <c r="K24" s="84" t="s">
        <v>52</v>
      </c>
      <c r="L24" s="84" t="s">
        <v>51</v>
      </c>
      <c r="M24" s="84" t="s">
        <v>50</v>
      </c>
      <c r="N24" s="84" t="s">
        <v>49</v>
      </c>
      <c r="O24" s="84" t="s">
        <v>47</v>
      </c>
      <c r="P24" s="84" t="s">
        <v>77</v>
      </c>
      <c r="Q24" s="83" t="s">
        <v>78</v>
      </c>
      <c r="R24" s="84" t="s">
        <v>79</v>
      </c>
      <c r="S24" s="84" t="s">
        <v>81</v>
      </c>
      <c r="T24" s="84" t="s">
        <v>83</v>
      </c>
      <c r="U24" s="84" t="s">
        <v>85</v>
      </c>
    </row>
    <row r="25" spans="1:24" ht="18.75" x14ac:dyDescent="0.25">
      <c r="A25" s="782" t="s">
        <v>323</v>
      </c>
      <c r="B25" s="783">
        <f>IFERROR(+GETPIVOTDATA("Unique Billed Hours",'County allocation'!$A$3,"County",A25,"HHA/CDPAP","HHA"),0)</f>
        <v>0</v>
      </c>
      <c r="C25" s="117">
        <f t="shared" ref="C25:C38" si="13">C24</f>
        <v>1</v>
      </c>
      <c r="D25" s="103" t="s">
        <v>26</v>
      </c>
      <c r="E25" s="104"/>
      <c r="F25" s="745"/>
      <c r="G25" s="745"/>
      <c r="H25" s="784"/>
      <c r="I25" s="745"/>
      <c r="J25" s="745"/>
      <c r="K25" s="745"/>
      <c r="L25" s="745"/>
      <c r="M25" s="784"/>
      <c r="N25" s="784"/>
      <c r="O25" s="745"/>
      <c r="P25" s="784"/>
      <c r="Q25" s="747"/>
      <c r="R25" s="748"/>
      <c r="S25" s="745"/>
      <c r="T25" s="784"/>
      <c r="U25" s="749"/>
    </row>
    <row r="26" spans="1:24" ht="18.75" x14ac:dyDescent="0.25">
      <c r="A26" s="782" t="s">
        <v>324</v>
      </c>
      <c r="B26" s="783">
        <f>IFERROR(+GETPIVOTDATA("Unique Billed Hours",'County allocation'!$A$3,"County",A26,"HHA/CDPAP","HHA"),0)</f>
        <v>0</v>
      </c>
      <c r="C26" s="117">
        <f t="shared" si="13"/>
        <v>1</v>
      </c>
      <c r="D26" s="763" t="s">
        <v>93</v>
      </c>
      <c r="E26" s="84" t="s">
        <v>57</v>
      </c>
      <c r="F26" s="733">
        <f>$F$6*$E$23</f>
        <v>1314604.3518641738</v>
      </c>
      <c r="G26" s="733">
        <f>$G$6*$E$23</f>
        <v>91050.623010356023</v>
      </c>
      <c r="H26" s="733">
        <f>$H$6*$E$23</f>
        <v>204.14540642584561</v>
      </c>
      <c r="I26" s="733">
        <f>$I$6*$E$23</f>
        <v>32707.458559718183</v>
      </c>
      <c r="J26" s="733">
        <f>$J$6*$E$23</f>
        <v>23862.278653697456</v>
      </c>
      <c r="K26" s="733">
        <f>K6*$E$23</f>
        <v>1283.7790615772994</v>
      </c>
      <c r="L26" s="733">
        <f>L6*$E$23</f>
        <v>0</v>
      </c>
      <c r="M26" s="733">
        <f>$M$6*$E$23</f>
        <v>932.52929661710732</v>
      </c>
      <c r="N26" s="733">
        <f>N6*$E$23</f>
        <v>0</v>
      </c>
      <c r="O26" s="733">
        <f>O6*$E$23</f>
        <v>6090.7233133918307</v>
      </c>
      <c r="P26" s="733">
        <f>$P$6*$E$23</f>
        <v>0</v>
      </c>
      <c r="Q26" s="734">
        <f t="shared" ref="Q26:Q37" si="14">SUM(F26:P26)</f>
        <v>1470735.8891659575</v>
      </c>
      <c r="R26" s="733">
        <f>$R$6*$E$23</f>
        <v>0</v>
      </c>
      <c r="S26" s="733">
        <f>$S$6*$E$23</f>
        <v>112319.00471094671</v>
      </c>
      <c r="T26" s="733">
        <f ca="1">$T$6*$E$23</f>
        <v>46304.134015734693</v>
      </c>
      <c r="U26" s="733">
        <f ca="1">$U$6*$E$23</f>
        <v>34683.889327867655</v>
      </c>
    </row>
    <row r="27" spans="1:24" ht="18.75" x14ac:dyDescent="0.25">
      <c r="A27" s="785" t="s">
        <v>365</v>
      </c>
      <c r="B27" s="783">
        <f>IFERROR(+GETPIVOTDATA("Unique Billed Hours",'County allocation'!$A$3,"County",A27,"HHA/CDPAP","HHA"),0)</f>
        <v>0.29256738892740358</v>
      </c>
      <c r="C27" s="117">
        <f t="shared" si="13"/>
        <v>1</v>
      </c>
      <c r="D27" s="765" t="s">
        <v>92</v>
      </c>
      <c r="E27" s="84" t="s">
        <v>56</v>
      </c>
      <c r="F27" s="733">
        <f>$F$7*$E$23</f>
        <v>0</v>
      </c>
      <c r="G27" s="733">
        <f>$G$7*$E$23</f>
        <v>0</v>
      </c>
      <c r="H27" s="733">
        <f>$H$7*$E$23</f>
        <v>0</v>
      </c>
      <c r="I27" s="733">
        <f>$I$7*$E$23</f>
        <v>0</v>
      </c>
      <c r="J27" s="733">
        <f>$J$7*$E$23</f>
        <v>0</v>
      </c>
      <c r="K27" s="733">
        <f t="shared" ref="K27:L37" si="15">K7*$E$23</f>
        <v>0</v>
      </c>
      <c r="L27" s="733">
        <f t="shared" si="15"/>
        <v>0</v>
      </c>
      <c r="M27" s="733">
        <f>$M$7*$E$23</f>
        <v>0</v>
      </c>
      <c r="N27" s="733">
        <f t="shared" ref="N27:O27" si="16">N7*$E$23</f>
        <v>0</v>
      </c>
      <c r="O27" s="733">
        <f t="shared" si="16"/>
        <v>0</v>
      </c>
      <c r="P27" s="733">
        <f>$P$7*$E$23</f>
        <v>0</v>
      </c>
      <c r="Q27" s="734">
        <f t="shared" si="14"/>
        <v>0</v>
      </c>
      <c r="R27" s="733">
        <f>$R$7*$E$23</f>
        <v>0</v>
      </c>
      <c r="S27" s="733">
        <f>$S$7*$E$23</f>
        <v>0</v>
      </c>
      <c r="T27" s="733">
        <f>$T$7*$E$23</f>
        <v>0</v>
      </c>
      <c r="U27" s="733">
        <f>$U$7*$E$23</f>
        <v>0</v>
      </c>
    </row>
    <row r="28" spans="1:24" ht="18.75" x14ac:dyDescent="0.25">
      <c r="A28" s="782" t="s">
        <v>325</v>
      </c>
      <c r="B28" s="783">
        <f>IFERROR(+GETPIVOTDATA("Unique Billed Hours",'County allocation'!$A$3,"County",A28,"HHA/CDPAP","HHA"),0)</f>
        <v>0</v>
      </c>
      <c r="C28" s="117">
        <f t="shared" si="13"/>
        <v>1</v>
      </c>
      <c r="D28" s="765" t="s">
        <v>91</v>
      </c>
      <c r="E28" s="84" t="s">
        <v>55</v>
      </c>
      <c r="F28" s="733">
        <f>$F$8*$E$23</f>
        <v>11701.136324292263</v>
      </c>
      <c r="G28" s="733">
        <f>$G$8*$E$23</f>
        <v>0</v>
      </c>
      <c r="H28" s="733">
        <f>$H$8*$E$23</f>
        <v>0</v>
      </c>
      <c r="I28" s="733">
        <f>$I$8*$E$23</f>
        <v>195.52402076254441</v>
      </c>
      <c r="J28" s="733">
        <f>$J$8*$E$23</f>
        <v>0</v>
      </c>
      <c r="K28" s="733">
        <f t="shared" si="15"/>
        <v>0</v>
      </c>
      <c r="L28" s="733">
        <f t="shared" si="15"/>
        <v>0</v>
      </c>
      <c r="M28" s="733">
        <f>$M$8*$E$23</f>
        <v>0</v>
      </c>
      <c r="N28" s="733">
        <f t="shared" ref="N28:O28" si="17">N8*$E$23</f>
        <v>0</v>
      </c>
      <c r="O28" s="733">
        <f t="shared" si="17"/>
        <v>351.16218269576547</v>
      </c>
      <c r="P28" s="733">
        <f>$P$8*$E$23</f>
        <v>0</v>
      </c>
      <c r="Q28" s="734">
        <f t="shared" si="14"/>
        <v>12247.822527750573</v>
      </c>
      <c r="R28" s="733">
        <f>$R$8*$E$23</f>
        <v>0</v>
      </c>
      <c r="S28" s="733">
        <f>$S$8*$E$23</f>
        <v>353.57595406899276</v>
      </c>
      <c r="T28" s="733">
        <f ca="1">$T$8*$E$23</f>
        <v>144.6866796818355</v>
      </c>
      <c r="U28" s="733">
        <f ca="1">$U$8*$E$23</f>
        <v>14.433846943680987</v>
      </c>
    </row>
    <row r="29" spans="1:24" ht="18.75" x14ac:dyDescent="0.25">
      <c r="A29" s="782" t="s">
        <v>326</v>
      </c>
      <c r="B29" s="783">
        <f>IFERROR(+GETPIVOTDATA("Unique Billed Hours",'County allocation'!$A$3,"County",A29,"HHA/CDPAP","HHA"),0)</f>
        <v>0</v>
      </c>
      <c r="C29" s="117">
        <f t="shared" si="13"/>
        <v>1</v>
      </c>
      <c r="D29" s="766" t="s">
        <v>117</v>
      </c>
      <c r="E29" s="84" t="s">
        <v>54</v>
      </c>
      <c r="F29" s="733">
        <f>$F$9*$E$23</f>
        <v>0</v>
      </c>
      <c r="G29" s="733">
        <f>$G$9*$E$23</f>
        <v>0</v>
      </c>
      <c r="H29" s="733">
        <f>$H$9*$E$23</f>
        <v>0</v>
      </c>
      <c r="I29" s="733">
        <f>$I$9*$E$23</f>
        <v>0</v>
      </c>
      <c r="J29" s="733">
        <f>$J$9*$E$23</f>
        <v>0</v>
      </c>
      <c r="K29" s="733">
        <f t="shared" si="15"/>
        <v>0</v>
      </c>
      <c r="L29" s="733">
        <f t="shared" si="15"/>
        <v>0</v>
      </c>
      <c r="M29" s="733">
        <f>$M$9*$E$23</f>
        <v>0</v>
      </c>
      <c r="N29" s="733">
        <f t="shared" ref="N29:O29" si="18">N9*$E$23</f>
        <v>0</v>
      </c>
      <c r="O29" s="733">
        <f t="shared" si="18"/>
        <v>0</v>
      </c>
      <c r="P29" s="733">
        <f>$P$9*$E$23</f>
        <v>0</v>
      </c>
      <c r="Q29" s="734">
        <f t="shared" si="14"/>
        <v>0</v>
      </c>
      <c r="R29" s="733">
        <f>$R$9*$E$23</f>
        <v>0</v>
      </c>
      <c r="S29" s="733">
        <f>$S$9*$E$23</f>
        <v>0</v>
      </c>
      <c r="T29" s="733">
        <f>$T$9*$E$23</f>
        <v>0</v>
      </c>
      <c r="U29" s="733">
        <f>$U$9*$E$23</f>
        <v>0</v>
      </c>
    </row>
    <row r="30" spans="1:24" ht="18.75" x14ac:dyDescent="0.25">
      <c r="A30" s="782" t="s">
        <v>327</v>
      </c>
      <c r="B30" s="783">
        <f>IFERROR(+GETPIVOTDATA("Unique Billed Hours",'County allocation'!$A$3,"County",A30,"HHA/CDPAP","HHA"),0)</f>
        <v>0</v>
      </c>
      <c r="C30" s="117">
        <f t="shared" si="13"/>
        <v>1</v>
      </c>
      <c r="D30" s="112" t="s">
        <v>31</v>
      </c>
      <c r="E30" s="84"/>
      <c r="F30" s="767"/>
      <c r="G30" s="768"/>
      <c r="H30" s="769"/>
      <c r="I30" s="768"/>
      <c r="J30" s="768"/>
      <c r="K30" s="768"/>
      <c r="L30" s="768"/>
      <c r="M30" s="769"/>
      <c r="N30" s="768"/>
      <c r="O30" s="768"/>
      <c r="P30" s="771"/>
      <c r="Q30" s="734">
        <f t="shared" si="14"/>
        <v>0</v>
      </c>
      <c r="R30" s="772"/>
      <c r="S30" s="768"/>
      <c r="T30" s="773"/>
      <c r="U30" s="774"/>
    </row>
    <row r="31" spans="1:24" ht="18.75" x14ac:dyDescent="0.25">
      <c r="A31" s="782" t="s">
        <v>285</v>
      </c>
      <c r="B31" s="783">
        <f>IFERROR(+GETPIVOTDATA("Unique Billed Hours",'County allocation'!$A$3,"County",A31,"HHA/CDPAP","HHA"),0)</f>
        <v>0</v>
      </c>
      <c r="C31" s="117">
        <f t="shared" si="13"/>
        <v>1</v>
      </c>
      <c r="D31" s="775" t="s">
        <v>118</v>
      </c>
      <c r="E31" s="84" t="s">
        <v>53</v>
      </c>
      <c r="F31" s="733">
        <f>$F$11*$E$23</f>
        <v>0</v>
      </c>
      <c r="G31" s="733">
        <f>$G$11*$E$23</f>
        <v>0</v>
      </c>
      <c r="H31" s="733">
        <f>$H$11*$E$23</f>
        <v>0</v>
      </c>
      <c r="I31" s="733">
        <f>$I$11*$E$23</f>
        <v>0</v>
      </c>
      <c r="J31" s="733">
        <f>$J$11*$E$23</f>
        <v>0</v>
      </c>
      <c r="K31" s="733">
        <f t="shared" si="15"/>
        <v>0</v>
      </c>
      <c r="L31" s="733">
        <f t="shared" si="15"/>
        <v>0</v>
      </c>
      <c r="M31" s="733">
        <f>$M$11*$E$23</f>
        <v>0</v>
      </c>
      <c r="N31" s="733">
        <f t="shared" ref="N31:O31" si="19">N11*$E$23</f>
        <v>0</v>
      </c>
      <c r="O31" s="733">
        <f t="shared" si="19"/>
        <v>0</v>
      </c>
      <c r="P31" s="733">
        <f>$P$11*$E$23</f>
        <v>0</v>
      </c>
      <c r="Q31" s="734">
        <f t="shared" si="14"/>
        <v>0</v>
      </c>
      <c r="R31" s="733">
        <f>$R$11*$E$23</f>
        <v>0</v>
      </c>
      <c r="S31" s="733">
        <f>$S$11*$E$23</f>
        <v>0</v>
      </c>
      <c r="T31" s="733">
        <f>$T$11*$E$23</f>
        <v>0</v>
      </c>
      <c r="U31" s="733">
        <f>$U$11*$E$23</f>
        <v>0</v>
      </c>
    </row>
    <row r="32" spans="1:24" ht="18.75" x14ac:dyDescent="0.25">
      <c r="A32" s="782" t="s">
        <v>328</v>
      </c>
      <c r="B32" s="783">
        <f>IFERROR(+GETPIVOTDATA("Unique Billed Hours",'County allocation'!$A$3,"County",A32,"HHA/CDPAP","HHA"),0)</f>
        <v>1.7109272327241044E-4</v>
      </c>
      <c r="C32" s="117">
        <f t="shared" si="13"/>
        <v>1</v>
      </c>
      <c r="D32" s="775" t="s">
        <v>119</v>
      </c>
      <c r="E32" s="84" t="s">
        <v>52</v>
      </c>
      <c r="F32" s="733">
        <f>$F$12*$E$23</f>
        <v>0</v>
      </c>
      <c r="G32" s="733">
        <f>$G$12*$E$23</f>
        <v>0</v>
      </c>
      <c r="H32" s="733">
        <f>$H$12*$E$23</f>
        <v>0</v>
      </c>
      <c r="I32" s="733">
        <f>$I$12*$E$23</f>
        <v>0</v>
      </c>
      <c r="J32" s="733">
        <f>$J$12*$E$23</f>
        <v>0</v>
      </c>
      <c r="K32" s="733">
        <f t="shared" si="15"/>
        <v>0</v>
      </c>
      <c r="L32" s="733">
        <f t="shared" si="15"/>
        <v>0</v>
      </c>
      <c r="M32" s="733">
        <f>$M$12*$E$23</f>
        <v>0</v>
      </c>
      <c r="N32" s="733">
        <f t="shared" ref="N32:O32" si="20">N12*$E$23</f>
        <v>0</v>
      </c>
      <c r="O32" s="733">
        <f t="shared" si="20"/>
        <v>0</v>
      </c>
      <c r="P32" s="733">
        <f>$P$12*$E$23</f>
        <v>0</v>
      </c>
      <c r="Q32" s="734">
        <f t="shared" si="14"/>
        <v>0</v>
      </c>
      <c r="R32" s="733">
        <f>$R$12*$E$23</f>
        <v>0</v>
      </c>
      <c r="S32" s="733">
        <f>$S$12*$E$23</f>
        <v>0</v>
      </c>
      <c r="T32" s="733">
        <f>$T$12*$E$23</f>
        <v>0</v>
      </c>
      <c r="U32" s="733">
        <f>$U$12*$E$23</f>
        <v>0</v>
      </c>
    </row>
    <row r="33" spans="1:21" ht="18.75" x14ac:dyDescent="0.25">
      <c r="A33" s="782" t="s">
        <v>329</v>
      </c>
      <c r="B33" s="783">
        <f>IFERROR(+GETPIVOTDATA("Unique Billed Hours",'County allocation'!$A$3,"County",A33,"HHA/CDPAP","HHA"),0)</f>
        <v>0.12769760760357801</v>
      </c>
      <c r="C33" s="117">
        <f t="shared" si="13"/>
        <v>1</v>
      </c>
      <c r="D33" s="775" t="s">
        <v>120</v>
      </c>
      <c r="E33" s="84" t="s">
        <v>51</v>
      </c>
      <c r="F33" s="733">
        <f>$F$13*$E$23</f>
        <v>0</v>
      </c>
      <c r="G33" s="733">
        <f>$G$13*$E$23</f>
        <v>0</v>
      </c>
      <c r="H33" s="733">
        <f>$H$13*$E$23</f>
        <v>0</v>
      </c>
      <c r="I33" s="733">
        <f>$I$13*$E$23</f>
        <v>0</v>
      </c>
      <c r="J33" s="733">
        <f>$J$13*$E$23</f>
        <v>0</v>
      </c>
      <c r="K33" s="733">
        <f t="shared" si="15"/>
        <v>0</v>
      </c>
      <c r="L33" s="733">
        <f t="shared" si="15"/>
        <v>0</v>
      </c>
      <c r="M33" s="733">
        <f>$M$13*$E$23</f>
        <v>0</v>
      </c>
      <c r="N33" s="733">
        <f t="shared" ref="N33:O33" si="21">N13*$E$23</f>
        <v>0</v>
      </c>
      <c r="O33" s="733">
        <f t="shared" si="21"/>
        <v>0</v>
      </c>
      <c r="P33" s="733">
        <f>$P$13*$E$23</f>
        <v>0</v>
      </c>
      <c r="Q33" s="734">
        <f t="shared" si="14"/>
        <v>0</v>
      </c>
      <c r="R33" s="733">
        <f>$R$13*$E$23</f>
        <v>0</v>
      </c>
      <c r="S33" s="733">
        <f>$S$13*$E$23</f>
        <v>0</v>
      </c>
      <c r="T33" s="733">
        <f>$T$13*$E$23</f>
        <v>0</v>
      </c>
      <c r="U33" s="733">
        <f>$U$13*$E$23</f>
        <v>0</v>
      </c>
    </row>
    <row r="34" spans="1:21" ht="18.75" x14ac:dyDescent="0.25">
      <c r="A34" s="785" t="s">
        <v>366</v>
      </c>
      <c r="B34" s="783">
        <f>IFERROR(+GETPIVOTDATA("Unique Billed Hours",'County allocation'!$A$3,"County",A34,"HHA/CDPAP","HHA"),0)</f>
        <v>0.11860817754043497</v>
      </c>
      <c r="C34" s="117">
        <f t="shared" si="13"/>
        <v>1</v>
      </c>
      <c r="D34" s="775" t="s">
        <v>121</v>
      </c>
      <c r="E34" s="84" t="s">
        <v>50</v>
      </c>
      <c r="F34" s="733">
        <f>$F$14*$E$23</f>
        <v>0</v>
      </c>
      <c r="G34" s="733">
        <f>$G$14*$E$23</f>
        <v>0</v>
      </c>
      <c r="H34" s="733">
        <f>$H$14*$E$23</f>
        <v>0</v>
      </c>
      <c r="I34" s="733">
        <f>$I$14*$E$23</f>
        <v>0</v>
      </c>
      <c r="J34" s="733">
        <f>$J$14*$E$23</f>
        <v>0</v>
      </c>
      <c r="K34" s="733">
        <f t="shared" si="15"/>
        <v>0</v>
      </c>
      <c r="L34" s="733">
        <f t="shared" si="15"/>
        <v>0</v>
      </c>
      <c r="M34" s="733">
        <f>$M$14*$E$23</f>
        <v>0</v>
      </c>
      <c r="N34" s="733">
        <f t="shared" ref="N34:O34" si="22">N14*$E$23</f>
        <v>0</v>
      </c>
      <c r="O34" s="733">
        <f t="shared" si="22"/>
        <v>0</v>
      </c>
      <c r="P34" s="733">
        <f>$P$14*$E$23</f>
        <v>0</v>
      </c>
      <c r="Q34" s="734">
        <f t="shared" si="14"/>
        <v>0</v>
      </c>
      <c r="R34" s="733">
        <f>$R$14*$E$23</f>
        <v>0</v>
      </c>
      <c r="S34" s="733">
        <f>$S$14*$E$23</f>
        <v>0</v>
      </c>
      <c r="T34" s="733">
        <f>$T$14*$E$23</f>
        <v>0</v>
      </c>
      <c r="U34" s="733">
        <f>$U$14*$E$23</f>
        <v>0</v>
      </c>
    </row>
    <row r="35" spans="1:21" ht="18.75" x14ac:dyDescent="0.25">
      <c r="A35" s="782" t="s">
        <v>330</v>
      </c>
      <c r="B35" s="783">
        <f>IFERROR(+GETPIVOTDATA("Unique Billed Hours",'County allocation'!$A$3,"County",A35,"HHA/CDPAP","HHA"),0)</f>
        <v>0</v>
      </c>
      <c r="C35" s="117">
        <f t="shared" si="13"/>
        <v>1</v>
      </c>
      <c r="D35" s="775" t="s">
        <v>122</v>
      </c>
      <c r="E35" s="84" t="s">
        <v>49</v>
      </c>
      <c r="F35" s="733">
        <f>$F$15*$E$23</f>
        <v>0</v>
      </c>
      <c r="G35" s="733">
        <f>$G$15*$E$23</f>
        <v>0</v>
      </c>
      <c r="H35" s="733">
        <f>$H$15*$E$23</f>
        <v>0</v>
      </c>
      <c r="I35" s="733">
        <f>$I$15*$E$23</f>
        <v>0</v>
      </c>
      <c r="J35" s="733">
        <f>$J$15*$E$23</f>
        <v>0</v>
      </c>
      <c r="K35" s="733">
        <f t="shared" si="15"/>
        <v>0</v>
      </c>
      <c r="L35" s="733">
        <f t="shared" si="15"/>
        <v>0</v>
      </c>
      <c r="M35" s="733">
        <f>$M$15*$E$23</f>
        <v>0</v>
      </c>
      <c r="N35" s="733">
        <f t="shared" ref="N35:O35" si="23">N15*$E$23</f>
        <v>0</v>
      </c>
      <c r="O35" s="733">
        <f t="shared" si="23"/>
        <v>0</v>
      </c>
      <c r="P35" s="733">
        <f>$P$15*$E$23</f>
        <v>0</v>
      </c>
      <c r="Q35" s="734">
        <f t="shared" si="14"/>
        <v>0</v>
      </c>
      <c r="R35" s="733">
        <f>$R$15*$E$23</f>
        <v>0</v>
      </c>
      <c r="S35" s="733">
        <f>$S$15*$E$23</f>
        <v>0</v>
      </c>
      <c r="T35" s="733">
        <f>$T$15*$E$23</f>
        <v>0</v>
      </c>
      <c r="U35" s="733">
        <f>$U$15*$E$23</f>
        <v>0</v>
      </c>
    </row>
    <row r="36" spans="1:21" ht="18.75" x14ac:dyDescent="0.25">
      <c r="A36" s="782" t="s">
        <v>331</v>
      </c>
      <c r="B36" s="783">
        <f>IFERROR(+GETPIVOTDATA("Unique Billed Hours",'County allocation'!$A$3,"County",A36,"HHA/CDPAP","HHA"),0)</f>
        <v>0</v>
      </c>
      <c r="C36" s="117">
        <f t="shared" si="13"/>
        <v>1</v>
      </c>
      <c r="D36" s="775" t="s">
        <v>123</v>
      </c>
      <c r="E36" s="84" t="s">
        <v>47</v>
      </c>
      <c r="F36" s="733">
        <f>$F$16*$E$23</f>
        <v>0</v>
      </c>
      <c r="G36" s="733">
        <f>$G$16*$E$23</f>
        <v>0</v>
      </c>
      <c r="H36" s="733">
        <f>$H$16*$E$23</f>
        <v>0</v>
      </c>
      <c r="I36" s="733">
        <f>$I$16*$E$23</f>
        <v>0</v>
      </c>
      <c r="J36" s="733">
        <f>$J$16*$E$23</f>
        <v>0</v>
      </c>
      <c r="K36" s="733">
        <f t="shared" si="15"/>
        <v>0</v>
      </c>
      <c r="L36" s="733">
        <f t="shared" si="15"/>
        <v>0</v>
      </c>
      <c r="M36" s="733">
        <f>$M$16*$E$23</f>
        <v>0</v>
      </c>
      <c r="N36" s="733">
        <f t="shared" ref="N36:O36" si="24">N16*$E$23</f>
        <v>0</v>
      </c>
      <c r="O36" s="733">
        <f t="shared" si="24"/>
        <v>0</v>
      </c>
      <c r="P36" s="733">
        <f>$P$16*$E$23</f>
        <v>0</v>
      </c>
      <c r="Q36" s="734">
        <f t="shared" si="14"/>
        <v>0</v>
      </c>
      <c r="R36" s="733">
        <f>$R$16*$E$23</f>
        <v>0</v>
      </c>
      <c r="S36" s="733">
        <f>$S$16*$E$23</f>
        <v>0</v>
      </c>
      <c r="T36" s="733">
        <f>$T$16*$E$23</f>
        <v>0</v>
      </c>
      <c r="U36" s="733">
        <f>$U$16*$E$23</f>
        <v>0</v>
      </c>
    </row>
    <row r="37" spans="1:21" ht="19.5" thickBot="1" x14ac:dyDescent="0.3">
      <c r="A37" s="782" t="s">
        <v>332</v>
      </c>
      <c r="B37" s="783">
        <f>IFERROR(+GETPIVOTDATA("Unique Billed Hours",'County allocation'!$A$3,"County",A37,"HHA/CDPAP","HHA"),0)</f>
        <v>0</v>
      </c>
      <c r="C37" s="117">
        <f t="shared" si="13"/>
        <v>1</v>
      </c>
      <c r="D37" s="776" t="s">
        <v>16</v>
      </c>
      <c r="E37" s="777" t="s">
        <v>77</v>
      </c>
      <c r="F37" s="733">
        <f>$F$17*$E$23</f>
        <v>145352.01241536197</v>
      </c>
      <c r="G37" s="733">
        <f>$G$17*$E$23</f>
        <v>2887.394659878903</v>
      </c>
      <c r="H37" s="733">
        <f>$H$17*$E$23</f>
        <v>0</v>
      </c>
      <c r="I37" s="733">
        <f>$I$17*$E$23</f>
        <v>0</v>
      </c>
      <c r="J37" s="733">
        <f>$J$17*$E$23</f>
        <v>6164.4134797821443</v>
      </c>
      <c r="K37" s="733">
        <f t="shared" si="15"/>
        <v>25.37915824495002</v>
      </c>
      <c r="L37" s="733">
        <f t="shared" si="15"/>
        <v>3.5715758824418593</v>
      </c>
      <c r="M37" s="733">
        <f>$M$17*$E$23</f>
        <v>0</v>
      </c>
      <c r="N37" s="733">
        <f t="shared" ref="N37:O37" si="25">N17*$E$23</f>
        <v>0</v>
      </c>
      <c r="O37" s="733">
        <f t="shared" si="25"/>
        <v>1847.2758669243319</v>
      </c>
      <c r="P37" s="733">
        <f>$P$17*$E$23</f>
        <v>31462.138103525431</v>
      </c>
      <c r="Q37" s="734">
        <f t="shared" si="14"/>
        <v>187742.18525960017</v>
      </c>
      <c r="R37" s="733">
        <f>$R$17*$E$23</f>
        <v>0</v>
      </c>
      <c r="S37" s="733">
        <f>$S$17*$E$23</f>
        <v>13054.342138044318</v>
      </c>
      <c r="T37" s="733">
        <f ca="1">$T$17*$E$23</f>
        <v>3786.1102025976074</v>
      </c>
      <c r="U37" s="733">
        <f ca="1">$U$17*$E$23</f>
        <v>215.74461094657011</v>
      </c>
    </row>
    <row r="38" spans="1:21" ht="19.5" thickBot="1" x14ac:dyDescent="0.3">
      <c r="A38" s="782" t="s">
        <v>333</v>
      </c>
      <c r="B38" s="783">
        <f>IFERROR(+GETPIVOTDATA("Unique Billed Hours",'County allocation'!$A$3,"County",A38,"HHA/CDPAP","HHA"),0)</f>
        <v>0</v>
      </c>
      <c r="C38" s="117">
        <f t="shared" si="13"/>
        <v>1</v>
      </c>
      <c r="D38" s="115" t="s">
        <v>124</v>
      </c>
      <c r="E38" s="778" t="s">
        <v>78</v>
      </c>
      <c r="F38" s="779">
        <f t="shared" ref="F38:L38" si="26">SUBTOTAL(9,F26:F37)</f>
        <v>1471657.5006038281</v>
      </c>
      <c r="G38" s="779">
        <f t="shared" si="26"/>
        <v>93938.017670234927</v>
      </c>
      <c r="H38" s="779">
        <f t="shared" si="26"/>
        <v>204.14540642584561</v>
      </c>
      <c r="I38" s="779">
        <f t="shared" si="26"/>
        <v>32902.982580480726</v>
      </c>
      <c r="J38" s="779">
        <f t="shared" si="26"/>
        <v>30026.692133479599</v>
      </c>
      <c r="K38" s="779">
        <f t="shared" si="26"/>
        <v>1309.1582198222495</v>
      </c>
      <c r="L38" s="779">
        <f t="shared" si="26"/>
        <v>3.5715758824418593</v>
      </c>
      <c r="M38" s="779">
        <f t="shared" ref="M38:U38" si="27">SUBTOTAL(9,M26:M37)</f>
        <v>932.52929661710732</v>
      </c>
      <c r="N38" s="779">
        <f>SUBTOTAL(9,N26:N37)</f>
        <v>0</v>
      </c>
      <c r="O38" s="779">
        <f>SUBTOTAL(9,O26:O37)</f>
        <v>8289.1613630119282</v>
      </c>
      <c r="P38" s="779">
        <f t="shared" si="27"/>
        <v>31462.138103525431</v>
      </c>
      <c r="Q38" s="780">
        <f>SUBTOTAL(9,Q26:Q37)</f>
        <v>1670725.8969533083</v>
      </c>
      <c r="R38" s="779">
        <f t="shared" si="27"/>
        <v>0</v>
      </c>
      <c r="S38" s="779">
        <f t="shared" si="27"/>
        <v>125726.92280306002</v>
      </c>
      <c r="T38" s="779">
        <f t="shared" ca="1" si="27"/>
        <v>50234.930898014136</v>
      </c>
      <c r="U38" s="779">
        <f t="shared" ca="1" si="27"/>
        <v>34914.067785757907</v>
      </c>
    </row>
    <row r="39" spans="1:21" s="119" customFormat="1" ht="19.5" hidden="1" thickBot="1" x14ac:dyDescent="0.3">
      <c r="A39" s="119" t="s">
        <v>334</v>
      </c>
      <c r="B39" s="339">
        <f>IFERROR(+GETPIVOTDATA("Unique Billed Hours",'County allocation'!$A$3,"County",A39,"HHA/CDPAP","HHA"),0)</f>
        <v>1.886556675621223E-6</v>
      </c>
      <c r="D39" s="117"/>
      <c r="E39" s="117"/>
      <c r="F39" s="118"/>
      <c r="G39" s="118"/>
      <c r="I39" s="118"/>
      <c r="J39" s="118"/>
      <c r="K39" s="118"/>
      <c r="L39" s="118"/>
      <c r="O39" s="118"/>
      <c r="Q39" s="120"/>
      <c r="R39" s="117"/>
      <c r="S39" s="118"/>
      <c r="U39" s="120"/>
    </row>
    <row r="40" spans="1:21" s="119" customFormat="1" ht="75.75" hidden="1" thickBot="1" x14ac:dyDescent="0.3">
      <c r="A40" s="119" t="s">
        <v>335</v>
      </c>
      <c r="B40" s="24">
        <f>IFERROR(+GETPIVOTDATA("Unique Billed Hours",'County allocation'!$A$3,"County",A40,"HHA/CDPAP","HHA"),0)</f>
        <v>0</v>
      </c>
      <c r="C40" s="119">
        <f>IF($E40&gt;0,1,0)</f>
        <v>0</v>
      </c>
      <c r="D40" s="96" t="str">
        <f>A5</f>
        <v>Allegany</v>
      </c>
      <c r="E40" s="166">
        <f>IFERROR(SUMIF(A:A,D40,B:B),0)</f>
        <v>0</v>
      </c>
      <c r="F40" s="98" t="s">
        <v>356</v>
      </c>
      <c r="G40" s="98" t="s">
        <v>373</v>
      </c>
      <c r="H40" s="98" t="s">
        <v>358</v>
      </c>
      <c r="I40" s="98" t="s">
        <v>109</v>
      </c>
      <c r="J40" s="98" t="s">
        <v>111</v>
      </c>
      <c r="K40" s="98" t="s">
        <v>469</v>
      </c>
      <c r="L40" s="98" t="s">
        <v>470</v>
      </c>
      <c r="M40" s="98" t="s">
        <v>357</v>
      </c>
      <c r="N40" s="509" t="s">
        <v>471</v>
      </c>
      <c r="O40" s="98" t="s">
        <v>472</v>
      </c>
      <c r="P40" s="98" t="s">
        <v>110</v>
      </c>
      <c r="Q40" s="99" t="s">
        <v>116</v>
      </c>
      <c r="R40" s="98" t="s">
        <v>112</v>
      </c>
      <c r="S40" s="98" t="s">
        <v>113</v>
      </c>
      <c r="T40" s="98" t="s">
        <v>114</v>
      </c>
      <c r="U40" s="98" t="s">
        <v>115</v>
      </c>
    </row>
    <row r="41" spans="1:21" s="119" customFormat="1" ht="19.5" hidden="1" thickBot="1" x14ac:dyDescent="0.3">
      <c r="A41" s="119" t="s">
        <v>336</v>
      </c>
      <c r="B41" s="24">
        <f>IFERROR(+GETPIVOTDATA("Unique Billed Hours",'County allocation'!$A$3,"County",A41,"HHA/CDPAP","HHA"),0)</f>
        <v>0</v>
      </c>
      <c r="C41" s="119">
        <f>C40</f>
        <v>0</v>
      </c>
      <c r="D41" s="101"/>
      <c r="E41" s="102"/>
      <c r="F41" s="84" t="s">
        <v>57</v>
      </c>
      <c r="G41" s="84" t="s">
        <v>56</v>
      </c>
      <c r="H41" s="84" t="s">
        <v>55</v>
      </c>
      <c r="I41" s="84" t="s">
        <v>54</v>
      </c>
      <c r="J41" s="84" t="s">
        <v>53</v>
      </c>
      <c r="K41" s="84" t="s">
        <v>52</v>
      </c>
      <c r="L41" s="84" t="s">
        <v>51</v>
      </c>
      <c r="M41" s="84" t="s">
        <v>50</v>
      </c>
      <c r="N41" s="84" t="s">
        <v>49</v>
      </c>
      <c r="O41" s="84" t="s">
        <v>47</v>
      </c>
      <c r="P41" s="84" t="s">
        <v>77</v>
      </c>
      <c r="Q41" s="83" t="s">
        <v>78</v>
      </c>
      <c r="R41" s="84" t="s">
        <v>79</v>
      </c>
      <c r="S41" s="84" t="s">
        <v>81</v>
      </c>
      <c r="T41" s="84" t="s">
        <v>83</v>
      </c>
      <c r="U41" s="84" t="s">
        <v>85</v>
      </c>
    </row>
    <row r="42" spans="1:21" s="119" customFormat="1" ht="19.5" hidden="1" thickBot="1" x14ac:dyDescent="0.35">
      <c r="A42" s="119" t="s">
        <v>337</v>
      </c>
      <c r="B42" s="24">
        <f>IFERROR(+GETPIVOTDATA("Unique Billed Hours",'County allocation'!$A$3,"County",A42,"HHA/CDPAP","HHA"),0)</f>
        <v>0</v>
      </c>
      <c r="C42" s="119">
        <f t="shared" ref="C42:C55" si="28">C41</f>
        <v>0</v>
      </c>
      <c r="D42" s="103" t="s">
        <v>26</v>
      </c>
      <c r="E42" s="104"/>
      <c r="F42" s="745"/>
      <c r="G42" s="745"/>
      <c r="H42" s="746"/>
      <c r="I42" s="745"/>
      <c r="J42" s="745"/>
      <c r="K42" s="745"/>
      <c r="L42" s="745"/>
      <c r="M42" s="746"/>
      <c r="N42" s="746"/>
      <c r="O42" s="745"/>
      <c r="P42" s="746"/>
      <c r="Q42" s="747"/>
      <c r="R42" s="748"/>
      <c r="S42" s="745"/>
      <c r="T42" s="746"/>
      <c r="U42" s="749"/>
    </row>
    <row r="43" spans="1:21" s="119" customFormat="1" ht="19.5" hidden="1" thickBot="1" x14ac:dyDescent="0.3">
      <c r="A43" s="119" t="s">
        <v>338</v>
      </c>
      <c r="B43" s="24">
        <f>IFERROR(+GETPIVOTDATA("Unique Billed Hours",'County allocation'!$A$3,"County",A43,"HHA/CDPAP","HHA"),0)</f>
        <v>0</v>
      </c>
      <c r="C43" s="119">
        <f t="shared" si="28"/>
        <v>0</v>
      </c>
      <c r="D43" s="109" t="s">
        <v>93</v>
      </c>
      <c r="E43" s="76" t="s">
        <v>57</v>
      </c>
      <c r="F43" s="733">
        <f>F6*$E$40</f>
        <v>0</v>
      </c>
      <c r="G43" s="733">
        <f>G6*$E$40</f>
        <v>0</v>
      </c>
      <c r="H43" s="733">
        <f>H6*$E$40</f>
        <v>0</v>
      </c>
      <c r="I43" s="733">
        <f>I6*$E$40</f>
        <v>0</v>
      </c>
      <c r="J43" s="733">
        <f>J6*$E$40</f>
        <v>0</v>
      </c>
      <c r="K43" s="733"/>
      <c r="L43" s="733"/>
      <c r="M43" s="733">
        <f t="shared" ref="M43:U43" si="29">M6*$E$40</f>
        <v>0</v>
      </c>
      <c r="N43" s="733">
        <f t="shared" ref="N43:O43" si="30">N6*$E$40</f>
        <v>0</v>
      </c>
      <c r="O43" s="733">
        <f t="shared" si="30"/>
        <v>0</v>
      </c>
      <c r="P43" s="733">
        <f t="shared" si="29"/>
        <v>0</v>
      </c>
      <c r="Q43" s="734">
        <f t="shared" ref="Q43:Q54" si="31">SUM(F43:P43)</f>
        <v>0</v>
      </c>
      <c r="R43" s="733">
        <f t="shared" si="29"/>
        <v>0</v>
      </c>
      <c r="S43" s="733">
        <f t="shared" si="29"/>
        <v>0</v>
      </c>
      <c r="T43" s="733">
        <f t="shared" ca="1" si="29"/>
        <v>0</v>
      </c>
      <c r="U43" s="733">
        <f t="shared" ca="1" si="29"/>
        <v>0</v>
      </c>
    </row>
    <row r="44" spans="1:21" s="119" customFormat="1" ht="19.5" hidden="1" thickBot="1" x14ac:dyDescent="0.3">
      <c r="A44" s="119" t="s">
        <v>339</v>
      </c>
      <c r="B44" s="24">
        <f>IFERROR(+GETPIVOTDATA("Unique Billed Hours",'County allocation'!$A$3,"County",A44,"HHA/CDPAP","HHA"),0)</f>
        <v>0.18616689504483311</v>
      </c>
      <c r="C44" s="119">
        <f t="shared" si="28"/>
        <v>0</v>
      </c>
      <c r="D44" s="110" t="s">
        <v>92</v>
      </c>
      <c r="E44" s="76" t="s">
        <v>56</v>
      </c>
      <c r="F44" s="733">
        <f t="shared" ref="F44:U46" si="32">F7*$E$40</f>
        <v>0</v>
      </c>
      <c r="G44" s="733">
        <f t="shared" ref="G44:J46" si="33">G7*$E$40</f>
        <v>0</v>
      </c>
      <c r="H44" s="733">
        <f t="shared" si="33"/>
        <v>0</v>
      </c>
      <c r="I44" s="733">
        <f t="shared" si="33"/>
        <v>0</v>
      </c>
      <c r="J44" s="733">
        <f t="shared" si="33"/>
        <v>0</v>
      </c>
      <c r="K44" s="733"/>
      <c r="L44" s="733"/>
      <c r="M44" s="733">
        <f t="shared" si="32"/>
        <v>0</v>
      </c>
      <c r="N44" s="733">
        <f t="shared" ref="N44:O44" si="34">N7*$E$40</f>
        <v>0</v>
      </c>
      <c r="O44" s="733">
        <f t="shared" si="34"/>
        <v>0</v>
      </c>
      <c r="P44" s="733">
        <f t="shared" si="32"/>
        <v>0</v>
      </c>
      <c r="Q44" s="734">
        <f t="shared" si="31"/>
        <v>0</v>
      </c>
      <c r="R44" s="733">
        <f t="shared" si="32"/>
        <v>0</v>
      </c>
      <c r="S44" s="733">
        <f t="shared" si="32"/>
        <v>0</v>
      </c>
      <c r="T44" s="733">
        <f t="shared" si="32"/>
        <v>0</v>
      </c>
      <c r="U44" s="733">
        <f t="shared" si="32"/>
        <v>0</v>
      </c>
    </row>
    <row r="45" spans="1:21" s="119" customFormat="1" ht="19.5" hidden="1" thickBot="1" x14ac:dyDescent="0.3">
      <c r="A45" s="119" t="s">
        <v>340</v>
      </c>
      <c r="B45" s="24">
        <f>IFERROR(+GETPIVOTDATA("Unique Billed Hours",'County allocation'!$A$3,"County",A45,"HHA/CDPAP","HHA"),0)</f>
        <v>1.5563194213553365E-3</v>
      </c>
      <c r="C45" s="119">
        <f t="shared" si="28"/>
        <v>0</v>
      </c>
      <c r="D45" s="110" t="s">
        <v>91</v>
      </c>
      <c r="E45" s="76" t="s">
        <v>55</v>
      </c>
      <c r="F45" s="733">
        <f t="shared" si="32"/>
        <v>0</v>
      </c>
      <c r="G45" s="733">
        <f t="shared" si="33"/>
        <v>0</v>
      </c>
      <c r="H45" s="733">
        <f t="shared" si="33"/>
        <v>0</v>
      </c>
      <c r="I45" s="733">
        <f t="shared" si="33"/>
        <v>0</v>
      </c>
      <c r="J45" s="733">
        <f t="shared" si="33"/>
        <v>0</v>
      </c>
      <c r="K45" s="733"/>
      <c r="L45" s="733"/>
      <c r="M45" s="733">
        <f t="shared" si="32"/>
        <v>0</v>
      </c>
      <c r="N45" s="733">
        <f t="shared" ref="N45:O45" si="35">N8*$E$40</f>
        <v>0</v>
      </c>
      <c r="O45" s="733">
        <f t="shared" si="35"/>
        <v>0</v>
      </c>
      <c r="P45" s="733">
        <f t="shared" si="32"/>
        <v>0</v>
      </c>
      <c r="Q45" s="734">
        <f t="shared" si="31"/>
        <v>0</v>
      </c>
      <c r="R45" s="733">
        <f t="shared" si="32"/>
        <v>0</v>
      </c>
      <c r="S45" s="733">
        <f t="shared" si="32"/>
        <v>0</v>
      </c>
      <c r="T45" s="733">
        <f t="shared" ca="1" si="32"/>
        <v>0</v>
      </c>
      <c r="U45" s="733">
        <f t="shared" ca="1" si="32"/>
        <v>0</v>
      </c>
    </row>
    <row r="46" spans="1:21" s="119" customFormat="1" ht="19.5" hidden="1" thickBot="1" x14ac:dyDescent="0.3">
      <c r="A46" s="302" t="s">
        <v>367</v>
      </c>
      <c r="B46" s="24">
        <f>IFERROR(+GETPIVOTDATA("Unique Billed Hours",'County allocation'!$A$3,"County",A46,"HHA/CDPAP","HHA"),0)</f>
        <v>0.11418343852982973</v>
      </c>
      <c r="C46" s="119">
        <f t="shared" si="28"/>
        <v>0</v>
      </c>
      <c r="D46" s="111" t="s">
        <v>117</v>
      </c>
      <c r="E46" s="76" t="s">
        <v>54</v>
      </c>
      <c r="F46" s="733">
        <f t="shared" si="32"/>
        <v>0</v>
      </c>
      <c r="G46" s="733">
        <f t="shared" si="33"/>
        <v>0</v>
      </c>
      <c r="H46" s="733">
        <f t="shared" si="33"/>
        <v>0</v>
      </c>
      <c r="I46" s="733">
        <f t="shared" si="33"/>
        <v>0</v>
      </c>
      <c r="J46" s="733">
        <f t="shared" si="33"/>
        <v>0</v>
      </c>
      <c r="K46" s="733"/>
      <c r="L46" s="733"/>
      <c r="M46" s="733">
        <f t="shared" si="32"/>
        <v>0</v>
      </c>
      <c r="N46" s="733">
        <f t="shared" ref="N46:O46" si="36">N9*$E$40</f>
        <v>0</v>
      </c>
      <c r="O46" s="733">
        <f t="shared" si="36"/>
        <v>0</v>
      </c>
      <c r="P46" s="733">
        <f t="shared" si="32"/>
        <v>0</v>
      </c>
      <c r="Q46" s="734">
        <f t="shared" si="31"/>
        <v>0</v>
      </c>
      <c r="R46" s="733">
        <f t="shared" si="32"/>
        <v>0</v>
      </c>
      <c r="S46" s="733">
        <f t="shared" si="32"/>
        <v>0</v>
      </c>
      <c r="T46" s="733">
        <f t="shared" si="32"/>
        <v>0</v>
      </c>
      <c r="U46" s="733">
        <f t="shared" si="32"/>
        <v>0</v>
      </c>
    </row>
    <row r="47" spans="1:21" s="119" customFormat="1" ht="19.5" hidden="1" thickBot="1" x14ac:dyDescent="0.35">
      <c r="A47" s="119" t="s">
        <v>341</v>
      </c>
      <c r="B47" s="24">
        <f>IFERROR(+GETPIVOTDATA("Unique Billed Hours",'County allocation'!$A$3,"County",A47,"HHA/CDPAP","HHA"),0)</f>
        <v>0</v>
      </c>
      <c r="C47" s="119">
        <f t="shared" si="28"/>
        <v>0</v>
      </c>
      <c r="D47" s="112" t="s">
        <v>31</v>
      </c>
      <c r="E47" s="76"/>
      <c r="F47" s="750"/>
      <c r="G47" s="735"/>
      <c r="H47" s="736"/>
      <c r="I47" s="735"/>
      <c r="J47" s="735"/>
      <c r="K47" s="735"/>
      <c r="L47" s="735"/>
      <c r="M47" s="736"/>
      <c r="N47" s="736"/>
      <c r="O47" s="736"/>
      <c r="P47" s="738"/>
      <c r="Q47" s="734">
        <f t="shared" si="31"/>
        <v>0</v>
      </c>
      <c r="R47" s="739"/>
      <c r="S47" s="735"/>
      <c r="T47" s="740"/>
      <c r="U47" s="741"/>
    </row>
    <row r="48" spans="1:21" s="119" customFormat="1" ht="19.5" hidden="1" thickBot="1" x14ac:dyDescent="0.35">
      <c r="A48" s="119" t="s">
        <v>342</v>
      </c>
      <c r="B48" s="24">
        <f>IFERROR(+GETPIVOTDATA("Unique Billed Hours",'County allocation'!$A$3,"County",A48,"HHA/CDPAP","HHA"),0)</f>
        <v>0</v>
      </c>
      <c r="C48" s="119">
        <f t="shared" si="28"/>
        <v>0</v>
      </c>
      <c r="D48" s="113" t="s">
        <v>118</v>
      </c>
      <c r="E48" s="76" t="s">
        <v>53</v>
      </c>
      <c r="F48" s="733">
        <f t="shared" ref="F48:U54" si="37">F11*$E$40</f>
        <v>0</v>
      </c>
      <c r="G48" s="733">
        <f t="shared" ref="G48:J54" si="38">G11*$E$40</f>
        <v>0</v>
      </c>
      <c r="H48" s="733">
        <f t="shared" si="38"/>
        <v>0</v>
      </c>
      <c r="I48" s="733">
        <f t="shared" si="38"/>
        <v>0</v>
      </c>
      <c r="J48" s="733">
        <f t="shared" si="38"/>
        <v>0</v>
      </c>
      <c r="K48" s="733"/>
      <c r="L48" s="733"/>
      <c r="M48" s="733">
        <f t="shared" si="37"/>
        <v>0</v>
      </c>
      <c r="N48" s="733">
        <f t="shared" ref="N48:O48" si="39">N11*$E$40</f>
        <v>0</v>
      </c>
      <c r="O48" s="733">
        <f t="shared" si="39"/>
        <v>0</v>
      </c>
      <c r="P48" s="733">
        <f t="shared" si="37"/>
        <v>0</v>
      </c>
      <c r="Q48" s="734">
        <f t="shared" si="31"/>
        <v>0</v>
      </c>
      <c r="R48" s="733">
        <f t="shared" si="37"/>
        <v>0</v>
      </c>
      <c r="S48" s="733">
        <f t="shared" si="37"/>
        <v>0</v>
      </c>
      <c r="T48" s="733">
        <f t="shared" si="37"/>
        <v>0</v>
      </c>
      <c r="U48" s="733">
        <f t="shared" si="37"/>
        <v>0</v>
      </c>
    </row>
    <row r="49" spans="1:25" s="119" customFormat="1" ht="19.5" hidden="1" thickBot="1" x14ac:dyDescent="0.35">
      <c r="A49" s="119" t="s">
        <v>343</v>
      </c>
      <c r="B49" s="24">
        <f>IFERROR(+GETPIVOTDATA("Unique Billed Hours",'County allocation'!$A$3,"County",A49,"HHA/CDPAP","HHA"),0)</f>
        <v>2.3438220793789384E-4</v>
      </c>
      <c r="C49" s="119">
        <f t="shared" si="28"/>
        <v>0</v>
      </c>
      <c r="D49" s="113" t="s">
        <v>119</v>
      </c>
      <c r="E49" s="76" t="s">
        <v>52</v>
      </c>
      <c r="F49" s="733">
        <f t="shared" si="37"/>
        <v>0</v>
      </c>
      <c r="G49" s="733">
        <f t="shared" si="38"/>
        <v>0</v>
      </c>
      <c r="H49" s="733">
        <f t="shared" si="38"/>
        <v>0</v>
      </c>
      <c r="I49" s="733">
        <f t="shared" si="38"/>
        <v>0</v>
      </c>
      <c r="J49" s="733">
        <f t="shared" si="38"/>
        <v>0</v>
      </c>
      <c r="K49" s="733"/>
      <c r="L49" s="733"/>
      <c r="M49" s="733">
        <f t="shared" si="37"/>
        <v>0</v>
      </c>
      <c r="N49" s="733">
        <f t="shared" ref="N49:O49" si="40">N12*$E$40</f>
        <v>0</v>
      </c>
      <c r="O49" s="733">
        <f t="shared" si="40"/>
        <v>0</v>
      </c>
      <c r="P49" s="733">
        <f t="shared" si="37"/>
        <v>0</v>
      </c>
      <c r="Q49" s="734">
        <f t="shared" si="31"/>
        <v>0</v>
      </c>
      <c r="R49" s="733">
        <f t="shared" si="37"/>
        <v>0</v>
      </c>
      <c r="S49" s="733">
        <f t="shared" si="37"/>
        <v>0</v>
      </c>
      <c r="T49" s="733">
        <f t="shared" si="37"/>
        <v>0</v>
      </c>
      <c r="U49" s="733">
        <f t="shared" si="37"/>
        <v>0</v>
      </c>
    </row>
    <row r="50" spans="1:25" s="119" customFormat="1" ht="19.5" hidden="1" thickBot="1" x14ac:dyDescent="0.35">
      <c r="A50" s="119" t="s">
        <v>344</v>
      </c>
      <c r="B50" s="24">
        <f>IFERROR(+GETPIVOTDATA("Unique Billed Hours",'County allocation'!$A$3,"County",A50,"HHA/CDPAP","HHA"),0)</f>
        <v>4.4993927533405302E-3</v>
      </c>
      <c r="C50" s="119">
        <f t="shared" si="28"/>
        <v>0</v>
      </c>
      <c r="D50" s="113" t="s">
        <v>120</v>
      </c>
      <c r="E50" s="76" t="s">
        <v>51</v>
      </c>
      <c r="F50" s="733">
        <f t="shared" si="37"/>
        <v>0</v>
      </c>
      <c r="G50" s="733">
        <f t="shared" si="38"/>
        <v>0</v>
      </c>
      <c r="H50" s="733">
        <f t="shared" si="38"/>
        <v>0</v>
      </c>
      <c r="I50" s="733">
        <f t="shared" si="38"/>
        <v>0</v>
      </c>
      <c r="J50" s="733">
        <f t="shared" si="38"/>
        <v>0</v>
      </c>
      <c r="K50" s="733"/>
      <c r="L50" s="733"/>
      <c r="M50" s="733">
        <f t="shared" si="37"/>
        <v>0</v>
      </c>
      <c r="N50" s="733">
        <f t="shared" ref="N50:O50" si="41">N13*$E$40</f>
        <v>0</v>
      </c>
      <c r="O50" s="733">
        <f t="shared" si="41"/>
        <v>0</v>
      </c>
      <c r="P50" s="733">
        <f t="shared" si="37"/>
        <v>0</v>
      </c>
      <c r="Q50" s="734">
        <f t="shared" si="31"/>
        <v>0</v>
      </c>
      <c r="R50" s="733">
        <f t="shared" si="37"/>
        <v>0</v>
      </c>
      <c r="S50" s="733">
        <f t="shared" si="37"/>
        <v>0</v>
      </c>
      <c r="T50" s="733">
        <f t="shared" si="37"/>
        <v>0</v>
      </c>
      <c r="U50" s="733">
        <f t="shared" si="37"/>
        <v>0</v>
      </c>
    </row>
    <row r="51" spans="1:25" s="119" customFormat="1" ht="19.5" hidden="1" thickBot="1" x14ac:dyDescent="0.35">
      <c r="A51" s="119" t="s">
        <v>345</v>
      </c>
      <c r="B51" s="24">
        <f>IFERROR(+GETPIVOTDATA("Unique Billed Hours",'County allocation'!$A$3,"County",A51,"HHA/CDPAP","HHA"),0)</f>
        <v>0</v>
      </c>
      <c r="C51" s="119">
        <f t="shared" si="28"/>
        <v>0</v>
      </c>
      <c r="D51" s="113" t="s">
        <v>121</v>
      </c>
      <c r="E51" s="76" t="s">
        <v>50</v>
      </c>
      <c r="F51" s="733">
        <f t="shared" si="37"/>
        <v>0</v>
      </c>
      <c r="G51" s="733">
        <f t="shared" si="38"/>
        <v>0</v>
      </c>
      <c r="H51" s="733">
        <f t="shared" si="38"/>
        <v>0</v>
      </c>
      <c r="I51" s="733">
        <f t="shared" si="38"/>
        <v>0</v>
      </c>
      <c r="J51" s="733">
        <f t="shared" si="38"/>
        <v>0</v>
      </c>
      <c r="K51" s="733"/>
      <c r="L51" s="733"/>
      <c r="M51" s="733">
        <f t="shared" si="37"/>
        <v>0</v>
      </c>
      <c r="N51" s="733">
        <f t="shared" ref="N51:O51" si="42">N14*$E$40</f>
        <v>0</v>
      </c>
      <c r="O51" s="733">
        <f t="shared" si="42"/>
        <v>0</v>
      </c>
      <c r="P51" s="733">
        <f t="shared" si="37"/>
        <v>0</v>
      </c>
      <c r="Q51" s="734">
        <f t="shared" si="31"/>
        <v>0</v>
      </c>
      <c r="R51" s="733">
        <f t="shared" si="37"/>
        <v>0</v>
      </c>
      <c r="S51" s="733">
        <f t="shared" si="37"/>
        <v>0</v>
      </c>
      <c r="T51" s="733">
        <f t="shared" si="37"/>
        <v>0</v>
      </c>
      <c r="U51" s="733">
        <f t="shared" si="37"/>
        <v>0</v>
      </c>
    </row>
    <row r="52" spans="1:25" s="119" customFormat="1" ht="19.5" hidden="1" thickBot="1" x14ac:dyDescent="0.35">
      <c r="A52" s="119" t="s">
        <v>346</v>
      </c>
      <c r="B52" s="24">
        <f>IFERROR(+GETPIVOTDATA("Unique Billed Hours",'County allocation'!$A$3,"County",A52,"HHA/CDPAP","HHA"),0)</f>
        <v>0</v>
      </c>
      <c r="C52" s="119">
        <f t="shared" si="28"/>
        <v>0</v>
      </c>
      <c r="D52" s="113" t="s">
        <v>122</v>
      </c>
      <c r="E52" s="76" t="s">
        <v>49</v>
      </c>
      <c r="F52" s="733">
        <f t="shared" si="37"/>
        <v>0</v>
      </c>
      <c r="G52" s="733">
        <f t="shared" si="38"/>
        <v>0</v>
      </c>
      <c r="H52" s="733">
        <f t="shared" si="38"/>
        <v>0</v>
      </c>
      <c r="I52" s="733">
        <f t="shared" si="38"/>
        <v>0</v>
      </c>
      <c r="J52" s="733">
        <f t="shared" si="38"/>
        <v>0</v>
      </c>
      <c r="K52" s="733"/>
      <c r="L52" s="733"/>
      <c r="M52" s="733">
        <f t="shared" si="37"/>
        <v>0</v>
      </c>
      <c r="N52" s="733">
        <f t="shared" ref="N52:O52" si="43">N15*$E$40</f>
        <v>0</v>
      </c>
      <c r="O52" s="733">
        <f t="shared" si="43"/>
        <v>0</v>
      </c>
      <c r="P52" s="733">
        <f t="shared" si="37"/>
        <v>0</v>
      </c>
      <c r="Q52" s="734">
        <f t="shared" si="31"/>
        <v>0</v>
      </c>
      <c r="R52" s="733">
        <f t="shared" si="37"/>
        <v>0</v>
      </c>
      <c r="S52" s="733">
        <f t="shared" si="37"/>
        <v>0</v>
      </c>
      <c r="T52" s="733">
        <f t="shared" si="37"/>
        <v>0</v>
      </c>
      <c r="U52" s="733">
        <f t="shared" si="37"/>
        <v>0</v>
      </c>
    </row>
    <row r="53" spans="1:25" s="119" customFormat="1" ht="19.5" hidden="1" thickBot="1" x14ac:dyDescent="0.35">
      <c r="A53" s="119" t="s">
        <v>347</v>
      </c>
      <c r="B53" s="24">
        <f>IFERROR(+GETPIVOTDATA("Unique Billed Hours",'County allocation'!$A$3,"County",A53,"HHA/CDPAP","HHA"),0)</f>
        <v>0</v>
      </c>
      <c r="C53" s="119">
        <f t="shared" si="28"/>
        <v>0</v>
      </c>
      <c r="D53" s="113" t="s">
        <v>123</v>
      </c>
      <c r="E53" s="76" t="s">
        <v>47</v>
      </c>
      <c r="F53" s="733">
        <f t="shared" si="37"/>
        <v>0</v>
      </c>
      <c r="G53" s="733">
        <f t="shared" si="38"/>
        <v>0</v>
      </c>
      <c r="H53" s="733">
        <f t="shared" si="38"/>
        <v>0</v>
      </c>
      <c r="I53" s="733">
        <f t="shared" si="38"/>
        <v>0</v>
      </c>
      <c r="J53" s="733">
        <f t="shared" si="38"/>
        <v>0</v>
      </c>
      <c r="K53" s="733"/>
      <c r="L53" s="733"/>
      <c r="M53" s="733">
        <f t="shared" si="37"/>
        <v>0</v>
      </c>
      <c r="N53" s="733">
        <f t="shared" ref="N53:O53" si="44">N16*$E$40</f>
        <v>0</v>
      </c>
      <c r="O53" s="733">
        <f t="shared" si="44"/>
        <v>0</v>
      </c>
      <c r="P53" s="733">
        <f t="shared" si="37"/>
        <v>0</v>
      </c>
      <c r="Q53" s="734">
        <f t="shared" si="31"/>
        <v>0</v>
      </c>
      <c r="R53" s="733">
        <f t="shared" si="37"/>
        <v>0</v>
      </c>
      <c r="S53" s="733">
        <f t="shared" si="37"/>
        <v>0</v>
      </c>
      <c r="T53" s="733">
        <f t="shared" si="37"/>
        <v>0</v>
      </c>
      <c r="U53" s="733">
        <f t="shared" si="37"/>
        <v>0</v>
      </c>
    </row>
    <row r="54" spans="1:25" s="119" customFormat="1" ht="19.5" hidden="1" thickBot="1" x14ac:dyDescent="0.35">
      <c r="A54" s="119" t="s">
        <v>348</v>
      </c>
      <c r="B54" s="24">
        <f>IFERROR(+GETPIVOTDATA("Unique Billed Hours",'County allocation'!$A$3,"County",A54,"HHA/CDPAP","HHA"),0)</f>
        <v>0</v>
      </c>
      <c r="C54" s="119">
        <f t="shared" si="28"/>
        <v>0</v>
      </c>
      <c r="D54" s="114" t="s">
        <v>16</v>
      </c>
      <c r="E54" s="70" t="s">
        <v>77</v>
      </c>
      <c r="F54" s="733">
        <f t="shared" si="37"/>
        <v>0</v>
      </c>
      <c r="G54" s="733">
        <f t="shared" si="38"/>
        <v>0</v>
      </c>
      <c r="H54" s="733">
        <f t="shared" si="38"/>
        <v>0</v>
      </c>
      <c r="I54" s="733">
        <f t="shared" si="38"/>
        <v>0</v>
      </c>
      <c r="J54" s="733">
        <f t="shared" si="38"/>
        <v>0</v>
      </c>
      <c r="K54" s="733"/>
      <c r="L54" s="733"/>
      <c r="M54" s="733">
        <f t="shared" si="37"/>
        <v>0</v>
      </c>
      <c r="N54" s="733">
        <f t="shared" ref="N54:O54" si="45">N17*$E$40</f>
        <v>0</v>
      </c>
      <c r="O54" s="733">
        <f t="shared" si="45"/>
        <v>0</v>
      </c>
      <c r="P54" s="733">
        <f t="shared" si="37"/>
        <v>0</v>
      </c>
      <c r="Q54" s="734">
        <f t="shared" si="31"/>
        <v>0</v>
      </c>
      <c r="R54" s="733">
        <f t="shared" si="37"/>
        <v>0</v>
      </c>
      <c r="S54" s="733">
        <f t="shared" si="37"/>
        <v>0</v>
      </c>
      <c r="T54" s="733">
        <f t="shared" ca="1" si="37"/>
        <v>0</v>
      </c>
      <c r="U54" s="733">
        <f t="shared" ca="1" si="37"/>
        <v>0</v>
      </c>
    </row>
    <row r="55" spans="1:25" s="119" customFormat="1" ht="19.5" hidden="1" thickBot="1" x14ac:dyDescent="0.35">
      <c r="A55" s="119" t="s">
        <v>349</v>
      </c>
      <c r="B55" s="24">
        <f>IFERROR(+GETPIVOTDATA("Unique Billed Hours",'County allocation'!$A$3,"County",A55,"HHA/CDPAP","HHA"),0)</f>
        <v>1.3789830938469415E-5</v>
      </c>
      <c r="C55" s="119">
        <f t="shared" si="28"/>
        <v>0</v>
      </c>
      <c r="D55" s="115" t="s">
        <v>124</v>
      </c>
      <c r="E55" s="116" t="s">
        <v>78</v>
      </c>
      <c r="F55" s="742">
        <f t="shared" ref="F55:U55" si="46">SUBTOTAL(9,F43:F54)</f>
        <v>0</v>
      </c>
      <c r="G55" s="742">
        <f>SUBTOTAL(9,G43:G54)</f>
        <v>0</v>
      </c>
      <c r="H55" s="742">
        <f>SUBTOTAL(9,H43:H54)</f>
        <v>0</v>
      </c>
      <c r="I55" s="742">
        <f>SUBTOTAL(9,I43:I54)</f>
        <v>0</v>
      </c>
      <c r="J55" s="742">
        <f>SUBTOTAL(9,J43:J54)</f>
        <v>0</v>
      </c>
      <c r="K55" s="742"/>
      <c r="L55" s="742"/>
      <c r="M55" s="742">
        <f t="shared" si="46"/>
        <v>0</v>
      </c>
      <c r="N55" s="742">
        <f t="shared" ref="N55:O55" si="47">SUBTOTAL(9,N43:N54)</f>
        <v>0</v>
      </c>
      <c r="O55" s="742">
        <f t="shared" si="47"/>
        <v>0</v>
      </c>
      <c r="P55" s="742">
        <f t="shared" si="46"/>
        <v>0</v>
      </c>
      <c r="Q55" s="743">
        <f>SUBTOTAL(9,Q43:Q54)</f>
        <v>0</v>
      </c>
      <c r="R55" s="742">
        <f t="shared" si="46"/>
        <v>0</v>
      </c>
      <c r="S55" s="742">
        <f t="shared" si="46"/>
        <v>0</v>
      </c>
      <c r="T55" s="742">
        <f t="shared" si="46"/>
        <v>0</v>
      </c>
      <c r="U55" s="742">
        <f t="shared" si="46"/>
        <v>0</v>
      </c>
    </row>
    <row r="56" spans="1:25" s="119" customFormat="1" ht="19.5" hidden="1" thickBot="1" x14ac:dyDescent="0.3">
      <c r="A56" s="119" t="s">
        <v>350</v>
      </c>
      <c r="B56" s="339">
        <f>IFERROR(+GETPIVOTDATA("Unique Billed Hours",'County allocation'!$A$3,"County",A56,"HHA/CDPAP","HHA"),0)</f>
        <v>0</v>
      </c>
      <c r="D56" s="117"/>
      <c r="E56" s="117"/>
      <c r="F56" s="118"/>
      <c r="G56" s="118"/>
      <c r="I56" s="118"/>
      <c r="J56" s="118"/>
      <c r="K56" s="118"/>
      <c r="L56" s="118"/>
      <c r="O56" s="118"/>
      <c r="Q56" s="120"/>
      <c r="R56" s="117"/>
      <c r="S56" s="118"/>
      <c r="U56" s="120"/>
    </row>
    <row r="57" spans="1:25" ht="90" customHeight="1" x14ac:dyDescent="0.25">
      <c r="A57" s="782" t="s">
        <v>351</v>
      </c>
      <c r="B57" s="761">
        <f>IFERROR(+GETPIVOTDATA("Unique Billed Hours",'County allocation'!$A$3,"County",A57,"HHA/CDPAP","HHA"),0)</f>
        <v>0</v>
      </c>
      <c r="C57" s="117">
        <f>IF($E57&gt;0,1,0)</f>
        <v>1</v>
      </c>
      <c r="D57" s="96" t="str">
        <f>A6</f>
        <v>Bronx</v>
      </c>
      <c r="E57" s="166">
        <f>IFERROR(SUMIF(A:A,D57,B:B),0)</f>
        <v>0.11142587660428063</v>
      </c>
      <c r="F57" s="98" t="s">
        <v>356</v>
      </c>
      <c r="G57" s="98" t="s">
        <v>373</v>
      </c>
      <c r="H57" s="98" t="s">
        <v>358</v>
      </c>
      <c r="I57" s="98" t="s">
        <v>109</v>
      </c>
      <c r="J57" s="98" t="s">
        <v>111</v>
      </c>
      <c r="K57" s="98" t="s">
        <v>469</v>
      </c>
      <c r="L57" s="98" t="s">
        <v>470</v>
      </c>
      <c r="M57" s="98" t="s">
        <v>357</v>
      </c>
      <c r="N57" s="509" t="s">
        <v>471</v>
      </c>
      <c r="O57" s="98" t="s">
        <v>472</v>
      </c>
      <c r="P57" s="98" t="s">
        <v>110</v>
      </c>
      <c r="Q57" s="99" t="s">
        <v>116</v>
      </c>
      <c r="R57" s="98" t="s">
        <v>112</v>
      </c>
      <c r="S57" s="98" t="s">
        <v>113</v>
      </c>
      <c r="T57" s="98" t="s">
        <v>114</v>
      </c>
      <c r="U57" s="98" t="s">
        <v>115</v>
      </c>
    </row>
    <row r="58" spans="1:25" ht="18.75" x14ac:dyDescent="0.25">
      <c r="A58" s="782" t="s">
        <v>352</v>
      </c>
      <c r="B58" s="761">
        <f>IFERROR(+GETPIVOTDATA("Unique Billed Hours",'County allocation'!$A$3,"County",A58,"HHA/CDPAP","HHA"),0)</f>
        <v>0</v>
      </c>
      <c r="C58" s="117">
        <f>C57</f>
        <v>1</v>
      </c>
      <c r="D58" s="101"/>
      <c r="E58" s="102"/>
      <c r="F58" s="84" t="s">
        <v>57</v>
      </c>
      <c r="G58" s="84" t="s">
        <v>56</v>
      </c>
      <c r="H58" s="84" t="s">
        <v>55</v>
      </c>
      <c r="I58" s="84" t="s">
        <v>54</v>
      </c>
      <c r="J58" s="84" t="s">
        <v>53</v>
      </c>
      <c r="K58" s="84" t="s">
        <v>52</v>
      </c>
      <c r="L58" s="84" t="s">
        <v>51</v>
      </c>
      <c r="M58" s="84" t="s">
        <v>50</v>
      </c>
      <c r="N58" s="84" t="s">
        <v>49</v>
      </c>
      <c r="O58" s="84" t="s">
        <v>47</v>
      </c>
      <c r="P58" s="84" t="s">
        <v>77</v>
      </c>
      <c r="Q58" s="83" t="s">
        <v>78</v>
      </c>
      <c r="R58" s="84" t="s">
        <v>79</v>
      </c>
      <c r="S58" s="84" t="s">
        <v>81</v>
      </c>
      <c r="T58" s="84" t="s">
        <v>83</v>
      </c>
      <c r="U58" s="84" t="s">
        <v>85</v>
      </c>
    </row>
    <row r="59" spans="1:25" ht="18.75" x14ac:dyDescent="0.25">
      <c r="A59" s="782" t="s">
        <v>353</v>
      </c>
      <c r="B59" s="761">
        <f>IFERROR(+GETPIVOTDATA("Unique Billed Hours",'County allocation'!$A$3,"County",A59,"HHA/CDPAP","HHA"),0)</f>
        <v>0</v>
      </c>
      <c r="C59" s="117">
        <f t="shared" ref="C59:C72" si="48">C58</f>
        <v>1</v>
      </c>
      <c r="D59" s="103" t="s">
        <v>26</v>
      </c>
      <c r="E59" s="104"/>
      <c r="F59" s="745"/>
      <c r="G59" s="745"/>
      <c r="H59" s="784"/>
      <c r="I59" s="745"/>
      <c r="J59" s="745"/>
      <c r="K59" s="745"/>
      <c r="L59" s="745"/>
      <c r="M59" s="784"/>
      <c r="N59" s="784"/>
      <c r="O59" s="745"/>
      <c r="P59" s="784"/>
      <c r="Q59" s="747"/>
      <c r="R59" s="748"/>
      <c r="S59" s="745"/>
      <c r="T59" s="784"/>
      <c r="U59" s="749"/>
    </row>
    <row r="60" spans="1:25" ht="18.75" x14ac:dyDescent="0.25">
      <c r="A60" s="782" t="s">
        <v>354</v>
      </c>
      <c r="B60" s="761">
        <f>IFERROR(+GETPIVOTDATA("Unique Billed Hours",'County allocation'!$A$3,"County",A60,"HHA/CDPAP","HHA"),0)</f>
        <v>0</v>
      </c>
      <c r="C60" s="117">
        <f t="shared" si="48"/>
        <v>1</v>
      </c>
      <c r="D60" s="763" t="s">
        <v>93</v>
      </c>
      <c r="E60" s="84" t="s">
        <v>57</v>
      </c>
      <c r="F60" s="733">
        <f>F6*$E$57</f>
        <v>14065687.074402245</v>
      </c>
      <c r="G60" s="733">
        <f>G6*$E$57</f>
        <v>974201.53019952751</v>
      </c>
      <c r="H60" s="733">
        <f>H6*$E$57</f>
        <v>2184.2658594509885</v>
      </c>
      <c r="I60" s="733">
        <f>I6*$E$57</f>
        <v>349955.38881915115</v>
      </c>
      <c r="J60" s="733">
        <f>J6*$E$57</f>
        <v>255315.86286713855</v>
      </c>
      <c r="K60" s="733">
        <f t="shared" ref="K60:L60" si="49">K6*$E$57</f>
        <v>13735.870056424214</v>
      </c>
      <c r="L60" s="733">
        <f t="shared" si="49"/>
        <v>0</v>
      </c>
      <c r="M60" s="733">
        <f t="shared" ref="M60:U60" si="50">M6*$E$57</f>
        <v>9977.6524057056304</v>
      </c>
      <c r="N60" s="733">
        <f t="shared" si="50"/>
        <v>0</v>
      </c>
      <c r="O60" s="733">
        <f t="shared" si="50"/>
        <v>65168.054602475109</v>
      </c>
      <c r="P60" s="733">
        <f t="shared" si="50"/>
        <v>0</v>
      </c>
      <c r="Q60" s="734">
        <f t="shared" ref="Q60:Q71" si="51">SUM(F60:P60)</f>
        <v>15736225.699212119</v>
      </c>
      <c r="R60" s="733">
        <f t="shared" si="50"/>
        <v>0</v>
      </c>
      <c r="S60" s="733">
        <f t="shared" si="50"/>
        <v>1201763.8390837451</v>
      </c>
      <c r="T60" s="733">
        <f t="shared" ca="1" si="50"/>
        <v>495433.82265008788</v>
      </c>
      <c r="U60" s="733">
        <f t="shared" ca="1" si="50"/>
        <v>371102.32680820418</v>
      </c>
      <c r="W60" s="786">
        <v>1031331.0917679702</v>
      </c>
      <c r="X60" s="786">
        <v>1110849.6342362349</v>
      </c>
    </row>
    <row r="61" spans="1:25" ht="18.75" x14ac:dyDescent="0.25">
      <c r="A61" s="782" t="s">
        <v>355</v>
      </c>
      <c r="B61" s="761">
        <f>IFERROR(+GETPIVOTDATA("Unique Billed Hours",'County allocation'!$A$3,"County",A61,"HHA/CDPAP","HHA"),0)</f>
        <v>0</v>
      </c>
      <c r="C61" s="117">
        <f t="shared" si="48"/>
        <v>1</v>
      </c>
      <c r="D61" s="765" t="s">
        <v>92</v>
      </c>
      <c r="E61" s="84" t="s">
        <v>56</v>
      </c>
      <c r="F61" s="733">
        <f t="shared" ref="F61:U63" si="52">F7*$E$57</f>
        <v>0</v>
      </c>
      <c r="G61" s="733">
        <f t="shared" ref="G61:J63" si="53">G7*$E$57</f>
        <v>0</v>
      </c>
      <c r="H61" s="733">
        <f t="shared" si="53"/>
        <v>0</v>
      </c>
      <c r="I61" s="733">
        <f t="shared" si="53"/>
        <v>0</v>
      </c>
      <c r="J61" s="733">
        <f t="shared" si="53"/>
        <v>0</v>
      </c>
      <c r="K61" s="733">
        <f t="shared" ref="K61:L61" si="54">K7*$E$57</f>
        <v>0</v>
      </c>
      <c r="L61" s="733">
        <f t="shared" si="54"/>
        <v>0</v>
      </c>
      <c r="M61" s="733">
        <f t="shared" si="52"/>
        <v>0</v>
      </c>
      <c r="N61" s="733">
        <f t="shared" si="52"/>
        <v>0</v>
      </c>
      <c r="O61" s="733">
        <f t="shared" si="52"/>
        <v>0</v>
      </c>
      <c r="P61" s="733">
        <f t="shared" si="52"/>
        <v>0</v>
      </c>
      <c r="Q61" s="734">
        <f t="shared" si="51"/>
        <v>0</v>
      </c>
      <c r="R61" s="733">
        <f t="shared" si="52"/>
        <v>0</v>
      </c>
      <c r="S61" s="733">
        <f t="shared" si="52"/>
        <v>0</v>
      </c>
      <c r="T61" s="733">
        <f t="shared" si="52"/>
        <v>0</v>
      </c>
      <c r="U61" s="733">
        <f t="shared" si="52"/>
        <v>0</v>
      </c>
      <c r="W61" s="786">
        <f>F60/W60</f>
        <v>13.638381686224539</v>
      </c>
      <c r="X61" s="786">
        <f>Q60/X60</f>
        <v>14.16593678768375</v>
      </c>
      <c r="Y61" s="787">
        <f ca="1">SUBTOTAL(9,U60,O60:P60)</f>
        <v>436270.38141067931</v>
      </c>
    </row>
    <row r="62" spans="1:25" ht="18.75" x14ac:dyDescent="0.25">
      <c r="A62" s="782" t="s">
        <v>361</v>
      </c>
      <c r="B62" s="761">
        <f>IFERROR(+GETPIVOTDATA("Unique Billed Hours",'County allocation'!$A$3,"County",A62,"HHA/CDPAP","HHA"),0)</f>
        <v>0</v>
      </c>
      <c r="C62" s="117">
        <f t="shared" si="48"/>
        <v>1</v>
      </c>
      <c r="D62" s="765" t="s">
        <v>91</v>
      </c>
      <c r="E62" s="84" t="s">
        <v>55</v>
      </c>
      <c r="F62" s="733">
        <f t="shared" si="52"/>
        <v>125197.00069380368</v>
      </c>
      <c r="G62" s="733">
        <f t="shared" si="53"/>
        <v>0</v>
      </c>
      <c r="H62" s="733">
        <f t="shared" si="53"/>
        <v>0</v>
      </c>
      <c r="I62" s="733">
        <f t="shared" si="53"/>
        <v>2092.020833245369</v>
      </c>
      <c r="J62" s="733">
        <f t="shared" si="53"/>
        <v>0</v>
      </c>
      <c r="K62" s="733">
        <f t="shared" ref="K62:L62" si="55">K8*$E$57</f>
        <v>0</v>
      </c>
      <c r="L62" s="733">
        <f t="shared" si="55"/>
        <v>0</v>
      </c>
      <c r="M62" s="733">
        <f t="shared" si="52"/>
        <v>0</v>
      </c>
      <c r="N62" s="733">
        <f t="shared" si="52"/>
        <v>0</v>
      </c>
      <c r="O62" s="733">
        <f t="shared" si="52"/>
        <v>3757.280559096343</v>
      </c>
      <c r="P62" s="733">
        <f t="shared" si="52"/>
        <v>0</v>
      </c>
      <c r="Q62" s="734">
        <f t="shared" si="51"/>
        <v>131046.30208614538</v>
      </c>
      <c r="R62" s="733">
        <f t="shared" si="52"/>
        <v>0</v>
      </c>
      <c r="S62" s="733">
        <f t="shared" si="52"/>
        <v>3783.1068487756829</v>
      </c>
      <c r="T62" s="733">
        <f t="shared" ca="1" si="52"/>
        <v>1548.0836932823738</v>
      </c>
      <c r="U62" s="733">
        <f t="shared" ca="1" si="52"/>
        <v>154.43579971551048</v>
      </c>
      <c r="W62" s="782">
        <f ca="1">U60/W60</f>
        <v>0.35982850683967849</v>
      </c>
      <c r="Y62" s="782">
        <f ca="1">Y61/X60</f>
        <v>0.39273576545815508</v>
      </c>
    </row>
    <row r="63" spans="1:25" ht="18.75" x14ac:dyDescent="0.25">
      <c r="A63" s="782" t="s">
        <v>362</v>
      </c>
      <c r="B63" s="761">
        <f>IFERROR(+GETPIVOTDATA("Unique Billed Hours",'County allocation'!$A$3,"County",A63,"HHA/CDPAP","HHA"),0)</f>
        <v>3.234950600513449E-2</v>
      </c>
      <c r="C63" s="117">
        <f t="shared" si="48"/>
        <v>1</v>
      </c>
      <c r="D63" s="766" t="s">
        <v>117</v>
      </c>
      <c r="E63" s="84" t="s">
        <v>54</v>
      </c>
      <c r="F63" s="733">
        <f t="shared" si="52"/>
        <v>0</v>
      </c>
      <c r="G63" s="733">
        <f t="shared" si="53"/>
        <v>0</v>
      </c>
      <c r="H63" s="733">
        <f t="shared" si="53"/>
        <v>0</v>
      </c>
      <c r="I63" s="733">
        <f t="shared" si="53"/>
        <v>0</v>
      </c>
      <c r="J63" s="733">
        <f t="shared" si="53"/>
        <v>0</v>
      </c>
      <c r="K63" s="733">
        <f t="shared" ref="K63:L63" si="56">K9*$E$57</f>
        <v>0</v>
      </c>
      <c r="L63" s="733">
        <f t="shared" si="56"/>
        <v>0</v>
      </c>
      <c r="M63" s="733">
        <f t="shared" si="52"/>
        <v>0</v>
      </c>
      <c r="N63" s="733">
        <f t="shared" si="52"/>
        <v>0</v>
      </c>
      <c r="O63" s="733">
        <f t="shared" si="52"/>
        <v>0</v>
      </c>
      <c r="P63" s="733">
        <f t="shared" si="52"/>
        <v>0</v>
      </c>
      <c r="Q63" s="734">
        <f t="shared" si="51"/>
        <v>0</v>
      </c>
      <c r="R63" s="733">
        <f t="shared" si="52"/>
        <v>0</v>
      </c>
      <c r="S63" s="733">
        <f t="shared" si="52"/>
        <v>0</v>
      </c>
      <c r="T63" s="733">
        <f t="shared" si="52"/>
        <v>0</v>
      </c>
      <c r="U63" s="733">
        <f t="shared" si="52"/>
        <v>0</v>
      </c>
    </row>
    <row r="64" spans="1:25" ht="18.75" x14ac:dyDescent="0.25">
      <c r="A64" s="782" t="s">
        <v>363</v>
      </c>
      <c r="B64" s="761">
        <f>IFERROR(+GETPIVOTDATA("Unique Billed Hours",'County allocation'!$A$3,"County",A64,"HHA/CDPAP","HHA"),0)</f>
        <v>0</v>
      </c>
      <c r="C64" s="117">
        <f t="shared" si="48"/>
        <v>1</v>
      </c>
      <c r="D64" s="112" t="s">
        <v>31</v>
      </c>
      <c r="E64" s="84"/>
      <c r="F64" s="769"/>
      <c r="G64" s="768"/>
      <c r="H64" s="769"/>
      <c r="I64" s="768"/>
      <c r="J64" s="768"/>
      <c r="K64" s="768"/>
      <c r="L64" s="768"/>
      <c r="M64" s="769"/>
      <c r="N64" s="768"/>
      <c r="O64" s="768"/>
      <c r="P64" s="771"/>
      <c r="Q64" s="734">
        <f t="shared" si="51"/>
        <v>0</v>
      </c>
      <c r="R64" s="772"/>
      <c r="S64" s="768"/>
      <c r="T64" s="773"/>
      <c r="U64" s="774"/>
      <c r="X64" s="788">
        <f ca="1">U60+P60</f>
        <v>371102.32680820418</v>
      </c>
    </row>
    <row r="65" spans="1:24" ht="18.75" x14ac:dyDescent="0.25">
      <c r="A65" s="782" t="s">
        <v>364</v>
      </c>
      <c r="B65" s="761">
        <f>IFERROR(+GETPIVOTDATA("Unique Billed Hours",'County allocation'!$A$3,"County",A65,"HHA/CDPAP","HHA"),0)</f>
        <v>0</v>
      </c>
      <c r="C65" s="117">
        <f t="shared" si="48"/>
        <v>1</v>
      </c>
      <c r="D65" s="775" t="s">
        <v>118</v>
      </c>
      <c r="E65" s="84" t="s">
        <v>53</v>
      </c>
      <c r="F65" s="733">
        <f t="shared" ref="F65" si="57">F11*$E$57</f>
        <v>0</v>
      </c>
      <c r="G65" s="733">
        <f t="shared" ref="G65:J71" si="58">G11*$E$57</f>
        <v>0</v>
      </c>
      <c r="H65" s="733">
        <f t="shared" si="58"/>
        <v>0</v>
      </c>
      <c r="I65" s="733">
        <f t="shared" si="58"/>
        <v>0</v>
      </c>
      <c r="J65" s="733">
        <f t="shared" si="58"/>
        <v>0</v>
      </c>
      <c r="K65" s="733">
        <f t="shared" ref="K65:L65" si="59">K11*$E$57</f>
        <v>0</v>
      </c>
      <c r="L65" s="733">
        <f t="shared" si="59"/>
        <v>0</v>
      </c>
      <c r="M65" s="733">
        <f t="shared" ref="F65:U71" si="60">M11*$E$57</f>
        <v>0</v>
      </c>
      <c r="N65" s="733">
        <f t="shared" si="60"/>
        <v>0</v>
      </c>
      <c r="O65" s="733">
        <f t="shared" si="60"/>
        <v>0</v>
      </c>
      <c r="P65" s="733">
        <f t="shared" si="60"/>
        <v>0</v>
      </c>
      <c r="Q65" s="734">
        <f t="shared" si="51"/>
        <v>0</v>
      </c>
      <c r="R65" s="733">
        <f t="shared" si="60"/>
        <v>0</v>
      </c>
      <c r="S65" s="733">
        <f t="shared" si="60"/>
        <v>0</v>
      </c>
      <c r="T65" s="733">
        <f t="shared" si="60"/>
        <v>0</v>
      </c>
      <c r="U65" s="733">
        <f t="shared" si="60"/>
        <v>0</v>
      </c>
      <c r="X65" s="787">
        <f ca="1">X64/X60</f>
        <v>0.33407071071626693</v>
      </c>
    </row>
    <row r="66" spans="1:24" ht="18.75" x14ac:dyDescent="0.25">
      <c r="C66" s="117">
        <f t="shared" si="48"/>
        <v>1</v>
      </c>
      <c r="D66" s="775" t="s">
        <v>119</v>
      </c>
      <c r="E66" s="84" t="s">
        <v>52</v>
      </c>
      <c r="F66" s="733">
        <f t="shared" si="60"/>
        <v>0</v>
      </c>
      <c r="G66" s="733">
        <f t="shared" si="58"/>
        <v>0</v>
      </c>
      <c r="H66" s="733">
        <f t="shared" si="58"/>
        <v>0</v>
      </c>
      <c r="I66" s="733">
        <f t="shared" si="58"/>
        <v>0</v>
      </c>
      <c r="J66" s="733">
        <f t="shared" si="58"/>
        <v>0</v>
      </c>
      <c r="K66" s="733">
        <f t="shared" ref="K66:L66" si="61">K12*$E$57</f>
        <v>0</v>
      </c>
      <c r="L66" s="733">
        <f t="shared" si="61"/>
        <v>0</v>
      </c>
      <c r="M66" s="733">
        <f t="shared" si="60"/>
        <v>0</v>
      </c>
      <c r="N66" s="733">
        <f t="shared" si="60"/>
        <v>0</v>
      </c>
      <c r="O66" s="733">
        <f t="shared" si="60"/>
        <v>0</v>
      </c>
      <c r="P66" s="733">
        <f t="shared" si="60"/>
        <v>0</v>
      </c>
      <c r="Q66" s="734">
        <f t="shared" si="51"/>
        <v>0</v>
      </c>
      <c r="R66" s="733">
        <f t="shared" si="60"/>
        <v>0</v>
      </c>
      <c r="S66" s="733">
        <f t="shared" si="60"/>
        <v>0</v>
      </c>
      <c r="T66" s="733">
        <f t="shared" si="60"/>
        <v>0</v>
      </c>
      <c r="U66" s="733">
        <f t="shared" si="60"/>
        <v>0</v>
      </c>
      <c r="W66" s="788">
        <f ca="1">F60+U60+J60+K60+L60+O60+P60</f>
        <v>14771009.188736489</v>
      </c>
      <c r="X66" s="787">
        <f ca="1">X64/W60</f>
        <v>0.35982850683967849</v>
      </c>
    </row>
    <row r="67" spans="1:24" ht="18.75" x14ac:dyDescent="0.25">
      <c r="C67" s="117">
        <f t="shared" si="48"/>
        <v>1</v>
      </c>
      <c r="D67" s="775" t="s">
        <v>120</v>
      </c>
      <c r="E67" s="84" t="s">
        <v>51</v>
      </c>
      <c r="F67" s="733">
        <f t="shared" si="60"/>
        <v>0</v>
      </c>
      <c r="G67" s="733">
        <f t="shared" si="58"/>
        <v>0</v>
      </c>
      <c r="H67" s="733">
        <f t="shared" si="58"/>
        <v>0</v>
      </c>
      <c r="I67" s="733">
        <f t="shared" si="58"/>
        <v>0</v>
      </c>
      <c r="J67" s="733">
        <f t="shared" si="58"/>
        <v>0</v>
      </c>
      <c r="K67" s="733">
        <f t="shared" ref="K67:L67" si="62">K13*$E$57</f>
        <v>0</v>
      </c>
      <c r="L67" s="733">
        <f t="shared" si="62"/>
        <v>0</v>
      </c>
      <c r="M67" s="733">
        <f t="shared" si="60"/>
        <v>0</v>
      </c>
      <c r="N67" s="733">
        <f t="shared" si="60"/>
        <v>0</v>
      </c>
      <c r="O67" s="733">
        <f t="shared" si="60"/>
        <v>0</v>
      </c>
      <c r="P67" s="733">
        <f t="shared" si="60"/>
        <v>0</v>
      </c>
      <c r="Q67" s="734">
        <f t="shared" si="51"/>
        <v>0</v>
      </c>
      <c r="R67" s="733">
        <f t="shared" si="60"/>
        <v>0</v>
      </c>
      <c r="S67" s="733">
        <f t="shared" si="60"/>
        <v>0</v>
      </c>
      <c r="T67" s="733">
        <f t="shared" si="60"/>
        <v>0</v>
      </c>
      <c r="U67" s="733">
        <f t="shared" si="60"/>
        <v>0</v>
      </c>
      <c r="W67" s="782">
        <f ca="1">W66/W60</f>
        <v>14.322276625458009</v>
      </c>
    </row>
    <row r="68" spans="1:24" ht="18.75" x14ac:dyDescent="0.25">
      <c r="C68" s="117">
        <f t="shared" si="48"/>
        <v>1</v>
      </c>
      <c r="D68" s="775" t="s">
        <v>121</v>
      </c>
      <c r="E68" s="84" t="s">
        <v>50</v>
      </c>
      <c r="F68" s="733">
        <f t="shared" si="60"/>
        <v>0</v>
      </c>
      <c r="G68" s="733">
        <f t="shared" si="58"/>
        <v>0</v>
      </c>
      <c r="H68" s="733">
        <f t="shared" si="58"/>
        <v>0</v>
      </c>
      <c r="I68" s="733">
        <f t="shared" si="58"/>
        <v>0</v>
      </c>
      <c r="J68" s="733">
        <f t="shared" si="58"/>
        <v>0</v>
      </c>
      <c r="K68" s="733">
        <f t="shared" ref="K68:L68" si="63">K14*$E$57</f>
        <v>0</v>
      </c>
      <c r="L68" s="733">
        <f t="shared" si="63"/>
        <v>0</v>
      </c>
      <c r="M68" s="733">
        <f t="shared" si="60"/>
        <v>0</v>
      </c>
      <c r="N68" s="733">
        <f t="shared" si="60"/>
        <v>0</v>
      </c>
      <c r="O68" s="733">
        <f t="shared" si="60"/>
        <v>0</v>
      </c>
      <c r="P68" s="733">
        <f t="shared" si="60"/>
        <v>0</v>
      </c>
      <c r="Q68" s="734">
        <f t="shared" si="51"/>
        <v>0</v>
      </c>
      <c r="R68" s="733">
        <f t="shared" si="60"/>
        <v>0</v>
      </c>
      <c r="S68" s="733">
        <f t="shared" si="60"/>
        <v>0</v>
      </c>
      <c r="T68" s="733">
        <f t="shared" si="60"/>
        <v>0</v>
      </c>
      <c r="U68" s="733">
        <f t="shared" si="60"/>
        <v>0</v>
      </c>
    </row>
    <row r="69" spans="1:24" ht="18.75" x14ac:dyDescent="0.25">
      <c r="C69" s="117">
        <f t="shared" si="48"/>
        <v>1</v>
      </c>
      <c r="D69" s="775" t="s">
        <v>122</v>
      </c>
      <c r="E69" s="84" t="s">
        <v>49</v>
      </c>
      <c r="F69" s="733">
        <f t="shared" si="60"/>
        <v>0</v>
      </c>
      <c r="G69" s="733">
        <f t="shared" si="58"/>
        <v>0</v>
      </c>
      <c r="H69" s="733">
        <f t="shared" si="58"/>
        <v>0</v>
      </c>
      <c r="I69" s="733">
        <f t="shared" si="58"/>
        <v>0</v>
      </c>
      <c r="J69" s="733">
        <f t="shared" si="58"/>
        <v>0</v>
      </c>
      <c r="K69" s="733">
        <f t="shared" ref="K69:L69" si="64">K15*$E$57</f>
        <v>0</v>
      </c>
      <c r="L69" s="733">
        <f t="shared" si="64"/>
        <v>0</v>
      </c>
      <c r="M69" s="733">
        <f t="shared" si="60"/>
        <v>0</v>
      </c>
      <c r="N69" s="733">
        <f t="shared" si="60"/>
        <v>0</v>
      </c>
      <c r="O69" s="733">
        <f t="shared" si="60"/>
        <v>0</v>
      </c>
      <c r="P69" s="733">
        <f t="shared" si="60"/>
        <v>0</v>
      </c>
      <c r="Q69" s="734">
        <f t="shared" si="51"/>
        <v>0</v>
      </c>
      <c r="R69" s="733">
        <f t="shared" si="60"/>
        <v>0</v>
      </c>
      <c r="S69" s="733">
        <f t="shared" si="60"/>
        <v>0</v>
      </c>
      <c r="T69" s="733">
        <f t="shared" si="60"/>
        <v>0</v>
      </c>
      <c r="U69" s="733">
        <f t="shared" si="60"/>
        <v>0</v>
      </c>
    </row>
    <row r="70" spans="1:24" ht="18.75" x14ac:dyDescent="0.25">
      <c r="C70" s="117">
        <f t="shared" si="48"/>
        <v>1</v>
      </c>
      <c r="D70" s="775" t="s">
        <v>123</v>
      </c>
      <c r="E70" s="84" t="s">
        <v>47</v>
      </c>
      <c r="F70" s="733">
        <f t="shared" si="60"/>
        <v>0</v>
      </c>
      <c r="G70" s="733">
        <f t="shared" si="58"/>
        <v>0</v>
      </c>
      <c r="H70" s="733">
        <f t="shared" si="58"/>
        <v>0</v>
      </c>
      <c r="I70" s="733">
        <f t="shared" si="58"/>
        <v>0</v>
      </c>
      <c r="J70" s="733">
        <f t="shared" si="58"/>
        <v>0</v>
      </c>
      <c r="K70" s="733">
        <f t="shared" ref="K70:L70" si="65">K16*$E$57</f>
        <v>0</v>
      </c>
      <c r="L70" s="733">
        <f t="shared" si="65"/>
        <v>0</v>
      </c>
      <c r="M70" s="733">
        <f t="shared" si="60"/>
        <v>0</v>
      </c>
      <c r="N70" s="733">
        <f t="shared" si="60"/>
        <v>0</v>
      </c>
      <c r="O70" s="733">
        <f t="shared" si="60"/>
        <v>0</v>
      </c>
      <c r="P70" s="733">
        <f t="shared" si="60"/>
        <v>0</v>
      </c>
      <c r="Q70" s="734">
        <f t="shared" si="51"/>
        <v>0</v>
      </c>
      <c r="R70" s="733">
        <f t="shared" si="60"/>
        <v>0</v>
      </c>
      <c r="S70" s="733">
        <f t="shared" si="60"/>
        <v>0</v>
      </c>
      <c r="T70" s="733">
        <f t="shared" si="60"/>
        <v>0</v>
      </c>
      <c r="U70" s="733">
        <f t="shared" si="60"/>
        <v>0</v>
      </c>
    </row>
    <row r="71" spans="1:24" ht="19.5" thickBot="1" x14ac:dyDescent="0.3">
      <c r="C71" s="117">
        <f t="shared" si="48"/>
        <v>1</v>
      </c>
      <c r="D71" s="776" t="s">
        <v>16</v>
      </c>
      <c r="E71" s="777" t="s">
        <v>77</v>
      </c>
      <c r="F71" s="733">
        <f t="shared" si="60"/>
        <v>1555202.4602458861</v>
      </c>
      <c r="G71" s="733">
        <f t="shared" si="58"/>
        <v>30893.85006870337</v>
      </c>
      <c r="H71" s="733">
        <f t="shared" si="58"/>
        <v>0</v>
      </c>
      <c r="I71" s="733">
        <f t="shared" si="58"/>
        <v>0</v>
      </c>
      <c r="J71" s="733">
        <f t="shared" si="58"/>
        <v>65956.50689950044</v>
      </c>
      <c r="K71" s="733">
        <f t="shared" ref="K71:L71" si="66">K17*$E$57</f>
        <v>271.54580583807905</v>
      </c>
      <c r="L71" s="733">
        <f t="shared" si="66"/>
        <v>38.214287556306331</v>
      </c>
      <c r="M71" s="733">
        <f t="shared" si="60"/>
        <v>0</v>
      </c>
      <c r="N71" s="733">
        <f t="shared" si="60"/>
        <v>0</v>
      </c>
      <c r="O71" s="733">
        <f t="shared" si="60"/>
        <v>19765.037478696395</v>
      </c>
      <c r="P71" s="733">
        <f t="shared" si="60"/>
        <v>336631.00888740958</v>
      </c>
      <c r="Q71" s="734">
        <f t="shared" si="51"/>
        <v>2008758.6236735904</v>
      </c>
      <c r="R71" s="733">
        <f t="shared" si="60"/>
        <v>0</v>
      </c>
      <c r="S71" s="733">
        <f t="shared" si="60"/>
        <v>139675.7063945017</v>
      </c>
      <c r="T71" s="733">
        <f t="shared" ca="1" si="60"/>
        <v>40509.710213131802</v>
      </c>
      <c r="U71" s="733">
        <f t="shared" ca="1" si="60"/>
        <v>2308.3722347791604</v>
      </c>
    </row>
    <row r="72" spans="1:24" ht="19.5" thickBot="1" x14ac:dyDescent="0.3">
      <c r="C72" s="117">
        <f t="shared" si="48"/>
        <v>1</v>
      </c>
      <c r="D72" s="115" t="s">
        <v>124</v>
      </c>
      <c r="E72" s="778" t="s">
        <v>78</v>
      </c>
      <c r="F72" s="779">
        <f t="shared" ref="F72:U72" si="67">SUBTOTAL(9,F60:F71)</f>
        <v>15746086.535341935</v>
      </c>
      <c r="G72" s="779">
        <f>SUBTOTAL(9,G60:G71)</f>
        <v>1005095.3802682309</v>
      </c>
      <c r="H72" s="779">
        <f>SUBTOTAL(9,H60:H71)</f>
        <v>2184.2658594509885</v>
      </c>
      <c r="I72" s="779">
        <f>SUBTOTAL(9,I60:I71)</f>
        <v>352047.40965239651</v>
      </c>
      <c r="J72" s="779">
        <f>SUBTOTAL(9,J60:J71)</f>
        <v>321272.36976663896</v>
      </c>
      <c r="K72" s="779">
        <f t="shared" ref="K72:O72" si="68">SUBTOTAL(9,K60:K71)</f>
        <v>14007.415862262293</v>
      </c>
      <c r="L72" s="779">
        <f t="shared" si="68"/>
        <v>38.214287556306331</v>
      </c>
      <c r="M72" s="779">
        <f t="shared" si="67"/>
        <v>9977.6524057056304</v>
      </c>
      <c r="N72" s="779">
        <f t="shared" si="68"/>
        <v>0</v>
      </c>
      <c r="O72" s="779">
        <f t="shared" si="68"/>
        <v>88690.372640267844</v>
      </c>
      <c r="P72" s="779">
        <f t="shared" si="67"/>
        <v>336631.00888740958</v>
      </c>
      <c r="Q72" s="780">
        <f>SUBTOTAL(9,Q60:Q71)</f>
        <v>17876030.624971855</v>
      </c>
      <c r="R72" s="779">
        <f t="shared" si="67"/>
        <v>0</v>
      </c>
      <c r="S72" s="779">
        <f t="shared" si="67"/>
        <v>1345222.6523270225</v>
      </c>
      <c r="T72" s="779">
        <f t="shared" ca="1" si="67"/>
        <v>537491.61655650206</v>
      </c>
      <c r="U72" s="779">
        <f t="shared" ca="1" si="67"/>
        <v>373565.13484269887</v>
      </c>
    </row>
    <row r="73" spans="1:24" s="119" customFormat="1" ht="19.5" hidden="1" thickBot="1" x14ac:dyDescent="0.3">
      <c r="B73" s="340"/>
      <c r="D73" s="117"/>
      <c r="E73" s="117"/>
      <c r="F73" s="118"/>
      <c r="G73" s="118"/>
      <c r="I73" s="118"/>
      <c r="J73" s="118"/>
      <c r="K73" s="118"/>
      <c r="L73" s="118"/>
      <c r="O73" s="118"/>
      <c r="Q73" s="120"/>
      <c r="R73" s="117"/>
      <c r="S73" s="118"/>
      <c r="U73" s="120"/>
    </row>
    <row r="74" spans="1:24" s="119" customFormat="1" ht="75.75" hidden="1" thickBot="1" x14ac:dyDescent="0.3">
      <c r="B74" s="301"/>
      <c r="C74" s="119">
        <f>IF($E74&gt;0,1,0)</f>
        <v>0</v>
      </c>
      <c r="D74" s="96" t="str">
        <f>A7</f>
        <v>Broome</v>
      </c>
      <c r="E74" s="166">
        <f>IFERROR(SUMIF(A:A,D74,B:B),0)</f>
        <v>0</v>
      </c>
      <c r="F74" s="98" t="s">
        <v>356</v>
      </c>
      <c r="G74" s="98" t="s">
        <v>373</v>
      </c>
      <c r="H74" s="98" t="s">
        <v>358</v>
      </c>
      <c r="I74" s="98" t="s">
        <v>109</v>
      </c>
      <c r="J74" s="98" t="s">
        <v>111</v>
      </c>
      <c r="K74" s="98" t="s">
        <v>469</v>
      </c>
      <c r="L74" s="98" t="s">
        <v>470</v>
      </c>
      <c r="M74" s="98" t="s">
        <v>357</v>
      </c>
      <c r="N74" s="509" t="s">
        <v>471</v>
      </c>
      <c r="O74" s="98" t="s">
        <v>472</v>
      </c>
      <c r="P74" s="98" t="s">
        <v>110</v>
      </c>
      <c r="Q74" s="99" t="s">
        <v>116</v>
      </c>
      <c r="R74" s="98" t="s">
        <v>112</v>
      </c>
      <c r="S74" s="98" t="s">
        <v>113</v>
      </c>
      <c r="T74" s="98" t="s">
        <v>114</v>
      </c>
      <c r="U74" s="98" t="s">
        <v>115</v>
      </c>
    </row>
    <row r="75" spans="1:24" s="119" customFormat="1" ht="19.5" hidden="1" thickBot="1" x14ac:dyDescent="0.3">
      <c r="B75" s="301"/>
      <c r="C75" s="119">
        <f>C74</f>
        <v>0</v>
      </c>
      <c r="D75" s="101"/>
      <c r="E75" s="102"/>
      <c r="F75" s="84" t="s">
        <v>57</v>
      </c>
      <c r="G75" s="84" t="s">
        <v>56</v>
      </c>
      <c r="H75" s="84" t="s">
        <v>55</v>
      </c>
      <c r="I75" s="84" t="s">
        <v>54</v>
      </c>
      <c r="J75" s="84" t="s">
        <v>53</v>
      </c>
      <c r="K75" s="84" t="s">
        <v>52</v>
      </c>
      <c r="L75" s="84" t="s">
        <v>51</v>
      </c>
      <c r="M75" s="84" t="s">
        <v>50</v>
      </c>
      <c r="N75" s="84" t="s">
        <v>49</v>
      </c>
      <c r="O75" s="84" t="s">
        <v>47</v>
      </c>
      <c r="P75" s="84" t="s">
        <v>77</v>
      </c>
      <c r="Q75" s="83" t="s">
        <v>78</v>
      </c>
      <c r="R75" s="84" t="s">
        <v>79</v>
      </c>
      <c r="S75" s="84" t="s">
        <v>81</v>
      </c>
      <c r="T75" s="84" t="s">
        <v>83</v>
      </c>
      <c r="U75" s="84" t="s">
        <v>85</v>
      </c>
    </row>
    <row r="76" spans="1:24" s="119" customFormat="1" ht="19.5" hidden="1" thickBot="1" x14ac:dyDescent="0.35">
      <c r="B76" s="301"/>
      <c r="C76" s="119">
        <f t="shared" ref="C76:C89" si="69">C75</f>
        <v>0</v>
      </c>
      <c r="D76" s="103" t="s">
        <v>26</v>
      </c>
      <c r="E76" s="104"/>
      <c r="F76" s="745"/>
      <c r="G76" s="745"/>
      <c r="H76" s="746"/>
      <c r="I76" s="745"/>
      <c r="J76" s="745"/>
      <c r="K76" s="745"/>
      <c r="L76" s="745"/>
      <c r="M76" s="746"/>
      <c r="N76" s="746"/>
      <c r="O76" s="745"/>
      <c r="P76" s="746"/>
      <c r="Q76" s="747"/>
      <c r="R76" s="748"/>
      <c r="S76" s="745"/>
      <c r="T76" s="746"/>
      <c r="U76" s="749"/>
    </row>
    <row r="77" spans="1:24" s="119" customFormat="1" ht="19.5" hidden="1" thickBot="1" x14ac:dyDescent="0.3">
      <c r="B77" s="301"/>
      <c r="C77" s="119">
        <f t="shared" si="69"/>
        <v>0</v>
      </c>
      <c r="D77" s="109" t="s">
        <v>93</v>
      </c>
      <c r="E77" s="76" t="s">
        <v>57</v>
      </c>
      <c r="F77" s="733">
        <f>F6*$E$74</f>
        <v>0</v>
      </c>
      <c r="G77" s="733">
        <f>G6*$E$74</f>
        <v>0</v>
      </c>
      <c r="H77" s="733">
        <f>H6*$E$74</f>
        <v>0</v>
      </c>
      <c r="I77" s="733">
        <f>I6*$E$74</f>
        <v>0</v>
      </c>
      <c r="J77" s="733">
        <f>J6*$E$74</f>
        <v>0</v>
      </c>
      <c r="K77" s="733">
        <f t="shared" ref="K77:O77" si="70">K6*$E$74</f>
        <v>0</v>
      </c>
      <c r="L77" s="733">
        <f t="shared" si="70"/>
        <v>0</v>
      </c>
      <c r="M77" s="733">
        <f t="shared" si="70"/>
        <v>0</v>
      </c>
      <c r="N77" s="733">
        <f t="shared" si="70"/>
        <v>0</v>
      </c>
      <c r="O77" s="733">
        <f t="shared" si="70"/>
        <v>0</v>
      </c>
      <c r="P77" s="733">
        <f t="shared" ref="P77:U77" si="71">P6*$E$74</f>
        <v>0</v>
      </c>
      <c r="Q77" s="734">
        <f t="shared" ref="Q77:Q88" si="72">SUM(F77:P77)</f>
        <v>0</v>
      </c>
      <c r="R77" s="733">
        <f t="shared" si="71"/>
        <v>0</v>
      </c>
      <c r="S77" s="733">
        <f t="shared" si="71"/>
        <v>0</v>
      </c>
      <c r="T77" s="733">
        <f t="shared" ca="1" si="71"/>
        <v>0</v>
      </c>
      <c r="U77" s="733">
        <f t="shared" ca="1" si="71"/>
        <v>0</v>
      </c>
    </row>
    <row r="78" spans="1:24" s="119" customFormat="1" ht="19.5" hidden="1" thickBot="1" x14ac:dyDescent="0.3">
      <c r="B78" s="301"/>
      <c r="C78" s="119">
        <f t="shared" si="69"/>
        <v>0</v>
      </c>
      <c r="D78" s="110" t="s">
        <v>92</v>
      </c>
      <c r="E78" s="76" t="s">
        <v>56</v>
      </c>
      <c r="F78" s="733">
        <f t="shared" ref="F78:U80" si="73">F7*$E$74</f>
        <v>0</v>
      </c>
      <c r="G78" s="733">
        <f t="shared" ref="G78:J80" si="74">G7*$E$74</f>
        <v>0</v>
      </c>
      <c r="H78" s="733">
        <f t="shared" si="74"/>
        <v>0</v>
      </c>
      <c r="I78" s="733">
        <f t="shared" si="74"/>
        <v>0</v>
      </c>
      <c r="J78" s="733">
        <f t="shared" si="74"/>
        <v>0</v>
      </c>
      <c r="K78" s="733">
        <f t="shared" ref="K78:O78" si="75">K7*$E$74</f>
        <v>0</v>
      </c>
      <c r="L78" s="733">
        <f t="shared" si="75"/>
        <v>0</v>
      </c>
      <c r="M78" s="733">
        <f t="shared" si="75"/>
        <v>0</v>
      </c>
      <c r="N78" s="733">
        <f t="shared" si="75"/>
        <v>0</v>
      </c>
      <c r="O78" s="733">
        <f t="shared" si="75"/>
        <v>0</v>
      </c>
      <c r="P78" s="733">
        <f t="shared" si="73"/>
        <v>0</v>
      </c>
      <c r="Q78" s="734">
        <f t="shared" si="72"/>
        <v>0</v>
      </c>
      <c r="R78" s="733">
        <f t="shared" si="73"/>
        <v>0</v>
      </c>
      <c r="S78" s="733">
        <f t="shared" si="73"/>
        <v>0</v>
      </c>
      <c r="T78" s="733">
        <f t="shared" si="73"/>
        <v>0</v>
      </c>
      <c r="U78" s="733">
        <f t="shared" si="73"/>
        <v>0</v>
      </c>
    </row>
    <row r="79" spans="1:24" s="119" customFormat="1" ht="19.5" hidden="1" thickBot="1" x14ac:dyDescent="0.3">
      <c r="B79" s="301"/>
      <c r="C79" s="119">
        <f t="shared" si="69"/>
        <v>0</v>
      </c>
      <c r="D79" s="110" t="s">
        <v>91</v>
      </c>
      <c r="E79" s="76" t="s">
        <v>55</v>
      </c>
      <c r="F79" s="733">
        <f t="shared" si="73"/>
        <v>0</v>
      </c>
      <c r="G79" s="733">
        <f t="shared" si="74"/>
        <v>0</v>
      </c>
      <c r="H79" s="733">
        <f t="shared" si="74"/>
        <v>0</v>
      </c>
      <c r="I79" s="733">
        <f t="shared" si="74"/>
        <v>0</v>
      </c>
      <c r="J79" s="733">
        <f t="shared" si="74"/>
        <v>0</v>
      </c>
      <c r="K79" s="733">
        <f t="shared" ref="K79:O79" si="76">K8*$E$74</f>
        <v>0</v>
      </c>
      <c r="L79" s="733">
        <f t="shared" si="76"/>
        <v>0</v>
      </c>
      <c r="M79" s="733">
        <f t="shared" si="76"/>
        <v>0</v>
      </c>
      <c r="N79" s="733">
        <f t="shared" si="76"/>
        <v>0</v>
      </c>
      <c r="O79" s="733">
        <f t="shared" si="76"/>
        <v>0</v>
      </c>
      <c r="P79" s="733">
        <f t="shared" si="73"/>
        <v>0</v>
      </c>
      <c r="Q79" s="734">
        <f t="shared" si="72"/>
        <v>0</v>
      </c>
      <c r="R79" s="733">
        <f t="shared" si="73"/>
        <v>0</v>
      </c>
      <c r="S79" s="733">
        <f t="shared" si="73"/>
        <v>0</v>
      </c>
      <c r="T79" s="733">
        <f t="shared" ca="1" si="73"/>
        <v>0</v>
      </c>
      <c r="U79" s="733">
        <f t="shared" ca="1" si="73"/>
        <v>0</v>
      </c>
    </row>
    <row r="80" spans="1:24" s="119" customFormat="1" ht="19.5" hidden="1" thickBot="1" x14ac:dyDescent="0.3">
      <c r="B80" s="301"/>
      <c r="C80" s="119">
        <f t="shared" si="69"/>
        <v>0</v>
      </c>
      <c r="D80" s="111" t="s">
        <v>117</v>
      </c>
      <c r="E80" s="76" t="s">
        <v>54</v>
      </c>
      <c r="F80" s="733">
        <f t="shared" si="73"/>
        <v>0</v>
      </c>
      <c r="G80" s="733">
        <f t="shared" si="74"/>
        <v>0</v>
      </c>
      <c r="H80" s="733">
        <f t="shared" si="74"/>
        <v>0</v>
      </c>
      <c r="I80" s="733">
        <f t="shared" si="74"/>
        <v>0</v>
      </c>
      <c r="J80" s="733">
        <f t="shared" si="74"/>
        <v>0</v>
      </c>
      <c r="K80" s="733">
        <f t="shared" ref="K80:O80" si="77">K9*$E$74</f>
        <v>0</v>
      </c>
      <c r="L80" s="733">
        <f t="shared" si="77"/>
        <v>0</v>
      </c>
      <c r="M80" s="733">
        <f t="shared" si="77"/>
        <v>0</v>
      </c>
      <c r="N80" s="733">
        <f t="shared" si="77"/>
        <v>0</v>
      </c>
      <c r="O80" s="733">
        <f t="shared" si="77"/>
        <v>0</v>
      </c>
      <c r="P80" s="733">
        <f t="shared" si="73"/>
        <v>0</v>
      </c>
      <c r="Q80" s="734">
        <f t="shared" si="72"/>
        <v>0</v>
      </c>
      <c r="R80" s="733">
        <f t="shared" si="73"/>
        <v>0</v>
      </c>
      <c r="S80" s="733">
        <f t="shared" si="73"/>
        <v>0</v>
      </c>
      <c r="T80" s="733">
        <f t="shared" si="73"/>
        <v>0</v>
      </c>
      <c r="U80" s="733">
        <f t="shared" si="73"/>
        <v>0</v>
      </c>
    </row>
    <row r="81" spans="2:21" s="119" customFormat="1" ht="19.5" hidden="1" thickBot="1" x14ac:dyDescent="0.35">
      <c r="B81" s="301"/>
      <c r="C81" s="119">
        <f t="shared" si="69"/>
        <v>0</v>
      </c>
      <c r="D81" s="112" t="s">
        <v>31</v>
      </c>
      <c r="E81" s="76"/>
      <c r="F81" s="750"/>
      <c r="G81" s="735"/>
      <c r="H81" s="736"/>
      <c r="I81" s="735"/>
      <c r="J81" s="735"/>
      <c r="K81" s="735"/>
      <c r="L81" s="735"/>
      <c r="M81" s="735"/>
      <c r="N81" s="735"/>
      <c r="O81" s="735"/>
      <c r="P81" s="738"/>
      <c r="Q81" s="734">
        <f t="shared" si="72"/>
        <v>0</v>
      </c>
      <c r="R81" s="739"/>
      <c r="S81" s="735"/>
      <c r="T81" s="740"/>
      <c r="U81" s="741"/>
    </row>
    <row r="82" spans="2:21" s="119" customFormat="1" ht="19.5" hidden="1" thickBot="1" x14ac:dyDescent="0.35">
      <c r="B82" s="301"/>
      <c r="C82" s="119">
        <f t="shared" si="69"/>
        <v>0</v>
      </c>
      <c r="D82" s="113" t="s">
        <v>118</v>
      </c>
      <c r="E82" s="76" t="s">
        <v>53</v>
      </c>
      <c r="F82" s="733">
        <f t="shared" ref="F82:U88" si="78">F11*$E$74</f>
        <v>0</v>
      </c>
      <c r="G82" s="733">
        <f t="shared" ref="G82:J88" si="79">G11*$E$74</f>
        <v>0</v>
      </c>
      <c r="H82" s="733">
        <f t="shared" si="79"/>
        <v>0</v>
      </c>
      <c r="I82" s="733">
        <f t="shared" si="79"/>
        <v>0</v>
      </c>
      <c r="J82" s="733">
        <f t="shared" si="79"/>
        <v>0</v>
      </c>
      <c r="K82" s="733">
        <f t="shared" ref="K82:O82" si="80">K11*$E$74</f>
        <v>0</v>
      </c>
      <c r="L82" s="733">
        <f t="shared" si="80"/>
        <v>0</v>
      </c>
      <c r="M82" s="733">
        <f t="shared" si="80"/>
        <v>0</v>
      </c>
      <c r="N82" s="733">
        <f t="shared" si="80"/>
        <v>0</v>
      </c>
      <c r="O82" s="733">
        <f t="shared" si="80"/>
        <v>0</v>
      </c>
      <c r="P82" s="733">
        <f t="shared" si="78"/>
        <v>0</v>
      </c>
      <c r="Q82" s="734">
        <f t="shared" si="72"/>
        <v>0</v>
      </c>
      <c r="R82" s="733">
        <f t="shared" si="78"/>
        <v>0</v>
      </c>
      <c r="S82" s="733">
        <f t="shared" si="78"/>
        <v>0</v>
      </c>
      <c r="T82" s="733">
        <f t="shared" si="78"/>
        <v>0</v>
      </c>
      <c r="U82" s="733">
        <f t="shared" si="78"/>
        <v>0</v>
      </c>
    </row>
    <row r="83" spans="2:21" s="119" customFormat="1" ht="19.5" hidden="1" thickBot="1" x14ac:dyDescent="0.35">
      <c r="B83" s="301"/>
      <c r="C83" s="119">
        <f t="shared" si="69"/>
        <v>0</v>
      </c>
      <c r="D83" s="113" t="s">
        <v>119</v>
      </c>
      <c r="E83" s="76" t="s">
        <v>52</v>
      </c>
      <c r="F83" s="733">
        <f t="shared" si="78"/>
        <v>0</v>
      </c>
      <c r="G83" s="733">
        <f t="shared" si="79"/>
        <v>0</v>
      </c>
      <c r="H83" s="733">
        <f t="shared" si="79"/>
        <v>0</v>
      </c>
      <c r="I83" s="733">
        <f t="shared" si="79"/>
        <v>0</v>
      </c>
      <c r="J83" s="733">
        <f t="shared" si="79"/>
        <v>0</v>
      </c>
      <c r="K83" s="733">
        <f t="shared" ref="K83:O83" si="81">K12*$E$74</f>
        <v>0</v>
      </c>
      <c r="L83" s="733">
        <f t="shared" si="81"/>
        <v>0</v>
      </c>
      <c r="M83" s="733">
        <f t="shared" si="81"/>
        <v>0</v>
      </c>
      <c r="N83" s="733">
        <f t="shared" si="81"/>
        <v>0</v>
      </c>
      <c r="O83" s="733">
        <f t="shared" si="81"/>
        <v>0</v>
      </c>
      <c r="P83" s="733">
        <f t="shared" si="78"/>
        <v>0</v>
      </c>
      <c r="Q83" s="734">
        <f t="shared" si="72"/>
        <v>0</v>
      </c>
      <c r="R83" s="733">
        <f t="shared" si="78"/>
        <v>0</v>
      </c>
      <c r="S83" s="733">
        <f t="shared" si="78"/>
        <v>0</v>
      </c>
      <c r="T83" s="733">
        <f t="shared" si="78"/>
        <v>0</v>
      </c>
      <c r="U83" s="733">
        <f t="shared" si="78"/>
        <v>0</v>
      </c>
    </row>
    <row r="84" spans="2:21" s="119" customFormat="1" ht="19.5" hidden="1" thickBot="1" x14ac:dyDescent="0.35">
      <c r="B84" s="301"/>
      <c r="C84" s="119">
        <f t="shared" si="69"/>
        <v>0</v>
      </c>
      <c r="D84" s="113" t="s">
        <v>120</v>
      </c>
      <c r="E84" s="76" t="s">
        <v>51</v>
      </c>
      <c r="F84" s="733">
        <f t="shared" si="78"/>
        <v>0</v>
      </c>
      <c r="G84" s="733">
        <f t="shared" si="79"/>
        <v>0</v>
      </c>
      <c r="H84" s="733">
        <f t="shared" si="79"/>
        <v>0</v>
      </c>
      <c r="I84" s="733">
        <f t="shared" si="79"/>
        <v>0</v>
      </c>
      <c r="J84" s="733">
        <f t="shared" si="79"/>
        <v>0</v>
      </c>
      <c r="K84" s="733">
        <f t="shared" ref="K84:O84" si="82">K13*$E$74</f>
        <v>0</v>
      </c>
      <c r="L84" s="733">
        <f t="shared" si="82"/>
        <v>0</v>
      </c>
      <c r="M84" s="733">
        <f t="shared" si="82"/>
        <v>0</v>
      </c>
      <c r="N84" s="733">
        <f t="shared" si="82"/>
        <v>0</v>
      </c>
      <c r="O84" s="733">
        <f t="shared" si="82"/>
        <v>0</v>
      </c>
      <c r="P84" s="733">
        <f t="shared" si="78"/>
        <v>0</v>
      </c>
      <c r="Q84" s="734">
        <f t="shared" si="72"/>
        <v>0</v>
      </c>
      <c r="R84" s="733">
        <f t="shared" si="78"/>
        <v>0</v>
      </c>
      <c r="S84" s="733">
        <f t="shared" si="78"/>
        <v>0</v>
      </c>
      <c r="T84" s="733">
        <f t="shared" si="78"/>
        <v>0</v>
      </c>
      <c r="U84" s="733">
        <f t="shared" si="78"/>
        <v>0</v>
      </c>
    </row>
    <row r="85" spans="2:21" s="119" customFormat="1" ht="19.5" hidden="1" thickBot="1" x14ac:dyDescent="0.35">
      <c r="B85" s="301"/>
      <c r="C85" s="119">
        <f t="shared" si="69"/>
        <v>0</v>
      </c>
      <c r="D85" s="113" t="s">
        <v>121</v>
      </c>
      <c r="E85" s="76" t="s">
        <v>50</v>
      </c>
      <c r="F85" s="733">
        <f t="shared" si="78"/>
        <v>0</v>
      </c>
      <c r="G85" s="733">
        <f t="shared" si="79"/>
        <v>0</v>
      </c>
      <c r="H85" s="733">
        <f t="shared" si="79"/>
        <v>0</v>
      </c>
      <c r="I85" s="733">
        <f t="shared" si="79"/>
        <v>0</v>
      </c>
      <c r="J85" s="733">
        <f t="shared" si="79"/>
        <v>0</v>
      </c>
      <c r="K85" s="733">
        <f t="shared" ref="K85:O85" si="83">K14*$E$74</f>
        <v>0</v>
      </c>
      <c r="L85" s="733">
        <f t="shared" si="83"/>
        <v>0</v>
      </c>
      <c r="M85" s="733">
        <f t="shared" si="83"/>
        <v>0</v>
      </c>
      <c r="N85" s="733">
        <f t="shared" si="83"/>
        <v>0</v>
      </c>
      <c r="O85" s="733">
        <f t="shared" si="83"/>
        <v>0</v>
      </c>
      <c r="P85" s="733">
        <f t="shared" si="78"/>
        <v>0</v>
      </c>
      <c r="Q85" s="734">
        <f t="shared" si="72"/>
        <v>0</v>
      </c>
      <c r="R85" s="733">
        <f t="shared" si="78"/>
        <v>0</v>
      </c>
      <c r="S85" s="733">
        <f t="shared" si="78"/>
        <v>0</v>
      </c>
      <c r="T85" s="733">
        <f t="shared" si="78"/>
        <v>0</v>
      </c>
      <c r="U85" s="733">
        <f t="shared" si="78"/>
        <v>0</v>
      </c>
    </row>
    <row r="86" spans="2:21" s="119" customFormat="1" ht="19.5" hidden="1" thickBot="1" x14ac:dyDescent="0.35">
      <c r="B86" s="301"/>
      <c r="C86" s="119">
        <f t="shared" si="69"/>
        <v>0</v>
      </c>
      <c r="D86" s="113" t="s">
        <v>122</v>
      </c>
      <c r="E86" s="76" t="s">
        <v>49</v>
      </c>
      <c r="F86" s="733">
        <f t="shared" si="78"/>
        <v>0</v>
      </c>
      <c r="G86" s="733">
        <f t="shared" si="79"/>
        <v>0</v>
      </c>
      <c r="H86" s="733">
        <f t="shared" si="79"/>
        <v>0</v>
      </c>
      <c r="I86" s="733">
        <f t="shared" si="79"/>
        <v>0</v>
      </c>
      <c r="J86" s="733">
        <f t="shared" si="79"/>
        <v>0</v>
      </c>
      <c r="K86" s="733">
        <f t="shared" ref="K86:O86" si="84">K15*$E$74</f>
        <v>0</v>
      </c>
      <c r="L86" s="733">
        <f t="shared" si="84"/>
        <v>0</v>
      </c>
      <c r="M86" s="733">
        <f t="shared" si="84"/>
        <v>0</v>
      </c>
      <c r="N86" s="733">
        <f t="shared" si="84"/>
        <v>0</v>
      </c>
      <c r="O86" s="733">
        <f t="shared" si="84"/>
        <v>0</v>
      </c>
      <c r="P86" s="733">
        <f t="shared" si="78"/>
        <v>0</v>
      </c>
      <c r="Q86" s="734">
        <f t="shared" si="72"/>
        <v>0</v>
      </c>
      <c r="R86" s="733">
        <f t="shared" si="78"/>
        <v>0</v>
      </c>
      <c r="S86" s="733">
        <f t="shared" si="78"/>
        <v>0</v>
      </c>
      <c r="T86" s="733">
        <f t="shared" si="78"/>
        <v>0</v>
      </c>
      <c r="U86" s="733">
        <f t="shared" si="78"/>
        <v>0</v>
      </c>
    </row>
    <row r="87" spans="2:21" s="119" customFormat="1" ht="19.5" hidden="1" thickBot="1" x14ac:dyDescent="0.35">
      <c r="B87" s="301"/>
      <c r="C87" s="119">
        <f t="shared" si="69"/>
        <v>0</v>
      </c>
      <c r="D87" s="113" t="s">
        <v>123</v>
      </c>
      <c r="E87" s="76" t="s">
        <v>47</v>
      </c>
      <c r="F87" s="733">
        <f t="shared" si="78"/>
        <v>0</v>
      </c>
      <c r="G87" s="733">
        <f t="shared" si="79"/>
        <v>0</v>
      </c>
      <c r="H87" s="733">
        <f t="shared" si="79"/>
        <v>0</v>
      </c>
      <c r="I87" s="733">
        <f t="shared" si="79"/>
        <v>0</v>
      </c>
      <c r="J87" s="733">
        <f t="shared" si="79"/>
        <v>0</v>
      </c>
      <c r="K87" s="733">
        <f t="shared" ref="K87:O87" si="85">K16*$E$74</f>
        <v>0</v>
      </c>
      <c r="L87" s="733">
        <f t="shared" si="85"/>
        <v>0</v>
      </c>
      <c r="M87" s="733">
        <f t="shared" si="85"/>
        <v>0</v>
      </c>
      <c r="N87" s="733">
        <f t="shared" si="85"/>
        <v>0</v>
      </c>
      <c r="O87" s="733">
        <f t="shared" si="85"/>
        <v>0</v>
      </c>
      <c r="P87" s="733">
        <f t="shared" si="78"/>
        <v>0</v>
      </c>
      <c r="Q87" s="734">
        <f t="shared" si="72"/>
        <v>0</v>
      </c>
      <c r="R87" s="733">
        <f t="shared" si="78"/>
        <v>0</v>
      </c>
      <c r="S87" s="733">
        <f t="shared" si="78"/>
        <v>0</v>
      </c>
      <c r="T87" s="733">
        <f t="shared" si="78"/>
        <v>0</v>
      </c>
      <c r="U87" s="733">
        <f t="shared" si="78"/>
        <v>0</v>
      </c>
    </row>
    <row r="88" spans="2:21" s="119" customFormat="1" ht="19.5" hidden="1" thickBot="1" x14ac:dyDescent="0.35">
      <c r="B88" s="301"/>
      <c r="C88" s="119">
        <f t="shared" si="69"/>
        <v>0</v>
      </c>
      <c r="D88" s="114" t="s">
        <v>16</v>
      </c>
      <c r="E88" s="70" t="s">
        <v>77</v>
      </c>
      <c r="F88" s="733">
        <f t="shared" si="78"/>
        <v>0</v>
      </c>
      <c r="G88" s="733">
        <f t="shared" si="79"/>
        <v>0</v>
      </c>
      <c r="H88" s="733">
        <f t="shared" si="79"/>
        <v>0</v>
      </c>
      <c r="I88" s="733">
        <f t="shared" si="79"/>
        <v>0</v>
      </c>
      <c r="J88" s="733">
        <f t="shared" si="79"/>
        <v>0</v>
      </c>
      <c r="K88" s="733">
        <f t="shared" ref="K88:O88" si="86">K17*$E$74</f>
        <v>0</v>
      </c>
      <c r="L88" s="733">
        <f t="shared" si="86"/>
        <v>0</v>
      </c>
      <c r="M88" s="733">
        <f t="shared" si="86"/>
        <v>0</v>
      </c>
      <c r="N88" s="733">
        <f t="shared" si="86"/>
        <v>0</v>
      </c>
      <c r="O88" s="733">
        <f t="shared" si="86"/>
        <v>0</v>
      </c>
      <c r="P88" s="733">
        <f t="shared" si="78"/>
        <v>0</v>
      </c>
      <c r="Q88" s="734">
        <f t="shared" si="72"/>
        <v>0</v>
      </c>
      <c r="R88" s="733">
        <f t="shared" si="78"/>
        <v>0</v>
      </c>
      <c r="S88" s="733">
        <f t="shared" si="78"/>
        <v>0</v>
      </c>
      <c r="T88" s="733">
        <f t="shared" ca="1" si="78"/>
        <v>0</v>
      </c>
      <c r="U88" s="733">
        <f t="shared" ca="1" si="78"/>
        <v>0</v>
      </c>
    </row>
    <row r="89" spans="2:21" s="119" customFormat="1" ht="19.5" hidden="1" thickBot="1" x14ac:dyDescent="0.35">
      <c r="B89" s="301"/>
      <c r="C89" s="119">
        <f t="shared" si="69"/>
        <v>0</v>
      </c>
      <c r="D89" s="115" t="s">
        <v>124</v>
      </c>
      <c r="E89" s="116" t="s">
        <v>78</v>
      </c>
      <c r="F89" s="742">
        <f t="shared" ref="F89:U89" si="87">SUBTOTAL(9,F77:F88)</f>
        <v>0</v>
      </c>
      <c r="G89" s="742">
        <f>SUBTOTAL(9,G77:G88)</f>
        <v>0</v>
      </c>
      <c r="H89" s="742">
        <f>SUBTOTAL(9,H77:H88)</f>
        <v>0</v>
      </c>
      <c r="I89" s="742">
        <f>SUBTOTAL(9,I77:I88)</f>
        <v>0</v>
      </c>
      <c r="J89" s="742">
        <f>SUBTOTAL(9,J77:J88)</f>
        <v>0</v>
      </c>
      <c r="K89" s="742">
        <f t="shared" ref="K89:O89" si="88">SUBTOTAL(9,K77:K88)</f>
        <v>0</v>
      </c>
      <c r="L89" s="742">
        <f t="shared" si="88"/>
        <v>0</v>
      </c>
      <c r="M89" s="742">
        <f t="shared" si="88"/>
        <v>0</v>
      </c>
      <c r="N89" s="742">
        <f t="shared" si="88"/>
        <v>0</v>
      </c>
      <c r="O89" s="742">
        <f t="shared" si="88"/>
        <v>0</v>
      </c>
      <c r="P89" s="742">
        <f t="shared" si="87"/>
        <v>0</v>
      </c>
      <c r="Q89" s="743">
        <f>SUBTOTAL(9,Q77:Q88)</f>
        <v>0</v>
      </c>
      <c r="R89" s="742">
        <f t="shared" si="87"/>
        <v>0</v>
      </c>
      <c r="S89" s="742">
        <f t="shared" si="87"/>
        <v>0</v>
      </c>
      <c r="T89" s="742">
        <f t="shared" si="87"/>
        <v>0</v>
      </c>
      <c r="U89" s="742">
        <f t="shared" si="87"/>
        <v>0</v>
      </c>
    </row>
    <row r="90" spans="2:21" s="119" customFormat="1" ht="19.5" hidden="1" thickBot="1" x14ac:dyDescent="0.3">
      <c r="B90" s="340"/>
      <c r="D90" s="117"/>
      <c r="E90" s="117"/>
      <c r="F90" s="118"/>
      <c r="G90" s="118"/>
      <c r="I90" s="118"/>
      <c r="J90" s="118"/>
      <c r="K90" s="118"/>
      <c r="L90" s="118"/>
      <c r="O90" s="118"/>
      <c r="Q90" s="120"/>
      <c r="R90" s="117"/>
      <c r="S90" s="118"/>
      <c r="U90" s="120"/>
    </row>
    <row r="91" spans="2:21" s="119" customFormat="1" ht="75.75" hidden="1" thickBot="1" x14ac:dyDescent="0.3">
      <c r="B91" s="301"/>
      <c r="C91" s="119">
        <f>IF($E91&gt;0,1,0)</f>
        <v>0</v>
      </c>
      <c r="D91" s="96" t="str">
        <f>A8</f>
        <v>Cattaraugus</v>
      </c>
      <c r="E91" s="166">
        <f>IFERROR(SUMIF(A:A,D91,B:B),0)</f>
        <v>0</v>
      </c>
      <c r="F91" s="98" t="s">
        <v>356</v>
      </c>
      <c r="G91" s="98" t="s">
        <v>373</v>
      </c>
      <c r="H91" s="98" t="s">
        <v>358</v>
      </c>
      <c r="I91" s="98" t="s">
        <v>109</v>
      </c>
      <c r="J91" s="98" t="s">
        <v>111</v>
      </c>
      <c r="K91" s="98" t="s">
        <v>469</v>
      </c>
      <c r="L91" s="98" t="s">
        <v>470</v>
      </c>
      <c r="M91" s="98" t="s">
        <v>357</v>
      </c>
      <c r="N91" s="509" t="s">
        <v>471</v>
      </c>
      <c r="O91" s="98" t="s">
        <v>472</v>
      </c>
      <c r="P91" s="98" t="s">
        <v>110</v>
      </c>
      <c r="Q91" s="99" t="s">
        <v>116</v>
      </c>
      <c r="R91" s="98" t="s">
        <v>112</v>
      </c>
      <c r="S91" s="98" t="s">
        <v>113</v>
      </c>
      <c r="T91" s="98" t="s">
        <v>114</v>
      </c>
      <c r="U91" s="98" t="s">
        <v>115</v>
      </c>
    </row>
    <row r="92" spans="2:21" s="119" customFormat="1" ht="19.5" hidden="1" thickBot="1" x14ac:dyDescent="0.3">
      <c r="B92" s="301"/>
      <c r="C92" s="119">
        <f>C91</f>
        <v>0</v>
      </c>
      <c r="D92" s="101"/>
      <c r="E92" s="102"/>
      <c r="F92" s="84" t="s">
        <v>57</v>
      </c>
      <c r="G92" s="84" t="s">
        <v>56</v>
      </c>
      <c r="H92" s="84" t="s">
        <v>55</v>
      </c>
      <c r="I92" s="84" t="s">
        <v>54</v>
      </c>
      <c r="J92" s="84" t="s">
        <v>53</v>
      </c>
      <c r="K92" s="84" t="s">
        <v>52</v>
      </c>
      <c r="L92" s="84" t="s">
        <v>51</v>
      </c>
      <c r="M92" s="84" t="s">
        <v>50</v>
      </c>
      <c r="N92" s="84" t="s">
        <v>49</v>
      </c>
      <c r="O92" s="84" t="s">
        <v>47</v>
      </c>
      <c r="P92" s="84" t="s">
        <v>77</v>
      </c>
      <c r="Q92" s="83" t="s">
        <v>78</v>
      </c>
      <c r="R92" s="84" t="s">
        <v>79</v>
      </c>
      <c r="S92" s="84" t="s">
        <v>81</v>
      </c>
      <c r="T92" s="84" t="s">
        <v>83</v>
      </c>
      <c r="U92" s="84" t="s">
        <v>85</v>
      </c>
    </row>
    <row r="93" spans="2:21" s="119" customFormat="1" ht="19.5" hidden="1" thickBot="1" x14ac:dyDescent="0.35">
      <c r="B93" s="301"/>
      <c r="C93" s="119">
        <f t="shared" ref="C93:C106" si="89">C92</f>
        <v>0</v>
      </c>
      <c r="D93" s="103" t="s">
        <v>26</v>
      </c>
      <c r="E93" s="104"/>
      <c r="F93" s="745"/>
      <c r="G93" s="745"/>
      <c r="H93" s="746"/>
      <c r="I93" s="745"/>
      <c r="J93" s="745"/>
      <c r="K93" s="745"/>
      <c r="L93" s="745"/>
      <c r="M93" s="746"/>
      <c r="N93" s="746"/>
      <c r="O93" s="745"/>
      <c r="P93" s="746"/>
      <c r="Q93" s="747"/>
      <c r="R93" s="748"/>
      <c r="S93" s="745"/>
      <c r="T93" s="746"/>
      <c r="U93" s="749"/>
    </row>
    <row r="94" spans="2:21" s="119" customFormat="1" ht="19.5" hidden="1" thickBot="1" x14ac:dyDescent="0.3">
      <c r="B94" s="301"/>
      <c r="C94" s="119">
        <f t="shared" si="89"/>
        <v>0</v>
      </c>
      <c r="D94" s="109" t="s">
        <v>93</v>
      </c>
      <c r="E94" s="76" t="s">
        <v>57</v>
      </c>
      <c r="F94" s="733">
        <f>F6*$E$91</f>
        <v>0</v>
      </c>
      <c r="G94" s="733">
        <f>G6*$E$91</f>
        <v>0</v>
      </c>
      <c r="H94" s="733">
        <f>H6*$E$91</f>
        <v>0</v>
      </c>
      <c r="I94" s="733">
        <f>I6*$E$91</f>
        <v>0</v>
      </c>
      <c r="J94" s="733">
        <f>J6*$E$91</f>
        <v>0</v>
      </c>
      <c r="K94" s="733">
        <f t="shared" ref="K94:P94" si="90">K6*$E$91</f>
        <v>0</v>
      </c>
      <c r="L94" s="733">
        <f t="shared" si="90"/>
        <v>0</v>
      </c>
      <c r="M94" s="733">
        <f t="shared" si="90"/>
        <v>0</v>
      </c>
      <c r="N94" s="733">
        <f t="shared" si="90"/>
        <v>0</v>
      </c>
      <c r="O94" s="733">
        <f t="shared" si="90"/>
        <v>0</v>
      </c>
      <c r="P94" s="733">
        <f t="shared" si="90"/>
        <v>0</v>
      </c>
      <c r="Q94" s="734">
        <f t="shared" ref="Q94:Q105" si="91">SUM(F94:P94)</f>
        <v>0</v>
      </c>
      <c r="R94" s="733">
        <f t="shared" ref="R94:U94" si="92">R6*$E$91</f>
        <v>0</v>
      </c>
      <c r="S94" s="733">
        <f t="shared" si="92"/>
        <v>0</v>
      </c>
      <c r="T94" s="733">
        <f t="shared" ca="1" si="92"/>
        <v>0</v>
      </c>
      <c r="U94" s="733">
        <f t="shared" ca="1" si="92"/>
        <v>0</v>
      </c>
    </row>
    <row r="95" spans="2:21" s="119" customFormat="1" ht="19.5" hidden="1" thickBot="1" x14ac:dyDescent="0.3">
      <c r="B95" s="301"/>
      <c r="C95" s="119">
        <f t="shared" si="89"/>
        <v>0</v>
      </c>
      <c r="D95" s="110" t="s">
        <v>92</v>
      </c>
      <c r="E95" s="76" t="s">
        <v>56</v>
      </c>
      <c r="F95" s="733">
        <f t="shared" ref="F95:U97" si="93">F7*$E$91</f>
        <v>0</v>
      </c>
      <c r="G95" s="733">
        <f t="shared" ref="G95:J97" si="94">G7*$E$91</f>
        <v>0</v>
      </c>
      <c r="H95" s="733">
        <f t="shared" si="94"/>
        <v>0</v>
      </c>
      <c r="I95" s="733">
        <f t="shared" si="94"/>
        <v>0</v>
      </c>
      <c r="J95" s="733">
        <f t="shared" si="94"/>
        <v>0</v>
      </c>
      <c r="K95" s="733">
        <f t="shared" ref="K95:P95" si="95">K7*$E$91</f>
        <v>0</v>
      </c>
      <c r="L95" s="733">
        <f t="shared" si="95"/>
        <v>0</v>
      </c>
      <c r="M95" s="733">
        <f t="shared" si="95"/>
        <v>0</v>
      </c>
      <c r="N95" s="733">
        <f t="shared" si="95"/>
        <v>0</v>
      </c>
      <c r="O95" s="733">
        <f t="shared" si="95"/>
        <v>0</v>
      </c>
      <c r="P95" s="733">
        <f t="shared" si="95"/>
        <v>0</v>
      </c>
      <c r="Q95" s="734">
        <f t="shared" si="91"/>
        <v>0</v>
      </c>
      <c r="R95" s="733">
        <f t="shared" si="93"/>
        <v>0</v>
      </c>
      <c r="S95" s="733">
        <f t="shared" si="93"/>
        <v>0</v>
      </c>
      <c r="T95" s="733">
        <f t="shared" si="93"/>
        <v>0</v>
      </c>
      <c r="U95" s="733">
        <f t="shared" si="93"/>
        <v>0</v>
      </c>
    </row>
    <row r="96" spans="2:21" s="119" customFormat="1" ht="19.5" hidden="1" thickBot="1" x14ac:dyDescent="0.3">
      <c r="B96" s="301"/>
      <c r="C96" s="119">
        <f t="shared" si="89"/>
        <v>0</v>
      </c>
      <c r="D96" s="110" t="s">
        <v>91</v>
      </c>
      <c r="E96" s="76" t="s">
        <v>55</v>
      </c>
      <c r="F96" s="733">
        <f t="shared" si="93"/>
        <v>0</v>
      </c>
      <c r="G96" s="733">
        <f t="shared" si="94"/>
        <v>0</v>
      </c>
      <c r="H96" s="733">
        <f t="shared" si="94"/>
        <v>0</v>
      </c>
      <c r="I96" s="733">
        <f t="shared" si="94"/>
        <v>0</v>
      </c>
      <c r="J96" s="733">
        <f t="shared" si="94"/>
        <v>0</v>
      </c>
      <c r="K96" s="733">
        <f t="shared" ref="K96:P96" si="96">K8*$E$91</f>
        <v>0</v>
      </c>
      <c r="L96" s="733">
        <f t="shared" si="96"/>
        <v>0</v>
      </c>
      <c r="M96" s="733">
        <f t="shared" si="96"/>
        <v>0</v>
      </c>
      <c r="N96" s="733">
        <f t="shared" si="96"/>
        <v>0</v>
      </c>
      <c r="O96" s="733">
        <f t="shared" si="96"/>
        <v>0</v>
      </c>
      <c r="P96" s="733">
        <f t="shared" si="96"/>
        <v>0</v>
      </c>
      <c r="Q96" s="734">
        <f t="shared" si="91"/>
        <v>0</v>
      </c>
      <c r="R96" s="733">
        <f t="shared" si="93"/>
        <v>0</v>
      </c>
      <c r="S96" s="733">
        <f t="shared" si="93"/>
        <v>0</v>
      </c>
      <c r="T96" s="733">
        <f t="shared" ca="1" si="93"/>
        <v>0</v>
      </c>
      <c r="U96" s="733">
        <f t="shared" ca="1" si="93"/>
        <v>0</v>
      </c>
    </row>
    <row r="97" spans="2:21" s="119" customFormat="1" ht="19.5" hidden="1" thickBot="1" x14ac:dyDescent="0.3">
      <c r="B97" s="301"/>
      <c r="C97" s="119">
        <f t="shared" si="89"/>
        <v>0</v>
      </c>
      <c r="D97" s="111" t="s">
        <v>117</v>
      </c>
      <c r="E97" s="76" t="s">
        <v>54</v>
      </c>
      <c r="F97" s="733">
        <f t="shared" si="93"/>
        <v>0</v>
      </c>
      <c r="G97" s="733">
        <f t="shared" si="94"/>
        <v>0</v>
      </c>
      <c r="H97" s="733">
        <f t="shared" si="94"/>
        <v>0</v>
      </c>
      <c r="I97" s="733">
        <f t="shared" si="94"/>
        <v>0</v>
      </c>
      <c r="J97" s="733">
        <f t="shared" si="94"/>
        <v>0</v>
      </c>
      <c r="K97" s="733">
        <f t="shared" ref="K97:P97" si="97">K9*$E$91</f>
        <v>0</v>
      </c>
      <c r="L97" s="733">
        <f t="shared" si="97"/>
        <v>0</v>
      </c>
      <c r="M97" s="733">
        <f t="shared" si="97"/>
        <v>0</v>
      </c>
      <c r="N97" s="733">
        <f t="shared" si="97"/>
        <v>0</v>
      </c>
      <c r="O97" s="733">
        <f t="shared" si="97"/>
        <v>0</v>
      </c>
      <c r="P97" s="733">
        <f t="shared" si="97"/>
        <v>0</v>
      </c>
      <c r="Q97" s="734">
        <f t="shared" si="91"/>
        <v>0</v>
      </c>
      <c r="R97" s="733">
        <f t="shared" si="93"/>
        <v>0</v>
      </c>
      <c r="S97" s="733">
        <f t="shared" si="93"/>
        <v>0</v>
      </c>
      <c r="T97" s="733">
        <f t="shared" si="93"/>
        <v>0</v>
      </c>
      <c r="U97" s="733">
        <f t="shared" si="93"/>
        <v>0</v>
      </c>
    </row>
    <row r="98" spans="2:21" s="119" customFormat="1" ht="19.5" hidden="1" thickBot="1" x14ac:dyDescent="0.35">
      <c r="B98" s="301"/>
      <c r="C98" s="119">
        <f t="shared" si="89"/>
        <v>0</v>
      </c>
      <c r="D98" s="112" t="s">
        <v>31</v>
      </c>
      <c r="E98" s="76"/>
      <c r="F98" s="750"/>
      <c r="G98" s="735"/>
      <c r="H98" s="736"/>
      <c r="I98" s="735"/>
      <c r="J98" s="735"/>
      <c r="K98" s="735"/>
      <c r="L98" s="735"/>
      <c r="M98" s="735"/>
      <c r="N98" s="735"/>
      <c r="O98" s="735"/>
      <c r="P98" s="735"/>
      <c r="Q98" s="734">
        <f t="shared" si="91"/>
        <v>0</v>
      </c>
      <c r="R98" s="739"/>
      <c r="S98" s="735"/>
      <c r="T98" s="740"/>
      <c r="U98" s="741"/>
    </row>
    <row r="99" spans="2:21" s="119" customFormat="1" ht="19.5" hidden="1" thickBot="1" x14ac:dyDescent="0.35">
      <c r="B99" s="301"/>
      <c r="C99" s="119">
        <f t="shared" si="89"/>
        <v>0</v>
      </c>
      <c r="D99" s="113" t="s">
        <v>118</v>
      </c>
      <c r="E99" s="76" t="s">
        <v>53</v>
      </c>
      <c r="F99" s="733">
        <f t="shared" ref="F99:U105" si="98">F11*$E$91</f>
        <v>0</v>
      </c>
      <c r="G99" s="733">
        <f t="shared" ref="G99:J105" si="99">G11*$E$91</f>
        <v>0</v>
      </c>
      <c r="H99" s="733">
        <f t="shared" si="99"/>
        <v>0</v>
      </c>
      <c r="I99" s="733">
        <f t="shared" si="99"/>
        <v>0</v>
      </c>
      <c r="J99" s="733">
        <f t="shared" si="99"/>
        <v>0</v>
      </c>
      <c r="K99" s="733">
        <f t="shared" ref="K99:P99" si="100">K11*$E$91</f>
        <v>0</v>
      </c>
      <c r="L99" s="733">
        <f t="shared" si="100"/>
        <v>0</v>
      </c>
      <c r="M99" s="733">
        <f t="shared" si="100"/>
        <v>0</v>
      </c>
      <c r="N99" s="733">
        <f t="shared" si="100"/>
        <v>0</v>
      </c>
      <c r="O99" s="733">
        <f t="shared" si="100"/>
        <v>0</v>
      </c>
      <c r="P99" s="733">
        <f t="shared" si="100"/>
        <v>0</v>
      </c>
      <c r="Q99" s="734">
        <f t="shared" si="91"/>
        <v>0</v>
      </c>
      <c r="R99" s="733">
        <f t="shared" si="98"/>
        <v>0</v>
      </c>
      <c r="S99" s="733">
        <f t="shared" si="98"/>
        <v>0</v>
      </c>
      <c r="T99" s="733">
        <f t="shared" si="98"/>
        <v>0</v>
      </c>
      <c r="U99" s="733">
        <f t="shared" si="98"/>
        <v>0</v>
      </c>
    </row>
    <row r="100" spans="2:21" s="119" customFormat="1" ht="19.5" hidden="1" thickBot="1" x14ac:dyDescent="0.35">
      <c r="B100" s="301"/>
      <c r="C100" s="119">
        <f t="shared" si="89"/>
        <v>0</v>
      </c>
      <c r="D100" s="113" t="s">
        <v>119</v>
      </c>
      <c r="E100" s="76" t="s">
        <v>52</v>
      </c>
      <c r="F100" s="733">
        <f t="shared" si="98"/>
        <v>0</v>
      </c>
      <c r="G100" s="733">
        <f t="shared" si="99"/>
        <v>0</v>
      </c>
      <c r="H100" s="733">
        <f t="shared" si="99"/>
        <v>0</v>
      </c>
      <c r="I100" s="733">
        <f t="shared" si="99"/>
        <v>0</v>
      </c>
      <c r="J100" s="733">
        <f t="shared" si="99"/>
        <v>0</v>
      </c>
      <c r="K100" s="733">
        <f t="shared" ref="K100:P100" si="101">K12*$E$91</f>
        <v>0</v>
      </c>
      <c r="L100" s="733">
        <f t="shared" si="101"/>
        <v>0</v>
      </c>
      <c r="M100" s="733">
        <f t="shared" si="101"/>
        <v>0</v>
      </c>
      <c r="N100" s="733">
        <f t="shared" si="101"/>
        <v>0</v>
      </c>
      <c r="O100" s="733">
        <f t="shared" si="101"/>
        <v>0</v>
      </c>
      <c r="P100" s="733">
        <f t="shared" si="101"/>
        <v>0</v>
      </c>
      <c r="Q100" s="734">
        <f t="shared" si="91"/>
        <v>0</v>
      </c>
      <c r="R100" s="733">
        <f t="shared" si="98"/>
        <v>0</v>
      </c>
      <c r="S100" s="733">
        <f t="shared" si="98"/>
        <v>0</v>
      </c>
      <c r="T100" s="733">
        <f t="shared" si="98"/>
        <v>0</v>
      </c>
      <c r="U100" s="733">
        <f t="shared" si="98"/>
        <v>0</v>
      </c>
    </row>
    <row r="101" spans="2:21" s="119" customFormat="1" ht="19.5" hidden="1" thickBot="1" x14ac:dyDescent="0.35">
      <c r="B101" s="301"/>
      <c r="C101" s="119">
        <f t="shared" si="89"/>
        <v>0</v>
      </c>
      <c r="D101" s="113" t="s">
        <v>120</v>
      </c>
      <c r="E101" s="76" t="s">
        <v>51</v>
      </c>
      <c r="F101" s="733">
        <f t="shared" si="98"/>
        <v>0</v>
      </c>
      <c r="G101" s="733">
        <f t="shared" si="99"/>
        <v>0</v>
      </c>
      <c r="H101" s="733">
        <f t="shared" si="99"/>
        <v>0</v>
      </c>
      <c r="I101" s="733">
        <f t="shared" si="99"/>
        <v>0</v>
      </c>
      <c r="J101" s="733">
        <f t="shared" si="99"/>
        <v>0</v>
      </c>
      <c r="K101" s="733">
        <f t="shared" ref="K101:P101" si="102">K13*$E$91</f>
        <v>0</v>
      </c>
      <c r="L101" s="733">
        <f t="shared" si="102"/>
        <v>0</v>
      </c>
      <c r="M101" s="733">
        <f t="shared" si="102"/>
        <v>0</v>
      </c>
      <c r="N101" s="733">
        <f t="shared" si="102"/>
        <v>0</v>
      </c>
      <c r="O101" s="733">
        <f t="shared" si="102"/>
        <v>0</v>
      </c>
      <c r="P101" s="733">
        <f t="shared" si="102"/>
        <v>0</v>
      </c>
      <c r="Q101" s="734">
        <f t="shared" si="91"/>
        <v>0</v>
      </c>
      <c r="R101" s="733">
        <f t="shared" si="98"/>
        <v>0</v>
      </c>
      <c r="S101" s="733">
        <f t="shared" si="98"/>
        <v>0</v>
      </c>
      <c r="T101" s="733">
        <f t="shared" si="98"/>
        <v>0</v>
      </c>
      <c r="U101" s="733">
        <f t="shared" si="98"/>
        <v>0</v>
      </c>
    </row>
    <row r="102" spans="2:21" s="119" customFormat="1" ht="19.5" hidden="1" thickBot="1" x14ac:dyDescent="0.35">
      <c r="B102" s="301"/>
      <c r="C102" s="119">
        <f t="shared" si="89"/>
        <v>0</v>
      </c>
      <c r="D102" s="113" t="s">
        <v>121</v>
      </c>
      <c r="E102" s="76" t="s">
        <v>50</v>
      </c>
      <c r="F102" s="733">
        <f t="shared" si="98"/>
        <v>0</v>
      </c>
      <c r="G102" s="733">
        <f t="shared" si="99"/>
        <v>0</v>
      </c>
      <c r="H102" s="733">
        <f t="shared" si="99"/>
        <v>0</v>
      </c>
      <c r="I102" s="733">
        <f t="shared" si="99"/>
        <v>0</v>
      </c>
      <c r="J102" s="733">
        <f t="shared" si="99"/>
        <v>0</v>
      </c>
      <c r="K102" s="733">
        <f t="shared" ref="K102:P102" si="103">K14*$E$91</f>
        <v>0</v>
      </c>
      <c r="L102" s="733">
        <f t="shared" si="103"/>
        <v>0</v>
      </c>
      <c r="M102" s="733">
        <f t="shared" si="103"/>
        <v>0</v>
      </c>
      <c r="N102" s="733">
        <f t="shared" si="103"/>
        <v>0</v>
      </c>
      <c r="O102" s="733">
        <f t="shared" si="103"/>
        <v>0</v>
      </c>
      <c r="P102" s="733">
        <f t="shared" si="103"/>
        <v>0</v>
      </c>
      <c r="Q102" s="734">
        <f t="shared" si="91"/>
        <v>0</v>
      </c>
      <c r="R102" s="733">
        <f t="shared" si="98"/>
        <v>0</v>
      </c>
      <c r="S102" s="733">
        <f t="shared" si="98"/>
        <v>0</v>
      </c>
      <c r="T102" s="733">
        <f t="shared" si="98"/>
        <v>0</v>
      </c>
      <c r="U102" s="733">
        <f t="shared" si="98"/>
        <v>0</v>
      </c>
    </row>
    <row r="103" spans="2:21" s="119" customFormat="1" ht="19.5" hidden="1" thickBot="1" x14ac:dyDescent="0.35">
      <c r="B103" s="301"/>
      <c r="C103" s="119">
        <f t="shared" si="89"/>
        <v>0</v>
      </c>
      <c r="D103" s="113" t="s">
        <v>122</v>
      </c>
      <c r="E103" s="76" t="s">
        <v>49</v>
      </c>
      <c r="F103" s="733">
        <f t="shared" si="98"/>
        <v>0</v>
      </c>
      <c r="G103" s="733">
        <f t="shared" si="99"/>
        <v>0</v>
      </c>
      <c r="H103" s="733">
        <f t="shared" si="99"/>
        <v>0</v>
      </c>
      <c r="I103" s="733">
        <f t="shared" si="99"/>
        <v>0</v>
      </c>
      <c r="J103" s="733">
        <f t="shared" si="99"/>
        <v>0</v>
      </c>
      <c r="K103" s="733">
        <f t="shared" ref="K103:P103" si="104">K15*$E$91</f>
        <v>0</v>
      </c>
      <c r="L103" s="733">
        <f t="shared" si="104"/>
        <v>0</v>
      </c>
      <c r="M103" s="733">
        <f t="shared" si="104"/>
        <v>0</v>
      </c>
      <c r="N103" s="733">
        <f t="shared" si="104"/>
        <v>0</v>
      </c>
      <c r="O103" s="733">
        <f t="shared" si="104"/>
        <v>0</v>
      </c>
      <c r="P103" s="733">
        <f t="shared" si="104"/>
        <v>0</v>
      </c>
      <c r="Q103" s="734">
        <f t="shared" si="91"/>
        <v>0</v>
      </c>
      <c r="R103" s="733">
        <f t="shared" si="98"/>
        <v>0</v>
      </c>
      <c r="S103" s="733">
        <f t="shared" si="98"/>
        <v>0</v>
      </c>
      <c r="T103" s="733">
        <f t="shared" si="98"/>
        <v>0</v>
      </c>
      <c r="U103" s="733">
        <f t="shared" si="98"/>
        <v>0</v>
      </c>
    </row>
    <row r="104" spans="2:21" s="119" customFormat="1" ht="19.5" hidden="1" thickBot="1" x14ac:dyDescent="0.35">
      <c r="B104" s="301"/>
      <c r="C104" s="119">
        <f t="shared" si="89"/>
        <v>0</v>
      </c>
      <c r="D104" s="113" t="s">
        <v>123</v>
      </c>
      <c r="E104" s="76" t="s">
        <v>47</v>
      </c>
      <c r="F104" s="733">
        <f t="shared" si="98"/>
        <v>0</v>
      </c>
      <c r="G104" s="733">
        <f t="shared" si="99"/>
        <v>0</v>
      </c>
      <c r="H104" s="733">
        <f t="shared" si="99"/>
        <v>0</v>
      </c>
      <c r="I104" s="733">
        <f t="shared" si="99"/>
        <v>0</v>
      </c>
      <c r="J104" s="733">
        <f t="shared" si="99"/>
        <v>0</v>
      </c>
      <c r="K104" s="733">
        <f t="shared" ref="K104:P104" si="105">K16*$E$91</f>
        <v>0</v>
      </c>
      <c r="L104" s="733">
        <f t="shared" si="105"/>
        <v>0</v>
      </c>
      <c r="M104" s="733">
        <f t="shared" si="105"/>
        <v>0</v>
      </c>
      <c r="N104" s="733">
        <f t="shared" si="105"/>
        <v>0</v>
      </c>
      <c r="O104" s="733">
        <f t="shared" si="105"/>
        <v>0</v>
      </c>
      <c r="P104" s="733">
        <f t="shared" si="105"/>
        <v>0</v>
      </c>
      <c r="Q104" s="734">
        <f t="shared" si="91"/>
        <v>0</v>
      </c>
      <c r="R104" s="733">
        <f t="shared" si="98"/>
        <v>0</v>
      </c>
      <c r="S104" s="733">
        <f t="shared" si="98"/>
        <v>0</v>
      </c>
      <c r="T104" s="733">
        <f t="shared" si="98"/>
        <v>0</v>
      </c>
      <c r="U104" s="733">
        <f t="shared" si="98"/>
        <v>0</v>
      </c>
    </row>
    <row r="105" spans="2:21" s="119" customFormat="1" ht="19.5" hidden="1" thickBot="1" x14ac:dyDescent="0.35">
      <c r="B105" s="301"/>
      <c r="C105" s="119">
        <f t="shared" si="89"/>
        <v>0</v>
      </c>
      <c r="D105" s="114" t="s">
        <v>16</v>
      </c>
      <c r="E105" s="70" t="s">
        <v>77</v>
      </c>
      <c r="F105" s="733">
        <f t="shared" si="98"/>
        <v>0</v>
      </c>
      <c r="G105" s="733">
        <f t="shared" si="99"/>
        <v>0</v>
      </c>
      <c r="H105" s="733">
        <f t="shared" si="99"/>
        <v>0</v>
      </c>
      <c r="I105" s="733">
        <f t="shared" si="99"/>
        <v>0</v>
      </c>
      <c r="J105" s="733">
        <f t="shared" si="99"/>
        <v>0</v>
      </c>
      <c r="K105" s="733">
        <f t="shared" ref="K105:P105" si="106">K17*$E$91</f>
        <v>0</v>
      </c>
      <c r="L105" s="733">
        <f t="shared" si="106"/>
        <v>0</v>
      </c>
      <c r="M105" s="733">
        <f t="shared" si="106"/>
        <v>0</v>
      </c>
      <c r="N105" s="733">
        <f t="shared" si="106"/>
        <v>0</v>
      </c>
      <c r="O105" s="733">
        <f t="shared" si="106"/>
        <v>0</v>
      </c>
      <c r="P105" s="733">
        <f t="shared" si="106"/>
        <v>0</v>
      </c>
      <c r="Q105" s="734">
        <f t="shared" si="91"/>
        <v>0</v>
      </c>
      <c r="R105" s="733">
        <f t="shared" si="98"/>
        <v>0</v>
      </c>
      <c r="S105" s="733">
        <f t="shared" si="98"/>
        <v>0</v>
      </c>
      <c r="T105" s="733">
        <f t="shared" ca="1" si="98"/>
        <v>0</v>
      </c>
      <c r="U105" s="733">
        <f t="shared" ca="1" si="98"/>
        <v>0</v>
      </c>
    </row>
    <row r="106" spans="2:21" s="119" customFormat="1" ht="19.5" hidden="1" thickBot="1" x14ac:dyDescent="0.35">
      <c r="B106" s="301"/>
      <c r="C106" s="119">
        <f t="shared" si="89"/>
        <v>0</v>
      </c>
      <c r="D106" s="115" t="s">
        <v>124</v>
      </c>
      <c r="E106" s="116" t="s">
        <v>78</v>
      </c>
      <c r="F106" s="742">
        <f t="shared" ref="F106:U106" si="107">SUBTOTAL(9,F94:F105)</f>
        <v>0</v>
      </c>
      <c r="G106" s="742">
        <f>SUBTOTAL(9,G94:G105)</f>
        <v>0</v>
      </c>
      <c r="H106" s="742">
        <f>SUBTOTAL(9,H94:H105)</f>
        <v>0</v>
      </c>
      <c r="I106" s="742">
        <f>SUBTOTAL(9,I94:I105)</f>
        <v>0</v>
      </c>
      <c r="J106" s="742">
        <f>SUBTOTAL(9,J94:J105)</f>
        <v>0</v>
      </c>
      <c r="K106" s="742">
        <f t="shared" ref="K106:P106" si="108">SUBTOTAL(9,K94:K105)</f>
        <v>0</v>
      </c>
      <c r="L106" s="742">
        <f t="shared" si="108"/>
        <v>0</v>
      </c>
      <c r="M106" s="742">
        <f t="shared" si="108"/>
        <v>0</v>
      </c>
      <c r="N106" s="742">
        <f t="shared" si="108"/>
        <v>0</v>
      </c>
      <c r="O106" s="742">
        <f t="shared" si="108"/>
        <v>0</v>
      </c>
      <c r="P106" s="742">
        <f t="shared" si="108"/>
        <v>0</v>
      </c>
      <c r="Q106" s="743">
        <f>SUBTOTAL(9,Q94:Q105)</f>
        <v>0</v>
      </c>
      <c r="R106" s="742">
        <f t="shared" si="107"/>
        <v>0</v>
      </c>
      <c r="S106" s="742">
        <f t="shared" si="107"/>
        <v>0</v>
      </c>
      <c r="T106" s="742">
        <f t="shared" si="107"/>
        <v>0</v>
      </c>
      <c r="U106" s="742">
        <f t="shared" si="107"/>
        <v>0</v>
      </c>
    </row>
    <row r="107" spans="2:21" s="119" customFormat="1" ht="19.5" hidden="1" thickBot="1" x14ac:dyDescent="0.3">
      <c r="B107" s="340"/>
      <c r="D107" s="117"/>
      <c r="E107" s="117"/>
      <c r="F107" s="118"/>
      <c r="G107" s="118"/>
      <c r="I107" s="118"/>
      <c r="J107" s="118"/>
      <c r="K107" s="118"/>
      <c r="L107" s="118"/>
      <c r="O107" s="118"/>
      <c r="Q107" s="120"/>
      <c r="R107" s="117"/>
      <c r="S107" s="118"/>
      <c r="U107" s="120"/>
    </row>
    <row r="108" spans="2:21" s="119" customFormat="1" ht="75.75" hidden="1" thickBot="1" x14ac:dyDescent="0.3">
      <c r="B108" s="301"/>
      <c r="C108" s="119">
        <f>IF($E108&gt;0,1,0)</f>
        <v>0</v>
      </c>
      <c r="D108" s="96" t="str">
        <f>A9</f>
        <v>Cayuga</v>
      </c>
      <c r="E108" s="166">
        <f>IFERROR(SUMIF(A:A,D108,B:B),0)</f>
        <v>0</v>
      </c>
      <c r="F108" s="98" t="s">
        <v>356</v>
      </c>
      <c r="G108" s="98" t="s">
        <v>373</v>
      </c>
      <c r="H108" s="98" t="s">
        <v>358</v>
      </c>
      <c r="I108" s="98" t="s">
        <v>109</v>
      </c>
      <c r="J108" s="98" t="s">
        <v>111</v>
      </c>
      <c r="K108" s="98" t="s">
        <v>469</v>
      </c>
      <c r="L108" s="98" t="s">
        <v>470</v>
      </c>
      <c r="M108" s="98" t="s">
        <v>357</v>
      </c>
      <c r="N108" s="509" t="s">
        <v>471</v>
      </c>
      <c r="O108" s="98" t="s">
        <v>472</v>
      </c>
      <c r="P108" s="98" t="s">
        <v>110</v>
      </c>
      <c r="Q108" s="99" t="s">
        <v>116</v>
      </c>
      <c r="R108" s="98" t="s">
        <v>112</v>
      </c>
      <c r="S108" s="98" t="s">
        <v>113</v>
      </c>
      <c r="T108" s="98" t="s">
        <v>114</v>
      </c>
      <c r="U108" s="98" t="s">
        <v>115</v>
      </c>
    </row>
    <row r="109" spans="2:21" s="119" customFormat="1" ht="19.5" hidden="1" thickBot="1" x14ac:dyDescent="0.3">
      <c r="B109" s="301"/>
      <c r="C109" s="119">
        <f>C108</f>
        <v>0</v>
      </c>
      <c r="D109" s="101"/>
      <c r="E109" s="102"/>
      <c r="F109" s="84" t="s">
        <v>57</v>
      </c>
      <c r="G109" s="84" t="s">
        <v>56</v>
      </c>
      <c r="H109" s="84" t="s">
        <v>55</v>
      </c>
      <c r="I109" s="84" t="s">
        <v>54</v>
      </c>
      <c r="J109" s="84" t="s">
        <v>53</v>
      </c>
      <c r="K109" s="84" t="s">
        <v>52</v>
      </c>
      <c r="L109" s="84" t="s">
        <v>51</v>
      </c>
      <c r="M109" s="84" t="s">
        <v>50</v>
      </c>
      <c r="N109" s="84" t="s">
        <v>49</v>
      </c>
      <c r="O109" s="84" t="s">
        <v>47</v>
      </c>
      <c r="P109" s="84" t="s">
        <v>77</v>
      </c>
      <c r="Q109" s="83" t="s">
        <v>78</v>
      </c>
      <c r="R109" s="84" t="s">
        <v>79</v>
      </c>
      <c r="S109" s="84" t="s">
        <v>81</v>
      </c>
      <c r="T109" s="84" t="s">
        <v>83</v>
      </c>
      <c r="U109" s="84" t="s">
        <v>85</v>
      </c>
    </row>
    <row r="110" spans="2:21" s="119" customFormat="1" ht="19.5" hidden="1" thickBot="1" x14ac:dyDescent="0.35">
      <c r="B110" s="301"/>
      <c r="C110" s="119">
        <f t="shared" ref="C110:C123" si="109">C109</f>
        <v>0</v>
      </c>
      <c r="D110" s="103" t="s">
        <v>26</v>
      </c>
      <c r="E110" s="104"/>
      <c r="F110" s="745"/>
      <c r="G110" s="745"/>
      <c r="H110" s="746"/>
      <c r="I110" s="745"/>
      <c r="J110" s="745"/>
      <c r="K110" s="745"/>
      <c r="L110" s="745"/>
      <c r="M110" s="746"/>
      <c r="N110" s="746"/>
      <c r="O110" s="745"/>
      <c r="P110" s="746"/>
      <c r="Q110" s="747"/>
      <c r="R110" s="748"/>
      <c r="S110" s="745"/>
      <c r="T110" s="746"/>
      <c r="U110" s="749"/>
    </row>
    <row r="111" spans="2:21" s="119" customFormat="1" ht="19.5" hidden="1" thickBot="1" x14ac:dyDescent="0.3">
      <c r="B111" s="301"/>
      <c r="C111" s="119">
        <f t="shared" si="109"/>
        <v>0</v>
      </c>
      <c r="D111" s="109" t="s">
        <v>93</v>
      </c>
      <c r="E111" s="76" t="s">
        <v>57</v>
      </c>
      <c r="F111" s="733">
        <f>F6*$E$108</f>
        <v>0</v>
      </c>
      <c r="G111" s="733">
        <f>G6*$E$108</f>
        <v>0</v>
      </c>
      <c r="H111" s="733">
        <f>H6*$E$108</f>
        <v>0</v>
      </c>
      <c r="I111" s="733">
        <f>I6*$E$108</f>
        <v>0</v>
      </c>
      <c r="J111" s="733">
        <f>J6*$E$108</f>
        <v>0</v>
      </c>
      <c r="K111" s="733">
        <f t="shared" ref="K111:P111" si="110">K6*$E$108</f>
        <v>0</v>
      </c>
      <c r="L111" s="733">
        <f t="shared" si="110"/>
        <v>0</v>
      </c>
      <c r="M111" s="733">
        <f t="shared" si="110"/>
        <v>0</v>
      </c>
      <c r="N111" s="733">
        <f t="shared" si="110"/>
        <v>0</v>
      </c>
      <c r="O111" s="733">
        <f t="shared" si="110"/>
        <v>0</v>
      </c>
      <c r="P111" s="733">
        <f t="shared" si="110"/>
        <v>0</v>
      </c>
      <c r="Q111" s="734">
        <f t="shared" ref="Q111:Q122" si="111">SUM(F111:P111)</f>
        <v>0</v>
      </c>
      <c r="R111" s="733">
        <f t="shared" ref="R111:U111" si="112">R6*$E$108</f>
        <v>0</v>
      </c>
      <c r="S111" s="733">
        <f t="shared" si="112"/>
        <v>0</v>
      </c>
      <c r="T111" s="733">
        <f t="shared" ca="1" si="112"/>
        <v>0</v>
      </c>
      <c r="U111" s="733">
        <f t="shared" ca="1" si="112"/>
        <v>0</v>
      </c>
    </row>
    <row r="112" spans="2:21" s="119" customFormat="1" ht="19.5" hidden="1" thickBot="1" x14ac:dyDescent="0.3">
      <c r="B112" s="301"/>
      <c r="C112" s="119">
        <f t="shared" si="109"/>
        <v>0</v>
      </c>
      <c r="D112" s="110" t="s">
        <v>92</v>
      </c>
      <c r="E112" s="76" t="s">
        <v>56</v>
      </c>
      <c r="F112" s="733">
        <f t="shared" ref="F112:U114" si="113">F7*$E$108</f>
        <v>0</v>
      </c>
      <c r="G112" s="733">
        <f t="shared" ref="G112:J114" si="114">G7*$E$108</f>
        <v>0</v>
      </c>
      <c r="H112" s="733">
        <f t="shared" si="114"/>
        <v>0</v>
      </c>
      <c r="I112" s="733">
        <f t="shared" si="114"/>
        <v>0</v>
      </c>
      <c r="J112" s="733">
        <f t="shared" si="114"/>
        <v>0</v>
      </c>
      <c r="K112" s="733">
        <f t="shared" ref="K112:P112" si="115">K7*$E$108</f>
        <v>0</v>
      </c>
      <c r="L112" s="733">
        <f t="shared" si="115"/>
        <v>0</v>
      </c>
      <c r="M112" s="733">
        <f t="shared" si="115"/>
        <v>0</v>
      </c>
      <c r="N112" s="733">
        <f t="shared" si="115"/>
        <v>0</v>
      </c>
      <c r="O112" s="733">
        <f t="shared" si="115"/>
        <v>0</v>
      </c>
      <c r="P112" s="733">
        <f t="shared" si="115"/>
        <v>0</v>
      </c>
      <c r="Q112" s="734">
        <f t="shared" si="111"/>
        <v>0</v>
      </c>
      <c r="R112" s="733">
        <f t="shared" si="113"/>
        <v>0</v>
      </c>
      <c r="S112" s="733">
        <f t="shared" si="113"/>
        <v>0</v>
      </c>
      <c r="T112" s="733">
        <f t="shared" si="113"/>
        <v>0</v>
      </c>
      <c r="U112" s="733">
        <f t="shared" si="113"/>
        <v>0</v>
      </c>
    </row>
    <row r="113" spans="2:21" s="119" customFormat="1" ht="19.5" hidden="1" thickBot="1" x14ac:dyDescent="0.3">
      <c r="B113" s="301"/>
      <c r="C113" s="119">
        <f t="shared" si="109"/>
        <v>0</v>
      </c>
      <c r="D113" s="110" t="s">
        <v>91</v>
      </c>
      <c r="E113" s="76" t="s">
        <v>55</v>
      </c>
      <c r="F113" s="733">
        <f t="shared" si="113"/>
        <v>0</v>
      </c>
      <c r="G113" s="733">
        <f t="shared" si="114"/>
        <v>0</v>
      </c>
      <c r="H113" s="733">
        <f t="shared" si="114"/>
        <v>0</v>
      </c>
      <c r="I113" s="733">
        <f t="shared" si="114"/>
        <v>0</v>
      </c>
      <c r="J113" s="733">
        <f t="shared" si="114"/>
        <v>0</v>
      </c>
      <c r="K113" s="733">
        <f t="shared" ref="K113:P113" si="116">K8*$E$108</f>
        <v>0</v>
      </c>
      <c r="L113" s="733">
        <f t="shared" si="116"/>
        <v>0</v>
      </c>
      <c r="M113" s="733">
        <f t="shared" si="116"/>
        <v>0</v>
      </c>
      <c r="N113" s="733">
        <f t="shared" si="116"/>
        <v>0</v>
      </c>
      <c r="O113" s="733">
        <f t="shared" si="116"/>
        <v>0</v>
      </c>
      <c r="P113" s="733">
        <f t="shared" si="116"/>
        <v>0</v>
      </c>
      <c r="Q113" s="734">
        <f t="shared" si="111"/>
        <v>0</v>
      </c>
      <c r="R113" s="733">
        <f t="shared" si="113"/>
        <v>0</v>
      </c>
      <c r="S113" s="733">
        <f t="shared" si="113"/>
        <v>0</v>
      </c>
      <c r="T113" s="733">
        <f t="shared" ca="1" si="113"/>
        <v>0</v>
      </c>
      <c r="U113" s="733">
        <f t="shared" ca="1" si="113"/>
        <v>0</v>
      </c>
    </row>
    <row r="114" spans="2:21" s="119" customFormat="1" ht="19.5" hidden="1" thickBot="1" x14ac:dyDescent="0.3">
      <c r="B114" s="301"/>
      <c r="C114" s="119">
        <f t="shared" si="109"/>
        <v>0</v>
      </c>
      <c r="D114" s="111" t="s">
        <v>117</v>
      </c>
      <c r="E114" s="76" t="s">
        <v>54</v>
      </c>
      <c r="F114" s="733">
        <f t="shared" si="113"/>
        <v>0</v>
      </c>
      <c r="G114" s="733">
        <f t="shared" si="114"/>
        <v>0</v>
      </c>
      <c r="H114" s="733">
        <f t="shared" si="114"/>
        <v>0</v>
      </c>
      <c r="I114" s="733">
        <f t="shared" si="114"/>
        <v>0</v>
      </c>
      <c r="J114" s="733">
        <f t="shared" si="114"/>
        <v>0</v>
      </c>
      <c r="K114" s="733">
        <f t="shared" ref="K114:P114" si="117">K9*$E$108</f>
        <v>0</v>
      </c>
      <c r="L114" s="733">
        <f t="shared" si="117"/>
        <v>0</v>
      </c>
      <c r="M114" s="733">
        <f t="shared" si="117"/>
        <v>0</v>
      </c>
      <c r="N114" s="733">
        <f t="shared" si="117"/>
        <v>0</v>
      </c>
      <c r="O114" s="733">
        <f t="shared" si="117"/>
        <v>0</v>
      </c>
      <c r="P114" s="733">
        <f t="shared" si="117"/>
        <v>0</v>
      </c>
      <c r="Q114" s="734">
        <f t="shared" si="111"/>
        <v>0</v>
      </c>
      <c r="R114" s="733">
        <f t="shared" si="113"/>
        <v>0</v>
      </c>
      <c r="S114" s="733">
        <f t="shared" si="113"/>
        <v>0</v>
      </c>
      <c r="T114" s="733">
        <f t="shared" si="113"/>
        <v>0</v>
      </c>
      <c r="U114" s="733">
        <f t="shared" si="113"/>
        <v>0</v>
      </c>
    </row>
    <row r="115" spans="2:21" s="119" customFormat="1" ht="19.5" hidden="1" thickBot="1" x14ac:dyDescent="0.35">
      <c r="B115" s="301"/>
      <c r="C115" s="119">
        <f t="shared" si="109"/>
        <v>0</v>
      </c>
      <c r="D115" s="112" t="s">
        <v>31</v>
      </c>
      <c r="E115" s="76"/>
      <c r="F115" s="750"/>
      <c r="G115" s="735"/>
      <c r="H115" s="736"/>
      <c r="I115" s="735"/>
      <c r="J115" s="735"/>
      <c r="K115" s="735"/>
      <c r="L115" s="735"/>
      <c r="M115" s="735"/>
      <c r="N115" s="735"/>
      <c r="O115" s="735"/>
      <c r="P115" s="735"/>
      <c r="Q115" s="734">
        <f t="shared" si="111"/>
        <v>0</v>
      </c>
      <c r="R115" s="739"/>
      <c r="S115" s="735"/>
      <c r="T115" s="740"/>
      <c r="U115" s="741"/>
    </row>
    <row r="116" spans="2:21" s="119" customFormat="1" ht="19.5" hidden="1" thickBot="1" x14ac:dyDescent="0.35">
      <c r="B116" s="301"/>
      <c r="C116" s="119">
        <f t="shared" si="109"/>
        <v>0</v>
      </c>
      <c r="D116" s="113" t="s">
        <v>118</v>
      </c>
      <c r="E116" s="76" t="s">
        <v>53</v>
      </c>
      <c r="F116" s="733">
        <f t="shared" ref="F116:U122" si="118">F11*$E$108</f>
        <v>0</v>
      </c>
      <c r="G116" s="733">
        <f t="shared" ref="G116:J122" si="119">G11*$E$108</f>
        <v>0</v>
      </c>
      <c r="H116" s="733">
        <f t="shared" si="119"/>
        <v>0</v>
      </c>
      <c r="I116" s="733">
        <f t="shared" si="119"/>
        <v>0</v>
      </c>
      <c r="J116" s="733">
        <f t="shared" si="119"/>
        <v>0</v>
      </c>
      <c r="K116" s="733">
        <f t="shared" ref="K116:P116" si="120">K11*$E$108</f>
        <v>0</v>
      </c>
      <c r="L116" s="733">
        <f t="shared" si="120"/>
        <v>0</v>
      </c>
      <c r="M116" s="733">
        <f t="shared" si="120"/>
        <v>0</v>
      </c>
      <c r="N116" s="733">
        <f t="shared" si="120"/>
        <v>0</v>
      </c>
      <c r="O116" s="733">
        <f t="shared" si="120"/>
        <v>0</v>
      </c>
      <c r="P116" s="733">
        <f t="shared" si="120"/>
        <v>0</v>
      </c>
      <c r="Q116" s="734">
        <f t="shared" si="111"/>
        <v>0</v>
      </c>
      <c r="R116" s="733">
        <f t="shared" si="118"/>
        <v>0</v>
      </c>
      <c r="S116" s="733">
        <f t="shared" si="118"/>
        <v>0</v>
      </c>
      <c r="T116" s="733">
        <f t="shared" si="118"/>
        <v>0</v>
      </c>
      <c r="U116" s="733">
        <f t="shared" si="118"/>
        <v>0</v>
      </c>
    </row>
    <row r="117" spans="2:21" s="119" customFormat="1" ht="19.5" hidden="1" thickBot="1" x14ac:dyDescent="0.35">
      <c r="B117" s="301"/>
      <c r="C117" s="119">
        <f t="shared" si="109"/>
        <v>0</v>
      </c>
      <c r="D117" s="113" t="s">
        <v>119</v>
      </c>
      <c r="E117" s="76" t="s">
        <v>52</v>
      </c>
      <c r="F117" s="733">
        <f t="shared" si="118"/>
        <v>0</v>
      </c>
      <c r="G117" s="733">
        <f t="shared" si="119"/>
        <v>0</v>
      </c>
      <c r="H117" s="733">
        <f t="shared" si="119"/>
        <v>0</v>
      </c>
      <c r="I117" s="733">
        <f t="shared" si="119"/>
        <v>0</v>
      </c>
      <c r="J117" s="733">
        <f t="shared" si="119"/>
        <v>0</v>
      </c>
      <c r="K117" s="733">
        <f t="shared" ref="K117:P117" si="121">K12*$E$108</f>
        <v>0</v>
      </c>
      <c r="L117" s="733">
        <f t="shared" si="121"/>
        <v>0</v>
      </c>
      <c r="M117" s="733">
        <f t="shared" si="121"/>
        <v>0</v>
      </c>
      <c r="N117" s="733">
        <f t="shared" si="121"/>
        <v>0</v>
      </c>
      <c r="O117" s="733">
        <f t="shared" si="121"/>
        <v>0</v>
      </c>
      <c r="P117" s="733">
        <f t="shared" si="121"/>
        <v>0</v>
      </c>
      <c r="Q117" s="734">
        <f t="shared" si="111"/>
        <v>0</v>
      </c>
      <c r="R117" s="733">
        <f t="shared" si="118"/>
        <v>0</v>
      </c>
      <c r="S117" s="733">
        <f t="shared" si="118"/>
        <v>0</v>
      </c>
      <c r="T117" s="733">
        <f t="shared" si="118"/>
        <v>0</v>
      </c>
      <c r="U117" s="733">
        <f t="shared" si="118"/>
        <v>0</v>
      </c>
    </row>
    <row r="118" spans="2:21" s="119" customFormat="1" ht="19.5" hidden="1" thickBot="1" x14ac:dyDescent="0.35">
      <c r="B118" s="301"/>
      <c r="C118" s="119">
        <f t="shared" si="109"/>
        <v>0</v>
      </c>
      <c r="D118" s="113" t="s">
        <v>120</v>
      </c>
      <c r="E118" s="76" t="s">
        <v>51</v>
      </c>
      <c r="F118" s="733">
        <f t="shared" si="118"/>
        <v>0</v>
      </c>
      <c r="G118" s="733">
        <f t="shared" si="119"/>
        <v>0</v>
      </c>
      <c r="H118" s="733">
        <f t="shared" si="119"/>
        <v>0</v>
      </c>
      <c r="I118" s="733">
        <f t="shared" si="119"/>
        <v>0</v>
      </c>
      <c r="J118" s="733">
        <f t="shared" si="119"/>
        <v>0</v>
      </c>
      <c r="K118" s="733">
        <f t="shared" ref="K118:P118" si="122">K13*$E$108</f>
        <v>0</v>
      </c>
      <c r="L118" s="733">
        <f t="shared" si="122"/>
        <v>0</v>
      </c>
      <c r="M118" s="733">
        <f t="shared" si="122"/>
        <v>0</v>
      </c>
      <c r="N118" s="733">
        <f t="shared" si="122"/>
        <v>0</v>
      </c>
      <c r="O118" s="733">
        <f t="shared" si="122"/>
        <v>0</v>
      </c>
      <c r="P118" s="733">
        <f t="shared" si="122"/>
        <v>0</v>
      </c>
      <c r="Q118" s="734">
        <f t="shared" si="111"/>
        <v>0</v>
      </c>
      <c r="R118" s="733">
        <f t="shared" si="118"/>
        <v>0</v>
      </c>
      <c r="S118" s="733">
        <f t="shared" si="118"/>
        <v>0</v>
      </c>
      <c r="T118" s="733">
        <f t="shared" si="118"/>
        <v>0</v>
      </c>
      <c r="U118" s="733">
        <f t="shared" si="118"/>
        <v>0</v>
      </c>
    </row>
    <row r="119" spans="2:21" s="119" customFormat="1" ht="19.5" hidden="1" thickBot="1" x14ac:dyDescent="0.35">
      <c r="B119" s="301"/>
      <c r="C119" s="119">
        <f t="shared" si="109"/>
        <v>0</v>
      </c>
      <c r="D119" s="113" t="s">
        <v>121</v>
      </c>
      <c r="E119" s="76" t="s">
        <v>50</v>
      </c>
      <c r="F119" s="733">
        <f t="shared" si="118"/>
        <v>0</v>
      </c>
      <c r="G119" s="733">
        <f t="shared" si="119"/>
        <v>0</v>
      </c>
      <c r="H119" s="733">
        <f t="shared" si="119"/>
        <v>0</v>
      </c>
      <c r="I119" s="733">
        <f t="shared" si="119"/>
        <v>0</v>
      </c>
      <c r="J119" s="733">
        <f t="shared" si="119"/>
        <v>0</v>
      </c>
      <c r="K119" s="733">
        <f t="shared" ref="K119:P119" si="123">K14*$E$108</f>
        <v>0</v>
      </c>
      <c r="L119" s="733">
        <f t="shared" si="123"/>
        <v>0</v>
      </c>
      <c r="M119" s="733">
        <f t="shared" si="123"/>
        <v>0</v>
      </c>
      <c r="N119" s="733">
        <f t="shared" si="123"/>
        <v>0</v>
      </c>
      <c r="O119" s="733">
        <f t="shared" si="123"/>
        <v>0</v>
      </c>
      <c r="P119" s="733">
        <f t="shared" si="123"/>
        <v>0</v>
      </c>
      <c r="Q119" s="734">
        <f t="shared" si="111"/>
        <v>0</v>
      </c>
      <c r="R119" s="733">
        <f t="shared" si="118"/>
        <v>0</v>
      </c>
      <c r="S119" s="733">
        <f t="shared" si="118"/>
        <v>0</v>
      </c>
      <c r="T119" s="733">
        <f t="shared" si="118"/>
        <v>0</v>
      </c>
      <c r="U119" s="733">
        <f t="shared" si="118"/>
        <v>0</v>
      </c>
    </row>
    <row r="120" spans="2:21" s="119" customFormat="1" ht="19.5" hidden="1" thickBot="1" x14ac:dyDescent="0.35">
      <c r="B120" s="301"/>
      <c r="C120" s="119">
        <f t="shared" si="109"/>
        <v>0</v>
      </c>
      <c r="D120" s="113" t="s">
        <v>122</v>
      </c>
      <c r="E120" s="76" t="s">
        <v>49</v>
      </c>
      <c r="F120" s="733">
        <f t="shared" si="118"/>
        <v>0</v>
      </c>
      <c r="G120" s="733">
        <f t="shared" si="119"/>
        <v>0</v>
      </c>
      <c r="H120" s="733">
        <f t="shared" si="119"/>
        <v>0</v>
      </c>
      <c r="I120" s="733">
        <f t="shared" si="119"/>
        <v>0</v>
      </c>
      <c r="J120" s="733">
        <f t="shared" si="119"/>
        <v>0</v>
      </c>
      <c r="K120" s="733">
        <f t="shared" ref="K120:P120" si="124">K15*$E$108</f>
        <v>0</v>
      </c>
      <c r="L120" s="733">
        <f t="shared" si="124"/>
        <v>0</v>
      </c>
      <c r="M120" s="733">
        <f t="shared" si="124"/>
        <v>0</v>
      </c>
      <c r="N120" s="733">
        <f t="shared" si="124"/>
        <v>0</v>
      </c>
      <c r="O120" s="733">
        <f t="shared" si="124"/>
        <v>0</v>
      </c>
      <c r="P120" s="733">
        <f t="shared" si="124"/>
        <v>0</v>
      </c>
      <c r="Q120" s="734">
        <f t="shared" si="111"/>
        <v>0</v>
      </c>
      <c r="R120" s="733">
        <f t="shared" si="118"/>
        <v>0</v>
      </c>
      <c r="S120" s="733">
        <f t="shared" si="118"/>
        <v>0</v>
      </c>
      <c r="T120" s="733">
        <f t="shared" si="118"/>
        <v>0</v>
      </c>
      <c r="U120" s="733">
        <f t="shared" si="118"/>
        <v>0</v>
      </c>
    </row>
    <row r="121" spans="2:21" s="119" customFormat="1" ht="19.5" hidden="1" thickBot="1" x14ac:dyDescent="0.35">
      <c r="B121" s="301"/>
      <c r="C121" s="119">
        <f t="shared" si="109"/>
        <v>0</v>
      </c>
      <c r="D121" s="113" t="s">
        <v>123</v>
      </c>
      <c r="E121" s="76" t="s">
        <v>47</v>
      </c>
      <c r="F121" s="733">
        <f t="shared" si="118"/>
        <v>0</v>
      </c>
      <c r="G121" s="733">
        <f t="shared" si="119"/>
        <v>0</v>
      </c>
      <c r="H121" s="733">
        <f t="shared" si="119"/>
        <v>0</v>
      </c>
      <c r="I121" s="733">
        <f t="shared" si="119"/>
        <v>0</v>
      </c>
      <c r="J121" s="733">
        <f t="shared" si="119"/>
        <v>0</v>
      </c>
      <c r="K121" s="733">
        <f t="shared" ref="K121:P121" si="125">K16*$E$108</f>
        <v>0</v>
      </c>
      <c r="L121" s="733">
        <f t="shared" si="125"/>
        <v>0</v>
      </c>
      <c r="M121" s="733">
        <f t="shared" si="125"/>
        <v>0</v>
      </c>
      <c r="N121" s="733">
        <f t="shared" si="125"/>
        <v>0</v>
      </c>
      <c r="O121" s="733">
        <f t="shared" si="125"/>
        <v>0</v>
      </c>
      <c r="P121" s="733">
        <f t="shared" si="125"/>
        <v>0</v>
      </c>
      <c r="Q121" s="734">
        <f t="shared" si="111"/>
        <v>0</v>
      </c>
      <c r="R121" s="733">
        <f t="shared" si="118"/>
        <v>0</v>
      </c>
      <c r="S121" s="733">
        <f t="shared" si="118"/>
        <v>0</v>
      </c>
      <c r="T121" s="733">
        <f t="shared" si="118"/>
        <v>0</v>
      </c>
      <c r="U121" s="733">
        <f t="shared" si="118"/>
        <v>0</v>
      </c>
    </row>
    <row r="122" spans="2:21" s="119" customFormat="1" ht="19.5" hidden="1" thickBot="1" x14ac:dyDescent="0.35">
      <c r="B122" s="301"/>
      <c r="C122" s="119">
        <f t="shared" si="109"/>
        <v>0</v>
      </c>
      <c r="D122" s="114" t="s">
        <v>16</v>
      </c>
      <c r="E122" s="70" t="s">
        <v>77</v>
      </c>
      <c r="F122" s="733">
        <f t="shared" si="118"/>
        <v>0</v>
      </c>
      <c r="G122" s="733">
        <f t="shared" si="119"/>
        <v>0</v>
      </c>
      <c r="H122" s="733">
        <f t="shared" si="119"/>
        <v>0</v>
      </c>
      <c r="I122" s="733">
        <f t="shared" si="119"/>
        <v>0</v>
      </c>
      <c r="J122" s="733">
        <f t="shared" si="119"/>
        <v>0</v>
      </c>
      <c r="K122" s="733">
        <f t="shared" ref="K122:P122" si="126">K17*$E$108</f>
        <v>0</v>
      </c>
      <c r="L122" s="733">
        <f t="shared" si="126"/>
        <v>0</v>
      </c>
      <c r="M122" s="733">
        <f t="shared" si="126"/>
        <v>0</v>
      </c>
      <c r="N122" s="733">
        <f t="shared" si="126"/>
        <v>0</v>
      </c>
      <c r="O122" s="733">
        <f t="shared" si="126"/>
        <v>0</v>
      </c>
      <c r="P122" s="733">
        <f t="shared" si="126"/>
        <v>0</v>
      </c>
      <c r="Q122" s="734">
        <f t="shared" si="111"/>
        <v>0</v>
      </c>
      <c r="R122" s="733">
        <f t="shared" si="118"/>
        <v>0</v>
      </c>
      <c r="S122" s="733">
        <f t="shared" si="118"/>
        <v>0</v>
      </c>
      <c r="T122" s="733">
        <f t="shared" ca="1" si="118"/>
        <v>0</v>
      </c>
      <c r="U122" s="733">
        <f t="shared" ca="1" si="118"/>
        <v>0</v>
      </c>
    </row>
    <row r="123" spans="2:21" s="119" customFormat="1" ht="19.5" hidden="1" thickBot="1" x14ac:dyDescent="0.35">
      <c r="B123" s="301"/>
      <c r="C123" s="119">
        <f t="shared" si="109"/>
        <v>0</v>
      </c>
      <c r="D123" s="115" t="s">
        <v>124</v>
      </c>
      <c r="E123" s="116" t="s">
        <v>78</v>
      </c>
      <c r="F123" s="742">
        <f t="shared" ref="F123:U123" si="127">SUBTOTAL(9,F111:F122)</f>
        <v>0</v>
      </c>
      <c r="G123" s="742">
        <f>SUBTOTAL(9,G111:G122)</f>
        <v>0</v>
      </c>
      <c r="H123" s="742">
        <f>SUBTOTAL(9,H111:H122)</f>
        <v>0</v>
      </c>
      <c r="I123" s="742">
        <f>SUBTOTAL(9,I111:I122)</f>
        <v>0</v>
      </c>
      <c r="J123" s="742">
        <f>SUBTOTAL(9,J111:J122)</f>
        <v>0</v>
      </c>
      <c r="K123" s="742">
        <f t="shared" ref="K123:P123" si="128">SUBTOTAL(9,K111:K122)</f>
        <v>0</v>
      </c>
      <c r="L123" s="742">
        <f t="shared" si="128"/>
        <v>0</v>
      </c>
      <c r="M123" s="742">
        <f t="shared" si="128"/>
        <v>0</v>
      </c>
      <c r="N123" s="742">
        <f t="shared" si="128"/>
        <v>0</v>
      </c>
      <c r="O123" s="742">
        <f t="shared" si="128"/>
        <v>0</v>
      </c>
      <c r="P123" s="742">
        <f t="shared" si="128"/>
        <v>0</v>
      </c>
      <c r="Q123" s="743">
        <f>SUBTOTAL(9,Q111:Q122)</f>
        <v>0</v>
      </c>
      <c r="R123" s="742">
        <f t="shared" si="127"/>
        <v>0</v>
      </c>
      <c r="S123" s="742">
        <f t="shared" si="127"/>
        <v>0</v>
      </c>
      <c r="T123" s="742">
        <f t="shared" si="127"/>
        <v>0</v>
      </c>
      <c r="U123" s="742">
        <f t="shared" si="127"/>
        <v>0</v>
      </c>
    </row>
    <row r="124" spans="2:21" s="119" customFormat="1" ht="19.5" hidden="1" thickBot="1" x14ac:dyDescent="0.3">
      <c r="B124" s="340"/>
      <c r="D124" s="117"/>
      <c r="E124" s="117"/>
      <c r="F124" s="118"/>
      <c r="G124" s="118"/>
      <c r="I124" s="118"/>
      <c r="J124" s="118"/>
      <c r="K124" s="118"/>
      <c r="L124" s="118"/>
      <c r="O124" s="118"/>
      <c r="Q124" s="120"/>
      <c r="R124" s="117"/>
      <c r="S124" s="118"/>
      <c r="U124" s="120"/>
    </row>
    <row r="125" spans="2:21" s="119" customFormat="1" ht="75.75" hidden="1" thickBot="1" x14ac:dyDescent="0.3">
      <c r="B125" s="301"/>
      <c r="C125" s="119">
        <f>IF($E125&gt;0,1,0)</f>
        <v>0</v>
      </c>
      <c r="D125" s="96" t="str">
        <f>A10</f>
        <v>Chautauqua</v>
      </c>
      <c r="E125" s="166">
        <f>IFERROR(SUMIF(A:A,D125,B:B),0)</f>
        <v>0</v>
      </c>
      <c r="F125" s="98" t="s">
        <v>356</v>
      </c>
      <c r="G125" s="98" t="s">
        <v>373</v>
      </c>
      <c r="H125" s="98" t="s">
        <v>358</v>
      </c>
      <c r="I125" s="98" t="s">
        <v>109</v>
      </c>
      <c r="J125" s="98" t="s">
        <v>111</v>
      </c>
      <c r="K125" s="98" t="s">
        <v>469</v>
      </c>
      <c r="L125" s="98" t="s">
        <v>470</v>
      </c>
      <c r="M125" s="98" t="s">
        <v>357</v>
      </c>
      <c r="N125" s="509" t="s">
        <v>471</v>
      </c>
      <c r="O125" s="98" t="s">
        <v>472</v>
      </c>
      <c r="P125" s="98" t="s">
        <v>110</v>
      </c>
      <c r="Q125" s="99" t="s">
        <v>116</v>
      </c>
      <c r="R125" s="98" t="s">
        <v>112</v>
      </c>
      <c r="S125" s="98" t="s">
        <v>113</v>
      </c>
      <c r="T125" s="98" t="s">
        <v>114</v>
      </c>
      <c r="U125" s="98" t="s">
        <v>115</v>
      </c>
    </row>
    <row r="126" spans="2:21" s="119" customFormat="1" ht="19.5" hidden="1" thickBot="1" x14ac:dyDescent="0.3">
      <c r="B126" s="301"/>
      <c r="C126" s="119">
        <f>C125</f>
        <v>0</v>
      </c>
      <c r="D126" s="101"/>
      <c r="E126" s="102"/>
      <c r="F126" s="84" t="s">
        <v>57</v>
      </c>
      <c r="G126" s="84" t="s">
        <v>56</v>
      </c>
      <c r="H126" s="84" t="s">
        <v>55</v>
      </c>
      <c r="I126" s="84" t="s">
        <v>54</v>
      </c>
      <c r="J126" s="84" t="s">
        <v>53</v>
      </c>
      <c r="K126" s="84" t="s">
        <v>52</v>
      </c>
      <c r="L126" s="84" t="s">
        <v>51</v>
      </c>
      <c r="M126" s="84" t="s">
        <v>50</v>
      </c>
      <c r="N126" s="84" t="s">
        <v>49</v>
      </c>
      <c r="O126" s="84" t="s">
        <v>47</v>
      </c>
      <c r="P126" s="84" t="s">
        <v>77</v>
      </c>
      <c r="Q126" s="83" t="s">
        <v>78</v>
      </c>
      <c r="R126" s="84" t="s">
        <v>79</v>
      </c>
      <c r="S126" s="84" t="s">
        <v>81</v>
      </c>
      <c r="T126" s="84" t="s">
        <v>83</v>
      </c>
      <c r="U126" s="84" t="s">
        <v>85</v>
      </c>
    </row>
    <row r="127" spans="2:21" s="119" customFormat="1" ht="19.5" hidden="1" thickBot="1" x14ac:dyDescent="0.35">
      <c r="B127" s="301"/>
      <c r="C127" s="119">
        <f t="shared" ref="C127:C140" si="129">C126</f>
        <v>0</v>
      </c>
      <c r="D127" s="103" t="s">
        <v>26</v>
      </c>
      <c r="E127" s="104"/>
      <c r="F127" s="745"/>
      <c r="G127" s="745"/>
      <c r="H127" s="746"/>
      <c r="I127" s="745"/>
      <c r="J127" s="745"/>
      <c r="K127" s="745"/>
      <c r="L127" s="745"/>
      <c r="M127" s="746"/>
      <c r="N127" s="746"/>
      <c r="O127" s="745"/>
      <c r="P127" s="746"/>
      <c r="Q127" s="747"/>
      <c r="R127" s="748"/>
      <c r="S127" s="745"/>
      <c r="T127" s="746"/>
      <c r="U127" s="749"/>
    </row>
    <row r="128" spans="2:21" s="119" customFormat="1" ht="19.5" hidden="1" thickBot="1" x14ac:dyDescent="0.3">
      <c r="B128" s="301"/>
      <c r="C128" s="119">
        <f t="shared" si="129"/>
        <v>0</v>
      </c>
      <c r="D128" s="109" t="s">
        <v>93</v>
      </c>
      <c r="E128" s="76" t="s">
        <v>57</v>
      </c>
      <c r="F128" s="733">
        <f>F6*$E$125</f>
        <v>0</v>
      </c>
      <c r="G128" s="733">
        <f>G6*$E$125</f>
        <v>0</v>
      </c>
      <c r="H128" s="733">
        <f>H6*$E$125</f>
        <v>0</v>
      </c>
      <c r="I128" s="733">
        <f>I6*$E$125</f>
        <v>0</v>
      </c>
      <c r="J128" s="733">
        <f>J6*$E$125</f>
        <v>0</v>
      </c>
      <c r="K128" s="733">
        <f t="shared" ref="K128:P128" si="130">K6*$E$125</f>
        <v>0</v>
      </c>
      <c r="L128" s="733">
        <f t="shared" si="130"/>
        <v>0</v>
      </c>
      <c r="M128" s="733">
        <f t="shared" si="130"/>
        <v>0</v>
      </c>
      <c r="N128" s="733">
        <f t="shared" si="130"/>
        <v>0</v>
      </c>
      <c r="O128" s="733">
        <f t="shared" si="130"/>
        <v>0</v>
      </c>
      <c r="P128" s="733">
        <f t="shared" si="130"/>
        <v>0</v>
      </c>
      <c r="Q128" s="734">
        <f t="shared" ref="Q128:Q139" si="131">SUM(F128:P128)</f>
        <v>0</v>
      </c>
      <c r="R128" s="733">
        <f t="shared" ref="R128:U128" si="132">R6*$E$125</f>
        <v>0</v>
      </c>
      <c r="S128" s="733">
        <f t="shared" si="132"/>
        <v>0</v>
      </c>
      <c r="T128" s="733">
        <f t="shared" ca="1" si="132"/>
        <v>0</v>
      </c>
      <c r="U128" s="733">
        <f t="shared" ca="1" si="132"/>
        <v>0</v>
      </c>
    </row>
    <row r="129" spans="2:21" s="119" customFormat="1" ht="19.5" hidden="1" thickBot="1" x14ac:dyDescent="0.3">
      <c r="B129" s="301"/>
      <c r="C129" s="119">
        <f t="shared" si="129"/>
        <v>0</v>
      </c>
      <c r="D129" s="110" t="s">
        <v>92</v>
      </c>
      <c r="E129" s="76" t="s">
        <v>56</v>
      </c>
      <c r="F129" s="733">
        <f t="shared" ref="F129:U131" si="133">F7*$E$125</f>
        <v>0</v>
      </c>
      <c r="G129" s="733">
        <f t="shared" ref="G129:J131" si="134">G7*$E$125</f>
        <v>0</v>
      </c>
      <c r="H129" s="733">
        <f t="shared" si="134"/>
        <v>0</v>
      </c>
      <c r="I129" s="733">
        <f t="shared" si="134"/>
        <v>0</v>
      </c>
      <c r="J129" s="733">
        <f t="shared" si="134"/>
        <v>0</v>
      </c>
      <c r="K129" s="733">
        <f t="shared" ref="K129:P129" si="135">K7*$E$125</f>
        <v>0</v>
      </c>
      <c r="L129" s="733">
        <f t="shared" si="135"/>
        <v>0</v>
      </c>
      <c r="M129" s="733">
        <f t="shared" si="135"/>
        <v>0</v>
      </c>
      <c r="N129" s="733">
        <f t="shared" si="135"/>
        <v>0</v>
      </c>
      <c r="O129" s="733">
        <f t="shared" si="135"/>
        <v>0</v>
      </c>
      <c r="P129" s="733">
        <f t="shared" si="135"/>
        <v>0</v>
      </c>
      <c r="Q129" s="734">
        <f t="shared" si="131"/>
        <v>0</v>
      </c>
      <c r="R129" s="733">
        <f t="shared" si="133"/>
        <v>0</v>
      </c>
      <c r="S129" s="733">
        <f t="shared" si="133"/>
        <v>0</v>
      </c>
      <c r="T129" s="733">
        <f t="shared" si="133"/>
        <v>0</v>
      </c>
      <c r="U129" s="733">
        <f t="shared" si="133"/>
        <v>0</v>
      </c>
    </row>
    <row r="130" spans="2:21" s="119" customFormat="1" ht="19.5" hidden="1" thickBot="1" x14ac:dyDescent="0.3">
      <c r="B130" s="301"/>
      <c r="C130" s="119">
        <f t="shared" si="129"/>
        <v>0</v>
      </c>
      <c r="D130" s="110" t="s">
        <v>91</v>
      </c>
      <c r="E130" s="76" t="s">
        <v>55</v>
      </c>
      <c r="F130" s="733">
        <f t="shared" si="133"/>
        <v>0</v>
      </c>
      <c r="G130" s="733">
        <f t="shared" si="134"/>
        <v>0</v>
      </c>
      <c r="H130" s="733">
        <f t="shared" si="134"/>
        <v>0</v>
      </c>
      <c r="I130" s="733">
        <f t="shared" si="134"/>
        <v>0</v>
      </c>
      <c r="J130" s="733">
        <f t="shared" si="134"/>
        <v>0</v>
      </c>
      <c r="K130" s="733">
        <f t="shared" ref="K130:P130" si="136">K8*$E$125</f>
        <v>0</v>
      </c>
      <c r="L130" s="733">
        <f t="shared" si="136"/>
        <v>0</v>
      </c>
      <c r="M130" s="733">
        <f t="shared" si="136"/>
        <v>0</v>
      </c>
      <c r="N130" s="733">
        <f t="shared" si="136"/>
        <v>0</v>
      </c>
      <c r="O130" s="733">
        <f t="shared" si="136"/>
        <v>0</v>
      </c>
      <c r="P130" s="733">
        <f t="shared" si="136"/>
        <v>0</v>
      </c>
      <c r="Q130" s="734">
        <f t="shared" si="131"/>
        <v>0</v>
      </c>
      <c r="R130" s="733">
        <f t="shared" si="133"/>
        <v>0</v>
      </c>
      <c r="S130" s="733">
        <f t="shared" si="133"/>
        <v>0</v>
      </c>
      <c r="T130" s="733">
        <f t="shared" ca="1" si="133"/>
        <v>0</v>
      </c>
      <c r="U130" s="733">
        <f t="shared" ca="1" si="133"/>
        <v>0</v>
      </c>
    </row>
    <row r="131" spans="2:21" s="119" customFormat="1" ht="19.5" hidden="1" thickBot="1" x14ac:dyDescent="0.3">
      <c r="B131" s="301"/>
      <c r="C131" s="119">
        <f t="shared" si="129"/>
        <v>0</v>
      </c>
      <c r="D131" s="111" t="s">
        <v>117</v>
      </c>
      <c r="E131" s="76" t="s">
        <v>54</v>
      </c>
      <c r="F131" s="733">
        <f t="shared" si="133"/>
        <v>0</v>
      </c>
      <c r="G131" s="733">
        <f t="shared" si="134"/>
        <v>0</v>
      </c>
      <c r="H131" s="733">
        <f t="shared" si="134"/>
        <v>0</v>
      </c>
      <c r="I131" s="733">
        <f t="shared" si="134"/>
        <v>0</v>
      </c>
      <c r="J131" s="733">
        <f t="shared" si="134"/>
        <v>0</v>
      </c>
      <c r="K131" s="733">
        <f t="shared" ref="K131:P131" si="137">K9*$E$125</f>
        <v>0</v>
      </c>
      <c r="L131" s="733">
        <f t="shared" si="137"/>
        <v>0</v>
      </c>
      <c r="M131" s="733">
        <f t="shared" si="137"/>
        <v>0</v>
      </c>
      <c r="N131" s="733">
        <f t="shared" si="137"/>
        <v>0</v>
      </c>
      <c r="O131" s="733">
        <f t="shared" si="137"/>
        <v>0</v>
      </c>
      <c r="P131" s="733">
        <f t="shared" si="137"/>
        <v>0</v>
      </c>
      <c r="Q131" s="734">
        <f t="shared" si="131"/>
        <v>0</v>
      </c>
      <c r="R131" s="733">
        <f t="shared" si="133"/>
        <v>0</v>
      </c>
      <c r="S131" s="733">
        <f t="shared" si="133"/>
        <v>0</v>
      </c>
      <c r="T131" s="733">
        <f t="shared" si="133"/>
        <v>0</v>
      </c>
      <c r="U131" s="733">
        <f t="shared" si="133"/>
        <v>0</v>
      </c>
    </row>
    <row r="132" spans="2:21" s="119" customFormat="1" ht="19.5" hidden="1" thickBot="1" x14ac:dyDescent="0.35">
      <c r="B132" s="301"/>
      <c r="C132" s="119">
        <f t="shared" si="129"/>
        <v>0</v>
      </c>
      <c r="D132" s="112" t="s">
        <v>31</v>
      </c>
      <c r="E132" s="76"/>
      <c r="F132" s="750"/>
      <c r="G132" s="735"/>
      <c r="H132" s="736"/>
      <c r="I132" s="735"/>
      <c r="J132" s="735"/>
      <c r="K132" s="735"/>
      <c r="L132" s="735"/>
      <c r="M132" s="735"/>
      <c r="N132" s="735"/>
      <c r="O132" s="735"/>
      <c r="P132" s="735"/>
      <c r="Q132" s="734">
        <f t="shared" si="131"/>
        <v>0</v>
      </c>
      <c r="R132" s="739"/>
      <c r="S132" s="735"/>
      <c r="T132" s="740"/>
      <c r="U132" s="741"/>
    </row>
    <row r="133" spans="2:21" s="119" customFormat="1" ht="19.5" hidden="1" thickBot="1" x14ac:dyDescent="0.35">
      <c r="B133" s="301"/>
      <c r="C133" s="119">
        <f t="shared" si="129"/>
        <v>0</v>
      </c>
      <c r="D133" s="113" t="s">
        <v>118</v>
      </c>
      <c r="E133" s="76" t="s">
        <v>53</v>
      </c>
      <c r="F133" s="733">
        <f t="shared" ref="F133:U139" si="138">F11*$E$125</f>
        <v>0</v>
      </c>
      <c r="G133" s="733">
        <f t="shared" ref="G133:J139" si="139">G11*$E$125</f>
        <v>0</v>
      </c>
      <c r="H133" s="733">
        <f t="shared" si="139"/>
        <v>0</v>
      </c>
      <c r="I133" s="733">
        <f t="shared" si="139"/>
        <v>0</v>
      </c>
      <c r="J133" s="733">
        <f t="shared" si="139"/>
        <v>0</v>
      </c>
      <c r="K133" s="733">
        <f t="shared" ref="K133:P133" si="140">K11*$E$125</f>
        <v>0</v>
      </c>
      <c r="L133" s="733">
        <f t="shared" si="140"/>
        <v>0</v>
      </c>
      <c r="M133" s="733">
        <f t="shared" si="140"/>
        <v>0</v>
      </c>
      <c r="N133" s="733">
        <f t="shared" si="140"/>
        <v>0</v>
      </c>
      <c r="O133" s="733">
        <f t="shared" si="140"/>
        <v>0</v>
      </c>
      <c r="P133" s="733">
        <f t="shared" si="140"/>
        <v>0</v>
      </c>
      <c r="Q133" s="734">
        <f t="shared" si="131"/>
        <v>0</v>
      </c>
      <c r="R133" s="733">
        <f t="shared" si="138"/>
        <v>0</v>
      </c>
      <c r="S133" s="733">
        <f t="shared" si="138"/>
        <v>0</v>
      </c>
      <c r="T133" s="733">
        <f t="shared" si="138"/>
        <v>0</v>
      </c>
      <c r="U133" s="733">
        <f t="shared" si="138"/>
        <v>0</v>
      </c>
    </row>
    <row r="134" spans="2:21" s="119" customFormat="1" ht="19.5" hidden="1" thickBot="1" x14ac:dyDescent="0.35">
      <c r="B134" s="301"/>
      <c r="C134" s="119">
        <f t="shared" si="129"/>
        <v>0</v>
      </c>
      <c r="D134" s="113" t="s">
        <v>119</v>
      </c>
      <c r="E134" s="76" t="s">
        <v>52</v>
      </c>
      <c r="F134" s="733">
        <f t="shared" si="138"/>
        <v>0</v>
      </c>
      <c r="G134" s="733">
        <f t="shared" si="139"/>
        <v>0</v>
      </c>
      <c r="H134" s="733">
        <f t="shared" si="139"/>
        <v>0</v>
      </c>
      <c r="I134" s="733">
        <f t="shared" si="139"/>
        <v>0</v>
      </c>
      <c r="J134" s="733">
        <f t="shared" si="139"/>
        <v>0</v>
      </c>
      <c r="K134" s="733">
        <f t="shared" ref="K134:P134" si="141">K12*$E$125</f>
        <v>0</v>
      </c>
      <c r="L134" s="733">
        <f t="shared" si="141"/>
        <v>0</v>
      </c>
      <c r="M134" s="733">
        <f t="shared" si="141"/>
        <v>0</v>
      </c>
      <c r="N134" s="733">
        <f t="shared" si="141"/>
        <v>0</v>
      </c>
      <c r="O134" s="733">
        <f t="shared" si="141"/>
        <v>0</v>
      </c>
      <c r="P134" s="733">
        <f t="shared" si="141"/>
        <v>0</v>
      </c>
      <c r="Q134" s="734">
        <f t="shared" si="131"/>
        <v>0</v>
      </c>
      <c r="R134" s="733">
        <f t="shared" si="138"/>
        <v>0</v>
      </c>
      <c r="S134" s="733">
        <f t="shared" si="138"/>
        <v>0</v>
      </c>
      <c r="T134" s="733">
        <f t="shared" si="138"/>
        <v>0</v>
      </c>
      <c r="U134" s="733">
        <f t="shared" si="138"/>
        <v>0</v>
      </c>
    </row>
    <row r="135" spans="2:21" s="119" customFormat="1" ht="19.5" hidden="1" thickBot="1" x14ac:dyDescent="0.35">
      <c r="B135" s="301"/>
      <c r="C135" s="119">
        <f t="shared" si="129"/>
        <v>0</v>
      </c>
      <c r="D135" s="113" t="s">
        <v>120</v>
      </c>
      <c r="E135" s="76" t="s">
        <v>51</v>
      </c>
      <c r="F135" s="733">
        <f t="shared" si="138"/>
        <v>0</v>
      </c>
      <c r="G135" s="733">
        <f t="shared" si="139"/>
        <v>0</v>
      </c>
      <c r="H135" s="733">
        <f t="shared" si="139"/>
        <v>0</v>
      </c>
      <c r="I135" s="733">
        <f t="shared" si="139"/>
        <v>0</v>
      </c>
      <c r="J135" s="733">
        <f t="shared" si="139"/>
        <v>0</v>
      </c>
      <c r="K135" s="733">
        <f t="shared" ref="K135:P135" si="142">K13*$E$125</f>
        <v>0</v>
      </c>
      <c r="L135" s="733">
        <f t="shared" si="142"/>
        <v>0</v>
      </c>
      <c r="M135" s="733">
        <f t="shared" si="142"/>
        <v>0</v>
      </c>
      <c r="N135" s="733">
        <f t="shared" si="142"/>
        <v>0</v>
      </c>
      <c r="O135" s="733">
        <f t="shared" si="142"/>
        <v>0</v>
      </c>
      <c r="P135" s="733">
        <f t="shared" si="142"/>
        <v>0</v>
      </c>
      <c r="Q135" s="734">
        <f t="shared" si="131"/>
        <v>0</v>
      </c>
      <c r="R135" s="733">
        <f t="shared" si="138"/>
        <v>0</v>
      </c>
      <c r="S135" s="733">
        <f t="shared" si="138"/>
        <v>0</v>
      </c>
      <c r="T135" s="733">
        <f t="shared" si="138"/>
        <v>0</v>
      </c>
      <c r="U135" s="733">
        <f t="shared" si="138"/>
        <v>0</v>
      </c>
    </row>
    <row r="136" spans="2:21" s="119" customFormat="1" ht="19.5" hidden="1" thickBot="1" x14ac:dyDescent="0.35">
      <c r="B136" s="301"/>
      <c r="C136" s="119">
        <f t="shared" si="129"/>
        <v>0</v>
      </c>
      <c r="D136" s="113" t="s">
        <v>121</v>
      </c>
      <c r="E136" s="76" t="s">
        <v>50</v>
      </c>
      <c r="F136" s="733">
        <f t="shared" si="138"/>
        <v>0</v>
      </c>
      <c r="G136" s="733">
        <f t="shared" si="139"/>
        <v>0</v>
      </c>
      <c r="H136" s="733">
        <f t="shared" si="139"/>
        <v>0</v>
      </c>
      <c r="I136" s="733">
        <f t="shared" si="139"/>
        <v>0</v>
      </c>
      <c r="J136" s="733">
        <f t="shared" si="139"/>
        <v>0</v>
      </c>
      <c r="K136" s="733">
        <f t="shared" ref="K136:P136" si="143">K14*$E$125</f>
        <v>0</v>
      </c>
      <c r="L136" s="733">
        <f t="shared" si="143"/>
        <v>0</v>
      </c>
      <c r="M136" s="733">
        <f t="shared" si="143"/>
        <v>0</v>
      </c>
      <c r="N136" s="733">
        <f t="shared" si="143"/>
        <v>0</v>
      </c>
      <c r="O136" s="733">
        <f t="shared" si="143"/>
        <v>0</v>
      </c>
      <c r="P136" s="733">
        <f t="shared" si="143"/>
        <v>0</v>
      </c>
      <c r="Q136" s="734">
        <f t="shared" si="131"/>
        <v>0</v>
      </c>
      <c r="R136" s="733">
        <f t="shared" si="138"/>
        <v>0</v>
      </c>
      <c r="S136" s="733">
        <f t="shared" si="138"/>
        <v>0</v>
      </c>
      <c r="T136" s="733">
        <f t="shared" si="138"/>
        <v>0</v>
      </c>
      <c r="U136" s="733">
        <f t="shared" si="138"/>
        <v>0</v>
      </c>
    </row>
    <row r="137" spans="2:21" s="119" customFormat="1" ht="19.5" hidden="1" thickBot="1" x14ac:dyDescent="0.35">
      <c r="B137" s="301"/>
      <c r="C137" s="119">
        <f t="shared" si="129"/>
        <v>0</v>
      </c>
      <c r="D137" s="113" t="s">
        <v>122</v>
      </c>
      <c r="E137" s="76" t="s">
        <v>49</v>
      </c>
      <c r="F137" s="733">
        <f t="shared" si="138"/>
        <v>0</v>
      </c>
      <c r="G137" s="733">
        <f t="shared" si="139"/>
        <v>0</v>
      </c>
      <c r="H137" s="733">
        <f t="shared" si="139"/>
        <v>0</v>
      </c>
      <c r="I137" s="733">
        <f t="shared" si="139"/>
        <v>0</v>
      </c>
      <c r="J137" s="733">
        <f t="shared" si="139"/>
        <v>0</v>
      </c>
      <c r="K137" s="733">
        <f t="shared" ref="K137:P137" si="144">K15*$E$125</f>
        <v>0</v>
      </c>
      <c r="L137" s="733">
        <f t="shared" si="144"/>
        <v>0</v>
      </c>
      <c r="M137" s="733">
        <f t="shared" si="144"/>
        <v>0</v>
      </c>
      <c r="N137" s="733">
        <f t="shared" si="144"/>
        <v>0</v>
      </c>
      <c r="O137" s="733">
        <f t="shared" si="144"/>
        <v>0</v>
      </c>
      <c r="P137" s="733">
        <f t="shared" si="144"/>
        <v>0</v>
      </c>
      <c r="Q137" s="734">
        <f t="shared" si="131"/>
        <v>0</v>
      </c>
      <c r="R137" s="733">
        <f t="shared" si="138"/>
        <v>0</v>
      </c>
      <c r="S137" s="733">
        <f t="shared" si="138"/>
        <v>0</v>
      </c>
      <c r="T137" s="733">
        <f t="shared" si="138"/>
        <v>0</v>
      </c>
      <c r="U137" s="733">
        <f t="shared" si="138"/>
        <v>0</v>
      </c>
    </row>
    <row r="138" spans="2:21" s="119" customFormat="1" ht="19.5" hidden="1" thickBot="1" x14ac:dyDescent="0.35">
      <c r="B138" s="301"/>
      <c r="C138" s="119">
        <f t="shared" si="129"/>
        <v>0</v>
      </c>
      <c r="D138" s="113" t="s">
        <v>123</v>
      </c>
      <c r="E138" s="76" t="s">
        <v>47</v>
      </c>
      <c r="F138" s="733">
        <f t="shared" si="138"/>
        <v>0</v>
      </c>
      <c r="G138" s="733">
        <f t="shared" si="139"/>
        <v>0</v>
      </c>
      <c r="H138" s="733">
        <f t="shared" si="139"/>
        <v>0</v>
      </c>
      <c r="I138" s="733">
        <f t="shared" si="139"/>
        <v>0</v>
      </c>
      <c r="J138" s="733">
        <f t="shared" si="139"/>
        <v>0</v>
      </c>
      <c r="K138" s="733">
        <f t="shared" ref="K138:P138" si="145">K16*$E$125</f>
        <v>0</v>
      </c>
      <c r="L138" s="733">
        <f t="shared" si="145"/>
        <v>0</v>
      </c>
      <c r="M138" s="733">
        <f t="shared" si="145"/>
        <v>0</v>
      </c>
      <c r="N138" s="733">
        <f t="shared" si="145"/>
        <v>0</v>
      </c>
      <c r="O138" s="733">
        <f t="shared" si="145"/>
        <v>0</v>
      </c>
      <c r="P138" s="733">
        <f t="shared" si="145"/>
        <v>0</v>
      </c>
      <c r="Q138" s="734">
        <f t="shared" si="131"/>
        <v>0</v>
      </c>
      <c r="R138" s="733">
        <f t="shared" si="138"/>
        <v>0</v>
      </c>
      <c r="S138" s="733">
        <f t="shared" si="138"/>
        <v>0</v>
      </c>
      <c r="T138" s="733">
        <f t="shared" si="138"/>
        <v>0</v>
      </c>
      <c r="U138" s="733">
        <f t="shared" si="138"/>
        <v>0</v>
      </c>
    </row>
    <row r="139" spans="2:21" s="119" customFormat="1" ht="19.5" hidden="1" thickBot="1" x14ac:dyDescent="0.35">
      <c r="B139" s="301"/>
      <c r="C139" s="119">
        <f t="shared" si="129"/>
        <v>0</v>
      </c>
      <c r="D139" s="114" t="s">
        <v>16</v>
      </c>
      <c r="E139" s="70" t="s">
        <v>77</v>
      </c>
      <c r="F139" s="733">
        <f t="shared" si="138"/>
        <v>0</v>
      </c>
      <c r="G139" s="733">
        <f t="shared" si="139"/>
        <v>0</v>
      </c>
      <c r="H139" s="733">
        <f t="shared" si="139"/>
        <v>0</v>
      </c>
      <c r="I139" s="733">
        <f t="shared" si="139"/>
        <v>0</v>
      </c>
      <c r="J139" s="733">
        <f t="shared" si="139"/>
        <v>0</v>
      </c>
      <c r="K139" s="733">
        <f t="shared" ref="K139:P139" si="146">K17*$E$125</f>
        <v>0</v>
      </c>
      <c r="L139" s="733">
        <f t="shared" si="146"/>
        <v>0</v>
      </c>
      <c r="M139" s="733">
        <f t="shared" si="146"/>
        <v>0</v>
      </c>
      <c r="N139" s="733">
        <f t="shared" si="146"/>
        <v>0</v>
      </c>
      <c r="O139" s="733">
        <f t="shared" si="146"/>
        <v>0</v>
      </c>
      <c r="P139" s="733">
        <f t="shared" si="146"/>
        <v>0</v>
      </c>
      <c r="Q139" s="734">
        <f t="shared" si="131"/>
        <v>0</v>
      </c>
      <c r="R139" s="733">
        <f t="shared" si="138"/>
        <v>0</v>
      </c>
      <c r="S139" s="733">
        <f t="shared" si="138"/>
        <v>0</v>
      </c>
      <c r="T139" s="733">
        <f t="shared" ca="1" si="138"/>
        <v>0</v>
      </c>
      <c r="U139" s="733">
        <f t="shared" ca="1" si="138"/>
        <v>0</v>
      </c>
    </row>
    <row r="140" spans="2:21" s="119" customFormat="1" ht="19.5" hidden="1" thickBot="1" x14ac:dyDescent="0.35">
      <c r="B140" s="301"/>
      <c r="C140" s="119">
        <f t="shared" si="129"/>
        <v>0</v>
      </c>
      <c r="D140" s="115" t="s">
        <v>124</v>
      </c>
      <c r="E140" s="116" t="s">
        <v>78</v>
      </c>
      <c r="F140" s="742">
        <f t="shared" ref="F140:U140" si="147">SUBTOTAL(9,F128:F139)</f>
        <v>0</v>
      </c>
      <c r="G140" s="742">
        <f>SUBTOTAL(9,G128:G139)</f>
        <v>0</v>
      </c>
      <c r="H140" s="742">
        <f>SUBTOTAL(9,H128:H139)</f>
        <v>0</v>
      </c>
      <c r="I140" s="742">
        <f>SUBTOTAL(9,I128:I139)</f>
        <v>0</v>
      </c>
      <c r="J140" s="742">
        <f>SUBTOTAL(9,J128:J139)</f>
        <v>0</v>
      </c>
      <c r="K140" s="742">
        <f t="shared" ref="K140:P140" si="148">SUBTOTAL(9,K128:K139)</f>
        <v>0</v>
      </c>
      <c r="L140" s="742">
        <f t="shared" si="148"/>
        <v>0</v>
      </c>
      <c r="M140" s="742">
        <f t="shared" si="148"/>
        <v>0</v>
      </c>
      <c r="N140" s="742">
        <f t="shared" si="148"/>
        <v>0</v>
      </c>
      <c r="O140" s="742">
        <f t="shared" si="148"/>
        <v>0</v>
      </c>
      <c r="P140" s="742">
        <f t="shared" si="148"/>
        <v>0</v>
      </c>
      <c r="Q140" s="743">
        <f>SUBTOTAL(9,Q128:Q139)</f>
        <v>0</v>
      </c>
      <c r="R140" s="742">
        <f t="shared" si="147"/>
        <v>0</v>
      </c>
      <c r="S140" s="742">
        <f t="shared" si="147"/>
        <v>0</v>
      </c>
      <c r="T140" s="742">
        <f t="shared" si="147"/>
        <v>0</v>
      </c>
      <c r="U140" s="742">
        <f t="shared" si="147"/>
        <v>0</v>
      </c>
    </row>
    <row r="141" spans="2:21" s="119" customFormat="1" ht="19.5" hidden="1" thickBot="1" x14ac:dyDescent="0.3">
      <c r="B141" s="340"/>
      <c r="D141" s="117"/>
      <c r="E141" s="117"/>
      <c r="F141" s="118"/>
      <c r="G141" s="118"/>
      <c r="I141" s="118"/>
      <c r="J141" s="118"/>
      <c r="K141" s="118"/>
      <c r="L141" s="118"/>
      <c r="O141" s="118"/>
      <c r="Q141" s="120"/>
      <c r="R141" s="117"/>
      <c r="S141" s="118"/>
      <c r="U141" s="120"/>
    </row>
    <row r="142" spans="2:21" s="119" customFormat="1" ht="75.75" hidden="1" thickBot="1" x14ac:dyDescent="0.3">
      <c r="B142" s="301"/>
      <c r="C142" s="119">
        <f>IF($E142&gt;0,1,0)</f>
        <v>0</v>
      </c>
      <c r="D142" s="96" t="str">
        <f>A11</f>
        <v>Chemung</v>
      </c>
      <c r="E142" s="166">
        <f>IFERROR(SUMIF(A:A,D142,B:B),0)</f>
        <v>0</v>
      </c>
      <c r="F142" s="98" t="s">
        <v>356</v>
      </c>
      <c r="G142" s="98" t="s">
        <v>373</v>
      </c>
      <c r="H142" s="98" t="s">
        <v>358</v>
      </c>
      <c r="I142" s="98" t="s">
        <v>109</v>
      </c>
      <c r="J142" s="98" t="s">
        <v>111</v>
      </c>
      <c r="K142" s="98" t="s">
        <v>469</v>
      </c>
      <c r="L142" s="98" t="s">
        <v>470</v>
      </c>
      <c r="M142" s="98" t="s">
        <v>357</v>
      </c>
      <c r="N142" s="509" t="s">
        <v>471</v>
      </c>
      <c r="O142" s="98" t="s">
        <v>472</v>
      </c>
      <c r="P142" s="98" t="s">
        <v>110</v>
      </c>
      <c r="Q142" s="99" t="s">
        <v>116</v>
      </c>
      <c r="R142" s="98" t="s">
        <v>112</v>
      </c>
      <c r="S142" s="98" t="s">
        <v>113</v>
      </c>
      <c r="T142" s="98" t="s">
        <v>114</v>
      </c>
      <c r="U142" s="98" t="s">
        <v>115</v>
      </c>
    </row>
    <row r="143" spans="2:21" s="119" customFormat="1" ht="19.5" hidden="1" thickBot="1" x14ac:dyDescent="0.3">
      <c r="B143" s="301"/>
      <c r="C143" s="119">
        <f>C142</f>
        <v>0</v>
      </c>
      <c r="D143" s="101"/>
      <c r="E143" s="102"/>
      <c r="F143" s="84" t="s">
        <v>57</v>
      </c>
      <c r="G143" s="84" t="s">
        <v>56</v>
      </c>
      <c r="H143" s="84" t="s">
        <v>55</v>
      </c>
      <c r="I143" s="84" t="s">
        <v>54</v>
      </c>
      <c r="J143" s="84" t="s">
        <v>53</v>
      </c>
      <c r="K143" s="84" t="s">
        <v>52</v>
      </c>
      <c r="L143" s="84" t="s">
        <v>51</v>
      </c>
      <c r="M143" s="84" t="s">
        <v>50</v>
      </c>
      <c r="N143" s="84" t="s">
        <v>49</v>
      </c>
      <c r="O143" s="84" t="s">
        <v>47</v>
      </c>
      <c r="P143" s="84" t="s">
        <v>77</v>
      </c>
      <c r="Q143" s="83" t="s">
        <v>78</v>
      </c>
      <c r="R143" s="84" t="s">
        <v>79</v>
      </c>
      <c r="S143" s="84" t="s">
        <v>81</v>
      </c>
      <c r="T143" s="84" t="s">
        <v>83</v>
      </c>
      <c r="U143" s="84" t="s">
        <v>85</v>
      </c>
    </row>
    <row r="144" spans="2:21" s="119" customFormat="1" ht="19.5" hidden="1" thickBot="1" x14ac:dyDescent="0.35">
      <c r="B144" s="301"/>
      <c r="C144" s="119">
        <f t="shared" ref="C144:C157" si="149">C143</f>
        <v>0</v>
      </c>
      <c r="D144" s="103" t="s">
        <v>26</v>
      </c>
      <c r="E144" s="104"/>
      <c r="F144" s="745"/>
      <c r="G144" s="745"/>
      <c r="H144" s="746"/>
      <c r="I144" s="745"/>
      <c r="J144" s="745"/>
      <c r="K144" s="745"/>
      <c r="L144" s="745"/>
      <c r="M144" s="746"/>
      <c r="N144" s="746"/>
      <c r="O144" s="745"/>
      <c r="P144" s="746"/>
      <c r="Q144" s="747"/>
      <c r="R144" s="748"/>
      <c r="S144" s="745"/>
      <c r="T144" s="746"/>
      <c r="U144" s="749"/>
    </row>
    <row r="145" spans="2:21" s="119" customFormat="1" ht="19.5" hidden="1" thickBot="1" x14ac:dyDescent="0.3">
      <c r="B145" s="301"/>
      <c r="C145" s="119">
        <f t="shared" si="149"/>
        <v>0</v>
      </c>
      <c r="D145" s="109" t="s">
        <v>93</v>
      </c>
      <c r="E145" s="76" t="s">
        <v>57</v>
      </c>
      <c r="F145" s="733">
        <f>F6*$E$142</f>
        <v>0</v>
      </c>
      <c r="G145" s="733">
        <f>G6*$E$142</f>
        <v>0</v>
      </c>
      <c r="H145" s="733">
        <f>H6*$E$142</f>
        <v>0</v>
      </c>
      <c r="I145" s="733">
        <f>I6*$E$142</f>
        <v>0</v>
      </c>
      <c r="J145" s="733">
        <f>J6*$E$142</f>
        <v>0</v>
      </c>
      <c r="K145" s="733">
        <f t="shared" ref="K145:P145" si="150">K6*$E$142</f>
        <v>0</v>
      </c>
      <c r="L145" s="733">
        <f t="shared" si="150"/>
        <v>0</v>
      </c>
      <c r="M145" s="733">
        <f t="shared" si="150"/>
        <v>0</v>
      </c>
      <c r="N145" s="733">
        <f t="shared" si="150"/>
        <v>0</v>
      </c>
      <c r="O145" s="733">
        <f t="shared" si="150"/>
        <v>0</v>
      </c>
      <c r="P145" s="733">
        <f t="shared" si="150"/>
        <v>0</v>
      </c>
      <c r="Q145" s="734">
        <f t="shared" ref="Q145:Q156" si="151">SUM(F145:P145)</f>
        <v>0</v>
      </c>
      <c r="R145" s="733">
        <f t="shared" ref="R145:U145" si="152">R6*$E$142</f>
        <v>0</v>
      </c>
      <c r="S145" s="733">
        <f t="shared" si="152"/>
        <v>0</v>
      </c>
      <c r="T145" s="733">
        <f t="shared" ca="1" si="152"/>
        <v>0</v>
      </c>
      <c r="U145" s="733">
        <f t="shared" ca="1" si="152"/>
        <v>0</v>
      </c>
    </row>
    <row r="146" spans="2:21" s="119" customFormat="1" ht="19.5" hidden="1" thickBot="1" x14ac:dyDescent="0.3">
      <c r="B146" s="301"/>
      <c r="C146" s="119">
        <f t="shared" si="149"/>
        <v>0</v>
      </c>
      <c r="D146" s="110" t="s">
        <v>92</v>
      </c>
      <c r="E146" s="76" t="s">
        <v>56</v>
      </c>
      <c r="F146" s="733">
        <f t="shared" ref="F146:U148" si="153">F7*$E$142</f>
        <v>0</v>
      </c>
      <c r="G146" s="733">
        <f t="shared" ref="G146:J148" si="154">G7*$E$142</f>
        <v>0</v>
      </c>
      <c r="H146" s="733">
        <f t="shared" si="154"/>
        <v>0</v>
      </c>
      <c r="I146" s="733">
        <f t="shared" si="154"/>
        <v>0</v>
      </c>
      <c r="J146" s="733">
        <f t="shared" si="154"/>
        <v>0</v>
      </c>
      <c r="K146" s="733">
        <f t="shared" ref="K146:P146" si="155">K7*$E$142</f>
        <v>0</v>
      </c>
      <c r="L146" s="733">
        <f t="shared" si="155"/>
        <v>0</v>
      </c>
      <c r="M146" s="733">
        <f t="shared" si="155"/>
        <v>0</v>
      </c>
      <c r="N146" s="733">
        <f t="shared" si="155"/>
        <v>0</v>
      </c>
      <c r="O146" s="733">
        <f t="shared" si="155"/>
        <v>0</v>
      </c>
      <c r="P146" s="733">
        <f t="shared" si="155"/>
        <v>0</v>
      </c>
      <c r="Q146" s="734">
        <f t="shared" si="151"/>
        <v>0</v>
      </c>
      <c r="R146" s="733">
        <f t="shared" si="153"/>
        <v>0</v>
      </c>
      <c r="S146" s="733">
        <f t="shared" si="153"/>
        <v>0</v>
      </c>
      <c r="T146" s="733">
        <f t="shared" si="153"/>
        <v>0</v>
      </c>
      <c r="U146" s="733">
        <f t="shared" si="153"/>
        <v>0</v>
      </c>
    </row>
    <row r="147" spans="2:21" s="119" customFormat="1" ht="19.5" hidden="1" thickBot="1" x14ac:dyDescent="0.3">
      <c r="B147" s="301"/>
      <c r="C147" s="119">
        <f t="shared" si="149"/>
        <v>0</v>
      </c>
      <c r="D147" s="110" t="s">
        <v>91</v>
      </c>
      <c r="E147" s="76" t="s">
        <v>55</v>
      </c>
      <c r="F147" s="733">
        <f t="shared" si="153"/>
        <v>0</v>
      </c>
      <c r="G147" s="733">
        <f t="shared" si="154"/>
        <v>0</v>
      </c>
      <c r="H147" s="733">
        <f t="shared" si="154"/>
        <v>0</v>
      </c>
      <c r="I147" s="733">
        <f t="shared" si="154"/>
        <v>0</v>
      </c>
      <c r="J147" s="733">
        <f t="shared" si="154"/>
        <v>0</v>
      </c>
      <c r="K147" s="733">
        <f t="shared" ref="K147:P147" si="156">K8*$E$142</f>
        <v>0</v>
      </c>
      <c r="L147" s="733">
        <f t="shared" si="156"/>
        <v>0</v>
      </c>
      <c r="M147" s="733">
        <f t="shared" si="156"/>
        <v>0</v>
      </c>
      <c r="N147" s="733">
        <f t="shared" si="156"/>
        <v>0</v>
      </c>
      <c r="O147" s="733">
        <f t="shared" si="156"/>
        <v>0</v>
      </c>
      <c r="P147" s="733">
        <f t="shared" si="156"/>
        <v>0</v>
      </c>
      <c r="Q147" s="734">
        <f t="shared" si="151"/>
        <v>0</v>
      </c>
      <c r="R147" s="733">
        <f t="shared" si="153"/>
        <v>0</v>
      </c>
      <c r="S147" s="733">
        <f t="shared" si="153"/>
        <v>0</v>
      </c>
      <c r="T147" s="733">
        <f t="shared" ca="1" si="153"/>
        <v>0</v>
      </c>
      <c r="U147" s="733">
        <f t="shared" ca="1" si="153"/>
        <v>0</v>
      </c>
    </row>
    <row r="148" spans="2:21" s="119" customFormat="1" ht="19.5" hidden="1" thickBot="1" x14ac:dyDescent="0.3">
      <c r="B148" s="301"/>
      <c r="C148" s="119">
        <f t="shared" si="149"/>
        <v>0</v>
      </c>
      <c r="D148" s="111" t="s">
        <v>117</v>
      </c>
      <c r="E148" s="76" t="s">
        <v>54</v>
      </c>
      <c r="F148" s="733">
        <f t="shared" si="153"/>
        <v>0</v>
      </c>
      <c r="G148" s="733">
        <f t="shared" si="154"/>
        <v>0</v>
      </c>
      <c r="H148" s="733">
        <f t="shared" si="154"/>
        <v>0</v>
      </c>
      <c r="I148" s="733">
        <f t="shared" si="154"/>
        <v>0</v>
      </c>
      <c r="J148" s="733">
        <f t="shared" si="154"/>
        <v>0</v>
      </c>
      <c r="K148" s="733">
        <f t="shared" ref="K148:P148" si="157">K9*$E$142</f>
        <v>0</v>
      </c>
      <c r="L148" s="733">
        <f t="shared" si="157"/>
        <v>0</v>
      </c>
      <c r="M148" s="733">
        <f t="shared" si="157"/>
        <v>0</v>
      </c>
      <c r="N148" s="733">
        <f t="shared" si="157"/>
        <v>0</v>
      </c>
      <c r="O148" s="733">
        <f t="shared" si="157"/>
        <v>0</v>
      </c>
      <c r="P148" s="733">
        <f t="shared" si="157"/>
        <v>0</v>
      </c>
      <c r="Q148" s="734">
        <f t="shared" si="151"/>
        <v>0</v>
      </c>
      <c r="R148" s="733">
        <f t="shared" si="153"/>
        <v>0</v>
      </c>
      <c r="S148" s="733">
        <f t="shared" si="153"/>
        <v>0</v>
      </c>
      <c r="T148" s="733">
        <f t="shared" si="153"/>
        <v>0</v>
      </c>
      <c r="U148" s="733">
        <f t="shared" si="153"/>
        <v>0</v>
      </c>
    </row>
    <row r="149" spans="2:21" s="119" customFormat="1" ht="19.5" hidden="1" thickBot="1" x14ac:dyDescent="0.35">
      <c r="B149" s="301"/>
      <c r="C149" s="119">
        <f t="shared" si="149"/>
        <v>0</v>
      </c>
      <c r="D149" s="112" t="s">
        <v>31</v>
      </c>
      <c r="E149" s="76"/>
      <c r="F149" s="750"/>
      <c r="G149" s="735"/>
      <c r="H149" s="736"/>
      <c r="I149" s="735"/>
      <c r="J149" s="735"/>
      <c r="K149" s="735"/>
      <c r="L149" s="735"/>
      <c r="M149" s="735"/>
      <c r="N149" s="735"/>
      <c r="O149" s="735"/>
      <c r="P149" s="735"/>
      <c r="Q149" s="734">
        <f t="shared" si="151"/>
        <v>0</v>
      </c>
      <c r="R149" s="739"/>
      <c r="S149" s="735"/>
      <c r="T149" s="740"/>
      <c r="U149" s="741"/>
    </row>
    <row r="150" spans="2:21" s="119" customFormat="1" ht="19.5" hidden="1" thickBot="1" x14ac:dyDescent="0.35">
      <c r="B150" s="301"/>
      <c r="C150" s="119">
        <f t="shared" si="149"/>
        <v>0</v>
      </c>
      <c r="D150" s="113" t="s">
        <v>118</v>
      </c>
      <c r="E150" s="76" t="s">
        <v>53</v>
      </c>
      <c r="F150" s="733">
        <f t="shared" ref="F150:U156" si="158">F11*$E$142</f>
        <v>0</v>
      </c>
      <c r="G150" s="733">
        <f t="shared" ref="G150:J156" si="159">G11*$E$142</f>
        <v>0</v>
      </c>
      <c r="H150" s="733">
        <f t="shared" si="159"/>
        <v>0</v>
      </c>
      <c r="I150" s="733">
        <f t="shared" si="159"/>
        <v>0</v>
      </c>
      <c r="J150" s="733">
        <f t="shared" si="159"/>
        <v>0</v>
      </c>
      <c r="K150" s="733">
        <f t="shared" ref="K150:P150" si="160">K11*$E$142</f>
        <v>0</v>
      </c>
      <c r="L150" s="733">
        <f t="shared" si="160"/>
        <v>0</v>
      </c>
      <c r="M150" s="733">
        <f t="shared" si="160"/>
        <v>0</v>
      </c>
      <c r="N150" s="733">
        <f t="shared" si="160"/>
        <v>0</v>
      </c>
      <c r="O150" s="733">
        <f t="shared" si="160"/>
        <v>0</v>
      </c>
      <c r="P150" s="733">
        <f t="shared" si="160"/>
        <v>0</v>
      </c>
      <c r="Q150" s="734">
        <f t="shared" si="151"/>
        <v>0</v>
      </c>
      <c r="R150" s="733">
        <f t="shared" si="158"/>
        <v>0</v>
      </c>
      <c r="S150" s="733">
        <f t="shared" si="158"/>
        <v>0</v>
      </c>
      <c r="T150" s="733">
        <f t="shared" si="158"/>
        <v>0</v>
      </c>
      <c r="U150" s="733">
        <f t="shared" si="158"/>
        <v>0</v>
      </c>
    </row>
    <row r="151" spans="2:21" s="119" customFormat="1" ht="19.5" hidden="1" thickBot="1" x14ac:dyDescent="0.35">
      <c r="B151" s="301"/>
      <c r="C151" s="119">
        <f t="shared" si="149"/>
        <v>0</v>
      </c>
      <c r="D151" s="113" t="s">
        <v>119</v>
      </c>
      <c r="E151" s="76" t="s">
        <v>52</v>
      </c>
      <c r="F151" s="733">
        <f t="shared" si="158"/>
        <v>0</v>
      </c>
      <c r="G151" s="733">
        <f t="shared" si="159"/>
        <v>0</v>
      </c>
      <c r="H151" s="733">
        <f t="shared" si="159"/>
        <v>0</v>
      </c>
      <c r="I151" s="733">
        <f t="shared" si="159"/>
        <v>0</v>
      </c>
      <c r="J151" s="733">
        <f t="shared" si="159"/>
        <v>0</v>
      </c>
      <c r="K151" s="733">
        <f t="shared" ref="K151:P151" si="161">K12*$E$142</f>
        <v>0</v>
      </c>
      <c r="L151" s="733">
        <f t="shared" si="161"/>
        <v>0</v>
      </c>
      <c r="M151" s="733">
        <f t="shared" si="161"/>
        <v>0</v>
      </c>
      <c r="N151" s="733">
        <f t="shared" si="161"/>
        <v>0</v>
      </c>
      <c r="O151" s="733">
        <f t="shared" si="161"/>
        <v>0</v>
      </c>
      <c r="P151" s="733">
        <f t="shared" si="161"/>
        <v>0</v>
      </c>
      <c r="Q151" s="734">
        <f t="shared" si="151"/>
        <v>0</v>
      </c>
      <c r="R151" s="733">
        <f t="shared" si="158"/>
        <v>0</v>
      </c>
      <c r="S151" s="733">
        <f t="shared" si="158"/>
        <v>0</v>
      </c>
      <c r="T151" s="733">
        <f t="shared" si="158"/>
        <v>0</v>
      </c>
      <c r="U151" s="733">
        <f t="shared" si="158"/>
        <v>0</v>
      </c>
    </row>
    <row r="152" spans="2:21" s="119" customFormat="1" ht="19.5" hidden="1" thickBot="1" x14ac:dyDescent="0.35">
      <c r="B152" s="301"/>
      <c r="C152" s="119">
        <f t="shared" si="149"/>
        <v>0</v>
      </c>
      <c r="D152" s="113" t="s">
        <v>120</v>
      </c>
      <c r="E152" s="76" t="s">
        <v>51</v>
      </c>
      <c r="F152" s="733">
        <f t="shared" si="158"/>
        <v>0</v>
      </c>
      <c r="G152" s="733">
        <f t="shared" si="159"/>
        <v>0</v>
      </c>
      <c r="H152" s="733">
        <f t="shared" si="159"/>
        <v>0</v>
      </c>
      <c r="I152" s="733">
        <f t="shared" si="159"/>
        <v>0</v>
      </c>
      <c r="J152" s="733">
        <f t="shared" si="159"/>
        <v>0</v>
      </c>
      <c r="K152" s="733">
        <f t="shared" ref="K152:P152" si="162">K13*$E$142</f>
        <v>0</v>
      </c>
      <c r="L152" s="733">
        <f t="shared" si="162"/>
        <v>0</v>
      </c>
      <c r="M152" s="733">
        <f t="shared" si="162"/>
        <v>0</v>
      </c>
      <c r="N152" s="733">
        <f t="shared" si="162"/>
        <v>0</v>
      </c>
      <c r="O152" s="733">
        <f t="shared" si="162"/>
        <v>0</v>
      </c>
      <c r="P152" s="733">
        <f t="shared" si="162"/>
        <v>0</v>
      </c>
      <c r="Q152" s="734">
        <f t="shared" si="151"/>
        <v>0</v>
      </c>
      <c r="R152" s="733">
        <f t="shared" si="158"/>
        <v>0</v>
      </c>
      <c r="S152" s="733">
        <f t="shared" si="158"/>
        <v>0</v>
      </c>
      <c r="T152" s="733">
        <f t="shared" si="158"/>
        <v>0</v>
      </c>
      <c r="U152" s="733">
        <f t="shared" si="158"/>
        <v>0</v>
      </c>
    </row>
    <row r="153" spans="2:21" s="119" customFormat="1" ht="19.5" hidden="1" thickBot="1" x14ac:dyDescent="0.35">
      <c r="B153" s="301"/>
      <c r="C153" s="119">
        <f t="shared" si="149"/>
        <v>0</v>
      </c>
      <c r="D153" s="113" t="s">
        <v>121</v>
      </c>
      <c r="E153" s="76" t="s">
        <v>50</v>
      </c>
      <c r="F153" s="733">
        <f t="shared" si="158"/>
        <v>0</v>
      </c>
      <c r="G153" s="733">
        <f t="shared" si="159"/>
        <v>0</v>
      </c>
      <c r="H153" s="733">
        <f t="shared" si="159"/>
        <v>0</v>
      </c>
      <c r="I153" s="733">
        <f t="shared" si="159"/>
        <v>0</v>
      </c>
      <c r="J153" s="733">
        <f t="shared" si="159"/>
        <v>0</v>
      </c>
      <c r="K153" s="733">
        <f t="shared" ref="K153:P153" si="163">K14*$E$142</f>
        <v>0</v>
      </c>
      <c r="L153" s="733">
        <f t="shared" si="163"/>
        <v>0</v>
      </c>
      <c r="M153" s="733">
        <f t="shared" si="163"/>
        <v>0</v>
      </c>
      <c r="N153" s="733">
        <f t="shared" si="163"/>
        <v>0</v>
      </c>
      <c r="O153" s="733">
        <f t="shared" si="163"/>
        <v>0</v>
      </c>
      <c r="P153" s="733">
        <f t="shared" si="163"/>
        <v>0</v>
      </c>
      <c r="Q153" s="734">
        <f t="shared" si="151"/>
        <v>0</v>
      </c>
      <c r="R153" s="733">
        <f t="shared" si="158"/>
        <v>0</v>
      </c>
      <c r="S153" s="733">
        <f t="shared" si="158"/>
        <v>0</v>
      </c>
      <c r="T153" s="733">
        <f t="shared" si="158"/>
        <v>0</v>
      </c>
      <c r="U153" s="733">
        <f t="shared" si="158"/>
        <v>0</v>
      </c>
    </row>
    <row r="154" spans="2:21" s="119" customFormat="1" ht="19.5" hidden="1" thickBot="1" x14ac:dyDescent="0.35">
      <c r="B154" s="301"/>
      <c r="C154" s="119">
        <f t="shared" si="149"/>
        <v>0</v>
      </c>
      <c r="D154" s="113" t="s">
        <v>122</v>
      </c>
      <c r="E154" s="76" t="s">
        <v>49</v>
      </c>
      <c r="F154" s="733">
        <f t="shared" si="158"/>
        <v>0</v>
      </c>
      <c r="G154" s="733">
        <f t="shared" si="159"/>
        <v>0</v>
      </c>
      <c r="H154" s="733">
        <f t="shared" si="159"/>
        <v>0</v>
      </c>
      <c r="I154" s="733">
        <f t="shared" si="159"/>
        <v>0</v>
      </c>
      <c r="J154" s="733">
        <f t="shared" si="159"/>
        <v>0</v>
      </c>
      <c r="K154" s="733">
        <f t="shared" ref="K154:P154" si="164">K15*$E$142</f>
        <v>0</v>
      </c>
      <c r="L154" s="733">
        <f t="shared" si="164"/>
        <v>0</v>
      </c>
      <c r="M154" s="733">
        <f t="shared" si="164"/>
        <v>0</v>
      </c>
      <c r="N154" s="733">
        <f t="shared" si="164"/>
        <v>0</v>
      </c>
      <c r="O154" s="733">
        <f t="shared" si="164"/>
        <v>0</v>
      </c>
      <c r="P154" s="733">
        <f t="shared" si="164"/>
        <v>0</v>
      </c>
      <c r="Q154" s="734">
        <f t="shared" si="151"/>
        <v>0</v>
      </c>
      <c r="R154" s="733">
        <f t="shared" si="158"/>
        <v>0</v>
      </c>
      <c r="S154" s="733">
        <f t="shared" si="158"/>
        <v>0</v>
      </c>
      <c r="T154" s="733">
        <f t="shared" si="158"/>
        <v>0</v>
      </c>
      <c r="U154" s="733">
        <f t="shared" si="158"/>
        <v>0</v>
      </c>
    </row>
    <row r="155" spans="2:21" s="119" customFormat="1" ht="19.5" hidden="1" thickBot="1" x14ac:dyDescent="0.35">
      <c r="B155" s="301"/>
      <c r="C155" s="119">
        <f t="shared" si="149"/>
        <v>0</v>
      </c>
      <c r="D155" s="113" t="s">
        <v>123</v>
      </c>
      <c r="E155" s="76" t="s">
        <v>47</v>
      </c>
      <c r="F155" s="733">
        <f t="shared" si="158"/>
        <v>0</v>
      </c>
      <c r="G155" s="733">
        <f t="shared" si="159"/>
        <v>0</v>
      </c>
      <c r="H155" s="733">
        <f t="shared" si="159"/>
        <v>0</v>
      </c>
      <c r="I155" s="733">
        <f t="shared" si="159"/>
        <v>0</v>
      </c>
      <c r="J155" s="733">
        <f t="shared" si="159"/>
        <v>0</v>
      </c>
      <c r="K155" s="733">
        <f t="shared" ref="K155:P155" si="165">K16*$E$142</f>
        <v>0</v>
      </c>
      <c r="L155" s="733">
        <f t="shared" si="165"/>
        <v>0</v>
      </c>
      <c r="M155" s="733">
        <f t="shared" si="165"/>
        <v>0</v>
      </c>
      <c r="N155" s="733">
        <f t="shared" si="165"/>
        <v>0</v>
      </c>
      <c r="O155" s="733">
        <f t="shared" si="165"/>
        <v>0</v>
      </c>
      <c r="P155" s="733">
        <f t="shared" si="165"/>
        <v>0</v>
      </c>
      <c r="Q155" s="734">
        <f t="shared" si="151"/>
        <v>0</v>
      </c>
      <c r="R155" s="733">
        <f t="shared" si="158"/>
        <v>0</v>
      </c>
      <c r="S155" s="733">
        <f t="shared" si="158"/>
        <v>0</v>
      </c>
      <c r="T155" s="733">
        <f t="shared" si="158"/>
        <v>0</v>
      </c>
      <c r="U155" s="733">
        <f t="shared" si="158"/>
        <v>0</v>
      </c>
    </row>
    <row r="156" spans="2:21" s="119" customFormat="1" ht="19.5" hidden="1" thickBot="1" x14ac:dyDescent="0.35">
      <c r="B156" s="301"/>
      <c r="C156" s="119">
        <f t="shared" si="149"/>
        <v>0</v>
      </c>
      <c r="D156" s="114" t="s">
        <v>16</v>
      </c>
      <c r="E156" s="70" t="s">
        <v>77</v>
      </c>
      <c r="F156" s="733">
        <f t="shared" si="158"/>
        <v>0</v>
      </c>
      <c r="G156" s="733">
        <f t="shared" si="159"/>
        <v>0</v>
      </c>
      <c r="H156" s="733">
        <f t="shared" si="159"/>
        <v>0</v>
      </c>
      <c r="I156" s="733">
        <f t="shared" si="159"/>
        <v>0</v>
      </c>
      <c r="J156" s="733">
        <f t="shared" si="159"/>
        <v>0</v>
      </c>
      <c r="K156" s="733">
        <f t="shared" ref="K156:P156" si="166">K17*$E$142</f>
        <v>0</v>
      </c>
      <c r="L156" s="733">
        <f t="shared" si="166"/>
        <v>0</v>
      </c>
      <c r="M156" s="733">
        <f t="shared" si="166"/>
        <v>0</v>
      </c>
      <c r="N156" s="733">
        <f t="shared" si="166"/>
        <v>0</v>
      </c>
      <c r="O156" s="733">
        <f t="shared" si="166"/>
        <v>0</v>
      </c>
      <c r="P156" s="733">
        <f t="shared" si="166"/>
        <v>0</v>
      </c>
      <c r="Q156" s="734">
        <f t="shared" si="151"/>
        <v>0</v>
      </c>
      <c r="R156" s="733">
        <f t="shared" si="158"/>
        <v>0</v>
      </c>
      <c r="S156" s="733">
        <f t="shared" si="158"/>
        <v>0</v>
      </c>
      <c r="T156" s="733">
        <f t="shared" ca="1" si="158"/>
        <v>0</v>
      </c>
      <c r="U156" s="733">
        <f t="shared" ca="1" si="158"/>
        <v>0</v>
      </c>
    </row>
    <row r="157" spans="2:21" s="119" customFormat="1" ht="19.5" hidden="1" thickBot="1" x14ac:dyDescent="0.35">
      <c r="B157" s="301"/>
      <c r="C157" s="119">
        <f t="shared" si="149"/>
        <v>0</v>
      </c>
      <c r="D157" s="115" t="s">
        <v>124</v>
      </c>
      <c r="E157" s="116" t="s">
        <v>78</v>
      </c>
      <c r="F157" s="742">
        <f t="shared" ref="F157:U157" si="167">SUBTOTAL(9,F145:F156)</f>
        <v>0</v>
      </c>
      <c r="G157" s="742">
        <f>SUBTOTAL(9,G145:G156)</f>
        <v>0</v>
      </c>
      <c r="H157" s="742">
        <f>SUBTOTAL(9,H145:H156)</f>
        <v>0</v>
      </c>
      <c r="I157" s="742">
        <f>SUBTOTAL(9,I145:I156)</f>
        <v>0</v>
      </c>
      <c r="J157" s="742">
        <f>SUBTOTAL(9,J145:J156)</f>
        <v>0</v>
      </c>
      <c r="K157" s="742">
        <f t="shared" ref="K157:P157" si="168">SUBTOTAL(9,K145:K156)</f>
        <v>0</v>
      </c>
      <c r="L157" s="742">
        <f t="shared" si="168"/>
        <v>0</v>
      </c>
      <c r="M157" s="742">
        <f t="shared" si="168"/>
        <v>0</v>
      </c>
      <c r="N157" s="742">
        <f t="shared" si="168"/>
        <v>0</v>
      </c>
      <c r="O157" s="742">
        <f t="shared" si="168"/>
        <v>0</v>
      </c>
      <c r="P157" s="742">
        <f t="shared" si="168"/>
        <v>0</v>
      </c>
      <c r="Q157" s="743">
        <f>SUBTOTAL(9,Q145:Q156)</f>
        <v>0</v>
      </c>
      <c r="R157" s="742">
        <f t="shared" si="167"/>
        <v>0</v>
      </c>
      <c r="S157" s="742">
        <f t="shared" si="167"/>
        <v>0</v>
      </c>
      <c r="T157" s="742">
        <f t="shared" si="167"/>
        <v>0</v>
      </c>
      <c r="U157" s="742">
        <f t="shared" si="167"/>
        <v>0</v>
      </c>
    </row>
    <row r="158" spans="2:21" s="119" customFormat="1" ht="19.5" hidden="1" thickBot="1" x14ac:dyDescent="0.3">
      <c r="B158" s="340"/>
      <c r="D158" s="117"/>
      <c r="E158" s="117"/>
      <c r="F158" s="118"/>
      <c r="G158" s="118"/>
      <c r="I158" s="118"/>
      <c r="J158" s="118"/>
      <c r="K158" s="118"/>
      <c r="L158" s="118"/>
      <c r="O158" s="118"/>
      <c r="Q158" s="120"/>
      <c r="R158" s="117"/>
      <c r="S158" s="118"/>
      <c r="U158" s="120"/>
    </row>
    <row r="159" spans="2:21" s="119" customFormat="1" ht="75.75" hidden="1" thickBot="1" x14ac:dyDescent="0.3">
      <c r="B159" s="301"/>
      <c r="C159" s="119">
        <f>IF($E159&gt;0,1,0)</f>
        <v>0</v>
      </c>
      <c r="D159" s="96" t="str">
        <f>A12</f>
        <v>Chenango</v>
      </c>
      <c r="E159" s="166">
        <f>IFERROR(SUMIF(A:A,D159,B:B),0)</f>
        <v>0</v>
      </c>
      <c r="F159" s="98" t="s">
        <v>356</v>
      </c>
      <c r="G159" s="98" t="s">
        <v>373</v>
      </c>
      <c r="H159" s="98" t="s">
        <v>358</v>
      </c>
      <c r="I159" s="98" t="s">
        <v>109</v>
      </c>
      <c r="J159" s="98" t="s">
        <v>111</v>
      </c>
      <c r="K159" s="98" t="s">
        <v>469</v>
      </c>
      <c r="L159" s="98" t="s">
        <v>470</v>
      </c>
      <c r="M159" s="98" t="s">
        <v>357</v>
      </c>
      <c r="N159" s="509" t="s">
        <v>471</v>
      </c>
      <c r="O159" s="98" t="s">
        <v>472</v>
      </c>
      <c r="P159" s="98" t="s">
        <v>110</v>
      </c>
      <c r="Q159" s="99" t="s">
        <v>116</v>
      </c>
      <c r="R159" s="98" t="s">
        <v>112</v>
      </c>
      <c r="S159" s="98" t="s">
        <v>113</v>
      </c>
      <c r="T159" s="98" t="s">
        <v>114</v>
      </c>
      <c r="U159" s="98" t="s">
        <v>115</v>
      </c>
    </row>
    <row r="160" spans="2:21" s="119" customFormat="1" ht="19.5" hidden="1" thickBot="1" x14ac:dyDescent="0.3">
      <c r="B160" s="301"/>
      <c r="C160" s="119">
        <f>C159</f>
        <v>0</v>
      </c>
      <c r="D160" s="101"/>
      <c r="E160" s="102"/>
      <c r="F160" s="84" t="s">
        <v>57</v>
      </c>
      <c r="G160" s="84" t="s">
        <v>56</v>
      </c>
      <c r="H160" s="84" t="s">
        <v>55</v>
      </c>
      <c r="I160" s="84" t="s">
        <v>54</v>
      </c>
      <c r="J160" s="84" t="s">
        <v>53</v>
      </c>
      <c r="K160" s="84" t="s">
        <v>52</v>
      </c>
      <c r="L160" s="84" t="s">
        <v>51</v>
      </c>
      <c r="M160" s="84" t="s">
        <v>50</v>
      </c>
      <c r="N160" s="84" t="s">
        <v>49</v>
      </c>
      <c r="O160" s="84" t="s">
        <v>47</v>
      </c>
      <c r="P160" s="84" t="s">
        <v>77</v>
      </c>
      <c r="Q160" s="83" t="s">
        <v>78</v>
      </c>
      <c r="R160" s="84" t="s">
        <v>79</v>
      </c>
      <c r="S160" s="84" t="s">
        <v>81</v>
      </c>
      <c r="T160" s="84" t="s">
        <v>83</v>
      </c>
      <c r="U160" s="84" t="s">
        <v>85</v>
      </c>
    </row>
    <row r="161" spans="2:21" s="119" customFormat="1" ht="19.5" hidden="1" thickBot="1" x14ac:dyDescent="0.35">
      <c r="B161" s="301"/>
      <c r="C161" s="119">
        <f t="shared" ref="C161:C174" si="169">C160</f>
        <v>0</v>
      </c>
      <c r="D161" s="103" t="s">
        <v>26</v>
      </c>
      <c r="E161" s="104"/>
      <c r="F161" s="745"/>
      <c r="G161" s="745"/>
      <c r="H161" s="746"/>
      <c r="I161" s="745"/>
      <c r="J161" s="745"/>
      <c r="K161" s="745"/>
      <c r="L161" s="745"/>
      <c r="M161" s="746"/>
      <c r="N161" s="746"/>
      <c r="O161" s="745"/>
      <c r="P161" s="746"/>
      <c r="Q161" s="747"/>
      <c r="R161" s="748"/>
      <c r="S161" s="745"/>
      <c r="T161" s="746"/>
      <c r="U161" s="749"/>
    </row>
    <row r="162" spans="2:21" s="119" customFormat="1" ht="19.5" hidden="1" thickBot="1" x14ac:dyDescent="0.3">
      <c r="B162" s="301"/>
      <c r="C162" s="119">
        <f t="shared" si="169"/>
        <v>0</v>
      </c>
      <c r="D162" s="109" t="s">
        <v>93</v>
      </c>
      <c r="E162" s="76" t="s">
        <v>57</v>
      </c>
      <c r="F162" s="733">
        <f>F6*$E$159</f>
        <v>0</v>
      </c>
      <c r="G162" s="733">
        <f>G6*$E$159</f>
        <v>0</v>
      </c>
      <c r="H162" s="733">
        <f>H6*$E$159</f>
        <v>0</v>
      </c>
      <c r="I162" s="733">
        <f>I6*$E$159</f>
        <v>0</v>
      </c>
      <c r="J162" s="733">
        <f>J6*$E$159</f>
        <v>0</v>
      </c>
      <c r="K162" s="733">
        <f t="shared" ref="K162:P162" si="170">K6*$E$159</f>
        <v>0</v>
      </c>
      <c r="L162" s="733">
        <f t="shared" si="170"/>
        <v>0</v>
      </c>
      <c r="M162" s="733">
        <f t="shared" si="170"/>
        <v>0</v>
      </c>
      <c r="N162" s="733">
        <f t="shared" si="170"/>
        <v>0</v>
      </c>
      <c r="O162" s="733">
        <f t="shared" si="170"/>
        <v>0</v>
      </c>
      <c r="P162" s="733">
        <f t="shared" si="170"/>
        <v>0</v>
      </c>
      <c r="Q162" s="734">
        <f t="shared" ref="Q162:Q173" si="171">SUM(F162:P162)</f>
        <v>0</v>
      </c>
      <c r="R162" s="733">
        <f t="shared" ref="R162:U162" si="172">R6*$E$159</f>
        <v>0</v>
      </c>
      <c r="S162" s="733">
        <f t="shared" si="172"/>
        <v>0</v>
      </c>
      <c r="T162" s="733">
        <f t="shared" ca="1" si="172"/>
        <v>0</v>
      </c>
      <c r="U162" s="733">
        <f t="shared" ca="1" si="172"/>
        <v>0</v>
      </c>
    </row>
    <row r="163" spans="2:21" s="119" customFormat="1" ht="19.5" hidden="1" thickBot="1" x14ac:dyDescent="0.3">
      <c r="B163" s="301"/>
      <c r="C163" s="119">
        <f t="shared" si="169"/>
        <v>0</v>
      </c>
      <c r="D163" s="110" t="s">
        <v>92</v>
      </c>
      <c r="E163" s="76" t="s">
        <v>56</v>
      </c>
      <c r="F163" s="733">
        <f t="shared" ref="F163:U165" si="173">F7*$E$159</f>
        <v>0</v>
      </c>
      <c r="G163" s="733">
        <f t="shared" ref="G163:J165" si="174">G7*$E$159</f>
        <v>0</v>
      </c>
      <c r="H163" s="733">
        <f t="shared" si="174"/>
        <v>0</v>
      </c>
      <c r="I163" s="733">
        <f t="shared" si="174"/>
        <v>0</v>
      </c>
      <c r="J163" s="733">
        <f t="shared" si="174"/>
        <v>0</v>
      </c>
      <c r="K163" s="733">
        <f t="shared" ref="K163:P163" si="175">K7*$E$159</f>
        <v>0</v>
      </c>
      <c r="L163" s="733">
        <f t="shared" si="175"/>
        <v>0</v>
      </c>
      <c r="M163" s="733">
        <f t="shared" si="175"/>
        <v>0</v>
      </c>
      <c r="N163" s="733">
        <f t="shared" si="175"/>
        <v>0</v>
      </c>
      <c r="O163" s="733">
        <f t="shared" si="175"/>
        <v>0</v>
      </c>
      <c r="P163" s="733">
        <f t="shared" si="175"/>
        <v>0</v>
      </c>
      <c r="Q163" s="734">
        <f t="shared" si="171"/>
        <v>0</v>
      </c>
      <c r="R163" s="733">
        <f t="shared" si="173"/>
        <v>0</v>
      </c>
      <c r="S163" s="733">
        <f t="shared" si="173"/>
        <v>0</v>
      </c>
      <c r="T163" s="733">
        <f t="shared" si="173"/>
        <v>0</v>
      </c>
      <c r="U163" s="733">
        <f t="shared" si="173"/>
        <v>0</v>
      </c>
    </row>
    <row r="164" spans="2:21" s="119" customFormat="1" ht="19.5" hidden="1" thickBot="1" x14ac:dyDescent="0.3">
      <c r="B164" s="301"/>
      <c r="C164" s="119">
        <f t="shared" si="169"/>
        <v>0</v>
      </c>
      <c r="D164" s="110" t="s">
        <v>91</v>
      </c>
      <c r="E164" s="76" t="s">
        <v>55</v>
      </c>
      <c r="F164" s="733">
        <f t="shared" si="173"/>
        <v>0</v>
      </c>
      <c r="G164" s="733">
        <f t="shared" si="174"/>
        <v>0</v>
      </c>
      <c r="H164" s="733">
        <f t="shared" si="174"/>
        <v>0</v>
      </c>
      <c r="I164" s="733">
        <f t="shared" si="174"/>
        <v>0</v>
      </c>
      <c r="J164" s="733">
        <f t="shared" si="174"/>
        <v>0</v>
      </c>
      <c r="K164" s="733">
        <f t="shared" ref="K164:P164" si="176">K8*$E$159</f>
        <v>0</v>
      </c>
      <c r="L164" s="733">
        <f t="shared" si="176"/>
        <v>0</v>
      </c>
      <c r="M164" s="733">
        <f t="shared" si="176"/>
        <v>0</v>
      </c>
      <c r="N164" s="733">
        <f t="shared" si="176"/>
        <v>0</v>
      </c>
      <c r="O164" s="733">
        <f t="shared" si="176"/>
        <v>0</v>
      </c>
      <c r="P164" s="733">
        <f t="shared" si="176"/>
        <v>0</v>
      </c>
      <c r="Q164" s="734">
        <f t="shared" si="171"/>
        <v>0</v>
      </c>
      <c r="R164" s="733">
        <f t="shared" si="173"/>
        <v>0</v>
      </c>
      <c r="S164" s="733">
        <f t="shared" si="173"/>
        <v>0</v>
      </c>
      <c r="T164" s="733">
        <f t="shared" ca="1" si="173"/>
        <v>0</v>
      </c>
      <c r="U164" s="733">
        <f t="shared" ca="1" si="173"/>
        <v>0</v>
      </c>
    </row>
    <row r="165" spans="2:21" s="119" customFormat="1" ht="19.5" hidden="1" thickBot="1" x14ac:dyDescent="0.3">
      <c r="B165" s="301"/>
      <c r="C165" s="119">
        <f t="shared" si="169"/>
        <v>0</v>
      </c>
      <c r="D165" s="111" t="s">
        <v>117</v>
      </c>
      <c r="E165" s="76" t="s">
        <v>54</v>
      </c>
      <c r="F165" s="733">
        <f t="shared" si="173"/>
        <v>0</v>
      </c>
      <c r="G165" s="733">
        <f t="shared" si="174"/>
        <v>0</v>
      </c>
      <c r="H165" s="733">
        <f t="shared" si="174"/>
        <v>0</v>
      </c>
      <c r="I165" s="733">
        <f t="shared" si="174"/>
        <v>0</v>
      </c>
      <c r="J165" s="733">
        <f t="shared" si="174"/>
        <v>0</v>
      </c>
      <c r="K165" s="733">
        <f t="shared" ref="K165:P165" si="177">K9*$E$159</f>
        <v>0</v>
      </c>
      <c r="L165" s="733">
        <f t="shared" si="177"/>
        <v>0</v>
      </c>
      <c r="M165" s="733">
        <f t="shared" si="177"/>
        <v>0</v>
      </c>
      <c r="N165" s="733">
        <f t="shared" si="177"/>
        <v>0</v>
      </c>
      <c r="O165" s="733">
        <f t="shared" si="177"/>
        <v>0</v>
      </c>
      <c r="P165" s="733">
        <f t="shared" si="177"/>
        <v>0</v>
      </c>
      <c r="Q165" s="734">
        <f t="shared" si="171"/>
        <v>0</v>
      </c>
      <c r="R165" s="733">
        <f t="shared" si="173"/>
        <v>0</v>
      </c>
      <c r="S165" s="733">
        <f t="shared" si="173"/>
        <v>0</v>
      </c>
      <c r="T165" s="733">
        <f t="shared" si="173"/>
        <v>0</v>
      </c>
      <c r="U165" s="733">
        <f t="shared" si="173"/>
        <v>0</v>
      </c>
    </row>
    <row r="166" spans="2:21" s="119" customFormat="1" ht="19.5" hidden="1" thickBot="1" x14ac:dyDescent="0.35">
      <c r="B166" s="301"/>
      <c r="C166" s="119">
        <f t="shared" si="169"/>
        <v>0</v>
      </c>
      <c r="D166" s="112" t="s">
        <v>31</v>
      </c>
      <c r="E166" s="76"/>
      <c r="F166" s="750"/>
      <c r="G166" s="735"/>
      <c r="H166" s="736"/>
      <c r="I166" s="735"/>
      <c r="J166" s="735"/>
      <c r="K166" s="735"/>
      <c r="L166" s="735"/>
      <c r="M166" s="735"/>
      <c r="N166" s="735"/>
      <c r="O166" s="735"/>
      <c r="P166" s="735"/>
      <c r="Q166" s="734">
        <f t="shared" si="171"/>
        <v>0</v>
      </c>
      <c r="R166" s="739"/>
      <c r="S166" s="735"/>
      <c r="T166" s="740"/>
      <c r="U166" s="741"/>
    </row>
    <row r="167" spans="2:21" s="119" customFormat="1" ht="19.5" hidden="1" thickBot="1" x14ac:dyDescent="0.35">
      <c r="B167" s="301"/>
      <c r="C167" s="119">
        <f t="shared" si="169"/>
        <v>0</v>
      </c>
      <c r="D167" s="113" t="s">
        <v>118</v>
      </c>
      <c r="E167" s="76" t="s">
        <v>53</v>
      </c>
      <c r="F167" s="733">
        <f t="shared" ref="F167:U173" si="178">F11*$E$159</f>
        <v>0</v>
      </c>
      <c r="G167" s="733">
        <f t="shared" ref="G167:J173" si="179">G11*$E$159</f>
        <v>0</v>
      </c>
      <c r="H167" s="733">
        <f t="shared" si="179"/>
        <v>0</v>
      </c>
      <c r="I167" s="733">
        <f t="shared" si="179"/>
        <v>0</v>
      </c>
      <c r="J167" s="733">
        <f t="shared" si="179"/>
        <v>0</v>
      </c>
      <c r="K167" s="733">
        <f t="shared" ref="K167:P167" si="180">K11*$E$159</f>
        <v>0</v>
      </c>
      <c r="L167" s="733">
        <f t="shared" si="180"/>
        <v>0</v>
      </c>
      <c r="M167" s="733">
        <f t="shared" si="180"/>
        <v>0</v>
      </c>
      <c r="N167" s="733">
        <f t="shared" si="180"/>
        <v>0</v>
      </c>
      <c r="O167" s="733">
        <f t="shared" si="180"/>
        <v>0</v>
      </c>
      <c r="P167" s="733">
        <f t="shared" si="180"/>
        <v>0</v>
      </c>
      <c r="Q167" s="734">
        <f t="shared" si="171"/>
        <v>0</v>
      </c>
      <c r="R167" s="733">
        <f t="shared" si="178"/>
        <v>0</v>
      </c>
      <c r="S167" s="733">
        <f t="shared" si="178"/>
        <v>0</v>
      </c>
      <c r="T167" s="733">
        <f t="shared" si="178"/>
        <v>0</v>
      </c>
      <c r="U167" s="733">
        <f t="shared" si="178"/>
        <v>0</v>
      </c>
    </row>
    <row r="168" spans="2:21" s="119" customFormat="1" ht="19.5" hidden="1" thickBot="1" x14ac:dyDescent="0.35">
      <c r="B168" s="301"/>
      <c r="C168" s="119">
        <f t="shared" si="169"/>
        <v>0</v>
      </c>
      <c r="D168" s="113" t="s">
        <v>119</v>
      </c>
      <c r="E168" s="76" t="s">
        <v>52</v>
      </c>
      <c r="F168" s="733">
        <f t="shared" si="178"/>
        <v>0</v>
      </c>
      <c r="G168" s="733">
        <f t="shared" si="179"/>
        <v>0</v>
      </c>
      <c r="H168" s="733">
        <f t="shared" si="179"/>
        <v>0</v>
      </c>
      <c r="I168" s="733">
        <f t="shared" si="179"/>
        <v>0</v>
      </c>
      <c r="J168" s="733">
        <f t="shared" si="179"/>
        <v>0</v>
      </c>
      <c r="K168" s="733">
        <f t="shared" ref="K168:P168" si="181">K12*$E$159</f>
        <v>0</v>
      </c>
      <c r="L168" s="733">
        <f t="shared" si="181"/>
        <v>0</v>
      </c>
      <c r="M168" s="733">
        <f t="shared" si="181"/>
        <v>0</v>
      </c>
      <c r="N168" s="733">
        <f t="shared" si="181"/>
        <v>0</v>
      </c>
      <c r="O168" s="733">
        <f t="shared" si="181"/>
        <v>0</v>
      </c>
      <c r="P168" s="733">
        <f t="shared" si="181"/>
        <v>0</v>
      </c>
      <c r="Q168" s="734">
        <f t="shared" si="171"/>
        <v>0</v>
      </c>
      <c r="R168" s="733">
        <f t="shared" si="178"/>
        <v>0</v>
      </c>
      <c r="S168" s="733">
        <f t="shared" si="178"/>
        <v>0</v>
      </c>
      <c r="T168" s="733">
        <f t="shared" si="178"/>
        <v>0</v>
      </c>
      <c r="U168" s="733">
        <f t="shared" si="178"/>
        <v>0</v>
      </c>
    </row>
    <row r="169" spans="2:21" s="119" customFormat="1" ht="19.5" hidden="1" thickBot="1" x14ac:dyDescent="0.35">
      <c r="B169" s="301"/>
      <c r="C169" s="119">
        <f t="shared" si="169"/>
        <v>0</v>
      </c>
      <c r="D169" s="113" t="s">
        <v>120</v>
      </c>
      <c r="E169" s="76" t="s">
        <v>51</v>
      </c>
      <c r="F169" s="733">
        <f t="shared" si="178"/>
        <v>0</v>
      </c>
      <c r="G169" s="733">
        <f t="shared" si="179"/>
        <v>0</v>
      </c>
      <c r="H169" s="733">
        <f t="shared" si="179"/>
        <v>0</v>
      </c>
      <c r="I169" s="733">
        <f t="shared" si="179"/>
        <v>0</v>
      </c>
      <c r="J169" s="733">
        <f t="shared" si="179"/>
        <v>0</v>
      </c>
      <c r="K169" s="733">
        <f t="shared" ref="K169:P169" si="182">K13*$E$159</f>
        <v>0</v>
      </c>
      <c r="L169" s="733">
        <f t="shared" si="182"/>
        <v>0</v>
      </c>
      <c r="M169" s="733">
        <f t="shared" si="182"/>
        <v>0</v>
      </c>
      <c r="N169" s="733">
        <f t="shared" si="182"/>
        <v>0</v>
      </c>
      <c r="O169" s="733">
        <f t="shared" si="182"/>
        <v>0</v>
      </c>
      <c r="P169" s="733">
        <f t="shared" si="182"/>
        <v>0</v>
      </c>
      <c r="Q169" s="734">
        <f t="shared" si="171"/>
        <v>0</v>
      </c>
      <c r="R169" s="733">
        <f t="shared" si="178"/>
        <v>0</v>
      </c>
      <c r="S169" s="733">
        <f t="shared" si="178"/>
        <v>0</v>
      </c>
      <c r="T169" s="733">
        <f t="shared" si="178"/>
        <v>0</v>
      </c>
      <c r="U169" s="733">
        <f t="shared" si="178"/>
        <v>0</v>
      </c>
    </row>
    <row r="170" spans="2:21" s="119" customFormat="1" ht="19.5" hidden="1" thickBot="1" x14ac:dyDescent="0.35">
      <c r="B170" s="301"/>
      <c r="C170" s="119">
        <f t="shared" si="169"/>
        <v>0</v>
      </c>
      <c r="D170" s="113" t="s">
        <v>121</v>
      </c>
      <c r="E170" s="76" t="s">
        <v>50</v>
      </c>
      <c r="F170" s="733">
        <f t="shared" si="178"/>
        <v>0</v>
      </c>
      <c r="G170" s="733">
        <f t="shared" si="179"/>
        <v>0</v>
      </c>
      <c r="H170" s="733">
        <f t="shared" si="179"/>
        <v>0</v>
      </c>
      <c r="I170" s="733">
        <f t="shared" si="179"/>
        <v>0</v>
      </c>
      <c r="J170" s="733">
        <f t="shared" si="179"/>
        <v>0</v>
      </c>
      <c r="K170" s="733">
        <f t="shared" ref="K170:P170" si="183">K14*$E$159</f>
        <v>0</v>
      </c>
      <c r="L170" s="733">
        <f t="shared" si="183"/>
        <v>0</v>
      </c>
      <c r="M170" s="733">
        <f t="shared" si="183"/>
        <v>0</v>
      </c>
      <c r="N170" s="733">
        <f t="shared" si="183"/>
        <v>0</v>
      </c>
      <c r="O170" s="733">
        <f t="shared" si="183"/>
        <v>0</v>
      </c>
      <c r="P170" s="733">
        <f t="shared" si="183"/>
        <v>0</v>
      </c>
      <c r="Q170" s="734">
        <f t="shared" si="171"/>
        <v>0</v>
      </c>
      <c r="R170" s="733">
        <f t="shared" si="178"/>
        <v>0</v>
      </c>
      <c r="S170" s="733">
        <f t="shared" si="178"/>
        <v>0</v>
      </c>
      <c r="T170" s="733">
        <f t="shared" si="178"/>
        <v>0</v>
      </c>
      <c r="U170" s="733">
        <f t="shared" si="178"/>
        <v>0</v>
      </c>
    </row>
    <row r="171" spans="2:21" s="119" customFormat="1" ht="19.5" hidden="1" thickBot="1" x14ac:dyDescent="0.35">
      <c r="B171" s="301"/>
      <c r="C171" s="119">
        <f t="shared" si="169"/>
        <v>0</v>
      </c>
      <c r="D171" s="113" t="s">
        <v>122</v>
      </c>
      <c r="E171" s="76" t="s">
        <v>49</v>
      </c>
      <c r="F171" s="733">
        <f t="shared" si="178"/>
        <v>0</v>
      </c>
      <c r="G171" s="733">
        <f t="shared" si="179"/>
        <v>0</v>
      </c>
      <c r="H171" s="733">
        <f t="shared" si="179"/>
        <v>0</v>
      </c>
      <c r="I171" s="733">
        <f t="shared" si="179"/>
        <v>0</v>
      </c>
      <c r="J171" s="733">
        <f t="shared" si="179"/>
        <v>0</v>
      </c>
      <c r="K171" s="733">
        <f t="shared" ref="K171:P171" si="184">K15*$E$159</f>
        <v>0</v>
      </c>
      <c r="L171" s="733">
        <f t="shared" si="184"/>
        <v>0</v>
      </c>
      <c r="M171" s="733">
        <f t="shared" si="184"/>
        <v>0</v>
      </c>
      <c r="N171" s="733">
        <f t="shared" si="184"/>
        <v>0</v>
      </c>
      <c r="O171" s="733">
        <f t="shared" si="184"/>
        <v>0</v>
      </c>
      <c r="P171" s="733">
        <f t="shared" si="184"/>
        <v>0</v>
      </c>
      <c r="Q171" s="734">
        <f t="shared" si="171"/>
        <v>0</v>
      </c>
      <c r="R171" s="733">
        <f t="shared" si="178"/>
        <v>0</v>
      </c>
      <c r="S171" s="733">
        <f t="shared" si="178"/>
        <v>0</v>
      </c>
      <c r="T171" s="733">
        <f t="shared" si="178"/>
        <v>0</v>
      </c>
      <c r="U171" s="733">
        <f t="shared" si="178"/>
        <v>0</v>
      </c>
    </row>
    <row r="172" spans="2:21" s="119" customFormat="1" ht="19.5" hidden="1" thickBot="1" x14ac:dyDescent="0.35">
      <c r="B172" s="301"/>
      <c r="C172" s="119">
        <f t="shared" si="169"/>
        <v>0</v>
      </c>
      <c r="D172" s="113" t="s">
        <v>123</v>
      </c>
      <c r="E172" s="76" t="s">
        <v>47</v>
      </c>
      <c r="F172" s="733">
        <f t="shared" si="178"/>
        <v>0</v>
      </c>
      <c r="G172" s="733">
        <f t="shared" si="179"/>
        <v>0</v>
      </c>
      <c r="H172" s="733">
        <f t="shared" si="179"/>
        <v>0</v>
      </c>
      <c r="I172" s="733">
        <f t="shared" si="179"/>
        <v>0</v>
      </c>
      <c r="J172" s="733">
        <f t="shared" si="179"/>
        <v>0</v>
      </c>
      <c r="K172" s="733">
        <f t="shared" ref="K172:P172" si="185">K16*$E$159</f>
        <v>0</v>
      </c>
      <c r="L172" s="733">
        <f t="shared" si="185"/>
        <v>0</v>
      </c>
      <c r="M172" s="733">
        <f t="shared" si="185"/>
        <v>0</v>
      </c>
      <c r="N172" s="733">
        <f t="shared" si="185"/>
        <v>0</v>
      </c>
      <c r="O172" s="733">
        <f t="shared" si="185"/>
        <v>0</v>
      </c>
      <c r="P172" s="733">
        <f t="shared" si="185"/>
        <v>0</v>
      </c>
      <c r="Q172" s="734">
        <f t="shared" si="171"/>
        <v>0</v>
      </c>
      <c r="R172" s="733">
        <f t="shared" si="178"/>
        <v>0</v>
      </c>
      <c r="S172" s="733">
        <f t="shared" si="178"/>
        <v>0</v>
      </c>
      <c r="T172" s="733">
        <f t="shared" si="178"/>
        <v>0</v>
      </c>
      <c r="U172" s="733">
        <f t="shared" si="178"/>
        <v>0</v>
      </c>
    </row>
    <row r="173" spans="2:21" s="119" customFormat="1" ht="19.5" hidden="1" thickBot="1" x14ac:dyDescent="0.35">
      <c r="B173" s="301"/>
      <c r="C173" s="119">
        <f t="shared" si="169"/>
        <v>0</v>
      </c>
      <c r="D173" s="114" t="s">
        <v>16</v>
      </c>
      <c r="E173" s="70" t="s">
        <v>77</v>
      </c>
      <c r="F173" s="733">
        <f t="shared" si="178"/>
        <v>0</v>
      </c>
      <c r="G173" s="733">
        <f t="shared" si="179"/>
        <v>0</v>
      </c>
      <c r="H173" s="733">
        <f t="shared" si="179"/>
        <v>0</v>
      </c>
      <c r="I173" s="733">
        <f t="shared" si="179"/>
        <v>0</v>
      </c>
      <c r="J173" s="733">
        <f t="shared" si="179"/>
        <v>0</v>
      </c>
      <c r="K173" s="733">
        <f t="shared" ref="K173:P173" si="186">K17*$E$159</f>
        <v>0</v>
      </c>
      <c r="L173" s="733">
        <f t="shared" si="186"/>
        <v>0</v>
      </c>
      <c r="M173" s="733">
        <f t="shared" si="186"/>
        <v>0</v>
      </c>
      <c r="N173" s="733">
        <f t="shared" si="186"/>
        <v>0</v>
      </c>
      <c r="O173" s="733">
        <f t="shared" si="186"/>
        <v>0</v>
      </c>
      <c r="P173" s="733">
        <f t="shared" si="186"/>
        <v>0</v>
      </c>
      <c r="Q173" s="734">
        <f t="shared" si="171"/>
        <v>0</v>
      </c>
      <c r="R173" s="733">
        <f t="shared" si="178"/>
        <v>0</v>
      </c>
      <c r="S173" s="733">
        <f t="shared" si="178"/>
        <v>0</v>
      </c>
      <c r="T173" s="733">
        <f t="shared" ca="1" si="178"/>
        <v>0</v>
      </c>
      <c r="U173" s="733">
        <f t="shared" ca="1" si="178"/>
        <v>0</v>
      </c>
    </row>
    <row r="174" spans="2:21" s="119" customFormat="1" ht="19.5" hidden="1" thickBot="1" x14ac:dyDescent="0.35">
      <c r="B174" s="301"/>
      <c r="C174" s="119">
        <f t="shared" si="169"/>
        <v>0</v>
      </c>
      <c r="D174" s="115" t="s">
        <v>124</v>
      </c>
      <c r="E174" s="116" t="s">
        <v>78</v>
      </c>
      <c r="F174" s="742">
        <f t="shared" ref="F174:U174" si="187">SUBTOTAL(9,F162:F173)</f>
        <v>0</v>
      </c>
      <c r="G174" s="742">
        <f>SUBTOTAL(9,G162:G173)</f>
        <v>0</v>
      </c>
      <c r="H174" s="742">
        <f>SUBTOTAL(9,H162:H173)</f>
        <v>0</v>
      </c>
      <c r="I174" s="742">
        <f>SUBTOTAL(9,I162:I173)</f>
        <v>0</v>
      </c>
      <c r="J174" s="742">
        <f>SUBTOTAL(9,J162:J173)</f>
        <v>0</v>
      </c>
      <c r="K174" s="742">
        <f t="shared" ref="K174:P174" si="188">SUBTOTAL(9,K162:K173)</f>
        <v>0</v>
      </c>
      <c r="L174" s="742">
        <f t="shared" si="188"/>
        <v>0</v>
      </c>
      <c r="M174" s="742">
        <f t="shared" si="188"/>
        <v>0</v>
      </c>
      <c r="N174" s="742">
        <f t="shared" si="188"/>
        <v>0</v>
      </c>
      <c r="O174" s="742">
        <f t="shared" si="188"/>
        <v>0</v>
      </c>
      <c r="P174" s="742">
        <f t="shared" si="188"/>
        <v>0</v>
      </c>
      <c r="Q174" s="743">
        <f>SUBTOTAL(9,Q162:Q173)</f>
        <v>0</v>
      </c>
      <c r="R174" s="742">
        <f t="shared" si="187"/>
        <v>0</v>
      </c>
      <c r="S174" s="742">
        <f t="shared" si="187"/>
        <v>0</v>
      </c>
      <c r="T174" s="742">
        <f t="shared" si="187"/>
        <v>0</v>
      </c>
      <c r="U174" s="742">
        <f t="shared" si="187"/>
        <v>0</v>
      </c>
    </row>
    <row r="175" spans="2:21" s="119" customFormat="1" ht="19.5" hidden="1" thickBot="1" x14ac:dyDescent="0.3">
      <c r="B175" s="340"/>
      <c r="D175" s="117"/>
      <c r="E175" s="117"/>
      <c r="F175" s="118"/>
      <c r="G175" s="118"/>
      <c r="I175" s="118"/>
      <c r="J175" s="118"/>
      <c r="K175" s="118"/>
      <c r="L175" s="118"/>
      <c r="O175" s="118"/>
      <c r="Q175" s="120"/>
      <c r="R175" s="117"/>
      <c r="S175" s="118"/>
      <c r="U175" s="120"/>
    </row>
    <row r="176" spans="2:21" s="119" customFormat="1" ht="75.75" hidden="1" thickBot="1" x14ac:dyDescent="0.3">
      <c r="B176" s="301"/>
      <c r="C176" s="119">
        <f>IF($E176&gt;0,1,0)</f>
        <v>0</v>
      </c>
      <c r="D176" s="96" t="str">
        <f>A13</f>
        <v>Clinton</v>
      </c>
      <c r="E176" s="166">
        <f>IFERROR(SUMIF(A:A,D176,B:B),0)</f>
        <v>0</v>
      </c>
      <c r="F176" s="98" t="s">
        <v>356</v>
      </c>
      <c r="G176" s="98" t="s">
        <v>373</v>
      </c>
      <c r="H176" s="98" t="s">
        <v>358</v>
      </c>
      <c r="I176" s="98" t="s">
        <v>109</v>
      </c>
      <c r="J176" s="98" t="s">
        <v>111</v>
      </c>
      <c r="K176" s="98" t="s">
        <v>469</v>
      </c>
      <c r="L176" s="98" t="s">
        <v>470</v>
      </c>
      <c r="M176" s="98" t="s">
        <v>357</v>
      </c>
      <c r="N176" s="509" t="s">
        <v>471</v>
      </c>
      <c r="O176" s="98" t="s">
        <v>472</v>
      </c>
      <c r="P176" s="98" t="s">
        <v>110</v>
      </c>
      <c r="Q176" s="99" t="s">
        <v>116</v>
      </c>
      <c r="R176" s="98" t="s">
        <v>112</v>
      </c>
      <c r="S176" s="98" t="s">
        <v>113</v>
      </c>
      <c r="T176" s="98" t="s">
        <v>114</v>
      </c>
      <c r="U176" s="98" t="s">
        <v>115</v>
      </c>
    </row>
    <row r="177" spans="2:21" s="119" customFormat="1" ht="19.5" hidden="1" thickBot="1" x14ac:dyDescent="0.3">
      <c r="B177" s="301"/>
      <c r="C177" s="119">
        <f>C176</f>
        <v>0</v>
      </c>
      <c r="D177" s="101"/>
      <c r="E177" s="102"/>
      <c r="F177" s="84" t="s">
        <v>57</v>
      </c>
      <c r="G177" s="84" t="s">
        <v>56</v>
      </c>
      <c r="H177" s="84" t="s">
        <v>55</v>
      </c>
      <c r="I177" s="84" t="s">
        <v>54</v>
      </c>
      <c r="J177" s="84" t="s">
        <v>53</v>
      </c>
      <c r="K177" s="84" t="s">
        <v>52</v>
      </c>
      <c r="L177" s="84" t="s">
        <v>51</v>
      </c>
      <c r="M177" s="84" t="s">
        <v>50</v>
      </c>
      <c r="N177" s="84" t="s">
        <v>49</v>
      </c>
      <c r="O177" s="84" t="s">
        <v>47</v>
      </c>
      <c r="P177" s="84" t="s">
        <v>77</v>
      </c>
      <c r="Q177" s="83" t="s">
        <v>78</v>
      </c>
      <c r="R177" s="84" t="s">
        <v>79</v>
      </c>
      <c r="S177" s="84" t="s">
        <v>81</v>
      </c>
      <c r="T177" s="84" t="s">
        <v>83</v>
      </c>
      <c r="U177" s="84" t="s">
        <v>85</v>
      </c>
    </row>
    <row r="178" spans="2:21" s="119" customFormat="1" ht="19.5" hidden="1" thickBot="1" x14ac:dyDescent="0.35">
      <c r="B178" s="301"/>
      <c r="C178" s="119">
        <f t="shared" ref="C178:C191" si="189">C177</f>
        <v>0</v>
      </c>
      <c r="D178" s="103" t="s">
        <v>26</v>
      </c>
      <c r="E178" s="104"/>
      <c r="F178" s="745"/>
      <c r="G178" s="745"/>
      <c r="H178" s="746"/>
      <c r="I178" s="745"/>
      <c r="J178" s="745"/>
      <c r="K178" s="745"/>
      <c r="L178" s="745"/>
      <c r="M178" s="746"/>
      <c r="N178" s="746"/>
      <c r="O178" s="745"/>
      <c r="P178" s="746"/>
      <c r="Q178" s="747"/>
      <c r="R178" s="748"/>
      <c r="S178" s="745"/>
      <c r="T178" s="746"/>
      <c r="U178" s="749"/>
    </row>
    <row r="179" spans="2:21" s="119" customFormat="1" ht="19.5" hidden="1" thickBot="1" x14ac:dyDescent="0.3">
      <c r="B179" s="301"/>
      <c r="C179" s="119">
        <f t="shared" si="189"/>
        <v>0</v>
      </c>
      <c r="D179" s="109" t="s">
        <v>93</v>
      </c>
      <c r="E179" s="76" t="s">
        <v>57</v>
      </c>
      <c r="F179" s="733">
        <f>F6*$E$176</f>
        <v>0</v>
      </c>
      <c r="G179" s="733">
        <f>G6*$E$176</f>
        <v>0</v>
      </c>
      <c r="H179" s="733">
        <f>H6*$E$176</f>
        <v>0</v>
      </c>
      <c r="I179" s="733">
        <f>I6*$E$176</f>
        <v>0</v>
      </c>
      <c r="J179" s="733">
        <f>J6*$E$176</f>
        <v>0</v>
      </c>
      <c r="K179" s="733">
        <f t="shared" ref="K179:P179" si="190">K6*$E$176</f>
        <v>0</v>
      </c>
      <c r="L179" s="733">
        <f t="shared" si="190"/>
        <v>0</v>
      </c>
      <c r="M179" s="733">
        <f t="shared" si="190"/>
        <v>0</v>
      </c>
      <c r="N179" s="733">
        <f t="shared" si="190"/>
        <v>0</v>
      </c>
      <c r="O179" s="733">
        <f t="shared" si="190"/>
        <v>0</v>
      </c>
      <c r="P179" s="733">
        <f t="shared" si="190"/>
        <v>0</v>
      </c>
      <c r="Q179" s="734">
        <f t="shared" ref="Q179:Q190" si="191">SUM(F179:P179)</f>
        <v>0</v>
      </c>
      <c r="R179" s="733">
        <f t="shared" ref="R179:U179" si="192">R6*$E$176</f>
        <v>0</v>
      </c>
      <c r="S179" s="733">
        <f t="shared" si="192"/>
        <v>0</v>
      </c>
      <c r="T179" s="733">
        <f t="shared" ca="1" si="192"/>
        <v>0</v>
      </c>
      <c r="U179" s="733">
        <f t="shared" ca="1" si="192"/>
        <v>0</v>
      </c>
    </row>
    <row r="180" spans="2:21" s="119" customFormat="1" ht="19.5" hidden="1" thickBot="1" x14ac:dyDescent="0.3">
      <c r="B180" s="301"/>
      <c r="C180" s="119">
        <f t="shared" si="189"/>
        <v>0</v>
      </c>
      <c r="D180" s="110" t="s">
        <v>92</v>
      </c>
      <c r="E180" s="76" t="s">
        <v>56</v>
      </c>
      <c r="F180" s="733">
        <f t="shared" ref="F180:U182" si="193">F7*$E$176</f>
        <v>0</v>
      </c>
      <c r="G180" s="733">
        <f t="shared" ref="G180:J182" si="194">G7*$E$176</f>
        <v>0</v>
      </c>
      <c r="H180" s="733">
        <f t="shared" si="194"/>
        <v>0</v>
      </c>
      <c r="I180" s="733">
        <f t="shared" si="194"/>
        <v>0</v>
      </c>
      <c r="J180" s="733">
        <f t="shared" si="194"/>
        <v>0</v>
      </c>
      <c r="K180" s="733">
        <f t="shared" ref="K180:P180" si="195">K7*$E$176</f>
        <v>0</v>
      </c>
      <c r="L180" s="733">
        <f t="shared" si="195"/>
        <v>0</v>
      </c>
      <c r="M180" s="733">
        <f t="shared" si="195"/>
        <v>0</v>
      </c>
      <c r="N180" s="733">
        <f t="shared" si="195"/>
        <v>0</v>
      </c>
      <c r="O180" s="733">
        <f t="shared" si="195"/>
        <v>0</v>
      </c>
      <c r="P180" s="733">
        <f t="shared" si="195"/>
        <v>0</v>
      </c>
      <c r="Q180" s="734">
        <f t="shared" si="191"/>
        <v>0</v>
      </c>
      <c r="R180" s="733">
        <f t="shared" si="193"/>
        <v>0</v>
      </c>
      <c r="S180" s="733">
        <f t="shared" si="193"/>
        <v>0</v>
      </c>
      <c r="T180" s="733">
        <f t="shared" si="193"/>
        <v>0</v>
      </c>
      <c r="U180" s="733">
        <f t="shared" si="193"/>
        <v>0</v>
      </c>
    </row>
    <row r="181" spans="2:21" s="119" customFormat="1" ht="19.5" hidden="1" thickBot="1" x14ac:dyDescent="0.3">
      <c r="B181" s="301"/>
      <c r="C181" s="119">
        <f t="shared" si="189"/>
        <v>0</v>
      </c>
      <c r="D181" s="110" t="s">
        <v>91</v>
      </c>
      <c r="E181" s="76" t="s">
        <v>55</v>
      </c>
      <c r="F181" s="733">
        <f t="shared" si="193"/>
        <v>0</v>
      </c>
      <c r="G181" s="733">
        <f t="shared" si="194"/>
        <v>0</v>
      </c>
      <c r="H181" s="733">
        <f t="shared" si="194"/>
        <v>0</v>
      </c>
      <c r="I181" s="733">
        <f t="shared" si="194"/>
        <v>0</v>
      </c>
      <c r="J181" s="733">
        <f t="shared" si="194"/>
        <v>0</v>
      </c>
      <c r="K181" s="733">
        <f t="shared" ref="K181:P181" si="196">K8*$E$176</f>
        <v>0</v>
      </c>
      <c r="L181" s="733">
        <f t="shared" si="196"/>
        <v>0</v>
      </c>
      <c r="M181" s="733">
        <f t="shared" si="196"/>
        <v>0</v>
      </c>
      <c r="N181" s="733">
        <f t="shared" si="196"/>
        <v>0</v>
      </c>
      <c r="O181" s="733">
        <f t="shared" si="196"/>
        <v>0</v>
      </c>
      <c r="P181" s="733">
        <f t="shared" si="196"/>
        <v>0</v>
      </c>
      <c r="Q181" s="734">
        <f t="shared" si="191"/>
        <v>0</v>
      </c>
      <c r="R181" s="733">
        <f t="shared" si="193"/>
        <v>0</v>
      </c>
      <c r="S181" s="733">
        <f t="shared" si="193"/>
        <v>0</v>
      </c>
      <c r="T181" s="733">
        <f t="shared" ca="1" si="193"/>
        <v>0</v>
      </c>
      <c r="U181" s="733">
        <f t="shared" ca="1" si="193"/>
        <v>0</v>
      </c>
    </row>
    <row r="182" spans="2:21" s="119" customFormat="1" ht="19.5" hidden="1" thickBot="1" x14ac:dyDescent="0.3">
      <c r="B182" s="301"/>
      <c r="C182" s="119">
        <f t="shared" si="189"/>
        <v>0</v>
      </c>
      <c r="D182" s="111" t="s">
        <v>117</v>
      </c>
      <c r="E182" s="76" t="s">
        <v>54</v>
      </c>
      <c r="F182" s="733">
        <f t="shared" si="193"/>
        <v>0</v>
      </c>
      <c r="G182" s="733">
        <f t="shared" si="194"/>
        <v>0</v>
      </c>
      <c r="H182" s="733">
        <f t="shared" si="194"/>
        <v>0</v>
      </c>
      <c r="I182" s="733">
        <f t="shared" si="194"/>
        <v>0</v>
      </c>
      <c r="J182" s="733">
        <f t="shared" si="194"/>
        <v>0</v>
      </c>
      <c r="K182" s="733">
        <f t="shared" ref="K182:P182" si="197">K9*$E$176</f>
        <v>0</v>
      </c>
      <c r="L182" s="733">
        <f t="shared" si="197"/>
        <v>0</v>
      </c>
      <c r="M182" s="733">
        <f t="shared" si="197"/>
        <v>0</v>
      </c>
      <c r="N182" s="733">
        <f t="shared" si="197"/>
        <v>0</v>
      </c>
      <c r="O182" s="733">
        <f t="shared" si="197"/>
        <v>0</v>
      </c>
      <c r="P182" s="733">
        <f t="shared" si="197"/>
        <v>0</v>
      </c>
      <c r="Q182" s="734">
        <f t="shared" si="191"/>
        <v>0</v>
      </c>
      <c r="R182" s="733">
        <f t="shared" si="193"/>
        <v>0</v>
      </c>
      <c r="S182" s="733">
        <f t="shared" si="193"/>
        <v>0</v>
      </c>
      <c r="T182" s="733">
        <f t="shared" si="193"/>
        <v>0</v>
      </c>
      <c r="U182" s="733">
        <f t="shared" si="193"/>
        <v>0</v>
      </c>
    </row>
    <row r="183" spans="2:21" s="119" customFormat="1" ht="19.5" hidden="1" thickBot="1" x14ac:dyDescent="0.35">
      <c r="B183" s="301"/>
      <c r="C183" s="119">
        <f t="shared" si="189"/>
        <v>0</v>
      </c>
      <c r="D183" s="112" t="s">
        <v>31</v>
      </c>
      <c r="E183" s="76"/>
      <c r="F183" s="750"/>
      <c r="G183" s="735"/>
      <c r="H183" s="736"/>
      <c r="I183" s="735"/>
      <c r="J183" s="735"/>
      <c r="K183" s="735"/>
      <c r="L183" s="735"/>
      <c r="M183" s="735"/>
      <c r="N183" s="735"/>
      <c r="O183" s="735"/>
      <c r="P183" s="735"/>
      <c r="Q183" s="734">
        <f t="shared" si="191"/>
        <v>0</v>
      </c>
      <c r="R183" s="739"/>
      <c r="S183" s="735"/>
      <c r="T183" s="740"/>
      <c r="U183" s="741"/>
    </row>
    <row r="184" spans="2:21" s="119" customFormat="1" ht="19.5" hidden="1" thickBot="1" x14ac:dyDescent="0.35">
      <c r="B184" s="301"/>
      <c r="C184" s="119">
        <f t="shared" si="189"/>
        <v>0</v>
      </c>
      <c r="D184" s="113" t="s">
        <v>118</v>
      </c>
      <c r="E184" s="76" t="s">
        <v>53</v>
      </c>
      <c r="F184" s="733">
        <f t="shared" ref="F184:U190" si="198">F11*$E$176</f>
        <v>0</v>
      </c>
      <c r="G184" s="733">
        <f t="shared" ref="G184:J190" si="199">G11*$E$176</f>
        <v>0</v>
      </c>
      <c r="H184" s="733">
        <f t="shared" si="199"/>
        <v>0</v>
      </c>
      <c r="I184" s="733">
        <f t="shared" si="199"/>
        <v>0</v>
      </c>
      <c r="J184" s="733">
        <f t="shared" si="199"/>
        <v>0</v>
      </c>
      <c r="K184" s="733">
        <f t="shared" ref="K184:P184" si="200">K11*$E$176</f>
        <v>0</v>
      </c>
      <c r="L184" s="733">
        <f t="shared" si="200"/>
        <v>0</v>
      </c>
      <c r="M184" s="733">
        <f t="shared" si="200"/>
        <v>0</v>
      </c>
      <c r="N184" s="733">
        <f t="shared" si="200"/>
        <v>0</v>
      </c>
      <c r="O184" s="733">
        <f t="shared" si="200"/>
        <v>0</v>
      </c>
      <c r="P184" s="733">
        <f t="shared" si="200"/>
        <v>0</v>
      </c>
      <c r="Q184" s="734">
        <f t="shared" si="191"/>
        <v>0</v>
      </c>
      <c r="R184" s="733">
        <f t="shared" si="198"/>
        <v>0</v>
      </c>
      <c r="S184" s="733">
        <f t="shared" si="198"/>
        <v>0</v>
      </c>
      <c r="T184" s="733">
        <f t="shared" si="198"/>
        <v>0</v>
      </c>
      <c r="U184" s="733">
        <f t="shared" si="198"/>
        <v>0</v>
      </c>
    </row>
    <row r="185" spans="2:21" s="119" customFormat="1" ht="19.5" hidden="1" thickBot="1" x14ac:dyDescent="0.35">
      <c r="B185" s="301"/>
      <c r="C185" s="119">
        <f t="shared" si="189"/>
        <v>0</v>
      </c>
      <c r="D185" s="113" t="s">
        <v>119</v>
      </c>
      <c r="E185" s="76" t="s">
        <v>52</v>
      </c>
      <c r="F185" s="733">
        <f t="shared" si="198"/>
        <v>0</v>
      </c>
      <c r="G185" s="733">
        <f t="shared" si="199"/>
        <v>0</v>
      </c>
      <c r="H185" s="733">
        <f t="shared" si="199"/>
        <v>0</v>
      </c>
      <c r="I185" s="733">
        <f t="shared" si="199"/>
        <v>0</v>
      </c>
      <c r="J185" s="733">
        <f t="shared" si="199"/>
        <v>0</v>
      </c>
      <c r="K185" s="733">
        <f t="shared" ref="K185:P185" si="201">K12*$E$176</f>
        <v>0</v>
      </c>
      <c r="L185" s="733">
        <f t="shared" si="201"/>
        <v>0</v>
      </c>
      <c r="M185" s="733">
        <f t="shared" si="201"/>
        <v>0</v>
      </c>
      <c r="N185" s="733">
        <f t="shared" si="201"/>
        <v>0</v>
      </c>
      <c r="O185" s="733">
        <f t="shared" si="201"/>
        <v>0</v>
      </c>
      <c r="P185" s="733">
        <f t="shared" si="201"/>
        <v>0</v>
      </c>
      <c r="Q185" s="734">
        <f t="shared" si="191"/>
        <v>0</v>
      </c>
      <c r="R185" s="733">
        <f t="shared" si="198"/>
        <v>0</v>
      </c>
      <c r="S185" s="733">
        <f t="shared" si="198"/>
        <v>0</v>
      </c>
      <c r="T185" s="733">
        <f t="shared" si="198"/>
        <v>0</v>
      </c>
      <c r="U185" s="733">
        <f t="shared" si="198"/>
        <v>0</v>
      </c>
    </row>
    <row r="186" spans="2:21" s="119" customFormat="1" ht="19.5" hidden="1" thickBot="1" x14ac:dyDescent="0.35">
      <c r="B186" s="301"/>
      <c r="C186" s="119">
        <f t="shared" si="189"/>
        <v>0</v>
      </c>
      <c r="D186" s="113" t="s">
        <v>120</v>
      </c>
      <c r="E186" s="76" t="s">
        <v>51</v>
      </c>
      <c r="F186" s="733">
        <f t="shared" si="198"/>
        <v>0</v>
      </c>
      <c r="G186" s="733">
        <f t="shared" si="199"/>
        <v>0</v>
      </c>
      <c r="H186" s="733">
        <f t="shared" si="199"/>
        <v>0</v>
      </c>
      <c r="I186" s="733">
        <f t="shared" si="199"/>
        <v>0</v>
      </c>
      <c r="J186" s="733">
        <f t="shared" si="199"/>
        <v>0</v>
      </c>
      <c r="K186" s="733">
        <f t="shared" ref="K186:P186" si="202">K13*$E$176</f>
        <v>0</v>
      </c>
      <c r="L186" s="733">
        <f t="shared" si="202"/>
        <v>0</v>
      </c>
      <c r="M186" s="733">
        <f t="shared" si="202"/>
        <v>0</v>
      </c>
      <c r="N186" s="733">
        <f t="shared" si="202"/>
        <v>0</v>
      </c>
      <c r="O186" s="733">
        <f t="shared" si="202"/>
        <v>0</v>
      </c>
      <c r="P186" s="733">
        <f t="shared" si="202"/>
        <v>0</v>
      </c>
      <c r="Q186" s="734">
        <f t="shared" si="191"/>
        <v>0</v>
      </c>
      <c r="R186" s="733">
        <f t="shared" si="198"/>
        <v>0</v>
      </c>
      <c r="S186" s="733">
        <f t="shared" si="198"/>
        <v>0</v>
      </c>
      <c r="T186" s="733">
        <f t="shared" si="198"/>
        <v>0</v>
      </c>
      <c r="U186" s="733">
        <f t="shared" si="198"/>
        <v>0</v>
      </c>
    </row>
    <row r="187" spans="2:21" s="119" customFormat="1" ht="19.5" hidden="1" thickBot="1" x14ac:dyDescent="0.35">
      <c r="B187" s="301"/>
      <c r="C187" s="119">
        <f t="shared" si="189"/>
        <v>0</v>
      </c>
      <c r="D187" s="113" t="s">
        <v>121</v>
      </c>
      <c r="E187" s="76" t="s">
        <v>50</v>
      </c>
      <c r="F187" s="733">
        <f t="shared" si="198"/>
        <v>0</v>
      </c>
      <c r="G187" s="733">
        <f t="shared" si="199"/>
        <v>0</v>
      </c>
      <c r="H187" s="733">
        <f t="shared" si="199"/>
        <v>0</v>
      </c>
      <c r="I187" s="733">
        <f t="shared" si="199"/>
        <v>0</v>
      </c>
      <c r="J187" s="733">
        <f t="shared" si="199"/>
        <v>0</v>
      </c>
      <c r="K187" s="733">
        <f t="shared" ref="K187:P187" si="203">K14*$E$176</f>
        <v>0</v>
      </c>
      <c r="L187" s="733">
        <f t="shared" si="203"/>
        <v>0</v>
      </c>
      <c r="M187" s="733">
        <f t="shared" si="203"/>
        <v>0</v>
      </c>
      <c r="N187" s="733">
        <f t="shared" si="203"/>
        <v>0</v>
      </c>
      <c r="O187" s="733">
        <f t="shared" si="203"/>
        <v>0</v>
      </c>
      <c r="P187" s="733">
        <f t="shared" si="203"/>
        <v>0</v>
      </c>
      <c r="Q187" s="734">
        <f t="shared" si="191"/>
        <v>0</v>
      </c>
      <c r="R187" s="733">
        <f t="shared" si="198"/>
        <v>0</v>
      </c>
      <c r="S187" s="733">
        <f t="shared" si="198"/>
        <v>0</v>
      </c>
      <c r="T187" s="733">
        <f t="shared" si="198"/>
        <v>0</v>
      </c>
      <c r="U187" s="733">
        <f t="shared" si="198"/>
        <v>0</v>
      </c>
    </row>
    <row r="188" spans="2:21" s="119" customFormat="1" ht="19.5" hidden="1" thickBot="1" x14ac:dyDescent="0.35">
      <c r="B188" s="301"/>
      <c r="C188" s="119">
        <f t="shared" si="189"/>
        <v>0</v>
      </c>
      <c r="D188" s="113" t="s">
        <v>122</v>
      </c>
      <c r="E188" s="76" t="s">
        <v>49</v>
      </c>
      <c r="F188" s="733">
        <f t="shared" si="198"/>
        <v>0</v>
      </c>
      <c r="G188" s="733">
        <f t="shared" si="199"/>
        <v>0</v>
      </c>
      <c r="H188" s="733">
        <f t="shared" si="199"/>
        <v>0</v>
      </c>
      <c r="I188" s="733">
        <f t="shared" si="199"/>
        <v>0</v>
      </c>
      <c r="J188" s="733">
        <f t="shared" si="199"/>
        <v>0</v>
      </c>
      <c r="K188" s="733">
        <f t="shared" ref="K188:P188" si="204">K15*$E$176</f>
        <v>0</v>
      </c>
      <c r="L188" s="733">
        <f t="shared" si="204"/>
        <v>0</v>
      </c>
      <c r="M188" s="733">
        <f t="shared" si="204"/>
        <v>0</v>
      </c>
      <c r="N188" s="733">
        <f t="shared" si="204"/>
        <v>0</v>
      </c>
      <c r="O188" s="733">
        <f t="shared" si="204"/>
        <v>0</v>
      </c>
      <c r="P188" s="733">
        <f t="shared" si="204"/>
        <v>0</v>
      </c>
      <c r="Q188" s="734">
        <f t="shared" si="191"/>
        <v>0</v>
      </c>
      <c r="R188" s="733">
        <f t="shared" si="198"/>
        <v>0</v>
      </c>
      <c r="S188" s="733">
        <f t="shared" si="198"/>
        <v>0</v>
      </c>
      <c r="T188" s="733">
        <f t="shared" si="198"/>
        <v>0</v>
      </c>
      <c r="U188" s="733">
        <f t="shared" si="198"/>
        <v>0</v>
      </c>
    </row>
    <row r="189" spans="2:21" s="119" customFormat="1" ht="19.5" hidden="1" thickBot="1" x14ac:dyDescent="0.35">
      <c r="B189" s="301"/>
      <c r="C189" s="119">
        <f t="shared" si="189"/>
        <v>0</v>
      </c>
      <c r="D189" s="113" t="s">
        <v>123</v>
      </c>
      <c r="E189" s="76" t="s">
        <v>47</v>
      </c>
      <c r="F189" s="733">
        <f t="shared" si="198"/>
        <v>0</v>
      </c>
      <c r="G189" s="733">
        <f t="shared" si="199"/>
        <v>0</v>
      </c>
      <c r="H189" s="733">
        <f t="shared" si="199"/>
        <v>0</v>
      </c>
      <c r="I189" s="733">
        <f t="shared" si="199"/>
        <v>0</v>
      </c>
      <c r="J189" s="733">
        <f t="shared" si="199"/>
        <v>0</v>
      </c>
      <c r="K189" s="733">
        <f t="shared" ref="K189:P189" si="205">K16*$E$176</f>
        <v>0</v>
      </c>
      <c r="L189" s="733">
        <f t="shared" si="205"/>
        <v>0</v>
      </c>
      <c r="M189" s="733">
        <f t="shared" si="205"/>
        <v>0</v>
      </c>
      <c r="N189" s="733">
        <f t="shared" si="205"/>
        <v>0</v>
      </c>
      <c r="O189" s="733">
        <f t="shared" si="205"/>
        <v>0</v>
      </c>
      <c r="P189" s="733">
        <f t="shared" si="205"/>
        <v>0</v>
      </c>
      <c r="Q189" s="734">
        <f t="shared" si="191"/>
        <v>0</v>
      </c>
      <c r="R189" s="733">
        <f t="shared" si="198"/>
        <v>0</v>
      </c>
      <c r="S189" s="733">
        <f t="shared" si="198"/>
        <v>0</v>
      </c>
      <c r="T189" s="733">
        <f t="shared" si="198"/>
        <v>0</v>
      </c>
      <c r="U189" s="733">
        <f t="shared" si="198"/>
        <v>0</v>
      </c>
    </row>
    <row r="190" spans="2:21" s="119" customFormat="1" ht="19.5" hidden="1" thickBot="1" x14ac:dyDescent="0.35">
      <c r="B190" s="301"/>
      <c r="C190" s="119">
        <f t="shared" si="189"/>
        <v>0</v>
      </c>
      <c r="D190" s="114" t="s">
        <v>16</v>
      </c>
      <c r="E190" s="70" t="s">
        <v>77</v>
      </c>
      <c r="F190" s="733">
        <f t="shared" si="198"/>
        <v>0</v>
      </c>
      <c r="G190" s="733">
        <f t="shared" si="199"/>
        <v>0</v>
      </c>
      <c r="H190" s="733">
        <f t="shared" si="199"/>
        <v>0</v>
      </c>
      <c r="I190" s="733">
        <f t="shared" si="199"/>
        <v>0</v>
      </c>
      <c r="J190" s="733">
        <f t="shared" si="199"/>
        <v>0</v>
      </c>
      <c r="K190" s="733">
        <f t="shared" ref="K190:P190" si="206">K17*$E$176</f>
        <v>0</v>
      </c>
      <c r="L190" s="733">
        <f t="shared" si="206"/>
        <v>0</v>
      </c>
      <c r="M190" s="733">
        <f t="shared" si="206"/>
        <v>0</v>
      </c>
      <c r="N190" s="733">
        <f t="shared" si="206"/>
        <v>0</v>
      </c>
      <c r="O190" s="733">
        <f t="shared" si="206"/>
        <v>0</v>
      </c>
      <c r="P190" s="733">
        <f t="shared" si="206"/>
        <v>0</v>
      </c>
      <c r="Q190" s="734">
        <f t="shared" si="191"/>
        <v>0</v>
      </c>
      <c r="R190" s="733">
        <f t="shared" si="198"/>
        <v>0</v>
      </c>
      <c r="S190" s="733">
        <f t="shared" si="198"/>
        <v>0</v>
      </c>
      <c r="T190" s="733">
        <f t="shared" ca="1" si="198"/>
        <v>0</v>
      </c>
      <c r="U190" s="733">
        <f t="shared" ca="1" si="198"/>
        <v>0</v>
      </c>
    </row>
    <row r="191" spans="2:21" s="119" customFormat="1" ht="19.5" hidden="1" thickBot="1" x14ac:dyDescent="0.35">
      <c r="B191" s="301"/>
      <c r="C191" s="119">
        <f t="shared" si="189"/>
        <v>0</v>
      </c>
      <c r="D191" s="115" t="s">
        <v>124</v>
      </c>
      <c r="E191" s="116" t="s">
        <v>78</v>
      </c>
      <c r="F191" s="742">
        <f t="shared" ref="F191:U191" si="207">SUBTOTAL(9,F179:F190)</f>
        <v>0</v>
      </c>
      <c r="G191" s="742">
        <f>SUBTOTAL(9,G179:G190)</f>
        <v>0</v>
      </c>
      <c r="H191" s="742">
        <f>SUBTOTAL(9,H179:H190)</f>
        <v>0</v>
      </c>
      <c r="I191" s="742">
        <f>SUBTOTAL(9,I179:I190)</f>
        <v>0</v>
      </c>
      <c r="J191" s="742">
        <f>SUBTOTAL(9,J179:J190)</f>
        <v>0</v>
      </c>
      <c r="K191" s="742">
        <f t="shared" ref="K191:P191" si="208">SUBTOTAL(9,K179:K190)</f>
        <v>0</v>
      </c>
      <c r="L191" s="742">
        <f t="shared" si="208"/>
        <v>0</v>
      </c>
      <c r="M191" s="742">
        <f t="shared" si="208"/>
        <v>0</v>
      </c>
      <c r="N191" s="742">
        <f t="shared" si="208"/>
        <v>0</v>
      </c>
      <c r="O191" s="742">
        <f t="shared" si="208"/>
        <v>0</v>
      </c>
      <c r="P191" s="742">
        <f t="shared" si="208"/>
        <v>0</v>
      </c>
      <c r="Q191" s="743">
        <f>SUBTOTAL(9,Q179:Q190)</f>
        <v>0</v>
      </c>
      <c r="R191" s="742">
        <f t="shared" si="207"/>
        <v>0</v>
      </c>
      <c r="S191" s="742">
        <f t="shared" si="207"/>
        <v>0</v>
      </c>
      <c r="T191" s="742">
        <f t="shared" si="207"/>
        <v>0</v>
      </c>
      <c r="U191" s="742">
        <f t="shared" si="207"/>
        <v>0</v>
      </c>
    </row>
    <row r="192" spans="2:21" s="119" customFormat="1" ht="19.5" hidden="1" thickBot="1" x14ac:dyDescent="0.3">
      <c r="B192" s="340"/>
      <c r="D192" s="117"/>
      <c r="E192" s="117"/>
      <c r="F192" s="118"/>
      <c r="G192" s="118"/>
      <c r="I192" s="118"/>
      <c r="J192" s="118"/>
      <c r="K192" s="118"/>
      <c r="L192" s="118"/>
      <c r="O192" s="118"/>
      <c r="Q192" s="120"/>
      <c r="R192" s="117"/>
      <c r="S192" s="118"/>
      <c r="U192" s="120"/>
    </row>
    <row r="193" spans="2:21" ht="75" x14ac:dyDescent="0.25">
      <c r="B193" s="790"/>
      <c r="C193" s="117">
        <f>IF($E193&gt;0,1,0)</f>
        <v>1</v>
      </c>
      <c r="D193" s="96" t="str">
        <f>A14</f>
        <v>Columbia</v>
      </c>
      <c r="E193" s="166">
        <f>IFERROR(SUMIF(A:A,D193,B:B),0)</f>
        <v>1.1018389345949667E-4</v>
      </c>
      <c r="F193" s="98" t="s">
        <v>356</v>
      </c>
      <c r="G193" s="98" t="s">
        <v>373</v>
      </c>
      <c r="H193" s="98" t="s">
        <v>358</v>
      </c>
      <c r="I193" s="98" t="s">
        <v>109</v>
      </c>
      <c r="J193" s="98" t="s">
        <v>111</v>
      </c>
      <c r="K193" s="98" t="s">
        <v>469</v>
      </c>
      <c r="L193" s="98" t="s">
        <v>470</v>
      </c>
      <c r="M193" s="98" t="s">
        <v>357</v>
      </c>
      <c r="N193" s="509" t="s">
        <v>471</v>
      </c>
      <c r="O193" s="98" t="s">
        <v>472</v>
      </c>
      <c r="P193" s="98" t="s">
        <v>110</v>
      </c>
      <c r="Q193" s="99" t="s">
        <v>116</v>
      </c>
      <c r="R193" s="98" t="s">
        <v>112</v>
      </c>
      <c r="S193" s="98" t="s">
        <v>113</v>
      </c>
      <c r="T193" s="98" t="s">
        <v>114</v>
      </c>
      <c r="U193" s="98" t="s">
        <v>115</v>
      </c>
    </row>
    <row r="194" spans="2:21" ht="18.75" x14ac:dyDescent="0.25">
      <c r="B194" s="790"/>
      <c r="C194" s="117">
        <f>C193</f>
        <v>1</v>
      </c>
      <c r="D194" s="101"/>
      <c r="E194" s="102"/>
      <c r="F194" s="84" t="s">
        <v>57</v>
      </c>
      <c r="G194" s="84" t="s">
        <v>56</v>
      </c>
      <c r="H194" s="84" t="s">
        <v>55</v>
      </c>
      <c r="I194" s="84" t="s">
        <v>54</v>
      </c>
      <c r="J194" s="84" t="s">
        <v>53</v>
      </c>
      <c r="K194" s="84" t="s">
        <v>52</v>
      </c>
      <c r="L194" s="84" t="s">
        <v>51</v>
      </c>
      <c r="M194" s="84" t="s">
        <v>50</v>
      </c>
      <c r="N194" s="84" t="s">
        <v>49</v>
      </c>
      <c r="O194" s="84" t="s">
        <v>47</v>
      </c>
      <c r="P194" s="84" t="s">
        <v>77</v>
      </c>
      <c r="Q194" s="83" t="s">
        <v>78</v>
      </c>
      <c r="R194" s="84" t="s">
        <v>79</v>
      </c>
      <c r="S194" s="84" t="s">
        <v>81</v>
      </c>
      <c r="T194" s="84" t="s">
        <v>83</v>
      </c>
      <c r="U194" s="84" t="s">
        <v>85</v>
      </c>
    </row>
    <row r="195" spans="2:21" ht="18.75" x14ac:dyDescent="0.25">
      <c r="B195" s="790"/>
      <c r="C195" s="117">
        <f t="shared" ref="C195:C208" si="209">C194</f>
        <v>1</v>
      </c>
      <c r="D195" s="103" t="s">
        <v>26</v>
      </c>
      <c r="E195" s="104"/>
      <c r="F195" s="745"/>
      <c r="G195" s="745"/>
      <c r="H195" s="784"/>
      <c r="I195" s="745"/>
      <c r="J195" s="745"/>
      <c r="K195" s="745"/>
      <c r="L195" s="745"/>
      <c r="M195" s="784"/>
      <c r="N195" s="784"/>
      <c r="O195" s="745"/>
      <c r="P195" s="784"/>
      <c r="Q195" s="747"/>
      <c r="R195" s="748"/>
      <c r="S195" s="745"/>
      <c r="T195" s="784"/>
      <c r="U195" s="749"/>
    </row>
    <row r="196" spans="2:21" ht="18.75" x14ac:dyDescent="0.25">
      <c r="B196" s="790"/>
      <c r="C196" s="117">
        <f t="shared" si="209"/>
        <v>1</v>
      </c>
      <c r="D196" s="763" t="s">
        <v>93</v>
      </c>
      <c r="E196" s="84" t="s">
        <v>57</v>
      </c>
      <c r="F196" s="733">
        <f>F6*$E$193</f>
        <v>13908.907098344671</v>
      </c>
      <c r="G196" s="733">
        <f>G6*$E$193</f>
        <v>963.34281481847142</v>
      </c>
      <c r="H196" s="733">
        <f>H6*$E$193</f>
        <v>2.1599194377414288</v>
      </c>
      <c r="I196" s="733">
        <f>I6*$E$193</f>
        <v>346.05469081626904</v>
      </c>
      <c r="J196" s="733">
        <f>J6*$E$193</f>
        <v>252.4700427763251</v>
      </c>
      <c r="K196" s="733">
        <f t="shared" ref="K196:P196" si="210">K6*$E$193</f>
        <v>13.582766310607541</v>
      </c>
      <c r="L196" s="733">
        <f t="shared" si="210"/>
        <v>0</v>
      </c>
      <c r="M196" s="733">
        <f t="shared" si="210"/>
        <v>9.8664387766093213</v>
      </c>
      <c r="N196" s="733">
        <f t="shared" si="210"/>
        <v>0</v>
      </c>
      <c r="O196" s="733">
        <f t="shared" si="210"/>
        <v>64.441673730623606</v>
      </c>
      <c r="P196" s="733">
        <f t="shared" si="210"/>
        <v>0</v>
      </c>
      <c r="Q196" s="734">
        <f t="shared" ref="Q196:Q207" si="211">SUM(F196:P196)</f>
        <v>15560.82544501132</v>
      </c>
      <c r="R196" s="733">
        <f t="shared" ref="R196:U196" si="212">R6*$E$193</f>
        <v>0</v>
      </c>
      <c r="S196" s="733">
        <f t="shared" si="212"/>
        <v>1188.3686522775995</v>
      </c>
      <c r="T196" s="733">
        <f t="shared" ca="1" si="212"/>
        <v>489.91158243229216</v>
      </c>
      <c r="U196" s="733">
        <f t="shared" ca="1" si="212"/>
        <v>366.9659192794328</v>
      </c>
    </row>
    <row r="197" spans="2:21" ht="18.75" x14ac:dyDescent="0.25">
      <c r="B197" s="790"/>
      <c r="C197" s="117">
        <f t="shared" si="209"/>
        <v>1</v>
      </c>
      <c r="D197" s="765" t="s">
        <v>92</v>
      </c>
      <c r="E197" s="84" t="s">
        <v>56</v>
      </c>
      <c r="F197" s="733">
        <f t="shared" ref="F197:U199" si="213">F7*$E$193</f>
        <v>0</v>
      </c>
      <c r="G197" s="733">
        <f t="shared" ref="G197:J199" si="214">G7*$E$193</f>
        <v>0</v>
      </c>
      <c r="H197" s="733">
        <f t="shared" si="214"/>
        <v>0</v>
      </c>
      <c r="I197" s="733">
        <f t="shared" si="214"/>
        <v>0</v>
      </c>
      <c r="J197" s="733">
        <f t="shared" si="214"/>
        <v>0</v>
      </c>
      <c r="K197" s="733">
        <f t="shared" ref="K197:P197" si="215">K7*$E$193</f>
        <v>0</v>
      </c>
      <c r="L197" s="733">
        <f t="shared" si="215"/>
        <v>0</v>
      </c>
      <c r="M197" s="733">
        <f t="shared" si="215"/>
        <v>0</v>
      </c>
      <c r="N197" s="733">
        <f t="shared" si="215"/>
        <v>0</v>
      </c>
      <c r="O197" s="733">
        <f t="shared" si="215"/>
        <v>0</v>
      </c>
      <c r="P197" s="733">
        <f t="shared" si="215"/>
        <v>0</v>
      </c>
      <c r="Q197" s="734">
        <f t="shared" si="211"/>
        <v>0</v>
      </c>
      <c r="R197" s="733">
        <f t="shared" si="213"/>
        <v>0</v>
      </c>
      <c r="S197" s="733">
        <f t="shared" si="213"/>
        <v>0</v>
      </c>
      <c r="T197" s="733">
        <f t="shared" si="213"/>
        <v>0</v>
      </c>
      <c r="U197" s="733">
        <f t="shared" si="213"/>
        <v>0</v>
      </c>
    </row>
    <row r="198" spans="2:21" ht="18.75" x14ac:dyDescent="0.25">
      <c r="B198" s="790"/>
      <c r="C198" s="117">
        <f t="shared" si="209"/>
        <v>1</v>
      </c>
      <c r="D198" s="765" t="s">
        <v>91</v>
      </c>
      <c r="E198" s="84" t="s">
        <v>55</v>
      </c>
      <c r="F198" s="733">
        <f t="shared" si="213"/>
        <v>123.80152085215586</v>
      </c>
      <c r="G198" s="733">
        <f t="shared" si="214"/>
        <v>0</v>
      </c>
      <c r="H198" s="733">
        <f t="shared" si="214"/>
        <v>0</v>
      </c>
      <c r="I198" s="733">
        <f t="shared" si="214"/>
        <v>2.0687025997020498</v>
      </c>
      <c r="J198" s="733">
        <f t="shared" si="214"/>
        <v>0</v>
      </c>
      <c r="K198" s="733">
        <f t="shared" ref="K198:P198" si="216">K8*$E$193</f>
        <v>0</v>
      </c>
      <c r="L198" s="733">
        <f t="shared" si="216"/>
        <v>0</v>
      </c>
      <c r="M198" s="733">
        <f t="shared" si="216"/>
        <v>0</v>
      </c>
      <c r="N198" s="733">
        <f t="shared" si="216"/>
        <v>0</v>
      </c>
      <c r="O198" s="733">
        <f t="shared" si="216"/>
        <v>3.7154008874542277</v>
      </c>
      <c r="P198" s="733">
        <f t="shared" si="216"/>
        <v>0</v>
      </c>
      <c r="Q198" s="734">
        <f t="shared" si="211"/>
        <v>129.58562433931215</v>
      </c>
      <c r="R198" s="733">
        <f t="shared" si="213"/>
        <v>0</v>
      </c>
      <c r="S198" s="733">
        <f t="shared" si="213"/>
        <v>3.7409393102802695</v>
      </c>
      <c r="T198" s="733">
        <f t="shared" ca="1" si="213"/>
        <v>1.530828331131624</v>
      </c>
      <c r="U198" s="733">
        <f t="shared" ca="1" si="213"/>
        <v>0.15271441626273244</v>
      </c>
    </row>
    <row r="199" spans="2:21" ht="18.75" x14ac:dyDescent="0.25">
      <c r="B199" s="790"/>
      <c r="C199" s="117">
        <f t="shared" si="209"/>
        <v>1</v>
      </c>
      <c r="D199" s="766" t="s">
        <v>117</v>
      </c>
      <c r="E199" s="84" t="s">
        <v>54</v>
      </c>
      <c r="F199" s="733">
        <f t="shared" si="213"/>
        <v>0</v>
      </c>
      <c r="G199" s="733">
        <f t="shared" si="214"/>
        <v>0</v>
      </c>
      <c r="H199" s="733">
        <f t="shared" si="214"/>
        <v>0</v>
      </c>
      <c r="I199" s="733">
        <f t="shared" si="214"/>
        <v>0</v>
      </c>
      <c r="J199" s="733">
        <f t="shared" si="214"/>
        <v>0</v>
      </c>
      <c r="K199" s="733">
        <f t="shared" ref="K199:P199" si="217">K9*$E$193</f>
        <v>0</v>
      </c>
      <c r="L199" s="733">
        <f t="shared" si="217"/>
        <v>0</v>
      </c>
      <c r="M199" s="733">
        <f t="shared" si="217"/>
        <v>0</v>
      </c>
      <c r="N199" s="733">
        <f t="shared" si="217"/>
        <v>0</v>
      </c>
      <c r="O199" s="733">
        <f t="shared" si="217"/>
        <v>0</v>
      </c>
      <c r="P199" s="733">
        <f t="shared" si="217"/>
        <v>0</v>
      </c>
      <c r="Q199" s="734">
        <f t="shared" si="211"/>
        <v>0</v>
      </c>
      <c r="R199" s="733">
        <f t="shared" si="213"/>
        <v>0</v>
      </c>
      <c r="S199" s="733">
        <f t="shared" si="213"/>
        <v>0</v>
      </c>
      <c r="T199" s="733">
        <f t="shared" si="213"/>
        <v>0</v>
      </c>
      <c r="U199" s="733">
        <f t="shared" si="213"/>
        <v>0</v>
      </c>
    </row>
    <row r="200" spans="2:21" ht="18.75" x14ac:dyDescent="0.25">
      <c r="B200" s="790"/>
      <c r="C200" s="117">
        <f t="shared" si="209"/>
        <v>1</v>
      </c>
      <c r="D200" s="112" t="s">
        <v>31</v>
      </c>
      <c r="E200" s="84"/>
      <c r="F200" s="767"/>
      <c r="G200" s="768"/>
      <c r="H200" s="769"/>
      <c r="I200" s="768"/>
      <c r="J200" s="768"/>
      <c r="K200" s="768"/>
      <c r="L200" s="768"/>
      <c r="M200" s="768"/>
      <c r="N200" s="768"/>
      <c r="O200" s="768"/>
      <c r="P200" s="768"/>
      <c r="Q200" s="734">
        <f t="shared" si="211"/>
        <v>0</v>
      </c>
      <c r="R200" s="772"/>
      <c r="S200" s="768"/>
      <c r="T200" s="773"/>
      <c r="U200" s="774"/>
    </row>
    <row r="201" spans="2:21" ht="18.75" x14ac:dyDescent="0.25">
      <c r="B201" s="790"/>
      <c r="C201" s="117">
        <f t="shared" si="209"/>
        <v>1</v>
      </c>
      <c r="D201" s="775" t="s">
        <v>118</v>
      </c>
      <c r="E201" s="84" t="s">
        <v>53</v>
      </c>
      <c r="F201" s="733">
        <f t="shared" ref="F201:U207" si="218">F11*$E$193</f>
        <v>0</v>
      </c>
      <c r="G201" s="733">
        <f t="shared" ref="G201:J207" si="219">G11*$E$193</f>
        <v>0</v>
      </c>
      <c r="H201" s="733">
        <f t="shared" si="219"/>
        <v>0</v>
      </c>
      <c r="I201" s="733">
        <f t="shared" si="219"/>
        <v>0</v>
      </c>
      <c r="J201" s="733">
        <f t="shared" si="219"/>
        <v>0</v>
      </c>
      <c r="K201" s="733">
        <f t="shared" ref="K201:P201" si="220">K11*$E$193</f>
        <v>0</v>
      </c>
      <c r="L201" s="733">
        <f t="shared" si="220"/>
        <v>0</v>
      </c>
      <c r="M201" s="733">
        <f t="shared" si="220"/>
        <v>0</v>
      </c>
      <c r="N201" s="733">
        <f t="shared" si="220"/>
        <v>0</v>
      </c>
      <c r="O201" s="733">
        <f t="shared" si="220"/>
        <v>0</v>
      </c>
      <c r="P201" s="733">
        <f t="shared" si="220"/>
        <v>0</v>
      </c>
      <c r="Q201" s="734">
        <f t="shared" si="211"/>
        <v>0</v>
      </c>
      <c r="R201" s="733">
        <f t="shared" si="218"/>
        <v>0</v>
      </c>
      <c r="S201" s="733">
        <f t="shared" si="218"/>
        <v>0</v>
      </c>
      <c r="T201" s="733">
        <f t="shared" si="218"/>
        <v>0</v>
      </c>
      <c r="U201" s="733">
        <f t="shared" si="218"/>
        <v>0</v>
      </c>
    </row>
    <row r="202" spans="2:21" ht="18.75" x14ac:dyDescent="0.25">
      <c r="B202" s="790"/>
      <c r="C202" s="117">
        <f t="shared" si="209"/>
        <v>1</v>
      </c>
      <c r="D202" s="775" t="s">
        <v>119</v>
      </c>
      <c r="E202" s="84" t="s">
        <v>52</v>
      </c>
      <c r="F202" s="733">
        <f t="shared" si="218"/>
        <v>0</v>
      </c>
      <c r="G202" s="733">
        <f t="shared" si="219"/>
        <v>0</v>
      </c>
      <c r="H202" s="733">
        <f t="shared" si="219"/>
        <v>0</v>
      </c>
      <c r="I202" s="733">
        <f t="shared" si="219"/>
        <v>0</v>
      </c>
      <c r="J202" s="733">
        <f t="shared" si="219"/>
        <v>0</v>
      </c>
      <c r="K202" s="733">
        <f t="shared" ref="K202:P202" si="221">K12*$E$193</f>
        <v>0</v>
      </c>
      <c r="L202" s="733">
        <f t="shared" si="221"/>
        <v>0</v>
      </c>
      <c r="M202" s="733">
        <f t="shared" si="221"/>
        <v>0</v>
      </c>
      <c r="N202" s="733">
        <f t="shared" si="221"/>
        <v>0</v>
      </c>
      <c r="O202" s="733">
        <f t="shared" si="221"/>
        <v>0</v>
      </c>
      <c r="P202" s="733">
        <f t="shared" si="221"/>
        <v>0</v>
      </c>
      <c r="Q202" s="734">
        <f t="shared" si="211"/>
        <v>0</v>
      </c>
      <c r="R202" s="733">
        <f t="shared" si="218"/>
        <v>0</v>
      </c>
      <c r="S202" s="733">
        <f t="shared" si="218"/>
        <v>0</v>
      </c>
      <c r="T202" s="733">
        <f t="shared" si="218"/>
        <v>0</v>
      </c>
      <c r="U202" s="733">
        <f t="shared" si="218"/>
        <v>0</v>
      </c>
    </row>
    <row r="203" spans="2:21" ht="18.75" x14ac:dyDescent="0.25">
      <c r="B203" s="790"/>
      <c r="C203" s="117">
        <f t="shared" si="209"/>
        <v>1</v>
      </c>
      <c r="D203" s="775" t="s">
        <v>120</v>
      </c>
      <c r="E203" s="84" t="s">
        <v>51</v>
      </c>
      <c r="F203" s="733">
        <f t="shared" si="218"/>
        <v>0</v>
      </c>
      <c r="G203" s="733">
        <f t="shared" si="219"/>
        <v>0</v>
      </c>
      <c r="H203" s="733">
        <f t="shared" si="219"/>
        <v>0</v>
      </c>
      <c r="I203" s="733">
        <f t="shared" si="219"/>
        <v>0</v>
      </c>
      <c r="J203" s="733">
        <f t="shared" si="219"/>
        <v>0</v>
      </c>
      <c r="K203" s="733">
        <f t="shared" ref="K203:P203" si="222">K13*$E$193</f>
        <v>0</v>
      </c>
      <c r="L203" s="733">
        <f t="shared" si="222"/>
        <v>0</v>
      </c>
      <c r="M203" s="733">
        <f t="shared" si="222"/>
        <v>0</v>
      </c>
      <c r="N203" s="733">
        <f t="shared" si="222"/>
        <v>0</v>
      </c>
      <c r="O203" s="733">
        <f t="shared" si="222"/>
        <v>0</v>
      </c>
      <c r="P203" s="733">
        <f t="shared" si="222"/>
        <v>0</v>
      </c>
      <c r="Q203" s="734">
        <f t="shared" si="211"/>
        <v>0</v>
      </c>
      <c r="R203" s="733">
        <f t="shared" si="218"/>
        <v>0</v>
      </c>
      <c r="S203" s="733">
        <f t="shared" si="218"/>
        <v>0</v>
      </c>
      <c r="T203" s="733">
        <f t="shared" si="218"/>
        <v>0</v>
      </c>
      <c r="U203" s="733">
        <f t="shared" si="218"/>
        <v>0</v>
      </c>
    </row>
    <row r="204" spans="2:21" ht="18.75" x14ac:dyDescent="0.25">
      <c r="B204" s="790"/>
      <c r="C204" s="117">
        <f t="shared" si="209"/>
        <v>1</v>
      </c>
      <c r="D204" s="775" t="s">
        <v>121</v>
      </c>
      <c r="E204" s="84" t="s">
        <v>50</v>
      </c>
      <c r="F204" s="733">
        <f t="shared" si="218"/>
        <v>0</v>
      </c>
      <c r="G204" s="733">
        <f t="shared" si="219"/>
        <v>0</v>
      </c>
      <c r="H204" s="733">
        <f t="shared" si="219"/>
        <v>0</v>
      </c>
      <c r="I204" s="733">
        <f t="shared" si="219"/>
        <v>0</v>
      </c>
      <c r="J204" s="733">
        <f t="shared" si="219"/>
        <v>0</v>
      </c>
      <c r="K204" s="733">
        <f t="shared" ref="K204:P204" si="223">K14*$E$193</f>
        <v>0</v>
      </c>
      <c r="L204" s="733">
        <f t="shared" si="223"/>
        <v>0</v>
      </c>
      <c r="M204" s="733">
        <f t="shared" si="223"/>
        <v>0</v>
      </c>
      <c r="N204" s="733">
        <f t="shared" si="223"/>
        <v>0</v>
      </c>
      <c r="O204" s="733">
        <f t="shared" si="223"/>
        <v>0</v>
      </c>
      <c r="P204" s="733">
        <f t="shared" si="223"/>
        <v>0</v>
      </c>
      <c r="Q204" s="734">
        <f t="shared" si="211"/>
        <v>0</v>
      </c>
      <c r="R204" s="733">
        <f t="shared" si="218"/>
        <v>0</v>
      </c>
      <c r="S204" s="733">
        <f t="shared" si="218"/>
        <v>0</v>
      </c>
      <c r="T204" s="733">
        <f t="shared" si="218"/>
        <v>0</v>
      </c>
      <c r="U204" s="733">
        <f t="shared" si="218"/>
        <v>0</v>
      </c>
    </row>
    <row r="205" spans="2:21" ht="18.75" x14ac:dyDescent="0.25">
      <c r="B205" s="790"/>
      <c r="C205" s="117">
        <f t="shared" si="209"/>
        <v>1</v>
      </c>
      <c r="D205" s="775" t="s">
        <v>122</v>
      </c>
      <c r="E205" s="84" t="s">
        <v>49</v>
      </c>
      <c r="F205" s="733">
        <f t="shared" si="218"/>
        <v>0</v>
      </c>
      <c r="G205" s="733">
        <f t="shared" si="219"/>
        <v>0</v>
      </c>
      <c r="H205" s="733">
        <f t="shared" si="219"/>
        <v>0</v>
      </c>
      <c r="I205" s="733">
        <f t="shared" si="219"/>
        <v>0</v>
      </c>
      <c r="J205" s="733">
        <f t="shared" si="219"/>
        <v>0</v>
      </c>
      <c r="K205" s="733">
        <f t="shared" ref="K205:P205" si="224">K15*$E$193</f>
        <v>0</v>
      </c>
      <c r="L205" s="733">
        <f t="shared" si="224"/>
        <v>0</v>
      </c>
      <c r="M205" s="733">
        <f t="shared" si="224"/>
        <v>0</v>
      </c>
      <c r="N205" s="733">
        <f t="shared" si="224"/>
        <v>0</v>
      </c>
      <c r="O205" s="733">
        <f t="shared" si="224"/>
        <v>0</v>
      </c>
      <c r="P205" s="733">
        <f t="shared" si="224"/>
        <v>0</v>
      </c>
      <c r="Q205" s="734">
        <f t="shared" si="211"/>
        <v>0</v>
      </c>
      <c r="R205" s="733">
        <f t="shared" si="218"/>
        <v>0</v>
      </c>
      <c r="S205" s="733">
        <f t="shared" si="218"/>
        <v>0</v>
      </c>
      <c r="T205" s="733">
        <f t="shared" si="218"/>
        <v>0</v>
      </c>
      <c r="U205" s="733">
        <f t="shared" si="218"/>
        <v>0</v>
      </c>
    </row>
    <row r="206" spans="2:21" ht="18.75" x14ac:dyDescent="0.25">
      <c r="B206" s="790"/>
      <c r="C206" s="117">
        <f t="shared" si="209"/>
        <v>1</v>
      </c>
      <c r="D206" s="775" t="s">
        <v>123</v>
      </c>
      <c r="E206" s="84" t="s">
        <v>47</v>
      </c>
      <c r="F206" s="733">
        <f t="shared" si="218"/>
        <v>0</v>
      </c>
      <c r="G206" s="733">
        <f t="shared" si="219"/>
        <v>0</v>
      </c>
      <c r="H206" s="733">
        <f t="shared" si="219"/>
        <v>0</v>
      </c>
      <c r="I206" s="733">
        <f t="shared" si="219"/>
        <v>0</v>
      </c>
      <c r="J206" s="733">
        <f t="shared" si="219"/>
        <v>0</v>
      </c>
      <c r="K206" s="733">
        <f t="shared" ref="K206:P206" si="225">K16*$E$193</f>
        <v>0</v>
      </c>
      <c r="L206" s="733">
        <f t="shared" si="225"/>
        <v>0</v>
      </c>
      <c r="M206" s="733">
        <f t="shared" si="225"/>
        <v>0</v>
      </c>
      <c r="N206" s="733">
        <f t="shared" si="225"/>
        <v>0</v>
      </c>
      <c r="O206" s="733">
        <f t="shared" si="225"/>
        <v>0</v>
      </c>
      <c r="P206" s="733">
        <f t="shared" si="225"/>
        <v>0</v>
      </c>
      <c r="Q206" s="734">
        <f t="shared" si="211"/>
        <v>0</v>
      </c>
      <c r="R206" s="733">
        <f t="shared" si="218"/>
        <v>0</v>
      </c>
      <c r="S206" s="733">
        <f t="shared" si="218"/>
        <v>0</v>
      </c>
      <c r="T206" s="733">
        <f t="shared" si="218"/>
        <v>0</v>
      </c>
      <c r="U206" s="733">
        <f t="shared" si="218"/>
        <v>0</v>
      </c>
    </row>
    <row r="207" spans="2:21" ht="19.5" thickBot="1" x14ac:dyDescent="0.3">
      <c r="B207" s="790"/>
      <c r="C207" s="117">
        <f t="shared" si="209"/>
        <v>1</v>
      </c>
      <c r="D207" s="776" t="s">
        <v>16</v>
      </c>
      <c r="E207" s="777" t="s">
        <v>77</v>
      </c>
      <c r="F207" s="733">
        <f t="shared" si="218"/>
        <v>1537.8677503812141</v>
      </c>
      <c r="G207" s="733">
        <f t="shared" si="219"/>
        <v>30.549498808187117</v>
      </c>
      <c r="H207" s="733">
        <f t="shared" si="219"/>
        <v>0</v>
      </c>
      <c r="I207" s="733">
        <f t="shared" si="219"/>
        <v>0</v>
      </c>
      <c r="J207" s="733">
        <f t="shared" si="219"/>
        <v>65.221337723771825</v>
      </c>
      <c r="K207" s="733">
        <f t="shared" ref="K207:P207" si="226">K17*$E$193</f>
        <v>0.2685190823859907</v>
      </c>
      <c r="L207" s="733">
        <f t="shared" si="226"/>
        <v>3.7788340707322454E-2</v>
      </c>
      <c r="M207" s="733">
        <f t="shared" si="226"/>
        <v>0</v>
      </c>
      <c r="N207" s="733">
        <f t="shared" si="226"/>
        <v>0</v>
      </c>
      <c r="O207" s="733">
        <f t="shared" si="226"/>
        <v>19.544730991974788</v>
      </c>
      <c r="P207" s="733">
        <f t="shared" si="226"/>
        <v>332.87882804942888</v>
      </c>
      <c r="Q207" s="734">
        <f t="shared" si="211"/>
        <v>1986.36845337767</v>
      </c>
      <c r="R207" s="733">
        <f t="shared" si="218"/>
        <v>0</v>
      </c>
      <c r="S207" s="733">
        <f t="shared" si="218"/>
        <v>138.11884295878608</v>
      </c>
      <c r="T207" s="733">
        <f t="shared" ca="1" si="218"/>
        <v>40.058177958523899</v>
      </c>
      <c r="U207" s="733">
        <f t="shared" ca="1" si="218"/>
        <v>2.2826424896350876</v>
      </c>
    </row>
    <row r="208" spans="2:21" ht="19.5" thickBot="1" x14ac:dyDescent="0.3">
      <c r="B208" s="790"/>
      <c r="C208" s="117">
        <f t="shared" si="209"/>
        <v>1</v>
      </c>
      <c r="D208" s="115" t="s">
        <v>124</v>
      </c>
      <c r="E208" s="778" t="s">
        <v>78</v>
      </c>
      <c r="F208" s="779">
        <f t="shared" ref="F208:U208" si="227">SUBTOTAL(9,F196:F207)</f>
        <v>15570.576369578041</v>
      </c>
      <c r="G208" s="779">
        <f>SUBTOTAL(9,G196:G207)</f>
        <v>993.89231362665851</v>
      </c>
      <c r="H208" s="779">
        <f>SUBTOTAL(9,H196:H207)</f>
        <v>2.1599194377414288</v>
      </c>
      <c r="I208" s="779">
        <f>SUBTOTAL(9,I196:I207)</f>
        <v>348.12339341597112</v>
      </c>
      <c r="J208" s="779">
        <f>SUBTOTAL(9,J196:J207)</f>
        <v>317.6913805000969</v>
      </c>
      <c r="K208" s="779">
        <f t="shared" ref="K208:P208" si="228">SUBTOTAL(9,K196:K207)</f>
        <v>13.851285392993532</v>
      </c>
      <c r="L208" s="779">
        <f t="shared" si="228"/>
        <v>3.7788340707322454E-2</v>
      </c>
      <c r="M208" s="779">
        <f t="shared" si="228"/>
        <v>9.8664387766093213</v>
      </c>
      <c r="N208" s="779">
        <f t="shared" si="228"/>
        <v>0</v>
      </c>
      <c r="O208" s="779">
        <f t="shared" si="228"/>
        <v>87.701805610052617</v>
      </c>
      <c r="P208" s="779">
        <f t="shared" si="228"/>
        <v>332.87882804942888</v>
      </c>
      <c r="Q208" s="780">
        <f>SUBTOTAL(9,Q196:Q207)</f>
        <v>17676.779522728302</v>
      </c>
      <c r="R208" s="779">
        <f t="shared" si="227"/>
        <v>0</v>
      </c>
      <c r="S208" s="779">
        <f t="shared" si="227"/>
        <v>1330.2284345466658</v>
      </c>
      <c r="T208" s="779">
        <f t="shared" ca="1" si="227"/>
        <v>531.50058872194768</v>
      </c>
      <c r="U208" s="779">
        <f t="shared" ca="1" si="227"/>
        <v>369.40127618533057</v>
      </c>
    </row>
    <row r="209" spans="2:21" s="119" customFormat="1" ht="19.5" hidden="1" thickBot="1" x14ac:dyDescent="0.3">
      <c r="B209" s="340"/>
      <c r="D209" s="117"/>
      <c r="E209" s="117"/>
      <c r="F209" s="118"/>
      <c r="G209" s="118"/>
      <c r="I209" s="118"/>
      <c r="J209" s="118"/>
      <c r="K209" s="118"/>
      <c r="L209" s="118"/>
      <c r="O209" s="118"/>
      <c r="Q209" s="120"/>
      <c r="R209" s="117"/>
      <c r="S209" s="118"/>
      <c r="U209" s="120"/>
    </row>
    <row r="210" spans="2:21" s="119" customFormat="1" ht="75.75" hidden="1" thickBot="1" x14ac:dyDescent="0.3">
      <c r="B210" s="301"/>
      <c r="C210" s="119">
        <f>IF($E210&gt;0,1,0)</f>
        <v>0</v>
      </c>
      <c r="D210" s="96" t="str">
        <f>A15</f>
        <v>Cortland</v>
      </c>
      <c r="E210" s="166">
        <f>IFERROR(SUMIF(A:A,D210,B:B),0)</f>
        <v>0</v>
      </c>
      <c r="F210" s="98" t="s">
        <v>356</v>
      </c>
      <c r="G210" s="98" t="s">
        <v>373</v>
      </c>
      <c r="H210" s="98" t="s">
        <v>358</v>
      </c>
      <c r="I210" s="98" t="s">
        <v>109</v>
      </c>
      <c r="J210" s="98" t="s">
        <v>111</v>
      </c>
      <c r="K210" s="98" t="s">
        <v>469</v>
      </c>
      <c r="L210" s="98" t="s">
        <v>470</v>
      </c>
      <c r="M210" s="98" t="s">
        <v>357</v>
      </c>
      <c r="N210" s="509" t="s">
        <v>471</v>
      </c>
      <c r="O210" s="98" t="s">
        <v>472</v>
      </c>
      <c r="P210" s="98" t="s">
        <v>110</v>
      </c>
      <c r="Q210" s="99" t="s">
        <v>116</v>
      </c>
      <c r="R210" s="98" t="s">
        <v>112</v>
      </c>
      <c r="S210" s="98" t="s">
        <v>113</v>
      </c>
      <c r="T210" s="98" t="s">
        <v>114</v>
      </c>
      <c r="U210" s="98" t="s">
        <v>115</v>
      </c>
    </row>
    <row r="211" spans="2:21" s="119" customFormat="1" ht="19.5" hidden="1" thickBot="1" x14ac:dyDescent="0.3">
      <c r="B211" s="301"/>
      <c r="C211" s="119">
        <f>C210</f>
        <v>0</v>
      </c>
      <c r="D211" s="101"/>
      <c r="E211" s="102"/>
      <c r="F211" s="84" t="s">
        <v>57</v>
      </c>
      <c r="G211" s="84" t="s">
        <v>56</v>
      </c>
      <c r="H211" s="84" t="s">
        <v>55</v>
      </c>
      <c r="I211" s="84" t="s">
        <v>54</v>
      </c>
      <c r="J211" s="84" t="s">
        <v>53</v>
      </c>
      <c r="K211" s="84" t="s">
        <v>52</v>
      </c>
      <c r="L211" s="84" t="s">
        <v>51</v>
      </c>
      <c r="M211" s="84" t="s">
        <v>50</v>
      </c>
      <c r="N211" s="84" t="s">
        <v>49</v>
      </c>
      <c r="O211" s="84" t="s">
        <v>47</v>
      </c>
      <c r="P211" s="84" t="s">
        <v>77</v>
      </c>
      <c r="Q211" s="83" t="s">
        <v>78</v>
      </c>
      <c r="R211" s="84" t="s">
        <v>79</v>
      </c>
      <c r="S211" s="84" t="s">
        <v>81</v>
      </c>
      <c r="T211" s="84" t="s">
        <v>83</v>
      </c>
      <c r="U211" s="84" t="s">
        <v>85</v>
      </c>
    </row>
    <row r="212" spans="2:21" s="119" customFormat="1" ht="19.5" hidden="1" thickBot="1" x14ac:dyDescent="0.35">
      <c r="B212" s="301"/>
      <c r="C212" s="119">
        <f t="shared" ref="C212:C225" si="229">C211</f>
        <v>0</v>
      </c>
      <c r="D212" s="103" t="s">
        <v>26</v>
      </c>
      <c r="E212" s="104"/>
      <c r="F212" s="745"/>
      <c r="G212" s="745"/>
      <c r="H212" s="746"/>
      <c r="I212" s="745"/>
      <c r="J212" s="745"/>
      <c r="K212" s="745"/>
      <c r="L212" s="745"/>
      <c r="M212" s="746"/>
      <c r="N212" s="746"/>
      <c r="O212" s="745"/>
      <c r="P212" s="746"/>
      <c r="Q212" s="747"/>
      <c r="R212" s="748"/>
      <c r="S212" s="745"/>
      <c r="T212" s="746"/>
      <c r="U212" s="749"/>
    </row>
    <row r="213" spans="2:21" s="119" customFormat="1" ht="19.5" hidden="1" thickBot="1" x14ac:dyDescent="0.3">
      <c r="B213" s="301"/>
      <c r="C213" s="119">
        <f t="shared" si="229"/>
        <v>0</v>
      </c>
      <c r="D213" s="109" t="s">
        <v>93</v>
      </c>
      <c r="E213" s="76" t="s">
        <v>57</v>
      </c>
      <c r="F213" s="733">
        <f>F6*$E$210</f>
        <v>0</v>
      </c>
      <c r="G213" s="733">
        <f>G6*$E$210</f>
        <v>0</v>
      </c>
      <c r="H213" s="733">
        <f>H6*$E$210</f>
        <v>0</v>
      </c>
      <c r="I213" s="733">
        <f>I6*$E$210</f>
        <v>0</v>
      </c>
      <c r="J213" s="733">
        <f>J6*$E$210</f>
        <v>0</v>
      </c>
      <c r="K213" s="733">
        <f t="shared" ref="K213:P213" si="230">K6*$E$210</f>
        <v>0</v>
      </c>
      <c r="L213" s="733">
        <f t="shared" si="230"/>
        <v>0</v>
      </c>
      <c r="M213" s="733">
        <f t="shared" si="230"/>
        <v>0</v>
      </c>
      <c r="N213" s="733">
        <f t="shared" si="230"/>
        <v>0</v>
      </c>
      <c r="O213" s="733">
        <f t="shared" si="230"/>
        <v>0</v>
      </c>
      <c r="P213" s="733">
        <f t="shared" si="230"/>
        <v>0</v>
      </c>
      <c r="Q213" s="734">
        <f t="shared" ref="Q213:Q224" si="231">SUM(F213:P213)</f>
        <v>0</v>
      </c>
      <c r="R213" s="733">
        <f t="shared" ref="R213:U213" si="232">R6*$E$210</f>
        <v>0</v>
      </c>
      <c r="S213" s="733">
        <f t="shared" si="232"/>
        <v>0</v>
      </c>
      <c r="T213" s="733">
        <f t="shared" ca="1" si="232"/>
        <v>0</v>
      </c>
      <c r="U213" s="733">
        <f t="shared" ca="1" si="232"/>
        <v>0</v>
      </c>
    </row>
    <row r="214" spans="2:21" s="119" customFormat="1" ht="19.5" hidden="1" thickBot="1" x14ac:dyDescent="0.3">
      <c r="B214" s="301"/>
      <c r="C214" s="119">
        <f t="shared" si="229"/>
        <v>0</v>
      </c>
      <c r="D214" s="110" t="s">
        <v>92</v>
      </c>
      <c r="E214" s="76" t="s">
        <v>56</v>
      </c>
      <c r="F214" s="733">
        <f t="shared" ref="F214:U216" si="233">F7*$E$210</f>
        <v>0</v>
      </c>
      <c r="G214" s="733">
        <f t="shared" ref="G214:J216" si="234">G7*$E$210</f>
        <v>0</v>
      </c>
      <c r="H214" s="733">
        <f t="shared" si="234"/>
        <v>0</v>
      </c>
      <c r="I214" s="733">
        <f t="shared" si="234"/>
        <v>0</v>
      </c>
      <c r="J214" s="733">
        <f t="shared" si="234"/>
        <v>0</v>
      </c>
      <c r="K214" s="733">
        <f t="shared" ref="K214:P214" si="235">K7*$E$210</f>
        <v>0</v>
      </c>
      <c r="L214" s="733">
        <f t="shared" si="235"/>
        <v>0</v>
      </c>
      <c r="M214" s="733">
        <f t="shared" si="235"/>
        <v>0</v>
      </c>
      <c r="N214" s="733">
        <f t="shared" si="235"/>
        <v>0</v>
      </c>
      <c r="O214" s="733">
        <f t="shared" si="235"/>
        <v>0</v>
      </c>
      <c r="P214" s="733">
        <f t="shared" si="235"/>
        <v>0</v>
      </c>
      <c r="Q214" s="734">
        <f t="shared" si="231"/>
        <v>0</v>
      </c>
      <c r="R214" s="733">
        <f t="shared" si="233"/>
        <v>0</v>
      </c>
      <c r="S214" s="733">
        <f t="shared" si="233"/>
        <v>0</v>
      </c>
      <c r="T214" s="733">
        <f t="shared" si="233"/>
        <v>0</v>
      </c>
      <c r="U214" s="733">
        <f t="shared" si="233"/>
        <v>0</v>
      </c>
    </row>
    <row r="215" spans="2:21" s="119" customFormat="1" ht="19.5" hidden="1" thickBot="1" x14ac:dyDescent="0.3">
      <c r="B215" s="301"/>
      <c r="C215" s="119">
        <f t="shared" si="229"/>
        <v>0</v>
      </c>
      <c r="D215" s="110" t="s">
        <v>91</v>
      </c>
      <c r="E215" s="76" t="s">
        <v>55</v>
      </c>
      <c r="F215" s="733">
        <f t="shared" si="233"/>
        <v>0</v>
      </c>
      <c r="G215" s="733">
        <f t="shared" si="234"/>
        <v>0</v>
      </c>
      <c r="H215" s="733">
        <f t="shared" si="234"/>
        <v>0</v>
      </c>
      <c r="I215" s="733">
        <f t="shared" si="234"/>
        <v>0</v>
      </c>
      <c r="J215" s="733">
        <f t="shared" si="234"/>
        <v>0</v>
      </c>
      <c r="K215" s="733">
        <f t="shared" ref="K215:P215" si="236">K8*$E$210</f>
        <v>0</v>
      </c>
      <c r="L215" s="733">
        <f t="shared" si="236"/>
        <v>0</v>
      </c>
      <c r="M215" s="733">
        <f t="shared" si="236"/>
        <v>0</v>
      </c>
      <c r="N215" s="733">
        <f t="shared" si="236"/>
        <v>0</v>
      </c>
      <c r="O215" s="733">
        <f t="shared" si="236"/>
        <v>0</v>
      </c>
      <c r="P215" s="733">
        <f t="shared" si="236"/>
        <v>0</v>
      </c>
      <c r="Q215" s="734">
        <f t="shared" si="231"/>
        <v>0</v>
      </c>
      <c r="R215" s="733">
        <f t="shared" si="233"/>
        <v>0</v>
      </c>
      <c r="S215" s="733">
        <f t="shared" si="233"/>
        <v>0</v>
      </c>
      <c r="T215" s="733">
        <f t="shared" ca="1" si="233"/>
        <v>0</v>
      </c>
      <c r="U215" s="733">
        <f t="shared" ca="1" si="233"/>
        <v>0</v>
      </c>
    </row>
    <row r="216" spans="2:21" s="119" customFormat="1" ht="19.5" hidden="1" thickBot="1" x14ac:dyDescent="0.3">
      <c r="B216" s="301"/>
      <c r="C216" s="119">
        <f t="shared" si="229"/>
        <v>0</v>
      </c>
      <c r="D216" s="111" t="s">
        <v>117</v>
      </c>
      <c r="E216" s="76" t="s">
        <v>54</v>
      </c>
      <c r="F216" s="733">
        <f t="shared" si="233"/>
        <v>0</v>
      </c>
      <c r="G216" s="733">
        <f t="shared" si="234"/>
        <v>0</v>
      </c>
      <c r="H216" s="733">
        <f t="shared" si="234"/>
        <v>0</v>
      </c>
      <c r="I216" s="733">
        <f t="shared" si="234"/>
        <v>0</v>
      </c>
      <c r="J216" s="733">
        <f t="shared" si="234"/>
        <v>0</v>
      </c>
      <c r="K216" s="733">
        <f t="shared" ref="K216:P216" si="237">K9*$E$210</f>
        <v>0</v>
      </c>
      <c r="L216" s="733">
        <f t="shared" si="237"/>
        <v>0</v>
      </c>
      <c r="M216" s="733">
        <f t="shared" si="237"/>
        <v>0</v>
      </c>
      <c r="N216" s="733">
        <f t="shared" si="237"/>
        <v>0</v>
      </c>
      <c r="O216" s="733">
        <f t="shared" si="237"/>
        <v>0</v>
      </c>
      <c r="P216" s="733">
        <f t="shared" si="237"/>
        <v>0</v>
      </c>
      <c r="Q216" s="734">
        <f t="shared" si="231"/>
        <v>0</v>
      </c>
      <c r="R216" s="733">
        <f t="shared" si="233"/>
        <v>0</v>
      </c>
      <c r="S216" s="733">
        <f t="shared" si="233"/>
        <v>0</v>
      </c>
      <c r="T216" s="733">
        <f t="shared" si="233"/>
        <v>0</v>
      </c>
      <c r="U216" s="733">
        <f t="shared" si="233"/>
        <v>0</v>
      </c>
    </row>
    <row r="217" spans="2:21" s="119" customFormat="1" ht="19.5" hidden="1" thickBot="1" x14ac:dyDescent="0.35">
      <c r="B217" s="301"/>
      <c r="C217" s="119">
        <f t="shared" si="229"/>
        <v>0</v>
      </c>
      <c r="D217" s="112" t="s">
        <v>31</v>
      </c>
      <c r="E217" s="76"/>
      <c r="F217" s="750"/>
      <c r="G217" s="735"/>
      <c r="H217" s="736"/>
      <c r="I217" s="735"/>
      <c r="J217" s="735"/>
      <c r="K217" s="735"/>
      <c r="L217" s="735"/>
      <c r="M217" s="735"/>
      <c r="N217" s="735"/>
      <c r="O217" s="735"/>
      <c r="P217" s="735"/>
      <c r="Q217" s="734">
        <f t="shared" si="231"/>
        <v>0</v>
      </c>
      <c r="R217" s="739"/>
      <c r="S217" s="735"/>
      <c r="T217" s="740"/>
      <c r="U217" s="741"/>
    </row>
    <row r="218" spans="2:21" s="119" customFormat="1" ht="19.5" hidden="1" thickBot="1" x14ac:dyDescent="0.35">
      <c r="B218" s="301"/>
      <c r="C218" s="119">
        <f t="shared" si="229"/>
        <v>0</v>
      </c>
      <c r="D218" s="113" t="s">
        <v>118</v>
      </c>
      <c r="E218" s="76" t="s">
        <v>53</v>
      </c>
      <c r="F218" s="733">
        <f t="shared" ref="F218:U224" si="238">F11*$E$210</f>
        <v>0</v>
      </c>
      <c r="G218" s="733">
        <f t="shared" ref="G218:J224" si="239">G11*$E$210</f>
        <v>0</v>
      </c>
      <c r="H218" s="733">
        <f t="shared" si="239"/>
        <v>0</v>
      </c>
      <c r="I218" s="733">
        <f t="shared" si="239"/>
        <v>0</v>
      </c>
      <c r="J218" s="733">
        <f t="shared" si="239"/>
        <v>0</v>
      </c>
      <c r="K218" s="733">
        <f t="shared" ref="K218:P218" si="240">K11*$E$210</f>
        <v>0</v>
      </c>
      <c r="L218" s="733">
        <f t="shared" si="240"/>
        <v>0</v>
      </c>
      <c r="M218" s="733">
        <f t="shared" si="240"/>
        <v>0</v>
      </c>
      <c r="N218" s="733">
        <f t="shared" si="240"/>
        <v>0</v>
      </c>
      <c r="O218" s="733">
        <f t="shared" si="240"/>
        <v>0</v>
      </c>
      <c r="P218" s="733">
        <f t="shared" si="240"/>
        <v>0</v>
      </c>
      <c r="Q218" s="734">
        <f t="shared" si="231"/>
        <v>0</v>
      </c>
      <c r="R218" s="733">
        <f t="shared" si="238"/>
        <v>0</v>
      </c>
      <c r="S218" s="733">
        <f t="shared" si="238"/>
        <v>0</v>
      </c>
      <c r="T218" s="733">
        <f t="shared" si="238"/>
        <v>0</v>
      </c>
      <c r="U218" s="733">
        <f t="shared" si="238"/>
        <v>0</v>
      </c>
    </row>
    <row r="219" spans="2:21" s="119" customFormat="1" ht="19.5" hidden="1" thickBot="1" x14ac:dyDescent="0.35">
      <c r="B219" s="301"/>
      <c r="C219" s="119">
        <f t="shared" si="229"/>
        <v>0</v>
      </c>
      <c r="D219" s="113" t="s">
        <v>119</v>
      </c>
      <c r="E219" s="76" t="s">
        <v>52</v>
      </c>
      <c r="F219" s="733">
        <f t="shared" si="238"/>
        <v>0</v>
      </c>
      <c r="G219" s="733">
        <f t="shared" si="239"/>
        <v>0</v>
      </c>
      <c r="H219" s="733">
        <f t="shared" si="239"/>
        <v>0</v>
      </c>
      <c r="I219" s="733">
        <f t="shared" si="239"/>
        <v>0</v>
      </c>
      <c r="J219" s="733">
        <f t="shared" si="239"/>
        <v>0</v>
      </c>
      <c r="K219" s="733">
        <f t="shared" ref="K219:P219" si="241">K12*$E$210</f>
        <v>0</v>
      </c>
      <c r="L219" s="733">
        <f t="shared" si="241"/>
        <v>0</v>
      </c>
      <c r="M219" s="733">
        <f t="shared" si="241"/>
        <v>0</v>
      </c>
      <c r="N219" s="733">
        <f t="shared" si="241"/>
        <v>0</v>
      </c>
      <c r="O219" s="733">
        <f t="shared" si="241"/>
        <v>0</v>
      </c>
      <c r="P219" s="733">
        <f t="shared" si="241"/>
        <v>0</v>
      </c>
      <c r="Q219" s="734">
        <f t="shared" si="231"/>
        <v>0</v>
      </c>
      <c r="R219" s="733">
        <f t="shared" si="238"/>
        <v>0</v>
      </c>
      <c r="S219" s="733">
        <f t="shared" si="238"/>
        <v>0</v>
      </c>
      <c r="T219" s="733">
        <f t="shared" si="238"/>
        <v>0</v>
      </c>
      <c r="U219" s="733">
        <f t="shared" si="238"/>
        <v>0</v>
      </c>
    </row>
    <row r="220" spans="2:21" s="119" customFormat="1" ht="19.5" hidden="1" thickBot="1" x14ac:dyDescent="0.35">
      <c r="B220" s="301"/>
      <c r="C220" s="119">
        <f t="shared" si="229"/>
        <v>0</v>
      </c>
      <c r="D220" s="113" t="s">
        <v>120</v>
      </c>
      <c r="E220" s="76" t="s">
        <v>51</v>
      </c>
      <c r="F220" s="733">
        <f t="shared" si="238"/>
        <v>0</v>
      </c>
      <c r="G220" s="733">
        <f t="shared" si="239"/>
        <v>0</v>
      </c>
      <c r="H220" s="733">
        <f t="shared" si="239"/>
        <v>0</v>
      </c>
      <c r="I220" s="733">
        <f t="shared" si="239"/>
        <v>0</v>
      </c>
      <c r="J220" s="733">
        <f t="shared" si="239"/>
        <v>0</v>
      </c>
      <c r="K220" s="733">
        <f t="shared" ref="K220:P220" si="242">K13*$E$210</f>
        <v>0</v>
      </c>
      <c r="L220" s="733">
        <f t="shared" si="242"/>
        <v>0</v>
      </c>
      <c r="M220" s="733">
        <f t="shared" si="242"/>
        <v>0</v>
      </c>
      <c r="N220" s="733">
        <f t="shared" si="242"/>
        <v>0</v>
      </c>
      <c r="O220" s="733">
        <f t="shared" si="242"/>
        <v>0</v>
      </c>
      <c r="P220" s="733">
        <f t="shared" si="242"/>
        <v>0</v>
      </c>
      <c r="Q220" s="734">
        <f t="shared" si="231"/>
        <v>0</v>
      </c>
      <c r="R220" s="733">
        <f t="shared" si="238"/>
        <v>0</v>
      </c>
      <c r="S220" s="733">
        <f t="shared" si="238"/>
        <v>0</v>
      </c>
      <c r="T220" s="733">
        <f t="shared" si="238"/>
        <v>0</v>
      </c>
      <c r="U220" s="733">
        <f t="shared" si="238"/>
        <v>0</v>
      </c>
    </row>
    <row r="221" spans="2:21" s="119" customFormat="1" ht="19.5" hidden="1" thickBot="1" x14ac:dyDescent="0.35">
      <c r="B221" s="301"/>
      <c r="C221" s="119">
        <f t="shared" si="229"/>
        <v>0</v>
      </c>
      <c r="D221" s="113" t="s">
        <v>121</v>
      </c>
      <c r="E221" s="76" t="s">
        <v>50</v>
      </c>
      <c r="F221" s="733">
        <f t="shared" si="238"/>
        <v>0</v>
      </c>
      <c r="G221" s="733">
        <f t="shared" si="239"/>
        <v>0</v>
      </c>
      <c r="H221" s="733">
        <f t="shared" si="239"/>
        <v>0</v>
      </c>
      <c r="I221" s="733">
        <f t="shared" si="239"/>
        <v>0</v>
      </c>
      <c r="J221" s="733">
        <f t="shared" si="239"/>
        <v>0</v>
      </c>
      <c r="K221" s="733">
        <f t="shared" ref="K221:P221" si="243">K14*$E$210</f>
        <v>0</v>
      </c>
      <c r="L221" s="733">
        <f t="shared" si="243"/>
        <v>0</v>
      </c>
      <c r="M221" s="733">
        <f t="shared" si="243"/>
        <v>0</v>
      </c>
      <c r="N221" s="733">
        <f t="shared" si="243"/>
        <v>0</v>
      </c>
      <c r="O221" s="733">
        <f t="shared" si="243"/>
        <v>0</v>
      </c>
      <c r="P221" s="733">
        <f t="shared" si="243"/>
        <v>0</v>
      </c>
      <c r="Q221" s="734">
        <f t="shared" si="231"/>
        <v>0</v>
      </c>
      <c r="R221" s="733">
        <f t="shared" si="238"/>
        <v>0</v>
      </c>
      <c r="S221" s="733">
        <f t="shared" si="238"/>
        <v>0</v>
      </c>
      <c r="T221" s="733">
        <f t="shared" si="238"/>
        <v>0</v>
      </c>
      <c r="U221" s="733">
        <f t="shared" si="238"/>
        <v>0</v>
      </c>
    </row>
    <row r="222" spans="2:21" s="119" customFormat="1" ht="19.5" hidden="1" thickBot="1" x14ac:dyDescent="0.35">
      <c r="B222" s="301"/>
      <c r="C222" s="119">
        <f t="shared" si="229"/>
        <v>0</v>
      </c>
      <c r="D222" s="113" t="s">
        <v>122</v>
      </c>
      <c r="E222" s="76" t="s">
        <v>49</v>
      </c>
      <c r="F222" s="733">
        <f t="shared" si="238"/>
        <v>0</v>
      </c>
      <c r="G222" s="733">
        <f t="shared" si="239"/>
        <v>0</v>
      </c>
      <c r="H222" s="733">
        <f t="shared" si="239"/>
        <v>0</v>
      </c>
      <c r="I222" s="733">
        <f t="shared" si="239"/>
        <v>0</v>
      </c>
      <c r="J222" s="733">
        <f t="shared" si="239"/>
        <v>0</v>
      </c>
      <c r="K222" s="733">
        <f t="shared" ref="K222:P222" si="244">K15*$E$210</f>
        <v>0</v>
      </c>
      <c r="L222" s="733">
        <f t="shared" si="244"/>
        <v>0</v>
      </c>
      <c r="M222" s="733">
        <f t="shared" si="244"/>
        <v>0</v>
      </c>
      <c r="N222" s="733">
        <f t="shared" si="244"/>
        <v>0</v>
      </c>
      <c r="O222" s="733">
        <f t="shared" si="244"/>
        <v>0</v>
      </c>
      <c r="P222" s="733">
        <f t="shared" si="244"/>
        <v>0</v>
      </c>
      <c r="Q222" s="734">
        <f t="shared" si="231"/>
        <v>0</v>
      </c>
      <c r="R222" s="733">
        <f t="shared" si="238"/>
        <v>0</v>
      </c>
      <c r="S222" s="733">
        <f t="shared" si="238"/>
        <v>0</v>
      </c>
      <c r="T222" s="733">
        <f t="shared" si="238"/>
        <v>0</v>
      </c>
      <c r="U222" s="733">
        <f t="shared" si="238"/>
        <v>0</v>
      </c>
    </row>
    <row r="223" spans="2:21" s="119" customFormat="1" ht="19.5" hidden="1" thickBot="1" x14ac:dyDescent="0.35">
      <c r="B223" s="301"/>
      <c r="C223" s="119">
        <f t="shared" si="229"/>
        <v>0</v>
      </c>
      <c r="D223" s="113" t="s">
        <v>123</v>
      </c>
      <c r="E223" s="76" t="s">
        <v>47</v>
      </c>
      <c r="F223" s="733">
        <f t="shared" si="238"/>
        <v>0</v>
      </c>
      <c r="G223" s="733">
        <f t="shared" si="239"/>
        <v>0</v>
      </c>
      <c r="H223" s="733">
        <f t="shared" si="239"/>
        <v>0</v>
      </c>
      <c r="I223" s="733">
        <f t="shared" si="239"/>
        <v>0</v>
      </c>
      <c r="J223" s="733">
        <f t="shared" si="239"/>
        <v>0</v>
      </c>
      <c r="K223" s="733">
        <f t="shared" ref="K223:P223" si="245">K16*$E$210</f>
        <v>0</v>
      </c>
      <c r="L223" s="733">
        <f t="shared" si="245"/>
        <v>0</v>
      </c>
      <c r="M223" s="733">
        <f t="shared" si="245"/>
        <v>0</v>
      </c>
      <c r="N223" s="733">
        <f t="shared" si="245"/>
        <v>0</v>
      </c>
      <c r="O223" s="733">
        <f t="shared" si="245"/>
        <v>0</v>
      </c>
      <c r="P223" s="733">
        <f t="shared" si="245"/>
        <v>0</v>
      </c>
      <c r="Q223" s="734">
        <f t="shared" si="231"/>
        <v>0</v>
      </c>
      <c r="R223" s="733">
        <f t="shared" si="238"/>
        <v>0</v>
      </c>
      <c r="S223" s="733">
        <f t="shared" si="238"/>
        <v>0</v>
      </c>
      <c r="T223" s="733">
        <f t="shared" si="238"/>
        <v>0</v>
      </c>
      <c r="U223" s="733">
        <f t="shared" si="238"/>
        <v>0</v>
      </c>
    </row>
    <row r="224" spans="2:21" s="119" customFormat="1" ht="19.5" hidden="1" thickBot="1" x14ac:dyDescent="0.35">
      <c r="B224" s="301"/>
      <c r="C224" s="119">
        <f t="shared" si="229"/>
        <v>0</v>
      </c>
      <c r="D224" s="114" t="s">
        <v>16</v>
      </c>
      <c r="E224" s="70" t="s">
        <v>77</v>
      </c>
      <c r="F224" s="733">
        <f t="shared" si="238"/>
        <v>0</v>
      </c>
      <c r="G224" s="733">
        <f t="shared" si="239"/>
        <v>0</v>
      </c>
      <c r="H224" s="733">
        <f t="shared" si="239"/>
        <v>0</v>
      </c>
      <c r="I224" s="733">
        <f t="shared" si="239"/>
        <v>0</v>
      </c>
      <c r="J224" s="733">
        <f t="shared" si="239"/>
        <v>0</v>
      </c>
      <c r="K224" s="733">
        <f t="shared" ref="K224:P224" si="246">K17*$E$210</f>
        <v>0</v>
      </c>
      <c r="L224" s="733">
        <f t="shared" si="246"/>
        <v>0</v>
      </c>
      <c r="M224" s="733">
        <f t="shared" si="246"/>
        <v>0</v>
      </c>
      <c r="N224" s="733">
        <f t="shared" si="246"/>
        <v>0</v>
      </c>
      <c r="O224" s="733">
        <f t="shared" si="246"/>
        <v>0</v>
      </c>
      <c r="P224" s="733">
        <f t="shared" si="246"/>
        <v>0</v>
      </c>
      <c r="Q224" s="734">
        <f t="shared" si="231"/>
        <v>0</v>
      </c>
      <c r="R224" s="733">
        <f t="shared" si="238"/>
        <v>0</v>
      </c>
      <c r="S224" s="733">
        <f t="shared" si="238"/>
        <v>0</v>
      </c>
      <c r="T224" s="733">
        <f t="shared" ca="1" si="238"/>
        <v>0</v>
      </c>
      <c r="U224" s="733">
        <f t="shared" ca="1" si="238"/>
        <v>0</v>
      </c>
    </row>
    <row r="225" spans="2:21" s="119" customFormat="1" ht="19.5" hidden="1" thickBot="1" x14ac:dyDescent="0.35">
      <c r="B225" s="301"/>
      <c r="C225" s="119">
        <f t="shared" si="229"/>
        <v>0</v>
      </c>
      <c r="D225" s="115" t="s">
        <v>124</v>
      </c>
      <c r="E225" s="116" t="s">
        <v>78</v>
      </c>
      <c r="F225" s="742">
        <f t="shared" ref="F225:U225" si="247">SUBTOTAL(9,F213:F224)</f>
        <v>0</v>
      </c>
      <c r="G225" s="742">
        <f>SUBTOTAL(9,G213:G224)</f>
        <v>0</v>
      </c>
      <c r="H225" s="742">
        <f>SUBTOTAL(9,H213:H224)</f>
        <v>0</v>
      </c>
      <c r="I225" s="742">
        <f>SUBTOTAL(9,I213:I224)</f>
        <v>0</v>
      </c>
      <c r="J225" s="742">
        <f>SUBTOTAL(9,J213:J224)</f>
        <v>0</v>
      </c>
      <c r="K225" s="742">
        <f t="shared" ref="K225:P225" si="248">SUBTOTAL(9,K213:K224)</f>
        <v>0</v>
      </c>
      <c r="L225" s="742">
        <f t="shared" si="248"/>
        <v>0</v>
      </c>
      <c r="M225" s="742">
        <f t="shared" si="248"/>
        <v>0</v>
      </c>
      <c r="N225" s="742">
        <f t="shared" si="248"/>
        <v>0</v>
      </c>
      <c r="O225" s="742">
        <f t="shared" si="248"/>
        <v>0</v>
      </c>
      <c r="P225" s="742">
        <f t="shared" si="248"/>
        <v>0</v>
      </c>
      <c r="Q225" s="743">
        <f>SUBTOTAL(9,Q213:Q224)</f>
        <v>0</v>
      </c>
      <c r="R225" s="742">
        <f t="shared" si="247"/>
        <v>0</v>
      </c>
      <c r="S225" s="742">
        <f t="shared" si="247"/>
        <v>0</v>
      </c>
      <c r="T225" s="742">
        <f t="shared" si="247"/>
        <v>0</v>
      </c>
      <c r="U225" s="742">
        <f t="shared" si="247"/>
        <v>0</v>
      </c>
    </row>
    <row r="226" spans="2:21" s="119" customFormat="1" ht="19.5" hidden="1" thickBot="1" x14ac:dyDescent="0.3">
      <c r="B226" s="340"/>
      <c r="D226" s="117"/>
      <c r="E226" s="117"/>
      <c r="F226" s="118"/>
      <c r="G226" s="118"/>
      <c r="I226" s="118"/>
      <c r="J226" s="118"/>
      <c r="K226" s="118"/>
      <c r="L226" s="118"/>
      <c r="O226" s="118"/>
      <c r="Q226" s="120"/>
      <c r="R226" s="117"/>
      <c r="S226" s="118"/>
      <c r="U226" s="120"/>
    </row>
    <row r="227" spans="2:21" s="119" customFormat="1" ht="75.75" hidden="1" thickBot="1" x14ac:dyDescent="0.3">
      <c r="B227" s="301"/>
      <c r="C227" s="119">
        <f>IF($E227&gt;0,1,0)</f>
        <v>0</v>
      </c>
      <c r="D227" s="96" t="str">
        <f>A16</f>
        <v>Delaware</v>
      </c>
      <c r="E227" s="166">
        <f>IFERROR(SUMIF(A:A,D227,B:B),0)</f>
        <v>0</v>
      </c>
      <c r="F227" s="98" t="s">
        <v>356</v>
      </c>
      <c r="G227" s="98" t="s">
        <v>373</v>
      </c>
      <c r="H227" s="98" t="s">
        <v>358</v>
      </c>
      <c r="I227" s="98" t="s">
        <v>109</v>
      </c>
      <c r="J227" s="98" t="s">
        <v>111</v>
      </c>
      <c r="K227" s="98" t="s">
        <v>469</v>
      </c>
      <c r="L227" s="98" t="s">
        <v>470</v>
      </c>
      <c r="M227" s="98" t="s">
        <v>357</v>
      </c>
      <c r="N227" s="509" t="s">
        <v>471</v>
      </c>
      <c r="O227" s="98" t="s">
        <v>472</v>
      </c>
      <c r="P227" s="98" t="s">
        <v>110</v>
      </c>
      <c r="Q227" s="99" t="s">
        <v>116</v>
      </c>
      <c r="R227" s="98" t="s">
        <v>112</v>
      </c>
      <c r="S227" s="98" t="s">
        <v>113</v>
      </c>
      <c r="T227" s="98" t="s">
        <v>114</v>
      </c>
      <c r="U227" s="98" t="s">
        <v>115</v>
      </c>
    </row>
    <row r="228" spans="2:21" s="119" customFormat="1" ht="19.5" hidden="1" thickBot="1" x14ac:dyDescent="0.3">
      <c r="B228" s="301"/>
      <c r="C228" s="119">
        <f>C227</f>
        <v>0</v>
      </c>
      <c r="D228" s="101"/>
      <c r="E228" s="102"/>
      <c r="F228" s="84" t="s">
        <v>57</v>
      </c>
      <c r="G228" s="84" t="s">
        <v>56</v>
      </c>
      <c r="H228" s="84" t="s">
        <v>55</v>
      </c>
      <c r="I228" s="84" t="s">
        <v>54</v>
      </c>
      <c r="J228" s="84" t="s">
        <v>53</v>
      </c>
      <c r="K228" s="84" t="s">
        <v>52</v>
      </c>
      <c r="L228" s="84" t="s">
        <v>51</v>
      </c>
      <c r="M228" s="84" t="s">
        <v>50</v>
      </c>
      <c r="N228" s="84" t="s">
        <v>49</v>
      </c>
      <c r="O228" s="84" t="s">
        <v>47</v>
      </c>
      <c r="P228" s="84" t="s">
        <v>77</v>
      </c>
      <c r="Q228" s="83" t="s">
        <v>78</v>
      </c>
      <c r="R228" s="84" t="s">
        <v>79</v>
      </c>
      <c r="S228" s="84" t="s">
        <v>81</v>
      </c>
      <c r="T228" s="84" t="s">
        <v>83</v>
      </c>
      <c r="U228" s="84" t="s">
        <v>85</v>
      </c>
    </row>
    <row r="229" spans="2:21" s="119" customFormat="1" ht="19.5" hidden="1" thickBot="1" x14ac:dyDescent="0.35">
      <c r="B229" s="301"/>
      <c r="C229" s="119">
        <f t="shared" ref="C229:C242" si="249">C228</f>
        <v>0</v>
      </c>
      <c r="D229" s="103" t="s">
        <v>26</v>
      </c>
      <c r="E229" s="104"/>
      <c r="F229" s="745"/>
      <c r="G229" s="745"/>
      <c r="H229" s="746"/>
      <c r="I229" s="745"/>
      <c r="J229" s="745"/>
      <c r="K229" s="745"/>
      <c r="L229" s="745"/>
      <c r="M229" s="746"/>
      <c r="N229" s="746"/>
      <c r="O229" s="745"/>
      <c r="P229" s="746"/>
      <c r="Q229" s="747"/>
      <c r="R229" s="748"/>
      <c r="S229" s="745"/>
      <c r="T229" s="746"/>
      <c r="U229" s="749"/>
    </row>
    <row r="230" spans="2:21" s="119" customFormat="1" ht="19.5" hidden="1" thickBot="1" x14ac:dyDescent="0.3">
      <c r="B230" s="301"/>
      <c r="C230" s="119">
        <f t="shared" si="249"/>
        <v>0</v>
      </c>
      <c r="D230" s="109" t="s">
        <v>93</v>
      </c>
      <c r="E230" s="76" t="s">
        <v>57</v>
      </c>
      <c r="F230" s="733">
        <f>F6*$E$227</f>
        <v>0</v>
      </c>
      <c r="G230" s="733">
        <f>G6*$E$227</f>
        <v>0</v>
      </c>
      <c r="H230" s="733">
        <f>H6*$E$227</f>
        <v>0</v>
      </c>
      <c r="I230" s="733">
        <f>I6*$E$227</f>
        <v>0</v>
      </c>
      <c r="J230" s="733">
        <f>J6*$E$227</f>
        <v>0</v>
      </c>
      <c r="K230" s="733">
        <f t="shared" ref="K230:P230" si="250">K6*$E$227</f>
        <v>0</v>
      </c>
      <c r="L230" s="733">
        <f t="shared" si="250"/>
        <v>0</v>
      </c>
      <c r="M230" s="733">
        <f t="shared" si="250"/>
        <v>0</v>
      </c>
      <c r="N230" s="733">
        <f t="shared" si="250"/>
        <v>0</v>
      </c>
      <c r="O230" s="733">
        <f t="shared" si="250"/>
        <v>0</v>
      </c>
      <c r="P230" s="733">
        <f t="shared" si="250"/>
        <v>0</v>
      </c>
      <c r="Q230" s="734">
        <f t="shared" ref="Q230:Q241" si="251">SUM(F230:P230)</f>
        <v>0</v>
      </c>
      <c r="R230" s="733">
        <f t="shared" ref="R230:U230" si="252">R6*$E$227</f>
        <v>0</v>
      </c>
      <c r="S230" s="733">
        <f t="shared" si="252"/>
        <v>0</v>
      </c>
      <c r="T230" s="733">
        <f t="shared" ca="1" si="252"/>
        <v>0</v>
      </c>
      <c r="U230" s="733">
        <f t="shared" ca="1" si="252"/>
        <v>0</v>
      </c>
    </row>
    <row r="231" spans="2:21" s="119" customFormat="1" ht="19.5" hidden="1" thickBot="1" x14ac:dyDescent="0.3">
      <c r="B231" s="301"/>
      <c r="C231" s="119">
        <f t="shared" si="249"/>
        <v>0</v>
      </c>
      <c r="D231" s="110" t="s">
        <v>92</v>
      </c>
      <c r="E231" s="76" t="s">
        <v>56</v>
      </c>
      <c r="F231" s="733">
        <f t="shared" ref="F231:U233" si="253">F7*$E$227</f>
        <v>0</v>
      </c>
      <c r="G231" s="733">
        <f t="shared" ref="G231:J233" si="254">G7*$E$227</f>
        <v>0</v>
      </c>
      <c r="H231" s="733">
        <f t="shared" si="254"/>
        <v>0</v>
      </c>
      <c r="I231" s="733">
        <f t="shared" si="254"/>
        <v>0</v>
      </c>
      <c r="J231" s="733">
        <f t="shared" si="254"/>
        <v>0</v>
      </c>
      <c r="K231" s="733">
        <f t="shared" ref="K231:P231" si="255">K7*$E$227</f>
        <v>0</v>
      </c>
      <c r="L231" s="733">
        <f t="shared" si="255"/>
        <v>0</v>
      </c>
      <c r="M231" s="733">
        <f t="shared" si="255"/>
        <v>0</v>
      </c>
      <c r="N231" s="733">
        <f t="shared" si="255"/>
        <v>0</v>
      </c>
      <c r="O231" s="733">
        <f t="shared" si="255"/>
        <v>0</v>
      </c>
      <c r="P231" s="733">
        <f t="shared" si="255"/>
        <v>0</v>
      </c>
      <c r="Q231" s="734">
        <f t="shared" si="251"/>
        <v>0</v>
      </c>
      <c r="R231" s="733">
        <f t="shared" si="253"/>
        <v>0</v>
      </c>
      <c r="S231" s="733">
        <f t="shared" si="253"/>
        <v>0</v>
      </c>
      <c r="T231" s="733">
        <f t="shared" si="253"/>
        <v>0</v>
      </c>
      <c r="U231" s="733">
        <f t="shared" si="253"/>
        <v>0</v>
      </c>
    </row>
    <row r="232" spans="2:21" s="119" customFormat="1" ht="19.5" hidden="1" thickBot="1" x14ac:dyDescent="0.3">
      <c r="B232" s="301"/>
      <c r="C232" s="119">
        <f t="shared" si="249"/>
        <v>0</v>
      </c>
      <c r="D232" s="110" t="s">
        <v>91</v>
      </c>
      <c r="E232" s="76" t="s">
        <v>55</v>
      </c>
      <c r="F232" s="733">
        <f t="shared" si="253"/>
        <v>0</v>
      </c>
      <c r="G232" s="733">
        <f t="shared" si="254"/>
        <v>0</v>
      </c>
      <c r="H232" s="733">
        <f t="shared" si="254"/>
        <v>0</v>
      </c>
      <c r="I232" s="733">
        <f t="shared" si="254"/>
        <v>0</v>
      </c>
      <c r="J232" s="733">
        <f t="shared" si="254"/>
        <v>0</v>
      </c>
      <c r="K232" s="733">
        <f t="shared" ref="K232:P232" si="256">K8*$E$227</f>
        <v>0</v>
      </c>
      <c r="L232" s="733">
        <f t="shared" si="256"/>
        <v>0</v>
      </c>
      <c r="M232" s="733">
        <f t="shared" si="256"/>
        <v>0</v>
      </c>
      <c r="N232" s="733">
        <f t="shared" si="256"/>
        <v>0</v>
      </c>
      <c r="O232" s="733">
        <f t="shared" si="256"/>
        <v>0</v>
      </c>
      <c r="P232" s="733">
        <f t="shared" si="256"/>
        <v>0</v>
      </c>
      <c r="Q232" s="734">
        <f t="shared" si="251"/>
        <v>0</v>
      </c>
      <c r="R232" s="733">
        <f t="shared" si="253"/>
        <v>0</v>
      </c>
      <c r="S232" s="733">
        <f t="shared" si="253"/>
        <v>0</v>
      </c>
      <c r="T232" s="733">
        <f t="shared" ca="1" si="253"/>
        <v>0</v>
      </c>
      <c r="U232" s="733">
        <f t="shared" ca="1" si="253"/>
        <v>0</v>
      </c>
    </row>
    <row r="233" spans="2:21" s="119" customFormat="1" ht="19.5" hidden="1" thickBot="1" x14ac:dyDescent="0.3">
      <c r="B233" s="301"/>
      <c r="C233" s="119">
        <f t="shared" si="249"/>
        <v>0</v>
      </c>
      <c r="D233" s="111" t="s">
        <v>117</v>
      </c>
      <c r="E233" s="76" t="s">
        <v>54</v>
      </c>
      <c r="F233" s="733">
        <f t="shared" si="253"/>
        <v>0</v>
      </c>
      <c r="G233" s="733">
        <f t="shared" si="254"/>
        <v>0</v>
      </c>
      <c r="H233" s="733">
        <f t="shared" si="254"/>
        <v>0</v>
      </c>
      <c r="I233" s="733">
        <f t="shared" si="254"/>
        <v>0</v>
      </c>
      <c r="J233" s="733">
        <f t="shared" si="254"/>
        <v>0</v>
      </c>
      <c r="K233" s="733">
        <f t="shared" ref="K233:P233" si="257">K9*$E$227</f>
        <v>0</v>
      </c>
      <c r="L233" s="733">
        <f t="shared" si="257"/>
        <v>0</v>
      </c>
      <c r="M233" s="733">
        <f t="shared" si="257"/>
        <v>0</v>
      </c>
      <c r="N233" s="733">
        <f t="shared" si="257"/>
        <v>0</v>
      </c>
      <c r="O233" s="733">
        <f t="shared" si="257"/>
        <v>0</v>
      </c>
      <c r="P233" s="733">
        <f t="shared" si="257"/>
        <v>0</v>
      </c>
      <c r="Q233" s="734">
        <f t="shared" si="251"/>
        <v>0</v>
      </c>
      <c r="R233" s="733">
        <f t="shared" si="253"/>
        <v>0</v>
      </c>
      <c r="S233" s="733">
        <f t="shared" si="253"/>
        <v>0</v>
      </c>
      <c r="T233" s="733">
        <f t="shared" si="253"/>
        <v>0</v>
      </c>
      <c r="U233" s="733">
        <f t="shared" si="253"/>
        <v>0</v>
      </c>
    </row>
    <row r="234" spans="2:21" s="119" customFormat="1" ht="19.5" hidden="1" thickBot="1" x14ac:dyDescent="0.35">
      <c r="B234" s="301"/>
      <c r="C234" s="119">
        <f t="shared" si="249"/>
        <v>0</v>
      </c>
      <c r="D234" s="112" t="s">
        <v>31</v>
      </c>
      <c r="E234" s="76"/>
      <c r="F234" s="750"/>
      <c r="G234" s="735"/>
      <c r="H234" s="736"/>
      <c r="I234" s="735"/>
      <c r="J234" s="735"/>
      <c r="K234" s="735"/>
      <c r="L234" s="735"/>
      <c r="M234" s="735"/>
      <c r="N234" s="735"/>
      <c r="O234" s="735"/>
      <c r="P234" s="735"/>
      <c r="Q234" s="734">
        <f t="shared" si="251"/>
        <v>0</v>
      </c>
      <c r="R234" s="739"/>
      <c r="S234" s="735"/>
      <c r="T234" s="740"/>
      <c r="U234" s="741"/>
    </row>
    <row r="235" spans="2:21" s="119" customFormat="1" ht="19.5" hidden="1" thickBot="1" x14ac:dyDescent="0.35">
      <c r="B235" s="301"/>
      <c r="C235" s="119">
        <f t="shared" si="249"/>
        <v>0</v>
      </c>
      <c r="D235" s="113" t="s">
        <v>118</v>
      </c>
      <c r="E235" s="76" t="s">
        <v>53</v>
      </c>
      <c r="F235" s="733">
        <f t="shared" ref="F235:U241" si="258">F11*$E$227</f>
        <v>0</v>
      </c>
      <c r="G235" s="733">
        <f t="shared" ref="G235:J241" si="259">G11*$E$227</f>
        <v>0</v>
      </c>
      <c r="H235" s="733">
        <f t="shared" si="259"/>
        <v>0</v>
      </c>
      <c r="I235" s="733">
        <f t="shared" si="259"/>
        <v>0</v>
      </c>
      <c r="J235" s="733">
        <f t="shared" si="259"/>
        <v>0</v>
      </c>
      <c r="K235" s="733">
        <f t="shared" ref="K235:P235" si="260">K11*$E$227</f>
        <v>0</v>
      </c>
      <c r="L235" s="733">
        <f t="shared" si="260"/>
        <v>0</v>
      </c>
      <c r="M235" s="733">
        <f t="shared" si="260"/>
        <v>0</v>
      </c>
      <c r="N235" s="733">
        <f t="shared" si="260"/>
        <v>0</v>
      </c>
      <c r="O235" s="733">
        <f t="shared" si="260"/>
        <v>0</v>
      </c>
      <c r="P235" s="733">
        <f t="shared" si="260"/>
        <v>0</v>
      </c>
      <c r="Q235" s="734">
        <f t="shared" si="251"/>
        <v>0</v>
      </c>
      <c r="R235" s="733">
        <f t="shared" si="258"/>
        <v>0</v>
      </c>
      <c r="S235" s="733">
        <f t="shared" si="258"/>
        <v>0</v>
      </c>
      <c r="T235" s="733">
        <f t="shared" si="258"/>
        <v>0</v>
      </c>
      <c r="U235" s="733">
        <f t="shared" si="258"/>
        <v>0</v>
      </c>
    </row>
    <row r="236" spans="2:21" s="119" customFormat="1" ht="19.5" hidden="1" thickBot="1" x14ac:dyDescent="0.35">
      <c r="B236" s="301"/>
      <c r="C236" s="119">
        <f t="shared" si="249"/>
        <v>0</v>
      </c>
      <c r="D236" s="113" t="s">
        <v>119</v>
      </c>
      <c r="E236" s="76" t="s">
        <v>52</v>
      </c>
      <c r="F236" s="733">
        <f t="shared" si="258"/>
        <v>0</v>
      </c>
      <c r="G236" s="733">
        <f t="shared" si="259"/>
        <v>0</v>
      </c>
      <c r="H236" s="733">
        <f t="shared" si="259"/>
        <v>0</v>
      </c>
      <c r="I236" s="733">
        <f t="shared" si="259"/>
        <v>0</v>
      </c>
      <c r="J236" s="733">
        <f t="shared" si="259"/>
        <v>0</v>
      </c>
      <c r="K236" s="733">
        <f t="shared" ref="K236:P236" si="261">K12*$E$227</f>
        <v>0</v>
      </c>
      <c r="L236" s="733">
        <f t="shared" si="261"/>
        <v>0</v>
      </c>
      <c r="M236" s="733">
        <f t="shared" si="261"/>
        <v>0</v>
      </c>
      <c r="N236" s="733">
        <f t="shared" si="261"/>
        <v>0</v>
      </c>
      <c r="O236" s="733">
        <f t="shared" si="261"/>
        <v>0</v>
      </c>
      <c r="P236" s="733">
        <f t="shared" si="261"/>
        <v>0</v>
      </c>
      <c r="Q236" s="734">
        <f t="shared" si="251"/>
        <v>0</v>
      </c>
      <c r="R236" s="733">
        <f t="shared" si="258"/>
        <v>0</v>
      </c>
      <c r="S236" s="733">
        <f t="shared" si="258"/>
        <v>0</v>
      </c>
      <c r="T236" s="733">
        <f t="shared" si="258"/>
        <v>0</v>
      </c>
      <c r="U236" s="733">
        <f t="shared" si="258"/>
        <v>0</v>
      </c>
    </row>
    <row r="237" spans="2:21" s="119" customFormat="1" ht="19.5" hidden="1" thickBot="1" x14ac:dyDescent="0.35">
      <c r="B237" s="301"/>
      <c r="C237" s="119">
        <f t="shared" si="249"/>
        <v>0</v>
      </c>
      <c r="D237" s="113" t="s">
        <v>120</v>
      </c>
      <c r="E237" s="76" t="s">
        <v>51</v>
      </c>
      <c r="F237" s="733">
        <f t="shared" si="258"/>
        <v>0</v>
      </c>
      <c r="G237" s="733">
        <f t="shared" si="259"/>
        <v>0</v>
      </c>
      <c r="H237" s="733">
        <f t="shared" si="259"/>
        <v>0</v>
      </c>
      <c r="I237" s="733">
        <f t="shared" si="259"/>
        <v>0</v>
      </c>
      <c r="J237" s="733">
        <f t="shared" si="259"/>
        <v>0</v>
      </c>
      <c r="K237" s="733">
        <f t="shared" ref="K237:P237" si="262">K13*$E$227</f>
        <v>0</v>
      </c>
      <c r="L237" s="733">
        <f t="shared" si="262"/>
        <v>0</v>
      </c>
      <c r="M237" s="733">
        <f t="shared" si="262"/>
        <v>0</v>
      </c>
      <c r="N237" s="733">
        <f t="shared" si="262"/>
        <v>0</v>
      </c>
      <c r="O237" s="733">
        <f t="shared" si="262"/>
        <v>0</v>
      </c>
      <c r="P237" s="733">
        <f t="shared" si="262"/>
        <v>0</v>
      </c>
      <c r="Q237" s="734">
        <f t="shared" si="251"/>
        <v>0</v>
      </c>
      <c r="R237" s="733">
        <f t="shared" si="258"/>
        <v>0</v>
      </c>
      <c r="S237" s="733">
        <f t="shared" si="258"/>
        <v>0</v>
      </c>
      <c r="T237" s="733">
        <f t="shared" si="258"/>
        <v>0</v>
      </c>
      <c r="U237" s="733">
        <f t="shared" si="258"/>
        <v>0</v>
      </c>
    </row>
    <row r="238" spans="2:21" s="119" customFormat="1" ht="19.5" hidden="1" thickBot="1" x14ac:dyDescent="0.35">
      <c r="B238" s="301"/>
      <c r="C238" s="119">
        <f t="shared" si="249"/>
        <v>0</v>
      </c>
      <c r="D238" s="113" t="s">
        <v>121</v>
      </c>
      <c r="E238" s="76" t="s">
        <v>50</v>
      </c>
      <c r="F238" s="733">
        <f t="shared" si="258"/>
        <v>0</v>
      </c>
      <c r="G238" s="733">
        <f t="shared" si="259"/>
        <v>0</v>
      </c>
      <c r="H238" s="733">
        <f t="shared" si="259"/>
        <v>0</v>
      </c>
      <c r="I238" s="733">
        <f t="shared" si="259"/>
        <v>0</v>
      </c>
      <c r="J238" s="733">
        <f t="shared" si="259"/>
        <v>0</v>
      </c>
      <c r="K238" s="733">
        <f t="shared" ref="K238:P238" si="263">K14*$E$227</f>
        <v>0</v>
      </c>
      <c r="L238" s="733">
        <f t="shared" si="263"/>
        <v>0</v>
      </c>
      <c r="M238" s="733">
        <f t="shared" si="263"/>
        <v>0</v>
      </c>
      <c r="N238" s="733">
        <f t="shared" si="263"/>
        <v>0</v>
      </c>
      <c r="O238" s="733">
        <f t="shared" si="263"/>
        <v>0</v>
      </c>
      <c r="P238" s="733">
        <f t="shared" si="263"/>
        <v>0</v>
      </c>
      <c r="Q238" s="734">
        <f t="shared" si="251"/>
        <v>0</v>
      </c>
      <c r="R238" s="733">
        <f t="shared" si="258"/>
        <v>0</v>
      </c>
      <c r="S238" s="733">
        <f t="shared" si="258"/>
        <v>0</v>
      </c>
      <c r="T238" s="733">
        <f t="shared" si="258"/>
        <v>0</v>
      </c>
      <c r="U238" s="733">
        <f t="shared" si="258"/>
        <v>0</v>
      </c>
    </row>
    <row r="239" spans="2:21" s="119" customFormat="1" ht="19.5" hidden="1" thickBot="1" x14ac:dyDescent="0.35">
      <c r="B239" s="301"/>
      <c r="C239" s="119">
        <f t="shared" si="249"/>
        <v>0</v>
      </c>
      <c r="D239" s="113" t="s">
        <v>122</v>
      </c>
      <c r="E239" s="76" t="s">
        <v>49</v>
      </c>
      <c r="F239" s="733">
        <f t="shared" si="258"/>
        <v>0</v>
      </c>
      <c r="G239" s="733">
        <f t="shared" si="259"/>
        <v>0</v>
      </c>
      <c r="H239" s="733">
        <f t="shared" si="259"/>
        <v>0</v>
      </c>
      <c r="I239" s="733">
        <f t="shared" si="259"/>
        <v>0</v>
      </c>
      <c r="J239" s="733">
        <f t="shared" si="259"/>
        <v>0</v>
      </c>
      <c r="K239" s="733">
        <f t="shared" ref="K239:P239" si="264">K15*$E$227</f>
        <v>0</v>
      </c>
      <c r="L239" s="733">
        <f t="shared" si="264"/>
        <v>0</v>
      </c>
      <c r="M239" s="733">
        <f t="shared" si="264"/>
        <v>0</v>
      </c>
      <c r="N239" s="733">
        <f t="shared" si="264"/>
        <v>0</v>
      </c>
      <c r="O239" s="733">
        <f t="shared" si="264"/>
        <v>0</v>
      </c>
      <c r="P239" s="733">
        <f t="shared" si="264"/>
        <v>0</v>
      </c>
      <c r="Q239" s="734">
        <f t="shared" si="251"/>
        <v>0</v>
      </c>
      <c r="R239" s="733">
        <f t="shared" si="258"/>
        <v>0</v>
      </c>
      <c r="S239" s="733">
        <f t="shared" si="258"/>
        <v>0</v>
      </c>
      <c r="T239" s="733">
        <f t="shared" si="258"/>
        <v>0</v>
      </c>
      <c r="U239" s="733">
        <f t="shared" si="258"/>
        <v>0</v>
      </c>
    </row>
    <row r="240" spans="2:21" s="119" customFormat="1" ht="19.5" hidden="1" thickBot="1" x14ac:dyDescent="0.35">
      <c r="B240" s="301"/>
      <c r="C240" s="119">
        <f t="shared" si="249"/>
        <v>0</v>
      </c>
      <c r="D240" s="113" t="s">
        <v>123</v>
      </c>
      <c r="E240" s="76" t="s">
        <v>47</v>
      </c>
      <c r="F240" s="733">
        <f t="shared" si="258"/>
        <v>0</v>
      </c>
      <c r="G240" s="733">
        <f t="shared" si="259"/>
        <v>0</v>
      </c>
      <c r="H240" s="733">
        <f t="shared" si="259"/>
        <v>0</v>
      </c>
      <c r="I240" s="733">
        <f t="shared" si="259"/>
        <v>0</v>
      </c>
      <c r="J240" s="733">
        <f t="shared" si="259"/>
        <v>0</v>
      </c>
      <c r="K240" s="733">
        <f t="shared" ref="K240:P240" si="265">K16*$E$227</f>
        <v>0</v>
      </c>
      <c r="L240" s="733">
        <f t="shared" si="265"/>
        <v>0</v>
      </c>
      <c r="M240" s="733">
        <f t="shared" si="265"/>
        <v>0</v>
      </c>
      <c r="N240" s="733">
        <f t="shared" si="265"/>
        <v>0</v>
      </c>
      <c r="O240" s="733">
        <f t="shared" si="265"/>
        <v>0</v>
      </c>
      <c r="P240" s="733">
        <f t="shared" si="265"/>
        <v>0</v>
      </c>
      <c r="Q240" s="734">
        <f t="shared" si="251"/>
        <v>0</v>
      </c>
      <c r="R240" s="733">
        <f t="shared" si="258"/>
        <v>0</v>
      </c>
      <c r="S240" s="733">
        <f t="shared" si="258"/>
        <v>0</v>
      </c>
      <c r="T240" s="733">
        <f t="shared" si="258"/>
        <v>0</v>
      </c>
      <c r="U240" s="733">
        <f t="shared" si="258"/>
        <v>0</v>
      </c>
    </row>
    <row r="241" spans="2:21" s="119" customFormat="1" ht="19.5" hidden="1" thickBot="1" x14ac:dyDescent="0.35">
      <c r="B241" s="301"/>
      <c r="C241" s="119">
        <f t="shared" si="249"/>
        <v>0</v>
      </c>
      <c r="D241" s="114" t="s">
        <v>16</v>
      </c>
      <c r="E241" s="70" t="s">
        <v>77</v>
      </c>
      <c r="F241" s="733">
        <f t="shared" si="258"/>
        <v>0</v>
      </c>
      <c r="G241" s="733">
        <f t="shared" si="259"/>
        <v>0</v>
      </c>
      <c r="H241" s="733">
        <f t="shared" si="259"/>
        <v>0</v>
      </c>
      <c r="I241" s="733">
        <f t="shared" si="259"/>
        <v>0</v>
      </c>
      <c r="J241" s="733">
        <f t="shared" si="259"/>
        <v>0</v>
      </c>
      <c r="K241" s="733">
        <f t="shared" ref="K241:P241" si="266">K17*$E$227</f>
        <v>0</v>
      </c>
      <c r="L241" s="733">
        <f t="shared" si="266"/>
        <v>0</v>
      </c>
      <c r="M241" s="733">
        <f t="shared" si="266"/>
        <v>0</v>
      </c>
      <c r="N241" s="733">
        <f t="shared" si="266"/>
        <v>0</v>
      </c>
      <c r="O241" s="733">
        <f t="shared" si="266"/>
        <v>0</v>
      </c>
      <c r="P241" s="733">
        <f t="shared" si="266"/>
        <v>0</v>
      </c>
      <c r="Q241" s="734">
        <f t="shared" si="251"/>
        <v>0</v>
      </c>
      <c r="R241" s="733">
        <f t="shared" si="258"/>
        <v>0</v>
      </c>
      <c r="S241" s="733">
        <f t="shared" si="258"/>
        <v>0</v>
      </c>
      <c r="T241" s="733">
        <f t="shared" ca="1" si="258"/>
        <v>0</v>
      </c>
      <c r="U241" s="733">
        <f t="shared" ca="1" si="258"/>
        <v>0</v>
      </c>
    </row>
    <row r="242" spans="2:21" s="119" customFormat="1" ht="19.5" hidden="1" thickBot="1" x14ac:dyDescent="0.35">
      <c r="B242" s="301"/>
      <c r="C242" s="119">
        <f t="shared" si="249"/>
        <v>0</v>
      </c>
      <c r="D242" s="115" t="s">
        <v>124</v>
      </c>
      <c r="E242" s="116" t="s">
        <v>78</v>
      </c>
      <c r="F242" s="742">
        <f t="shared" ref="F242:U242" si="267">SUBTOTAL(9,F230:F241)</f>
        <v>0</v>
      </c>
      <c r="G242" s="742">
        <f>SUBTOTAL(9,G230:G241)</f>
        <v>0</v>
      </c>
      <c r="H242" s="742">
        <f>SUBTOTAL(9,H230:H241)</f>
        <v>0</v>
      </c>
      <c r="I242" s="742">
        <f>SUBTOTAL(9,I230:I241)</f>
        <v>0</v>
      </c>
      <c r="J242" s="742">
        <f>SUBTOTAL(9,J230:J241)</f>
        <v>0</v>
      </c>
      <c r="K242" s="742">
        <f t="shared" ref="K242:P242" si="268">SUBTOTAL(9,K230:K241)</f>
        <v>0</v>
      </c>
      <c r="L242" s="742">
        <f t="shared" si="268"/>
        <v>0</v>
      </c>
      <c r="M242" s="742">
        <f t="shared" si="268"/>
        <v>0</v>
      </c>
      <c r="N242" s="742">
        <f t="shared" si="268"/>
        <v>0</v>
      </c>
      <c r="O242" s="742">
        <f t="shared" si="268"/>
        <v>0</v>
      </c>
      <c r="P242" s="742">
        <f t="shared" si="268"/>
        <v>0</v>
      </c>
      <c r="Q242" s="743">
        <f>SUBTOTAL(9,Q230:Q241)</f>
        <v>0</v>
      </c>
      <c r="R242" s="742">
        <f t="shared" si="267"/>
        <v>0</v>
      </c>
      <c r="S242" s="742">
        <f t="shared" si="267"/>
        <v>0</v>
      </c>
      <c r="T242" s="742">
        <f t="shared" si="267"/>
        <v>0</v>
      </c>
      <c r="U242" s="742">
        <f t="shared" si="267"/>
        <v>0</v>
      </c>
    </row>
    <row r="243" spans="2:21" s="119" customFormat="1" ht="19.5" hidden="1" thickBot="1" x14ac:dyDescent="0.3">
      <c r="B243" s="340"/>
      <c r="D243" s="117"/>
      <c r="E243" s="117"/>
      <c r="F243" s="118"/>
      <c r="G243" s="118"/>
      <c r="I243" s="118"/>
      <c r="J243" s="118"/>
      <c r="K243" s="118"/>
      <c r="L243" s="118"/>
      <c r="O243" s="118"/>
      <c r="Q243" s="120"/>
      <c r="R243" s="117"/>
      <c r="S243" s="118"/>
      <c r="U243" s="120"/>
    </row>
    <row r="244" spans="2:21" s="119" customFormat="1" ht="75.75" hidden="1" thickBot="1" x14ac:dyDescent="0.3">
      <c r="B244" s="301"/>
      <c r="C244" s="119">
        <f>IF($E244&gt;0,1,0)</f>
        <v>0</v>
      </c>
      <c r="D244" s="96" t="str">
        <f>A17</f>
        <v>Dutchess</v>
      </c>
      <c r="E244" s="166">
        <f>IFERROR(SUMIF(A:A,D244,B:B),0)</f>
        <v>0</v>
      </c>
      <c r="F244" s="98" t="s">
        <v>356</v>
      </c>
      <c r="G244" s="98" t="s">
        <v>373</v>
      </c>
      <c r="H244" s="98" t="s">
        <v>358</v>
      </c>
      <c r="I244" s="98" t="s">
        <v>109</v>
      </c>
      <c r="J244" s="98" t="s">
        <v>111</v>
      </c>
      <c r="K244" s="98" t="s">
        <v>469</v>
      </c>
      <c r="L244" s="98" t="s">
        <v>470</v>
      </c>
      <c r="M244" s="98" t="s">
        <v>357</v>
      </c>
      <c r="N244" s="509" t="s">
        <v>471</v>
      </c>
      <c r="O244" s="98" t="s">
        <v>472</v>
      </c>
      <c r="P244" s="98" t="s">
        <v>110</v>
      </c>
      <c r="Q244" s="99" t="s">
        <v>116</v>
      </c>
      <c r="R244" s="98" t="s">
        <v>112</v>
      </c>
      <c r="S244" s="98" t="s">
        <v>113</v>
      </c>
      <c r="T244" s="98" t="s">
        <v>114</v>
      </c>
      <c r="U244" s="98" t="s">
        <v>115</v>
      </c>
    </row>
    <row r="245" spans="2:21" s="119" customFormat="1" ht="19.5" hidden="1" thickBot="1" x14ac:dyDescent="0.3">
      <c r="B245" s="301"/>
      <c r="C245" s="119">
        <f>C244</f>
        <v>0</v>
      </c>
      <c r="D245" s="101"/>
      <c r="E245" s="102"/>
      <c r="F245" s="84" t="s">
        <v>57</v>
      </c>
      <c r="G245" s="84" t="s">
        <v>56</v>
      </c>
      <c r="H245" s="84" t="s">
        <v>55</v>
      </c>
      <c r="I245" s="84" t="s">
        <v>54</v>
      </c>
      <c r="J245" s="84" t="s">
        <v>53</v>
      </c>
      <c r="K245" s="84" t="s">
        <v>52</v>
      </c>
      <c r="L245" s="84" t="s">
        <v>51</v>
      </c>
      <c r="M245" s="84" t="s">
        <v>50</v>
      </c>
      <c r="N245" s="84" t="s">
        <v>49</v>
      </c>
      <c r="O245" s="84" t="s">
        <v>47</v>
      </c>
      <c r="P245" s="84" t="s">
        <v>77</v>
      </c>
      <c r="Q245" s="83" t="s">
        <v>78</v>
      </c>
      <c r="R245" s="84" t="s">
        <v>79</v>
      </c>
      <c r="S245" s="84" t="s">
        <v>81</v>
      </c>
      <c r="T245" s="84" t="s">
        <v>83</v>
      </c>
      <c r="U245" s="84" t="s">
        <v>85</v>
      </c>
    </row>
    <row r="246" spans="2:21" s="119" customFormat="1" ht="19.5" hidden="1" thickBot="1" x14ac:dyDescent="0.35">
      <c r="B246" s="301"/>
      <c r="C246" s="119">
        <f t="shared" ref="C246:C259" si="269">C245</f>
        <v>0</v>
      </c>
      <c r="D246" s="103" t="s">
        <v>26</v>
      </c>
      <c r="E246" s="104"/>
      <c r="F246" s="745"/>
      <c r="G246" s="745"/>
      <c r="H246" s="746"/>
      <c r="I246" s="745"/>
      <c r="J246" s="745"/>
      <c r="K246" s="745"/>
      <c r="L246" s="745"/>
      <c r="M246" s="746"/>
      <c r="N246" s="746"/>
      <c r="O246" s="745"/>
      <c r="P246" s="746"/>
      <c r="Q246" s="747"/>
      <c r="R246" s="748"/>
      <c r="S246" s="745"/>
      <c r="T246" s="746"/>
      <c r="U246" s="749"/>
    </row>
    <row r="247" spans="2:21" s="119" customFormat="1" ht="19.5" hidden="1" thickBot="1" x14ac:dyDescent="0.3">
      <c r="B247" s="301"/>
      <c r="C247" s="119">
        <f t="shared" si="269"/>
        <v>0</v>
      </c>
      <c r="D247" s="109" t="s">
        <v>93</v>
      </c>
      <c r="E247" s="76" t="s">
        <v>57</v>
      </c>
      <c r="F247" s="733">
        <f>F6*$E$244</f>
        <v>0</v>
      </c>
      <c r="G247" s="733">
        <f>G6*$E$244</f>
        <v>0</v>
      </c>
      <c r="H247" s="733">
        <f>H6*$E$244</f>
        <v>0</v>
      </c>
      <c r="I247" s="733">
        <f>I6*$E$244</f>
        <v>0</v>
      </c>
      <c r="J247" s="733">
        <f>J6*$E$244</f>
        <v>0</v>
      </c>
      <c r="K247" s="733">
        <f t="shared" ref="K247:O247" si="270">K6*$E$244</f>
        <v>0</v>
      </c>
      <c r="L247" s="733">
        <f t="shared" si="270"/>
        <v>0</v>
      </c>
      <c r="M247" s="733">
        <f t="shared" si="270"/>
        <v>0</v>
      </c>
      <c r="N247" s="733">
        <f t="shared" si="270"/>
        <v>0</v>
      </c>
      <c r="O247" s="733">
        <f t="shared" si="270"/>
        <v>0</v>
      </c>
      <c r="P247" s="733">
        <f t="shared" ref="P247:U247" si="271">P6*$E$244</f>
        <v>0</v>
      </c>
      <c r="Q247" s="734">
        <f t="shared" ref="Q247:Q258" si="272">SUM(F247:P247)</f>
        <v>0</v>
      </c>
      <c r="R247" s="733">
        <f t="shared" si="271"/>
        <v>0</v>
      </c>
      <c r="S247" s="733">
        <f t="shared" si="271"/>
        <v>0</v>
      </c>
      <c r="T247" s="733">
        <f t="shared" ca="1" si="271"/>
        <v>0</v>
      </c>
      <c r="U247" s="733">
        <f t="shared" ca="1" si="271"/>
        <v>0</v>
      </c>
    </row>
    <row r="248" spans="2:21" s="119" customFormat="1" ht="19.5" hidden="1" thickBot="1" x14ac:dyDescent="0.3">
      <c r="B248" s="301"/>
      <c r="C248" s="119">
        <f t="shared" si="269"/>
        <v>0</v>
      </c>
      <c r="D248" s="110" t="s">
        <v>92</v>
      </c>
      <c r="E248" s="76" t="s">
        <v>56</v>
      </c>
      <c r="F248" s="733">
        <f t="shared" ref="F248:U250" si="273">F7*$E$244</f>
        <v>0</v>
      </c>
      <c r="G248" s="733">
        <f t="shared" ref="G248:J250" si="274">G7*$E$244</f>
        <v>0</v>
      </c>
      <c r="H248" s="733">
        <f t="shared" si="274"/>
        <v>0</v>
      </c>
      <c r="I248" s="733">
        <f t="shared" si="274"/>
        <v>0</v>
      </c>
      <c r="J248" s="733">
        <f t="shared" si="274"/>
        <v>0</v>
      </c>
      <c r="K248" s="733">
        <f t="shared" ref="K248:O248" si="275">K7*$E$244</f>
        <v>0</v>
      </c>
      <c r="L248" s="733">
        <f t="shared" si="275"/>
        <v>0</v>
      </c>
      <c r="M248" s="733">
        <f t="shared" si="275"/>
        <v>0</v>
      </c>
      <c r="N248" s="733">
        <f t="shared" si="275"/>
        <v>0</v>
      </c>
      <c r="O248" s="733">
        <f t="shared" si="275"/>
        <v>0</v>
      </c>
      <c r="P248" s="733">
        <f t="shared" si="273"/>
        <v>0</v>
      </c>
      <c r="Q248" s="734">
        <f t="shared" si="272"/>
        <v>0</v>
      </c>
      <c r="R248" s="733">
        <f t="shared" si="273"/>
        <v>0</v>
      </c>
      <c r="S248" s="733">
        <f t="shared" si="273"/>
        <v>0</v>
      </c>
      <c r="T248" s="733">
        <f t="shared" si="273"/>
        <v>0</v>
      </c>
      <c r="U248" s="733">
        <f t="shared" si="273"/>
        <v>0</v>
      </c>
    </row>
    <row r="249" spans="2:21" s="119" customFormat="1" ht="19.5" hidden="1" thickBot="1" x14ac:dyDescent="0.3">
      <c r="B249" s="301"/>
      <c r="C249" s="119">
        <f t="shared" si="269"/>
        <v>0</v>
      </c>
      <c r="D249" s="110" t="s">
        <v>91</v>
      </c>
      <c r="E249" s="76" t="s">
        <v>55</v>
      </c>
      <c r="F249" s="733">
        <f t="shared" si="273"/>
        <v>0</v>
      </c>
      <c r="G249" s="733">
        <f t="shared" si="274"/>
        <v>0</v>
      </c>
      <c r="H249" s="733">
        <f t="shared" si="274"/>
        <v>0</v>
      </c>
      <c r="I249" s="733">
        <f t="shared" si="274"/>
        <v>0</v>
      </c>
      <c r="J249" s="733">
        <f t="shared" si="274"/>
        <v>0</v>
      </c>
      <c r="K249" s="733">
        <f t="shared" ref="K249:O249" si="276">K8*$E$244</f>
        <v>0</v>
      </c>
      <c r="L249" s="733">
        <f t="shared" si="276"/>
        <v>0</v>
      </c>
      <c r="M249" s="733">
        <f t="shared" si="276"/>
        <v>0</v>
      </c>
      <c r="N249" s="733">
        <f t="shared" si="276"/>
        <v>0</v>
      </c>
      <c r="O249" s="733">
        <f t="shared" si="276"/>
        <v>0</v>
      </c>
      <c r="P249" s="733">
        <f t="shared" si="273"/>
        <v>0</v>
      </c>
      <c r="Q249" s="734">
        <f t="shared" si="272"/>
        <v>0</v>
      </c>
      <c r="R249" s="733">
        <f t="shared" si="273"/>
        <v>0</v>
      </c>
      <c r="S249" s="733">
        <f t="shared" si="273"/>
        <v>0</v>
      </c>
      <c r="T249" s="733">
        <f t="shared" ca="1" si="273"/>
        <v>0</v>
      </c>
      <c r="U249" s="733">
        <f t="shared" ca="1" si="273"/>
        <v>0</v>
      </c>
    </row>
    <row r="250" spans="2:21" s="119" customFormat="1" ht="19.5" hidden="1" thickBot="1" x14ac:dyDescent="0.3">
      <c r="B250" s="301"/>
      <c r="C250" s="119">
        <f t="shared" si="269"/>
        <v>0</v>
      </c>
      <c r="D250" s="111" t="s">
        <v>117</v>
      </c>
      <c r="E250" s="76" t="s">
        <v>54</v>
      </c>
      <c r="F250" s="733">
        <f t="shared" si="273"/>
        <v>0</v>
      </c>
      <c r="G250" s="733">
        <f t="shared" si="274"/>
        <v>0</v>
      </c>
      <c r="H250" s="733">
        <f t="shared" si="274"/>
        <v>0</v>
      </c>
      <c r="I250" s="733">
        <f t="shared" si="274"/>
        <v>0</v>
      </c>
      <c r="J250" s="733">
        <f t="shared" si="274"/>
        <v>0</v>
      </c>
      <c r="K250" s="733">
        <f t="shared" ref="K250:O250" si="277">K9*$E$244</f>
        <v>0</v>
      </c>
      <c r="L250" s="733">
        <f t="shared" si="277"/>
        <v>0</v>
      </c>
      <c r="M250" s="733">
        <f t="shared" si="277"/>
        <v>0</v>
      </c>
      <c r="N250" s="733">
        <f t="shared" si="277"/>
        <v>0</v>
      </c>
      <c r="O250" s="733">
        <f t="shared" si="277"/>
        <v>0</v>
      </c>
      <c r="P250" s="733">
        <f t="shared" si="273"/>
        <v>0</v>
      </c>
      <c r="Q250" s="734">
        <f t="shared" si="272"/>
        <v>0</v>
      </c>
      <c r="R250" s="733">
        <f t="shared" si="273"/>
        <v>0</v>
      </c>
      <c r="S250" s="733">
        <f t="shared" si="273"/>
        <v>0</v>
      </c>
      <c r="T250" s="733">
        <f t="shared" si="273"/>
        <v>0</v>
      </c>
      <c r="U250" s="733">
        <f t="shared" si="273"/>
        <v>0</v>
      </c>
    </row>
    <row r="251" spans="2:21" s="119" customFormat="1" ht="19.5" hidden="1" thickBot="1" x14ac:dyDescent="0.35">
      <c r="B251" s="301"/>
      <c r="C251" s="119">
        <f t="shared" si="269"/>
        <v>0</v>
      </c>
      <c r="D251" s="112" t="s">
        <v>31</v>
      </c>
      <c r="E251" s="76"/>
      <c r="F251" s="750"/>
      <c r="G251" s="735"/>
      <c r="H251" s="736"/>
      <c r="I251" s="735"/>
      <c r="J251" s="735"/>
      <c r="K251" s="735"/>
      <c r="L251" s="735"/>
      <c r="M251" s="735"/>
      <c r="N251" s="735"/>
      <c r="O251" s="735"/>
      <c r="P251" s="738"/>
      <c r="Q251" s="734">
        <f t="shared" si="272"/>
        <v>0</v>
      </c>
      <c r="R251" s="739"/>
      <c r="S251" s="735"/>
      <c r="T251" s="740"/>
      <c r="U251" s="741"/>
    </row>
    <row r="252" spans="2:21" s="119" customFormat="1" ht="19.5" hidden="1" thickBot="1" x14ac:dyDescent="0.35">
      <c r="B252" s="301"/>
      <c r="C252" s="119">
        <f t="shared" si="269"/>
        <v>0</v>
      </c>
      <c r="D252" s="113" t="s">
        <v>118</v>
      </c>
      <c r="E252" s="76" t="s">
        <v>53</v>
      </c>
      <c r="F252" s="733">
        <f t="shared" ref="F252:U258" si="278">F11*$E$244</f>
        <v>0</v>
      </c>
      <c r="G252" s="733">
        <f t="shared" ref="G252:J258" si="279">G11*$E$244</f>
        <v>0</v>
      </c>
      <c r="H252" s="733">
        <f t="shared" si="279"/>
        <v>0</v>
      </c>
      <c r="I252" s="733">
        <f t="shared" si="279"/>
        <v>0</v>
      </c>
      <c r="J252" s="733">
        <f t="shared" si="279"/>
        <v>0</v>
      </c>
      <c r="K252" s="733">
        <f t="shared" ref="K252:O252" si="280">K11*$E$244</f>
        <v>0</v>
      </c>
      <c r="L252" s="733">
        <f t="shared" si="280"/>
        <v>0</v>
      </c>
      <c r="M252" s="733">
        <f t="shared" si="280"/>
        <v>0</v>
      </c>
      <c r="N252" s="733">
        <f t="shared" si="280"/>
        <v>0</v>
      </c>
      <c r="O252" s="733">
        <f t="shared" si="280"/>
        <v>0</v>
      </c>
      <c r="P252" s="733">
        <f t="shared" si="278"/>
        <v>0</v>
      </c>
      <c r="Q252" s="734">
        <f t="shared" si="272"/>
        <v>0</v>
      </c>
      <c r="R252" s="733">
        <f t="shared" si="278"/>
        <v>0</v>
      </c>
      <c r="S252" s="733">
        <f t="shared" si="278"/>
        <v>0</v>
      </c>
      <c r="T252" s="733">
        <f t="shared" si="278"/>
        <v>0</v>
      </c>
      <c r="U252" s="733">
        <f t="shared" si="278"/>
        <v>0</v>
      </c>
    </row>
    <row r="253" spans="2:21" s="119" customFormat="1" ht="19.5" hidden="1" thickBot="1" x14ac:dyDescent="0.35">
      <c r="B253" s="301"/>
      <c r="C253" s="119">
        <f t="shared" si="269"/>
        <v>0</v>
      </c>
      <c r="D253" s="113" t="s">
        <v>119</v>
      </c>
      <c r="E253" s="76" t="s">
        <v>52</v>
      </c>
      <c r="F253" s="733">
        <f t="shared" si="278"/>
        <v>0</v>
      </c>
      <c r="G253" s="733">
        <f t="shared" si="279"/>
        <v>0</v>
      </c>
      <c r="H253" s="733">
        <f t="shared" si="279"/>
        <v>0</v>
      </c>
      <c r="I253" s="733">
        <f t="shared" si="279"/>
        <v>0</v>
      </c>
      <c r="J253" s="733">
        <f t="shared" si="279"/>
        <v>0</v>
      </c>
      <c r="K253" s="733">
        <f t="shared" ref="K253:O253" si="281">K12*$E$244</f>
        <v>0</v>
      </c>
      <c r="L253" s="733">
        <f t="shared" si="281"/>
        <v>0</v>
      </c>
      <c r="M253" s="733">
        <f t="shared" si="281"/>
        <v>0</v>
      </c>
      <c r="N253" s="733">
        <f t="shared" si="281"/>
        <v>0</v>
      </c>
      <c r="O253" s="733">
        <f t="shared" si="281"/>
        <v>0</v>
      </c>
      <c r="P253" s="733">
        <f t="shared" si="278"/>
        <v>0</v>
      </c>
      <c r="Q253" s="734">
        <f t="shared" si="272"/>
        <v>0</v>
      </c>
      <c r="R253" s="733">
        <f t="shared" si="278"/>
        <v>0</v>
      </c>
      <c r="S253" s="733">
        <f t="shared" si="278"/>
        <v>0</v>
      </c>
      <c r="T253" s="733">
        <f t="shared" si="278"/>
        <v>0</v>
      </c>
      <c r="U253" s="733">
        <f t="shared" si="278"/>
        <v>0</v>
      </c>
    </row>
    <row r="254" spans="2:21" s="119" customFormat="1" ht="19.5" hidden="1" thickBot="1" x14ac:dyDescent="0.35">
      <c r="B254" s="301"/>
      <c r="C254" s="119">
        <f t="shared" si="269"/>
        <v>0</v>
      </c>
      <c r="D254" s="113" t="s">
        <v>120</v>
      </c>
      <c r="E254" s="76" t="s">
        <v>51</v>
      </c>
      <c r="F254" s="733">
        <f t="shared" si="278"/>
        <v>0</v>
      </c>
      <c r="G254" s="733">
        <f t="shared" si="279"/>
        <v>0</v>
      </c>
      <c r="H254" s="733">
        <f t="shared" si="279"/>
        <v>0</v>
      </c>
      <c r="I254" s="733">
        <f t="shared" si="279"/>
        <v>0</v>
      </c>
      <c r="J254" s="733">
        <f t="shared" si="279"/>
        <v>0</v>
      </c>
      <c r="K254" s="733">
        <f t="shared" ref="K254:O254" si="282">K13*$E$244</f>
        <v>0</v>
      </c>
      <c r="L254" s="733">
        <f t="shared" si="282"/>
        <v>0</v>
      </c>
      <c r="M254" s="733">
        <f t="shared" si="282"/>
        <v>0</v>
      </c>
      <c r="N254" s="733">
        <f t="shared" si="282"/>
        <v>0</v>
      </c>
      <c r="O254" s="733">
        <f t="shared" si="282"/>
        <v>0</v>
      </c>
      <c r="P254" s="733">
        <f t="shared" si="278"/>
        <v>0</v>
      </c>
      <c r="Q254" s="734">
        <f t="shared" si="272"/>
        <v>0</v>
      </c>
      <c r="R254" s="733">
        <f t="shared" si="278"/>
        <v>0</v>
      </c>
      <c r="S254" s="733">
        <f t="shared" si="278"/>
        <v>0</v>
      </c>
      <c r="T254" s="733">
        <f t="shared" si="278"/>
        <v>0</v>
      </c>
      <c r="U254" s="733">
        <f t="shared" si="278"/>
        <v>0</v>
      </c>
    </row>
    <row r="255" spans="2:21" s="119" customFormat="1" ht="19.5" hidden="1" thickBot="1" x14ac:dyDescent="0.35">
      <c r="B255" s="301"/>
      <c r="C255" s="119">
        <f t="shared" si="269"/>
        <v>0</v>
      </c>
      <c r="D255" s="113" t="s">
        <v>121</v>
      </c>
      <c r="E255" s="76" t="s">
        <v>50</v>
      </c>
      <c r="F255" s="733">
        <f t="shared" si="278"/>
        <v>0</v>
      </c>
      <c r="G255" s="733">
        <f t="shared" si="279"/>
        <v>0</v>
      </c>
      <c r="H255" s="733">
        <f t="shared" si="279"/>
        <v>0</v>
      </c>
      <c r="I255" s="733">
        <f t="shared" si="279"/>
        <v>0</v>
      </c>
      <c r="J255" s="733">
        <f t="shared" si="279"/>
        <v>0</v>
      </c>
      <c r="K255" s="733">
        <f t="shared" ref="K255:O255" si="283">K14*$E$244</f>
        <v>0</v>
      </c>
      <c r="L255" s="733">
        <f t="shared" si="283"/>
        <v>0</v>
      </c>
      <c r="M255" s="733">
        <f t="shared" si="283"/>
        <v>0</v>
      </c>
      <c r="N255" s="733">
        <f t="shared" si="283"/>
        <v>0</v>
      </c>
      <c r="O255" s="733">
        <f t="shared" si="283"/>
        <v>0</v>
      </c>
      <c r="P255" s="733">
        <f t="shared" si="278"/>
        <v>0</v>
      </c>
      <c r="Q255" s="734">
        <f t="shared" si="272"/>
        <v>0</v>
      </c>
      <c r="R255" s="733">
        <f t="shared" si="278"/>
        <v>0</v>
      </c>
      <c r="S255" s="733">
        <f t="shared" si="278"/>
        <v>0</v>
      </c>
      <c r="T255" s="733">
        <f t="shared" si="278"/>
        <v>0</v>
      </c>
      <c r="U255" s="733">
        <f t="shared" si="278"/>
        <v>0</v>
      </c>
    </row>
    <row r="256" spans="2:21" s="119" customFormat="1" ht="19.5" hidden="1" thickBot="1" x14ac:dyDescent="0.35">
      <c r="B256" s="301"/>
      <c r="C256" s="119">
        <f t="shared" si="269"/>
        <v>0</v>
      </c>
      <c r="D256" s="113" t="s">
        <v>122</v>
      </c>
      <c r="E256" s="76" t="s">
        <v>49</v>
      </c>
      <c r="F256" s="733">
        <f t="shared" si="278"/>
        <v>0</v>
      </c>
      <c r="G256" s="733">
        <f t="shared" si="279"/>
        <v>0</v>
      </c>
      <c r="H256" s="733">
        <f t="shared" si="279"/>
        <v>0</v>
      </c>
      <c r="I256" s="733">
        <f t="shared" si="279"/>
        <v>0</v>
      </c>
      <c r="J256" s="733">
        <f t="shared" si="279"/>
        <v>0</v>
      </c>
      <c r="K256" s="733">
        <f t="shared" ref="K256:O256" si="284">K15*$E$244</f>
        <v>0</v>
      </c>
      <c r="L256" s="733">
        <f t="shared" si="284"/>
        <v>0</v>
      </c>
      <c r="M256" s="733">
        <f t="shared" si="284"/>
        <v>0</v>
      </c>
      <c r="N256" s="733">
        <f t="shared" si="284"/>
        <v>0</v>
      </c>
      <c r="O256" s="733">
        <f t="shared" si="284"/>
        <v>0</v>
      </c>
      <c r="P256" s="733">
        <f t="shared" si="278"/>
        <v>0</v>
      </c>
      <c r="Q256" s="734">
        <f t="shared" si="272"/>
        <v>0</v>
      </c>
      <c r="R256" s="733">
        <f t="shared" si="278"/>
        <v>0</v>
      </c>
      <c r="S256" s="733">
        <f t="shared" si="278"/>
        <v>0</v>
      </c>
      <c r="T256" s="733">
        <f t="shared" si="278"/>
        <v>0</v>
      </c>
      <c r="U256" s="733">
        <f t="shared" si="278"/>
        <v>0</v>
      </c>
    </row>
    <row r="257" spans="2:21" s="119" customFormat="1" ht="19.5" hidden="1" thickBot="1" x14ac:dyDescent="0.35">
      <c r="B257" s="301"/>
      <c r="C257" s="119">
        <f t="shared" si="269"/>
        <v>0</v>
      </c>
      <c r="D257" s="113" t="s">
        <v>123</v>
      </c>
      <c r="E257" s="76" t="s">
        <v>47</v>
      </c>
      <c r="F257" s="733">
        <f t="shared" si="278"/>
        <v>0</v>
      </c>
      <c r="G257" s="733">
        <f t="shared" si="279"/>
        <v>0</v>
      </c>
      <c r="H257" s="733">
        <f t="shared" si="279"/>
        <v>0</v>
      </c>
      <c r="I257" s="733">
        <f t="shared" si="279"/>
        <v>0</v>
      </c>
      <c r="J257" s="733">
        <f t="shared" si="279"/>
        <v>0</v>
      </c>
      <c r="K257" s="733">
        <f t="shared" ref="K257:O257" si="285">K16*$E$244</f>
        <v>0</v>
      </c>
      <c r="L257" s="733">
        <f t="shared" si="285"/>
        <v>0</v>
      </c>
      <c r="M257" s="733">
        <f t="shared" si="285"/>
        <v>0</v>
      </c>
      <c r="N257" s="733">
        <f t="shared" si="285"/>
        <v>0</v>
      </c>
      <c r="O257" s="733">
        <f t="shared" si="285"/>
        <v>0</v>
      </c>
      <c r="P257" s="733">
        <f t="shared" si="278"/>
        <v>0</v>
      </c>
      <c r="Q257" s="734">
        <f t="shared" si="272"/>
        <v>0</v>
      </c>
      <c r="R257" s="733">
        <f t="shared" si="278"/>
        <v>0</v>
      </c>
      <c r="S257" s="733">
        <f t="shared" si="278"/>
        <v>0</v>
      </c>
      <c r="T257" s="733">
        <f t="shared" si="278"/>
        <v>0</v>
      </c>
      <c r="U257" s="733">
        <f t="shared" si="278"/>
        <v>0</v>
      </c>
    </row>
    <row r="258" spans="2:21" s="119" customFormat="1" ht="19.5" hidden="1" thickBot="1" x14ac:dyDescent="0.35">
      <c r="B258" s="301"/>
      <c r="C258" s="119">
        <f t="shared" si="269"/>
        <v>0</v>
      </c>
      <c r="D258" s="114" t="s">
        <v>16</v>
      </c>
      <c r="E258" s="70" t="s">
        <v>77</v>
      </c>
      <c r="F258" s="733">
        <f t="shared" si="278"/>
        <v>0</v>
      </c>
      <c r="G258" s="733">
        <f t="shared" si="279"/>
        <v>0</v>
      </c>
      <c r="H258" s="733">
        <f t="shared" si="279"/>
        <v>0</v>
      </c>
      <c r="I258" s="733">
        <f t="shared" si="279"/>
        <v>0</v>
      </c>
      <c r="J258" s="733">
        <f t="shared" si="279"/>
        <v>0</v>
      </c>
      <c r="K258" s="733">
        <f t="shared" ref="K258:O258" si="286">K17*$E$244</f>
        <v>0</v>
      </c>
      <c r="L258" s="733">
        <f t="shared" si="286"/>
        <v>0</v>
      </c>
      <c r="M258" s="733">
        <f t="shared" si="286"/>
        <v>0</v>
      </c>
      <c r="N258" s="733">
        <f t="shared" si="286"/>
        <v>0</v>
      </c>
      <c r="O258" s="733">
        <f t="shared" si="286"/>
        <v>0</v>
      </c>
      <c r="P258" s="733">
        <f t="shared" si="278"/>
        <v>0</v>
      </c>
      <c r="Q258" s="734">
        <f t="shared" si="272"/>
        <v>0</v>
      </c>
      <c r="R258" s="733">
        <f t="shared" si="278"/>
        <v>0</v>
      </c>
      <c r="S258" s="733">
        <f t="shared" si="278"/>
        <v>0</v>
      </c>
      <c r="T258" s="733">
        <f t="shared" ca="1" si="278"/>
        <v>0</v>
      </c>
      <c r="U258" s="733">
        <f t="shared" ca="1" si="278"/>
        <v>0</v>
      </c>
    </row>
    <row r="259" spans="2:21" s="119" customFormat="1" ht="19.5" hidden="1" thickBot="1" x14ac:dyDescent="0.35">
      <c r="B259" s="301"/>
      <c r="C259" s="119">
        <f t="shared" si="269"/>
        <v>0</v>
      </c>
      <c r="D259" s="115" t="s">
        <v>124</v>
      </c>
      <c r="E259" s="116" t="s">
        <v>78</v>
      </c>
      <c r="F259" s="742">
        <f t="shared" ref="F259:U259" si="287">SUBTOTAL(9,F247:F258)</f>
        <v>0</v>
      </c>
      <c r="G259" s="742">
        <f>SUBTOTAL(9,G247:G258)</f>
        <v>0</v>
      </c>
      <c r="H259" s="742">
        <f>SUBTOTAL(9,H247:H258)</f>
        <v>0</v>
      </c>
      <c r="I259" s="742">
        <f>SUBTOTAL(9,I247:I258)</f>
        <v>0</v>
      </c>
      <c r="J259" s="742">
        <f>SUBTOTAL(9,J247:J258)</f>
        <v>0</v>
      </c>
      <c r="K259" s="742">
        <f t="shared" ref="K259:O259" si="288">SUBTOTAL(9,K247:K258)</f>
        <v>0</v>
      </c>
      <c r="L259" s="742">
        <f t="shared" si="288"/>
        <v>0</v>
      </c>
      <c r="M259" s="742">
        <f t="shared" si="288"/>
        <v>0</v>
      </c>
      <c r="N259" s="742">
        <f t="shared" si="288"/>
        <v>0</v>
      </c>
      <c r="O259" s="742">
        <f t="shared" si="288"/>
        <v>0</v>
      </c>
      <c r="P259" s="742">
        <f t="shared" si="287"/>
        <v>0</v>
      </c>
      <c r="Q259" s="743">
        <f>SUBTOTAL(9,Q247:Q258)</f>
        <v>0</v>
      </c>
      <c r="R259" s="742">
        <f t="shared" si="287"/>
        <v>0</v>
      </c>
      <c r="S259" s="742">
        <f t="shared" si="287"/>
        <v>0</v>
      </c>
      <c r="T259" s="742">
        <f t="shared" si="287"/>
        <v>0</v>
      </c>
      <c r="U259" s="742">
        <f t="shared" si="287"/>
        <v>0</v>
      </c>
    </row>
    <row r="260" spans="2:21" s="119" customFormat="1" ht="19.5" hidden="1" thickBot="1" x14ac:dyDescent="0.3">
      <c r="B260" s="340"/>
      <c r="D260" s="117"/>
      <c r="E260" s="117"/>
      <c r="F260" s="118"/>
      <c r="G260" s="118"/>
      <c r="I260" s="118"/>
      <c r="J260" s="118"/>
      <c r="K260" s="118"/>
      <c r="L260" s="118"/>
      <c r="O260" s="118"/>
      <c r="Q260" s="120"/>
      <c r="R260" s="117"/>
      <c r="S260" s="118"/>
      <c r="U260" s="120"/>
    </row>
    <row r="261" spans="2:21" s="119" customFormat="1" ht="75.75" hidden="1" thickBot="1" x14ac:dyDescent="0.3">
      <c r="B261" s="301"/>
      <c r="C261" s="119">
        <f>IF($E261&gt;0,1,0)</f>
        <v>0</v>
      </c>
      <c r="D261" s="96" t="str">
        <f>A18</f>
        <v>Erie</v>
      </c>
      <c r="E261" s="166">
        <f>IFERROR(SUMIF(A:A,D261,B:B),0)</f>
        <v>0</v>
      </c>
      <c r="F261" s="98" t="s">
        <v>356</v>
      </c>
      <c r="G261" s="98" t="s">
        <v>373</v>
      </c>
      <c r="H261" s="98" t="s">
        <v>358</v>
      </c>
      <c r="I261" s="98" t="s">
        <v>109</v>
      </c>
      <c r="J261" s="98" t="s">
        <v>111</v>
      </c>
      <c r="K261" s="98" t="s">
        <v>469</v>
      </c>
      <c r="L261" s="98" t="s">
        <v>470</v>
      </c>
      <c r="M261" s="98" t="s">
        <v>357</v>
      </c>
      <c r="N261" s="509" t="s">
        <v>471</v>
      </c>
      <c r="O261" s="98" t="s">
        <v>472</v>
      </c>
      <c r="P261" s="98" t="s">
        <v>110</v>
      </c>
      <c r="Q261" s="99" t="s">
        <v>116</v>
      </c>
      <c r="R261" s="98" t="s">
        <v>112</v>
      </c>
      <c r="S261" s="98" t="s">
        <v>113</v>
      </c>
      <c r="T261" s="98" t="s">
        <v>114</v>
      </c>
      <c r="U261" s="98" t="s">
        <v>115</v>
      </c>
    </row>
    <row r="262" spans="2:21" s="119" customFormat="1" ht="19.5" hidden="1" thickBot="1" x14ac:dyDescent="0.3">
      <c r="B262" s="301"/>
      <c r="C262" s="119">
        <f>C261</f>
        <v>0</v>
      </c>
      <c r="D262" s="101"/>
      <c r="E262" s="102"/>
      <c r="F262" s="84" t="s">
        <v>57</v>
      </c>
      <c r="G262" s="84" t="s">
        <v>56</v>
      </c>
      <c r="H262" s="84" t="s">
        <v>55</v>
      </c>
      <c r="I262" s="84" t="s">
        <v>54</v>
      </c>
      <c r="J262" s="84" t="s">
        <v>53</v>
      </c>
      <c r="K262" s="84" t="s">
        <v>52</v>
      </c>
      <c r="L262" s="84" t="s">
        <v>51</v>
      </c>
      <c r="M262" s="84" t="s">
        <v>50</v>
      </c>
      <c r="N262" s="84" t="s">
        <v>49</v>
      </c>
      <c r="O262" s="84" t="s">
        <v>47</v>
      </c>
      <c r="P262" s="84" t="s">
        <v>77</v>
      </c>
      <c r="Q262" s="83" t="s">
        <v>78</v>
      </c>
      <c r="R262" s="84" t="s">
        <v>79</v>
      </c>
      <c r="S262" s="84" t="s">
        <v>81</v>
      </c>
      <c r="T262" s="84" t="s">
        <v>83</v>
      </c>
      <c r="U262" s="84" t="s">
        <v>85</v>
      </c>
    </row>
    <row r="263" spans="2:21" s="119" customFormat="1" ht="19.5" hidden="1" thickBot="1" x14ac:dyDescent="0.35">
      <c r="B263" s="301"/>
      <c r="C263" s="119">
        <f t="shared" ref="C263:C276" si="289">C262</f>
        <v>0</v>
      </c>
      <c r="D263" s="103" t="s">
        <v>26</v>
      </c>
      <c r="E263" s="104"/>
      <c r="F263" s="745"/>
      <c r="G263" s="745"/>
      <c r="H263" s="746"/>
      <c r="I263" s="745"/>
      <c r="J263" s="745"/>
      <c r="K263" s="745"/>
      <c r="L263" s="745"/>
      <c r="M263" s="746"/>
      <c r="N263" s="746"/>
      <c r="O263" s="745"/>
      <c r="P263" s="746"/>
      <c r="Q263" s="747"/>
      <c r="R263" s="748"/>
      <c r="S263" s="745"/>
      <c r="T263" s="746"/>
      <c r="U263" s="749"/>
    </row>
    <row r="264" spans="2:21" s="119" customFormat="1" ht="19.5" hidden="1" thickBot="1" x14ac:dyDescent="0.3">
      <c r="B264" s="301"/>
      <c r="C264" s="119">
        <f t="shared" si="289"/>
        <v>0</v>
      </c>
      <c r="D264" s="109" t="s">
        <v>93</v>
      </c>
      <c r="E264" s="76" t="s">
        <v>57</v>
      </c>
      <c r="F264" s="733">
        <f>$F$6*E261</f>
        <v>0</v>
      </c>
      <c r="G264" s="733">
        <f t="shared" ref="G264:J267" si="290">G6*$E$261</f>
        <v>0</v>
      </c>
      <c r="H264" s="733">
        <f t="shared" si="290"/>
        <v>0</v>
      </c>
      <c r="I264" s="733">
        <f t="shared" si="290"/>
        <v>0</v>
      </c>
      <c r="J264" s="733">
        <f t="shared" si="290"/>
        <v>0</v>
      </c>
      <c r="K264" s="733">
        <f t="shared" ref="K264:P264" si="291">K6*$E$261</f>
        <v>0</v>
      </c>
      <c r="L264" s="733">
        <f t="shared" si="291"/>
        <v>0</v>
      </c>
      <c r="M264" s="733">
        <f t="shared" si="291"/>
        <v>0</v>
      </c>
      <c r="N264" s="733">
        <f t="shared" si="291"/>
        <v>0</v>
      </c>
      <c r="O264" s="733">
        <f t="shared" si="291"/>
        <v>0</v>
      </c>
      <c r="P264" s="733">
        <f t="shared" si="291"/>
        <v>0</v>
      </c>
      <c r="Q264" s="734">
        <f t="shared" ref="Q264:Q275" si="292">SUM(F264:P264)</f>
        <v>0</v>
      </c>
      <c r="R264" s="733">
        <f t="shared" ref="R264:U264" si="293">R6*$E$261</f>
        <v>0</v>
      </c>
      <c r="S264" s="733">
        <f t="shared" si="293"/>
        <v>0</v>
      </c>
      <c r="T264" s="733">
        <f t="shared" ca="1" si="293"/>
        <v>0</v>
      </c>
      <c r="U264" s="733">
        <f t="shared" ca="1" si="293"/>
        <v>0</v>
      </c>
    </row>
    <row r="265" spans="2:21" s="119" customFormat="1" ht="19.5" hidden="1" thickBot="1" x14ac:dyDescent="0.3">
      <c r="B265" s="301"/>
      <c r="C265" s="119">
        <f t="shared" si="289"/>
        <v>0</v>
      </c>
      <c r="D265" s="110" t="s">
        <v>92</v>
      </c>
      <c r="E265" s="76" t="s">
        <v>56</v>
      </c>
      <c r="F265" s="733">
        <f t="shared" ref="F265:U267" si="294">F7*$E$261</f>
        <v>0</v>
      </c>
      <c r="G265" s="733">
        <f t="shared" si="290"/>
        <v>0</v>
      </c>
      <c r="H265" s="733">
        <f t="shared" si="290"/>
        <v>0</v>
      </c>
      <c r="I265" s="733">
        <f t="shared" si="290"/>
        <v>0</v>
      </c>
      <c r="J265" s="733">
        <f t="shared" si="290"/>
        <v>0</v>
      </c>
      <c r="K265" s="733">
        <f t="shared" ref="K265:P265" si="295">K7*$E$261</f>
        <v>0</v>
      </c>
      <c r="L265" s="733">
        <f t="shared" si="295"/>
        <v>0</v>
      </c>
      <c r="M265" s="733">
        <f t="shared" si="295"/>
        <v>0</v>
      </c>
      <c r="N265" s="733">
        <f t="shared" si="295"/>
        <v>0</v>
      </c>
      <c r="O265" s="733">
        <f t="shared" si="295"/>
        <v>0</v>
      </c>
      <c r="P265" s="733">
        <f t="shared" si="295"/>
        <v>0</v>
      </c>
      <c r="Q265" s="734">
        <f t="shared" si="292"/>
        <v>0</v>
      </c>
      <c r="R265" s="733">
        <f t="shared" si="294"/>
        <v>0</v>
      </c>
      <c r="S265" s="733">
        <f t="shared" si="294"/>
        <v>0</v>
      </c>
      <c r="T265" s="733">
        <f t="shared" si="294"/>
        <v>0</v>
      </c>
      <c r="U265" s="733">
        <f t="shared" si="294"/>
        <v>0</v>
      </c>
    </row>
    <row r="266" spans="2:21" s="119" customFormat="1" ht="19.5" hidden="1" thickBot="1" x14ac:dyDescent="0.3">
      <c r="B266" s="301"/>
      <c r="C266" s="119">
        <f t="shared" si="289"/>
        <v>0</v>
      </c>
      <c r="D266" s="110" t="s">
        <v>91</v>
      </c>
      <c r="E266" s="76" t="s">
        <v>55</v>
      </c>
      <c r="F266" s="733">
        <f t="shared" si="294"/>
        <v>0</v>
      </c>
      <c r="G266" s="733">
        <f t="shared" si="290"/>
        <v>0</v>
      </c>
      <c r="H266" s="733">
        <f t="shared" si="290"/>
        <v>0</v>
      </c>
      <c r="I266" s="733">
        <f t="shared" si="290"/>
        <v>0</v>
      </c>
      <c r="J266" s="733">
        <f t="shared" si="290"/>
        <v>0</v>
      </c>
      <c r="K266" s="733">
        <f t="shared" ref="K266:P266" si="296">K8*$E$261</f>
        <v>0</v>
      </c>
      <c r="L266" s="733">
        <f t="shared" si="296"/>
        <v>0</v>
      </c>
      <c r="M266" s="733">
        <f t="shared" si="296"/>
        <v>0</v>
      </c>
      <c r="N266" s="733">
        <f t="shared" si="296"/>
        <v>0</v>
      </c>
      <c r="O266" s="733">
        <f t="shared" si="296"/>
        <v>0</v>
      </c>
      <c r="P266" s="733">
        <f t="shared" si="296"/>
        <v>0</v>
      </c>
      <c r="Q266" s="734">
        <f t="shared" si="292"/>
        <v>0</v>
      </c>
      <c r="R266" s="733">
        <f t="shared" si="294"/>
        <v>0</v>
      </c>
      <c r="S266" s="733">
        <f t="shared" si="294"/>
        <v>0</v>
      </c>
      <c r="T266" s="733">
        <f t="shared" ca="1" si="294"/>
        <v>0</v>
      </c>
      <c r="U266" s="733">
        <f t="shared" ca="1" si="294"/>
        <v>0</v>
      </c>
    </row>
    <row r="267" spans="2:21" s="119" customFormat="1" ht="19.5" hidden="1" thickBot="1" x14ac:dyDescent="0.3">
      <c r="B267" s="301"/>
      <c r="C267" s="119">
        <f t="shared" si="289"/>
        <v>0</v>
      </c>
      <c r="D267" s="111" t="s">
        <v>117</v>
      </c>
      <c r="E267" s="76" t="s">
        <v>54</v>
      </c>
      <c r="F267" s="733">
        <f t="shared" si="294"/>
        <v>0</v>
      </c>
      <c r="G267" s="733">
        <f t="shared" si="290"/>
        <v>0</v>
      </c>
      <c r="H267" s="733">
        <f t="shared" si="290"/>
        <v>0</v>
      </c>
      <c r="I267" s="733">
        <f t="shared" si="290"/>
        <v>0</v>
      </c>
      <c r="J267" s="733">
        <f t="shared" si="290"/>
        <v>0</v>
      </c>
      <c r="K267" s="733">
        <f t="shared" ref="K267:P267" si="297">K9*$E$261</f>
        <v>0</v>
      </c>
      <c r="L267" s="733">
        <f t="shared" si="297"/>
        <v>0</v>
      </c>
      <c r="M267" s="733">
        <f t="shared" si="297"/>
        <v>0</v>
      </c>
      <c r="N267" s="733">
        <f t="shared" si="297"/>
        <v>0</v>
      </c>
      <c r="O267" s="733">
        <f t="shared" si="297"/>
        <v>0</v>
      </c>
      <c r="P267" s="733">
        <f t="shared" si="297"/>
        <v>0</v>
      </c>
      <c r="Q267" s="734">
        <f t="shared" si="292"/>
        <v>0</v>
      </c>
      <c r="R267" s="733">
        <f t="shared" si="294"/>
        <v>0</v>
      </c>
      <c r="S267" s="733">
        <f t="shared" si="294"/>
        <v>0</v>
      </c>
      <c r="T267" s="733">
        <f t="shared" si="294"/>
        <v>0</v>
      </c>
      <c r="U267" s="733">
        <f t="shared" si="294"/>
        <v>0</v>
      </c>
    </row>
    <row r="268" spans="2:21" s="119" customFormat="1" ht="19.5" hidden="1" thickBot="1" x14ac:dyDescent="0.35">
      <c r="B268" s="301"/>
      <c r="C268" s="119">
        <f t="shared" si="289"/>
        <v>0</v>
      </c>
      <c r="D268" s="112" t="s">
        <v>31</v>
      </c>
      <c r="E268" s="76"/>
      <c r="F268" s="750"/>
      <c r="G268" s="735"/>
      <c r="H268" s="736"/>
      <c r="I268" s="735"/>
      <c r="J268" s="735"/>
      <c r="K268" s="735"/>
      <c r="L268" s="735"/>
      <c r="M268" s="735"/>
      <c r="N268" s="735"/>
      <c r="O268" s="735"/>
      <c r="P268" s="735"/>
      <c r="Q268" s="734">
        <f t="shared" si="292"/>
        <v>0</v>
      </c>
      <c r="R268" s="739"/>
      <c r="S268" s="735"/>
      <c r="T268" s="740"/>
      <c r="U268" s="741"/>
    </row>
    <row r="269" spans="2:21" s="119" customFormat="1" ht="19.5" hidden="1" thickBot="1" x14ac:dyDescent="0.35">
      <c r="B269" s="301"/>
      <c r="C269" s="119">
        <f t="shared" si="289"/>
        <v>0</v>
      </c>
      <c r="D269" s="113" t="s">
        <v>118</v>
      </c>
      <c r="E269" s="76" t="s">
        <v>53</v>
      </c>
      <c r="F269" s="733">
        <f t="shared" ref="F269:U275" si="298">F11*$E$261</f>
        <v>0</v>
      </c>
      <c r="G269" s="733">
        <f t="shared" ref="G269:J275" si="299">G11*$E$261</f>
        <v>0</v>
      </c>
      <c r="H269" s="733">
        <f t="shared" si="299"/>
        <v>0</v>
      </c>
      <c r="I269" s="733">
        <f t="shared" si="299"/>
        <v>0</v>
      </c>
      <c r="J269" s="733">
        <f t="shared" si="299"/>
        <v>0</v>
      </c>
      <c r="K269" s="733">
        <f t="shared" ref="K269:P269" si="300">K11*$E$261</f>
        <v>0</v>
      </c>
      <c r="L269" s="733">
        <f t="shared" si="300"/>
        <v>0</v>
      </c>
      <c r="M269" s="733">
        <f t="shared" si="300"/>
        <v>0</v>
      </c>
      <c r="N269" s="733">
        <f t="shared" si="300"/>
        <v>0</v>
      </c>
      <c r="O269" s="733">
        <f t="shared" si="300"/>
        <v>0</v>
      </c>
      <c r="P269" s="733">
        <f t="shared" si="300"/>
        <v>0</v>
      </c>
      <c r="Q269" s="734">
        <f t="shared" si="292"/>
        <v>0</v>
      </c>
      <c r="R269" s="733">
        <f t="shared" si="298"/>
        <v>0</v>
      </c>
      <c r="S269" s="733">
        <f t="shared" si="298"/>
        <v>0</v>
      </c>
      <c r="T269" s="733">
        <f t="shared" si="298"/>
        <v>0</v>
      </c>
      <c r="U269" s="733">
        <f t="shared" si="298"/>
        <v>0</v>
      </c>
    </row>
    <row r="270" spans="2:21" s="119" customFormat="1" ht="19.5" hidden="1" thickBot="1" x14ac:dyDescent="0.35">
      <c r="B270" s="301"/>
      <c r="C270" s="119">
        <f t="shared" si="289"/>
        <v>0</v>
      </c>
      <c r="D270" s="113" t="s">
        <v>119</v>
      </c>
      <c r="E270" s="76" t="s">
        <v>52</v>
      </c>
      <c r="F270" s="733">
        <f t="shared" si="298"/>
        <v>0</v>
      </c>
      <c r="G270" s="733">
        <f t="shared" si="299"/>
        <v>0</v>
      </c>
      <c r="H270" s="733">
        <f t="shared" si="299"/>
        <v>0</v>
      </c>
      <c r="I270" s="733">
        <f t="shared" si="299"/>
        <v>0</v>
      </c>
      <c r="J270" s="733">
        <f t="shared" si="299"/>
        <v>0</v>
      </c>
      <c r="K270" s="733">
        <f t="shared" ref="K270:P270" si="301">K12*$E$261</f>
        <v>0</v>
      </c>
      <c r="L270" s="733">
        <f t="shared" si="301"/>
        <v>0</v>
      </c>
      <c r="M270" s="733">
        <f t="shared" si="301"/>
        <v>0</v>
      </c>
      <c r="N270" s="733">
        <f t="shared" si="301"/>
        <v>0</v>
      </c>
      <c r="O270" s="733">
        <f t="shared" si="301"/>
        <v>0</v>
      </c>
      <c r="P270" s="733">
        <f t="shared" si="301"/>
        <v>0</v>
      </c>
      <c r="Q270" s="734">
        <f t="shared" si="292"/>
        <v>0</v>
      </c>
      <c r="R270" s="733">
        <f t="shared" si="298"/>
        <v>0</v>
      </c>
      <c r="S270" s="733">
        <f t="shared" si="298"/>
        <v>0</v>
      </c>
      <c r="T270" s="733">
        <f t="shared" si="298"/>
        <v>0</v>
      </c>
      <c r="U270" s="733">
        <f t="shared" si="298"/>
        <v>0</v>
      </c>
    </row>
    <row r="271" spans="2:21" s="119" customFormat="1" ht="19.5" hidden="1" thickBot="1" x14ac:dyDescent="0.35">
      <c r="B271" s="301"/>
      <c r="C271" s="119">
        <f t="shared" si="289"/>
        <v>0</v>
      </c>
      <c r="D271" s="113" t="s">
        <v>120</v>
      </c>
      <c r="E271" s="76" t="s">
        <v>51</v>
      </c>
      <c r="F271" s="733">
        <f t="shared" si="298"/>
        <v>0</v>
      </c>
      <c r="G271" s="733">
        <f t="shared" si="299"/>
        <v>0</v>
      </c>
      <c r="H271" s="733">
        <f t="shared" si="299"/>
        <v>0</v>
      </c>
      <c r="I271" s="733">
        <f t="shared" si="299"/>
        <v>0</v>
      </c>
      <c r="J271" s="733">
        <f t="shared" si="299"/>
        <v>0</v>
      </c>
      <c r="K271" s="733">
        <f t="shared" ref="K271:P271" si="302">K13*$E$261</f>
        <v>0</v>
      </c>
      <c r="L271" s="733">
        <f t="shared" si="302"/>
        <v>0</v>
      </c>
      <c r="M271" s="733">
        <f t="shared" si="302"/>
        <v>0</v>
      </c>
      <c r="N271" s="733">
        <f t="shared" si="302"/>
        <v>0</v>
      </c>
      <c r="O271" s="733">
        <f t="shared" si="302"/>
        <v>0</v>
      </c>
      <c r="P271" s="733">
        <f t="shared" si="302"/>
        <v>0</v>
      </c>
      <c r="Q271" s="734">
        <f t="shared" si="292"/>
        <v>0</v>
      </c>
      <c r="R271" s="733">
        <f t="shared" si="298"/>
        <v>0</v>
      </c>
      <c r="S271" s="733">
        <f t="shared" si="298"/>
        <v>0</v>
      </c>
      <c r="T271" s="733">
        <f t="shared" si="298"/>
        <v>0</v>
      </c>
      <c r="U271" s="733">
        <f t="shared" si="298"/>
        <v>0</v>
      </c>
    </row>
    <row r="272" spans="2:21" s="119" customFormat="1" ht="19.5" hidden="1" thickBot="1" x14ac:dyDescent="0.35">
      <c r="B272" s="301"/>
      <c r="C272" s="119">
        <f t="shared" si="289"/>
        <v>0</v>
      </c>
      <c r="D272" s="113" t="s">
        <v>121</v>
      </c>
      <c r="E272" s="76" t="s">
        <v>50</v>
      </c>
      <c r="F272" s="733">
        <f t="shared" si="298"/>
        <v>0</v>
      </c>
      <c r="G272" s="733">
        <f t="shared" si="299"/>
        <v>0</v>
      </c>
      <c r="H272" s="733">
        <f t="shared" si="299"/>
        <v>0</v>
      </c>
      <c r="I272" s="733">
        <f t="shared" si="299"/>
        <v>0</v>
      </c>
      <c r="J272" s="733">
        <f t="shared" si="299"/>
        <v>0</v>
      </c>
      <c r="K272" s="733">
        <f t="shared" ref="K272:P272" si="303">K14*$E$261</f>
        <v>0</v>
      </c>
      <c r="L272" s="733">
        <f t="shared" si="303"/>
        <v>0</v>
      </c>
      <c r="M272" s="733">
        <f t="shared" si="303"/>
        <v>0</v>
      </c>
      <c r="N272" s="733">
        <f t="shared" si="303"/>
        <v>0</v>
      </c>
      <c r="O272" s="733">
        <f t="shared" si="303"/>
        <v>0</v>
      </c>
      <c r="P272" s="733">
        <f t="shared" si="303"/>
        <v>0</v>
      </c>
      <c r="Q272" s="734">
        <f t="shared" si="292"/>
        <v>0</v>
      </c>
      <c r="R272" s="733">
        <f t="shared" si="298"/>
        <v>0</v>
      </c>
      <c r="S272" s="733">
        <f t="shared" si="298"/>
        <v>0</v>
      </c>
      <c r="T272" s="733">
        <f t="shared" si="298"/>
        <v>0</v>
      </c>
      <c r="U272" s="733">
        <f t="shared" si="298"/>
        <v>0</v>
      </c>
    </row>
    <row r="273" spans="2:21" s="119" customFormat="1" ht="19.5" hidden="1" thickBot="1" x14ac:dyDescent="0.35">
      <c r="B273" s="301"/>
      <c r="C273" s="119">
        <f t="shared" si="289"/>
        <v>0</v>
      </c>
      <c r="D273" s="113" t="s">
        <v>122</v>
      </c>
      <c r="E273" s="76" t="s">
        <v>49</v>
      </c>
      <c r="F273" s="733">
        <f t="shared" si="298"/>
        <v>0</v>
      </c>
      <c r="G273" s="733">
        <f t="shared" si="299"/>
        <v>0</v>
      </c>
      <c r="H273" s="733">
        <f t="shared" si="299"/>
        <v>0</v>
      </c>
      <c r="I273" s="733">
        <f t="shared" si="299"/>
        <v>0</v>
      </c>
      <c r="J273" s="733">
        <f t="shared" si="299"/>
        <v>0</v>
      </c>
      <c r="K273" s="733">
        <f t="shared" ref="K273:P273" si="304">K15*$E$261</f>
        <v>0</v>
      </c>
      <c r="L273" s="733">
        <f t="shared" si="304"/>
        <v>0</v>
      </c>
      <c r="M273" s="733">
        <f t="shared" si="304"/>
        <v>0</v>
      </c>
      <c r="N273" s="733">
        <f t="shared" si="304"/>
        <v>0</v>
      </c>
      <c r="O273" s="733">
        <f t="shared" si="304"/>
        <v>0</v>
      </c>
      <c r="P273" s="733">
        <f t="shared" si="304"/>
        <v>0</v>
      </c>
      <c r="Q273" s="734">
        <f t="shared" si="292"/>
        <v>0</v>
      </c>
      <c r="R273" s="733">
        <f t="shared" si="298"/>
        <v>0</v>
      </c>
      <c r="S273" s="733">
        <f t="shared" si="298"/>
        <v>0</v>
      </c>
      <c r="T273" s="733">
        <f t="shared" si="298"/>
        <v>0</v>
      </c>
      <c r="U273" s="733">
        <f t="shared" si="298"/>
        <v>0</v>
      </c>
    </row>
    <row r="274" spans="2:21" s="119" customFormat="1" ht="19.5" hidden="1" thickBot="1" x14ac:dyDescent="0.35">
      <c r="B274" s="301"/>
      <c r="C274" s="119">
        <f t="shared" si="289"/>
        <v>0</v>
      </c>
      <c r="D274" s="113" t="s">
        <v>123</v>
      </c>
      <c r="E274" s="76" t="s">
        <v>47</v>
      </c>
      <c r="F274" s="733">
        <f t="shared" si="298"/>
        <v>0</v>
      </c>
      <c r="G274" s="733">
        <f t="shared" si="299"/>
        <v>0</v>
      </c>
      <c r="H274" s="733">
        <f t="shared" si="299"/>
        <v>0</v>
      </c>
      <c r="I274" s="733">
        <f t="shared" si="299"/>
        <v>0</v>
      </c>
      <c r="J274" s="733">
        <f t="shared" si="299"/>
        <v>0</v>
      </c>
      <c r="K274" s="733">
        <f t="shared" ref="K274:P274" si="305">K16*$E$261</f>
        <v>0</v>
      </c>
      <c r="L274" s="733">
        <f t="shared" si="305"/>
        <v>0</v>
      </c>
      <c r="M274" s="733">
        <f t="shared" si="305"/>
        <v>0</v>
      </c>
      <c r="N274" s="733">
        <f t="shared" si="305"/>
        <v>0</v>
      </c>
      <c r="O274" s="733">
        <f t="shared" si="305"/>
        <v>0</v>
      </c>
      <c r="P274" s="733">
        <f t="shared" si="305"/>
        <v>0</v>
      </c>
      <c r="Q274" s="734">
        <f t="shared" si="292"/>
        <v>0</v>
      </c>
      <c r="R274" s="733">
        <f t="shared" si="298"/>
        <v>0</v>
      </c>
      <c r="S274" s="733">
        <f t="shared" si="298"/>
        <v>0</v>
      </c>
      <c r="T274" s="733">
        <f t="shared" si="298"/>
        <v>0</v>
      </c>
      <c r="U274" s="733">
        <f t="shared" si="298"/>
        <v>0</v>
      </c>
    </row>
    <row r="275" spans="2:21" s="119" customFormat="1" ht="19.5" hidden="1" thickBot="1" x14ac:dyDescent="0.35">
      <c r="B275" s="301"/>
      <c r="C275" s="119">
        <f t="shared" si="289"/>
        <v>0</v>
      </c>
      <c r="D275" s="114" t="s">
        <v>16</v>
      </c>
      <c r="E275" s="70" t="s">
        <v>77</v>
      </c>
      <c r="F275" s="733">
        <f t="shared" si="298"/>
        <v>0</v>
      </c>
      <c r="G275" s="733">
        <f t="shared" si="299"/>
        <v>0</v>
      </c>
      <c r="H275" s="733">
        <f t="shared" si="299"/>
        <v>0</v>
      </c>
      <c r="I275" s="733">
        <f t="shared" si="299"/>
        <v>0</v>
      </c>
      <c r="J275" s="733">
        <f t="shared" si="299"/>
        <v>0</v>
      </c>
      <c r="K275" s="733">
        <f t="shared" ref="K275:P275" si="306">K17*$E$261</f>
        <v>0</v>
      </c>
      <c r="L275" s="733">
        <f t="shared" si="306"/>
        <v>0</v>
      </c>
      <c r="M275" s="733">
        <f t="shared" si="306"/>
        <v>0</v>
      </c>
      <c r="N275" s="733">
        <f t="shared" si="306"/>
        <v>0</v>
      </c>
      <c r="O275" s="733">
        <f t="shared" si="306"/>
        <v>0</v>
      </c>
      <c r="P275" s="733">
        <f t="shared" si="306"/>
        <v>0</v>
      </c>
      <c r="Q275" s="734">
        <f t="shared" si="292"/>
        <v>0</v>
      </c>
      <c r="R275" s="733">
        <f t="shared" si="298"/>
        <v>0</v>
      </c>
      <c r="S275" s="733">
        <f t="shared" si="298"/>
        <v>0</v>
      </c>
      <c r="T275" s="733">
        <f t="shared" ca="1" si="298"/>
        <v>0</v>
      </c>
      <c r="U275" s="733">
        <f t="shared" ca="1" si="298"/>
        <v>0</v>
      </c>
    </row>
    <row r="276" spans="2:21" s="119" customFormat="1" ht="19.5" hidden="1" thickBot="1" x14ac:dyDescent="0.35">
      <c r="B276" s="301"/>
      <c r="C276" s="119">
        <f t="shared" si="289"/>
        <v>0</v>
      </c>
      <c r="D276" s="115" t="s">
        <v>124</v>
      </c>
      <c r="E276" s="116" t="s">
        <v>78</v>
      </c>
      <c r="F276" s="742">
        <f t="shared" ref="F276:U276" si="307">SUBTOTAL(9,F264:F275)</f>
        <v>0</v>
      </c>
      <c r="G276" s="742">
        <f>SUBTOTAL(9,G264:G275)</f>
        <v>0</v>
      </c>
      <c r="H276" s="742">
        <f>SUBTOTAL(9,H264:H275)</f>
        <v>0</v>
      </c>
      <c r="I276" s="742">
        <f>SUBTOTAL(9,I264:I275)</f>
        <v>0</v>
      </c>
      <c r="J276" s="742">
        <f>SUBTOTAL(9,J264:J275)</f>
        <v>0</v>
      </c>
      <c r="K276" s="742">
        <f t="shared" ref="K276:P276" si="308">SUBTOTAL(9,K264:K275)</f>
        <v>0</v>
      </c>
      <c r="L276" s="742">
        <f t="shared" si="308"/>
        <v>0</v>
      </c>
      <c r="M276" s="742">
        <f t="shared" si="308"/>
        <v>0</v>
      </c>
      <c r="N276" s="742">
        <f t="shared" si="308"/>
        <v>0</v>
      </c>
      <c r="O276" s="742">
        <f t="shared" si="308"/>
        <v>0</v>
      </c>
      <c r="P276" s="742">
        <f t="shared" si="308"/>
        <v>0</v>
      </c>
      <c r="Q276" s="743">
        <f>SUBTOTAL(9,Q264:Q275)</f>
        <v>0</v>
      </c>
      <c r="R276" s="742">
        <f t="shared" si="307"/>
        <v>0</v>
      </c>
      <c r="S276" s="742">
        <f t="shared" si="307"/>
        <v>0</v>
      </c>
      <c r="T276" s="742">
        <f t="shared" si="307"/>
        <v>0</v>
      </c>
      <c r="U276" s="742">
        <f t="shared" si="307"/>
        <v>0</v>
      </c>
    </row>
    <row r="277" spans="2:21" s="119" customFormat="1" ht="19.5" hidden="1" thickBot="1" x14ac:dyDescent="0.3">
      <c r="B277" s="340"/>
      <c r="D277" s="117"/>
      <c r="E277" s="117"/>
      <c r="F277" s="118"/>
      <c r="G277" s="118"/>
      <c r="I277" s="118"/>
      <c r="J277" s="118"/>
      <c r="K277" s="118"/>
      <c r="L277" s="118"/>
      <c r="O277" s="118"/>
      <c r="Q277" s="120"/>
      <c r="R277" s="117"/>
      <c r="S277" s="118"/>
      <c r="U277" s="118"/>
    </row>
    <row r="278" spans="2:21" s="119" customFormat="1" ht="75.75" hidden="1" thickBot="1" x14ac:dyDescent="0.3">
      <c r="B278" s="301"/>
      <c r="C278" s="119">
        <f>IF($E278&gt;0,1,0)</f>
        <v>0</v>
      </c>
      <c r="D278" s="96" t="str">
        <f>A19</f>
        <v>Essex</v>
      </c>
      <c r="E278" s="166">
        <f>IFERROR(SUMIF(A:A,D278,B:B),0)</f>
        <v>0</v>
      </c>
      <c r="F278" s="98" t="s">
        <v>356</v>
      </c>
      <c r="G278" s="98" t="s">
        <v>373</v>
      </c>
      <c r="H278" s="98" t="s">
        <v>358</v>
      </c>
      <c r="I278" s="98" t="s">
        <v>109</v>
      </c>
      <c r="J278" s="98" t="s">
        <v>111</v>
      </c>
      <c r="K278" s="98" t="s">
        <v>469</v>
      </c>
      <c r="L278" s="98" t="s">
        <v>470</v>
      </c>
      <c r="M278" s="98" t="s">
        <v>357</v>
      </c>
      <c r="N278" s="509" t="s">
        <v>471</v>
      </c>
      <c r="O278" s="98" t="s">
        <v>472</v>
      </c>
      <c r="P278" s="98" t="s">
        <v>110</v>
      </c>
      <c r="Q278" s="99" t="s">
        <v>116</v>
      </c>
      <c r="R278" s="98" t="s">
        <v>112</v>
      </c>
      <c r="S278" s="98" t="s">
        <v>113</v>
      </c>
      <c r="T278" s="98" t="s">
        <v>114</v>
      </c>
      <c r="U278" s="98" t="s">
        <v>115</v>
      </c>
    </row>
    <row r="279" spans="2:21" s="119" customFormat="1" ht="19.5" hidden="1" thickBot="1" x14ac:dyDescent="0.3">
      <c r="B279" s="301"/>
      <c r="C279" s="119">
        <f>C278</f>
        <v>0</v>
      </c>
      <c r="D279" s="101"/>
      <c r="E279" s="102"/>
      <c r="F279" s="84" t="s">
        <v>57</v>
      </c>
      <c r="G279" s="84" t="s">
        <v>56</v>
      </c>
      <c r="H279" s="84" t="s">
        <v>55</v>
      </c>
      <c r="I279" s="84" t="s">
        <v>54</v>
      </c>
      <c r="J279" s="84" t="s">
        <v>53</v>
      </c>
      <c r="K279" s="84" t="s">
        <v>52</v>
      </c>
      <c r="L279" s="84" t="s">
        <v>51</v>
      </c>
      <c r="M279" s="84" t="s">
        <v>50</v>
      </c>
      <c r="N279" s="84" t="s">
        <v>49</v>
      </c>
      <c r="O279" s="84" t="s">
        <v>47</v>
      </c>
      <c r="P279" s="84" t="s">
        <v>77</v>
      </c>
      <c r="Q279" s="83" t="s">
        <v>78</v>
      </c>
      <c r="R279" s="84" t="s">
        <v>79</v>
      </c>
      <c r="S279" s="84" t="s">
        <v>81</v>
      </c>
      <c r="T279" s="84" t="s">
        <v>83</v>
      </c>
      <c r="U279" s="84" t="s">
        <v>85</v>
      </c>
    </row>
    <row r="280" spans="2:21" s="119" customFormat="1" ht="19.5" hidden="1" thickBot="1" x14ac:dyDescent="0.35">
      <c r="B280" s="301"/>
      <c r="C280" s="119">
        <f t="shared" ref="C280:C293" si="309">C279</f>
        <v>0</v>
      </c>
      <c r="D280" s="103" t="s">
        <v>26</v>
      </c>
      <c r="E280" s="104"/>
      <c r="F280" s="745"/>
      <c r="G280" s="745"/>
      <c r="H280" s="746"/>
      <c r="I280" s="745"/>
      <c r="J280" s="745"/>
      <c r="K280" s="745"/>
      <c r="L280" s="745"/>
      <c r="M280" s="746"/>
      <c r="N280" s="746"/>
      <c r="O280" s="745"/>
      <c r="P280" s="746"/>
      <c r="Q280" s="747"/>
      <c r="R280" s="748"/>
      <c r="S280" s="745"/>
      <c r="T280" s="746"/>
      <c r="U280" s="749"/>
    </row>
    <row r="281" spans="2:21" s="119" customFormat="1" ht="19.5" hidden="1" thickBot="1" x14ac:dyDescent="0.3">
      <c r="B281" s="301"/>
      <c r="C281" s="119">
        <f t="shared" si="309"/>
        <v>0</v>
      </c>
      <c r="D281" s="109" t="s">
        <v>93</v>
      </c>
      <c r="E281" s="76" t="s">
        <v>57</v>
      </c>
      <c r="F281" s="733">
        <f>F6*$E$278</f>
        <v>0</v>
      </c>
      <c r="G281" s="733">
        <f>G6*$E$278</f>
        <v>0</v>
      </c>
      <c r="H281" s="733">
        <f>H6*$E$278</f>
        <v>0</v>
      </c>
      <c r="I281" s="733">
        <f>I6*$E$278</f>
        <v>0</v>
      </c>
      <c r="J281" s="733">
        <f>J6*$E$278</f>
        <v>0</v>
      </c>
      <c r="K281" s="733">
        <f t="shared" ref="K281:P281" si="310">K6*$E$278</f>
        <v>0</v>
      </c>
      <c r="L281" s="733">
        <f t="shared" si="310"/>
        <v>0</v>
      </c>
      <c r="M281" s="733">
        <f t="shared" si="310"/>
        <v>0</v>
      </c>
      <c r="N281" s="733">
        <f t="shared" si="310"/>
        <v>0</v>
      </c>
      <c r="O281" s="733">
        <f t="shared" si="310"/>
        <v>0</v>
      </c>
      <c r="P281" s="733">
        <f t="shared" si="310"/>
        <v>0</v>
      </c>
      <c r="Q281" s="734">
        <f t="shared" ref="Q281:Q292" si="311">SUM(F281:P281)</f>
        <v>0</v>
      </c>
      <c r="R281" s="733">
        <f t="shared" ref="R281:U281" si="312">R6*$E$278</f>
        <v>0</v>
      </c>
      <c r="S281" s="733">
        <f t="shared" si="312"/>
        <v>0</v>
      </c>
      <c r="T281" s="733">
        <f t="shared" ca="1" si="312"/>
        <v>0</v>
      </c>
      <c r="U281" s="733">
        <f t="shared" ca="1" si="312"/>
        <v>0</v>
      </c>
    </row>
    <row r="282" spans="2:21" s="119" customFormat="1" ht="19.5" hidden="1" thickBot="1" x14ac:dyDescent="0.3">
      <c r="B282" s="301"/>
      <c r="C282" s="119">
        <f t="shared" si="309"/>
        <v>0</v>
      </c>
      <c r="D282" s="110" t="s">
        <v>92</v>
      </c>
      <c r="E282" s="76" t="s">
        <v>56</v>
      </c>
      <c r="F282" s="733">
        <f t="shared" ref="F282:U284" si="313">F7*$E$278</f>
        <v>0</v>
      </c>
      <c r="G282" s="733">
        <f t="shared" ref="G282:J284" si="314">G7*$E$278</f>
        <v>0</v>
      </c>
      <c r="H282" s="733">
        <f t="shared" si="314"/>
        <v>0</v>
      </c>
      <c r="I282" s="733">
        <f t="shared" si="314"/>
        <v>0</v>
      </c>
      <c r="J282" s="733">
        <f t="shared" si="314"/>
        <v>0</v>
      </c>
      <c r="K282" s="733">
        <f t="shared" ref="K282:P282" si="315">K7*$E$278</f>
        <v>0</v>
      </c>
      <c r="L282" s="733">
        <f t="shared" si="315"/>
        <v>0</v>
      </c>
      <c r="M282" s="733">
        <f t="shared" si="315"/>
        <v>0</v>
      </c>
      <c r="N282" s="733">
        <f t="shared" si="315"/>
        <v>0</v>
      </c>
      <c r="O282" s="733">
        <f t="shared" si="315"/>
        <v>0</v>
      </c>
      <c r="P282" s="733">
        <f t="shared" si="315"/>
        <v>0</v>
      </c>
      <c r="Q282" s="734">
        <f t="shared" si="311"/>
        <v>0</v>
      </c>
      <c r="R282" s="733">
        <f t="shared" si="313"/>
        <v>0</v>
      </c>
      <c r="S282" s="733">
        <f t="shared" si="313"/>
        <v>0</v>
      </c>
      <c r="T282" s="733">
        <f t="shared" si="313"/>
        <v>0</v>
      </c>
      <c r="U282" s="733">
        <f t="shared" si="313"/>
        <v>0</v>
      </c>
    </row>
    <row r="283" spans="2:21" s="119" customFormat="1" ht="19.5" hidden="1" thickBot="1" x14ac:dyDescent="0.3">
      <c r="B283" s="301"/>
      <c r="C283" s="119">
        <f t="shared" si="309"/>
        <v>0</v>
      </c>
      <c r="D283" s="110" t="s">
        <v>91</v>
      </c>
      <c r="E283" s="76" t="s">
        <v>55</v>
      </c>
      <c r="F283" s="733">
        <f t="shared" si="313"/>
        <v>0</v>
      </c>
      <c r="G283" s="733">
        <f t="shared" si="314"/>
        <v>0</v>
      </c>
      <c r="H283" s="733">
        <f t="shared" si="314"/>
        <v>0</v>
      </c>
      <c r="I283" s="733">
        <f t="shared" si="314"/>
        <v>0</v>
      </c>
      <c r="J283" s="733">
        <f t="shared" si="314"/>
        <v>0</v>
      </c>
      <c r="K283" s="733">
        <f t="shared" ref="K283:P283" si="316">K8*$E$278</f>
        <v>0</v>
      </c>
      <c r="L283" s="733">
        <f t="shared" si="316"/>
        <v>0</v>
      </c>
      <c r="M283" s="733">
        <f t="shared" si="316"/>
        <v>0</v>
      </c>
      <c r="N283" s="733">
        <f t="shared" si="316"/>
        <v>0</v>
      </c>
      <c r="O283" s="733">
        <f t="shared" si="316"/>
        <v>0</v>
      </c>
      <c r="P283" s="733">
        <f t="shared" si="316"/>
        <v>0</v>
      </c>
      <c r="Q283" s="734">
        <f t="shared" si="311"/>
        <v>0</v>
      </c>
      <c r="R283" s="733">
        <f t="shared" si="313"/>
        <v>0</v>
      </c>
      <c r="S283" s="733">
        <f t="shared" si="313"/>
        <v>0</v>
      </c>
      <c r="T283" s="733">
        <f t="shared" ca="1" si="313"/>
        <v>0</v>
      </c>
      <c r="U283" s="733">
        <f t="shared" ca="1" si="313"/>
        <v>0</v>
      </c>
    </row>
    <row r="284" spans="2:21" s="119" customFormat="1" ht="19.5" hidden="1" thickBot="1" x14ac:dyDescent="0.3">
      <c r="B284" s="301"/>
      <c r="C284" s="119">
        <f t="shared" si="309"/>
        <v>0</v>
      </c>
      <c r="D284" s="111" t="s">
        <v>117</v>
      </c>
      <c r="E284" s="76" t="s">
        <v>54</v>
      </c>
      <c r="F284" s="733">
        <f t="shared" si="313"/>
        <v>0</v>
      </c>
      <c r="G284" s="733">
        <f t="shared" si="314"/>
        <v>0</v>
      </c>
      <c r="H284" s="733">
        <f t="shared" si="314"/>
        <v>0</v>
      </c>
      <c r="I284" s="733">
        <f t="shared" si="314"/>
        <v>0</v>
      </c>
      <c r="J284" s="733">
        <f t="shared" si="314"/>
        <v>0</v>
      </c>
      <c r="K284" s="733">
        <f t="shared" ref="K284:P284" si="317">K9*$E$278</f>
        <v>0</v>
      </c>
      <c r="L284" s="733">
        <f t="shared" si="317"/>
        <v>0</v>
      </c>
      <c r="M284" s="733">
        <f t="shared" si="317"/>
        <v>0</v>
      </c>
      <c r="N284" s="733">
        <f t="shared" si="317"/>
        <v>0</v>
      </c>
      <c r="O284" s="733">
        <f t="shared" si="317"/>
        <v>0</v>
      </c>
      <c r="P284" s="733">
        <f t="shared" si="317"/>
        <v>0</v>
      </c>
      <c r="Q284" s="734">
        <f t="shared" si="311"/>
        <v>0</v>
      </c>
      <c r="R284" s="733">
        <f t="shared" si="313"/>
        <v>0</v>
      </c>
      <c r="S284" s="733">
        <f t="shared" si="313"/>
        <v>0</v>
      </c>
      <c r="T284" s="733">
        <f t="shared" si="313"/>
        <v>0</v>
      </c>
      <c r="U284" s="733">
        <f t="shared" si="313"/>
        <v>0</v>
      </c>
    </row>
    <row r="285" spans="2:21" s="119" customFormat="1" ht="19.5" hidden="1" thickBot="1" x14ac:dyDescent="0.35">
      <c r="B285" s="301"/>
      <c r="C285" s="119">
        <f t="shared" si="309"/>
        <v>0</v>
      </c>
      <c r="D285" s="112" t="s">
        <v>31</v>
      </c>
      <c r="E285" s="76"/>
      <c r="F285" s="750"/>
      <c r="G285" s="735"/>
      <c r="H285" s="736"/>
      <c r="I285" s="735"/>
      <c r="J285" s="735"/>
      <c r="K285" s="735"/>
      <c r="L285" s="735"/>
      <c r="M285" s="735"/>
      <c r="N285" s="735"/>
      <c r="O285" s="735"/>
      <c r="P285" s="735"/>
      <c r="Q285" s="734">
        <f t="shared" si="311"/>
        <v>0</v>
      </c>
      <c r="R285" s="739"/>
      <c r="S285" s="735"/>
      <c r="T285" s="740"/>
      <c r="U285" s="741"/>
    </row>
    <row r="286" spans="2:21" s="119" customFormat="1" ht="19.5" hidden="1" thickBot="1" x14ac:dyDescent="0.35">
      <c r="B286" s="301"/>
      <c r="C286" s="119">
        <f t="shared" si="309"/>
        <v>0</v>
      </c>
      <c r="D286" s="113" t="s">
        <v>118</v>
      </c>
      <c r="E286" s="76" t="s">
        <v>53</v>
      </c>
      <c r="F286" s="733">
        <f t="shared" ref="F286:U292" si="318">F11*$E$278</f>
        <v>0</v>
      </c>
      <c r="G286" s="733">
        <f t="shared" ref="G286:J292" si="319">G11*$E$278</f>
        <v>0</v>
      </c>
      <c r="H286" s="733">
        <f t="shared" si="319"/>
        <v>0</v>
      </c>
      <c r="I286" s="733">
        <f t="shared" si="319"/>
        <v>0</v>
      </c>
      <c r="J286" s="733">
        <f t="shared" si="319"/>
        <v>0</v>
      </c>
      <c r="K286" s="733">
        <f t="shared" ref="K286:P286" si="320">K11*$E$278</f>
        <v>0</v>
      </c>
      <c r="L286" s="733">
        <f t="shared" si="320"/>
        <v>0</v>
      </c>
      <c r="M286" s="733">
        <f t="shared" si="320"/>
        <v>0</v>
      </c>
      <c r="N286" s="733">
        <f t="shared" si="320"/>
        <v>0</v>
      </c>
      <c r="O286" s="733">
        <f t="shared" si="320"/>
        <v>0</v>
      </c>
      <c r="P286" s="733">
        <f t="shared" si="320"/>
        <v>0</v>
      </c>
      <c r="Q286" s="734">
        <f t="shared" si="311"/>
        <v>0</v>
      </c>
      <c r="R286" s="733">
        <f t="shared" si="318"/>
        <v>0</v>
      </c>
      <c r="S286" s="733">
        <f t="shared" si="318"/>
        <v>0</v>
      </c>
      <c r="T286" s="733">
        <f t="shared" si="318"/>
        <v>0</v>
      </c>
      <c r="U286" s="733">
        <f t="shared" si="318"/>
        <v>0</v>
      </c>
    </row>
    <row r="287" spans="2:21" s="119" customFormat="1" ht="19.5" hidden="1" thickBot="1" x14ac:dyDescent="0.35">
      <c r="B287" s="301"/>
      <c r="C287" s="119">
        <f t="shared" si="309"/>
        <v>0</v>
      </c>
      <c r="D287" s="113" t="s">
        <v>119</v>
      </c>
      <c r="E287" s="76" t="s">
        <v>52</v>
      </c>
      <c r="F287" s="733">
        <f t="shared" si="318"/>
        <v>0</v>
      </c>
      <c r="G287" s="733">
        <f t="shared" si="319"/>
        <v>0</v>
      </c>
      <c r="H287" s="733">
        <f t="shared" si="319"/>
        <v>0</v>
      </c>
      <c r="I287" s="733">
        <f t="shared" si="319"/>
        <v>0</v>
      </c>
      <c r="J287" s="733">
        <f t="shared" si="319"/>
        <v>0</v>
      </c>
      <c r="K287" s="733">
        <f t="shared" ref="K287:P287" si="321">K12*$E$278</f>
        <v>0</v>
      </c>
      <c r="L287" s="733">
        <f t="shared" si="321"/>
        <v>0</v>
      </c>
      <c r="M287" s="733">
        <f t="shared" si="321"/>
        <v>0</v>
      </c>
      <c r="N287" s="733">
        <f t="shared" si="321"/>
        <v>0</v>
      </c>
      <c r="O287" s="733">
        <f t="shared" si="321"/>
        <v>0</v>
      </c>
      <c r="P287" s="733">
        <f t="shared" si="321"/>
        <v>0</v>
      </c>
      <c r="Q287" s="734">
        <f t="shared" si="311"/>
        <v>0</v>
      </c>
      <c r="R287" s="733">
        <f t="shared" si="318"/>
        <v>0</v>
      </c>
      <c r="S287" s="733">
        <f t="shared" si="318"/>
        <v>0</v>
      </c>
      <c r="T287" s="733">
        <f t="shared" si="318"/>
        <v>0</v>
      </c>
      <c r="U287" s="733">
        <f t="shared" si="318"/>
        <v>0</v>
      </c>
    </row>
    <row r="288" spans="2:21" s="119" customFormat="1" ht="19.5" hidden="1" thickBot="1" x14ac:dyDescent="0.35">
      <c r="B288" s="301"/>
      <c r="C288" s="119">
        <f t="shared" si="309"/>
        <v>0</v>
      </c>
      <c r="D288" s="113" t="s">
        <v>120</v>
      </c>
      <c r="E288" s="76" t="s">
        <v>51</v>
      </c>
      <c r="F288" s="733">
        <f t="shared" si="318"/>
        <v>0</v>
      </c>
      <c r="G288" s="733">
        <f t="shared" si="319"/>
        <v>0</v>
      </c>
      <c r="H288" s="733">
        <f t="shared" si="319"/>
        <v>0</v>
      </c>
      <c r="I288" s="733">
        <f t="shared" si="319"/>
        <v>0</v>
      </c>
      <c r="J288" s="733">
        <f t="shared" si="319"/>
        <v>0</v>
      </c>
      <c r="K288" s="733">
        <f t="shared" ref="K288:P288" si="322">K13*$E$278</f>
        <v>0</v>
      </c>
      <c r="L288" s="733">
        <f t="shared" si="322"/>
        <v>0</v>
      </c>
      <c r="M288" s="733">
        <f t="shared" si="322"/>
        <v>0</v>
      </c>
      <c r="N288" s="733">
        <f t="shared" si="322"/>
        <v>0</v>
      </c>
      <c r="O288" s="733">
        <f t="shared" si="322"/>
        <v>0</v>
      </c>
      <c r="P288" s="733">
        <f t="shared" si="322"/>
        <v>0</v>
      </c>
      <c r="Q288" s="734">
        <f t="shared" si="311"/>
        <v>0</v>
      </c>
      <c r="R288" s="733">
        <f t="shared" si="318"/>
        <v>0</v>
      </c>
      <c r="S288" s="733">
        <f t="shared" si="318"/>
        <v>0</v>
      </c>
      <c r="T288" s="733">
        <f t="shared" si="318"/>
        <v>0</v>
      </c>
      <c r="U288" s="733">
        <f t="shared" si="318"/>
        <v>0</v>
      </c>
    </row>
    <row r="289" spans="2:21" s="119" customFormat="1" ht="19.5" hidden="1" thickBot="1" x14ac:dyDescent="0.35">
      <c r="B289" s="301"/>
      <c r="C289" s="119">
        <f t="shared" si="309"/>
        <v>0</v>
      </c>
      <c r="D289" s="113" t="s">
        <v>121</v>
      </c>
      <c r="E289" s="76" t="s">
        <v>50</v>
      </c>
      <c r="F289" s="733">
        <f t="shared" si="318"/>
        <v>0</v>
      </c>
      <c r="G289" s="733">
        <f t="shared" si="319"/>
        <v>0</v>
      </c>
      <c r="H289" s="733">
        <f t="shared" si="319"/>
        <v>0</v>
      </c>
      <c r="I289" s="733">
        <f t="shared" si="319"/>
        <v>0</v>
      </c>
      <c r="J289" s="733">
        <f t="shared" si="319"/>
        <v>0</v>
      </c>
      <c r="K289" s="733">
        <f t="shared" ref="K289:P289" si="323">K14*$E$278</f>
        <v>0</v>
      </c>
      <c r="L289" s="733">
        <f t="shared" si="323"/>
        <v>0</v>
      </c>
      <c r="M289" s="733">
        <f t="shared" si="323"/>
        <v>0</v>
      </c>
      <c r="N289" s="733">
        <f t="shared" si="323"/>
        <v>0</v>
      </c>
      <c r="O289" s="733">
        <f t="shared" si="323"/>
        <v>0</v>
      </c>
      <c r="P289" s="733">
        <f t="shared" si="323"/>
        <v>0</v>
      </c>
      <c r="Q289" s="734">
        <f t="shared" si="311"/>
        <v>0</v>
      </c>
      <c r="R289" s="733">
        <f t="shared" si="318"/>
        <v>0</v>
      </c>
      <c r="S289" s="733">
        <f t="shared" si="318"/>
        <v>0</v>
      </c>
      <c r="T289" s="733">
        <f t="shared" si="318"/>
        <v>0</v>
      </c>
      <c r="U289" s="733">
        <f t="shared" si="318"/>
        <v>0</v>
      </c>
    </row>
    <row r="290" spans="2:21" s="119" customFormat="1" ht="19.5" hidden="1" thickBot="1" x14ac:dyDescent="0.35">
      <c r="B290" s="301"/>
      <c r="C290" s="119">
        <f t="shared" si="309"/>
        <v>0</v>
      </c>
      <c r="D290" s="113" t="s">
        <v>122</v>
      </c>
      <c r="E290" s="76" t="s">
        <v>49</v>
      </c>
      <c r="F290" s="733">
        <f t="shared" si="318"/>
        <v>0</v>
      </c>
      <c r="G290" s="733">
        <f t="shared" si="319"/>
        <v>0</v>
      </c>
      <c r="H290" s="733">
        <f t="shared" si="319"/>
        <v>0</v>
      </c>
      <c r="I290" s="733">
        <f t="shared" si="319"/>
        <v>0</v>
      </c>
      <c r="J290" s="733">
        <f t="shared" si="319"/>
        <v>0</v>
      </c>
      <c r="K290" s="733">
        <f t="shared" ref="K290:P290" si="324">K15*$E$278</f>
        <v>0</v>
      </c>
      <c r="L290" s="733">
        <f t="shared" si="324"/>
        <v>0</v>
      </c>
      <c r="M290" s="733">
        <f t="shared" si="324"/>
        <v>0</v>
      </c>
      <c r="N290" s="733">
        <f t="shared" si="324"/>
        <v>0</v>
      </c>
      <c r="O290" s="733">
        <f t="shared" si="324"/>
        <v>0</v>
      </c>
      <c r="P290" s="733">
        <f t="shared" si="324"/>
        <v>0</v>
      </c>
      <c r="Q290" s="734">
        <f t="shared" si="311"/>
        <v>0</v>
      </c>
      <c r="R290" s="733">
        <f t="shared" si="318"/>
        <v>0</v>
      </c>
      <c r="S290" s="733">
        <f t="shared" si="318"/>
        <v>0</v>
      </c>
      <c r="T290" s="733">
        <f t="shared" si="318"/>
        <v>0</v>
      </c>
      <c r="U290" s="733">
        <f t="shared" si="318"/>
        <v>0</v>
      </c>
    </row>
    <row r="291" spans="2:21" s="119" customFormat="1" ht="19.5" hidden="1" thickBot="1" x14ac:dyDescent="0.35">
      <c r="B291" s="301"/>
      <c r="C291" s="119">
        <f t="shared" si="309"/>
        <v>0</v>
      </c>
      <c r="D291" s="113" t="s">
        <v>123</v>
      </c>
      <c r="E291" s="76" t="s">
        <v>47</v>
      </c>
      <c r="F291" s="733">
        <f t="shared" si="318"/>
        <v>0</v>
      </c>
      <c r="G291" s="733">
        <f t="shared" si="319"/>
        <v>0</v>
      </c>
      <c r="H291" s="733">
        <f t="shared" si="319"/>
        <v>0</v>
      </c>
      <c r="I291" s="733">
        <f t="shared" si="319"/>
        <v>0</v>
      </c>
      <c r="J291" s="733">
        <f t="shared" si="319"/>
        <v>0</v>
      </c>
      <c r="K291" s="733">
        <f t="shared" ref="K291:P291" si="325">K16*$E$278</f>
        <v>0</v>
      </c>
      <c r="L291" s="733">
        <f t="shared" si="325"/>
        <v>0</v>
      </c>
      <c r="M291" s="733">
        <f t="shared" si="325"/>
        <v>0</v>
      </c>
      <c r="N291" s="733">
        <f t="shared" si="325"/>
        <v>0</v>
      </c>
      <c r="O291" s="733">
        <f t="shared" si="325"/>
        <v>0</v>
      </c>
      <c r="P291" s="733">
        <f t="shared" si="325"/>
        <v>0</v>
      </c>
      <c r="Q291" s="734">
        <f t="shared" si="311"/>
        <v>0</v>
      </c>
      <c r="R291" s="733">
        <f t="shared" si="318"/>
        <v>0</v>
      </c>
      <c r="S291" s="733">
        <f t="shared" si="318"/>
        <v>0</v>
      </c>
      <c r="T291" s="733">
        <f t="shared" si="318"/>
        <v>0</v>
      </c>
      <c r="U291" s="733">
        <f t="shared" si="318"/>
        <v>0</v>
      </c>
    </row>
    <row r="292" spans="2:21" s="119" customFormat="1" ht="19.5" hidden="1" thickBot="1" x14ac:dyDescent="0.35">
      <c r="B292" s="301"/>
      <c r="C292" s="119">
        <f t="shared" si="309"/>
        <v>0</v>
      </c>
      <c r="D292" s="114" t="s">
        <v>16</v>
      </c>
      <c r="E292" s="70" t="s">
        <v>77</v>
      </c>
      <c r="F292" s="733">
        <f t="shared" si="318"/>
        <v>0</v>
      </c>
      <c r="G292" s="733">
        <f t="shared" si="319"/>
        <v>0</v>
      </c>
      <c r="H292" s="733">
        <f t="shared" si="319"/>
        <v>0</v>
      </c>
      <c r="I292" s="733">
        <f t="shared" si="319"/>
        <v>0</v>
      </c>
      <c r="J292" s="733">
        <f t="shared" si="319"/>
        <v>0</v>
      </c>
      <c r="K292" s="733">
        <f t="shared" ref="K292:P292" si="326">K17*$E$278</f>
        <v>0</v>
      </c>
      <c r="L292" s="733">
        <f t="shared" si="326"/>
        <v>0</v>
      </c>
      <c r="M292" s="733">
        <f t="shared" si="326"/>
        <v>0</v>
      </c>
      <c r="N292" s="733">
        <f t="shared" si="326"/>
        <v>0</v>
      </c>
      <c r="O292" s="733">
        <f t="shared" si="326"/>
        <v>0</v>
      </c>
      <c r="P292" s="733">
        <f t="shared" si="326"/>
        <v>0</v>
      </c>
      <c r="Q292" s="734">
        <f t="shared" si="311"/>
        <v>0</v>
      </c>
      <c r="R292" s="733">
        <f t="shared" si="318"/>
        <v>0</v>
      </c>
      <c r="S292" s="733">
        <f t="shared" si="318"/>
        <v>0</v>
      </c>
      <c r="T292" s="733">
        <f t="shared" ca="1" si="318"/>
        <v>0</v>
      </c>
      <c r="U292" s="733">
        <f t="shared" ca="1" si="318"/>
        <v>0</v>
      </c>
    </row>
    <row r="293" spans="2:21" s="119" customFormat="1" ht="19.5" hidden="1" thickBot="1" x14ac:dyDescent="0.35">
      <c r="B293" s="301"/>
      <c r="C293" s="119">
        <f t="shared" si="309"/>
        <v>0</v>
      </c>
      <c r="D293" s="115" t="s">
        <v>124</v>
      </c>
      <c r="E293" s="116" t="s">
        <v>78</v>
      </c>
      <c r="F293" s="742">
        <f t="shared" ref="F293:U293" si="327">SUBTOTAL(9,F281:F292)</f>
        <v>0</v>
      </c>
      <c r="G293" s="742">
        <f>SUBTOTAL(9,G281:G292)</f>
        <v>0</v>
      </c>
      <c r="H293" s="742">
        <f>SUBTOTAL(9,H281:H292)</f>
        <v>0</v>
      </c>
      <c r="I293" s="742">
        <f>SUBTOTAL(9,I281:I292)</f>
        <v>0</v>
      </c>
      <c r="J293" s="742">
        <f>SUBTOTAL(9,J281:J292)</f>
        <v>0</v>
      </c>
      <c r="K293" s="742">
        <f t="shared" ref="K293:P293" si="328">SUBTOTAL(9,K281:K292)</f>
        <v>0</v>
      </c>
      <c r="L293" s="742">
        <f t="shared" si="328"/>
        <v>0</v>
      </c>
      <c r="M293" s="742">
        <f t="shared" si="328"/>
        <v>0</v>
      </c>
      <c r="N293" s="742">
        <f t="shared" si="328"/>
        <v>0</v>
      </c>
      <c r="O293" s="742">
        <f t="shared" si="328"/>
        <v>0</v>
      </c>
      <c r="P293" s="742">
        <f t="shared" si="328"/>
        <v>0</v>
      </c>
      <c r="Q293" s="743">
        <f>SUBTOTAL(9,Q281:Q292)</f>
        <v>0</v>
      </c>
      <c r="R293" s="742">
        <f t="shared" si="327"/>
        <v>0</v>
      </c>
      <c r="S293" s="742">
        <f t="shared" si="327"/>
        <v>0</v>
      </c>
      <c r="T293" s="742">
        <f t="shared" si="327"/>
        <v>0</v>
      </c>
      <c r="U293" s="742">
        <f t="shared" si="327"/>
        <v>0</v>
      </c>
    </row>
    <row r="294" spans="2:21" s="119" customFormat="1" ht="19.5" hidden="1" thickBot="1" x14ac:dyDescent="0.3">
      <c r="B294" s="340"/>
      <c r="D294" s="117"/>
      <c r="E294" s="117"/>
      <c r="F294" s="118"/>
      <c r="G294" s="118"/>
      <c r="I294" s="118"/>
      <c r="J294" s="118"/>
      <c r="K294" s="118"/>
      <c r="L294" s="118"/>
      <c r="O294" s="118"/>
      <c r="Q294" s="120"/>
      <c r="R294" s="117"/>
      <c r="S294" s="118"/>
      <c r="U294" s="118"/>
    </row>
    <row r="295" spans="2:21" s="119" customFormat="1" ht="75.75" hidden="1" thickBot="1" x14ac:dyDescent="0.3">
      <c r="B295" s="301"/>
      <c r="C295" s="119">
        <f>IF($E295&gt;0,1,0)</f>
        <v>0</v>
      </c>
      <c r="D295" s="96" t="str">
        <f>A20</f>
        <v>Franklin</v>
      </c>
      <c r="E295" s="166">
        <f>IFERROR(SUMIF(A:A,D295,B:B),0)</f>
        <v>0</v>
      </c>
      <c r="F295" s="98" t="s">
        <v>356</v>
      </c>
      <c r="G295" s="98" t="s">
        <v>373</v>
      </c>
      <c r="H295" s="98" t="s">
        <v>358</v>
      </c>
      <c r="I295" s="98" t="s">
        <v>109</v>
      </c>
      <c r="J295" s="98" t="s">
        <v>111</v>
      </c>
      <c r="K295" s="98" t="s">
        <v>469</v>
      </c>
      <c r="L295" s="98" t="s">
        <v>470</v>
      </c>
      <c r="M295" s="98" t="s">
        <v>357</v>
      </c>
      <c r="N295" s="509" t="s">
        <v>471</v>
      </c>
      <c r="O295" s="98" t="s">
        <v>472</v>
      </c>
      <c r="P295" s="98" t="s">
        <v>110</v>
      </c>
      <c r="Q295" s="99" t="s">
        <v>116</v>
      </c>
      <c r="R295" s="98" t="s">
        <v>112</v>
      </c>
      <c r="S295" s="98" t="s">
        <v>113</v>
      </c>
      <c r="T295" s="98" t="s">
        <v>114</v>
      </c>
      <c r="U295" s="98" t="s">
        <v>115</v>
      </c>
    </row>
    <row r="296" spans="2:21" s="119" customFormat="1" ht="19.5" hidden="1" thickBot="1" x14ac:dyDescent="0.3">
      <c r="B296" s="301"/>
      <c r="C296" s="119">
        <f>C295</f>
        <v>0</v>
      </c>
      <c r="D296" s="101"/>
      <c r="E296" s="102"/>
      <c r="F296" s="84" t="s">
        <v>57</v>
      </c>
      <c r="G296" s="84" t="s">
        <v>56</v>
      </c>
      <c r="H296" s="84" t="s">
        <v>55</v>
      </c>
      <c r="I296" s="84" t="s">
        <v>54</v>
      </c>
      <c r="J296" s="84" t="s">
        <v>53</v>
      </c>
      <c r="K296" s="84" t="s">
        <v>52</v>
      </c>
      <c r="L296" s="84" t="s">
        <v>51</v>
      </c>
      <c r="M296" s="84" t="s">
        <v>50</v>
      </c>
      <c r="N296" s="84" t="s">
        <v>49</v>
      </c>
      <c r="O296" s="84" t="s">
        <v>47</v>
      </c>
      <c r="P296" s="84" t="s">
        <v>77</v>
      </c>
      <c r="Q296" s="83" t="s">
        <v>78</v>
      </c>
      <c r="R296" s="84" t="s">
        <v>79</v>
      </c>
      <c r="S296" s="84" t="s">
        <v>81</v>
      </c>
      <c r="T296" s="84" t="s">
        <v>83</v>
      </c>
      <c r="U296" s="84" t="s">
        <v>85</v>
      </c>
    </row>
    <row r="297" spans="2:21" s="119" customFormat="1" ht="19.5" hidden="1" thickBot="1" x14ac:dyDescent="0.35">
      <c r="B297" s="301"/>
      <c r="C297" s="119">
        <f t="shared" ref="C297:C310" si="329">C296</f>
        <v>0</v>
      </c>
      <c r="D297" s="103" t="s">
        <v>26</v>
      </c>
      <c r="E297" s="104"/>
      <c r="F297" s="745"/>
      <c r="G297" s="745"/>
      <c r="H297" s="746"/>
      <c r="I297" s="745"/>
      <c r="J297" s="745"/>
      <c r="K297" s="745"/>
      <c r="L297" s="745"/>
      <c r="M297" s="746"/>
      <c r="N297" s="746"/>
      <c r="O297" s="745"/>
      <c r="P297" s="746"/>
      <c r="Q297" s="747"/>
      <c r="R297" s="748"/>
      <c r="S297" s="745"/>
      <c r="T297" s="746"/>
      <c r="U297" s="749"/>
    </row>
    <row r="298" spans="2:21" s="119" customFormat="1" ht="19.5" hidden="1" thickBot="1" x14ac:dyDescent="0.3">
      <c r="B298" s="301"/>
      <c r="C298" s="119">
        <f t="shared" si="329"/>
        <v>0</v>
      </c>
      <c r="D298" s="109" t="s">
        <v>93</v>
      </c>
      <c r="E298" s="76" t="s">
        <v>57</v>
      </c>
      <c r="F298" s="733">
        <f>F6*$E$295</f>
        <v>0</v>
      </c>
      <c r="G298" s="733">
        <f>G6*$E$295</f>
        <v>0</v>
      </c>
      <c r="H298" s="733">
        <f>H6*$E$295</f>
        <v>0</v>
      </c>
      <c r="I298" s="733">
        <f>I6*$E$295</f>
        <v>0</v>
      </c>
      <c r="J298" s="733">
        <f>J6*$E$295</f>
        <v>0</v>
      </c>
      <c r="K298" s="733">
        <f t="shared" ref="K298:P298" si="330">K6*$E$295</f>
        <v>0</v>
      </c>
      <c r="L298" s="733">
        <f t="shared" si="330"/>
        <v>0</v>
      </c>
      <c r="M298" s="733">
        <f t="shared" si="330"/>
        <v>0</v>
      </c>
      <c r="N298" s="733">
        <f t="shared" si="330"/>
        <v>0</v>
      </c>
      <c r="O298" s="733">
        <f t="shared" si="330"/>
        <v>0</v>
      </c>
      <c r="P298" s="733">
        <f t="shared" si="330"/>
        <v>0</v>
      </c>
      <c r="Q298" s="734">
        <f t="shared" ref="Q298:Q309" si="331">SUM(F298:P298)</f>
        <v>0</v>
      </c>
      <c r="R298" s="733">
        <f t="shared" ref="R298:U298" si="332">R6*$E$295</f>
        <v>0</v>
      </c>
      <c r="S298" s="733">
        <f t="shared" si="332"/>
        <v>0</v>
      </c>
      <c r="T298" s="733">
        <f t="shared" ca="1" si="332"/>
        <v>0</v>
      </c>
      <c r="U298" s="733">
        <f t="shared" ca="1" si="332"/>
        <v>0</v>
      </c>
    </row>
    <row r="299" spans="2:21" s="119" customFormat="1" ht="19.5" hidden="1" thickBot="1" x14ac:dyDescent="0.3">
      <c r="B299" s="301"/>
      <c r="C299" s="119">
        <f t="shared" si="329"/>
        <v>0</v>
      </c>
      <c r="D299" s="110" t="s">
        <v>92</v>
      </c>
      <c r="E299" s="76" t="s">
        <v>56</v>
      </c>
      <c r="F299" s="733">
        <f t="shared" ref="F299:U301" si="333">F7*$E$295</f>
        <v>0</v>
      </c>
      <c r="G299" s="733">
        <f t="shared" ref="G299:I301" si="334">G7*$E$295</f>
        <v>0</v>
      </c>
      <c r="H299" s="733">
        <f t="shared" si="334"/>
        <v>0</v>
      </c>
      <c r="I299" s="733">
        <f t="shared" si="334"/>
        <v>0</v>
      </c>
      <c r="J299" s="733">
        <f>J7*$E$295</f>
        <v>0</v>
      </c>
      <c r="K299" s="733">
        <f t="shared" ref="K299:P299" si="335">K7*$E$295</f>
        <v>0</v>
      </c>
      <c r="L299" s="733">
        <f t="shared" si="335"/>
        <v>0</v>
      </c>
      <c r="M299" s="733">
        <f t="shared" si="335"/>
        <v>0</v>
      </c>
      <c r="N299" s="733">
        <f t="shared" si="335"/>
        <v>0</v>
      </c>
      <c r="O299" s="733">
        <f t="shared" si="335"/>
        <v>0</v>
      </c>
      <c r="P299" s="733">
        <f t="shared" si="335"/>
        <v>0</v>
      </c>
      <c r="Q299" s="734">
        <f t="shared" si="331"/>
        <v>0</v>
      </c>
      <c r="R299" s="733">
        <f t="shared" si="333"/>
        <v>0</v>
      </c>
      <c r="S299" s="733">
        <f t="shared" si="333"/>
        <v>0</v>
      </c>
      <c r="T299" s="733">
        <f t="shared" si="333"/>
        <v>0</v>
      </c>
      <c r="U299" s="733">
        <f t="shared" si="333"/>
        <v>0</v>
      </c>
    </row>
    <row r="300" spans="2:21" s="119" customFormat="1" ht="19.5" hidden="1" thickBot="1" x14ac:dyDescent="0.3">
      <c r="B300" s="301"/>
      <c r="C300" s="119">
        <f t="shared" si="329"/>
        <v>0</v>
      </c>
      <c r="D300" s="110" t="s">
        <v>91</v>
      </c>
      <c r="E300" s="76" t="s">
        <v>55</v>
      </c>
      <c r="F300" s="733">
        <f t="shared" si="333"/>
        <v>0</v>
      </c>
      <c r="G300" s="733">
        <f t="shared" si="334"/>
        <v>0</v>
      </c>
      <c r="H300" s="733">
        <f t="shared" si="334"/>
        <v>0</v>
      </c>
      <c r="I300" s="733">
        <f t="shared" si="334"/>
        <v>0</v>
      </c>
      <c r="J300" s="733">
        <f>J8*$E$295</f>
        <v>0</v>
      </c>
      <c r="K300" s="733">
        <f t="shared" ref="K300:P300" si="336">K8*$E$295</f>
        <v>0</v>
      </c>
      <c r="L300" s="733">
        <f t="shared" si="336"/>
        <v>0</v>
      </c>
      <c r="M300" s="733">
        <f t="shared" si="336"/>
        <v>0</v>
      </c>
      <c r="N300" s="733">
        <f t="shared" si="336"/>
        <v>0</v>
      </c>
      <c r="O300" s="733">
        <f t="shared" si="336"/>
        <v>0</v>
      </c>
      <c r="P300" s="733">
        <f t="shared" si="336"/>
        <v>0</v>
      </c>
      <c r="Q300" s="734">
        <f t="shared" si="331"/>
        <v>0</v>
      </c>
      <c r="R300" s="733">
        <f t="shared" si="333"/>
        <v>0</v>
      </c>
      <c r="S300" s="733">
        <f t="shared" si="333"/>
        <v>0</v>
      </c>
      <c r="T300" s="733">
        <f t="shared" ca="1" si="333"/>
        <v>0</v>
      </c>
      <c r="U300" s="733">
        <f t="shared" ca="1" si="333"/>
        <v>0</v>
      </c>
    </row>
    <row r="301" spans="2:21" s="119" customFormat="1" ht="19.5" hidden="1" thickBot="1" x14ac:dyDescent="0.3">
      <c r="B301" s="301"/>
      <c r="C301" s="119">
        <f t="shared" si="329"/>
        <v>0</v>
      </c>
      <c r="D301" s="111" t="s">
        <v>117</v>
      </c>
      <c r="E301" s="76" t="s">
        <v>54</v>
      </c>
      <c r="F301" s="733">
        <f t="shared" si="333"/>
        <v>0</v>
      </c>
      <c r="G301" s="733">
        <f t="shared" si="334"/>
        <v>0</v>
      </c>
      <c r="H301" s="733">
        <f t="shared" si="334"/>
        <v>0</v>
      </c>
      <c r="I301" s="733">
        <f t="shared" si="334"/>
        <v>0</v>
      </c>
      <c r="J301" s="733">
        <f>J9*$E$295</f>
        <v>0</v>
      </c>
      <c r="K301" s="733">
        <f t="shared" ref="K301:P301" si="337">K9*$E$295</f>
        <v>0</v>
      </c>
      <c r="L301" s="733">
        <f t="shared" si="337"/>
        <v>0</v>
      </c>
      <c r="M301" s="733">
        <f t="shared" si="337"/>
        <v>0</v>
      </c>
      <c r="N301" s="733">
        <f t="shared" si="337"/>
        <v>0</v>
      </c>
      <c r="O301" s="733">
        <f t="shared" si="337"/>
        <v>0</v>
      </c>
      <c r="P301" s="733">
        <f t="shared" si="337"/>
        <v>0</v>
      </c>
      <c r="Q301" s="734">
        <f t="shared" si="331"/>
        <v>0</v>
      </c>
      <c r="R301" s="733">
        <f t="shared" si="333"/>
        <v>0</v>
      </c>
      <c r="S301" s="733">
        <f t="shared" si="333"/>
        <v>0</v>
      </c>
      <c r="T301" s="733">
        <f t="shared" si="333"/>
        <v>0</v>
      </c>
      <c r="U301" s="733">
        <f t="shared" si="333"/>
        <v>0</v>
      </c>
    </row>
    <row r="302" spans="2:21" s="119" customFormat="1" ht="19.5" hidden="1" thickBot="1" x14ac:dyDescent="0.35">
      <c r="B302" s="301"/>
      <c r="C302" s="119">
        <f t="shared" si="329"/>
        <v>0</v>
      </c>
      <c r="D302" s="112" t="s">
        <v>31</v>
      </c>
      <c r="E302" s="76"/>
      <c r="F302" s="750"/>
      <c r="G302" s="735"/>
      <c r="H302" s="736"/>
      <c r="I302" s="735"/>
      <c r="J302" s="735"/>
      <c r="K302" s="735"/>
      <c r="L302" s="735"/>
      <c r="M302" s="735"/>
      <c r="N302" s="735"/>
      <c r="O302" s="735"/>
      <c r="P302" s="735"/>
      <c r="Q302" s="734">
        <f t="shared" si="331"/>
        <v>0</v>
      </c>
      <c r="R302" s="739"/>
      <c r="S302" s="735"/>
      <c r="T302" s="740"/>
      <c r="U302" s="741"/>
    </row>
    <row r="303" spans="2:21" s="119" customFormat="1" ht="19.5" hidden="1" thickBot="1" x14ac:dyDescent="0.35">
      <c r="B303" s="301"/>
      <c r="C303" s="119">
        <f t="shared" si="329"/>
        <v>0</v>
      </c>
      <c r="D303" s="113" t="s">
        <v>118</v>
      </c>
      <c r="E303" s="76" t="s">
        <v>53</v>
      </c>
      <c r="F303" s="733">
        <f t="shared" ref="F303:U309" si="338">F11*$E$295</f>
        <v>0</v>
      </c>
      <c r="G303" s="733">
        <f t="shared" ref="G303:I309" si="339">G11*$E$295</f>
        <v>0</v>
      </c>
      <c r="H303" s="733">
        <f t="shared" si="339"/>
        <v>0</v>
      </c>
      <c r="I303" s="733">
        <f t="shared" si="339"/>
        <v>0</v>
      </c>
      <c r="J303" s="733">
        <f t="shared" ref="J303:J309" si="340">J11*$E$295</f>
        <v>0</v>
      </c>
      <c r="K303" s="733">
        <f t="shared" ref="K303:P303" si="341">K11*$E$295</f>
        <v>0</v>
      </c>
      <c r="L303" s="733">
        <f t="shared" si="341"/>
        <v>0</v>
      </c>
      <c r="M303" s="733">
        <f t="shared" si="341"/>
        <v>0</v>
      </c>
      <c r="N303" s="733">
        <f t="shared" si="341"/>
        <v>0</v>
      </c>
      <c r="O303" s="733">
        <f t="shared" si="341"/>
        <v>0</v>
      </c>
      <c r="P303" s="733">
        <f t="shared" si="341"/>
        <v>0</v>
      </c>
      <c r="Q303" s="734">
        <f t="shared" si="331"/>
        <v>0</v>
      </c>
      <c r="R303" s="733">
        <f t="shared" si="338"/>
        <v>0</v>
      </c>
      <c r="S303" s="733">
        <f t="shared" si="338"/>
        <v>0</v>
      </c>
      <c r="T303" s="733">
        <f t="shared" si="338"/>
        <v>0</v>
      </c>
      <c r="U303" s="733">
        <f t="shared" si="338"/>
        <v>0</v>
      </c>
    </row>
    <row r="304" spans="2:21" s="119" customFormat="1" ht="19.5" hidden="1" thickBot="1" x14ac:dyDescent="0.35">
      <c r="B304" s="301"/>
      <c r="C304" s="119">
        <f t="shared" si="329"/>
        <v>0</v>
      </c>
      <c r="D304" s="113" t="s">
        <v>119</v>
      </c>
      <c r="E304" s="76" t="s">
        <v>52</v>
      </c>
      <c r="F304" s="733">
        <f t="shared" si="338"/>
        <v>0</v>
      </c>
      <c r="G304" s="733">
        <f t="shared" si="339"/>
        <v>0</v>
      </c>
      <c r="H304" s="733">
        <f t="shared" si="339"/>
        <v>0</v>
      </c>
      <c r="I304" s="733">
        <f t="shared" si="339"/>
        <v>0</v>
      </c>
      <c r="J304" s="733">
        <f t="shared" si="340"/>
        <v>0</v>
      </c>
      <c r="K304" s="733">
        <f t="shared" ref="K304:P304" si="342">K12*$E$295</f>
        <v>0</v>
      </c>
      <c r="L304" s="733">
        <f t="shared" si="342"/>
        <v>0</v>
      </c>
      <c r="M304" s="733">
        <f t="shared" si="342"/>
        <v>0</v>
      </c>
      <c r="N304" s="733">
        <f t="shared" si="342"/>
        <v>0</v>
      </c>
      <c r="O304" s="733">
        <f t="shared" si="342"/>
        <v>0</v>
      </c>
      <c r="P304" s="733">
        <f t="shared" si="342"/>
        <v>0</v>
      </c>
      <c r="Q304" s="734">
        <f t="shared" si="331"/>
        <v>0</v>
      </c>
      <c r="R304" s="733">
        <f t="shared" si="338"/>
        <v>0</v>
      </c>
      <c r="S304" s="733">
        <f t="shared" si="338"/>
        <v>0</v>
      </c>
      <c r="T304" s="733">
        <f t="shared" si="338"/>
        <v>0</v>
      </c>
      <c r="U304" s="733">
        <f t="shared" si="338"/>
        <v>0</v>
      </c>
    </row>
    <row r="305" spans="2:21" s="119" customFormat="1" ht="19.5" hidden="1" thickBot="1" x14ac:dyDescent="0.35">
      <c r="B305" s="301"/>
      <c r="C305" s="119">
        <f t="shared" si="329"/>
        <v>0</v>
      </c>
      <c r="D305" s="113" t="s">
        <v>120</v>
      </c>
      <c r="E305" s="76" t="s">
        <v>51</v>
      </c>
      <c r="F305" s="733">
        <f t="shared" si="338"/>
        <v>0</v>
      </c>
      <c r="G305" s="733">
        <f t="shared" si="339"/>
        <v>0</v>
      </c>
      <c r="H305" s="733">
        <f t="shared" si="339"/>
        <v>0</v>
      </c>
      <c r="I305" s="733">
        <f t="shared" si="339"/>
        <v>0</v>
      </c>
      <c r="J305" s="733">
        <f t="shared" si="340"/>
        <v>0</v>
      </c>
      <c r="K305" s="733">
        <f t="shared" ref="K305:P305" si="343">K13*$E$295</f>
        <v>0</v>
      </c>
      <c r="L305" s="733">
        <f t="shared" si="343"/>
        <v>0</v>
      </c>
      <c r="M305" s="733">
        <f t="shared" si="343"/>
        <v>0</v>
      </c>
      <c r="N305" s="733">
        <f t="shared" si="343"/>
        <v>0</v>
      </c>
      <c r="O305" s="733">
        <f t="shared" si="343"/>
        <v>0</v>
      </c>
      <c r="P305" s="733">
        <f t="shared" si="343"/>
        <v>0</v>
      </c>
      <c r="Q305" s="734">
        <f t="shared" si="331"/>
        <v>0</v>
      </c>
      <c r="R305" s="733">
        <f t="shared" si="338"/>
        <v>0</v>
      </c>
      <c r="S305" s="733">
        <f t="shared" si="338"/>
        <v>0</v>
      </c>
      <c r="T305" s="733">
        <f t="shared" si="338"/>
        <v>0</v>
      </c>
      <c r="U305" s="733">
        <f t="shared" si="338"/>
        <v>0</v>
      </c>
    </row>
    <row r="306" spans="2:21" s="119" customFormat="1" ht="19.5" hidden="1" thickBot="1" x14ac:dyDescent="0.35">
      <c r="B306" s="301"/>
      <c r="C306" s="119">
        <f t="shared" si="329"/>
        <v>0</v>
      </c>
      <c r="D306" s="113" t="s">
        <v>121</v>
      </c>
      <c r="E306" s="76" t="s">
        <v>50</v>
      </c>
      <c r="F306" s="733">
        <f t="shared" si="338"/>
        <v>0</v>
      </c>
      <c r="G306" s="733">
        <f t="shared" si="339"/>
        <v>0</v>
      </c>
      <c r="H306" s="733">
        <f t="shared" si="339"/>
        <v>0</v>
      </c>
      <c r="I306" s="733">
        <f t="shared" si="339"/>
        <v>0</v>
      </c>
      <c r="J306" s="733">
        <f t="shared" si="340"/>
        <v>0</v>
      </c>
      <c r="K306" s="733">
        <f t="shared" ref="K306:P306" si="344">K14*$E$295</f>
        <v>0</v>
      </c>
      <c r="L306" s="733">
        <f t="shared" si="344"/>
        <v>0</v>
      </c>
      <c r="M306" s="733">
        <f t="shared" si="344"/>
        <v>0</v>
      </c>
      <c r="N306" s="733">
        <f t="shared" si="344"/>
        <v>0</v>
      </c>
      <c r="O306" s="733">
        <f t="shared" si="344"/>
        <v>0</v>
      </c>
      <c r="P306" s="733">
        <f t="shared" si="344"/>
        <v>0</v>
      </c>
      <c r="Q306" s="734">
        <f t="shared" si="331"/>
        <v>0</v>
      </c>
      <c r="R306" s="733">
        <f t="shared" si="338"/>
        <v>0</v>
      </c>
      <c r="S306" s="733">
        <f t="shared" si="338"/>
        <v>0</v>
      </c>
      <c r="T306" s="733">
        <f t="shared" si="338"/>
        <v>0</v>
      </c>
      <c r="U306" s="733">
        <f t="shared" si="338"/>
        <v>0</v>
      </c>
    </row>
    <row r="307" spans="2:21" s="119" customFormat="1" ht="19.5" hidden="1" thickBot="1" x14ac:dyDescent="0.35">
      <c r="B307" s="301"/>
      <c r="C307" s="119">
        <f t="shared" si="329"/>
        <v>0</v>
      </c>
      <c r="D307" s="113" t="s">
        <v>122</v>
      </c>
      <c r="E307" s="76" t="s">
        <v>49</v>
      </c>
      <c r="F307" s="733">
        <f t="shared" si="338"/>
        <v>0</v>
      </c>
      <c r="G307" s="733">
        <f t="shared" si="339"/>
        <v>0</v>
      </c>
      <c r="H307" s="733">
        <f t="shared" si="339"/>
        <v>0</v>
      </c>
      <c r="I307" s="733">
        <f t="shared" si="339"/>
        <v>0</v>
      </c>
      <c r="J307" s="733">
        <f t="shared" si="340"/>
        <v>0</v>
      </c>
      <c r="K307" s="733">
        <f t="shared" ref="K307:P307" si="345">K15*$E$295</f>
        <v>0</v>
      </c>
      <c r="L307" s="733">
        <f t="shared" si="345"/>
        <v>0</v>
      </c>
      <c r="M307" s="733">
        <f t="shared" si="345"/>
        <v>0</v>
      </c>
      <c r="N307" s="733">
        <f t="shared" si="345"/>
        <v>0</v>
      </c>
      <c r="O307" s="733">
        <f t="shared" si="345"/>
        <v>0</v>
      </c>
      <c r="P307" s="733">
        <f t="shared" si="345"/>
        <v>0</v>
      </c>
      <c r="Q307" s="734">
        <f t="shared" si="331"/>
        <v>0</v>
      </c>
      <c r="R307" s="733">
        <f t="shared" si="338"/>
        <v>0</v>
      </c>
      <c r="S307" s="733">
        <f t="shared" si="338"/>
        <v>0</v>
      </c>
      <c r="T307" s="733">
        <f t="shared" si="338"/>
        <v>0</v>
      </c>
      <c r="U307" s="733">
        <f t="shared" si="338"/>
        <v>0</v>
      </c>
    </row>
    <row r="308" spans="2:21" s="119" customFormat="1" ht="19.5" hidden="1" thickBot="1" x14ac:dyDescent="0.35">
      <c r="B308" s="301"/>
      <c r="C308" s="119">
        <f t="shared" si="329"/>
        <v>0</v>
      </c>
      <c r="D308" s="113" t="s">
        <v>123</v>
      </c>
      <c r="E308" s="76" t="s">
        <v>47</v>
      </c>
      <c r="F308" s="733">
        <f t="shared" si="338"/>
        <v>0</v>
      </c>
      <c r="G308" s="733">
        <f t="shared" si="339"/>
        <v>0</v>
      </c>
      <c r="H308" s="733">
        <f t="shared" si="339"/>
        <v>0</v>
      </c>
      <c r="I308" s="733">
        <f t="shared" si="339"/>
        <v>0</v>
      </c>
      <c r="J308" s="733">
        <f t="shared" si="340"/>
        <v>0</v>
      </c>
      <c r="K308" s="733">
        <f t="shared" ref="K308:P308" si="346">K16*$E$295</f>
        <v>0</v>
      </c>
      <c r="L308" s="733">
        <f t="shared" si="346"/>
        <v>0</v>
      </c>
      <c r="M308" s="733">
        <f t="shared" si="346"/>
        <v>0</v>
      </c>
      <c r="N308" s="733">
        <f t="shared" si="346"/>
        <v>0</v>
      </c>
      <c r="O308" s="733">
        <f t="shared" si="346"/>
        <v>0</v>
      </c>
      <c r="P308" s="733">
        <f t="shared" si="346"/>
        <v>0</v>
      </c>
      <c r="Q308" s="734">
        <f t="shared" si="331"/>
        <v>0</v>
      </c>
      <c r="R308" s="733">
        <f t="shared" si="338"/>
        <v>0</v>
      </c>
      <c r="S308" s="733">
        <f t="shared" si="338"/>
        <v>0</v>
      </c>
      <c r="T308" s="733">
        <f t="shared" si="338"/>
        <v>0</v>
      </c>
      <c r="U308" s="733">
        <f t="shared" si="338"/>
        <v>0</v>
      </c>
    </row>
    <row r="309" spans="2:21" s="119" customFormat="1" ht="19.5" hidden="1" thickBot="1" x14ac:dyDescent="0.35">
      <c r="B309" s="301"/>
      <c r="C309" s="119">
        <f t="shared" si="329"/>
        <v>0</v>
      </c>
      <c r="D309" s="114" t="s">
        <v>16</v>
      </c>
      <c r="E309" s="70" t="s">
        <v>77</v>
      </c>
      <c r="F309" s="733">
        <f t="shared" si="338"/>
        <v>0</v>
      </c>
      <c r="G309" s="733">
        <f t="shared" si="339"/>
        <v>0</v>
      </c>
      <c r="H309" s="733">
        <f t="shared" si="339"/>
        <v>0</v>
      </c>
      <c r="I309" s="733">
        <f t="shared" si="339"/>
        <v>0</v>
      </c>
      <c r="J309" s="733">
        <f t="shared" si="340"/>
        <v>0</v>
      </c>
      <c r="K309" s="733">
        <f t="shared" ref="K309:P309" si="347">K17*$E$295</f>
        <v>0</v>
      </c>
      <c r="L309" s="733">
        <f t="shared" si="347"/>
        <v>0</v>
      </c>
      <c r="M309" s="733">
        <f t="shared" si="347"/>
        <v>0</v>
      </c>
      <c r="N309" s="733">
        <f t="shared" si="347"/>
        <v>0</v>
      </c>
      <c r="O309" s="733">
        <f t="shared" si="347"/>
        <v>0</v>
      </c>
      <c r="P309" s="733">
        <f t="shared" si="347"/>
        <v>0</v>
      </c>
      <c r="Q309" s="734">
        <f t="shared" si="331"/>
        <v>0</v>
      </c>
      <c r="R309" s="733">
        <f t="shared" si="338"/>
        <v>0</v>
      </c>
      <c r="S309" s="733">
        <f t="shared" si="338"/>
        <v>0</v>
      </c>
      <c r="T309" s="733">
        <f t="shared" ca="1" si="338"/>
        <v>0</v>
      </c>
      <c r="U309" s="733">
        <f t="shared" ca="1" si="338"/>
        <v>0</v>
      </c>
    </row>
    <row r="310" spans="2:21" s="119" customFormat="1" ht="19.5" hidden="1" thickBot="1" x14ac:dyDescent="0.35">
      <c r="B310" s="301"/>
      <c r="C310" s="119">
        <f t="shared" si="329"/>
        <v>0</v>
      </c>
      <c r="D310" s="115" t="s">
        <v>124</v>
      </c>
      <c r="E310" s="116" t="s">
        <v>78</v>
      </c>
      <c r="F310" s="742">
        <f t="shared" ref="F310:U310" si="348">SUBTOTAL(9,F298:F309)</f>
        <v>0</v>
      </c>
      <c r="G310" s="742">
        <f>SUBTOTAL(9,G298:G309)</f>
        <v>0</v>
      </c>
      <c r="H310" s="742">
        <f>SUBTOTAL(9,H298:H309)</f>
        <v>0</v>
      </c>
      <c r="I310" s="742">
        <f>SUBTOTAL(9,I298:I309)</f>
        <v>0</v>
      </c>
      <c r="J310" s="742">
        <f>SUBTOTAL(9,J298:J309)</f>
        <v>0</v>
      </c>
      <c r="K310" s="742">
        <f t="shared" ref="K310:P310" si="349">SUBTOTAL(9,K298:K309)</f>
        <v>0</v>
      </c>
      <c r="L310" s="742">
        <f t="shared" si="349"/>
        <v>0</v>
      </c>
      <c r="M310" s="742">
        <f t="shared" si="349"/>
        <v>0</v>
      </c>
      <c r="N310" s="742">
        <f t="shared" si="349"/>
        <v>0</v>
      </c>
      <c r="O310" s="742">
        <f t="shared" si="349"/>
        <v>0</v>
      </c>
      <c r="P310" s="742">
        <f t="shared" si="349"/>
        <v>0</v>
      </c>
      <c r="Q310" s="743">
        <f>SUBTOTAL(9,Q298:Q309)</f>
        <v>0</v>
      </c>
      <c r="R310" s="742">
        <f t="shared" si="348"/>
        <v>0</v>
      </c>
      <c r="S310" s="742">
        <f t="shared" si="348"/>
        <v>0</v>
      </c>
      <c r="T310" s="742">
        <f t="shared" si="348"/>
        <v>0</v>
      </c>
      <c r="U310" s="742">
        <f t="shared" si="348"/>
        <v>0</v>
      </c>
    </row>
    <row r="311" spans="2:21" s="119" customFormat="1" ht="19.5" hidden="1" thickBot="1" x14ac:dyDescent="0.3">
      <c r="B311" s="340"/>
      <c r="D311" s="117"/>
      <c r="E311" s="117"/>
      <c r="F311" s="118"/>
      <c r="G311" s="118"/>
      <c r="I311" s="118"/>
      <c r="J311" s="118"/>
      <c r="K311" s="118"/>
      <c r="L311" s="118"/>
      <c r="O311" s="118"/>
      <c r="Q311" s="120"/>
      <c r="R311" s="117"/>
      <c r="S311" s="118"/>
      <c r="U311" s="118"/>
    </row>
    <row r="312" spans="2:21" s="119" customFormat="1" ht="75.75" hidden="1" thickBot="1" x14ac:dyDescent="0.3">
      <c r="B312" s="301"/>
      <c r="C312" s="119">
        <f>IF($E312&gt;0,1,0)</f>
        <v>0</v>
      </c>
      <c r="D312" s="96" t="str">
        <f>A21</f>
        <v>Fulton</v>
      </c>
      <c r="E312" s="166">
        <f>IFERROR(SUMIF(A:A,D312,B:B),0)</f>
        <v>0</v>
      </c>
      <c r="F312" s="98" t="s">
        <v>356</v>
      </c>
      <c r="G312" s="98" t="s">
        <v>373</v>
      </c>
      <c r="H312" s="98" t="s">
        <v>358</v>
      </c>
      <c r="I312" s="98" t="s">
        <v>109</v>
      </c>
      <c r="J312" s="98" t="s">
        <v>111</v>
      </c>
      <c r="K312" s="98" t="s">
        <v>469</v>
      </c>
      <c r="L312" s="98" t="s">
        <v>470</v>
      </c>
      <c r="M312" s="98" t="s">
        <v>357</v>
      </c>
      <c r="N312" s="509" t="s">
        <v>471</v>
      </c>
      <c r="O312" s="98" t="s">
        <v>472</v>
      </c>
      <c r="P312" s="98" t="s">
        <v>110</v>
      </c>
      <c r="Q312" s="99" t="s">
        <v>116</v>
      </c>
      <c r="R312" s="98" t="s">
        <v>112</v>
      </c>
      <c r="S312" s="98" t="s">
        <v>113</v>
      </c>
      <c r="T312" s="98" t="s">
        <v>114</v>
      </c>
      <c r="U312" s="98" t="s">
        <v>115</v>
      </c>
    </row>
    <row r="313" spans="2:21" s="119" customFormat="1" ht="19.5" hidden="1" thickBot="1" x14ac:dyDescent="0.3">
      <c r="B313" s="301"/>
      <c r="C313" s="119">
        <f>C312</f>
        <v>0</v>
      </c>
      <c r="D313" s="101"/>
      <c r="E313" s="102"/>
      <c r="F313" s="84" t="s">
        <v>57</v>
      </c>
      <c r="G313" s="84" t="s">
        <v>56</v>
      </c>
      <c r="H313" s="84" t="s">
        <v>55</v>
      </c>
      <c r="I313" s="84" t="s">
        <v>54</v>
      </c>
      <c r="J313" s="84" t="s">
        <v>53</v>
      </c>
      <c r="K313" s="84" t="s">
        <v>52</v>
      </c>
      <c r="L313" s="84" t="s">
        <v>51</v>
      </c>
      <c r="M313" s="84" t="s">
        <v>50</v>
      </c>
      <c r="N313" s="84" t="s">
        <v>49</v>
      </c>
      <c r="O313" s="84" t="s">
        <v>47</v>
      </c>
      <c r="P313" s="84" t="s">
        <v>77</v>
      </c>
      <c r="Q313" s="83" t="s">
        <v>78</v>
      </c>
      <c r="R313" s="84" t="s">
        <v>79</v>
      </c>
      <c r="S313" s="84" t="s">
        <v>81</v>
      </c>
      <c r="T313" s="84" t="s">
        <v>83</v>
      </c>
      <c r="U313" s="84" t="s">
        <v>85</v>
      </c>
    </row>
    <row r="314" spans="2:21" s="119" customFormat="1" ht="19.5" hidden="1" thickBot="1" x14ac:dyDescent="0.35">
      <c r="B314" s="301"/>
      <c r="C314" s="119">
        <f t="shared" ref="C314:C327" si="350">C313</f>
        <v>0</v>
      </c>
      <c r="D314" s="103" t="s">
        <v>26</v>
      </c>
      <c r="E314" s="104"/>
      <c r="F314" s="745"/>
      <c r="G314" s="745"/>
      <c r="H314" s="746"/>
      <c r="I314" s="745"/>
      <c r="J314" s="745"/>
      <c r="K314" s="745"/>
      <c r="L314" s="745"/>
      <c r="M314" s="746"/>
      <c r="N314" s="746"/>
      <c r="O314" s="745"/>
      <c r="P314" s="746"/>
      <c r="Q314" s="747"/>
      <c r="R314" s="748"/>
      <c r="S314" s="745"/>
      <c r="T314" s="746"/>
      <c r="U314" s="749"/>
    </row>
    <row r="315" spans="2:21" s="119" customFormat="1" ht="19.5" hidden="1" thickBot="1" x14ac:dyDescent="0.3">
      <c r="B315" s="301"/>
      <c r="C315" s="119">
        <f t="shared" si="350"/>
        <v>0</v>
      </c>
      <c r="D315" s="109" t="s">
        <v>93</v>
      </c>
      <c r="E315" s="76" t="s">
        <v>57</v>
      </c>
      <c r="F315" s="733">
        <f>F6*$E$312</f>
        <v>0</v>
      </c>
      <c r="G315" s="733">
        <f>G6*$E$312</f>
        <v>0</v>
      </c>
      <c r="H315" s="733">
        <f>H6*$E$312</f>
        <v>0</v>
      </c>
      <c r="I315" s="733">
        <f>I6*$E$312</f>
        <v>0</v>
      </c>
      <c r="J315" s="733">
        <f>J6*$E$312</f>
        <v>0</v>
      </c>
      <c r="K315" s="733">
        <f t="shared" ref="K315:P315" si="351">K6*$E$312</f>
        <v>0</v>
      </c>
      <c r="L315" s="733">
        <f t="shared" si="351"/>
        <v>0</v>
      </c>
      <c r="M315" s="733">
        <f t="shared" si="351"/>
        <v>0</v>
      </c>
      <c r="N315" s="733">
        <f t="shared" si="351"/>
        <v>0</v>
      </c>
      <c r="O315" s="733">
        <f t="shared" si="351"/>
        <v>0</v>
      </c>
      <c r="P315" s="733">
        <f t="shared" si="351"/>
        <v>0</v>
      </c>
      <c r="Q315" s="734">
        <f t="shared" ref="Q315:Q326" si="352">SUM(F315:P315)</f>
        <v>0</v>
      </c>
      <c r="R315" s="733">
        <f t="shared" ref="R315:U315" si="353">R6*$E$312</f>
        <v>0</v>
      </c>
      <c r="S315" s="733">
        <f t="shared" si="353"/>
        <v>0</v>
      </c>
      <c r="T315" s="733">
        <f t="shared" ca="1" si="353"/>
        <v>0</v>
      </c>
      <c r="U315" s="733">
        <f t="shared" ca="1" si="353"/>
        <v>0</v>
      </c>
    </row>
    <row r="316" spans="2:21" s="119" customFormat="1" ht="19.5" hidden="1" thickBot="1" x14ac:dyDescent="0.3">
      <c r="B316" s="301"/>
      <c r="C316" s="119">
        <f t="shared" si="350"/>
        <v>0</v>
      </c>
      <c r="D316" s="110" t="s">
        <v>92</v>
      </c>
      <c r="E316" s="76" t="s">
        <v>56</v>
      </c>
      <c r="F316" s="733">
        <f t="shared" ref="F316:U318" si="354">F7*$E$312</f>
        <v>0</v>
      </c>
      <c r="G316" s="733">
        <f t="shared" ref="G316:J318" si="355">G7*$E$312</f>
        <v>0</v>
      </c>
      <c r="H316" s="733">
        <f t="shared" si="355"/>
        <v>0</v>
      </c>
      <c r="I316" s="733">
        <f t="shared" si="355"/>
        <v>0</v>
      </c>
      <c r="J316" s="733">
        <f t="shared" si="355"/>
        <v>0</v>
      </c>
      <c r="K316" s="733">
        <f t="shared" ref="K316:P316" si="356">K7*$E$312</f>
        <v>0</v>
      </c>
      <c r="L316" s="733">
        <f t="shared" si="356"/>
        <v>0</v>
      </c>
      <c r="M316" s="733">
        <f t="shared" si="356"/>
        <v>0</v>
      </c>
      <c r="N316" s="733">
        <f t="shared" si="356"/>
        <v>0</v>
      </c>
      <c r="O316" s="733">
        <f t="shared" si="356"/>
        <v>0</v>
      </c>
      <c r="P316" s="733">
        <f t="shared" si="356"/>
        <v>0</v>
      </c>
      <c r="Q316" s="734">
        <f t="shared" si="352"/>
        <v>0</v>
      </c>
      <c r="R316" s="733">
        <f t="shared" si="354"/>
        <v>0</v>
      </c>
      <c r="S316" s="733">
        <f t="shared" si="354"/>
        <v>0</v>
      </c>
      <c r="T316" s="733">
        <f t="shared" si="354"/>
        <v>0</v>
      </c>
      <c r="U316" s="733">
        <f t="shared" si="354"/>
        <v>0</v>
      </c>
    </row>
    <row r="317" spans="2:21" s="119" customFormat="1" ht="19.5" hidden="1" thickBot="1" x14ac:dyDescent="0.3">
      <c r="B317" s="301"/>
      <c r="C317" s="119">
        <f t="shared" si="350"/>
        <v>0</v>
      </c>
      <c r="D317" s="110" t="s">
        <v>91</v>
      </c>
      <c r="E317" s="76" t="s">
        <v>55</v>
      </c>
      <c r="F317" s="733">
        <f t="shared" si="354"/>
        <v>0</v>
      </c>
      <c r="G317" s="733">
        <f t="shared" si="355"/>
        <v>0</v>
      </c>
      <c r="H317" s="733">
        <f t="shared" si="355"/>
        <v>0</v>
      </c>
      <c r="I317" s="733">
        <f t="shared" si="355"/>
        <v>0</v>
      </c>
      <c r="J317" s="733">
        <f t="shared" si="355"/>
        <v>0</v>
      </c>
      <c r="K317" s="733">
        <f t="shared" ref="K317:P317" si="357">K8*$E$312</f>
        <v>0</v>
      </c>
      <c r="L317" s="733">
        <f t="shared" si="357"/>
        <v>0</v>
      </c>
      <c r="M317" s="733">
        <f t="shared" si="357"/>
        <v>0</v>
      </c>
      <c r="N317" s="733">
        <f t="shared" si="357"/>
        <v>0</v>
      </c>
      <c r="O317" s="733">
        <f t="shared" si="357"/>
        <v>0</v>
      </c>
      <c r="P317" s="733">
        <f t="shared" si="357"/>
        <v>0</v>
      </c>
      <c r="Q317" s="734">
        <f t="shared" si="352"/>
        <v>0</v>
      </c>
      <c r="R317" s="733">
        <f t="shared" si="354"/>
        <v>0</v>
      </c>
      <c r="S317" s="733">
        <f t="shared" si="354"/>
        <v>0</v>
      </c>
      <c r="T317" s="733">
        <f t="shared" ca="1" si="354"/>
        <v>0</v>
      </c>
      <c r="U317" s="733">
        <f t="shared" ca="1" si="354"/>
        <v>0</v>
      </c>
    </row>
    <row r="318" spans="2:21" s="119" customFormat="1" ht="19.5" hidden="1" thickBot="1" x14ac:dyDescent="0.3">
      <c r="B318" s="301"/>
      <c r="C318" s="119">
        <f t="shared" si="350"/>
        <v>0</v>
      </c>
      <c r="D318" s="111" t="s">
        <v>117</v>
      </c>
      <c r="E318" s="76" t="s">
        <v>54</v>
      </c>
      <c r="F318" s="733">
        <f t="shared" si="354"/>
        <v>0</v>
      </c>
      <c r="G318" s="733">
        <f t="shared" si="355"/>
        <v>0</v>
      </c>
      <c r="H318" s="733">
        <f t="shared" si="355"/>
        <v>0</v>
      </c>
      <c r="I318" s="733">
        <f t="shared" si="355"/>
        <v>0</v>
      </c>
      <c r="J318" s="733">
        <f t="shared" si="355"/>
        <v>0</v>
      </c>
      <c r="K318" s="733">
        <f t="shared" ref="K318:P318" si="358">K9*$E$312</f>
        <v>0</v>
      </c>
      <c r="L318" s="733">
        <f t="shared" si="358"/>
        <v>0</v>
      </c>
      <c r="M318" s="733">
        <f t="shared" si="358"/>
        <v>0</v>
      </c>
      <c r="N318" s="733">
        <f t="shared" si="358"/>
        <v>0</v>
      </c>
      <c r="O318" s="733">
        <f t="shared" si="358"/>
        <v>0</v>
      </c>
      <c r="P318" s="733">
        <f t="shared" si="358"/>
        <v>0</v>
      </c>
      <c r="Q318" s="734">
        <f t="shared" si="352"/>
        <v>0</v>
      </c>
      <c r="R318" s="733">
        <f t="shared" si="354"/>
        <v>0</v>
      </c>
      <c r="S318" s="733">
        <f t="shared" si="354"/>
        <v>0</v>
      </c>
      <c r="T318" s="733">
        <f t="shared" si="354"/>
        <v>0</v>
      </c>
      <c r="U318" s="733">
        <f t="shared" si="354"/>
        <v>0</v>
      </c>
    </row>
    <row r="319" spans="2:21" s="119" customFormat="1" ht="19.5" hidden="1" thickBot="1" x14ac:dyDescent="0.35">
      <c r="B319" s="301"/>
      <c r="C319" s="119">
        <f t="shared" si="350"/>
        <v>0</v>
      </c>
      <c r="D319" s="112" t="s">
        <v>31</v>
      </c>
      <c r="E319" s="76"/>
      <c r="F319" s="750"/>
      <c r="G319" s="735"/>
      <c r="H319" s="736"/>
      <c r="I319" s="735"/>
      <c r="J319" s="735"/>
      <c r="K319" s="735"/>
      <c r="L319" s="735"/>
      <c r="M319" s="735"/>
      <c r="N319" s="735"/>
      <c r="O319" s="735"/>
      <c r="P319" s="735"/>
      <c r="Q319" s="734">
        <f t="shared" si="352"/>
        <v>0</v>
      </c>
      <c r="R319" s="739"/>
      <c r="S319" s="735"/>
      <c r="T319" s="740"/>
      <c r="U319" s="741"/>
    </row>
    <row r="320" spans="2:21" s="119" customFormat="1" ht="19.5" hidden="1" thickBot="1" x14ac:dyDescent="0.35">
      <c r="B320" s="301"/>
      <c r="C320" s="119">
        <f t="shared" si="350"/>
        <v>0</v>
      </c>
      <c r="D320" s="113" t="s">
        <v>118</v>
      </c>
      <c r="E320" s="76" t="s">
        <v>53</v>
      </c>
      <c r="F320" s="733">
        <f t="shared" ref="F320:U326" si="359">F11*$E$312</f>
        <v>0</v>
      </c>
      <c r="G320" s="733">
        <f t="shared" ref="G320:J326" si="360">G11*$E$312</f>
        <v>0</v>
      </c>
      <c r="H320" s="733">
        <f t="shared" si="360"/>
        <v>0</v>
      </c>
      <c r="I320" s="733">
        <f t="shared" si="360"/>
        <v>0</v>
      </c>
      <c r="J320" s="733">
        <f t="shared" si="360"/>
        <v>0</v>
      </c>
      <c r="K320" s="733">
        <f t="shared" ref="K320:P320" si="361">K11*$E$312</f>
        <v>0</v>
      </c>
      <c r="L320" s="733">
        <f t="shared" si="361"/>
        <v>0</v>
      </c>
      <c r="M320" s="733">
        <f t="shared" si="361"/>
        <v>0</v>
      </c>
      <c r="N320" s="733">
        <f t="shared" si="361"/>
        <v>0</v>
      </c>
      <c r="O320" s="733">
        <f t="shared" si="361"/>
        <v>0</v>
      </c>
      <c r="P320" s="733">
        <f t="shared" si="361"/>
        <v>0</v>
      </c>
      <c r="Q320" s="734">
        <f t="shared" si="352"/>
        <v>0</v>
      </c>
      <c r="R320" s="733">
        <f t="shared" si="359"/>
        <v>0</v>
      </c>
      <c r="S320" s="733">
        <f t="shared" si="359"/>
        <v>0</v>
      </c>
      <c r="T320" s="733">
        <f t="shared" si="359"/>
        <v>0</v>
      </c>
      <c r="U320" s="733">
        <f t="shared" si="359"/>
        <v>0</v>
      </c>
    </row>
    <row r="321" spans="2:21" s="119" customFormat="1" ht="19.5" hidden="1" thickBot="1" x14ac:dyDescent="0.35">
      <c r="B321" s="301"/>
      <c r="C321" s="119">
        <f t="shared" si="350"/>
        <v>0</v>
      </c>
      <c r="D321" s="113" t="s">
        <v>119</v>
      </c>
      <c r="E321" s="76" t="s">
        <v>52</v>
      </c>
      <c r="F321" s="733">
        <f t="shared" si="359"/>
        <v>0</v>
      </c>
      <c r="G321" s="733">
        <f t="shared" si="360"/>
        <v>0</v>
      </c>
      <c r="H321" s="733">
        <f t="shared" si="360"/>
        <v>0</v>
      </c>
      <c r="I321" s="733">
        <f t="shared" si="360"/>
        <v>0</v>
      </c>
      <c r="J321" s="733">
        <f t="shared" si="360"/>
        <v>0</v>
      </c>
      <c r="K321" s="733">
        <f t="shared" ref="K321:P321" si="362">K12*$E$312</f>
        <v>0</v>
      </c>
      <c r="L321" s="733">
        <f t="shared" si="362"/>
        <v>0</v>
      </c>
      <c r="M321" s="733">
        <f t="shared" si="362"/>
        <v>0</v>
      </c>
      <c r="N321" s="733">
        <f t="shared" si="362"/>
        <v>0</v>
      </c>
      <c r="O321" s="733">
        <f t="shared" si="362"/>
        <v>0</v>
      </c>
      <c r="P321" s="733">
        <f t="shared" si="362"/>
        <v>0</v>
      </c>
      <c r="Q321" s="734">
        <f t="shared" si="352"/>
        <v>0</v>
      </c>
      <c r="R321" s="733">
        <f t="shared" si="359"/>
        <v>0</v>
      </c>
      <c r="S321" s="733">
        <f t="shared" si="359"/>
        <v>0</v>
      </c>
      <c r="T321" s="733">
        <f t="shared" si="359"/>
        <v>0</v>
      </c>
      <c r="U321" s="733">
        <f t="shared" si="359"/>
        <v>0</v>
      </c>
    </row>
    <row r="322" spans="2:21" s="119" customFormat="1" ht="19.5" hidden="1" thickBot="1" x14ac:dyDescent="0.35">
      <c r="B322" s="301"/>
      <c r="C322" s="119">
        <f t="shared" si="350"/>
        <v>0</v>
      </c>
      <c r="D322" s="113" t="s">
        <v>120</v>
      </c>
      <c r="E322" s="76" t="s">
        <v>51</v>
      </c>
      <c r="F322" s="733">
        <f t="shared" si="359"/>
        <v>0</v>
      </c>
      <c r="G322" s="733">
        <f t="shared" si="360"/>
        <v>0</v>
      </c>
      <c r="H322" s="733">
        <f t="shared" si="360"/>
        <v>0</v>
      </c>
      <c r="I322" s="733">
        <f t="shared" si="360"/>
        <v>0</v>
      </c>
      <c r="J322" s="733">
        <f t="shared" si="360"/>
        <v>0</v>
      </c>
      <c r="K322" s="733">
        <f t="shared" ref="K322:P322" si="363">K13*$E$312</f>
        <v>0</v>
      </c>
      <c r="L322" s="733">
        <f t="shared" si="363"/>
        <v>0</v>
      </c>
      <c r="M322" s="733">
        <f t="shared" si="363"/>
        <v>0</v>
      </c>
      <c r="N322" s="733">
        <f t="shared" si="363"/>
        <v>0</v>
      </c>
      <c r="O322" s="733">
        <f t="shared" si="363"/>
        <v>0</v>
      </c>
      <c r="P322" s="733">
        <f t="shared" si="363"/>
        <v>0</v>
      </c>
      <c r="Q322" s="734">
        <f t="shared" si="352"/>
        <v>0</v>
      </c>
      <c r="R322" s="733">
        <f t="shared" si="359"/>
        <v>0</v>
      </c>
      <c r="S322" s="733">
        <f t="shared" si="359"/>
        <v>0</v>
      </c>
      <c r="T322" s="733">
        <f t="shared" si="359"/>
        <v>0</v>
      </c>
      <c r="U322" s="733">
        <f t="shared" si="359"/>
        <v>0</v>
      </c>
    </row>
    <row r="323" spans="2:21" s="119" customFormat="1" ht="19.5" hidden="1" thickBot="1" x14ac:dyDescent="0.35">
      <c r="B323" s="301"/>
      <c r="C323" s="119">
        <f t="shared" si="350"/>
        <v>0</v>
      </c>
      <c r="D323" s="113" t="s">
        <v>121</v>
      </c>
      <c r="E323" s="76" t="s">
        <v>50</v>
      </c>
      <c r="F323" s="733">
        <f t="shared" si="359"/>
        <v>0</v>
      </c>
      <c r="G323" s="733">
        <f t="shared" si="360"/>
        <v>0</v>
      </c>
      <c r="H323" s="733">
        <f t="shared" si="360"/>
        <v>0</v>
      </c>
      <c r="I323" s="733">
        <f t="shared" si="360"/>
        <v>0</v>
      </c>
      <c r="J323" s="733">
        <f t="shared" si="360"/>
        <v>0</v>
      </c>
      <c r="K323" s="733">
        <f t="shared" ref="K323:P323" si="364">K14*$E$312</f>
        <v>0</v>
      </c>
      <c r="L323" s="733">
        <f t="shared" si="364"/>
        <v>0</v>
      </c>
      <c r="M323" s="733">
        <f t="shared" si="364"/>
        <v>0</v>
      </c>
      <c r="N323" s="733">
        <f t="shared" si="364"/>
        <v>0</v>
      </c>
      <c r="O323" s="733">
        <f t="shared" si="364"/>
        <v>0</v>
      </c>
      <c r="P323" s="733">
        <f t="shared" si="364"/>
        <v>0</v>
      </c>
      <c r="Q323" s="734">
        <f t="shared" si="352"/>
        <v>0</v>
      </c>
      <c r="R323" s="733">
        <f t="shared" si="359"/>
        <v>0</v>
      </c>
      <c r="S323" s="733">
        <f t="shared" si="359"/>
        <v>0</v>
      </c>
      <c r="T323" s="733">
        <f t="shared" si="359"/>
        <v>0</v>
      </c>
      <c r="U323" s="733">
        <f t="shared" si="359"/>
        <v>0</v>
      </c>
    </row>
    <row r="324" spans="2:21" s="119" customFormat="1" ht="19.5" hidden="1" thickBot="1" x14ac:dyDescent="0.35">
      <c r="B324" s="301"/>
      <c r="C324" s="119">
        <f t="shared" si="350"/>
        <v>0</v>
      </c>
      <c r="D324" s="113" t="s">
        <v>122</v>
      </c>
      <c r="E324" s="76" t="s">
        <v>49</v>
      </c>
      <c r="F324" s="733">
        <f t="shared" si="359"/>
        <v>0</v>
      </c>
      <c r="G324" s="733">
        <f t="shared" si="360"/>
        <v>0</v>
      </c>
      <c r="H324" s="733">
        <f t="shared" si="360"/>
        <v>0</v>
      </c>
      <c r="I324" s="733">
        <f t="shared" si="360"/>
        <v>0</v>
      </c>
      <c r="J324" s="733">
        <f t="shared" si="360"/>
        <v>0</v>
      </c>
      <c r="K324" s="733">
        <f t="shared" ref="K324:P324" si="365">K15*$E$312</f>
        <v>0</v>
      </c>
      <c r="L324" s="733">
        <f t="shared" si="365"/>
        <v>0</v>
      </c>
      <c r="M324" s="733">
        <f t="shared" si="365"/>
        <v>0</v>
      </c>
      <c r="N324" s="733">
        <f t="shared" si="365"/>
        <v>0</v>
      </c>
      <c r="O324" s="733">
        <f t="shared" si="365"/>
        <v>0</v>
      </c>
      <c r="P324" s="733">
        <f t="shared" si="365"/>
        <v>0</v>
      </c>
      <c r="Q324" s="734">
        <f t="shared" si="352"/>
        <v>0</v>
      </c>
      <c r="R324" s="733">
        <f t="shared" si="359"/>
        <v>0</v>
      </c>
      <c r="S324" s="733">
        <f t="shared" si="359"/>
        <v>0</v>
      </c>
      <c r="T324" s="733">
        <f t="shared" si="359"/>
        <v>0</v>
      </c>
      <c r="U324" s="733">
        <f t="shared" si="359"/>
        <v>0</v>
      </c>
    </row>
    <row r="325" spans="2:21" s="119" customFormat="1" ht="19.5" hidden="1" thickBot="1" x14ac:dyDescent="0.35">
      <c r="B325" s="301"/>
      <c r="C325" s="119">
        <f t="shared" si="350"/>
        <v>0</v>
      </c>
      <c r="D325" s="113" t="s">
        <v>123</v>
      </c>
      <c r="E325" s="76" t="s">
        <v>47</v>
      </c>
      <c r="F325" s="733">
        <f t="shared" si="359"/>
        <v>0</v>
      </c>
      <c r="G325" s="733">
        <f t="shared" si="360"/>
        <v>0</v>
      </c>
      <c r="H325" s="733">
        <f t="shared" si="360"/>
        <v>0</v>
      </c>
      <c r="I325" s="733">
        <f t="shared" si="360"/>
        <v>0</v>
      </c>
      <c r="J325" s="733">
        <f t="shared" si="360"/>
        <v>0</v>
      </c>
      <c r="K325" s="733">
        <f t="shared" ref="K325:P325" si="366">K16*$E$312</f>
        <v>0</v>
      </c>
      <c r="L325" s="733">
        <f t="shared" si="366"/>
        <v>0</v>
      </c>
      <c r="M325" s="733">
        <f t="shared" si="366"/>
        <v>0</v>
      </c>
      <c r="N325" s="733">
        <f t="shared" si="366"/>
        <v>0</v>
      </c>
      <c r="O325" s="733">
        <f t="shared" si="366"/>
        <v>0</v>
      </c>
      <c r="P325" s="733">
        <f t="shared" si="366"/>
        <v>0</v>
      </c>
      <c r="Q325" s="734">
        <f t="shared" si="352"/>
        <v>0</v>
      </c>
      <c r="R325" s="733">
        <f t="shared" si="359"/>
        <v>0</v>
      </c>
      <c r="S325" s="733">
        <f t="shared" si="359"/>
        <v>0</v>
      </c>
      <c r="T325" s="733">
        <f t="shared" si="359"/>
        <v>0</v>
      </c>
      <c r="U325" s="733">
        <f t="shared" si="359"/>
        <v>0</v>
      </c>
    </row>
    <row r="326" spans="2:21" s="119" customFormat="1" ht="19.5" hidden="1" thickBot="1" x14ac:dyDescent="0.35">
      <c r="B326" s="301"/>
      <c r="C326" s="119">
        <f t="shared" si="350"/>
        <v>0</v>
      </c>
      <c r="D326" s="114" t="s">
        <v>16</v>
      </c>
      <c r="E326" s="70" t="s">
        <v>77</v>
      </c>
      <c r="F326" s="733">
        <f t="shared" si="359"/>
        <v>0</v>
      </c>
      <c r="G326" s="733">
        <f t="shared" si="360"/>
        <v>0</v>
      </c>
      <c r="H326" s="733">
        <f t="shared" si="360"/>
        <v>0</v>
      </c>
      <c r="I326" s="733">
        <f t="shared" si="360"/>
        <v>0</v>
      </c>
      <c r="J326" s="733">
        <f t="shared" si="360"/>
        <v>0</v>
      </c>
      <c r="K326" s="733">
        <f t="shared" ref="K326:P326" si="367">K17*$E$312</f>
        <v>0</v>
      </c>
      <c r="L326" s="733">
        <f t="shared" si="367"/>
        <v>0</v>
      </c>
      <c r="M326" s="733">
        <f t="shared" si="367"/>
        <v>0</v>
      </c>
      <c r="N326" s="733">
        <f t="shared" si="367"/>
        <v>0</v>
      </c>
      <c r="O326" s="733">
        <f t="shared" si="367"/>
        <v>0</v>
      </c>
      <c r="P326" s="733">
        <f t="shared" si="367"/>
        <v>0</v>
      </c>
      <c r="Q326" s="734">
        <f t="shared" si="352"/>
        <v>0</v>
      </c>
      <c r="R326" s="733">
        <f t="shared" si="359"/>
        <v>0</v>
      </c>
      <c r="S326" s="733">
        <f t="shared" si="359"/>
        <v>0</v>
      </c>
      <c r="T326" s="733">
        <f t="shared" ca="1" si="359"/>
        <v>0</v>
      </c>
      <c r="U326" s="733">
        <f t="shared" ca="1" si="359"/>
        <v>0</v>
      </c>
    </row>
    <row r="327" spans="2:21" s="119" customFormat="1" ht="19.5" hidden="1" thickBot="1" x14ac:dyDescent="0.35">
      <c r="B327" s="301"/>
      <c r="C327" s="119">
        <f t="shared" si="350"/>
        <v>0</v>
      </c>
      <c r="D327" s="115" t="s">
        <v>124</v>
      </c>
      <c r="E327" s="116" t="s">
        <v>78</v>
      </c>
      <c r="F327" s="742">
        <f t="shared" ref="F327:U327" si="368">SUBTOTAL(9,F315:F326)</f>
        <v>0</v>
      </c>
      <c r="G327" s="742">
        <f>SUBTOTAL(9,G315:G326)</f>
        <v>0</v>
      </c>
      <c r="H327" s="742">
        <f>SUBTOTAL(9,H315:H326)</f>
        <v>0</v>
      </c>
      <c r="I327" s="742">
        <f>SUBTOTAL(9,I315:I326)</f>
        <v>0</v>
      </c>
      <c r="J327" s="742">
        <f>SUBTOTAL(9,J315:J326)</f>
        <v>0</v>
      </c>
      <c r="K327" s="742">
        <f t="shared" ref="K327:P327" si="369">SUBTOTAL(9,K315:K326)</f>
        <v>0</v>
      </c>
      <c r="L327" s="742">
        <f t="shared" si="369"/>
        <v>0</v>
      </c>
      <c r="M327" s="742">
        <f t="shared" si="369"/>
        <v>0</v>
      </c>
      <c r="N327" s="742">
        <f t="shared" si="369"/>
        <v>0</v>
      </c>
      <c r="O327" s="742">
        <f t="shared" si="369"/>
        <v>0</v>
      </c>
      <c r="P327" s="742">
        <f t="shared" si="369"/>
        <v>0</v>
      </c>
      <c r="Q327" s="743">
        <f>SUBTOTAL(9,Q315:Q326)</f>
        <v>0</v>
      </c>
      <c r="R327" s="742">
        <f t="shared" si="368"/>
        <v>0</v>
      </c>
      <c r="S327" s="742">
        <f t="shared" si="368"/>
        <v>0</v>
      </c>
      <c r="T327" s="742">
        <f t="shared" si="368"/>
        <v>0</v>
      </c>
      <c r="U327" s="742">
        <f t="shared" si="368"/>
        <v>0</v>
      </c>
    </row>
    <row r="328" spans="2:21" s="119" customFormat="1" ht="19.5" hidden="1" thickBot="1" x14ac:dyDescent="0.3">
      <c r="B328" s="340"/>
      <c r="D328" s="117"/>
      <c r="E328" s="117"/>
      <c r="F328" s="118"/>
      <c r="G328" s="118"/>
      <c r="I328" s="118"/>
      <c r="J328" s="118"/>
      <c r="K328" s="118"/>
      <c r="L328" s="118"/>
      <c r="O328" s="118"/>
      <c r="Q328" s="120"/>
      <c r="R328" s="117"/>
      <c r="S328" s="118"/>
      <c r="U328" s="118"/>
    </row>
    <row r="329" spans="2:21" s="119" customFormat="1" ht="75.75" hidden="1" thickBot="1" x14ac:dyDescent="0.3">
      <c r="B329" s="301"/>
      <c r="C329" s="119">
        <f>IF($E329&gt;0,1,0)</f>
        <v>0</v>
      </c>
      <c r="D329" s="96" t="str">
        <f>A22</f>
        <v>Genesee</v>
      </c>
      <c r="E329" s="166">
        <f>IFERROR(SUMIF(A:A,D329,B:B),0)</f>
        <v>0</v>
      </c>
      <c r="F329" s="98" t="s">
        <v>356</v>
      </c>
      <c r="G329" s="98" t="s">
        <v>373</v>
      </c>
      <c r="H329" s="98" t="s">
        <v>358</v>
      </c>
      <c r="I329" s="98" t="s">
        <v>109</v>
      </c>
      <c r="J329" s="98" t="s">
        <v>111</v>
      </c>
      <c r="K329" s="98" t="s">
        <v>469</v>
      </c>
      <c r="L329" s="98" t="s">
        <v>470</v>
      </c>
      <c r="M329" s="98" t="s">
        <v>357</v>
      </c>
      <c r="N329" s="509" t="s">
        <v>471</v>
      </c>
      <c r="O329" s="98" t="s">
        <v>472</v>
      </c>
      <c r="P329" s="98" t="s">
        <v>110</v>
      </c>
      <c r="Q329" s="99" t="s">
        <v>116</v>
      </c>
      <c r="R329" s="98" t="s">
        <v>112</v>
      </c>
      <c r="S329" s="98" t="s">
        <v>113</v>
      </c>
      <c r="T329" s="98" t="s">
        <v>114</v>
      </c>
      <c r="U329" s="98" t="s">
        <v>115</v>
      </c>
    </row>
    <row r="330" spans="2:21" s="119" customFormat="1" ht="19.5" hidden="1" thickBot="1" x14ac:dyDescent="0.3">
      <c r="B330" s="301"/>
      <c r="C330" s="119">
        <f>C329</f>
        <v>0</v>
      </c>
      <c r="D330" s="101"/>
      <c r="E330" s="102"/>
      <c r="F330" s="84" t="s">
        <v>57</v>
      </c>
      <c r="G330" s="84" t="s">
        <v>56</v>
      </c>
      <c r="H330" s="84" t="s">
        <v>55</v>
      </c>
      <c r="I330" s="84" t="s">
        <v>54</v>
      </c>
      <c r="J330" s="84" t="s">
        <v>53</v>
      </c>
      <c r="K330" s="84" t="s">
        <v>52</v>
      </c>
      <c r="L330" s="84" t="s">
        <v>51</v>
      </c>
      <c r="M330" s="84" t="s">
        <v>50</v>
      </c>
      <c r="N330" s="84" t="s">
        <v>49</v>
      </c>
      <c r="O330" s="84" t="s">
        <v>47</v>
      </c>
      <c r="P330" s="84" t="s">
        <v>77</v>
      </c>
      <c r="Q330" s="83" t="s">
        <v>78</v>
      </c>
      <c r="R330" s="84" t="s">
        <v>79</v>
      </c>
      <c r="S330" s="84" t="s">
        <v>81</v>
      </c>
      <c r="T330" s="84" t="s">
        <v>83</v>
      </c>
      <c r="U330" s="84" t="s">
        <v>85</v>
      </c>
    </row>
    <row r="331" spans="2:21" s="119" customFormat="1" ht="19.5" hidden="1" thickBot="1" x14ac:dyDescent="0.35">
      <c r="B331" s="301"/>
      <c r="C331" s="119">
        <f t="shared" ref="C331:C344" si="370">C330</f>
        <v>0</v>
      </c>
      <c r="D331" s="103" t="s">
        <v>26</v>
      </c>
      <c r="E331" s="104"/>
      <c r="F331" s="745"/>
      <c r="G331" s="745"/>
      <c r="H331" s="746"/>
      <c r="I331" s="745"/>
      <c r="J331" s="745"/>
      <c r="K331" s="745"/>
      <c r="L331" s="745"/>
      <c r="M331" s="746"/>
      <c r="N331" s="746"/>
      <c r="O331" s="745"/>
      <c r="P331" s="746"/>
      <c r="Q331" s="747"/>
      <c r="R331" s="748"/>
      <c r="S331" s="745"/>
      <c r="T331" s="746"/>
      <c r="U331" s="749"/>
    </row>
    <row r="332" spans="2:21" s="119" customFormat="1" ht="19.5" hidden="1" thickBot="1" x14ac:dyDescent="0.3">
      <c r="B332" s="301"/>
      <c r="C332" s="119">
        <f t="shared" si="370"/>
        <v>0</v>
      </c>
      <c r="D332" s="109" t="s">
        <v>93</v>
      </c>
      <c r="E332" s="76" t="s">
        <v>57</v>
      </c>
      <c r="F332" s="733">
        <f>F6*$E$329</f>
        <v>0</v>
      </c>
      <c r="G332" s="733">
        <f>G6*$E$329</f>
        <v>0</v>
      </c>
      <c r="H332" s="733">
        <f>H6*$E$329</f>
        <v>0</v>
      </c>
      <c r="I332" s="733">
        <f>I6*$E$329</f>
        <v>0</v>
      </c>
      <c r="J332" s="733">
        <f>J6*$E$329</f>
        <v>0</v>
      </c>
      <c r="K332" s="733">
        <f t="shared" ref="K332:P332" si="371">K6*$E$329</f>
        <v>0</v>
      </c>
      <c r="L332" s="733">
        <f t="shared" si="371"/>
        <v>0</v>
      </c>
      <c r="M332" s="733">
        <f t="shared" si="371"/>
        <v>0</v>
      </c>
      <c r="N332" s="733">
        <f t="shared" si="371"/>
        <v>0</v>
      </c>
      <c r="O332" s="733">
        <f t="shared" si="371"/>
        <v>0</v>
      </c>
      <c r="P332" s="733">
        <f t="shared" si="371"/>
        <v>0</v>
      </c>
      <c r="Q332" s="734">
        <f t="shared" ref="Q332:Q343" si="372">SUM(F332:P332)</f>
        <v>0</v>
      </c>
      <c r="R332" s="733">
        <f t="shared" ref="R332:U332" si="373">R6*$E$329</f>
        <v>0</v>
      </c>
      <c r="S332" s="733">
        <f t="shared" si="373"/>
        <v>0</v>
      </c>
      <c r="T332" s="733">
        <f t="shared" ca="1" si="373"/>
        <v>0</v>
      </c>
      <c r="U332" s="733">
        <f t="shared" ca="1" si="373"/>
        <v>0</v>
      </c>
    </row>
    <row r="333" spans="2:21" s="119" customFormat="1" ht="19.5" hidden="1" thickBot="1" x14ac:dyDescent="0.3">
      <c r="B333" s="301"/>
      <c r="C333" s="119">
        <f t="shared" si="370"/>
        <v>0</v>
      </c>
      <c r="D333" s="110" t="s">
        <v>92</v>
      </c>
      <c r="E333" s="76" t="s">
        <v>56</v>
      </c>
      <c r="F333" s="733">
        <f t="shared" ref="F333:U335" si="374">F7*$E$329</f>
        <v>0</v>
      </c>
      <c r="G333" s="733">
        <f t="shared" ref="G333:J335" si="375">G7*$E$329</f>
        <v>0</v>
      </c>
      <c r="H333" s="733">
        <f t="shared" si="375"/>
        <v>0</v>
      </c>
      <c r="I333" s="733">
        <f t="shared" si="375"/>
        <v>0</v>
      </c>
      <c r="J333" s="733">
        <f t="shared" si="375"/>
        <v>0</v>
      </c>
      <c r="K333" s="733">
        <f t="shared" ref="K333:P333" si="376">K7*$E$329</f>
        <v>0</v>
      </c>
      <c r="L333" s="733">
        <f t="shared" si="376"/>
        <v>0</v>
      </c>
      <c r="M333" s="733">
        <f t="shared" si="376"/>
        <v>0</v>
      </c>
      <c r="N333" s="733">
        <f t="shared" si="376"/>
        <v>0</v>
      </c>
      <c r="O333" s="733">
        <f t="shared" si="376"/>
        <v>0</v>
      </c>
      <c r="P333" s="733">
        <f t="shared" si="376"/>
        <v>0</v>
      </c>
      <c r="Q333" s="734">
        <f t="shared" si="372"/>
        <v>0</v>
      </c>
      <c r="R333" s="733">
        <f t="shared" si="374"/>
        <v>0</v>
      </c>
      <c r="S333" s="733">
        <f t="shared" si="374"/>
        <v>0</v>
      </c>
      <c r="T333" s="733">
        <f t="shared" si="374"/>
        <v>0</v>
      </c>
      <c r="U333" s="733">
        <f t="shared" si="374"/>
        <v>0</v>
      </c>
    </row>
    <row r="334" spans="2:21" s="119" customFormat="1" ht="19.5" hidden="1" thickBot="1" x14ac:dyDescent="0.3">
      <c r="B334" s="301"/>
      <c r="C334" s="119">
        <f t="shared" si="370"/>
        <v>0</v>
      </c>
      <c r="D334" s="110" t="s">
        <v>91</v>
      </c>
      <c r="E334" s="76" t="s">
        <v>55</v>
      </c>
      <c r="F334" s="733">
        <f t="shared" si="374"/>
        <v>0</v>
      </c>
      <c r="G334" s="733">
        <f t="shared" si="375"/>
        <v>0</v>
      </c>
      <c r="H334" s="733">
        <f t="shared" si="375"/>
        <v>0</v>
      </c>
      <c r="I334" s="733">
        <f t="shared" si="375"/>
        <v>0</v>
      </c>
      <c r="J334" s="733">
        <f t="shared" si="375"/>
        <v>0</v>
      </c>
      <c r="K334" s="733">
        <f t="shared" ref="K334:P334" si="377">K8*$E$329</f>
        <v>0</v>
      </c>
      <c r="L334" s="733">
        <f t="shared" si="377"/>
        <v>0</v>
      </c>
      <c r="M334" s="733">
        <f t="shared" si="377"/>
        <v>0</v>
      </c>
      <c r="N334" s="733">
        <f t="shared" si="377"/>
        <v>0</v>
      </c>
      <c r="O334" s="733">
        <f t="shared" si="377"/>
        <v>0</v>
      </c>
      <c r="P334" s="733">
        <f t="shared" si="377"/>
        <v>0</v>
      </c>
      <c r="Q334" s="734">
        <f t="shared" si="372"/>
        <v>0</v>
      </c>
      <c r="R334" s="733">
        <f t="shared" si="374"/>
        <v>0</v>
      </c>
      <c r="S334" s="733">
        <f t="shared" si="374"/>
        <v>0</v>
      </c>
      <c r="T334" s="733">
        <f t="shared" ca="1" si="374"/>
        <v>0</v>
      </c>
      <c r="U334" s="733">
        <f t="shared" ca="1" si="374"/>
        <v>0</v>
      </c>
    </row>
    <row r="335" spans="2:21" s="119" customFormat="1" ht="19.5" hidden="1" thickBot="1" x14ac:dyDescent="0.3">
      <c r="B335" s="301"/>
      <c r="C335" s="119">
        <f t="shared" si="370"/>
        <v>0</v>
      </c>
      <c r="D335" s="111" t="s">
        <v>117</v>
      </c>
      <c r="E335" s="76" t="s">
        <v>54</v>
      </c>
      <c r="F335" s="733">
        <f t="shared" si="374"/>
        <v>0</v>
      </c>
      <c r="G335" s="733">
        <f t="shared" si="375"/>
        <v>0</v>
      </c>
      <c r="H335" s="733">
        <f t="shared" si="375"/>
        <v>0</v>
      </c>
      <c r="I335" s="733">
        <f t="shared" si="375"/>
        <v>0</v>
      </c>
      <c r="J335" s="733">
        <f t="shared" si="375"/>
        <v>0</v>
      </c>
      <c r="K335" s="733">
        <f t="shared" ref="K335:P335" si="378">K9*$E$329</f>
        <v>0</v>
      </c>
      <c r="L335" s="733">
        <f t="shared" si="378"/>
        <v>0</v>
      </c>
      <c r="M335" s="733">
        <f t="shared" si="378"/>
        <v>0</v>
      </c>
      <c r="N335" s="733">
        <f t="shared" si="378"/>
        <v>0</v>
      </c>
      <c r="O335" s="733">
        <f t="shared" si="378"/>
        <v>0</v>
      </c>
      <c r="P335" s="733">
        <f t="shared" si="378"/>
        <v>0</v>
      </c>
      <c r="Q335" s="734">
        <f t="shared" si="372"/>
        <v>0</v>
      </c>
      <c r="R335" s="733">
        <f t="shared" si="374"/>
        <v>0</v>
      </c>
      <c r="S335" s="733">
        <f t="shared" si="374"/>
        <v>0</v>
      </c>
      <c r="T335" s="733">
        <f t="shared" si="374"/>
        <v>0</v>
      </c>
      <c r="U335" s="733">
        <f t="shared" si="374"/>
        <v>0</v>
      </c>
    </row>
    <row r="336" spans="2:21" s="119" customFormat="1" ht="19.5" hidden="1" thickBot="1" x14ac:dyDescent="0.35">
      <c r="B336" s="301"/>
      <c r="C336" s="119">
        <f t="shared" si="370"/>
        <v>0</v>
      </c>
      <c r="D336" s="112" t="s">
        <v>31</v>
      </c>
      <c r="E336" s="76"/>
      <c r="F336" s="750"/>
      <c r="G336" s="735"/>
      <c r="H336" s="736"/>
      <c r="I336" s="735"/>
      <c r="J336" s="735"/>
      <c r="K336" s="735"/>
      <c r="L336" s="735"/>
      <c r="M336" s="735"/>
      <c r="N336" s="735"/>
      <c r="O336" s="735"/>
      <c r="P336" s="735"/>
      <c r="Q336" s="734">
        <f t="shared" si="372"/>
        <v>0</v>
      </c>
      <c r="R336" s="739"/>
      <c r="S336" s="735"/>
      <c r="T336" s="740"/>
      <c r="U336" s="741"/>
    </row>
    <row r="337" spans="2:21" s="119" customFormat="1" ht="19.5" hidden="1" thickBot="1" x14ac:dyDescent="0.35">
      <c r="B337" s="301"/>
      <c r="C337" s="119">
        <f t="shared" si="370"/>
        <v>0</v>
      </c>
      <c r="D337" s="113" t="s">
        <v>118</v>
      </c>
      <c r="E337" s="76" t="s">
        <v>53</v>
      </c>
      <c r="F337" s="733">
        <f t="shared" ref="F337:U343" si="379">F11*$E$329</f>
        <v>0</v>
      </c>
      <c r="G337" s="733">
        <f t="shared" ref="G337:J343" si="380">G11*$E$329</f>
        <v>0</v>
      </c>
      <c r="H337" s="733">
        <f t="shared" si="380"/>
        <v>0</v>
      </c>
      <c r="I337" s="733">
        <f t="shared" si="380"/>
        <v>0</v>
      </c>
      <c r="J337" s="733">
        <f t="shared" si="380"/>
        <v>0</v>
      </c>
      <c r="K337" s="733">
        <f t="shared" ref="K337:P337" si="381">K11*$E$329</f>
        <v>0</v>
      </c>
      <c r="L337" s="733">
        <f t="shared" si="381"/>
        <v>0</v>
      </c>
      <c r="M337" s="733">
        <f t="shared" si="381"/>
        <v>0</v>
      </c>
      <c r="N337" s="733">
        <f t="shared" si="381"/>
        <v>0</v>
      </c>
      <c r="O337" s="733">
        <f t="shared" si="381"/>
        <v>0</v>
      </c>
      <c r="P337" s="733">
        <f t="shared" si="381"/>
        <v>0</v>
      </c>
      <c r="Q337" s="734">
        <f t="shared" si="372"/>
        <v>0</v>
      </c>
      <c r="R337" s="733">
        <f t="shared" si="379"/>
        <v>0</v>
      </c>
      <c r="S337" s="733">
        <f t="shared" si="379"/>
        <v>0</v>
      </c>
      <c r="T337" s="733">
        <f t="shared" si="379"/>
        <v>0</v>
      </c>
      <c r="U337" s="733">
        <f t="shared" si="379"/>
        <v>0</v>
      </c>
    </row>
    <row r="338" spans="2:21" s="119" customFormat="1" ht="19.5" hidden="1" thickBot="1" x14ac:dyDescent="0.35">
      <c r="B338" s="301"/>
      <c r="C338" s="119">
        <f t="shared" si="370"/>
        <v>0</v>
      </c>
      <c r="D338" s="113" t="s">
        <v>119</v>
      </c>
      <c r="E338" s="76" t="s">
        <v>52</v>
      </c>
      <c r="F338" s="733">
        <f t="shared" si="379"/>
        <v>0</v>
      </c>
      <c r="G338" s="733">
        <f t="shared" si="380"/>
        <v>0</v>
      </c>
      <c r="H338" s="733">
        <f t="shared" si="380"/>
        <v>0</v>
      </c>
      <c r="I338" s="733">
        <f t="shared" si="380"/>
        <v>0</v>
      </c>
      <c r="J338" s="733">
        <f t="shared" si="380"/>
        <v>0</v>
      </c>
      <c r="K338" s="733">
        <f t="shared" ref="K338:P338" si="382">K12*$E$329</f>
        <v>0</v>
      </c>
      <c r="L338" s="733">
        <f t="shared" si="382"/>
        <v>0</v>
      </c>
      <c r="M338" s="733">
        <f t="shared" si="382"/>
        <v>0</v>
      </c>
      <c r="N338" s="733">
        <f t="shared" si="382"/>
        <v>0</v>
      </c>
      <c r="O338" s="733">
        <f t="shared" si="382"/>
        <v>0</v>
      </c>
      <c r="P338" s="733">
        <f t="shared" si="382"/>
        <v>0</v>
      </c>
      <c r="Q338" s="734">
        <f t="shared" si="372"/>
        <v>0</v>
      </c>
      <c r="R338" s="733">
        <f t="shared" si="379"/>
        <v>0</v>
      </c>
      <c r="S338" s="733">
        <f t="shared" si="379"/>
        <v>0</v>
      </c>
      <c r="T338" s="733">
        <f t="shared" si="379"/>
        <v>0</v>
      </c>
      <c r="U338" s="733">
        <f t="shared" si="379"/>
        <v>0</v>
      </c>
    </row>
    <row r="339" spans="2:21" s="119" customFormat="1" ht="19.5" hidden="1" thickBot="1" x14ac:dyDescent="0.35">
      <c r="B339" s="301"/>
      <c r="C339" s="119">
        <f t="shared" si="370"/>
        <v>0</v>
      </c>
      <c r="D339" s="113" t="s">
        <v>120</v>
      </c>
      <c r="E339" s="76" t="s">
        <v>51</v>
      </c>
      <c r="F339" s="733">
        <f t="shared" si="379"/>
        <v>0</v>
      </c>
      <c r="G339" s="733">
        <f t="shared" si="380"/>
        <v>0</v>
      </c>
      <c r="H339" s="733">
        <f t="shared" si="380"/>
        <v>0</v>
      </c>
      <c r="I339" s="733">
        <f t="shared" si="380"/>
        <v>0</v>
      </c>
      <c r="J339" s="733">
        <f t="shared" si="380"/>
        <v>0</v>
      </c>
      <c r="K339" s="733">
        <f t="shared" ref="K339:P339" si="383">K13*$E$329</f>
        <v>0</v>
      </c>
      <c r="L339" s="733">
        <f t="shared" si="383"/>
        <v>0</v>
      </c>
      <c r="M339" s="733">
        <f t="shared" si="383"/>
        <v>0</v>
      </c>
      <c r="N339" s="733">
        <f t="shared" si="383"/>
        <v>0</v>
      </c>
      <c r="O339" s="733">
        <f t="shared" si="383"/>
        <v>0</v>
      </c>
      <c r="P339" s="733">
        <f t="shared" si="383"/>
        <v>0</v>
      </c>
      <c r="Q339" s="734">
        <f t="shared" si="372"/>
        <v>0</v>
      </c>
      <c r="R339" s="733">
        <f t="shared" si="379"/>
        <v>0</v>
      </c>
      <c r="S339" s="733">
        <f t="shared" si="379"/>
        <v>0</v>
      </c>
      <c r="T339" s="733">
        <f t="shared" si="379"/>
        <v>0</v>
      </c>
      <c r="U339" s="733">
        <f t="shared" si="379"/>
        <v>0</v>
      </c>
    </row>
    <row r="340" spans="2:21" s="119" customFormat="1" ht="19.5" hidden="1" thickBot="1" x14ac:dyDescent="0.35">
      <c r="B340" s="301"/>
      <c r="C340" s="119">
        <f t="shared" si="370"/>
        <v>0</v>
      </c>
      <c r="D340" s="113" t="s">
        <v>121</v>
      </c>
      <c r="E340" s="76" t="s">
        <v>50</v>
      </c>
      <c r="F340" s="733">
        <f t="shared" si="379"/>
        <v>0</v>
      </c>
      <c r="G340" s="733">
        <f t="shared" si="380"/>
        <v>0</v>
      </c>
      <c r="H340" s="733">
        <f t="shared" si="380"/>
        <v>0</v>
      </c>
      <c r="I340" s="733">
        <f t="shared" si="380"/>
        <v>0</v>
      </c>
      <c r="J340" s="733">
        <f t="shared" si="380"/>
        <v>0</v>
      </c>
      <c r="K340" s="733">
        <f t="shared" ref="K340:P340" si="384">K14*$E$329</f>
        <v>0</v>
      </c>
      <c r="L340" s="733">
        <f t="shared" si="384"/>
        <v>0</v>
      </c>
      <c r="M340" s="733">
        <f t="shared" si="384"/>
        <v>0</v>
      </c>
      <c r="N340" s="733">
        <f t="shared" si="384"/>
        <v>0</v>
      </c>
      <c r="O340" s="733">
        <f t="shared" si="384"/>
        <v>0</v>
      </c>
      <c r="P340" s="733">
        <f t="shared" si="384"/>
        <v>0</v>
      </c>
      <c r="Q340" s="734">
        <f t="shared" si="372"/>
        <v>0</v>
      </c>
      <c r="R340" s="733">
        <f t="shared" si="379"/>
        <v>0</v>
      </c>
      <c r="S340" s="733">
        <f t="shared" si="379"/>
        <v>0</v>
      </c>
      <c r="T340" s="733">
        <f t="shared" si="379"/>
        <v>0</v>
      </c>
      <c r="U340" s="733">
        <f t="shared" si="379"/>
        <v>0</v>
      </c>
    </row>
    <row r="341" spans="2:21" s="119" customFormat="1" ht="19.5" hidden="1" thickBot="1" x14ac:dyDescent="0.35">
      <c r="B341" s="301"/>
      <c r="C341" s="119">
        <f t="shared" si="370"/>
        <v>0</v>
      </c>
      <c r="D341" s="113" t="s">
        <v>122</v>
      </c>
      <c r="E341" s="76" t="s">
        <v>49</v>
      </c>
      <c r="F341" s="733">
        <f t="shared" si="379"/>
        <v>0</v>
      </c>
      <c r="G341" s="733">
        <f t="shared" si="380"/>
        <v>0</v>
      </c>
      <c r="H341" s="733">
        <f t="shared" si="380"/>
        <v>0</v>
      </c>
      <c r="I341" s="733">
        <f t="shared" si="380"/>
        <v>0</v>
      </c>
      <c r="J341" s="733">
        <f t="shared" si="380"/>
        <v>0</v>
      </c>
      <c r="K341" s="733">
        <f t="shared" ref="K341:P341" si="385">K15*$E$329</f>
        <v>0</v>
      </c>
      <c r="L341" s="733">
        <f t="shared" si="385"/>
        <v>0</v>
      </c>
      <c r="M341" s="733">
        <f t="shared" si="385"/>
        <v>0</v>
      </c>
      <c r="N341" s="733">
        <f t="shared" si="385"/>
        <v>0</v>
      </c>
      <c r="O341" s="733">
        <f t="shared" si="385"/>
        <v>0</v>
      </c>
      <c r="P341" s="733">
        <f t="shared" si="385"/>
        <v>0</v>
      </c>
      <c r="Q341" s="734">
        <f t="shared" si="372"/>
        <v>0</v>
      </c>
      <c r="R341" s="733">
        <f t="shared" si="379"/>
        <v>0</v>
      </c>
      <c r="S341" s="733">
        <f t="shared" si="379"/>
        <v>0</v>
      </c>
      <c r="T341" s="733">
        <f t="shared" si="379"/>
        <v>0</v>
      </c>
      <c r="U341" s="733">
        <f t="shared" si="379"/>
        <v>0</v>
      </c>
    </row>
    <row r="342" spans="2:21" s="119" customFormat="1" ht="19.5" hidden="1" thickBot="1" x14ac:dyDescent="0.35">
      <c r="B342" s="301"/>
      <c r="C342" s="119">
        <f t="shared" si="370"/>
        <v>0</v>
      </c>
      <c r="D342" s="113" t="s">
        <v>123</v>
      </c>
      <c r="E342" s="76" t="s">
        <v>47</v>
      </c>
      <c r="F342" s="733">
        <f t="shared" si="379"/>
        <v>0</v>
      </c>
      <c r="G342" s="733">
        <f t="shared" si="380"/>
        <v>0</v>
      </c>
      <c r="H342" s="733">
        <f t="shared" si="380"/>
        <v>0</v>
      </c>
      <c r="I342" s="733">
        <f t="shared" si="380"/>
        <v>0</v>
      </c>
      <c r="J342" s="733">
        <f t="shared" si="380"/>
        <v>0</v>
      </c>
      <c r="K342" s="733">
        <f t="shared" ref="K342:P342" si="386">K16*$E$329</f>
        <v>0</v>
      </c>
      <c r="L342" s="733">
        <f t="shared" si="386"/>
        <v>0</v>
      </c>
      <c r="M342" s="733">
        <f t="shared" si="386"/>
        <v>0</v>
      </c>
      <c r="N342" s="733">
        <f t="shared" si="386"/>
        <v>0</v>
      </c>
      <c r="O342" s="733">
        <f t="shared" si="386"/>
        <v>0</v>
      </c>
      <c r="P342" s="733">
        <f t="shared" si="386"/>
        <v>0</v>
      </c>
      <c r="Q342" s="734">
        <f t="shared" si="372"/>
        <v>0</v>
      </c>
      <c r="R342" s="733">
        <f t="shared" si="379"/>
        <v>0</v>
      </c>
      <c r="S342" s="733">
        <f t="shared" si="379"/>
        <v>0</v>
      </c>
      <c r="T342" s="733">
        <f t="shared" si="379"/>
        <v>0</v>
      </c>
      <c r="U342" s="733">
        <f t="shared" si="379"/>
        <v>0</v>
      </c>
    </row>
    <row r="343" spans="2:21" s="119" customFormat="1" ht="19.5" hidden="1" thickBot="1" x14ac:dyDescent="0.35">
      <c r="B343" s="301"/>
      <c r="C343" s="119">
        <f t="shared" si="370"/>
        <v>0</v>
      </c>
      <c r="D343" s="114" t="s">
        <v>16</v>
      </c>
      <c r="E343" s="70" t="s">
        <v>77</v>
      </c>
      <c r="F343" s="733">
        <f t="shared" si="379"/>
        <v>0</v>
      </c>
      <c r="G343" s="733">
        <f t="shared" si="380"/>
        <v>0</v>
      </c>
      <c r="H343" s="733">
        <f t="shared" si="380"/>
        <v>0</v>
      </c>
      <c r="I343" s="733">
        <f t="shared" si="380"/>
        <v>0</v>
      </c>
      <c r="J343" s="733">
        <f t="shared" si="380"/>
        <v>0</v>
      </c>
      <c r="K343" s="733">
        <f t="shared" ref="K343:P343" si="387">K17*$E$329</f>
        <v>0</v>
      </c>
      <c r="L343" s="733">
        <f t="shared" si="387"/>
        <v>0</v>
      </c>
      <c r="M343" s="733">
        <f t="shared" si="387"/>
        <v>0</v>
      </c>
      <c r="N343" s="733">
        <f t="shared" si="387"/>
        <v>0</v>
      </c>
      <c r="O343" s="733">
        <f t="shared" si="387"/>
        <v>0</v>
      </c>
      <c r="P343" s="733">
        <f t="shared" si="387"/>
        <v>0</v>
      </c>
      <c r="Q343" s="734">
        <f t="shared" si="372"/>
        <v>0</v>
      </c>
      <c r="R343" s="733">
        <f t="shared" si="379"/>
        <v>0</v>
      </c>
      <c r="S343" s="733">
        <f t="shared" si="379"/>
        <v>0</v>
      </c>
      <c r="T343" s="733">
        <f t="shared" ca="1" si="379"/>
        <v>0</v>
      </c>
      <c r="U343" s="733">
        <f t="shared" ca="1" si="379"/>
        <v>0</v>
      </c>
    </row>
    <row r="344" spans="2:21" s="119" customFormat="1" ht="19.5" hidden="1" thickBot="1" x14ac:dyDescent="0.35">
      <c r="B344" s="301"/>
      <c r="C344" s="119">
        <f t="shared" si="370"/>
        <v>0</v>
      </c>
      <c r="D344" s="115" t="s">
        <v>124</v>
      </c>
      <c r="E344" s="116" t="s">
        <v>78</v>
      </c>
      <c r="F344" s="742">
        <f t="shared" ref="F344:U344" si="388">SUBTOTAL(9,F332:F343)</f>
        <v>0</v>
      </c>
      <c r="G344" s="742">
        <f>SUBTOTAL(9,G332:G343)</f>
        <v>0</v>
      </c>
      <c r="H344" s="742">
        <f>SUBTOTAL(9,H332:H343)</f>
        <v>0</v>
      </c>
      <c r="I344" s="742">
        <f>SUBTOTAL(9,I332:I343)</f>
        <v>0</v>
      </c>
      <c r="J344" s="742">
        <f>SUBTOTAL(9,J332:J343)</f>
        <v>0</v>
      </c>
      <c r="K344" s="742">
        <f t="shared" ref="K344:P344" si="389">SUBTOTAL(9,K332:K343)</f>
        <v>0</v>
      </c>
      <c r="L344" s="742">
        <f t="shared" si="389"/>
        <v>0</v>
      </c>
      <c r="M344" s="742">
        <f t="shared" si="389"/>
        <v>0</v>
      </c>
      <c r="N344" s="742">
        <f t="shared" si="389"/>
        <v>0</v>
      </c>
      <c r="O344" s="742">
        <f t="shared" si="389"/>
        <v>0</v>
      </c>
      <c r="P344" s="742">
        <f t="shared" si="389"/>
        <v>0</v>
      </c>
      <c r="Q344" s="743">
        <f>SUBTOTAL(9,Q332:Q343)</f>
        <v>0</v>
      </c>
      <c r="R344" s="742">
        <f t="shared" si="388"/>
        <v>0</v>
      </c>
      <c r="S344" s="742">
        <f t="shared" si="388"/>
        <v>0</v>
      </c>
      <c r="T344" s="742">
        <f t="shared" si="388"/>
        <v>0</v>
      </c>
      <c r="U344" s="742">
        <f t="shared" si="388"/>
        <v>0</v>
      </c>
    </row>
    <row r="345" spans="2:21" s="119" customFormat="1" ht="19.5" hidden="1" thickBot="1" x14ac:dyDescent="0.3">
      <c r="B345" s="340"/>
      <c r="D345" s="117"/>
      <c r="E345" s="117"/>
      <c r="F345" s="118"/>
      <c r="G345" s="118"/>
      <c r="I345" s="118"/>
      <c r="J345" s="118"/>
      <c r="K345" s="118"/>
      <c r="L345" s="118"/>
      <c r="O345" s="118"/>
      <c r="Q345" s="120"/>
      <c r="R345" s="117"/>
      <c r="S345" s="118"/>
      <c r="U345" s="118"/>
    </row>
    <row r="346" spans="2:21" s="119" customFormat="1" ht="75.75" hidden="1" thickBot="1" x14ac:dyDescent="0.3">
      <c r="B346" s="301"/>
      <c r="C346" s="119">
        <f>IF($E346&gt;0,1,0)</f>
        <v>0</v>
      </c>
      <c r="D346" s="96" t="str">
        <f>A23</f>
        <v>Greene</v>
      </c>
      <c r="E346" s="166">
        <f>IFERROR(SUMIF(A:A,D346,B:B),0)</f>
        <v>0</v>
      </c>
      <c r="F346" s="98" t="s">
        <v>356</v>
      </c>
      <c r="G346" s="98" t="s">
        <v>373</v>
      </c>
      <c r="H346" s="98" t="s">
        <v>358</v>
      </c>
      <c r="I346" s="98" t="s">
        <v>109</v>
      </c>
      <c r="J346" s="98" t="s">
        <v>111</v>
      </c>
      <c r="K346" s="98" t="s">
        <v>469</v>
      </c>
      <c r="L346" s="98" t="s">
        <v>470</v>
      </c>
      <c r="M346" s="98" t="s">
        <v>357</v>
      </c>
      <c r="N346" s="509" t="s">
        <v>471</v>
      </c>
      <c r="O346" s="98" t="s">
        <v>472</v>
      </c>
      <c r="P346" s="98" t="s">
        <v>110</v>
      </c>
      <c r="Q346" s="99" t="s">
        <v>116</v>
      </c>
      <c r="R346" s="98" t="s">
        <v>112</v>
      </c>
      <c r="S346" s="98" t="s">
        <v>113</v>
      </c>
      <c r="T346" s="98" t="s">
        <v>114</v>
      </c>
      <c r="U346" s="98" t="s">
        <v>115</v>
      </c>
    </row>
    <row r="347" spans="2:21" s="119" customFormat="1" ht="19.5" hidden="1" thickBot="1" x14ac:dyDescent="0.3">
      <c r="B347" s="301"/>
      <c r="C347" s="119">
        <f>C346</f>
        <v>0</v>
      </c>
      <c r="D347" s="101"/>
      <c r="E347" s="102"/>
      <c r="F347" s="84" t="s">
        <v>57</v>
      </c>
      <c r="G347" s="84" t="s">
        <v>56</v>
      </c>
      <c r="H347" s="84" t="s">
        <v>55</v>
      </c>
      <c r="I347" s="84" t="s">
        <v>54</v>
      </c>
      <c r="J347" s="84" t="s">
        <v>53</v>
      </c>
      <c r="K347" s="84" t="s">
        <v>52</v>
      </c>
      <c r="L347" s="84" t="s">
        <v>51</v>
      </c>
      <c r="M347" s="84" t="s">
        <v>50</v>
      </c>
      <c r="N347" s="84" t="s">
        <v>49</v>
      </c>
      <c r="O347" s="84" t="s">
        <v>47</v>
      </c>
      <c r="P347" s="84" t="s">
        <v>77</v>
      </c>
      <c r="Q347" s="83" t="s">
        <v>78</v>
      </c>
      <c r="R347" s="84" t="s">
        <v>79</v>
      </c>
      <c r="S347" s="84" t="s">
        <v>81</v>
      </c>
      <c r="T347" s="84" t="s">
        <v>83</v>
      </c>
      <c r="U347" s="84" t="s">
        <v>85</v>
      </c>
    </row>
    <row r="348" spans="2:21" s="119" customFormat="1" ht="19.5" hidden="1" thickBot="1" x14ac:dyDescent="0.35">
      <c r="B348" s="301"/>
      <c r="C348" s="119">
        <f t="shared" ref="C348:C361" si="390">C347</f>
        <v>0</v>
      </c>
      <c r="D348" s="103" t="s">
        <v>26</v>
      </c>
      <c r="E348" s="104"/>
      <c r="F348" s="745"/>
      <c r="G348" s="745"/>
      <c r="H348" s="746"/>
      <c r="I348" s="745"/>
      <c r="J348" s="745"/>
      <c r="K348" s="745"/>
      <c r="L348" s="745"/>
      <c r="M348" s="746"/>
      <c r="N348" s="746"/>
      <c r="O348" s="745"/>
      <c r="P348" s="746"/>
      <c r="Q348" s="747"/>
      <c r="R348" s="748"/>
      <c r="S348" s="745"/>
      <c r="T348" s="746"/>
      <c r="U348" s="749"/>
    </row>
    <row r="349" spans="2:21" s="119" customFormat="1" ht="19.5" hidden="1" thickBot="1" x14ac:dyDescent="0.3">
      <c r="B349" s="301"/>
      <c r="C349" s="119">
        <f t="shared" si="390"/>
        <v>0</v>
      </c>
      <c r="D349" s="109" t="s">
        <v>93</v>
      </c>
      <c r="E349" s="76" t="s">
        <v>57</v>
      </c>
      <c r="F349" s="733">
        <f>F6*$E$346</f>
        <v>0</v>
      </c>
      <c r="G349" s="733">
        <f>G6*$E$346</f>
        <v>0</v>
      </c>
      <c r="H349" s="733">
        <f>H6*$E$346</f>
        <v>0</v>
      </c>
      <c r="I349" s="733">
        <f>I6*$E$346</f>
        <v>0</v>
      </c>
      <c r="J349" s="733">
        <f>J6*$E$346</f>
        <v>0</v>
      </c>
      <c r="K349" s="733">
        <f t="shared" ref="K349:P349" si="391">K6*$E$346</f>
        <v>0</v>
      </c>
      <c r="L349" s="733">
        <f t="shared" si="391"/>
        <v>0</v>
      </c>
      <c r="M349" s="733">
        <f t="shared" si="391"/>
        <v>0</v>
      </c>
      <c r="N349" s="733">
        <f t="shared" si="391"/>
        <v>0</v>
      </c>
      <c r="O349" s="733">
        <f t="shared" si="391"/>
        <v>0</v>
      </c>
      <c r="P349" s="733">
        <f t="shared" si="391"/>
        <v>0</v>
      </c>
      <c r="Q349" s="734">
        <f t="shared" ref="Q349:Q360" si="392">SUM(F349:P349)</f>
        <v>0</v>
      </c>
      <c r="R349" s="733">
        <f t="shared" ref="R349:U349" si="393">R6*$E$346</f>
        <v>0</v>
      </c>
      <c r="S349" s="733">
        <f t="shared" si="393"/>
        <v>0</v>
      </c>
      <c r="T349" s="733">
        <f t="shared" ca="1" si="393"/>
        <v>0</v>
      </c>
      <c r="U349" s="733">
        <f t="shared" ca="1" si="393"/>
        <v>0</v>
      </c>
    </row>
    <row r="350" spans="2:21" s="119" customFormat="1" ht="19.5" hidden="1" thickBot="1" x14ac:dyDescent="0.3">
      <c r="B350" s="301"/>
      <c r="C350" s="119">
        <f t="shared" si="390"/>
        <v>0</v>
      </c>
      <c r="D350" s="110" t="s">
        <v>92</v>
      </c>
      <c r="E350" s="76" t="s">
        <v>56</v>
      </c>
      <c r="F350" s="733">
        <f t="shared" ref="F350:U352" si="394">F7*$E$346</f>
        <v>0</v>
      </c>
      <c r="G350" s="733">
        <f t="shared" ref="G350:J352" si="395">G7*$E$346</f>
        <v>0</v>
      </c>
      <c r="H350" s="733">
        <f t="shared" si="395"/>
        <v>0</v>
      </c>
      <c r="I350" s="733">
        <f t="shared" si="395"/>
        <v>0</v>
      </c>
      <c r="J350" s="733">
        <f t="shared" si="395"/>
        <v>0</v>
      </c>
      <c r="K350" s="733">
        <f t="shared" ref="K350:P350" si="396">K7*$E$346</f>
        <v>0</v>
      </c>
      <c r="L350" s="733">
        <f t="shared" si="396"/>
        <v>0</v>
      </c>
      <c r="M350" s="733">
        <f t="shared" si="396"/>
        <v>0</v>
      </c>
      <c r="N350" s="733">
        <f t="shared" si="396"/>
        <v>0</v>
      </c>
      <c r="O350" s="733">
        <f t="shared" si="396"/>
        <v>0</v>
      </c>
      <c r="P350" s="733">
        <f t="shared" si="396"/>
        <v>0</v>
      </c>
      <c r="Q350" s="734">
        <f t="shared" si="392"/>
        <v>0</v>
      </c>
      <c r="R350" s="733">
        <f t="shared" si="394"/>
        <v>0</v>
      </c>
      <c r="S350" s="733">
        <f t="shared" si="394"/>
        <v>0</v>
      </c>
      <c r="T350" s="733">
        <f t="shared" si="394"/>
        <v>0</v>
      </c>
      <c r="U350" s="733">
        <f t="shared" si="394"/>
        <v>0</v>
      </c>
    </row>
    <row r="351" spans="2:21" s="119" customFormat="1" ht="19.5" hidden="1" thickBot="1" x14ac:dyDescent="0.3">
      <c r="B351" s="301"/>
      <c r="C351" s="119">
        <f t="shared" si="390"/>
        <v>0</v>
      </c>
      <c r="D351" s="110" t="s">
        <v>91</v>
      </c>
      <c r="E351" s="76" t="s">
        <v>55</v>
      </c>
      <c r="F351" s="733">
        <f t="shared" si="394"/>
        <v>0</v>
      </c>
      <c r="G351" s="733">
        <f t="shared" si="395"/>
        <v>0</v>
      </c>
      <c r="H351" s="733">
        <f t="shared" si="395"/>
        <v>0</v>
      </c>
      <c r="I351" s="733">
        <f t="shared" si="395"/>
        <v>0</v>
      </c>
      <c r="J351" s="733">
        <f t="shared" si="395"/>
        <v>0</v>
      </c>
      <c r="K351" s="733">
        <f t="shared" ref="K351:P351" si="397">K8*$E$346</f>
        <v>0</v>
      </c>
      <c r="L351" s="733">
        <f t="shared" si="397"/>
        <v>0</v>
      </c>
      <c r="M351" s="733">
        <f t="shared" si="397"/>
        <v>0</v>
      </c>
      <c r="N351" s="733">
        <f t="shared" si="397"/>
        <v>0</v>
      </c>
      <c r="O351" s="733">
        <f t="shared" si="397"/>
        <v>0</v>
      </c>
      <c r="P351" s="733">
        <f t="shared" si="397"/>
        <v>0</v>
      </c>
      <c r="Q351" s="734">
        <f t="shared" si="392"/>
        <v>0</v>
      </c>
      <c r="R351" s="733">
        <f t="shared" si="394"/>
        <v>0</v>
      </c>
      <c r="S351" s="733">
        <f t="shared" si="394"/>
        <v>0</v>
      </c>
      <c r="T351" s="733">
        <f t="shared" ca="1" si="394"/>
        <v>0</v>
      </c>
      <c r="U351" s="733">
        <f t="shared" ca="1" si="394"/>
        <v>0</v>
      </c>
    </row>
    <row r="352" spans="2:21" s="119" customFormat="1" ht="19.5" hidden="1" thickBot="1" x14ac:dyDescent="0.3">
      <c r="B352" s="301"/>
      <c r="C352" s="119">
        <f t="shared" si="390"/>
        <v>0</v>
      </c>
      <c r="D352" s="111" t="s">
        <v>117</v>
      </c>
      <c r="E352" s="76" t="s">
        <v>54</v>
      </c>
      <c r="F352" s="733">
        <f>F9*$E$346</f>
        <v>0</v>
      </c>
      <c r="G352" s="733">
        <f t="shared" si="395"/>
        <v>0</v>
      </c>
      <c r="H352" s="733">
        <f t="shared" si="395"/>
        <v>0</v>
      </c>
      <c r="I352" s="733">
        <f t="shared" si="395"/>
        <v>0</v>
      </c>
      <c r="J352" s="733">
        <f t="shared" si="395"/>
        <v>0</v>
      </c>
      <c r="K352" s="733">
        <f t="shared" ref="K352:P352" si="398">K9*$E$346</f>
        <v>0</v>
      </c>
      <c r="L352" s="733">
        <f t="shared" si="398"/>
        <v>0</v>
      </c>
      <c r="M352" s="733">
        <f t="shared" si="398"/>
        <v>0</v>
      </c>
      <c r="N352" s="733">
        <f t="shared" si="398"/>
        <v>0</v>
      </c>
      <c r="O352" s="733">
        <f t="shared" si="398"/>
        <v>0</v>
      </c>
      <c r="P352" s="733">
        <f t="shared" si="398"/>
        <v>0</v>
      </c>
      <c r="Q352" s="734">
        <f t="shared" si="392"/>
        <v>0</v>
      </c>
      <c r="R352" s="733">
        <f t="shared" si="394"/>
        <v>0</v>
      </c>
      <c r="S352" s="733">
        <f t="shared" si="394"/>
        <v>0</v>
      </c>
      <c r="T352" s="733">
        <f t="shared" si="394"/>
        <v>0</v>
      </c>
      <c r="U352" s="733">
        <f t="shared" si="394"/>
        <v>0</v>
      </c>
    </row>
    <row r="353" spans="2:21" s="119" customFormat="1" ht="19.5" hidden="1" thickBot="1" x14ac:dyDescent="0.35">
      <c r="B353" s="301"/>
      <c r="C353" s="119">
        <f t="shared" si="390"/>
        <v>0</v>
      </c>
      <c r="D353" s="112" t="s">
        <v>31</v>
      </c>
      <c r="E353" s="76"/>
      <c r="F353" s="750"/>
      <c r="G353" s="735"/>
      <c r="H353" s="736"/>
      <c r="I353" s="735"/>
      <c r="J353" s="735"/>
      <c r="K353" s="735"/>
      <c r="L353" s="735"/>
      <c r="M353" s="735"/>
      <c r="N353" s="735"/>
      <c r="O353" s="735"/>
      <c r="P353" s="735"/>
      <c r="Q353" s="734">
        <f t="shared" si="392"/>
        <v>0</v>
      </c>
      <c r="R353" s="739"/>
      <c r="S353" s="735"/>
      <c r="T353" s="740"/>
      <c r="U353" s="741"/>
    </row>
    <row r="354" spans="2:21" s="119" customFormat="1" ht="19.5" hidden="1" thickBot="1" x14ac:dyDescent="0.35">
      <c r="B354" s="301"/>
      <c r="C354" s="119">
        <f t="shared" si="390"/>
        <v>0</v>
      </c>
      <c r="D354" s="113" t="s">
        <v>118</v>
      </c>
      <c r="E354" s="76" t="s">
        <v>53</v>
      </c>
      <c r="F354" s="733">
        <f t="shared" ref="F354:U360" si="399">F11*$E$346</f>
        <v>0</v>
      </c>
      <c r="G354" s="733">
        <f t="shared" ref="G354:J360" si="400">G11*$E$346</f>
        <v>0</v>
      </c>
      <c r="H354" s="733">
        <f t="shared" si="400"/>
        <v>0</v>
      </c>
      <c r="I354" s="733">
        <f t="shared" si="400"/>
        <v>0</v>
      </c>
      <c r="J354" s="733">
        <f t="shared" si="400"/>
        <v>0</v>
      </c>
      <c r="K354" s="733">
        <f t="shared" ref="K354:P354" si="401">K11*$E$346</f>
        <v>0</v>
      </c>
      <c r="L354" s="733">
        <f t="shared" si="401"/>
        <v>0</v>
      </c>
      <c r="M354" s="733">
        <f t="shared" si="401"/>
        <v>0</v>
      </c>
      <c r="N354" s="733">
        <f t="shared" si="401"/>
        <v>0</v>
      </c>
      <c r="O354" s="733">
        <f t="shared" si="401"/>
        <v>0</v>
      </c>
      <c r="P354" s="733">
        <f t="shared" si="401"/>
        <v>0</v>
      </c>
      <c r="Q354" s="734">
        <f t="shared" si="392"/>
        <v>0</v>
      </c>
      <c r="R354" s="733">
        <f t="shared" si="399"/>
        <v>0</v>
      </c>
      <c r="S354" s="733">
        <f t="shared" si="399"/>
        <v>0</v>
      </c>
      <c r="T354" s="733">
        <f t="shared" si="399"/>
        <v>0</v>
      </c>
      <c r="U354" s="733">
        <f t="shared" si="399"/>
        <v>0</v>
      </c>
    </row>
    <row r="355" spans="2:21" s="119" customFormat="1" ht="19.5" hidden="1" thickBot="1" x14ac:dyDescent="0.35">
      <c r="B355" s="301"/>
      <c r="C355" s="119">
        <f t="shared" si="390"/>
        <v>0</v>
      </c>
      <c r="D355" s="113" t="s">
        <v>119</v>
      </c>
      <c r="E355" s="76" t="s">
        <v>52</v>
      </c>
      <c r="F355" s="733">
        <f t="shared" si="399"/>
        <v>0</v>
      </c>
      <c r="G355" s="733">
        <f t="shared" si="400"/>
        <v>0</v>
      </c>
      <c r="H355" s="733">
        <f t="shared" si="400"/>
        <v>0</v>
      </c>
      <c r="I355" s="733">
        <f t="shared" si="400"/>
        <v>0</v>
      </c>
      <c r="J355" s="733">
        <f t="shared" si="400"/>
        <v>0</v>
      </c>
      <c r="K355" s="733">
        <f t="shared" ref="K355:P355" si="402">K12*$E$346</f>
        <v>0</v>
      </c>
      <c r="L355" s="733">
        <f t="shared" si="402"/>
        <v>0</v>
      </c>
      <c r="M355" s="733">
        <f t="shared" si="402"/>
        <v>0</v>
      </c>
      <c r="N355" s="733">
        <f t="shared" si="402"/>
        <v>0</v>
      </c>
      <c r="O355" s="733">
        <f t="shared" si="402"/>
        <v>0</v>
      </c>
      <c r="P355" s="733">
        <f t="shared" si="402"/>
        <v>0</v>
      </c>
      <c r="Q355" s="734">
        <f t="shared" si="392"/>
        <v>0</v>
      </c>
      <c r="R355" s="733">
        <f t="shared" si="399"/>
        <v>0</v>
      </c>
      <c r="S355" s="733">
        <f t="shared" si="399"/>
        <v>0</v>
      </c>
      <c r="T355" s="733">
        <f t="shared" si="399"/>
        <v>0</v>
      </c>
      <c r="U355" s="733">
        <f t="shared" si="399"/>
        <v>0</v>
      </c>
    </row>
    <row r="356" spans="2:21" s="119" customFormat="1" ht="19.5" hidden="1" thickBot="1" x14ac:dyDescent="0.35">
      <c r="B356" s="301"/>
      <c r="C356" s="119">
        <f t="shared" si="390"/>
        <v>0</v>
      </c>
      <c r="D356" s="113" t="s">
        <v>120</v>
      </c>
      <c r="E356" s="76" t="s">
        <v>51</v>
      </c>
      <c r="F356" s="733">
        <f t="shared" si="399"/>
        <v>0</v>
      </c>
      <c r="G356" s="733">
        <f t="shared" si="400"/>
        <v>0</v>
      </c>
      <c r="H356" s="733">
        <f t="shared" si="400"/>
        <v>0</v>
      </c>
      <c r="I356" s="733">
        <f t="shared" si="400"/>
        <v>0</v>
      </c>
      <c r="J356" s="733">
        <f t="shared" si="400"/>
        <v>0</v>
      </c>
      <c r="K356" s="733">
        <f t="shared" ref="K356:P356" si="403">K13*$E$346</f>
        <v>0</v>
      </c>
      <c r="L356" s="733">
        <f t="shared" si="403"/>
        <v>0</v>
      </c>
      <c r="M356" s="733">
        <f t="shared" si="403"/>
        <v>0</v>
      </c>
      <c r="N356" s="733">
        <f t="shared" si="403"/>
        <v>0</v>
      </c>
      <c r="O356" s="733">
        <f t="shared" si="403"/>
        <v>0</v>
      </c>
      <c r="P356" s="733">
        <f t="shared" si="403"/>
        <v>0</v>
      </c>
      <c r="Q356" s="734">
        <f t="shared" si="392"/>
        <v>0</v>
      </c>
      <c r="R356" s="733">
        <f t="shared" si="399"/>
        <v>0</v>
      </c>
      <c r="S356" s="733">
        <f t="shared" si="399"/>
        <v>0</v>
      </c>
      <c r="T356" s="733">
        <f t="shared" si="399"/>
        <v>0</v>
      </c>
      <c r="U356" s="733">
        <f t="shared" si="399"/>
        <v>0</v>
      </c>
    </row>
    <row r="357" spans="2:21" s="119" customFormat="1" ht="19.5" hidden="1" thickBot="1" x14ac:dyDescent="0.35">
      <c r="B357" s="301"/>
      <c r="C357" s="119">
        <f t="shared" si="390"/>
        <v>0</v>
      </c>
      <c r="D357" s="113" t="s">
        <v>121</v>
      </c>
      <c r="E357" s="76" t="s">
        <v>50</v>
      </c>
      <c r="F357" s="733">
        <f t="shared" si="399"/>
        <v>0</v>
      </c>
      <c r="G357" s="733">
        <f t="shared" si="400"/>
        <v>0</v>
      </c>
      <c r="H357" s="733">
        <f t="shared" si="400"/>
        <v>0</v>
      </c>
      <c r="I357" s="733">
        <f t="shared" si="400"/>
        <v>0</v>
      </c>
      <c r="J357" s="733">
        <f t="shared" si="400"/>
        <v>0</v>
      </c>
      <c r="K357" s="733">
        <f t="shared" ref="K357:P357" si="404">K14*$E$346</f>
        <v>0</v>
      </c>
      <c r="L357" s="733">
        <f t="shared" si="404"/>
        <v>0</v>
      </c>
      <c r="M357" s="733">
        <f t="shared" si="404"/>
        <v>0</v>
      </c>
      <c r="N357" s="733">
        <f t="shared" si="404"/>
        <v>0</v>
      </c>
      <c r="O357" s="733">
        <f t="shared" si="404"/>
        <v>0</v>
      </c>
      <c r="P357" s="733">
        <f t="shared" si="404"/>
        <v>0</v>
      </c>
      <c r="Q357" s="734">
        <f t="shared" si="392"/>
        <v>0</v>
      </c>
      <c r="R357" s="733">
        <f t="shared" si="399"/>
        <v>0</v>
      </c>
      <c r="S357" s="733">
        <f t="shared" si="399"/>
        <v>0</v>
      </c>
      <c r="T357" s="733">
        <f t="shared" si="399"/>
        <v>0</v>
      </c>
      <c r="U357" s="733">
        <f t="shared" si="399"/>
        <v>0</v>
      </c>
    </row>
    <row r="358" spans="2:21" s="119" customFormat="1" ht="19.5" hidden="1" thickBot="1" x14ac:dyDescent="0.35">
      <c r="B358" s="301"/>
      <c r="C358" s="119">
        <f t="shared" si="390"/>
        <v>0</v>
      </c>
      <c r="D358" s="113" t="s">
        <v>122</v>
      </c>
      <c r="E358" s="76" t="s">
        <v>49</v>
      </c>
      <c r="F358" s="733">
        <f t="shared" si="399"/>
        <v>0</v>
      </c>
      <c r="G358" s="733">
        <f t="shared" si="400"/>
        <v>0</v>
      </c>
      <c r="H358" s="733">
        <f t="shared" si="400"/>
        <v>0</v>
      </c>
      <c r="I358" s="733">
        <f t="shared" si="400"/>
        <v>0</v>
      </c>
      <c r="J358" s="733">
        <f t="shared" si="400"/>
        <v>0</v>
      </c>
      <c r="K358" s="733">
        <f t="shared" ref="K358:P358" si="405">K15*$E$346</f>
        <v>0</v>
      </c>
      <c r="L358" s="733">
        <f t="shared" si="405"/>
        <v>0</v>
      </c>
      <c r="M358" s="733">
        <f t="shared" si="405"/>
        <v>0</v>
      </c>
      <c r="N358" s="733">
        <f t="shared" si="405"/>
        <v>0</v>
      </c>
      <c r="O358" s="733">
        <f t="shared" si="405"/>
        <v>0</v>
      </c>
      <c r="P358" s="733">
        <f t="shared" si="405"/>
        <v>0</v>
      </c>
      <c r="Q358" s="734">
        <f t="shared" si="392"/>
        <v>0</v>
      </c>
      <c r="R358" s="733">
        <f t="shared" si="399"/>
        <v>0</v>
      </c>
      <c r="S358" s="733">
        <f t="shared" si="399"/>
        <v>0</v>
      </c>
      <c r="T358" s="733">
        <f t="shared" si="399"/>
        <v>0</v>
      </c>
      <c r="U358" s="733">
        <f t="shared" si="399"/>
        <v>0</v>
      </c>
    </row>
    <row r="359" spans="2:21" s="119" customFormat="1" ht="19.5" hidden="1" thickBot="1" x14ac:dyDescent="0.35">
      <c r="B359" s="301"/>
      <c r="C359" s="119">
        <f t="shared" si="390"/>
        <v>0</v>
      </c>
      <c r="D359" s="113" t="s">
        <v>123</v>
      </c>
      <c r="E359" s="76" t="s">
        <v>47</v>
      </c>
      <c r="F359" s="733">
        <f t="shared" si="399"/>
        <v>0</v>
      </c>
      <c r="G359" s="733">
        <f t="shared" si="400"/>
        <v>0</v>
      </c>
      <c r="H359" s="733">
        <f t="shared" si="400"/>
        <v>0</v>
      </c>
      <c r="I359" s="733">
        <f t="shared" si="400"/>
        <v>0</v>
      </c>
      <c r="J359" s="733">
        <f t="shared" si="400"/>
        <v>0</v>
      </c>
      <c r="K359" s="733">
        <f t="shared" ref="K359:P359" si="406">K16*$E$346</f>
        <v>0</v>
      </c>
      <c r="L359" s="733">
        <f t="shared" si="406"/>
        <v>0</v>
      </c>
      <c r="M359" s="733">
        <f t="shared" si="406"/>
        <v>0</v>
      </c>
      <c r="N359" s="733">
        <f t="shared" si="406"/>
        <v>0</v>
      </c>
      <c r="O359" s="733">
        <f t="shared" si="406"/>
        <v>0</v>
      </c>
      <c r="P359" s="733">
        <f t="shared" si="406"/>
        <v>0</v>
      </c>
      <c r="Q359" s="734">
        <f t="shared" si="392"/>
        <v>0</v>
      </c>
      <c r="R359" s="733">
        <f t="shared" si="399"/>
        <v>0</v>
      </c>
      <c r="S359" s="733">
        <f t="shared" si="399"/>
        <v>0</v>
      </c>
      <c r="T359" s="733">
        <f t="shared" si="399"/>
        <v>0</v>
      </c>
      <c r="U359" s="733">
        <f t="shared" si="399"/>
        <v>0</v>
      </c>
    </row>
    <row r="360" spans="2:21" s="119" customFormat="1" ht="19.5" hidden="1" thickBot="1" x14ac:dyDescent="0.35">
      <c r="B360" s="301"/>
      <c r="C360" s="119">
        <f t="shared" si="390"/>
        <v>0</v>
      </c>
      <c r="D360" s="114" t="s">
        <v>16</v>
      </c>
      <c r="E360" s="70" t="s">
        <v>77</v>
      </c>
      <c r="F360" s="733">
        <f t="shared" si="399"/>
        <v>0</v>
      </c>
      <c r="G360" s="733">
        <f t="shared" si="400"/>
        <v>0</v>
      </c>
      <c r="H360" s="733">
        <f t="shared" si="400"/>
        <v>0</v>
      </c>
      <c r="I360" s="733">
        <f t="shared" si="400"/>
        <v>0</v>
      </c>
      <c r="J360" s="733">
        <f t="shared" si="400"/>
        <v>0</v>
      </c>
      <c r="K360" s="733">
        <f t="shared" ref="K360:P360" si="407">K17*$E$346</f>
        <v>0</v>
      </c>
      <c r="L360" s="733">
        <f t="shared" si="407"/>
        <v>0</v>
      </c>
      <c r="M360" s="733">
        <f t="shared" si="407"/>
        <v>0</v>
      </c>
      <c r="N360" s="733">
        <f t="shared" si="407"/>
        <v>0</v>
      </c>
      <c r="O360" s="733">
        <f t="shared" si="407"/>
        <v>0</v>
      </c>
      <c r="P360" s="733">
        <f t="shared" si="407"/>
        <v>0</v>
      </c>
      <c r="Q360" s="734">
        <f t="shared" si="392"/>
        <v>0</v>
      </c>
      <c r="R360" s="733">
        <f t="shared" si="399"/>
        <v>0</v>
      </c>
      <c r="S360" s="733">
        <f t="shared" si="399"/>
        <v>0</v>
      </c>
      <c r="T360" s="733">
        <f t="shared" ca="1" si="399"/>
        <v>0</v>
      </c>
      <c r="U360" s="733">
        <f t="shared" ca="1" si="399"/>
        <v>0</v>
      </c>
    </row>
    <row r="361" spans="2:21" s="119" customFormat="1" ht="19.5" hidden="1" thickBot="1" x14ac:dyDescent="0.35">
      <c r="B361" s="301"/>
      <c r="C361" s="119">
        <f t="shared" si="390"/>
        <v>0</v>
      </c>
      <c r="D361" s="115" t="s">
        <v>124</v>
      </c>
      <c r="E361" s="116" t="s">
        <v>78</v>
      </c>
      <c r="F361" s="742">
        <f t="shared" ref="F361:U361" si="408">SUBTOTAL(9,F349:F360)</f>
        <v>0</v>
      </c>
      <c r="G361" s="742">
        <f>SUBTOTAL(9,G349:G360)</f>
        <v>0</v>
      </c>
      <c r="H361" s="742">
        <f>SUBTOTAL(9,H349:H360)</f>
        <v>0</v>
      </c>
      <c r="I361" s="742">
        <f>SUBTOTAL(9,I349:I360)</f>
        <v>0</v>
      </c>
      <c r="J361" s="742">
        <f>SUBTOTAL(9,J349:J360)</f>
        <v>0</v>
      </c>
      <c r="K361" s="742">
        <f t="shared" ref="K361:P361" si="409">SUBTOTAL(9,K349:K360)</f>
        <v>0</v>
      </c>
      <c r="L361" s="742">
        <f t="shared" si="409"/>
        <v>0</v>
      </c>
      <c r="M361" s="742">
        <f t="shared" si="409"/>
        <v>0</v>
      </c>
      <c r="N361" s="742">
        <f t="shared" si="409"/>
        <v>0</v>
      </c>
      <c r="O361" s="742">
        <f t="shared" si="409"/>
        <v>0</v>
      </c>
      <c r="P361" s="742">
        <f t="shared" si="409"/>
        <v>0</v>
      </c>
      <c r="Q361" s="743">
        <f>SUBTOTAL(9,Q349:Q360)</f>
        <v>0</v>
      </c>
      <c r="R361" s="742">
        <f t="shared" si="408"/>
        <v>0</v>
      </c>
      <c r="S361" s="742">
        <f t="shared" si="408"/>
        <v>0</v>
      </c>
      <c r="T361" s="742">
        <f t="shared" si="408"/>
        <v>0</v>
      </c>
      <c r="U361" s="742">
        <f t="shared" si="408"/>
        <v>0</v>
      </c>
    </row>
    <row r="362" spans="2:21" s="119" customFormat="1" ht="19.5" hidden="1" thickBot="1" x14ac:dyDescent="0.3">
      <c r="B362" s="340"/>
      <c r="D362" s="117"/>
      <c r="E362" s="117"/>
      <c r="F362" s="118"/>
      <c r="G362" s="118"/>
      <c r="I362" s="118"/>
      <c r="J362" s="118"/>
      <c r="K362" s="118"/>
      <c r="L362" s="118"/>
      <c r="O362" s="118"/>
      <c r="Q362" s="120"/>
      <c r="R362" s="117"/>
      <c r="S362" s="118"/>
      <c r="U362" s="118"/>
    </row>
    <row r="363" spans="2:21" s="119" customFormat="1" ht="75.75" hidden="1" thickBot="1" x14ac:dyDescent="0.3">
      <c r="B363" s="301"/>
      <c r="C363" s="119">
        <f>IF($E363&gt;0,1,0)</f>
        <v>0</v>
      </c>
      <c r="D363" s="96" t="str">
        <f>A24</f>
        <v>Hamilton</v>
      </c>
      <c r="E363" s="166">
        <f>IFERROR(SUMIF(A:A,D363,B:B),0)</f>
        <v>0</v>
      </c>
      <c r="F363" s="98" t="s">
        <v>356</v>
      </c>
      <c r="G363" s="98" t="s">
        <v>373</v>
      </c>
      <c r="H363" s="98" t="s">
        <v>358</v>
      </c>
      <c r="I363" s="98" t="s">
        <v>109</v>
      </c>
      <c r="J363" s="98" t="s">
        <v>111</v>
      </c>
      <c r="K363" s="98" t="s">
        <v>469</v>
      </c>
      <c r="L363" s="98" t="s">
        <v>470</v>
      </c>
      <c r="M363" s="98" t="s">
        <v>357</v>
      </c>
      <c r="N363" s="509" t="s">
        <v>471</v>
      </c>
      <c r="O363" s="98" t="s">
        <v>472</v>
      </c>
      <c r="P363" s="98" t="s">
        <v>110</v>
      </c>
      <c r="Q363" s="99" t="s">
        <v>116</v>
      </c>
      <c r="R363" s="98" t="s">
        <v>112</v>
      </c>
      <c r="S363" s="98" t="s">
        <v>113</v>
      </c>
      <c r="T363" s="98" t="s">
        <v>114</v>
      </c>
      <c r="U363" s="98" t="s">
        <v>115</v>
      </c>
    </row>
    <row r="364" spans="2:21" s="119" customFormat="1" ht="19.5" hidden="1" thickBot="1" x14ac:dyDescent="0.3">
      <c r="B364" s="301"/>
      <c r="C364" s="119">
        <f>C363</f>
        <v>0</v>
      </c>
      <c r="D364" s="101"/>
      <c r="E364" s="102"/>
      <c r="F364" s="84" t="s">
        <v>57</v>
      </c>
      <c r="G364" s="84" t="s">
        <v>56</v>
      </c>
      <c r="H364" s="84" t="s">
        <v>55</v>
      </c>
      <c r="I364" s="84" t="s">
        <v>54</v>
      </c>
      <c r="J364" s="84" t="s">
        <v>53</v>
      </c>
      <c r="K364" s="84" t="s">
        <v>52</v>
      </c>
      <c r="L364" s="84" t="s">
        <v>51</v>
      </c>
      <c r="M364" s="84" t="s">
        <v>50</v>
      </c>
      <c r="N364" s="84" t="s">
        <v>49</v>
      </c>
      <c r="O364" s="84" t="s">
        <v>47</v>
      </c>
      <c r="P364" s="84" t="s">
        <v>77</v>
      </c>
      <c r="Q364" s="83" t="s">
        <v>78</v>
      </c>
      <c r="R364" s="84" t="s">
        <v>79</v>
      </c>
      <c r="S364" s="84" t="s">
        <v>81</v>
      </c>
      <c r="T364" s="84" t="s">
        <v>83</v>
      </c>
      <c r="U364" s="84" t="s">
        <v>85</v>
      </c>
    </row>
    <row r="365" spans="2:21" s="119" customFormat="1" ht="19.5" hidden="1" thickBot="1" x14ac:dyDescent="0.35">
      <c r="B365" s="301"/>
      <c r="C365" s="119">
        <f t="shared" ref="C365:C378" si="410">C364</f>
        <v>0</v>
      </c>
      <c r="D365" s="103" t="s">
        <v>26</v>
      </c>
      <c r="E365" s="104"/>
      <c r="F365" s="745"/>
      <c r="G365" s="745"/>
      <c r="H365" s="746"/>
      <c r="I365" s="745"/>
      <c r="J365" s="745"/>
      <c r="K365" s="745"/>
      <c r="L365" s="745"/>
      <c r="M365" s="746"/>
      <c r="N365" s="746"/>
      <c r="O365" s="745"/>
      <c r="P365" s="746"/>
      <c r="Q365" s="747"/>
      <c r="R365" s="748"/>
      <c r="S365" s="745"/>
      <c r="T365" s="746"/>
      <c r="U365" s="749"/>
    </row>
    <row r="366" spans="2:21" s="119" customFormat="1" ht="19.5" hidden="1" thickBot="1" x14ac:dyDescent="0.3">
      <c r="B366" s="301"/>
      <c r="C366" s="119">
        <f t="shared" si="410"/>
        <v>0</v>
      </c>
      <c r="D366" s="109" t="s">
        <v>93</v>
      </c>
      <c r="E366" s="76" t="s">
        <v>57</v>
      </c>
      <c r="F366" s="733">
        <f>$F$6*$E$363</f>
        <v>0</v>
      </c>
      <c r="G366" s="733">
        <f>$G$6*$E$363</f>
        <v>0</v>
      </c>
      <c r="H366" s="733">
        <f>$H$6*$E$363</f>
        <v>0</v>
      </c>
      <c r="I366" s="733">
        <f>$I$6*$E$363</f>
        <v>0</v>
      </c>
      <c r="J366" s="733">
        <f>$J$6*$E$363</f>
        <v>0</v>
      </c>
      <c r="K366" s="733">
        <f>K$6*$E$363</f>
        <v>0</v>
      </c>
      <c r="L366" s="733">
        <f t="shared" ref="L366:P366" si="411">L$6*$E$363</f>
        <v>0</v>
      </c>
      <c r="M366" s="733">
        <f t="shared" si="411"/>
        <v>0</v>
      </c>
      <c r="N366" s="733">
        <f t="shared" si="411"/>
        <v>0</v>
      </c>
      <c r="O366" s="733">
        <f t="shared" si="411"/>
        <v>0</v>
      </c>
      <c r="P366" s="733">
        <f t="shared" si="411"/>
        <v>0</v>
      </c>
      <c r="Q366" s="734">
        <f t="shared" ref="Q366:Q377" si="412">SUM(F366:P366)</f>
        <v>0</v>
      </c>
      <c r="R366" s="733">
        <f>$R$6*$E$363</f>
        <v>0</v>
      </c>
      <c r="S366" s="733">
        <f>$S$6*$E$363</f>
        <v>0</v>
      </c>
      <c r="T366" s="733">
        <f ca="1">$T$6*$E$363</f>
        <v>0</v>
      </c>
      <c r="U366" s="733">
        <f ca="1">$U$6*$E$363</f>
        <v>0</v>
      </c>
    </row>
    <row r="367" spans="2:21" s="119" customFormat="1" ht="19.5" hidden="1" thickBot="1" x14ac:dyDescent="0.3">
      <c r="B367" s="301"/>
      <c r="C367" s="119">
        <f t="shared" si="410"/>
        <v>0</v>
      </c>
      <c r="D367" s="110" t="s">
        <v>92</v>
      </c>
      <c r="E367" s="76" t="s">
        <v>56</v>
      </c>
      <c r="F367" s="733">
        <f>$F$7*$E$363</f>
        <v>0</v>
      </c>
      <c r="G367" s="733">
        <f>$G$7*$E$363</f>
        <v>0</v>
      </c>
      <c r="H367" s="733">
        <f>$H$7*$E$363</f>
        <v>0</v>
      </c>
      <c r="I367" s="733">
        <f>$I$7*$E$363</f>
        <v>0</v>
      </c>
      <c r="J367" s="733">
        <f>$J$7*$E$363</f>
        <v>0</v>
      </c>
      <c r="K367" s="733">
        <f>K$7*$E$363</f>
        <v>0</v>
      </c>
      <c r="L367" s="733">
        <f t="shared" ref="L367:P367" si="413">L$7*$E$363</f>
        <v>0</v>
      </c>
      <c r="M367" s="733">
        <f t="shared" si="413"/>
        <v>0</v>
      </c>
      <c r="N367" s="733">
        <f t="shared" si="413"/>
        <v>0</v>
      </c>
      <c r="O367" s="733">
        <f t="shared" si="413"/>
        <v>0</v>
      </c>
      <c r="P367" s="733">
        <f t="shared" si="413"/>
        <v>0</v>
      </c>
      <c r="Q367" s="734">
        <f t="shared" si="412"/>
        <v>0</v>
      </c>
      <c r="R367" s="733">
        <f>$R$7*$E$363</f>
        <v>0</v>
      </c>
      <c r="S367" s="733">
        <f>$S$7*$E$363</f>
        <v>0</v>
      </c>
      <c r="T367" s="733">
        <f>$T$7*$E$363</f>
        <v>0</v>
      </c>
      <c r="U367" s="733">
        <f>$U$7*$E$363</f>
        <v>0</v>
      </c>
    </row>
    <row r="368" spans="2:21" s="119" customFormat="1" ht="19.5" hidden="1" thickBot="1" x14ac:dyDescent="0.3">
      <c r="B368" s="301"/>
      <c r="C368" s="119">
        <f t="shared" si="410"/>
        <v>0</v>
      </c>
      <c r="D368" s="110" t="s">
        <v>91</v>
      </c>
      <c r="E368" s="76" t="s">
        <v>55</v>
      </c>
      <c r="F368" s="733">
        <f>$F$8*$E$363</f>
        <v>0</v>
      </c>
      <c r="G368" s="733">
        <f>$G$8*$E$363</f>
        <v>0</v>
      </c>
      <c r="H368" s="733">
        <f>$H$8*$E$363</f>
        <v>0</v>
      </c>
      <c r="I368" s="733">
        <f>$I$8*$E$363</f>
        <v>0</v>
      </c>
      <c r="J368" s="733">
        <f>$J$8*$E$363</f>
        <v>0</v>
      </c>
      <c r="K368" s="733">
        <f>K$8*$E$363</f>
        <v>0</v>
      </c>
      <c r="L368" s="733">
        <f t="shared" ref="L368:P368" si="414">L$8*$E$363</f>
        <v>0</v>
      </c>
      <c r="M368" s="733">
        <f t="shared" si="414"/>
        <v>0</v>
      </c>
      <c r="N368" s="733">
        <f t="shared" si="414"/>
        <v>0</v>
      </c>
      <c r="O368" s="733">
        <f t="shared" si="414"/>
        <v>0</v>
      </c>
      <c r="P368" s="733">
        <f t="shared" si="414"/>
        <v>0</v>
      </c>
      <c r="Q368" s="734">
        <f t="shared" si="412"/>
        <v>0</v>
      </c>
      <c r="R368" s="733">
        <f>$R$8*$E$363</f>
        <v>0</v>
      </c>
      <c r="S368" s="733">
        <f>$S$8*$E$363</f>
        <v>0</v>
      </c>
      <c r="T368" s="733">
        <f ca="1">$T$8*$E$363</f>
        <v>0</v>
      </c>
      <c r="U368" s="733">
        <f ca="1">$U$8*$E$363</f>
        <v>0</v>
      </c>
    </row>
    <row r="369" spans="2:21" s="119" customFormat="1" ht="19.5" hidden="1" thickBot="1" x14ac:dyDescent="0.3">
      <c r="B369" s="301"/>
      <c r="C369" s="119">
        <f t="shared" si="410"/>
        <v>0</v>
      </c>
      <c r="D369" s="111" t="s">
        <v>117</v>
      </c>
      <c r="E369" s="76" t="s">
        <v>54</v>
      </c>
      <c r="F369" s="733">
        <f>$F$9*$E$363</f>
        <v>0</v>
      </c>
      <c r="G369" s="733">
        <f>$G$9*$E$363</f>
        <v>0</v>
      </c>
      <c r="H369" s="733">
        <f>$H$9*$E$363</f>
        <v>0</v>
      </c>
      <c r="I369" s="733">
        <f>$I$9*$E$363</f>
        <v>0</v>
      </c>
      <c r="J369" s="733">
        <f>$J$9*$E$363</f>
        <v>0</v>
      </c>
      <c r="K369" s="733">
        <f>K$9*$E$363</f>
        <v>0</v>
      </c>
      <c r="L369" s="733">
        <f t="shared" ref="L369:P369" si="415">L$9*$E$363</f>
        <v>0</v>
      </c>
      <c r="M369" s="733">
        <f t="shared" si="415"/>
        <v>0</v>
      </c>
      <c r="N369" s="733">
        <f t="shared" si="415"/>
        <v>0</v>
      </c>
      <c r="O369" s="733">
        <f t="shared" si="415"/>
        <v>0</v>
      </c>
      <c r="P369" s="733">
        <f t="shared" si="415"/>
        <v>0</v>
      </c>
      <c r="Q369" s="734">
        <f t="shared" si="412"/>
        <v>0</v>
      </c>
      <c r="R369" s="733">
        <f>$R$9*$E$363</f>
        <v>0</v>
      </c>
      <c r="S369" s="733">
        <f>$S$9*$E$363</f>
        <v>0</v>
      </c>
      <c r="T369" s="733">
        <f>$T$9*$E$363</f>
        <v>0</v>
      </c>
      <c r="U369" s="733">
        <f>$U$9*$E$363</f>
        <v>0</v>
      </c>
    </row>
    <row r="370" spans="2:21" s="119" customFormat="1" ht="19.5" hidden="1" thickBot="1" x14ac:dyDescent="0.35">
      <c r="B370" s="301"/>
      <c r="C370" s="119">
        <f t="shared" si="410"/>
        <v>0</v>
      </c>
      <c r="D370" s="112" t="s">
        <v>31</v>
      </c>
      <c r="E370" s="76"/>
      <c r="F370" s="750"/>
      <c r="G370" s="735"/>
      <c r="H370" s="736"/>
      <c r="I370" s="735"/>
      <c r="J370" s="735"/>
      <c r="K370" s="735"/>
      <c r="L370" s="735"/>
      <c r="M370" s="735"/>
      <c r="N370" s="735"/>
      <c r="O370" s="735"/>
      <c r="P370" s="735"/>
      <c r="Q370" s="734">
        <f t="shared" si="412"/>
        <v>0</v>
      </c>
      <c r="R370" s="739"/>
      <c r="S370" s="735"/>
      <c r="T370" s="740"/>
      <c r="U370" s="741"/>
    </row>
    <row r="371" spans="2:21" s="119" customFormat="1" ht="19.5" hidden="1" thickBot="1" x14ac:dyDescent="0.35">
      <c r="B371" s="301"/>
      <c r="C371" s="119">
        <f t="shared" si="410"/>
        <v>0</v>
      </c>
      <c r="D371" s="113" t="s">
        <v>118</v>
      </c>
      <c r="E371" s="76" t="s">
        <v>53</v>
      </c>
      <c r="F371" s="733">
        <f>$F$11*$E$363</f>
        <v>0</v>
      </c>
      <c r="G371" s="733">
        <f>$G$11*$E$363</f>
        <v>0</v>
      </c>
      <c r="H371" s="733">
        <f>$H$11*$E$363</f>
        <v>0</v>
      </c>
      <c r="I371" s="733">
        <f>$I$11*$E$363</f>
        <v>0</v>
      </c>
      <c r="J371" s="733">
        <f>$J$11*$E$363</f>
        <v>0</v>
      </c>
      <c r="K371" s="733">
        <f>K$11*$E$363</f>
        <v>0</v>
      </c>
      <c r="L371" s="733">
        <f t="shared" ref="L371:P371" si="416">L$11*$E$363</f>
        <v>0</v>
      </c>
      <c r="M371" s="733">
        <f t="shared" si="416"/>
        <v>0</v>
      </c>
      <c r="N371" s="733">
        <f t="shared" si="416"/>
        <v>0</v>
      </c>
      <c r="O371" s="733">
        <f t="shared" si="416"/>
        <v>0</v>
      </c>
      <c r="P371" s="733">
        <f t="shared" si="416"/>
        <v>0</v>
      </c>
      <c r="Q371" s="734">
        <f t="shared" si="412"/>
        <v>0</v>
      </c>
      <c r="R371" s="733">
        <f>$R$11*$E$363</f>
        <v>0</v>
      </c>
      <c r="S371" s="733">
        <f>$S$11*$E$363</f>
        <v>0</v>
      </c>
      <c r="T371" s="733">
        <f>$T$11*$E$363</f>
        <v>0</v>
      </c>
      <c r="U371" s="733">
        <f>$U$11*$E$363</f>
        <v>0</v>
      </c>
    </row>
    <row r="372" spans="2:21" s="119" customFormat="1" ht="19.5" hidden="1" thickBot="1" x14ac:dyDescent="0.35">
      <c r="B372" s="301"/>
      <c r="C372" s="119">
        <f t="shared" si="410"/>
        <v>0</v>
      </c>
      <c r="D372" s="113" t="s">
        <v>119</v>
      </c>
      <c r="E372" s="76" t="s">
        <v>52</v>
      </c>
      <c r="F372" s="733">
        <f>$F$12*$E$363</f>
        <v>0</v>
      </c>
      <c r="G372" s="733">
        <f>$G$12*$E$363</f>
        <v>0</v>
      </c>
      <c r="H372" s="733">
        <f>$H$12*$E$363</f>
        <v>0</v>
      </c>
      <c r="I372" s="733">
        <f>$I$12*$E$363</f>
        <v>0</v>
      </c>
      <c r="J372" s="733">
        <f>$J$12*$E$363</f>
        <v>0</v>
      </c>
      <c r="K372" s="733">
        <f>K$12*$E$363</f>
        <v>0</v>
      </c>
      <c r="L372" s="733">
        <f t="shared" ref="L372:P372" si="417">L$12*$E$363</f>
        <v>0</v>
      </c>
      <c r="M372" s="733">
        <f t="shared" si="417"/>
        <v>0</v>
      </c>
      <c r="N372" s="733">
        <f t="shared" si="417"/>
        <v>0</v>
      </c>
      <c r="O372" s="733">
        <f t="shared" si="417"/>
        <v>0</v>
      </c>
      <c r="P372" s="733">
        <f t="shared" si="417"/>
        <v>0</v>
      </c>
      <c r="Q372" s="734">
        <f t="shared" si="412"/>
        <v>0</v>
      </c>
      <c r="R372" s="733">
        <f>$R$12*$E$363</f>
        <v>0</v>
      </c>
      <c r="S372" s="733">
        <f>$S$12*$E$363</f>
        <v>0</v>
      </c>
      <c r="T372" s="733">
        <f>$T$12*$E$363</f>
        <v>0</v>
      </c>
      <c r="U372" s="733">
        <f>$U$12*$E$363</f>
        <v>0</v>
      </c>
    </row>
    <row r="373" spans="2:21" s="119" customFormat="1" ht="19.5" hidden="1" thickBot="1" x14ac:dyDescent="0.35">
      <c r="B373" s="301"/>
      <c r="C373" s="119">
        <f t="shared" si="410"/>
        <v>0</v>
      </c>
      <c r="D373" s="113" t="s">
        <v>120</v>
      </c>
      <c r="E373" s="76" t="s">
        <v>51</v>
      </c>
      <c r="F373" s="733">
        <f>$F$13*$E$363</f>
        <v>0</v>
      </c>
      <c r="G373" s="733">
        <f>$G$13*$E$363</f>
        <v>0</v>
      </c>
      <c r="H373" s="733">
        <f>$H$13*$E$363</f>
        <v>0</v>
      </c>
      <c r="I373" s="733">
        <f>$I$13*$E$363</f>
        <v>0</v>
      </c>
      <c r="J373" s="733">
        <f>$J$13*$E$363</f>
        <v>0</v>
      </c>
      <c r="K373" s="733">
        <f>K$13*$E$363</f>
        <v>0</v>
      </c>
      <c r="L373" s="733">
        <f t="shared" ref="L373:P373" si="418">L$13*$E$363</f>
        <v>0</v>
      </c>
      <c r="M373" s="733">
        <f t="shared" si="418"/>
        <v>0</v>
      </c>
      <c r="N373" s="733">
        <f t="shared" si="418"/>
        <v>0</v>
      </c>
      <c r="O373" s="733">
        <f t="shared" si="418"/>
        <v>0</v>
      </c>
      <c r="P373" s="733">
        <f t="shared" si="418"/>
        <v>0</v>
      </c>
      <c r="Q373" s="734">
        <f t="shared" si="412"/>
        <v>0</v>
      </c>
      <c r="R373" s="733">
        <f>$R$13*$E$363</f>
        <v>0</v>
      </c>
      <c r="S373" s="733">
        <f>$S$13*$E$363</f>
        <v>0</v>
      </c>
      <c r="T373" s="733">
        <f>$T$13*$E$363</f>
        <v>0</v>
      </c>
      <c r="U373" s="733">
        <f>$U$13*$E$363</f>
        <v>0</v>
      </c>
    </row>
    <row r="374" spans="2:21" s="119" customFormat="1" ht="19.5" hidden="1" thickBot="1" x14ac:dyDescent="0.35">
      <c r="B374" s="301"/>
      <c r="C374" s="119">
        <f t="shared" si="410"/>
        <v>0</v>
      </c>
      <c r="D374" s="113" t="s">
        <v>121</v>
      </c>
      <c r="E374" s="76" t="s">
        <v>50</v>
      </c>
      <c r="F374" s="733">
        <f>$F$14*$E$363</f>
        <v>0</v>
      </c>
      <c r="G374" s="733">
        <f>$G$14*$E$363</f>
        <v>0</v>
      </c>
      <c r="H374" s="733">
        <f>$H$14*$E$363</f>
        <v>0</v>
      </c>
      <c r="I374" s="733">
        <f>$I$14*$E$363</f>
        <v>0</v>
      </c>
      <c r="J374" s="733">
        <f>$J$14*$E$363</f>
        <v>0</v>
      </c>
      <c r="K374" s="733">
        <f>K$14*$E$363</f>
        <v>0</v>
      </c>
      <c r="L374" s="733">
        <f t="shared" ref="L374:P374" si="419">L$14*$E$363</f>
        <v>0</v>
      </c>
      <c r="M374" s="733">
        <f t="shared" si="419"/>
        <v>0</v>
      </c>
      <c r="N374" s="733">
        <f t="shared" si="419"/>
        <v>0</v>
      </c>
      <c r="O374" s="733">
        <f t="shared" si="419"/>
        <v>0</v>
      </c>
      <c r="P374" s="733">
        <f t="shared" si="419"/>
        <v>0</v>
      </c>
      <c r="Q374" s="734">
        <f t="shared" si="412"/>
        <v>0</v>
      </c>
      <c r="R374" s="733">
        <f>$R$14*$E$363</f>
        <v>0</v>
      </c>
      <c r="S374" s="733">
        <f>$S$14*$E$363</f>
        <v>0</v>
      </c>
      <c r="T374" s="733">
        <f>$T$14*$E$363</f>
        <v>0</v>
      </c>
      <c r="U374" s="733">
        <f>$U$14*$E$363</f>
        <v>0</v>
      </c>
    </row>
    <row r="375" spans="2:21" s="119" customFormat="1" ht="19.5" hidden="1" thickBot="1" x14ac:dyDescent="0.35">
      <c r="B375" s="301"/>
      <c r="C375" s="119">
        <f t="shared" si="410"/>
        <v>0</v>
      </c>
      <c r="D375" s="113" t="s">
        <v>122</v>
      </c>
      <c r="E375" s="76" t="s">
        <v>49</v>
      </c>
      <c r="F375" s="733">
        <f>$F$15*$E$363</f>
        <v>0</v>
      </c>
      <c r="G375" s="733">
        <f>$G$15*$E$363</f>
        <v>0</v>
      </c>
      <c r="H375" s="733">
        <f>$H$15*$E$363</f>
        <v>0</v>
      </c>
      <c r="I375" s="733">
        <f>$I$15*$E$363</f>
        <v>0</v>
      </c>
      <c r="J375" s="733">
        <f>$J$15*$E$363</f>
        <v>0</v>
      </c>
      <c r="K375" s="733">
        <f>K$15*$E$363</f>
        <v>0</v>
      </c>
      <c r="L375" s="733">
        <f t="shared" ref="L375:P375" si="420">L$15*$E$363</f>
        <v>0</v>
      </c>
      <c r="M375" s="733">
        <f t="shared" si="420"/>
        <v>0</v>
      </c>
      <c r="N375" s="733">
        <f t="shared" si="420"/>
        <v>0</v>
      </c>
      <c r="O375" s="733">
        <f t="shared" si="420"/>
        <v>0</v>
      </c>
      <c r="P375" s="733">
        <f t="shared" si="420"/>
        <v>0</v>
      </c>
      <c r="Q375" s="734">
        <f t="shared" si="412"/>
        <v>0</v>
      </c>
      <c r="R375" s="733">
        <f>$R$15*$E$363</f>
        <v>0</v>
      </c>
      <c r="S375" s="733">
        <f>$S$15*$E$363</f>
        <v>0</v>
      </c>
      <c r="T375" s="733">
        <f>$T$15*$E$363</f>
        <v>0</v>
      </c>
      <c r="U375" s="733">
        <f>$U$15*$E$363</f>
        <v>0</v>
      </c>
    </row>
    <row r="376" spans="2:21" s="119" customFormat="1" ht="19.5" hidden="1" thickBot="1" x14ac:dyDescent="0.35">
      <c r="B376" s="301"/>
      <c r="C376" s="119">
        <f t="shared" si="410"/>
        <v>0</v>
      </c>
      <c r="D376" s="113" t="s">
        <v>123</v>
      </c>
      <c r="E376" s="76" t="s">
        <v>47</v>
      </c>
      <c r="F376" s="733">
        <f>$F$16*$E$363</f>
        <v>0</v>
      </c>
      <c r="G376" s="733">
        <f>$G$16*$E$363</f>
        <v>0</v>
      </c>
      <c r="H376" s="733">
        <f>$H$16*$E$363</f>
        <v>0</v>
      </c>
      <c r="I376" s="733">
        <f>$I$16*$E$363</f>
        <v>0</v>
      </c>
      <c r="J376" s="733">
        <f>$J$16*$E$363</f>
        <v>0</v>
      </c>
      <c r="K376" s="733">
        <f>K$16*$E$363</f>
        <v>0</v>
      </c>
      <c r="L376" s="733">
        <f t="shared" ref="L376:P376" si="421">L$16*$E$363</f>
        <v>0</v>
      </c>
      <c r="M376" s="733">
        <f t="shared" si="421"/>
        <v>0</v>
      </c>
      <c r="N376" s="733">
        <f t="shared" si="421"/>
        <v>0</v>
      </c>
      <c r="O376" s="733">
        <f t="shared" si="421"/>
        <v>0</v>
      </c>
      <c r="P376" s="733">
        <f t="shared" si="421"/>
        <v>0</v>
      </c>
      <c r="Q376" s="734">
        <f t="shared" si="412"/>
        <v>0</v>
      </c>
      <c r="R376" s="733">
        <f>$R$16*$E$363</f>
        <v>0</v>
      </c>
      <c r="S376" s="733">
        <f>$S$16*$E$363</f>
        <v>0</v>
      </c>
      <c r="T376" s="733">
        <f>$T$16*$E$363</f>
        <v>0</v>
      </c>
      <c r="U376" s="733">
        <f>$U$16*$E$363</f>
        <v>0</v>
      </c>
    </row>
    <row r="377" spans="2:21" s="119" customFormat="1" ht="19.5" hidden="1" thickBot="1" x14ac:dyDescent="0.35">
      <c r="B377" s="301"/>
      <c r="C377" s="119">
        <f t="shared" si="410"/>
        <v>0</v>
      </c>
      <c r="D377" s="114" t="s">
        <v>16</v>
      </c>
      <c r="E377" s="70" t="s">
        <v>77</v>
      </c>
      <c r="F377" s="733">
        <f>$F$17*$E$363</f>
        <v>0</v>
      </c>
      <c r="G377" s="733">
        <f>$G$17*$E$363</f>
        <v>0</v>
      </c>
      <c r="H377" s="733">
        <f>$H$17*$E$363</f>
        <v>0</v>
      </c>
      <c r="I377" s="733">
        <f>$I$17*$E$363</f>
        <v>0</v>
      </c>
      <c r="J377" s="733">
        <f>$J$17*$E$363</f>
        <v>0</v>
      </c>
      <c r="K377" s="733">
        <f>K$17*$E$363</f>
        <v>0</v>
      </c>
      <c r="L377" s="733">
        <f t="shared" ref="L377:P377" si="422">L$17*$E$363</f>
        <v>0</v>
      </c>
      <c r="M377" s="733">
        <f t="shared" si="422"/>
        <v>0</v>
      </c>
      <c r="N377" s="733">
        <f t="shared" si="422"/>
        <v>0</v>
      </c>
      <c r="O377" s="733">
        <f t="shared" si="422"/>
        <v>0</v>
      </c>
      <c r="P377" s="733">
        <f t="shared" si="422"/>
        <v>0</v>
      </c>
      <c r="Q377" s="734">
        <f t="shared" si="412"/>
        <v>0</v>
      </c>
      <c r="R377" s="733">
        <f>$R$17*$E$363</f>
        <v>0</v>
      </c>
      <c r="S377" s="733">
        <f>$S$17*$E$363</f>
        <v>0</v>
      </c>
      <c r="T377" s="733">
        <f ca="1">$T$17*$E$363</f>
        <v>0</v>
      </c>
      <c r="U377" s="733">
        <f ca="1">$U$17*$E$363</f>
        <v>0</v>
      </c>
    </row>
    <row r="378" spans="2:21" s="119" customFormat="1" ht="19.5" hidden="1" thickBot="1" x14ac:dyDescent="0.35">
      <c r="B378" s="301"/>
      <c r="C378" s="119">
        <f t="shared" si="410"/>
        <v>0</v>
      </c>
      <c r="D378" s="115" t="s">
        <v>124</v>
      </c>
      <c r="E378" s="116" t="s">
        <v>78</v>
      </c>
      <c r="F378" s="742">
        <f t="shared" ref="F378:U378" si="423">SUBTOTAL(9,F366:F377)</f>
        <v>0</v>
      </c>
      <c r="G378" s="742">
        <f>SUBTOTAL(9,G366:G377)</f>
        <v>0</v>
      </c>
      <c r="H378" s="742">
        <f>SUBTOTAL(9,H366:H377)</f>
        <v>0</v>
      </c>
      <c r="I378" s="742">
        <f>SUBTOTAL(9,I366:I377)</f>
        <v>0</v>
      </c>
      <c r="J378" s="742">
        <f>SUBTOTAL(9,J366:J377)</f>
        <v>0</v>
      </c>
      <c r="K378" s="742">
        <f t="shared" ref="K378:P378" si="424">SUBTOTAL(9,K366:K377)</f>
        <v>0</v>
      </c>
      <c r="L378" s="742">
        <f t="shared" si="424"/>
        <v>0</v>
      </c>
      <c r="M378" s="742">
        <f t="shared" si="424"/>
        <v>0</v>
      </c>
      <c r="N378" s="742">
        <f t="shared" si="424"/>
        <v>0</v>
      </c>
      <c r="O378" s="742">
        <f t="shared" si="424"/>
        <v>0</v>
      </c>
      <c r="P378" s="742">
        <f t="shared" si="424"/>
        <v>0</v>
      </c>
      <c r="Q378" s="743">
        <f>SUBTOTAL(9,Q366:Q377)</f>
        <v>0</v>
      </c>
      <c r="R378" s="742">
        <f t="shared" si="423"/>
        <v>0</v>
      </c>
      <c r="S378" s="742">
        <f t="shared" si="423"/>
        <v>0</v>
      </c>
      <c r="T378" s="742">
        <f t="shared" si="423"/>
        <v>0</v>
      </c>
      <c r="U378" s="742">
        <f t="shared" si="423"/>
        <v>0</v>
      </c>
    </row>
    <row r="379" spans="2:21" s="119" customFormat="1" ht="19.5" hidden="1" thickBot="1" x14ac:dyDescent="0.3">
      <c r="B379" s="340"/>
      <c r="D379" s="117"/>
      <c r="E379" s="117"/>
      <c r="F379" s="118"/>
      <c r="G379" s="118"/>
      <c r="I379" s="118"/>
      <c r="J379" s="118"/>
      <c r="K379" s="118"/>
      <c r="L379" s="118"/>
      <c r="O379" s="118"/>
      <c r="Q379" s="120"/>
      <c r="R379" s="117"/>
      <c r="S379" s="118"/>
      <c r="U379" s="118"/>
    </row>
    <row r="380" spans="2:21" s="119" customFormat="1" ht="75.75" hidden="1" thickBot="1" x14ac:dyDescent="0.3">
      <c r="B380" s="301"/>
      <c r="C380" s="119">
        <f>IF($E380&gt;0,1,0)</f>
        <v>0</v>
      </c>
      <c r="D380" s="96" t="str">
        <f>A25</f>
        <v>Herkimer</v>
      </c>
      <c r="E380" s="166">
        <f>IFERROR(SUMIF(A:A,D380,B:B),0)</f>
        <v>0</v>
      </c>
      <c r="F380" s="98" t="s">
        <v>356</v>
      </c>
      <c r="G380" s="98" t="s">
        <v>373</v>
      </c>
      <c r="H380" s="98" t="s">
        <v>358</v>
      </c>
      <c r="I380" s="98" t="s">
        <v>109</v>
      </c>
      <c r="J380" s="98" t="s">
        <v>111</v>
      </c>
      <c r="K380" s="98" t="s">
        <v>469</v>
      </c>
      <c r="L380" s="98" t="s">
        <v>470</v>
      </c>
      <c r="M380" s="98" t="s">
        <v>357</v>
      </c>
      <c r="N380" s="509" t="s">
        <v>471</v>
      </c>
      <c r="O380" s="98" t="s">
        <v>472</v>
      </c>
      <c r="P380" s="98" t="s">
        <v>110</v>
      </c>
      <c r="Q380" s="99" t="s">
        <v>116</v>
      </c>
      <c r="R380" s="98" t="s">
        <v>112</v>
      </c>
      <c r="S380" s="98" t="s">
        <v>113</v>
      </c>
      <c r="T380" s="98" t="s">
        <v>114</v>
      </c>
      <c r="U380" s="98" t="s">
        <v>115</v>
      </c>
    </row>
    <row r="381" spans="2:21" s="119" customFormat="1" ht="19.5" hidden="1" thickBot="1" x14ac:dyDescent="0.3">
      <c r="B381" s="301"/>
      <c r="C381" s="119">
        <f>C380</f>
        <v>0</v>
      </c>
      <c r="D381" s="101"/>
      <c r="E381" s="102"/>
      <c r="F381" s="84" t="s">
        <v>57</v>
      </c>
      <c r="G381" s="84" t="s">
        <v>56</v>
      </c>
      <c r="H381" s="84" t="s">
        <v>55</v>
      </c>
      <c r="I381" s="84" t="s">
        <v>54</v>
      </c>
      <c r="J381" s="84" t="s">
        <v>53</v>
      </c>
      <c r="K381" s="84" t="s">
        <v>52</v>
      </c>
      <c r="L381" s="84" t="s">
        <v>51</v>
      </c>
      <c r="M381" s="84" t="s">
        <v>50</v>
      </c>
      <c r="N381" s="84" t="s">
        <v>49</v>
      </c>
      <c r="O381" s="84" t="s">
        <v>47</v>
      </c>
      <c r="P381" s="84" t="s">
        <v>77</v>
      </c>
      <c r="Q381" s="83" t="s">
        <v>78</v>
      </c>
      <c r="R381" s="84" t="s">
        <v>79</v>
      </c>
      <c r="S381" s="84" t="s">
        <v>81</v>
      </c>
      <c r="T381" s="84" t="s">
        <v>83</v>
      </c>
      <c r="U381" s="84" t="s">
        <v>85</v>
      </c>
    </row>
    <row r="382" spans="2:21" s="119" customFormat="1" ht="19.5" hidden="1" thickBot="1" x14ac:dyDescent="0.35">
      <c r="B382" s="301"/>
      <c r="C382" s="119">
        <f t="shared" ref="C382:C395" si="425">C381</f>
        <v>0</v>
      </c>
      <c r="D382" s="103" t="s">
        <v>26</v>
      </c>
      <c r="E382" s="104"/>
      <c r="F382" s="745"/>
      <c r="G382" s="745"/>
      <c r="H382" s="746"/>
      <c r="I382" s="745"/>
      <c r="J382" s="745"/>
      <c r="K382" s="745"/>
      <c r="L382" s="745"/>
      <c r="M382" s="746"/>
      <c r="N382" s="746"/>
      <c r="O382" s="745"/>
      <c r="P382" s="746"/>
      <c r="Q382" s="747"/>
      <c r="R382" s="748"/>
      <c r="S382" s="745"/>
      <c r="T382" s="746"/>
      <c r="U382" s="749"/>
    </row>
    <row r="383" spans="2:21" s="119" customFormat="1" ht="19.5" hidden="1" thickBot="1" x14ac:dyDescent="0.3">
      <c r="B383" s="301"/>
      <c r="C383" s="119">
        <f t="shared" si="425"/>
        <v>0</v>
      </c>
      <c r="D383" s="109" t="s">
        <v>93</v>
      </c>
      <c r="E383" s="76" t="s">
        <v>57</v>
      </c>
      <c r="F383" s="733">
        <f>$F$6*$E$380</f>
        <v>0</v>
      </c>
      <c r="G383" s="733">
        <f>$G$6*$E$380</f>
        <v>0</v>
      </c>
      <c r="H383" s="733">
        <f>$H$6*$E$380</f>
        <v>0</v>
      </c>
      <c r="I383" s="733">
        <f>$I$6*$E$380</f>
        <v>0</v>
      </c>
      <c r="J383" s="733">
        <f>$J$6*$E$380</f>
        <v>0</v>
      </c>
      <c r="K383" s="733">
        <f>K$6*$E$380</f>
        <v>0</v>
      </c>
      <c r="L383" s="733">
        <f t="shared" ref="L383:P383" si="426">L$6*$E$380</f>
        <v>0</v>
      </c>
      <c r="M383" s="733">
        <f t="shared" si="426"/>
        <v>0</v>
      </c>
      <c r="N383" s="733">
        <f t="shared" si="426"/>
        <v>0</v>
      </c>
      <c r="O383" s="733">
        <f t="shared" si="426"/>
        <v>0</v>
      </c>
      <c r="P383" s="733">
        <f t="shared" si="426"/>
        <v>0</v>
      </c>
      <c r="Q383" s="734">
        <f t="shared" ref="Q383:Q394" si="427">SUM(F383:P383)</f>
        <v>0</v>
      </c>
      <c r="R383" s="733">
        <f>$R$6*$E$380</f>
        <v>0</v>
      </c>
      <c r="S383" s="733">
        <f>$S$6*$E$380</f>
        <v>0</v>
      </c>
      <c r="T383" s="733">
        <f ca="1">$T$6*$E$380</f>
        <v>0</v>
      </c>
      <c r="U383" s="733">
        <f ca="1">$U$6*$E$380</f>
        <v>0</v>
      </c>
    </row>
    <row r="384" spans="2:21" s="119" customFormat="1" ht="19.5" hidden="1" thickBot="1" x14ac:dyDescent="0.3">
      <c r="B384" s="301"/>
      <c r="C384" s="119">
        <f t="shared" si="425"/>
        <v>0</v>
      </c>
      <c r="D384" s="110" t="s">
        <v>92</v>
      </c>
      <c r="E384" s="76" t="s">
        <v>56</v>
      </c>
      <c r="F384" s="733">
        <f>$F$7*$E$380</f>
        <v>0</v>
      </c>
      <c r="G384" s="733">
        <f>$G$7*$E$380</f>
        <v>0</v>
      </c>
      <c r="H384" s="733">
        <f>$H$7*$E$380</f>
        <v>0</v>
      </c>
      <c r="I384" s="733">
        <f>$I$7*$E$380</f>
        <v>0</v>
      </c>
      <c r="J384" s="733">
        <f>$J$7*$E$380</f>
        <v>0</v>
      </c>
      <c r="K384" s="733">
        <f>K$7*$E$380</f>
        <v>0</v>
      </c>
      <c r="L384" s="733">
        <f t="shared" ref="L384:P384" si="428">L$7*$E$380</f>
        <v>0</v>
      </c>
      <c r="M384" s="733">
        <f t="shared" si="428"/>
        <v>0</v>
      </c>
      <c r="N384" s="733">
        <f t="shared" si="428"/>
        <v>0</v>
      </c>
      <c r="O384" s="733">
        <f t="shared" si="428"/>
        <v>0</v>
      </c>
      <c r="P384" s="733">
        <f t="shared" si="428"/>
        <v>0</v>
      </c>
      <c r="Q384" s="734">
        <f t="shared" si="427"/>
        <v>0</v>
      </c>
      <c r="R384" s="733">
        <f>$R$7*$E$380</f>
        <v>0</v>
      </c>
      <c r="S384" s="733">
        <f>$S$7*$E$380</f>
        <v>0</v>
      </c>
      <c r="T384" s="733">
        <f>$T$7*$E$380</f>
        <v>0</v>
      </c>
      <c r="U384" s="733">
        <f>$U$7*$E$380</f>
        <v>0</v>
      </c>
    </row>
    <row r="385" spans="2:21" s="119" customFormat="1" ht="19.5" hidden="1" thickBot="1" x14ac:dyDescent="0.3">
      <c r="B385" s="301"/>
      <c r="C385" s="119">
        <f t="shared" si="425"/>
        <v>0</v>
      </c>
      <c r="D385" s="110" t="s">
        <v>91</v>
      </c>
      <c r="E385" s="76" t="s">
        <v>55</v>
      </c>
      <c r="F385" s="733">
        <f>$F$8*$E$380</f>
        <v>0</v>
      </c>
      <c r="G385" s="733">
        <f>$G$8*$E$380</f>
        <v>0</v>
      </c>
      <c r="H385" s="733">
        <f>$H$8*$E$380</f>
        <v>0</v>
      </c>
      <c r="I385" s="733">
        <f>$I$8*$E$380</f>
        <v>0</v>
      </c>
      <c r="J385" s="733">
        <f>$J$8*$E$380</f>
        <v>0</v>
      </c>
      <c r="K385" s="733">
        <f>K$8*$E$380</f>
        <v>0</v>
      </c>
      <c r="L385" s="733">
        <f t="shared" ref="L385:P385" si="429">L$8*$E$380</f>
        <v>0</v>
      </c>
      <c r="M385" s="733">
        <f t="shared" si="429"/>
        <v>0</v>
      </c>
      <c r="N385" s="733">
        <f t="shared" si="429"/>
        <v>0</v>
      </c>
      <c r="O385" s="733">
        <f t="shared" si="429"/>
        <v>0</v>
      </c>
      <c r="P385" s="733">
        <f t="shared" si="429"/>
        <v>0</v>
      </c>
      <c r="Q385" s="734">
        <f t="shared" si="427"/>
        <v>0</v>
      </c>
      <c r="R385" s="733">
        <f>$R$8*$E$380</f>
        <v>0</v>
      </c>
      <c r="S385" s="733">
        <f>$S$8*$E$380</f>
        <v>0</v>
      </c>
      <c r="T385" s="733">
        <f ca="1">$T$8*$E$380</f>
        <v>0</v>
      </c>
      <c r="U385" s="733">
        <f ca="1">$U$8*$E$380</f>
        <v>0</v>
      </c>
    </row>
    <row r="386" spans="2:21" s="119" customFormat="1" ht="19.5" hidden="1" thickBot="1" x14ac:dyDescent="0.3">
      <c r="B386" s="301"/>
      <c r="C386" s="119">
        <f t="shared" si="425"/>
        <v>0</v>
      </c>
      <c r="D386" s="111" t="s">
        <v>117</v>
      </c>
      <c r="E386" s="76" t="s">
        <v>54</v>
      </c>
      <c r="F386" s="733">
        <f>$F$9*$E$380</f>
        <v>0</v>
      </c>
      <c r="G386" s="733">
        <f>$G$9*$E$380</f>
        <v>0</v>
      </c>
      <c r="H386" s="733">
        <f>$H$9*$E$380</f>
        <v>0</v>
      </c>
      <c r="I386" s="733">
        <f>$I$9*$E$380</f>
        <v>0</v>
      </c>
      <c r="J386" s="733">
        <f>$J$9*$E$380</f>
        <v>0</v>
      </c>
      <c r="K386" s="733">
        <f>K$9*$E$380</f>
        <v>0</v>
      </c>
      <c r="L386" s="733">
        <f t="shared" ref="L386:P386" si="430">L$9*$E$380</f>
        <v>0</v>
      </c>
      <c r="M386" s="733">
        <f t="shared" si="430"/>
        <v>0</v>
      </c>
      <c r="N386" s="733">
        <f t="shared" si="430"/>
        <v>0</v>
      </c>
      <c r="O386" s="733">
        <f t="shared" si="430"/>
        <v>0</v>
      </c>
      <c r="P386" s="733">
        <f t="shared" si="430"/>
        <v>0</v>
      </c>
      <c r="Q386" s="734">
        <f t="shared" si="427"/>
        <v>0</v>
      </c>
      <c r="R386" s="733">
        <f>$R$9*$E$380</f>
        <v>0</v>
      </c>
      <c r="S386" s="733">
        <f>$S$9*$E$380</f>
        <v>0</v>
      </c>
      <c r="T386" s="733">
        <f>$T$9*$E$380</f>
        <v>0</v>
      </c>
      <c r="U386" s="733">
        <f>$U$9*$E$380</f>
        <v>0</v>
      </c>
    </row>
    <row r="387" spans="2:21" s="119" customFormat="1" ht="19.5" hidden="1" thickBot="1" x14ac:dyDescent="0.35">
      <c r="B387" s="301"/>
      <c r="C387" s="119">
        <f t="shared" si="425"/>
        <v>0</v>
      </c>
      <c r="D387" s="112" t="s">
        <v>31</v>
      </c>
      <c r="E387" s="76"/>
      <c r="F387" s="750"/>
      <c r="G387" s="735"/>
      <c r="H387" s="736"/>
      <c r="I387" s="735"/>
      <c r="J387" s="735"/>
      <c r="K387" s="735"/>
      <c r="L387" s="735"/>
      <c r="M387" s="735"/>
      <c r="N387" s="735"/>
      <c r="O387" s="735"/>
      <c r="P387" s="735"/>
      <c r="Q387" s="734">
        <f t="shared" si="427"/>
        <v>0</v>
      </c>
      <c r="R387" s="739"/>
      <c r="S387" s="735"/>
      <c r="T387" s="740"/>
      <c r="U387" s="741"/>
    </row>
    <row r="388" spans="2:21" s="119" customFormat="1" ht="19.5" hidden="1" thickBot="1" x14ac:dyDescent="0.35">
      <c r="B388" s="301"/>
      <c r="C388" s="119">
        <f t="shared" si="425"/>
        <v>0</v>
      </c>
      <c r="D388" s="113" t="s">
        <v>118</v>
      </c>
      <c r="E388" s="76" t="s">
        <v>53</v>
      </c>
      <c r="F388" s="733">
        <f>$F$11*$E$380</f>
        <v>0</v>
      </c>
      <c r="G388" s="733">
        <f>$G$11*$E$380</f>
        <v>0</v>
      </c>
      <c r="H388" s="733">
        <f>$H$11*$E$380</f>
        <v>0</v>
      </c>
      <c r="I388" s="733">
        <f>$I$11*$E$380</f>
        <v>0</v>
      </c>
      <c r="J388" s="733">
        <f>$J$11*$E$380</f>
        <v>0</v>
      </c>
      <c r="K388" s="733">
        <f>K$11*$E$380</f>
        <v>0</v>
      </c>
      <c r="L388" s="733">
        <f t="shared" ref="L388:P388" si="431">L$11*$E$380</f>
        <v>0</v>
      </c>
      <c r="M388" s="733">
        <f t="shared" si="431"/>
        <v>0</v>
      </c>
      <c r="N388" s="733">
        <f t="shared" si="431"/>
        <v>0</v>
      </c>
      <c r="O388" s="733">
        <f t="shared" si="431"/>
        <v>0</v>
      </c>
      <c r="P388" s="733">
        <f t="shared" si="431"/>
        <v>0</v>
      </c>
      <c r="Q388" s="734">
        <f t="shared" si="427"/>
        <v>0</v>
      </c>
      <c r="R388" s="733">
        <f>$R$11*$E$380</f>
        <v>0</v>
      </c>
      <c r="S388" s="733">
        <f>$S$11*$E$380</f>
        <v>0</v>
      </c>
      <c r="T388" s="733">
        <f>$T$11*$E$380</f>
        <v>0</v>
      </c>
      <c r="U388" s="733">
        <f>$U$11*$E$380</f>
        <v>0</v>
      </c>
    </row>
    <row r="389" spans="2:21" s="119" customFormat="1" ht="19.5" hidden="1" thickBot="1" x14ac:dyDescent="0.35">
      <c r="B389" s="301"/>
      <c r="C389" s="119">
        <f t="shared" si="425"/>
        <v>0</v>
      </c>
      <c r="D389" s="113" t="s">
        <v>119</v>
      </c>
      <c r="E389" s="76" t="s">
        <v>52</v>
      </c>
      <c r="F389" s="733">
        <f>$F$12*$E$380</f>
        <v>0</v>
      </c>
      <c r="G389" s="733">
        <f>$G$12*$E$380</f>
        <v>0</v>
      </c>
      <c r="H389" s="733">
        <f>$H$12*$E$380</f>
        <v>0</v>
      </c>
      <c r="I389" s="733">
        <f>$I$12*$E$380</f>
        <v>0</v>
      </c>
      <c r="J389" s="733">
        <f>$J$12*$E$380</f>
        <v>0</v>
      </c>
      <c r="K389" s="733">
        <f>K$12*$E$380</f>
        <v>0</v>
      </c>
      <c r="L389" s="733">
        <f t="shared" ref="L389:P389" si="432">L$12*$E$380</f>
        <v>0</v>
      </c>
      <c r="M389" s="733">
        <f t="shared" si="432"/>
        <v>0</v>
      </c>
      <c r="N389" s="733">
        <f t="shared" si="432"/>
        <v>0</v>
      </c>
      <c r="O389" s="733">
        <f t="shared" si="432"/>
        <v>0</v>
      </c>
      <c r="P389" s="733">
        <f t="shared" si="432"/>
        <v>0</v>
      </c>
      <c r="Q389" s="734">
        <f t="shared" si="427"/>
        <v>0</v>
      </c>
      <c r="R389" s="733">
        <f>$R$12*$E$380</f>
        <v>0</v>
      </c>
      <c r="S389" s="733">
        <f>$S$12*$E$380</f>
        <v>0</v>
      </c>
      <c r="T389" s="733">
        <f>$T$12*$E$380</f>
        <v>0</v>
      </c>
      <c r="U389" s="733">
        <f>$U$12*$E$380</f>
        <v>0</v>
      </c>
    </row>
    <row r="390" spans="2:21" s="119" customFormat="1" ht="19.5" hidden="1" thickBot="1" x14ac:dyDescent="0.35">
      <c r="B390" s="301"/>
      <c r="C390" s="119">
        <f t="shared" si="425"/>
        <v>0</v>
      </c>
      <c r="D390" s="113" t="s">
        <v>120</v>
      </c>
      <c r="E390" s="76" t="s">
        <v>51</v>
      </c>
      <c r="F390" s="733">
        <f>$F$13*$E$380</f>
        <v>0</v>
      </c>
      <c r="G390" s="733">
        <f>$G$13*$E$380</f>
        <v>0</v>
      </c>
      <c r="H390" s="733">
        <f>$H$13*$E$380</f>
        <v>0</v>
      </c>
      <c r="I390" s="733">
        <f>$I$13*$E$380</f>
        <v>0</v>
      </c>
      <c r="J390" s="733">
        <f>$J$13*$E$380</f>
        <v>0</v>
      </c>
      <c r="K390" s="733">
        <f>K$13*$E$380</f>
        <v>0</v>
      </c>
      <c r="L390" s="733">
        <f t="shared" ref="L390:P390" si="433">L$13*$E$380</f>
        <v>0</v>
      </c>
      <c r="M390" s="733">
        <f t="shared" si="433"/>
        <v>0</v>
      </c>
      <c r="N390" s="733">
        <f t="shared" si="433"/>
        <v>0</v>
      </c>
      <c r="O390" s="733">
        <f t="shared" si="433"/>
        <v>0</v>
      </c>
      <c r="P390" s="733">
        <f t="shared" si="433"/>
        <v>0</v>
      </c>
      <c r="Q390" s="734">
        <f t="shared" si="427"/>
        <v>0</v>
      </c>
      <c r="R390" s="733">
        <f>$R$13*$E$380</f>
        <v>0</v>
      </c>
      <c r="S390" s="733">
        <f>$S$13*$E$380</f>
        <v>0</v>
      </c>
      <c r="T390" s="733">
        <f>$T$13*$E$380</f>
        <v>0</v>
      </c>
      <c r="U390" s="733">
        <f>$U$13*$E$380</f>
        <v>0</v>
      </c>
    </row>
    <row r="391" spans="2:21" s="119" customFormat="1" ht="19.5" hidden="1" thickBot="1" x14ac:dyDescent="0.35">
      <c r="B391" s="301"/>
      <c r="C391" s="119">
        <f t="shared" si="425"/>
        <v>0</v>
      </c>
      <c r="D391" s="113" t="s">
        <v>121</v>
      </c>
      <c r="E391" s="76" t="s">
        <v>50</v>
      </c>
      <c r="F391" s="733">
        <f>$F$14*$E$380</f>
        <v>0</v>
      </c>
      <c r="G391" s="733">
        <f>$G$14*$E$380</f>
        <v>0</v>
      </c>
      <c r="H391" s="733">
        <f>$H$14*$E$380</f>
        <v>0</v>
      </c>
      <c r="I391" s="733">
        <f>$I$14*$E$380</f>
        <v>0</v>
      </c>
      <c r="J391" s="733">
        <f>$J$14*$E$380</f>
        <v>0</v>
      </c>
      <c r="K391" s="733">
        <f>K$14*$E$380</f>
        <v>0</v>
      </c>
      <c r="L391" s="733">
        <f t="shared" ref="L391:P391" si="434">L$14*$E$380</f>
        <v>0</v>
      </c>
      <c r="M391" s="733">
        <f t="shared" si="434"/>
        <v>0</v>
      </c>
      <c r="N391" s="733">
        <f t="shared" si="434"/>
        <v>0</v>
      </c>
      <c r="O391" s="733">
        <f t="shared" si="434"/>
        <v>0</v>
      </c>
      <c r="P391" s="733">
        <f t="shared" si="434"/>
        <v>0</v>
      </c>
      <c r="Q391" s="734">
        <f t="shared" si="427"/>
        <v>0</v>
      </c>
      <c r="R391" s="733">
        <f>$R$14*$E$380</f>
        <v>0</v>
      </c>
      <c r="S391" s="733">
        <f>$S$14*$E$380</f>
        <v>0</v>
      </c>
      <c r="T391" s="733">
        <f>$T$14*$E$380</f>
        <v>0</v>
      </c>
      <c r="U391" s="733">
        <f>$U$14*$E$380</f>
        <v>0</v>
      </c>
    </row>
    <row r="392" spans="2:21" s="119" customFormat="1" ht="19.5" hidden="1" thickBot="1" x14ac:dyDescent="0.35">
      <c r="B392" s="301"/>
      <c r="C392" s="119">
        <f t="shared" si="425"/>
        <v>0</v>
      </c>
      <c r="D392" s="113" t="s">
        <v>122</v>
      </c>
      <c r="E392" s="76" t="s">
        <v>49</v>
      </c>
      <c r="F392" s="733">
        <f>$F$15*$E$380</f>
        <v>0</v>
      </c>
      <c r="G392" s="733">
        <f>$G$15*$E$380</f>
        <v>0</v>
      </c>
      <c r="H392" s="733">
        <f>$H$15*$E$380</f>
        <v>0</v>
      </c>
      <c r="I392" s="733">
        <f>$I$15*$E$380</f>
        <v>0</v>
      </c>
      <c r="J392" s="733">
        <f>$J$15*$E$380</f>
        <v>0</v>
      </c>
      <c r="K392" s="733">
        <f>K$15*$E$380</f>
        <v>0</v>
      </c>
      <c r="L392" s="733">
        <f t="shared" ref="L392:P392" si="435">L$15*$E$380</f>
        <v>0</v>
      </c>
      <c r="M392" s="733">
        <f t="shared" si="435"/>
        <v>0</v>
      </c>
      <c r="N392" s="733">
        <f t="shared" si="435"/>
        <v>0</v>
      </c>
      <c r="O392" s="733">
        <f t="shared" si="435"/>
        <v>0</v>
      </c>
      <c r="P392" s="733">
        <f t="shared" si="435"/>
        <v>0</v>
      </c>
      <c r="Q392" s="734">
        <f t="shared" si="427"/>
        <v>0</v>
      </c>
      <c r="R392" s="733">
        <f>$R$15*$E$380</f>
        <v>0</v>
      </c>
      <c r="S392" s="733">
        <f>$S$15*$E$380</f>
        <v>0</v>
      </c>
      <c r="T392" s="733">
        <f>$T$15*$E$380</f>
        <v>0</v>
      </c>
      <c r="U392" s="733">
        <f>$U$15*$E$380</f>
        <v>0</v>
      </c>
    </row>
    <row r="393" spans="2:21" s="119" customFormat="1" ht="19.5" hidden="1" thickBot="1" x14ac:dyDescent="0.35">
      <c r="B393" s="301"/>
      <c r="C393" s="119">
        <f t="shared" si="425"/>
        <v>0</v>
      </c>
      <c r="D393" s="113" t="s">
        <v>123</v>
      </c>
      <c r="E393" s="76" t="s">
        <v>47</v>
      </c>
      <c r="F393" s="733">
        <f>$F$16*$E$380</f>
        <v>0</v>
      </c>
      <c r="G393" s="733">
        <f>$G$16*$E$380</f>
        <v>0</v>
      </c>
      <c r="H393" s="733">
        <f>$H$16*$E$380</f>
        <v>0</v>
      </c>
      <c r="I393" s="733">
        <f>$I$16*$E$380</f>
        <v>0</v>
      </c>
      <c r="J393" s="733">
        <f>$J$16*$E$380</f>
        <v>0</v>
      </c>
      <c r="K393" s="733">
        <f>K$16*$E$380</f>
        <v>0</v>
      </c>
      <c r="L393" s="733">
        <f t="shared" ref="L393:P393" si="436">L$16*$E$380</f>
        <v>0</v>
      </c>
      <c r="M393" s="733">
        <f t="shared" si="436"/>
        <v>0</v>
      </c>
      <c r="N393" s="733">
        <f t="shared" si="436"/>
        <v>0</v>
      </c>
      <c r="O393" s="733">
        <f t="shared" si="436"/>
        <v>0</v>
      </c>
      <c r="P393" s="733">
        <f t="shared" si="436"/>
        <v>0</v>
      </c>
      <c r="Q393" s="734">
        <f t="shared" si="427"/>
        <v>0</v>
      </c>
      <c r="R393" s="733">
        <f>$R$16*$E$380</f>
        <v>0</v>
      </c>
      <c r="S393" s="733">
        <f>$S$16*$E$380</f>
        <v>0</v>
      </c>
      <c r="T393" s="733">
        <f>$T$16*$E$380</f>
        <v>0</v>
      </c>
      <c r="U393" s="733">
        <f>$U$16*$E$380</f>
        <v>0</v>
      </c>
    </row>
    <row r="394" spans="2:21" s="119" customFormat="1" ht="19.5" hidden="1" thickBot="1" x14ac:dyDescent="0.35">
      <c r="B394" s="301"/>
      <c r="C394" s="119">
        <f t="shared" si="425"/>
        <v>0</v>
      </c>
      <c r="D394" s="114" t="s">
        <v>16</v>
      </c>
      <c r="E394" s="70" t="s">
        <v>77</v>
      </c>
      <c r="F394" s="733">
        <f>$F$17*$E$380</f>
        <v>0</v>
      </c>
      <c r="G394" s="733">
        <f>$G$17*$E$380</f>
        <v>0</v>
      </c>
      <c r="H394" s="733">
        <f>$H$17*$E$380</f>
        <v>0</v>
      </c>
      <c r="I394" s="733">
        <f>$I$17*$E$380</f>
        <v>0</v>
      </c>
      <c r="J394" s="733">
        <f>$J$17*$E$380</f>
        <v>0</v>
      </c>
      <c r="K394" s="733">
        <f>K$17*$E$380</f>
        <v>0</v>
      </c>
      <c r="L394" s="733">
        <f t="shared" ref="L394:P394" si="437">L$17*$E$380</f>
        <v>0</v>
      </c>
      <c r="M394" s="733">
        <f t="shared" si="437"/>
        <v>0</v>
      </c>
      <c r="N394" s="733">
        <f t="shared" si="437"/>
        <v>0</v>
      </c>
      <c r="O394" s="733">
        <f t="shared" si="437"/>
        <v>0</v>
      </c>
      <c r="P394" s="733">
        <f t="shared" si="437"/>
        <v>0</v>
      </c>
      <c r="Q394" s="734">
        <f t="shared" si="427"/>
        <v>0</v>
      </c>
      <c r="R394" s="733">
        <f>$R$17*$E$380</f>
        <v>0</v>
      </c>
      <c r="S394" s="733">
        <f>$S$17*$E$380</f>
        <v>0</v>
      </c>
      <c r="T394" s="733">
        <f ca="1">$T$17*$E$380</f>
        <v>0</v>
      </c>
      <c r="U394" s="733">
        <f ca="1">$U$17*$E$380</f>
        <v>0</v>
      </c>
    </row>
    <row r="395" spans="2:21" s="119" customFormat="1" ht="19.5" hidden="1" thickBot="1" x14ac:dyDescent="0.35">
      <c r="B395" s="301"/>
      <c r="C395" s="119">
        <f t="shared" si="425"/>
        <v>0</v>
      </c>
      <c r="D395" s="115" t="s">
        <v>124</v>
      </c>
      <c r="E395" s="116" t="s">
        <v>78</v>
      </c>
      <c r="F395" s="742">
        <f t="shared" ref="F395:U395" si="438">SUBTOTAL(9,F383:F394)</f>
        <v>0</v>
      </c>
      <c r="G395" s="742">
        <f>SUBTOTAL(9,G383:G394)</f>
        <v>0</v>
      </c>
      <c r="H395" s="742">
        <f>SUBTOTAL(9,H383:H394)</f>
        <v>0</v>
      </c>
      <c r="I395" s="742">
        <f>SUBTOTAL(9,I383:I394)</f>
        <v>0</v>
      </c>
      <c r="J395" s="742">
        <f>SUBTOTAL(9,J383:J394)</f>
        <v>0</v>
      </c>
      <c r="K395" s="742">
        <f t="shared" ref="K395:P395" si="439">SUBTOTAL(9,K383:K394)</f>
        <v>0</v>
      </c>
      <c r="L395" s="742">
        <f t="shared" si="439"/>
        <v>0</v>
      </c>
      <c r="M395" s="742">
        <f t="shared" si="439"/>
        <v>0</v>
      </c>
      <c r="N395" s="742">
        <f t="shared" si="439"/>
        <v>0</v>
      </c>
      <c r="O395" s="742">
        <f t="shared" si="439"/>
        <v>0</v>
      </c>
      <c r="P395" s="742">
        <f t="shared" si="439"/>
        <v>0</v>
      </c>
      <c r="Q395" s="743">
        <f>SUBTOTAL(9,Q383:Q394)</f>
        <v>0</v>
      </c>
      <c r="R395" s="742">
        <f t="shared" si="438"/>
        <v>0</v>
      </c>
      <c r="S395" s="742">
        <f t="shared" si="438"/>
        <v>0</v>
      </c>
      <c r="T395" s="742">
        <f t="shared" si="438"/>
        <v>0</v>
      </c>
      <c r="U395" s="742">
        <f t="shared" si="438"/>
        <v>0</v>
      </c>
    </row>
    <row r="396" spans="2:21" s="119" customFormat="1" ht="19.5" hidden="1" thickBot="1" x14ac:dyDescent="0.3">
      <c r="B396" s="340"/>
      <c r="D396" s="117"/>
      <c r="E396" s="117"/>
      <c r="F396" s="118"/>
      <c r="G396" s="118"/>
      <c r="I396" s="118"/>
      <c r="J396" s="118"/>
      <c r="K396" s="118"/>
      <c r="L396" s="118"/>
      <c r="O396" s="118"/>
      <c r="Q396" s="120"/>
      <c r="R396" s="117"/>
      <c r="S396" s="118"/>
      <c r="U396" s="118"/>
    </row>
    <row r="397" spans="2:21" s="119" customFormat="1" ht="75.75" hidden="1" thickBot="1" x14ac:dyDescent="0.3">
      <c r="B397" s="301"/>
      <c r="C397" s="119">
        <f>IF($E397&gt;0,1,0)</f>
        <v>0</v>
      </c>
      <c r="D397" s="96" t="str">
        <f>A26</f>
        <v>Jefferson</v>
      </c>
      <c r="E397" s="166">
        <f>IFERROR(SUMIF(A:A,D397,B:B),0)</f>
        <v>0</v>
      </c>
      <c r="F397" s="98" t="s">
        <v>356</v>
      </c>
      <c r="G397" s="98" t="s">
        <v>373</v>
      </c>
      <c r="H397" s="98" t="s">
        <v>358</v>
      </c>
      <c r="I397" s="98" t="s">
        <v>109</v>
      </c>
      <c r="J397" s="98" t="s">
        <v>111</v>
      </c>
      <c r="K397" s="98" t="s">
        <v>469</v>
      </c>
      <c r="L397" s="98" t="s">
        <v>470</v>
      </c>
      <c r="M397" s="98" t="s">
        <v>357</v>
      </c>
      <c r="N397" s="509" t="s">
        <v>471</v>
      </c>
      <c r="O397" s="98" t="s">
        <v>472</v>
      </c>
      <c r="P397" s="98" t="s">
        <v>110</v>
      </c>
      <c r="Q397" s="99" t="s">
        <v>116</v>
      </c>
      <c r="R397" s="98" t="s">
        <v>112</v>
      </c>
      <c r="S397" s="98" t="s">
        <v>113</v>
      </c>
      <c r="T397" s="98" t="s">
        <v>114</v>
      </c>
      <c r="U397" s="98" t="s">
        <v>115</v>
      </c>
    </row>
    <row r="398" spans="2:21" s="119" customFormat="1" ht="19.5" hidden="1" thickBot="1" x14ac:dyDescent="0.3">
      <c r="B398" s="301"/>
      <c r="C398" s="119">
        <f>C397</f>
        <v>0</v>
      </c>
      <c r="D398" s="101"/>
      <c r="E398" s="102"/>
      <c r="F398" s="84" t="s">
        <v>57</v>
      </c>
      <c r="G398" s="84" t="s">
        <v>56</v>
      </c>
      <c r="H398" s="84" t="s">
        <v>55</v>
      </c>
      <c r="I398" s="84" t="s">
        <v>54</v>
      </c>
      <c r="J398" s="84" t="s">
        <v>53</v>
      </c>
      <c r="K398" s="84" t="s">
        <v>52</v>
      </c>
      <c r="L398" s="84" t="s">
        <v>51</v>
      </c>
      <c r="M398" s="84" t="s">
        <v>50</v>
      </c>
      <c r="N398" s="84" t="s">
        <v>49</v>
      </c>
      <c r="O398" s="84" t="s">
        <v>47</v>
      </c>
      <c r="P398" s="84" t="s">
        <v>77</v>
      </c>
      <c r="Q398" s="83" t="s">
        <v>78</v>
      </c>
      <c r="R398" s="84" t="s">
        <v>79</v>
      </c>
      <c r="S398" s="84" t="s">
        <v>81</v>
      </c>
      <c r="T398" s="84" t="s">
        <v>83</v>
      </c>
      <c r="U398" s="84" t="s">
        <v>85</v>
      </c>
    </row>
    <row r="399" spans="2:21" s="119" customFormat="1" ht="19.5" hidden="1" thickBot="1" x14ac:dyDescent="0.35">
      <c r="B399" s="301"/>
      <c r="C399" s="119">
        <f t="shared" ref="C399:C412" si="440">C398</f>
        <v>0</v>
      </c>
      <c r="D399" s="103" t="s">
        <v>26</v>
      </c>
      <c r="E399" s="104"/>
      <c r="F399" s="745"/>
      <c r="G399" s="745"/>
      <c r="H399" s="746"/>
      <c r="I399" s="745"/>
      <c r="J399" s="745"/>
      <c r="K399" s="745"/>
      <c r="L399" s="745"/>
      <c r="M399" s="746"/>
      <c r="N399" s="746"/>
      <c r="O399" s="745"/>
      <c r="P399" s="746"/>
      <c r="Q399" s="747"/>
      <c r="R399" s="748"/>
      <c r="S399" s="745"/>
      <c r="T399" s="746"/>
      <c r="U399" s="749"/>
    </row>
    <row r="400" spans="2:21" s="119" customFormat="1" ht="19.5" hidden="1" thickBot="1" x14ac:dyDescent="0.3">
      <c r="B400" s="301"/>
      <c r="C400" s="119">
        <f t="shared" si="440"/>
        <v>0</v>
      </c>
      <c r="D400" s="109" t="s">
        <v>93</v>
      </c>
      <c r="E400" s="76" t="s">
        <v>57</v>
      </c>
      <c r="F400" s="733">
        <f>$F$6*$E$397</f>
        <v>0</v>
      </c>
      <c r="G400" s="733">
        <f>$G$6*$E$397</f>
        <v>0</v>
      </c>
      <c r="H400" s="733">
        <f>$H$6*$E$397</f>
        <v>0</v>
      </c>
      <c r="I400" s="733">
        <f>$I$6*$E$397</f>
        <v>0</v>
      </c>
      <c r="J400" s="733">
        <f>$J$6*$E$397</f>
        <v>0</v>
      </c>
      <c r="K400" s="733">
        <f>K$6*$E$397</f>
        <v>0</v>
      </c>
      <c r="L400" s="733">
        <f t="shared" ref="L400:P400" si="441">L$6*$E$397</f>
        <v>0</v>
      </c>
      <c r="M400" s="733">
        <f t="shared" si="441"/>
        <v>0</v>
      </c>
      <c r="N400" s="733">
        <f t="shared" si="441"/>
        <v>0</v>
      </c>
      <c r="O400" s="733">
        <f t="shared" si="441"/>
        <v>0</v>
      </c>
      <c r="P400" s="733">
        <f t="shared" si="441"/>
        <v>0</v>
      </c>
      <c r="Q400" s="734">
        <f t="shared" ref="Q400:Q411" si="442">SUM(F400:P400)</f>
        <v>0</v>
      </c>
      <c r="R400" s="733">
        <f>$R$6*$E$397</f>
        <v>0</v>
      </c>
      <c r="S400" s="733">
        <f>$S$6*$E$397</f>
        <v>0</v>
      </c>
      <c r="T400" s="733">
        <f ca="1">$T$6*$E$397</f>
        <v>0</v>
      </c>
      <c r="U400" s="733">
        <f ca="1">$U$6*$E$397</f>
        <v>0</v>
      </c>
    </row>
    <row r="401" spans="2:21" s="119" customFormat="1" ht="19.5" hidden="1" thickBot="1" x14ac:dyDescent="0.3">
      <c r="B401" s="301"/>
      <c r="C401" s="119">
        <f t="shared" si="440"/>
        <v>0</v>
      </c>
      <c r="D401" s="110" t="s">
        <v>92</v>
      </c>
      <c r="E401" s="76" t="s">
        <v>56</v>
      </c>
      <c r="F401" s="733">
        <f>$F$7*$E$397</f>
        <v>0</v>
      </c>
      <c r="G401" s="733">
        <f>$G$7*$E$397</f>
        <v>0</v>
      </c>
      <c r="H401" s="733">
        <f>$H$7*$E$397</f>
        <v>0</v>
      </c>
      <c r="I401" s="733">
        <f>$I$7*$E$397</f>
        <v>0</v>
      </c>
      <c r="J401" s="733">
        <f>$J$7*$E$397</f>
        <v>0</v>
      </c>
      <c r="K401" s="733">
        <f>K$7*$E$397</f>
        <v>0</v>
      </c>
      <c r="L401" s="733">
        <f t="shared" ref="L401:P401" si="443">L$7*$E$397</f>
        <v>0</v>
      </c>
      <c r="M401" s="733">
        <f t="shared" si="443"/>
        <v>0</v>
      </c>
      <c r="N401" s="733">
        <f t="shared" si="443"/>
        <v>0</v>
      </c>
      <c r="O401" s="733">
        <f t="shared" si="443"/>
        <v>0</v>
      </c>
      <c r="P401" s="733">
        <f t="shared" si="443"/>
        <v>0</v>
      </c>
      <c r="Q401" s="734">
        <f t="shared" si="442"/>
        <v>0</v>
      </c>
      <c r="R401" s="733">
        <f>$R$7*$E$397</f>
        <v>0</v>
      </c>
      <c r="S401" s="733">
        <f>$S$7*$E$397</f>
        <v>0</v>
      </c>
      <c r="T401" s="733">
        <f>$T$7*$E$397</f>
        <v>0</v>
      </c>
      <c r="U401" s="733">
        <f>$U$7*$E$397</f>
        <v>0</v>
      </c>
    </row>
    <row r="402" spans="2:21" s="119" customFormat="1" ht="19.5" hidden="1" thickBot="1" x14ac:dyDescent="0.3">
      <c r="B402" s="301"/>
      <c r="C402" s="119">
        <f t="shared" si="440"/>
        <v>0</v>
      </c>
      <c r="D402" s="110" t="s">
        <v>91</v>
      </c>
      <c r="E402" s="76" t="s">
        <v>55</v>
      </c>
      <c r="F402" s="733">
        <f>$F$8*$E$397</f>
        <v>0</v>
      </c>
      <c r="G402" s="733">
        <f>$G$8*$E$397</f>
        <v>0</v>
      </c>
      <c r="H402" s="733">
        <f>$H$8*$E$397</f>
        <v>0</v>
      </c>
      <c r="I402" s="733">
        <f>$I$8*$E$397</f>
        <v>0</v>
      </c>
      <c r="J402" s="733">
        <f>$J$8*$E$397</f>
        <v>0</v>
      </c>
      <c r="K402" s="733">
        <f>K$8*$E$397</f>
        <v>0</v>
      </c>
      <c r="L402" s="733">
        <f t="shared" ref="L402:P402" si="444">L$8*$E$397</f>
        <v>0</v>
      </c>
      <c r="M402" s="733">
        <f t="shared" si="444"/>
        <v>0</v>
      </c>
      <c r="N402" s="733">
        <f t="shared" si="444"/>
        <v>0</v>
      </c>
      <c r="O402" s="733">
        <f t="shared" si="444"/>
        <v>0</v>
      </c>
      <c r="P402" s="733">
        <f t="shared" si="444"/>
        <v>0</v>
      </c>
      <c r="Q402" s="734">
        <f t="shared" si="442"/>
        <v>0</v>
      </c>
      <c r="R402" s="733">
        <f>$R$8*$E$397</f>
        <v>0</v>
      </c>
      <c r="S402" s="733">
        <f>$S$8*$E$397</f>
        <v>0</v>
      </c>
      <c r="T402" s="733">
        <f ca="1">$T$8*$E$397</f>
        <v>0</v>
      </c>
      <c r="U402" s="733">
        <f ca="1">$U$8*$E$397</f>
        <v>0</v>
      </c>
    </row>
    <row r="403" spans="2:21" s="119" customFormat="1" ht="19.5" hidden="1" thickBot="1" x14ac:dyDescent="0.3">
      <c r="B403" s="301"/>
      <c r="C403" s="119">
        <f t="shared" si="440"/>
        <v>0</v>
      </c>
      <c r="D403" s="111" t="s">
        <v>117</v>
      </c>
      <c r="E403" s="76" t="s">
        <v>54</v>
      </c>
      <c r="F403" s="733">
        <f>$F$9*$E$397</f>
        <v>0</v>
      </c>
      <c r="G403" s="733">
        <f>$G$9*$E$397</f>
        <v>0</v>
      </c>
      <c r="H403" s="733">
        <f>$H$9*$E$397</f>
        <v>0</v>
      </c>
      <c r="I403" s="733">
        <f>$I$9*$E$397</f>
        <v>0</v>
      </c>
      <c r="J403" s="733">
        <f>$J$9*$E$397</f>
        <v>0</v>
      </c>
      <c r="K403" s="733">
        <f>K$9*$E$397</f>
        <v>0</v>
      </c>
      <c r="L403" s="733">
        <f t="shared" ref="L403:P403" si="445">L$9*$E$397</f>
        <v>0</v>
      </c>
      <c r="M403" s="733">
        <f t="shared" si="445"/>
        <v>0</v>
      </c>
      <c r="N403" s="733">
        <f t="shared" si="445"/>
        <v>0</v>
      </c>
      <c r="O403" s="733">
        <f t="shared" si="445"/>
        <v>0</v>
      </c>
      <c r="P403" s="733">
        <f t="shared" si="445"/>
        <v>0</v>
      </c>
      <c r="Q403" s="734">
        <f t="shared" si="442"/>
        <v>0</v>
      </c>
      <c r="R403" s="733">
        <f>$R$9*$E$397</f>
        <v>0</v>
      </c>
      <c r="S403" s="733">
        <f>$S$9*$E$397</f>
        <v>0</v>
      </c>
      <c r="T403" s="733">
        <f>$T$9*$E$397</f>
        <v>0</v>
      </c>
      <c r="U403" s="733">
        <f>$U$9*$E$397</f>
        <v>0</v>
      </c>
    </row>
    <row r="404" spans="2:21" s="119" customFormat="1" ht="19.5" hidden="1" thickBot="1" x14ac:dyDescent="0.35">
      <c r="B404" s="301"/>
      <c r="C404" s="119">
        <f t="shared" si="440"/>
        <v>0</v>
      </c>
      <c r="D404" s="112" t="s">
        <v>31</v>
      </c>
      <c r="E404" s="76"/>
      <c r="F404" s="750"/>
      <c r="G404" s="735"/>
      <c r="H404" s="736"/>
      <c r="I404" s="735"/>
      <c r="J404" s="735"/>
      <c r="K404" s="735"/>
      <c r="L404" s="735"/>
      <c r="M404" s="735"/>
      <c r="N404" s="735"/>
      <c r="O404" s="735"/>
      <c r="P404" s="735"/>
      <c r="Q404" s="734">
        <f t="shared" si="442"/>
        <v>0</v>
      </c>
      <c r="R404" s="739"/>
      <c r="S404" s="735"/>
      <c r="T404" s="740"/>
      <c r="U404" s="741"/>
    </row>
    <row r="405" spans="2:21" s="119" customFormat="1" ht="19.5" hidden="1" thickBot="1" x14ac:dyDescent="0.35">
      <c r="B405" s="301"/>
      <c r="C405" s="119">
        <f t="shared" si="440"/>
        <v>0</v>
      </c>
      <c r="D405" s="113" t="s">
        <v>118</v>
      </c>
      <c r="E405" s="76" t="s">
        <v>53</v>
      </c>
      <c r="F405" s="733">
        <f>$F$11*$E$397</f>
        <v>0</v>
      </c>
      <c r="G405" s="733">
        <f>$G$11*$E$397</f>
        <v>0</v>
      </c>
      <c r="H405" s="733">
        <f>$H$11*$E$397</f>
        <v>0</v>
      </c>
      <c r="I405" s="733">
        <f>$I$11*$E$397</f>
        <v>0</v>
      </c>
      <c r="J405" s="733">
        <f>$J$11*$E$397</f>
        <v>0</v>
      </c>
      <c r="K405" s="733">
        <f>K$11*$E$397</f>
        <v>0</v>
      </c>
      <c r="L405" s="733">
        <f t="shared" ref="L405:P405" si="446">L$11*$E$397</f>
        <v>0</v>
      </c>
      <c r="M405" s="733">
        <f t="shared" si="446"/>
        <v>0</v>
      </c>
      <c r="N405" s="733">
        <f t="shared" si="446"/>
        <v>0</v>
      </c>
      <c r="O405" s="733">
        <f t="shared" si="446"/>
        <v>0</v>
      </c>
      <c r="P405" s="733">
        <f t="shared" si="446"/>
        <v>0</v>
      </c>
      <c r="Q405" s="734">
        <f t="shared" si="442"/>
        <v>0</v>
      </c>
      <c r="R405" s="733">
        <f>$R$11*$E$397</f>
        <v>0</v>
      </c>
      <c r="S405" s="733">
        <f>$S$11*$E$397</f>
        <v>0</v>
      </c>
      <c r="T405" s="733">
        <f>$T$11*$E$397</f>
        <v>0</v>
      </c>
      <c r="U405" s="733">
        <f>$U$11*$E$397</f>
        <v>0</v>
      </c>
    </row>
    <row r="406" spans="2:21" s="119" customFormat="1" ht="19.5" hidden="1" thickBot="1" x14ac:dyDescent="0.35">
      <c r="B406" s="301"/>
      <c r="C406" s="119">
        <f t="shared" si="440"/>
        <v>0</v>
      </c>
      <c r="D406" s="113" t="s">
        <v>119</v>
      </c>
      <c r="E406" s="76" t="s">
        <v>52</v>
      </c>
      <c r="F406" s="733">
        <f>$F$12*$E$397</f>
        <v>0</v>
      </c>
      <c r="G406" s="733">
        <f>$G$12*$E$397</f>
        <v>0</v>
      </c>
      <c r="H406" s="733">
        <f>$H$12*$E$397</f>
        <v>0</v>
      </c>
      <c r="I406" s="733">
        <f>$I$12*$E$397</f>
        <v>0</v>
      </c>
      <c r="J406" s="733">
        <f>$J$12*$E$397</f>
        <v>0</v>
      </c>
      <c r="K406" s="733">
        <f>K$12*$E$397</f>
        <v>0</v>
      </c>
      <c r="L406" s="733">
        <f t="shared" ref="L406:P406" si="447">L$12*$E$397</f>
        <v>0</v>
      </c>
      <c r="M406" s="733">
        <f t="shared" si="447"/>
        <v>0</v>
      </c>
      <c r="N406" s="733">
        <f t="shared" si="447"/>
        <v>0</v>
      </c>
      <c r="O406" s="733">
        <f t="shared" si="447"/>
        <v>0</v>
      </c>
      <c r="P406" s="733">
        <f t="shared" si="447"/>
        <v>0</v>
      </c>
      <c r="Q406" s="734">
        <f t="shared" si="442"/>
        <v>0</v>
      </c>
      <c r="R406" s="733">
        <f>$R$12*$E$397</f>
        <v>0</v>
      </c>
      <c r="S406" s="733">
        <f>$S$12*$E$397</f>
        <v>0</v>
      </c>
      <c r="T406" s="733">
        <f>$T$12*$E$397</f>
        <v>0</v>
      </c>
      <c r="U406" s="733">
        <f>$U$12*$E$397</f>
        <v>0</v>
      </c>
    </row>
    <row r="407" spans="2:21" s="119" customFormat="1" ht="19.5" hidden="1" thickBot="1" x14ac:dyDescent="0.35">
      <c r="B407" s="301"/>
      <c r="C407" s="119">
        <f t="shared" si="440"/>
        <v>0</v>
      </c>
      <c r="D407" s="113" t="s">
        <v>120</v>
      </c>
      <c r="E407" s="76" t="s">
        <v>51</v>
      </c>
      <c r="F407" s="733">
        <f>$F$13*$E$397</f>
        <v>0</v>
      </c>
      <c r="G407" s="733">
        <f>$G$13*$E$397</f>
        <v>0</v>
      </c>
      <c r="H407" s="733">
        <f>$H$13*$E$397</f>
        <v>0</v>
      </c>
      <c r="I407" s="733">
        <f>$I$13*$E$397</f>
        <v>0</v>
      </c>
      <c r="J407" s="733">
        <f>$J$13*$E$397</f>
        <v>0</v>
      </c>
      <c r="K407" s="733">
        <f>K$13*$E$397</f>
        <v>0</v>
      </c>
      <c r="L407" s="733">
        <f t="shared" ref="L407:P407" si="448">L$13*$E$397</f>
        <v>0</v>
      </c>
      <c r="M407" s="733">
        <f t="shared" si="448"/>
        <v>0</v>
      </c>
      <c r="N407" s="733">
        <f t="shared" si="448"/>
        <v>0</v>
      </c>
      <c r="O407" s="733">
        <f t="shared" si="448"/>
        <v>0</v>
      </c>
      <c r="P407" s="733">
        <f t="shared" si="448"/>
        <v>0</v>
      </c>
      <c r="Q407" s="734">
        <f t="shared" si="442"/>
        <v>0</v>
      </c>
      <c r="R407" s="733">
        <f>$R$13*$E$397</f>
        <v>0</v>
      </c>
      <c r="S407" s="733">
        <f>$S$13*$E$397</f>
        <v>0</v>
      </c>
      <c r="T407" s="733">
        <f>$T$13*$E$397</f>
        <v>0</v>
      </c>
      <c r="U407" s="733">
        <f>$U$13*$E$397</f>
        <v>0</v>
      </c>
    </row>
    <row r="408" spans="2:21" s="119" customFormat="1" ht="19.5" hidden="1" thickBot="1" x14ac:dyDescent="0.35">
      <c r="B408" s="301"/>
      <c r="C408" s="119">
        <f t="shared" si="440"/>
        <v>0</v>
      </c>
      <c r="D408" s="113" t="s">
        <v>121</v>
      </c>
      <c r="E408" s="76" t="s">
        <v>50</v>
      </c>
      <c r="F408" s="733">
        <f>$F$14*$E$397</f>
        <v>0</v>
      </c>
      <c r="G408" s="733">
        <f>$G$14*$E$397</f>
        <v>0</v>
      </c>
      <c r="H408" s="733">
        <f>$H$14*$E$397</f>
        <v>0</v>
      </c>
      <c r="I408" s="733">
        <f>$I$14*$E$397</f>
        <v>0</v>
      </c>
      <c r="J408" s="733">
        <f>$J$14*$E$397</f>
        <v>0</v>
      </c>
      <c r="K408" s="733">
        <f>K$14*$E$397</f>
        <v>0</v>
      </c>
      <c r="L408" s="733">
        <f t="shared" ref="L408:P408" si="449">L$14*$E$397</f>
        <v>0</v>
      </c>
      <c r="M408" s="733">
        <f t="shared" si="449"/>
        <v>0</v>
      </c>
      <c r="N408" s="733">
        <f t="shared" si="449"/>
        <v>0</v>
      </c>
      <c r="O408" s="733">
        <f t="shared" si="449"/>
        <v>0</v>
      </c>
      <c r="P408" s="733">
        <f t="shared" si="449"/>
        <v>0</v>
      </c>
      <c r="Q408" s="734">
        <f t="shared" si="442"/>
        <v>0</v>
      </c>
      <c r="R408" s="733">
        <f>$R$14*$E$397</f>
        <v>0</v>
      </c>
      <c r="S408" s="733">
        <f>$S$14*$E$397</f>
        <v>0</v>
      </c>
      <c r="T408" s="733">
        <f>$T$14*$E$397</f>
        <v>0</v>
      </c>
      <c r="U408" s="733">
        <f>$U$14*$E$397</f>
        <v>0</v>
      </c>
    </row>
    <row r="409" spans="2:21" s="119" customFormat="1" ht="19.5" hidden="1" thickBot="1" x14ac:dyDescent="0.35">
      <c r="B409" s="301"/>
      <c r="C409" s="119">
        <f t="shared" si="440"/>
        <v>0</v>
      </c>
      <c r="D409" s="113" t="s">
        <v>122</v>
      </c>
      <c r="E409" s="76" t="s">
        <v>49</v>
      </c>
      <c r="F409" s="733">
        <f>$F$15*$E$397</f>
        <v>0</v>
      </c>
      <c r="G409" s="733">
        <f>$G$15*$E$397</f>
        <v>0</v>
      </c>
      <c r="H409" s="733">
        <f>$H$15*$E$397</f>
        <v>0</v>
      </c>
      <c r="I409" s="733">
        <f>$I$15*$E$397</f>
        <v>0</v>
      </c>
      <c r="J409" s="733">
        <f>$J$15*$E$397</f>
        <v>0</v>
      </c>
      <c r="K409" s="733">
        <f>K$15*$E$397</f>
        <v>0</v>
      </c>
      <c r="L409" s="733">
        <f t="shared" ref="L409:P409" si="450">L$15*$E$397</f>
        <v>0</v>
      </c>
      <c r="M409" s="733">
        <f t="shared" si="450"/>
        <v>0</v>
      </c>
      <c r="N409" s="733">
        <f t="shared" si="450"/>
        <v>0</v>
      </c>
      <c r="O409" s="733">
        <f t="shared" si="450"/>
        <v>0</v>
      </c>
      <c r="P409" s="733">
        <f t="shared" si="450"/>
        <v>0</v>
      </c>
      <c r="Q409" s="734">
        <f t="shared" si="442"/>
        <v>0</v>
      </c>
      <c r="R409" s="733">
        <f>$R$15*$E$397</f>
        <v>0</v>
      </c>
      <c r="S409" s="733">
        <f>$S$15*$E$397</f>
        <v>0</v>
      </c>
      <c r="T409" s="733">
        <f>$T$15*$E$397</f>
        <v>0</v>
      </c>
      <c r="U409" s="733">
        <f>$U$15*$E$397</f>
        <v>0</v>
      </c>
    </row>
    <row r="410" spans="2:21" s="119" customFormat="1" ht="19.5" hidden="1" thickBot="1" x14ac:dyDescent="0.35">
      <c r="B410" s="301"/>
      <c r="C410" s="119">
        <f t="shared" si="440"/>
        <v>0</v>
      </c>
      <c r="D410" s="113" t="s">
        <v>123</v>
      </c>
      <c r="E410" s="76" t="s">
        <v>47</v>
      </c>
      <c r="F410" s="733">
        <f>$F$16*$E$397</f>
        <v>0</v>
      </c>
      <c r="G410" s="733">
        <f>$G$16*$E$397</f>
        <v>0</v>
      </c>
      <c r="H410" s="733">
        <f>$H$16*$E$397</f>
        <v>0</v>
      </c>
      <c r="I410" s="733">
        <f>$I$16*$E$397</f>
        <v>0</v>
      </c>
      <c r="J410" s="733">
        <f>$J$16*$E$397</f>
        <v>0</v>
      </c>
      <c r="K410" s="733">
        <f>K$16*$E$397</f>
        <v>0</v>
      </c>
      <c r="L410" s="733">
        <f t="shared" ref="L410:P410" si="451">L$16*$E$397</f>
        <v>0</v>
      </c>
      <c r="M410" s="733">
        <f t="shared" si="451"/>
        <v>0</v>
      </c>
      <c r="N410" s="733">
        <f t="shared" si="451"/>
        <v>0</v>
      </c>
      <c r="O410" s="733">
        <f t="shared" si="451"/>
        <v>0</v>
      </c>
      <c r="P410" s="733">
        <f t="shared" si="451"/>
        <v>0</v>
      </c>
      <c r="Q410" s="734">
        <f t="shared" si="442"/>
        <v>0</v>
      </c>
      <c r="R410" s="733">
        <f>$R$16*$E$397</f>
        <v>0</v>
      </c>
      <c r="S410" s="733">
        <f>$S$16*$E$397</f>
        <v>0</v>
      </c>
      <c r="T410" s="733">
        <f>$T$16*$E$397</f>
        <v>0</v>
      </c>
      <c r="U410" s="733">
        <f>$U$16*$E$397</f>
        <v>0</v>
      </c>
    </row>
    <row r="411" spans="2:21" s="119" customFormat="1" ht="19.5" hidden="1" thickBot="1" x14ac:dyDescent="0.35">
      <c r="B411" s="301"/>
      <c r="C411" s="119">
        <f t="shared" si="440"/>
        <v>0</v>
      </c>
      <c r="D411" s="114" t="s">
        <v>16</v>
      </c>
      <c r="E411" s="70" t="s">
        <v>77</v>
      </c>
      <c r="F411" s="733">
        <f>$F$17*$E$397</f>
        <v>0</v>
      </c>
      <c r="G411" s="733">
        <f>$G$17*$E$397</f>
        <v>0</v>
      </c>
      <c r="H411" s="733">
        <f>$H$17*$E$397</f>
        <v>0</v>
      </c>
      <c r="I411" s="733">
        <f>$I$17*$E$397</f>
        <v>0</v>
      </c>
      <c r="J411" s="733">
        <f>$J$17*$E$397</f>
        <v>0</v>
      </c>
      <c r="K411" s="733">
        <f>K$17*$E$397</f>
        <v>0</v>
      </c>
      <c r="L411" s="733">
        <f t="shared" ref="L411:P411" si="452">L$17*$E$397</f>
        <v>0</v>
      </c>
      <c r="M411" s="733">
        <f t="shared" si="452"/>
        <v>0</v>
      </c>
      <c r="N411" s="733">
        <f t="shared" si="452"/>
        <v>0</v>
      </c>
      <c r="O411" s="733">
        <f t="shared" si="452"/>
        <v>0</v>
      </c>
      <c r="P411" s="733">
        <f t="shared" si="452"/>
        <v>0</v>
      </c>
      <c r="Q411" s="734">
        <f t="shared" si="442"/>
        <v>0</v>
      </c>
      <c r="R411" s="733">
        <f>$R$17*$E$397</f>
        <v>0</v>
      </c>
      <c r="S411" s="733">
        <f>$S$17*$E$397</f>
        <v>0</v>
      </c>
      <c r="T411" s="733">
        <f ca="1">$T$17*$E$397</f>
        <v>0</v>
      </c>
      <c r="U411" s="733">
        <f ca="1">$U$17*$E$397</f>
        <v>0</v>
      </c>
    </row>
    <row r="412" spans="2:21" s="119" customFormat="1" ht="19.5" hidden="1" thickBot="1" x14ac:dyDescent="0.35">
      <c r="B412" s="301"/>
      <c r="C412" s="119">
        <f t="shared" si="440"/>
        <v>0</v>
      </c>
      <c r="D412" s="115" t="s">
        <v>124</v>
      </c>
      <c r="E412" s="116" t="s">
        <v>78</v>
      </c>
      <c r="F412" s="742">
        <f t="shared" ref="F412:U412" si="453">SUBTOTAL(9,F400:F411)</f>
        <v>0</v>
      </c>
      <c r="G412" s="742">
        <f>SUBTOTAL(9,G400:G411)</f>
        <v>0</v>
      </c>
      <c r="H412" s="742">
        <f>SUBTOTAL(9,H400:H411)</f>
        <v>0</v>
      </c>
      <c r="I412" s="742">
        <f>SUBTOTAL(9,I400:I411)</f>
        <v>0</v>
      </c>
      <c r="J412" s="742">
        <f>SUBTOTAL(9,J400:J411)</f>
        <v>0</v>
      </c>
      <c r="K412" s="742">
        <f t="shared" ref="K412:P412" si="454">SUBTOTAL(9,K400:K411)</f>
        <v>0</v>
      </c>
      <c r="L412" s="742">
        <f t="shared" si="454"/>
        <v>0</v>
      </c>
      <c r="M412" s="742">
        <f t="shared" si="454"/>
        <v>0</v>
      </c>
      <c r="N412" s="742">
        <f t="shared" si="454"/>
        <v>0</v>
      </c>
      <c r="O412" s="742">
        <f t="shared" si="454"/>
        <v>0</v>
      </c>
      <c r="P412" s="742">
        <f t="shared" si="454"/>
        <v>0</v>
      </c>
      <c r="Q412" s="743">
        <f>SUBTOTAL(9,Q400:Q411)</f>
        <v>0</v>
      </c>
      <c r="R412" s="742">
        <f t="shared" si="453"/>
        <v>0</v>
      </c>
      <c r="S412" s="742">
        <f t="shared" si="453"/>
        <v>0</v>
      </c>
      <c r="T412" s="742">
        <f t="shared" si="453"/>
        <v>0</v>
      </c>
      <c r="U412" s="742">
        <f t="shared" si="453"/>
        <v>0</v>
      </c>
    </row>
    <row r="413" spans="2:21" s="119" customFormat="1" ht="19.5" hidden="1" thickBot="1" x14ac:dyDescent="0.3">
      <c r="B413" s="340"/>
      <c r="D413" s="117"/>
      <c r="E413" s="117"/>
      <c r="F413" s="118"/>
      <c r="G413" s="118"/>
      <c r="I413" s="118"/>
      <c r="J413" s="118"/>
      <c r="K413" s="118"/>
      <c r="L413" s="118"/>
      <c r="O413" s="118"/>
      <c r="Q413" s="120"/>
      <c r="R413" s="117"/>
      <c r="S413" s="118"/>
      <c r="U413" s="118"/>
    </row>
    <row r="414" spans="2:21" ht="75" x14ac:dyDescent="0.25">
      <c r="C414" s="117">
        <f>IF($E414&gt;0,1,0)</f>
        <v>1</v>
      </c>
      <c r="D414" s="96" t="str">
        <f>A27</f>
        <v>Kings</v>
      </c>
      <c r="E414" s="166">
        <f>IFERROR(SUMIF(A:A,D414,B:B),0)</f>
        <v>0.29256738892740358</v>
      </c>
      <c r="F414" s="98" t="s">
        <v>356</v>
      </c>
      <c r="G414" s="98" t="s">
        <v>373</v>
      </c>
      <c r="H414" s="98" t="s">
        <v>358</v>
      </c>
      <c r="I414" s="98" t="s">
        <v>109</v>
      </c>
      <c r="J414" s="98" t="s">
        <v>111</v>
      </c>
      <c r="K414" s="98" t="s">
        <v>469</v>
      </c>
      <c r="L414" s="98" t="s">
        <v>470</v>
      </c>
      <c r="M414" s="98" t="s">
        <v>357</v>
      </c>
      <c r="N414" s="509" t="s">
        <v>471</v>
      </c>
      <c r="O414" s="98" t="s">
        <v>472</v>
      </c>
      <c r="P414" s="98" t="s">
        <v>110</v>
      </c>
      <c r="Q414" s="99" t="s">
        <v>116</v>
      </c>
      <c r="R414" s="98" t="s">
        <v>112</v>
      </c>
      <c r="S414" s="98" t="s">
        <v>113</v>
      </c>
      <c r="T414" s="98" t="s">
        <v>114</v>
      </c>
      <c r="U414" s="98" t="s">
        <v>115</v>
      </c>
    </row>
    <row r="415" spans="2:21" ht="18.75" x14ac:dyDescent="0.25">
      <c r="C415" s="117">
        <f>C414</f>
        <v>1</v>
      </c>
      <c r="D415" s="101"/>
      <c r="E415" s="102"/>
      <c r="F415" s="84" t="s">
        <v>57</v>
      </c>
      <c r="G415" s="84" t="s">
        <v>56</v>
      </c>
      <c r="H415" s="84" t="s">
        <v>55</v>
      </c>
      <c r="I415" s="84" t="s">
        <v>54</v>
      </c>
      <c r="J415" s="84" t="s">
        <v>53</v>
      </c>
      <c r="K415" s="84" t="s">
        <v>52</v>
      </c>
      <c r="L415" s="84" t="s">
        <v>51</v>
      </c>
      <c r="M415" s="84" t="s">
        <v>50</v>
      </c>
      <c r="N415" s="84" t="s">
        <v>49</v>
      </c>
      <c r="O415" s="84" t="s">
        <v>47</v>
      </c>
      <c r="P415" s="84" t="s">
        <v>77</v>
      </c>
      <c r="Q415" s="83" t="s">
        <v>78</v>
      </c>
      <c r="R415" s="84" t="s">
        <v>79</v>
      </c>
      <c r="S415" s="84" t="s">
        <v>81</v>
      </c>
      <c r="T415" s="84" t="s">
        <v>83</v>
      </c>
      <c r="U415" s="84" t="s">
        <v>85</v>
      </c>
    </row>
    <row r="416" spans="2:21" ht="18.75" x14ac:dyDescent="0.25">
      <c r="C416" s="117">
        <f t="shared" ref="C416:C429" si="455">C415</f>
        <v>1</v>
      </c>
      <c r="D416" s="103" t="s">
        <v>26</v>
      </c>
      <c r="E416" s="104"/>
      <c r="F416" s="745"/>
      <c r="G416" s="745"/>
      <c r="H416" s="784"/>
      <c r="I416" s="745"/>
      <c r="J416" s="745"/>
      <c r="K416" s="745"/>
      <c r="L416" s="745"/>
      <c r="M416" s="784"/>
      <c r="N416" s="784"/>
      <c r="O416" s="745"/>
      <c r="P416" s="784"/>
      <c r="Q416" s="747"/>
      <c r="R416" s="748"/>
      <c r="S416" s="745"/>
      <c r="T416" s="784"/>
      <c r="U416" s="749"/>
    </row>
    <row r="417" spans="2:21" ht="18.75" x14ac:dyDescent="0.25">
      <c r="C417" s="117">
        <f t="shared" si="455"/>
        <v>1</v>
      </c>
      <c r="D417" s="763" t="s">
        <v>93</v>
      </c>
      <c r="E417" s="84" t="s">
        <v>57</v>
      </c>
      <c r="F417" s="733">
        <f>$F$6*$E$414</f>
        <v>36931828.281166993</v>
      </c>
      <c r="G417" s="733">
        <f>$G$6*$E$414</f>
        <v>2557930.0487962896</v>
      </c>
      <c r="H417" s="733">
        <f>$H$6*$E$414</f>
        <v>5735.1575657094427</v>
      </c>
      <c r="I417" s="733">
        <f>$I$6*$E$414</f>
        <v>918866.76118785865</v>
      </c>
      <c r="J417" s="733">
        <f>$J$6*$E$414</f>
        <v>670374.76057797624</v>
      </c>
      <c r="K417" s="733">
        <f>K$6*$E$414</f>
        <v>36065.838201355065</v>
      </c>
      <c r="L417" s="733">
        <f t="shared" ref="L417:P417" si="456">L$6*$E$414</f>
        <v>0</v>
      </c>
      <c r="M417" s="733">
        <f t="shared" si="456"/>
        <v>26198.005354982139</v>
      </c>
      <c r="N417" s="733">
        <f>N$6*$E$414</f>
        <v>0</v>
      </c>
      <c r="O417" s="733">
        <f t="shared" si="456"/>
        <v>171109.69334561331</v>
      </c>
      <c r="P417" s="733">
        <f t="shared" si="456"/>
        <v>0</v>
      </c>
      <c r="Q417" s="734">
        <f t="shared" ref="Q417:Q428" si="457">SUM(F417:P417)</f>
        <v>41318108.546196781</v>
      </c>
      <c r="R417" s="733">
        <f>$R$6*$E$414</f>
        <v>0</v>
      </c>
      <c r="S417" s="733">
        <f>$S$6*$E$414</f>
        <v>3155433.1832341761</v>
      </c>
      <c r="T417" s="733">
        <f ca="1">$T$6*$E$414</f>
        <v>1300844.8692203523</v>
      </c>
      <c r="U417" s="733">
        <f ca="1">$U$6*$E$414</f>
        <v>974391.60532473016</v>
      </c>
    </row>
    <row r="418" spans="2:21" ht="18.75" x14ac:dyDescent="0.25">
      <c r="C418" s="117">
        <f t="shared" si="455"/>
        <v>1</v>
      </c>
      <c r="D418" s="765" t="s">
        <v>92</v>
      </c>
      <c r="E418" s="84" t="s">
        <v>56</v>
      </c>
      <c r="F418" s="733">
        <f>$F$7*$E$414</f>
        <v>0</v>
      </c>
      <c r="G418" s="733">
        <f>$G$7*$E$414</f>
        <v>0</v>
      </c>
      <c r="H418" s="733">
        <f>$H$7*$E$414</f>
        <v>0</v>
      </c>
      <c r="I418" s="733">
        <f>$I$7*$E$414</f>
        <v>0</v>
      </c>
      <c r="J418" s="733">
        <f>$J$7*$E$414</f>
        <v>0</v>
      </c>
      <c r="K418" s="733">
        <f>K$7*$E$414</f>
        <v>0</v>
      </c>
      <c r="L418" s="733">
        <f t="shared" ref="L418:P418" si="458">L$7*$E$414</f>
        <v>0</v>
      </c>
      <c r="M418" s="733">
        <f t="shared" si="458"/>
        <v>0</v>
      </c>
      <c r="N418" s="733">
        <f>N$7*$E$414</f>
        <v>0</v>
      </c>
      <c r="O418" s="733">
        <f t="shared" si="458"/>
        <v>0</v>
      </c>
      <c r="P418" s="733">
        <f t="shared" si="458"/>
        <v>0</v>
      </c>
      <c r="Q418" s="734">
        <f t="shared" si="457"/>
        <v>0</v>
      </c>
      <c r="R418" s="733">
        <f>$R$7*$E$414</f>
        <v>0</v>
      </c>
      <c r="S418" s="733">
        <f>$S$7*$E$414</f>
        <v>0</v>
      </c>
      <c r="T418" s="733">
        <f>$T$7*$E$414</f>
        <v>0</v>
      </c>
      <c r="U418" s="733">
        <f>$U$7*$E$414</f>
        <v>0</v>
      </c>
    </row>
    <row r="419" spans="2:21" ht="18.75" x14ac:dyDescent="0.25">
      <c r="C419" s="117">
        <f t="shared" si="455"/>
        <v>1</v>
      </c>
      <c r="D419" s="765" t="s">
        <v>91</v>
      </c>
      <c r="E419" s="84" t="s">
        <v>55</v>
      </c>
      <c r="F419" s="733">
        <f>$F$8*$E$414</f>
        <v>328725.79252494138</v>
      </c>
      <c r="G419" s="733">
        <f>$G$8*$E$414</f>
        <v>0</v>
      </c>
      <c r="H419" s="733">
        <f>$H$8*$E$414</f>
        <v>0</v>
      </c>
      <c r="I419" s="733">
        <f>$I$8*$E$414</f>
        <v>5492.9527271120023</v>
      </c>
      <c r="J419" s="733">
        <f>$J$8*$E$414</f>
        <v>0</v>
      </c>
      <c r="K419" s="733">
        <f>K$8*$E$414</f>
        <v>0</v>
      </c>
      <c r="L419" s="733">
        <f t="shared" ref="L419:P419" si="459">L$8*$E$414</f>
        <v>0</v>
      </c>
      <c r="M419" s="733">
        <f t="shared" si="459"/>
        <v>0</v>
      </c>
      <c r="N419" s="733">
        <f>N$8*$E$414</f>
        <v>0</v>
      </c>
      <c r="O419" s="733">
        <f t="shared" si="459"/>
        <v>9865.3723546320489</v>
      </c>
      <c r="P419" s="733">
        <f t="shared" si="459"/>
        <v>0</v>
      </c>
      <c r="Q419" s="734">
        <f t="shared" si="457"/>
        <v>344084.11760668544</v>
      </c>
      <c r="R419" s="733">
        <f>$R$8*$E$414</f>
        <v>0</v>
      </c>
      <c r="S419" s="733">
        <f>$S$8*$E$414</f>
        <v>9933.1836240376415</v>
      </c>
      <c r="T419" s="733">
        <f ca="1">$T$8*$E$414</f>
        <v>4064.7542365156132</v>
      </c>
      <c r="U419" s="733">
        <f ca="1">$U$8*$E$414</f>
        <v>405.49717944015322</v>
      </c>
    </row>
    <row r="420" spans="2:21" ht="18.75" x14ac:dyDescent="0.25">
      <c r="C420" s="117">
        <f t="shared" si="455"/>
        <v>1</v>
      </c>
      <c r="D420" s="766" t="s">
        <v>117</v>
      </c>
      <c r="E420" s="84" t="s">
        <v>54</v>
      </c>
      <c r="F420" s="733">
        <f>$F$9*$E$414</f>
        <v>0</v>
      </c>
      <c r="G420" s="733">
        <f>$G$9*$E$414</f>
        <v>0</v>
      </c>
      <c r="H420" s="733">
        <f>$H$9*$E$414</f>
        <v>0</v>
      </c>
      <c r="I420" s="733">
        <f>$I$9*$E$414</f>
        <v>0</v>
      </c>
      <c r="J420" s="733">
        <f>$J$9*$E$414</f>
        <v>0</v>
      </c>
      <c r="K420" s="733">
        <f>K$9*$E$414</f>
        <v>0</v>
      </c>
      <c r="L420" s="733">
        <f t="shared" ref="L420:P420" si="460">L$9*$E$414</f>
        <v>0</v>
      </c>
      <c r="M420" s="733">
        <f t="shared" si="460"/>
        <v>0</v>
      </c>
      <c r="N420" s="733">
        <f>N$9*$E$414</f>
        <v>0</v>
      </c>
      <c r="O420" s="733">
        <f t="shared" si="460"/>
        <v>0</v>
      </c>
      <c r="P420" s="733">
        <f t="shared" si="460"/>
        <v>0</v>
      </c>
      <c r="Q420" s="734">
        <f t="shared" si="457"/>
        <v>0</v>
      </c>
      <c r="R420" s="733">
        <f>$R$9*$E$414</f>
        <v>0</v>
      </c>
      <c r="S420" s="733">
        <f>$S$9*$E$414</f>
        <v>0</v>
      </c>
      <c r="T420" s="733">
        <f>$T$9*$E$414</f>
        <v>0</v>
      </c>
      <c r="U420" s="733">
        <f>$U$9*$E$414</f>
        <v>0</v>
      </c>
    </row>
    <row r="421" spans="2:21" ht="18.75" x14ac:dyDescent="0.25">
      <c r="C421" s="117">
        <f t="shared" si="455"/>
        <v>1</v>
      </c>
      <c r="D421" s="112" t="s">
        <v>31</v>
      </c>
      <c r="E421" s="84"/>
      <c r="F421" s="767"/>
      <c r="G421" s="768"/>
      <c r="H421" s="769"/>
      <c r="I421" s="768"/>
      <c r="J421" s="768"/>
      <c r="K421" s="768"/>
      <c r="L421" s="768"/>
      <c r="M421" s="768"/>
      <c r="N421" s="768"/>
      <c r="O421" s="768"/>
      <c r="P421" s="768"/>
      <c r="Q421" s="734">
        <f t="shared" si="457"/>
        <v>0</v>
      </c>
      <c r="R421" s="772"/>
      <c r="S421" s="768"/>
      <c r="T421" s="773"/>
      <c r="U421" s="774"/>
    </row>
    <row r="422" spans="2:21" ht="18.75" x14ac:dyDescent="0.25">
      <c r="C422" s="117">
        <f t="shared" si="455"/>
        <v>1</v>
      </c>
      <c r="D422" s="775" t="s">
        <v>118</v>
      </c>
      <c r="E422" s="84" t="s">
        <v>53</v>
      </c>
      <c r="F422" s="733">
        <f>$F$11*$E$414</f>
        <v>0</v>
      </c>
      <c r="G422" s="733">
        <f>$G$11*$E$414</f>
        <v>0</v>
      </c>
      <c r="H422" s="733">
        <f>$H$11*$E$414</f>
        <v>0</v>
      </c>
      <c r="I422" s="733">
        <f>$I$11*$E$414</f>
        <v>0</v>
      </c>
      <c r="J422" s="733">
        <f>$J$11*$E$414</f>
        <v>0</v>
      </c>
      <c r="K422" s="733">
        <f>K$11*$E$414</f>
        <v>0</v>
      </c>
      <c r="L422" s="733">
        <f t="shared" ref="L422:P422" si="461">L$11*$E$414</f>
        <v>0</v>
      </c>
      <c r="M422" s="733">
        <f t="shared" si="461"/>
        <v>0</v>
      </c>
      <c r="N422" s="733">
        <f>N$11*$E$414</f>
        <v>0</v>
      </c>
      <c r="O422" s="733">
        <f t="shared" si="461"/>
        <v>0</v>
      </c>
      <c r="P422" s="733">
        <f t="shared" si="461"/>
        <v>0</v>
      </c>
      <c r="Q422" s="734">
        <f t="shared" si="457"/>
        <v>0</v>
      </c>
      <c r="R422" s="733">
        <f>$R$11*$E$414</f>
        <v>0</v>
      </c>
      <c r="S422" s="733">
        <f>$S$11*$E$414</f>
        <v>0</v>
      </c>
      <c r="T422" s="733">
        <f>$T$11*$E$414</f>
        <v>0</v>
      </c>
      <c r="U422" s="733">
        <f>$U$11*$E$414</f>
        <v>0</v>
      </c>
    </row>
    <row r="423" spans="2:21" ht="18.75" x14ac:dyDescent="0.25">
      <c r="C423" s="117">
        <f t="shared" si="455"/>
        <v>1</v>
      </c>
      <c r="D423" s="775" t="s">
        <v>119</v>
      </c>
      <c r="E423" s="84" t="s">
        <v>52</v>
      </c>
      <c r="F423" s="733">
        <f>$F$12*$E$414</f>
        <v>0</v>
      </c>
      <c r="G423" s="733">
        <f>$G$12*$E$414</f>
        <v>0</v>
      </c>
      <c r="H423" s="733">
        <f>$H$12*$E$414</f>
        <v>0</v>
      </c>
      <c r="I423" s="733">
        <f>$I$12*$E$414</f>
        <v>0</v>
      </c>
      <c r="J423" s="733">
        <f>$J$12*$E$414</f>
        <v>0</v>
      </c>
      <c r="K423" s="733">
        <f>K$12*$E$414</f>
        <v>0</v>
      </c>
      <c r="L423" s="733">
        <f t="shared" ref="L423:P423" si="462">L$12*$E$414</f>
        <v>0</v>
      </c>
      <c r="M423" s="733">
        <f t="shared" si="462"/>
        <v>0</v>
      </c>
      <c r="N423" s="733">
        <f>N$12*$E$414</f>
        <v>0</v>
      </c>
      <c r="O423" s="733">
        <f t="shared" si="462"/>
        <v>0</v>
      </c>
      <c r="P423" s="733">
        <f t="shared" si="462"/>
        <v>0</v>
      </c>
      <c r="Q423" s="734">
        <f t="shared" si="457"/>
        <v>0</v>
      </c>
      <c r="R423" s="733">
        <f>$R$12*$E$414</f>
        <v>0</v>
      </c>
      <c r="S423" s="733">
        <f>$S$12*$E$414</f>
        <v>0</v>
      </c>
      <c r="T423" s="733">
        <f>$T$12*$E$414</f>
        <v>0</v>
      </c>
      <c r="U423" s="733">
        <f>$U$12*$E$414</f>
        <v>0</v>
      </c>
    </row>
    <row r="424" spans="2:21" ht="18.75" x14ac:dyDescent="0.25">
      <c r="C424" s="117">
        <f t="shared" si="455"/>
        <v>1</v>
      </c>
      <c r="D424" s="775" t="s">
        <v>120</v>
      </c>
      <c r="E424" s="84" t="s">
        <v>51</v>
      </c>
      <c r="F424" s="733">
        <f>$F$13*$E$414</f>
        <v>0</v>
      </c>
      <c r="G424" s="733">
        <f>$G$13*$E$414</f>
        <v>0</v>
      </c>
      <c r="H424" s="733">
        <f>$H$13*$E$414</f>
        <v>0</v>
      </c>
      <c r="I424" s="733">
        <f>$I$13*$E$414</f>
        <v>0</v>
      </c>
      <c r="J424" s="733">
        <f>$J$13*$E$414</f>
        <v>0</v>
      </c>
      <c r="K424" s="733">
        <f>K$13*$E$414</f>
        <v>0</v>
      </c>
      <c r="L424" s="733">
        <f t="shared" ref="L424:P424" si="463">L$13*$E$414</f>
        <v>0</v>
      </c>
      <c r="M424" s="733">
        <f t="shared" si="463"/>
        <v>0</v>
      </c>
      <c r="N424" s="733">
        <f>N$13*$E$414</f>
        <v>0</v>
      </c>
      <c r="O424" s="733">
        <f t="shared" si="463"/>
        <v>0</v>
      </c>
      <c r="P424" s="733">
        <f t="shared" si="463"/>
        <v>0</v>
      </c>
      <c r="Q424" s="734">
        <f t="shared" si="457"/>
        <v>0</v>
      </c>
      <c r="R424" s="733">
        <f>$R$13*$E$414</f>
        <v>0</v>
      </c>
      <c r="S424" s="733">
        <f>$S$13*$E$414</f>
        <v>0</v>
      </c>
      <c r="T424" s="733">
        <f>$T$13*$E$414</f>
        <v>0</v>
      </c>
      <c r="U424" s="733">
        <f>$U$13*$E$414</f>
        <v>0</v>
      </c>
    </row>
    <row r="425" spans="2:21" ht="18.75" x14ac:dyDescent="0.25">
      <c r="C425" s="117">
        <f t="shared" si="455"/>
        <v>1</v>
      </c>
      <c r="D425" s="775" t="s">
        <v>121</v>
      </c>
      <c r="E425" s="84" t="s">
        <v>50</v>
      </c>
      <c r="F425" s="733">
        <f>$F$14*$E$414</f>
        <v>0</v>
      </c>
      <c r="G425" s="733">
        <f>$G$14*$E$414</f>
        <v>0</v>
      </c>
      <c r="H425" s="733">
        <f>$H$14*$E$414</f>
        <v>0</v>
      </c>
      <c r="I425" s="733">
        <f>$I$14*$E$414</f>
        <v>0</v>
      </c>
      <c r="J425" s="733">
        <f>$J$14*$E$414</f>
        <v>0</v>
      </c>
      <c r="K425" s="733">
        <f>K$14*$E$414</f>
        <v>0</v>
      </c>
      <c r="L425" s="733">
        <f t="shared" ref="L425:P425" si="464">L$14*$E$414</f>
        <v>0</v>
      </c>
      <c r="M425" s="733">
        <f t="shared" si="464"/>
        <v>0</v>
      </c>
      <c r="N425" s="733">
        <f>N$14*$E$414</f>
        <v>0</v>
      </c>
      <c r="O425" s="733">
        <f t="shared" si="464"/>
        <v>0</v>
      </c>
      <c r="P425" s="733">
        <f t="shared" si="464"/>
        <v>0</v>
      </c>
      <c r="Q425" s="734">
        <f t="shared" si="457"/>
        <v>0</v>
      </c>
      <c r="R425" s="733">
        <f>$R$14*$E$414</f>
        <v>0</v>
      </c>
      <c r="S425" s="733">
        <f>$S$14*$E$414</f>
        <v>0</v>
      </c>
      <c r="T425" s="733">
        <f>$T$14*$E$414</f>
        <v>0</v>
      </c>
      <c r="U425" s="733">
        <f>$U$14*$E$414</f>
        <v>0</v>
      </c>
    </row>
    <row r="426" spans="2:21" ht="18.75" x14ac:dyDescent="0.25">
      <c r="C426" s="117">
        <f t="shared" si="455"/>
        <v>1</v>
      </c>
      <c r="D426" s="775" t="s">
        <v>122</v>
      </c>
      <c r="E426" s="84" t="s">
        <v>49</v>
      </c>
      <c r="F426" s="733">
        <f>$F$15*$E$414</f>
        <v>0</v>
      </c>
      <c r="G426" s="733">
        <f>$G$15*$E$414</f>
        <v>0</v>
      </c>
      <c r="H426" s="733">
        <f>$H$15*$E$414</f>
        <v>0</v>
      </c>
      <c r="I426" s="733">
        <f>$I$15*$E$414</f>
        <v>0</v>
      </c>
      <c r="J426" s="733">
        <f>$J$15*$E$414</f>
        <v>0</v>
      </c>
      <c r="K426" s="733">
        <f>K$15*$E$414</f>
        <v>0</v>
      </c>
      <c r="L426" s="733">
        <f t="shared" ref="L426:P426" si="465">L$15*$E$414</f>
        <v>0</v>
      </c>
      <c r="M426" s="733">
        <f t="shared" si="465"/>
        <v>0</v>
      </c>
      <c r="N426" s="733">
        <f>N$15*$E$414</f>
        <v>0</v>
      </c>
      <c r="O426" s="733">
        <f t="shared" si="465"/>
        <v>0</v>
      </c>
      <c r="P426" s="733">
        <f t="shared" si="465"/>
        <v>0</v>
      </c>
      <c r="Q426" s="734">
        <f t="shared" si="457"/>
        <v>0</v>
      </c>
      <c r="R426" s="733">
        <f>$R$15*$E$414</f>
        <v>0</v>
      </c>
      <c r="S426" s="733">
        <f>$S$15*$E$414</f>
        <v>0</v>
      </c>
      <c r="T426" s="733">
        <f>$T$15*$E$414</f>
        <v>0</v>
      </c>
      <c r="U426" s="733">
        <f>$U$15*$E$414</f>
        <v>0</v>
      </c>
    </row>
    <row r="427" spans="2:21" ht="18.75" x14ac:dyDescent="0.25">
      <c r="C427" s="117">
        <f t="shared" si="455"/>
        <v>1</v>
      </c>
      <c r="D427" s="775" t="s">
        <v>123</v>
      </c>
      <c r="E427" s="84" t="s">
        <v>47</v>
      </c>
      <c r="F427" s="733">
        <f>$F$16*$E$414</f>
        <v>0</v>
      </c>
      <c r="G427" s="733">
        <f>$G$16*$E$414</f>
        <v>0</v>
      </c>
      <c r="H427" s="733">
        <f>$H$16*$E$414</f>
        <v>0</v>
      </c>
      <c r="I427" s="733">
        <f>$I$16*$E$414</f>
        <v>0</v>
      </c>
      <c r="J427" s="733">
        <f>$J$16*$E$414</f>
        <v>0</v>
      </c>
      <c r="K427" s="733">
        <f>K$16*$E$414</f>
        <v>0</v>
      </c>
      <c r="L427" s="733">
        <f t="shared" ref="L427:P427" si="466">L$16*$E$414</f>
        <v>0</v>
      </c>
      <c r="M427" s="733">
        <f t="shared" si="466"/>
        <v>0</v>
      </c>
      <c r="N427" s="733">
        <f>N$16*$E$414</f>
        <v>0</v>
      </c>
      <c r="O427" s="733">
        <f t="shared" si="466"/>
        <v>0</v>
      </c>
      <c r="P427" s="733">
        <f t="shared" si="466"/>
        <v>0</v>
      </c>
      <c r="Q427" s="734">
        <f t="shared" si="457"/>
        <v>0</v>
      </c>
      <c r="R427" s="733">
        <f>$R$16*$E$414</f>
        <v>0</v>
      </c>
      <c r="S427" s="733">
        <f>$S$16*$E$414</f>
        <v>0</v>
      </c>
      <c r="T427" s="733">
        <f>$T$16*$E$414</f>
        <v>0</v>
      </c>
      <c r="U427" s="733">
        <f>$U$16*$E$414</f>
        <v>0</v>
      </c>
    </row>
    <row r="428" spans="2:21" ht="19.5" thickBot="1" x14ac:dyDescent="0.3">
      <c r="C428" s="117">
        <f t="shared" si="455"/>
        <v>1</v>
      </c>
      <c r="D428" s="776" t="s">
        <v>16</v>
      </c>
      <c r="E428" s="777" t="s">
        <v>77</v>
      </c>
      <c r="F428" s="733">
        <f>$F$17*$E$414</f>
        <v>4083445.75707052</v>
      </c>
      <c r="G428" s="733">
        <f>$G$17*$E$414</f>
        <v>81117.001938560483</v>
      </c>
      <c r="H428" s="733">
        <f>$H$17*$E$414</f>
        <v>0</v>
      </c>
      <c r="I428" s="733">
        <f>$I$17*$E$414</f>
        <v>0</v>
      </c>
      <c r="J428" s="733">
        <f>$J$17*$E$414</f>
        <v>173179.90752623617</v>
      </c>
      <c r="K428" s="733">
        <f>K$17*$E$414</f>
        <v>712.98920690010027</v>
      </c>
      <c r="L428" s="733">
        <f t="shared" ref="L428:P428" si="467">L$17*$E$414</f>
        <v>100.3380423900565</v>
      </c>
      <c r="M428" s="733">
        <f t="shared" si="467"/>
        <v>0</v>
      </c>
      <c r="N428" s="733">
        <f>N$17*$E$414</f>
        <v>0</v>
      </c>
      <c r="O428" s="733">
        <f t="shared" si="467"/>
        <v>51896.431811175236</v>
      </c>
      <c r="P428" s="733">
        <f t="shared" si="467"/>
        <v>883881.35955130053</v>
      </c>
      <c r="Q428" s="734">
        <f t="shared" si="457"/>
        <v>5274333.7851470821</v>
      </c>
      <c r="R428" s="733">
        <f>$R$17*$E$414</f>
        <v>0</v>
      </c>
      <c r="S428" s="733">
        <f>$S$17*$E$414</f>
        <v>366742.07070909522</v>
      </c>
      <c r="T428" s="733">
        <f ca="1">$T$17*$E$414</f>
        <v>106365.06083189687</v>
      </c>
      <c r="U428" s="733">
        <f ca="1">$U$17*$E$414</f>
        <v>6061.0197378147377</v>
      </c>
    </row>
    <row r="429" spans="2:21" ht="19.5" thickBot="1" x14ac:dyDescent="0.3">
      <c r="C429" s="117">
        <f t="shared" si="455"/>
        <v>1</v>
      </c>
      <c r="D429" s="115" t="s">
        <v>124</v>
      </c>
      <c r="E429" s="778" t="s">
        <v>78</v>
      </c>
      <c r="F429" s="779">
        <f t="shared" ref="F429:U429" si="468">SUBTOTAL(9,F417:F428)</f>
        <v>41343999.830762453</v>
      </c>
      <c r="G429" s="779">
        <f>SUBTOTAL(9,G417:G428)</f>
        <v>2639047.0507348501</v>
      </c>
      <c r="H429" s="779">
        <f>SUBTOTAL(9,H417:H428)</f>
        <v>5735.1575657094427</v>
      </c>
      <c r="I429" s="779">
        <f>SUBTOTAL(9,I417:I428)</f>
        <v>924359.71391497063</v>
      </c>
      <c r="J429" s="779">
        <f>SUBTOTAL(9,J417:J428)</f>
        <v>843554.66810421238</v>
      </c>
      <c r="K429" s="779">
        <f t="shared" ref="K429:O429" si="469">SUBTOTAL(9,K417:K428)</f>
        <v>36778.827408255165</v>
      </c>
      <c r="L429" s="779">
        <f t="shared" si="469"/>
        <v>100.3380423900565</v>
      </c>
      <c r="M429" s="779">
        <f t="shared" si="469"/>
        <v>26198.005354982139</v>
      </c>
      <c r="N429" s="779">
        <f t="shared" si="469"/>
        <v>0</v>
      </c>
      <c r="O429" s="779">
        <f t="shared" si="469"/>
        <v>232871.49751142057</v>
      </c>
      <c r="P429" s="779">
        <f t="shared" si="468"/>
        <v>883881.35955130053</v>
      </c>
      <c r="Q429" s="780">
        <f>SUBTOTAL(9,Q417:Q428)</f>
        <v>46936526.448950544</v>
      </c>
      <c r="R429" s="779">
        <f t="shared" si="468"/>
        <v>0</v>
      </c>
      <c r="S429" s="779">
        <f t="shared" si="468"/>
        <v>3532108.437567309</v>
      </c>
      <c r="T429" s="779">
        <f t="shared" ca="1" si="468"/>
        <v>1411274.6842887648</v>
      </c>
      <c r="U429" s="779">
        <f t="shared" ca="1" si="468"/>
        <v>980858.12224198505</v>
      </c>
    </row>
    <row r="430" spans="2:21" s="119" customFormat="1" ht="19.5" hidden="1" thickBot="1" x14ac:dyDescent="0.3">
      <c r="B430" s="340"/>
      <c r="D430" s="117"/>
      <c r="E430" s="117"/>
      <c r="F430" s="118"/>
      <c r="G430" s="118"/>
      <c r="I430" s="118"/>
      <c r="J430" s="118"/>
      <c r="K430" s="118"/>
      <c r="L430" s="118"/>
      <c r="O430" s="118"/>
      <c r="Q430" s="120"/>
      <c r="R430" s="117"/>
      <c r="S430" s="118"/>
      <c r="U430" s="118"/>
    </row>
    <row r="431" spans="2:21" s="119" customFormat="1" ht="75.75" hidden="1" thickBot="1" x14ac:dyDescent="0.3">
      <c r="B431" s="301"/>
      <c r="C431" s="119">
        <f>IF($E431&gt;0,1,0)</f>
        <v>0</v>
      </c>
      <c r="D431" s="96" t="str">
        <f>A28</f>
        <v>Lewis</v>
      </c>
      <c r="E431" s="166">
        <f>IFERROR(SUMIF(A:A,D431,B:B),0)</f>
        <v>0</v>
      </c>
      <c r="F431" s="98" t="s">
        <v>356</v>
      </c>
      <c r="G431" s="98" t="s">
        <v>373</v>
      </c>
      <c r="H431" s="98" t="s">
        <v>358</v>
      </c>
      <c r="I431" s="98" t="s">
        <v>109</v>
      </c>
      <c r="J431" s="98" t="s">
        <v>111</v>
      </c>
      <c r="K431" s="98" t="s">
        <v>469</v>
      </c>
      <c r="L431" s="98" t="s">
        <v>470</v>
      </c>
      <c r="M431" s="98" t="s">
        <v>357</v>
      </c>
      <c r="N431" s="509" t="s">
        <v>471</v>
      </c>
      <c r="O431" s="98" t="s">
        <v>472</v>
      </c>
      <c r="P431" s="98" t="s">
        <v>110</v>
      </c>
      <c r="Q431" s="99" t="s">
        <v>116</v>
      </c>
      <c r="R431" s="98" t="s">
        <v>112</v>
      </c>
      <c r="S431" s="98" t="s">
        <v>113</v>
      </c>
      <c r="T431" s="98" t="s">
        <v>114</v>
      </c>
      <c r="U431" s="98" t="s">
        <v>115</v>
      </c>
    </row>
    <row r="432" spans="2:21" s="119" customFormat="1" ht="19.5" hidden="1" thickBot="1" x14ac:dyDescent="0.3">
      <c r="B432" s="301"/>
      <c r="C432" s="119">
        <f>C431</f>
        <v>0</v>
      </c>
      <c r="D432" s="101"/>
      <c r="E432" s="102"/>
      <c r="F432" s="84" t="s">
        <v>57</v>
      </c>
      <c r="G432" s="84" t="s">
        <v>56</v>
      </c>
      <c r="H432" s="84" t="s">
        <v>55</v>
      </c>
      <c r="I432" s="84" t="s">
        <v>54</v>
      </c>
      <c r="J432" s="84" t="s">
        <v>53</v>
      </c>
      <c r="K432" s="84" t="s">
        <v>52</v>
      </c>
      <c r="L432" s="84" t="s">
        <v>51</v>
      </c>
      <c r="M432" s="84" t="s">
        <v>50</v>
      </c>
      <c r="N432" s="84" t="s">
        <v>49</v>
      </c>
      <c r="O432" s="84" t="s">
        <v>47</v>
      </c>
      <c r="P432" s="84" t="s">
        <v>77</v>
      </c>
      <c r="Q432" s="83" t="s">
        <v>78</v>
      </c>
      <c r="R432" s="84" t="s">
        <v>79</v>
      </c>
      <c r="S432" s="84" t="s">
        <v>81</v>
      </c>
      <c r="T432" s="84" t="s">
        <v>83</v>
      </c>
      <c r="U432" s="84" t="s">
        <v>85</v>
      </c>
    </row>
    <row r="433" spans="2:21" s="119" customFormat="1" ht="19.5" hidden="1" thickBot="1" x14ac:dyDescent="0.35">
      <c r="B433" s="301"/>
      <c r="C433" s="119">
        <f t="shared" ref="C433:C446" si="470">C432</f>
        <v>0</v>
      </c>
      <c r="D433" s="103" t="s">
        <v>26</v>
      </c>
      <c r="E433" s="104"/>
      <c r="F433" s="745"/>
      <c r="G433" s="745"/>
      <c r="H433" s="746"/>
      <c r="I433" s="745"/>
      <c r="J433" s="745"/>
      <c r="K433" s="745"/>
      <c r="L433" s="745"/>
      <c r="M433" s="746"/>
      <c r="N433" s="746"/>
      <c r="O433" s="745"/>
      <c r="P433" s="746"/>
      <c r="Q433" s="747"/>
      <c r="R433" s="748"/>
      <c r="S433" s="745"/>
      <c r="T433" s="746"/>
      <c r="U433" s="749"/>
    </row>
    <row r="434" spans="2:21" s="119" customFormat="1" ht="19.5" hidden="1" thickBot="1" x14ac:dyDescent="0.3">
      <c r="B434" s="301"/>
      <c r="C434" s="119">
        <f t="shared" si="470"/>
        <v>0</v>
      </c>
      <c r="D434" s="109" t="s">
        <v>93</v>
      </c>
      <c r="E434" s="76" t="s">
        <v>57</v>
      </c>
      <c r="F434" s="733">
        <f>$F$6*$E$431</f>
        <v>0</v>
      </c>
      <c r="G434" s="733">
        <f>$G$6*$E$431</f>
        <v>0</v>
      </c>
      <c r="H434" s="733">
        <f>$H$6*$E$431</f>
        <v>0</v>
      </c>
      <c r="I434" s="733">
        <f>$I$6*$E$431</f>
        <v>0</v>
      </c>
      <c r="J434" s="733">
        <f>$J$6*$E$431</f>
        <v>0</v>
      </c>
      <c r="K434" s="733">
        <f>K$6*$E$431</f>
        <v>0</v>
      </c>
      <c r="L434" s="733">
        <f t="shared" ref="L434:P434" si="471">L$6*$E$431</f>
        <v>0</v>
      </c>
      <c r="M434" s="733">
        <f t="shared" si="471"/>
        <v>0</v>
      </c>
      <c r="N434" s="733">
        <f t="shared" si="471"/>
        <v>0</v>
      </c>
      <c r="O434" s="733">
        <f t="shared" si="471"/>
        <v>0</v>
      </c>
      <c r="P434" s="733">
        <f t="shared" si="471"/>
        <v>0</v>
      </c>
      <c r="Q434" s="734">
        <f t="shared" ref="Q434:Q445" si="472">SUM(F434:P434)</f>
        <v>0</v>
      </c>
      <c r="R434" s="733">
        <f>$R$6*$E$431</f>
        <v>0</v>
      </c>
      <c r="S434" s="733">
        <f>$S$6*$E$431</f>
        <v>0</v>
      </c>
      <c r="T434" s="733">
        <f ca="1">$T$6*$E$431</f>
        <v>0</v>
      </c>
      <c r="U434" s="733">
        <f ca="1">$U$6*$E$431</f>
        <v>0</v>
      </c>
    </row>
    <row r="435" spans="2:21" s="119" customFormat="1" ht="19.5" hidden="1" thickBot="1" x14ac:dyDescent="0.3">
      <c r="B435" s="301"/>
      <c r="C435" s="119">
        <f t="shared" si="470"/>
        <v>0</v>
      </c>
      <c r="D435" s="110" t="s">
        <v>92</v>
      </c>
      <c r="E435" s="76" t="s">
        <v>56</v>
      </c>
      <c r="F435" s="733">
        <f>$F$7*$E$431</f>
        <v>0</v>
      </c>
      <c r="G435" s="733">
        <f>$G$7*$E$431</f>
        <v>0</v>
      </c>
      <c r="H435" s="733">
        <f>$H$7*$E$431</f>
        <v>0</v>
      </c>
      <c r="I435" s="733">
        <f>$I$7*$E$431</f>
        <v>0</v>
      </c>
      <c r="J435" s="733">
        <f>$J$7*$E$431</f>
        <v>0</v>
      </c>
      <c r="K435" s="733">
        <f>K$7*$E$431</f>
        <v>0</v>
      </c>
      <c r="L435" s="733">
        <f t="shared" ref="L435:P435" si="473">L$7*$E$431</f>
        <v>0</v>
      </c>
      <c r="M435" s="733">
        <f t="shared" si="473"/>
        <v>0</v>
      </c>
      <c r="N435" s="733">
        <f t="shared" si="473"/>
        <v>0</v>
      </c>
      <c r="O435" s="733">
        <f t="shared" si="473"/>
        <v>0</v>
      </c>
      <c r="P435" s="733">
        <f t="shared" si="473"/>
        <v>0</v>
      </c>
      <c r="Q435" s="734">
        <f t="shared" si="472"/>
        <v>0</v>
      </c>
      <c r="R435" s="733">
        <f>$R$7*$E$431</f>
        <v>0</v>
      </c>
      <c r="S435" s="733">
        <f>$S$7*$E$431</f>
        <v>0</v>
      </c>
      <c r="T435" s="733">
        <f>$T$7*$E$431</f>
        <v>0</v>
      </c>
      <c r="U435" s="733">
        <f>$U$7*$E$431</f>
        <v>0</v>
      </c>
    </row>
    <row r="436" spans="2:21" s="119" customFormat="1" ht="19.5" hidden="1" thickBot="1" x14ac:dyDescent="0.3">
      <c r="B436" s="301"/>
      <c r="C436" s="119">
        <f t="shared" si="470"/>
        <v>0</v>
      </c>
      <c r="D436" s="110" t="s">
        <v>91</v>
      </c>
      <c r="E436" s="76" t="s">
        <v>55</v>
      </c>
      <c r="F436" s="733">
        <f>$F$8*$E$431</f>
        <v>0</v>
      </c>
      <c r="G436" s="733">
        <f>$G$8*$E$431</f>
        <v>0</v>
      </c>
      <c r="H436" s="733">
        <f>$H$8*$E$431</f>
        <v>0</v>
      </c>
      <c r="I436" s="733">
        <f>$I$8*$E$431</f>
        <v>0</v>
      </c>
      <c r="J436" s="733">
        <f>$J$8*$E$431</f>
        <v>0</v>
      </c>
      <c r="K436" s="733">
        <f>K$8*$E$431</f>
        <v>0</v>
      </c>
      <c r="L436" s="733">
        <f t="shared" ref="L436:P436" si="474">L$8*$E$431</f>
        <v>0</v>
      </c>
      <c r="M436" s="733">
        <f t="shared" si="474"/>
        <v>0</v>
      </c>
      <c r="N436" s="733">
        <f t="shared" si="474"/>
        <v>0</v>
      </c>
      <c r="O436" s="733">
        <f t="shared" si="474"/>
        <v>0</v>
      </c>
      <c r="P436" s="733">
        <f t="shared" si="474"/>
        <v>0</v>
      </c>
      <c r="Q436" s="734">
        <f t="shared" si="472"/>
        <v>0</v>
      </c>
      <c r="R436" s="733">
        <f>$R$8*$E$431</f>
        <v>0</v>
      </c>
      <c r="S436" s="733">
        <f>$S$8*$E$431</f>
        <v>0</v>
      </c>
      <c r="T436" s="733">
        <f ca="1">$T$8*$E$431</f>
        <v>0</v>
      </c>
      <c r="U436" s="733">
        <f ca="1">$U$8*$E$431</f>
        <v>0</v>
      </c>
    </row>
    <row r="437" spans="2:21" s="119" customFormat="1" ht="19.5" hidden="1" thickBot="1" x14ac:dyDescent="0.3">
      <c r="B437" s="301"/>
      <c r="C437" s="119">
        <f t="shared" si="470"/>
        <v>0</v>
      </c>
      <c r="D437" s="111" t="s">
        <v>117</v>
      </c>
      <c r="E437" s="76" t="s">
        <v>54</v>
      </c>
      <c r="F437" s="733">
        <f>$F$9*$E$431</f>
        <v>0</v>
      </c>
      <c r="G437" s="733">
        <f>$G$9*$E$431</f>
        <v>0</v>
      </c>
      <c r="H437" s="733">
        <f>$H$9*$E$431</f>
        <v>0</v>
      </c>
      <c r="I437" s="733">
        <f>$I$9*$E$431</f>
        <v>0</v>
      </c>
      <c r="J437" s="733">
        <f>$J$9*$E$431</f>
        <v>0</v>
      </c>
      <c r="K437" s="733">
        <f>K$9*$E$431</f>
        <v>0</v>
      </c>
      <c r="L437" s="733">
        <f t="shared" ref="L437:P437" si="475">L$9*$E$431</f>
        <v>0</v>
      </c>
      <c r="M437" s="733">
        <f t="shared" si="475"/>
        <v>0</v>
      </c>
      <c r="N437" s="733">
        <f t="shared" si="475"/>
        <v>0</v>
      </c>
      <c r="O437" s="733">
        <f t="shared" si="475"/>
        <v>0</v>
      </c>
      <c r="P437" s="733">
        <f t="shared" si="475"/>
        <v>0</v>
      </c>
      <c r="Q437" s="734">
        <f t="shared" si="472"/>
        <v>0</v>
      </c>
      <c r="R437" s="733">
        <f>$R$9*$E$431</f>
        <v>0</v>
      </c>
      <c r="S437" s="733">
        <f>$S$9*$E$431</f>
        <v>0</v>
      </c>
      <c r="T437" s="733">
        <f>$T$9*$E$431</f>
        <v>0</v>
      </c>
      <c r="U437" s="733">
        <f>$U$9*$E$431</f>
        <v>0</v>
      </c>
    </row>
    <row r="438" spans="2:21" s="119" customFormat="1" ht="19.5" hidden="1" thickBot="1" x14ac:dyDescent="0.35">
      <c r="B438" s="301"/>
      <c r="C438" s="119">
        <f t="shared" si="470"/>
        <v>0</v>
      </c>
      <c r="D438" s="112" t="s">
        <v>31</v>
      </c>
      <c r="E438" s="76"/>
      <c r="F438" s="750"/>
      <c r="G438" s="735"/>
      <c r="H438" s="736"/>
      <c r="I438" s="735"/>
      <c r="J438" s="735"/>
      <c r="K438" s="735"/>
      <c r="L438" s="735"/>
      <c r="M438" s="735"/>
      <c r="N438" s="735"/>
      <c r="O438" s="735"/>
      <c r="P438" s="735"/>
      <c r="Q438" s="734">
        <f t="shared" si="472"/>
        <v>0</v>
      </c>
      <c r="R438" s="739"/>
      <c r="S438" s="735"/>
      <c r="T438" s="740"/>
      <c r="U438" s="741"/>
    </row>
    <row r="439" spans="2:21" s="119" customFormat="1" ht="19.5" hidden="1" thickBot="1" x14ac:dyDescent="0.35">
      <c r="B439" s="301"/>
      <c r="C439" s="119">
        <f t="shared" si="470"/>
        <v>0</v>
      </c>
      <c r="D439" s="113" t="s">
        <v>118</v>
      </c>
      <c r="E439" s="76" t="s">
        <v>53</v>
      </c>
      <c r="F439" s="733">
        <f>$F$11*$E$431</f>
        <v>0</v>
      </c>
      <c r="G439" s="733">
        <f>$G$11*$E$431</f>
        <v>0</v>
      </c>
      <c r="H439" s="733">
        <f>$H$11*$E$431</f>
        <v>0</v>
      </c>
      <c r="I439" s="733">
        <f>$I$11*$E$431</f>
        <v>0</v>
      </c>
      <c r="J439" s="733">
        <f>$J$11*$E$431</f>
        <v>0</v>
      </c>
      <c r="K439" s="733">
        <f>K$11*$E$431</f>
        <v>0</v>
      </c>
      <c r="L439" s="733">
        <f t="shared" ref="L439:P439" si="476">L$11*$E$431</f>
        <v>0</v>
      </c>
      <c r="M439" s="733">
        <f t="shared" si="476"/>
        <v>0</v>
      </c>
      <c r="N439" s="733">
        <f t="shared" si="476"/>
        <v>0</v>
      </c>
      <c r="O439" s="733">
        <f t="shared" si="476"/>
        <v>0</v>
      </c>
      <c r="P439" s="733">
        <f t="shared" si="476"/>
        <v>0</v>
      </c>
      <c r="Q439" s="734">
        <f t="shared" si="472"/>
        <v>0</v>
      </c>
      <c r="R439" s="733">
        <f>$R$11*$E$431</f>
        <v>0</v>
      </c>
      <c r="S439" s="733">
        <f>$S$11*$E$431</f>
        <v>0</v>
      </c>
      <c r="T439" s="733">
        <f>$T$11*$E$431</f>
        <v>0</v>
      </c>
      <c r="U439" s="733">
        <f>$U$11*$E$431</f>
        <v>0</v>
      </c>
    </row>
    <row r="440" spans="2:21" s="119" customFormat="1" ht="19.5" hidden="1" thickBot="1" x14ac:dyDescent="0.35">
      <c r="B440" s="301"/>
      <c r="C440" s="119">
        <f t="shared" si="470"/>
        <v>0</v>
      </c>
      <c r="D440" s="113" t="s">
        <v>119</v>
      </c>
      <c r="E440" s="76" t="s">
        <v>52</v>
      </c>
      <c r="F440" s="733">
        <f>$F$12*$E$431</f>
        <v>0</v>
      </c>
      <c r="G440" s="733">
        <f>$G$12*$E$431</f>
        <v>0</v>
      </c>
      <c r="H440" s="733">
        <f>$H$12*$E$431</f>
        <v>0</v>
      </c>
      <c r="I440" s="733">
        <f>$I$12*$E$431</f>
        <v>0</v>
      </c>
      <c r="J440" s="733">
        <f>$J$12*$E$431</f>
        <v>0</v>
      </c>
      <c r="K440" s="733">
        <f>K$12*$E$431</f>
        <v>0</v>
      </c>
      <c r="L440" s="733">
        <f t="shared" ref="L440:P440" si="477">L$12*$E$431</f>
        <v>0</v>
      </c>
      <c r="M440" s="733">
        <f t="shared" si="477"/>
        <v>0</v>
      </c>
      <c r="N440" s="733">
        <f t="shared" si="477"/>
        <v>0</v>
      </c>
      <c r="O440" s="733">
        <f t="shared" si="477"/>
        <v>0</v>
      </c>
      <c r="P440" s="733">
        <f t="shared" si="477"/>
        <v>0</v>
      </c>
      <c r="Q440" s="734">
        <f t="shared" si="472"/>
        <v>0</v>
      </c>
      <c r="R440" s="733">
        <f>$R$12*$E$431</f>
        <v>0</v>
      </c>
      <c r="S440" s="733">
        <f>$S$12*$E$431</f>
        <v>0</v>
      </c>
      <c r="T440" s="733">
        <f>$T$12*$E$431</f>
        <v>0</v>
      </c>
      <c r="U440" s="733">
        <f>$U$12*$E$431</f>
        <v>0</v>
      </c>
    </row>
    <row r="441" spans="2:21" s="119" customFormat="1" ht="19.5" hidden="1" thickBot="1" x14ac:dyDescent="0.35">
      <c r="B441" s="301"/>
      <c r="C441" s="119">
        <f t="shared" si="470"/>
        <v>0</v>
      </c>
      <c r="D441" s="113" t="s">
        <v>120</v>
      </c>
      <c r="E441" s="76" t="s">
        <v>51</v>
      </c>
      <c r="F441" s="733">
        <f>$F$13*$E$431</f>
        <v>0</v>
      </c>
      <c r="G441" s="733">
        <f>$G$13*$E$431</f>
        <v>0</v>
      </c>
      <c r="H441" s="733">
        <f>$H$13*$E$431</f>
        <v>0</v>
      </c>
      <c r="I441" s="733">
        <f>$I$13*$E$431</f>
        <v>0</v>
      </c>
      <c r="J441" s="733">
        <f>$J$13*$E$431</f>
        <v>0</v>
      </c>
      <c r="K441" s="733">
        <f>K$13*$E$431</f>
        <v>0</v>
      </c>
      <c r="L441" s="733">
        <f t="shared" ref="L441:P441" si="478">L$13*$E$431</f>
        <v>0</v>
      </c>
      <c r="M441" s="733">
        <f t="shared" si="478"/>
        <v>0</v>
      </c>
      <c r="N441" s="733">
        <f t="shared" si="478"/>
        <v>0</v>
      </c>
      <c r="O441" s="733">
        <f t="shared" si="478"/>
        <v>0</v>
      </c>
      <c r="P441" s="733">
        <f t="shared" si="478"/>
        <v>0</v>
      </c>
      <c r="Q441" s="734">
        <f t="shared" si="472"/>
        <v>0</v>
      </c>
      <c r="R441" s="733">
        <f>$R$13*$E$431</f>
        <v>0</v>
      </c>
      <c r="S441" s="733">
        <f>$S$13*$E$431</f>
        <v>0</v>
      </c>
      <c r="T441" s="733">
        <f>$T$13*$E$431</f>
        <v>0</v>
      </c>
      <c r="U441" s="733">
        <f>$U$13*$E$431</f>
        <v>0</v>
      </c>
    </row>
    <row r="442" spans="2:21" s="119" customFormat="1" ht="19.5" hidden="1" thickBot="1" x14ac:dyDescent="0.35">
      <c r="B442" s="301"/>
      <c r="C442" s="119">
        <f t="shared" si="470"/>
        <v>0</v>
      </c>
      <c r="D442" s="113" t="s">
        <v>121</v>
      </c>
      <c r="E442" s="76" t="s">
        <v>50</v>
      </c>
      <c r="F442" s="733">
        <f>$F$14*$E$431</f>
        <v>0</v>
      </c>
      <c r="G442" s="733">
        <f>$G$14*$E$431</f>
        <v>0</v>
      </c>
      <c r="H442" s="733">
        <f>$H$14*$E$431</f>
        <v>0</v>
      </c>
      <c r="I442" s="733">
        <f>$I$14*$E$431</f>
        <v>0</v>
      </c>
      <c r="J442" s="733">
        <f>$J$14*$E$431</f>
        <v>0</v>
      </c>
      <c r="K442" s="733">
        <f>K$14*$E$431</f>
        <v>0</v>
      </c>
      <c r="L442" s="733">
        <f t="shared" ref="L442:P442" si="479">L$14*$E$431</f>
        <v>0</v>
      </c>
      <c r="M442" s="733">
        <f t="shared" si="479"/>
        <v>0</v>
      </c>
      <c r="N442" s="733">
        <f t="shared" si="479"/>
        <v>0</v>
      </c>
      <c r="O442" s="733">
        <f t="shared" si="479"/>
        <v>0</v>
      </c>
      <c r="P442" s="733">
        <f t="shared" si="479"/>
        <v>0</v>
      </c>
      <c r="Q442" s="734">
        <f t="shared" si="472"/>
        <v>0</v>
      </c>
      <c r="R442" s="733">
        <f>$R$14*$E$431</f>
        <v>0</v>
      </c>
      <c r="S442" s="733">
        <f>$S$14*$E$431</f>
        <v>0</v>
      </c>
      <c r="T442" s="733">
        <f>$T$14*$E$431</f>
        <v>0</v>
      </c>
      <c r="U442" s="733">
        <f>$U$14*$E$431</f>
        <v>0</v>
      </c>
    </row>
    <row r="443" spans="2:21" s="119" customFormat="1" ht="19.5" hidden="1" thickBot="1" x14ac:dyDescent="0.35">
      <c r="B443" s="301"/>
      <c r="C443" s="119">
        <f t="shared" si="470"/>
        <v>0</v>
      </c>
      <c r="D443" s="113" t="s">
        <v>122</v>
      </c>
      <c r="E443" s="76" t="s">
        <v>49</v>
      </c>
      <c r="F443" s="733">
        <f>$F$15*$E$431</f>
        <v>0</v>
      </c>
      <c r="G443" s="733">
        <f>$G$15*$E$431</f>
        <v>0</v>
      </c>
      <c r="H443" s="733">
        <f>$H$15*$E$431</f>
        <v>0</v>
      </c>
      <c r="I443" s="733">
        <f>$I$15*$E$431</f>
        <v>0</v>
      </c>
      <c r="J443" s="733">
        <f>$J$15*$E$431</f>
        <v>0</v>
      </c>
      <c r="K443" s="733">
        <f>K$15*$E$431</f>
        <v>0</v>
      </c>
      <c r="L443" s="733">
        <f t="shared" ref="L443:P443" si="480">L$15*$E$431</f>
        <v>0</v>
      </c>
      <c r="M443" s="733">
        <f t="shared" si="480"/>
        <v>0</v>
      </c>
      <c r="N443" s="733">
        <f t="shared" si="480"/>
        <v>0</v>
      </c>
      <c r="O443" s="733">
        <f t="shared" si="480"/>
        <v>0</v>
      </c>
      <c r="P443" s="733">
        <f t="shared" si="480"/>
        <v>0</v>
      </c>
      <c r="Q443" s="734">
        <f t="shared" si="472"/>
        <v>0</v>
      </c>
      <c r="R443" s="733">
        <f>$R$15*$E$431</f>
        <v>0</v>
      </c>
      <c r="S443" s="733">
        <f>$S$15*$E$431</f>
        <v>0</v>
      </c>
      <c r="T443" s="733">
        <f>$T$15*$E$431</f>
        <v>0</v>
      </c>
      <c r="U443" s="733">
        <f>$U$15*$E$431</f>
        <v>0</v>
      </c>
    </row>
    <row r="444" spans="2:21" s="119" customFormat="1" ht="19.5" hidden="1" thickBot="1" x14ac:dyDescent="0.35">
      <c r="B444" s="301"/>
      <c r="C444" s="119">
        <f t="shared" si="470"/>
        <v>0</v>
      </c>
      <c r="D444" s="113" t="s">
        <v>123</v>
      </c>
      <c r="E444" s="76" t="s">
        <v>47</v>
      </c>
      <c r="F444" s="733">
        <f>$F$16*$E$431</f>
        <v>0</v>
      </c>
      <c r="G444" s="733">
        <f>$G$16*$E$431</f>
        <v>0</v>
      </c>
      <c r="H444" s="733">
        <f>$H$16*$E$431</f>
        <v>0</v>
      </c>
      <c r="I444" s="733">
        <f>$I$16*$E$431</f>
        <v>0</v>
      </c>
      <c r="J444" s="733">
        <f>$J$16*$E$431</f>
        <v>0</v>
      </c>
      <c r="K444" s="733">
        <f>K$16*$E$431</f>
        <v>0</v>
      </c>
      <c r="L444" s="733">
        <f t="shared" ref="L444:P444" si="481">L$16*$E$431</f>
        <v>0</v>
      </c>
      <c r="M444" s="733">
        <f t="shared" si="481"/>
        <v>0</v>
      </c>
      <c r="N444" s="733">
        <f t="shared" si="481"/>
        <v>0</v>
      </c>
      <c r="O444" s="733">
        <f t="shared" si="481"/>
        <v>0</v>
      </c>
      <c r="P444" s="733">
        <f t="shared" si="481"/>
        <v>0</v>
      </c>
      <c r="Q444" s="734">
        <f t="shared" si="472"/>
        <v>0</v>
      </c>
      <c r="R444" s="733">
        <f>$R$16*$E$431</f>
        <v>0</v>
      </c>
      <c r="S444" s="733">
        <f>$S$16*$E$431</f>
        <v>0</v>
      </c>
      <c r="T444" s="733">
        <f>$T$16*$E$431</f>
        <v>0</v>
      </c>
      <c r="U444" s="733">
        <f>$U$16*$E$431</f>
        <v>0</v>
      </c>
    </row>
    <row r="445" spans="2:21" s="119" customFormat="1" ht="19.5" hidden="1" thickBot="1" x14ac:dyDescent="0.35">
      <c r="B445" s="301"/>
      <c r="C445" s="119">
        <f t="shared" si="470"/>
        <v>0</v>
      </c>
      <c r="D445" s="114" t="s">
        <v>16</v>
      </c>
      <c r="E445" s="70" t="s">
        <v>77</v>
      </c>
      <c r="F445" s="733">
        <f>$F$17*$E$431</f>
        <v>0</v>
      </c>
      <c r="G445" s="733">
        <f>$G$17*$E$431</f>
        <v>0</v>
      </c>
      <c r="H445" s="733">
        <f>$H$17*$E$431</f>
        <v>0</v>
      </c>
      <c r="I445" s="733">
        <f>$I$17*$E$431</f>
        <v>0</v>
      </c>
      <c r="J445" s="733">
        <f>$J$17*$E$431</f>
        <v>0</v>
      </c>
      <c r="K445" s="733">
        <f>K$17*$E$431</f>
        <v>0</v>
      </c>
      <c r="L445" s="733">
        <f t="shared" ref="L445:P445" si="482">L$17*$E$431</f>
        <v>0</v>
      </c>
      <c r="M445" s="733">
        <f t="shared" si="482"/>
        <v>0</v>
      </c>
      <c r="N445" s="733">
        <f t="shared" si="482"/>
        <v>0</v>
      </c>
      <c r="O445" s="733">
        <f t="shared" si="482"/>
        <v>0</v>
      </c>
      <c r="P445" s="733">
        <f t="shared" si="482"/>
        <v>0</v>
      </c>
      <c r="Q445" s="734">
        <f t="shared" si="472"/>
        <v>0</v>
      </c>
      <c r="R445" s="733">
        <f>$R$17*$E$431</f>
        <v>0</v>
      </c>
      <c r="S445" s="733">
        <f>$S$17*$E$431</f>
        <v>0</v>
      </c>
      <c r="T445" s="733">
        <f ca="1">$T$17*$E$431</f>
        <v>0</v>
      </c>
      <c r="U445" s="733">
        <f ca="1">$U$17*$E$431</f>
        <v>0</v>
      </c>
    </row>
    <row r="446" spans="2:21" s="119" customFormat="1" ht="19.5" hidden="1" thickBot="1" x14ac:dyDescent="0.35">
      <c r="B446" s="301"/>
      <c r="C446" s="119">
        <f t="shared" si="470"/>
        <v>0</v>
      </c>
      <c r="D446" s="115" t="s">
        <v>124</v>
      </c>
      <c r="E446" s="116" t="s">
        <v>78</v>
      </c>
      <c r="F446" s="742">
        <f t="shared" ref="F446:U446" si="483">SUBTOTAL(9,F434:F445)</f>
        <v>0</v>
      </c>
      <c r="G446" s="742">
        <f>SUBTOTAL(9,G434:G445)</f>
        <v>0</v>
      </c>
      <c r="H446" s="742">
        <f>SUBTOTAL(9,H434:H445)</f>
        <v>0</v>
      </c>
      <c r="I446" s="742">
        <f>SUBTOTAL(9,I434:I445)</f>
        <v>0</v>
      </c>
      <c r="J446" s="742">
        <f>SUBTOTAL(9,J434:J445)</f>
        <v>0</v>
      </c>
      <c r="K446" s="742">
        <f t="shared" ref="K446:P446" si="484">SUBTOTAL(9,K434:K445)</f>
        <v>0</v>
      </c>
      <c r="L446" s="742">
        <f t="shared" si="484"/>
        <v>0</v>
      </c>
      <c r="M446" s="742">
        <f t="shared" si="484"/>
        <v>0</v>
      </c>
      <c r="N446" s="742">
        <f t="shared" si="484"/>
        <v>0</v>
      </c>
      <c r="O446" s="742">
        <f t="shared" si="484"/>
        <v>0</v>
      </c>
      <c r="P446" s="742">
        <f t="shared" si="484"/>
        <v>0</v>
      </c>
      <c r="Q446" s="743">
        <f>SUBTOTAL(9,Q434:Q445)</f>
        <v>0</v>
      </c>
      <c r="R446" s="742">
        <f t="shared" si="483"/>
        <v>0</v>
      </c>
      <c r="S446" s="742">
        <f t="shared" si="483"/>
        <v>0</v>
      </c>
      <c r="T446" s="742">
        <f t="shared" si="483"/>
        <v>0</v>
      </c>
      <c r="U446" s="742">
        <f t="shared" si="483"/>
        <v>0</v>
      </c>
    </row>
    <row r="447" spans="2:21" s="119" customFormat="1" ht="19.5" hidden="1" thickBot="1" x14ac:dyDescent="0.3">
      <c r="B447" s="340"/>
      <c r="D447" s="117"/>
      <c r="E447" s="117"/>
      <c r="F447" s="118"/>
      <c r="G447" s="118"/>
      <c r="I447" s="118"/>
      <c r="J447" s="118"/>
      <c r="K447" s="118"/>
      <c r="L447" s="118"/>
      <c r="O447" s="118"/>
      <c r="Q447" s="120"/>
      <c r="R447" s="117"/>
      <c r="S447" s="118"/>
      <c r="U447" s="118"/>
    </row>
    <row r="448" spans="2:21" s="119" customFormat="1" ht="75.75" hidden="1" thickBot="1" x14ac:dyDescent="0.3">
      <c r="B448" s="301"/>
      <c r="C448" s="119">
        <f>IF($E448&gt;0,1,0)</f>
        <v>0</v>
      </c>
      <c r="D448" s="96" t="str">
        <f>A29</f>
        <v>Livingston</v>
      </c>
      <c r="E448" s="166">
        <f>IFERROR(SUMIF(A:A,D448,B:B),0)</f>
        <v>0</v>
      </c>
      <c r="F448" s="98" t="s">
        <v>356</v>
      </c>
      <c r="G448" s="98" t="s">
        <v>373</v>
      </c>
      <c r="H448" s="98" t="s">
        <v>358</v>
      </c>
      <c r="I448" s="98" t="s">
        <v>109</v>
      </c>
      <c r="J448" s="98" t="s">
        <v>111</v>
      </c>
      <c r="K448" s="98" t="s">
        <v>469</v>
      </c>
      <c r="L448" s="98" t="s">
        <v>470</v>
      </c>
      <c r="M448" s="98" t="s">
        <v>357</v>
      </c>
      <c r="N448" s="509" t="s">
        <v>471</v>
      </c>
      <c r="O448" s="98" t="s">
        <v>472</v>
      </c>
      <c r="P448" s="98" t="s">
        <v>110</v>
      </c>
      <c r="Q448" s="99" t="s">
        <v>116</v>
      </c>
      <c r="R448" s="98" t="s">
        <v>112</v>
      </c>
      <c r="S448" s="98" t="s">
        <v>113</v>
      </c>
      <c r="T448" s="98" t="s">
        <v>114</v>
      </c>
      <c r="U448" s="98" t="s">
        <v>115</v>
      </c>
    </row>
    <row r="449" spans="2:21" s="119" customFormat="1" ht="19.5" hidden="1" thickBot="1" x14ac:dyDescent="0.3">
      <c r="B449" s="301"/>
      <c r="C449" s="119">
        <f>C448</f>
        <v>0</v>
      </c>
      <c r="D449" s="101"/>
      <c r="E449" s="102"/>
      <c r="F449" s="84" t="s">
        <v>57</v>
      </c>
      <c r="G449" s="84" t="s">
        <v>56</v>
      </c>
      <c r="H449" s="84" t="s">
        <v>55</v>
      </c>
      <c r="I449" s="84" t="s">
        <v>54</v>
      </c>
      <c r="J449" s="84" t="s">
        <v>53</v>
      </c>
      <c r="K449" s="84" t="s">
        <v>52</v>
      </c>
      <c r="L449" s="84" t="s">
        <v>51</v>
      </c>
      <c r="M449" s="84" t="s">
        <v>50</v>
      </c>
      <c r="N449" s="84" t="s">
        <v>49</v>
      </c>
      <c r="O449" s="84" t="s">
        <v>47</v>
      </c>
      <c r="P449" s="84" t="s">
        <v>77</v>
      </c>
      <c r="Q449" s="83" t="s">
        <v>78</v>
      </c>
      <c r="R449" s="84" t="s">
        <v>79</v>
      </c>
      <c r="S449" s="84" t="s">
        <v>81</v>
      </c>
      <c r="T449" s="84" t="s">
        <v>83</v>
      </c>
      <c r="U449" s="84" t="s">
        <v>85</v>
      </c>
    </row>
    <row r="450" spans="2:21" s="119" customFormat="1" ht="19.5" hidden="1" thickBot="1" x14ac:dyDescent="0.35">
      <c r="B450" s="301"/>
      <c r="C450" s="119">
        <f t="shared" ref="C450:C463" si="485">C449</f>
        <v>0</v>
      </c>
      <c r="D450" s="103" t="s">
        <v>26</v>
      </c>
      <c r="E450" s="104"/>
      <c r="F450" s="745"/>
      <c r="G450" s="745"/>
      <c r="H450" s="746"/>
      <c r="I450" s="745"/>
      <c r="J450" s="745"/>
      <c r="K450" s="745"/>
      <c r="L450" s="745"/>
      <c r="M450" s="746"/>
      <c r="N450" s="746"/>
      <c r="O450" s="745"/>
      <c r="P450" s="746"/>
      <c r="Q450" s="747"/>
      <c r="R450" s="748"/>
      <c r="S450" s="745"/>
      <c r="T450" s="746"/>
      <c r="U450" s="749"/>
    </row>
    <row r="451" spans="2:21" s="119" customFormat="1" ht="19.5" hidden="1" thickBot="1" x14ac:dyDescent="0.3">
      <c r="B451" s="301"/>
      <c r="C451" s="119">
        <f t="shared" si="485"/>
        <v>0</v>
      </c>
      <c r="D451" s="109" t="s">
        <v>93</v>
      </c>
      <c r="E451" s="76" t="s">
        <v>57</v>
      </c>
      <c r="F451" s="733">
        <f>$F$6*$E$448</f>
        <v>0</v>
      </c>
      <c r="G451" s="733">
        <f>$G$6*$E$448</f>
        <v>0</v>
      </c>
      <c r="H451" s="733">
        <f>$H$6*$E$448</f>
        <v>0</v>
      </c>
      <c r="I451" s="733">
        <f>$I$6*$E$448</f>
        <v>0</v>
      </c>
      <c r="J451" s="733">
        <f>$J$6*$E$448</f>
        <v>0</v>
      </c>
      <c r="K451" s="733">
        <f>K$6*$E$448</f>
        <v>0</v>
      </c>
      <c r="L451" s="733">
        <f t="shared" ref="L451:O451" si="486">L$6*$E$448</f>
        <v>0</v>
      </c>
      <c r="M451" s="733">
        <f t="shared" si="486"/>
        <v>0</v>
      </c>
      <c r="N451" s="733">
        <f t="shared" si="486"/>
        <v>0</v>
      </c>
      <c r="O451" s="733">
        <f t="shared" si="486"/>
        <v>0</v>
      </c>
      <c r="P451" s="733">
        <f>$P$6*$E$448</f>
        <v>0</v>
      </c>
      <c r="Q451" s="734">
        <f t="shared" ref="Q451:Q462" si="487">SUM(F451:P451)</f>
        <v>0</v>
      </c>
      <c r="R451" s="733">
        <f>$R$6*$E$448</f>
        <v>0</v>
      </c>
      <c r="S451" s="733">
        <f>$S$6*$E$448</f>
        <v>0</v>
      </c>
      <c r="T451" s="733">
        <f ca="1">$T$6*$E$448</f>
        <v>0</v>
      </c>
      <c r="U451" s="733">
        <f ca="1">$U$6*$E$448</f>
        <v>0</v>
      </c>
    </row>
    <row r="452" spans="2:21" s="119" customFormat="1" ht="19.5" hidden="1" thickBot="1" x14ac:dyDescent="0.3">
      <c r="B452" s="301"/>
      <c r="C452" s="119">
        <f t="shared" si="485"/>
        <v>0</v>
      </c>
      <c r="D452" s="110" t="s">
        <v>92</v>
      </c>
      <c r="E452" s="76" t="s">
        <v>56</v>
      </c>
      <c r="F452" s="733">
        <f>$F$7*$E$448</f>
        <v>0</v>
      </c>
      <c r="G452" s="733">
        <f>$G$7*$E$448</f>
        <v>0</v>
      </c>
      <c r="H452" s="733">
        <f>$H$7*$E$448</f>
        <v>0</v>
      </c>
      <c r="I452" s="733">
        <f>$I$7*$E$448</f>
        <v>0</v>
      </c>
      <c r="J452" s="733">
        <f>$J$7*$E$448</f>
        <v>0</v>
      </c>
      <c r="K452" s="733">
        <f>K$7*$E$448</f>
        <v>0</v>
      </c>
      <c r="L452" s="733">
        <f t="shared" ref="L452:O452" si="488">L$7*$E$448</f>
        <v>0</v>
      </c>
      <c r="M452" s="733">
        <f t="shared" si="488"/>
        <v>0</v>
      </c>
      <c r="N452" s="733">
        <f t="shared" si="488"/>
        <v>0</v>
      </c>
      <c r="O452" s="733">
        <f t="shared" si="488"/>
        <v>0</v>
      </c>
      <c r="P452" s="733">
        <f>$P$7*$E$448</f>
        <v>0</v>
      </c>
      <c r="Q452" s="734">
        <f t="shared" si="487"/>
        <v>0</v>
      </c>
      <c r="R452" s="733">
        <f>$R$7*$E$448</f>
        <v>0</v>
      </c>
      <c r="S452" s="733">
        <f>$S$7*$E$448</f>
        <v>0</v>
      </c>
      <c r="T452" s="733">
        <f>$T$7*$E$448</f>
        <v>0</v>
      </c>
      <c r="U452" s="733">
        <f>$U$7*$E$448</f>
        <v>0</v>
      </c>
    </row>
    <row r="453" spans="2:21" s="119" customFormat="1" ht="19.5" hidden="1" thickBot="1" x14ac:dyDescent="0.3">
      <c r="B453" s="301"/>
      <c r="C453" s="119">
        <f t="shared" si="485"/>
        <v>0</v>
      </c>
      <c r="D453" s="110" t="s">
        <v>91</v>
      </c>
      <c r="E453" s="76" t="s">
        <v>55</v>
      </c>
      <c r="F453" s="733">
        <f>$F$8*$E$448</f>
        <v>0</v>
      </c>
      <c r="G453" s="733">
        <f>$G$8*$E$448</f>
        <v>0</v>
      </c>
      <c r="H453" s="733">
        <f>$H$8*$E$448</f>
        <v>0</v>
      </c>
      <c r="I453" s="733">
        <f>$I$8*$E$448</f>
        <v>0</v>
      </c>
      <c r="J453" s="733">
        <f>$J$8*$E$448</f>
        <v>0</v>
      </c>
      <c r="K453" s="733">
        <f>K$8*$E$448</f>
        <v>0</v>
      </c>
      <c r="L453" s="733">
        <f t="shared" ref="L453:O453" si="489">L$8*$E$448</f>
        <v>0</v>
      </c>
      <c r="M453" s="733">
        <f t="shared" si="489"/>
        <v>0</v>
      </c>
      <c r="N453" s="733">
        <f t="shared" si="489"/>
        <v>0</v>
      </c>
      <c r="O453" s="733">
        <f t="shared" si="489"/>
        <v>0</v>
      </c>
      <c r="P453" s="733">
        <f>$P$8*$E$448</f>
        <v>0</v>
      </c>
      <c r="Q453" s="734">
        <f t="shared" si="487"/>
        <v>0</v>
      </c>
      <c r="R453" s="733">
        <f>$R$8*$E$448</f>
        <v>0</v>
      </c>
      <c r="S453" s="733">
        <f>$S$8*$E$448</f>
        <v>0</v>
      </c>
      <c r="T453" s="733">
        <f ca="1">$T$8*$E$448</f>
        <v>0</v>
      </c>
      <c r="U453" s="733">
        <f ca="1">$U$8*$E$448</f>
        <v>0</v>
      </c>
    </row>
    <row r="454" spans="2:21" s="119" customFormat="1" ht="19.5" hidden="1" thickBot="1" x14ac:dyDescent="0.3">
      <c r="B454" s="301"/>
      <c r="C454" s="119">
        <f t="shared" si="485"/>
        <v>0</v>
      </c>
      <c r="D454" s="111" t="s">
        <v>117</v>
      </c>
      <c r="E454" s="76" t="s">
        <v>54</v>
      </c>
      <c r="F454" s="733">
        <f>$F$9*$E$448</f>
        <v>0</v>
      </c>
      <c r="G454" s="733">
        <f>$G$9*$E$448</f>
        <v>0</v>
      </c>
      <c r="H454" s="733">
        <f>$H$9*$E$448</f>
        <v>0</v>
      </c>
      <c r="I454" s="733">
        <f>$I$9*$E$448</f>
        <v>0</v>
      </c>
      <c r="J454" s="733">
        <f>$J$9*$E$448</f>
        <v>0</v>
      </c>
      <c r="K454" s="733">
        <f>K$9*$E$448</f>
        <v>0</v>
      </c>
      <c r="L454" s="733">
        <f t="shared" ref="L454:O454" si="490">L$9*$E$448</f>
        <v>0</v>
      </c>
      <c r="M454" s="733">
        <f t="shared" si="490"/>
        <v>0</v>
      </c>
      <c r="N454" s="733">
        <f t="shared" si="490"/>
        <v>0</v>
      </c>
      <c r="O454" s="733">
        <f t="shared" si="490"/>
        <v>0</v>
      </c>
      <c r="P454" s="733">
        <f>$P$9*$E$448</f>
        <v>0</v>
      </c>
      <c r="Q454" s="734">
        <f t="shared" si="487"/>
        <v>0</v>
      </c>
      <c r="R454" s="733">
        <f>$R$9*$E$448</f>
        <v>0</v>
      </c>
      <c r="S454" s="733">
        <f>$S$9*$E$448</f>
        <v>0</v>
      </c>
      <c r="T454" s="733">
        <f>$T$9*$E$448</f>
        <v>0</v>
      </c>
      <c r="U454" s="733">
        <f>$U$9*$E$448</f>
        <v>0</v>
      </c>
    </row>
    <row r="455" spans="2:21" s="119" customFormat="1" ht="19.5" hidden="1" thickBot="1" x14ac:dyDescent="0.35">
      <c r="B455" s="301"/>
      <c r="C455" s="119">
        <f t="shared" si="485"/>
        <v>0</v>
      </c>
      <c r="D455" s="112" t="s">
        <v>31</v>
      </c>
      <c r="E455" s="76"/>
      <c r="F455" s="750"/>
      <c r="G455" s="735"/>
      <c r="H455" s="736"/>
      <c r="I455" s="735"/>
      <c r="J455" s="735"/>
      <c r="K455" s="735"/>
      <c r="L455" s="735"/>
      <c r="M455" s="735"/>
      <c r="N455" s="735"/>
      <c r="O455" s="735"/>
      <c r="P455" s="738"/>
      <c r="Q455" s="734">
        <f t="shared" si="487"/>
        <v>0</v>
      </c>
      <c r="R455" s="739"/>
      <c r="S455" s="735"/>
      <c r="T455" s="740"/>
      <c r="U455" s="741"/>
    </row>
    <row r="456" spans="2:21" s="119" customFormat="1" ht="19.5" hidden="1" thickBot="1" x14ac:dyDescent="0.35">
      <c r="B456" s="301"/>
      <c r="C456" s="119">
        <f t="shared" si="485"/>
        <v>0</v>
      </c>
      <c r="D456" s="113" t="s">
        <v>118</v>
      </c>
      <c r="E456" s="76" t="s">
        <v>53</v>
      </c>
      <c r="F456" s="733">
        <f>$F$11*$E$448</f>
        <v>0</v>
      </c>
      <c r="G456" s="733">
        <f>$G$11*$E$448</f>
        <v>0</v>
      </c>
      <c r="H456" s="733">
        <f>$H$11*$E$448</f>
        <v>0</v>
      </c>
      <c r="I456" s="733">
        <f>$I$11*$E$448</f>
        <v>0</v>
      </c>
      <c r="J456" s="733">
        <f>$J$11*$E$448</f>
        <v>0</v>
      </c>
      <c r="K456" s="733">
        <f>K$11*$E$448</f>
        <v>0</v>
      </c>
      <c r="L456" s="733">
        <f t="shared" ref="L456:O456" si="491">L$11*$E$448</f>
        <v>0</v>
      </c>
      <c r="M456" s="733">
        <f t="shared" si="491"/>
        <v>0</v>
      </c>
      <c r="N456" s="733">
        <f t="shared" si="491"/>
        <v>0</v>
      </c>
      <c r="O456" s="733">
        <f t="shared" si="491"/>
        <v>0</v>
      </c>
      <c r="P456" s="733">
        <f>$P$11*$E$448</f>
        <v>0</v>
      </c>
      <c r="Q456" s="734">
        <f t="shared" si="487"/>
        <v>0</v>
      </c>
      <c r="R456" s="733">
        <f>$R$11*$E$448</f>
        <v>0</v>
      </c>
      <c r="S456" s="733">
        <f>$S$11*$E$448</f>
        <v>0</v>
      </c>
      <c r="T456" s="733">
        <f>$T$11*$E$448</f>
        <v>0</v>
      </c>
      <c r="U456" s="733">
        <f>$U$11*$E$448</f>
        <v>0</v>
      </c>
    </row>
    <row r="457" spans="2:21" s="119" customFormat="1" ht="19.5" hidden="1" thickBot="1" x14ac:dyDescent="0.35">
      <c r="B457" s="301"/>
      <c r="C457" s="119">
        <f t="shared" si="485"/>
        <v>0</v>
      </c>
      <c r="D457" s="113" t="s">
        <v>119</v>
      </c>
      <c r="E457" s="76" t="s">
        <v>52</v>
      </c>
      <c r="F457" s="733">
        <f>$F$12*$E$448</f>
        <v>0</v>
      </c>
      <c r="G457" s="733">
        <f>$G$12*$E$448</f>
        <v>0</v>
      </c>
      <c r="H457" s="733">
        <f>$H$12*$E$448</f>
        <v>0</v>
      </c>
      <c r="I457" s="733">
        <f>$I$12*$E$448</f>
        <v>0</v>
      </c>
      <c r="J457" s="733">
        <f>$J$12*$E$448</f>
        <v>0</v>
      </c>
      <c r="K457" s="733">
        <f>K$12*$E$448</f>
        <v>0</v>
      </c>
      <c r="L457" s="733">
        <f t="shared" ref="L457:O457" si="492">L$12*$E$448</f>
        <v>0</v>
      </c>
      <c r="M457" s="733">
        <f t="shared" si="492"/>
        <v>0</v>
      </c>
      <c r="N457" s="733">
        <f t="shared" si="492"/>
        <v>0</v>
      </c>
      <c r="O457" s="733">
        <f t="shared" si="492"/>
        <v>0</v>
      </c>
      <c r="P457" s="733">
        <f>$P$12*$E$448</f>
        <v>0</v>
      </c>
      <c r="Q457" s="734">
        <f t="shared" si="487"/>
        <v>0</v>
      </c>
      <c r="R457" s="733">
        <f>$R$12*$E$448</f>
        <v>0</v>
      </c>
      <c r="S457" s="733">
        <f>$S$12*$E$448</f>
        <v>0</v>
      </c>
      <c r="T457" s="733">
        <f>$T$12*$E$448</f>
        <v>0</v>
      </c>
      <c r="U457" s="733">
        <f>$U$12*$E$448</f>
        <v>0</v>
      </c>
    </row>
    <row r="458" spans="2:21" s="119" customFormat="1" ht="19.5" hidden="1" thickBot="1" x14ac:dyDescent="0.35">
      <c r="B458" s="301"/>
      <c r="C458" s="119">
        <f t="shared" si="485"/>
        <v>0</v>
      </c>
      <c r="D458" s="113" t="s">
        <v>120</v>
      </c>
      <c r="E458" s="76" t="s">
        <v>51</v>
      </c>
      <c r="F458" s="733">
        <f>$F$13*$E$448</f>
        <v>0</v>
      </c>
      <c r="G458" s="733">
        <f>$G$13*$E$448</f>
        <v>0</v>
      </c>
      <c r="H458" s="733">
        <f>$H$13*$E$448</f>
        <v>0</v>
      </c>
      <c r="I458" s="733">
        <f>$I$13*$E$448</f>
        <v>0</v>
      </c>
      <c r="J458" s="733">
        <f>$J$13*$E$448</f>
        <v>0</v>
      </c>
      <c r="K458" s="733">
        <f>K$13*$E$448</f>
        <v>0</v>
      </c>
      <c r="L458" s="733">
        <f t="shared" ref="L458:O458" si="493">L$13*$E$448</f>
        <v>0</v>
      </c>
      <c r="M458" s="733">
        <f t="shared" si="493"/>
        <v>0</v>
      </c>
      <c r="N458" s="733">
        <f t="shared" si="493"/>
        <v>0</v>
      </c>
      <c r="O458" s="733">
        <f t="shared" si="493"/>
        <v>0</v>
      </c>
      <c r="P458" s="733">
        <f>$P$13*$E$448</f>
        <v>0</v>
      </c>
      <c r="Q458" s="734">
        <f t="shared" si="487"/>
        <v>0</v>
      </c>
      <c r="R458" s="733">
        <f>$R$13*$E$448</f>
        <v>0</v>
      </c>
      <c r="S458" s="733">
        <f>$S$13*$E$448</f>
        <v>0</v>
      </c>
      <c r="T458" s="733">
        <f>$T$13*$E$448</f>
        <v>0</v>
      </c>
      <c r="U458" s="733">
        <f>$U$13*$E$448</f>
        <v>0</v>
      </c>
    </row>
    <row r="459" spans="2:21" s="119" customFormat="1" ht="19.5" hidden="1" thickBot="1" x14ac:dyDescent="0.35">
      <c r="B459" s="301"/>
      <c r="C459" s="119">
        <f t="shared" si="485"/>
        <v>0</v>
      </c>
      <c r="D459" s="113" t="s">
        <v>121</v>
      </c>
      <c r="E459" s="76" t="s">
        <v>50</v>
      </c>
      <c r="F459" s="733">
        <f>$F$14*$E$448</f>
        <v>0</v>
      </c>
      <c r="G459" s="733">
        <f>$G$14*$E$448</f>
        <v>0</v>
      </c>
      <c r="H459" s="733">
        <f>$H$14*$E$448</f>
        <v>0</v>
      </c>
      <c r="I459" s="733">
        <f>$I$14*$E$448</f>
        <v>0</v>
      </c>
      <c r="J459" s="733">
        <f>$J$14*$E$448</f>
        <v>0</v>
      </c>
      <c r="K459" s="733">
        <f>K$14*$E$448</f>
        <v>0</v>
      </c>
      <c r="L459" s="733">
        <f t="shared" ref="L459:O459" si="494">L$14*$E$448</f>
        <v>0</v>
      </c>
      <c r="M459" s="733">
        <f t="shared" si="494"/>
        <v>0</v>
      </c>
      <c r="N459" s="733">
        <f t="shared" si="494"/>
        <v>0</v>
      </c>
      <c r="O459" s="733">
        <f t="shared" si="494"/>
        <v>0</v>
      </c>
      <c r="P459" s="733">
        <f>$P$14*$E$448</f>
        <v>0</v>
      </c>
      <c r="Q459" s="734">
        <f t="shared" si="487"/>
        <v>0</v>
      </c>
      <c r="R459" s="733">
        <f>$R$14*$E$448</f>
        <v>0</v>
      </c>
      <c r="S459" s="733">
        <f>$S$14*$E$448</f>
        <v>0</v>
      </c>
      <c r="T459" s="733">
        <f>$T$14*$E$448</f>
        <v>0</v>
      </c>
      <c r="U459" s="733">
        <f>$U$14*$E$448</f>
        <v>0</v>
      </c>
    </row>
    <row r="460" spans="2:21" s="119" customFormat="1" ht="19.5" hidden="1" thickBot="1" x14ac:dyDescent="0.35">
      <c r="B460" s="301"/>
      <c r="C460" s="119">
        <f t="shared" si="485"/>
        <v>0</v>
      </c>
      <c r="D460" s="113" t="s">
        <v>122</v>
      </c>
      <c r="E460" s="76" t="s">
        <v>49</v>
      </c>
      <c r="F460" s="733">
        <f>$F$15*$E$448</f>
        <v>0</v>
      </c>
      <c r="G460" s="733">
        <f>$G$15*$E$448</f>
        <v>0</v>
      </c>
      <c r="H460" s="733">
        <f>$H$15*$E$448</f>
        <v>0</v>
      </c>
      <c r="I460" s="733">
        <f>$I$15*$E$448</f>
        <v>0</v>
      </c>
      <c r="J460" s="733">
        <f>$J$15*$E$448</f>
        <v>0</v>
      </c>
      <c r="K460" s="733">
        <f>K$15*$E$448</f>
        <v>0</v>
      </c>
      <c r="L460" s="733">
        <f t="shared" ref="L460:O460" si="495">L$15*$E$448</f>
        <v>0</v>
      </c>
      <c r="M460" s="733">
        <f t="shared" si="495"/>
        <v>0</v>
      </c>
      <c r="N460" s="733">
        <f t="shared" si="495"/>
        <v>0</v>
      </c>
      <c r="O460" s="733">
        <f t="shared" si="495"/>
        <v>0</v>
      </c>
      <c r="P460" s="733">
        <f>$P$15*$E$448</f>
        <v>0</v>
      </c>
      <c r="Q460" s="734">
        <f t="shared" si="487"/>
        <v>0</v>
      </c>
      <c r="R460" s="733">
        <f>$R$15*$E$448</f>
        <v>0</v>
      </c>
      <c r="S460" s="733">
        <f>$S$15*$E$448</f>
        <v>0</v>
      </c>
      <c r="T460" s="733">
        <f>$T$15*$E$448</f>
        <v>0</v>
      </c>
      <c r="U460" s="733">
        <f>$U$15*$E$448</f>
        <v>0</v>
      </c>
    </row>
    <row r="461" spans="2:21" s="119" customFormat="1" ht="19.5" hidden="1" thickBot="1" x14ac:dyDescent="0.35">
      <c r="B461" s="301"/>
      <c r="C461" s="119">
        <f t="shared" si="485"/>
        <v>0</v>
      </c>
      <c r="D461" s="113" t="s">
        <v>123</v>
      </c>
      <c r="E461" s="76" t="s">
        <v>47</v>
      </c>
      <c r="F461" s="733">
        <f>$F$16*$E$448</f>
        <v>0</v>
      </c>
      <c r="G461" s="733">
        <f>$G$16*$E$448</f>
        <v>0</v>
      </c>
      <c r="H461" s="733">
        <f>$H$16*$E$448</f>
        <v>0</v>
      </c>
      <c r="I461" s="733">
        <f>$I$16*$E$448</f>
        <v>0</v>
      </c>
      <c r="J461" s="733">
        <f>$J$16*$E$448</f>
        <v>0</v>
      </c>
      <c r="K461" s="733">
        <f>K$16*$E$448</f>
        <v>0</v>
      </c>
      <c r="L461" s="733">
        <f t="shared" ref="L461:O461" si="496">L$16*$E$448</f>
        <v>0</v>
      </c>
      <c r="M461" s="733">
        <f t="shared" si="496"/>
        <v>0</v>
      </c>
      <c r="N461" s="733">
        <f t="shared" si="496"/>
        <v>0</v>
      </c>
      <c r="O461" s="733">
        <f t="shared" si="496"/>
        <v>0</v>
      </c>
      <c r="P461" s="733">
        <f>$P$16*$E$448</f>
        <v>0</v>
      </c>
      <c r="Q461" s="734">
        <f t="shared" si="487"/>
        <v>0</v>
      </c>
      <c r="R461" s="733">
        <f>$R$16*$E$448</f>
        <v>0</v>
      </c>
      <c r="S461" s="733">
        <f>$S$16*$E$448</f>
        <v>0</v>
      </c>
      <c r="T461" s="733">
        <f>$T$16*$E$448</f>
        <v>0</v>
      </c>
      <c r="U461" s="733">
        <f>$U$16*$E$448</f>
        <v>0</v>
      </c>
    </row>
    <row r="462" spans="2:21" s="119" customFormat="1" ht="19.5" hidden="1" thickBot="1" x14ac:dyDescent="0.35">
      <c r="B462" s="301"/>
      <c r="C462" s="119">
        <f t="shared" si="485"/>
        <v>0</v>
      </c>
      <c r="D462" s="114" t="s">
        <v>16</v>
      </c>
      <c r="E462" s="70" t="s">
        <v>77</v>
      </c>
      <c r="F462" s="733">
        <f>$F$17*$E$448</f>
        <v>0</v>
      </c>
      <c r="G462" s="733">
        <f>$G$17*$E$448</f>
        <v>0</v>
      </c>
      <c r="H462" s="733">
        <f>$H$17*$E$448</f>
        <v>0</v>
      </c>
      <c r="I462" s="733">
        <f>$I$17*$E$448</f>
        <v>0</v>
      </c>
      <c r="J462" s="733">
        <f>$J$17*$E$448</f>
        <v>0</v>
      </c>
      <c r="K462" s="733">
        <f>K$17*$E$448</f>
        <v>0</v>
      </c>
      <c r="L462" s="733">
        <f t="shared" ref="L462:O462" si="497">L$17*$E$448</f>
        <v>0</v>
      </c>
      <c r="M462" s="733">
        <f t="shared" si="497"/>
        <v>0</v>
      </c>
      <c r="N462" s="733">
        <f t="shared" si="497"/>
        <v>0</v>
      </c>
      <c r="O462" s="733">
        <f t="shared" si="497"/>
        <v>0</v>
      </c>
      <c r="P462" s="733">
        <f>$P$17*$E$448</f>
        <v>0</v>
      </c>
      <c r="Q462" s="734">
        <f t="shared" si="487"/>
        <v>0</v>
      </c>
      <c r="R462" s="733">
        <f>$R$17*$E$448</f>
        <v>0</v>
      </c>
      <c r="S462" s="733">
        <f>$S$17*$E$448</f>
        <v>0</v>
      </c>
      <c r="T462" s="733">
        <f ca="1">$T$17*$E$448</f>
        <v>0</v>
      </c>
      <c r="U462" s="733">
        <f ca="1">$U$17*$E$448</f>
        <v>0</v>
      </c>
    </row>
    <row r="463" spans="2:21" s="119" customFormat="1" ht="19.5" hidden="1" thickBot="1" x14ac:dyDescent="0.35">
      <c r="B463" s="301"/>
      <c r="C463" s="119">
        <f t="shared" si="485"/>
        <v>0</v>
      </c>
      <c r="D463" s="115" t="s">
        <v>124</v>
      </c>
      <c r="E463" s="116" t="s">
        <v>78</v>
      </c>
      <c r="F463" s="742">
        <f t="shared" ref="F463:U463" si="498">SUBTOTAL(9,F451:F462)</f>
        <v>0</v>
      </c>
      <c r="G463" s="742">
        <f>SUBTOTAL(9,G451:G462)</f>
        <v>0</v>
      </c>
      <c r="H463" s="742">
        <f>SUBTOTAL(9,H451:H462)</f>
        <v>0</v>
      </c>
      <c r="I463" s="742">
        <f>SUBTOTAL(9,I451:I462)</f>
        <v>0</v>
      </c>
      <c r="J463" s="742">
        <f>SUBTOTAL(9,J451:J462)</f>
        <v>0</v>
      </c>
      <c r="K463" s="742">
        <f t="shared" ref="K463:O463" si="499">SUBTOTAL(9,K451:K462)</f>
        <v>0</v>
      </c>
      <c r="L463" s="742">
        <f t="shared" si="499"/>
        <v>0</v>
      </c>
      <c r="M463" s="742">
        <f t="shared" si="499"/>
        <v>0</v>
      </c>
      <c r="N463" s="742">
        <f t="shared" si="499"/>
        <v>0</v>
      </c>
      <c r="O463" s="742">
        <f t="shared" si="499"/>
        <v>0</v>
      </c>
      <c r="P463" s="742">
        <f t="shared" si="498"/>
        <v>0</v>
      </c>
      <c r="Q463" s="743">
        <f>SUBTOTAL(9,Q451:Q462)</f>
        <v>0</v>
      </c>
      <c r="R463" s="742">
        <f t="shared" si="498"/>
        <v>0</v>
      </c>
      <c r="S463" s="742">
        <f t="shared" si="498"/>
        <v>0</v>
      </c>
      <c r="T463" s="742">
        <f t="shared" si="498"/>
        <v>0</v>
      </c>
      <c r="U463" s="742">
        <f t="shared" si="498"/>
        <v>0</v>
      </c>
    </row>
    <row r="464" spans="2:21" s="119" customFormat="1" ht="19.5" hidden="1" thickBot="1" x14ac:dyDescent="0.3">
      <c r="B464" s="340"/>
      <c r="D464" s="117"/>
      <c r="E464" s="117"/>
      <c r="F464" s="118"/>
      <c r="G464" s="118"/>
      <c r="I464" s="118"/>
      <c r="J464" s="118"/>
      <c r="K464" s="118"/>
      <c r="L464" s="118"/>
      <c r="O464" s="118"/>
      <c r="Q464" s="120"/>
      <c r="R464" s="117"/>
      <c r="S464" s="118"/>
      <c r="U464" s="118"/>
    </row>
    <row r="465" spans="2:21" s="119" customFormat="1" ht="75.75" hidden="1" thickBot="1" x14ac:dyDescent="0.3">
      <c r="B465" s="301"/>
      <c r="C465" s="119">
        <f>IF($E465&gt;0,1,0)</f>
        <v>0</v>
      </c>
      <c r="D465" s="96" t="str">
        <f>A30</f>
        <v>Madison</v>
      </c>
      <c r="E465" s="166">
        <f>IFERROR(SUMIF(A:A,D465,B:B),0)</f>
        <v>0</v>
      </c>
      <c r="F465" s="98" t="s">
        <v>356</v>
      </c>
      <c r="G465" s="98" t="s">
        <v>373</v>
      </c>
      <c r="H465" s="98" t="s">
        <v>358</v>
      </c>
      <c r="I465" s="98" t="s">
        <v>109</v>
      </c>
      <c r="J465" s="98" t="s">
        <v>111</v>
      </c>
      <c r="K465" s="98" t="s">
        <v>469</v>
      </c>
      <c r="L465" s="98" t="s">
        <v>470</v>
      </c>
      <c r="M465" s="98" t="s">
        <v>357</v>
      </c>
      <c r="N465" s="509" t="s">
        <v>471</v>
      </c>
      <c r="O465" s="98" t="s">
        <v>472</v>
      </c>
      <c r="P465" s="98" t="s">
        <v>110</v>
      </c>
      <c r="Q465" s="99" t="s">
        <v>116</v>
      </c>
      <c r="R465" s="98" t="s">
        <v>112</v>
      </c>
      <c r="S465" s="98" t="s">
        <v>113</v>
      </c>
      <c r="T465" s="98" t="s">
        <v>114</v>
      </c>
      <c r="U465" s="98" t="s">
        <v>115</v>
      </c>
    </row>
    <row r="466" spans="2:21" s="119" customFormat="1" ht="19.5" hidden="1" thickBot="1" x14ac:dyDescent="0.3">
      <c r="B466" s="301"/>
      <c r="C466" s="119">
        <f>C465</f>
        <v>0</v>
      </c>
      <c r="D466" s="101"/>
      <c r="E466" s="102"/>
      <c r="F466" s="84" t="s">
        <v>57</v>
      </c>
      <c r="G466" s="84" t="s">
        <v>56</v>
      </c>
      <c r="H466" s="84" t="s">
        <v>55</v>
      </c>
      <c r="I466" s="84" t="s">
        <v>54</v>
      </c>
      <c r="J466" s="84" t="s">
        <v>53</v>
      </c>
      <c r="K466" s="84" t="s">
        <v>52</v>
      </c>
      <c r="L466" s="84" t="s">
        <v>51</v>
      </c>
      <c r="M466" s="84" t="s">
        <v>50</v>
      </c>
      <c r="N466" s="84" t="s">
        <v>49</v>
      </c>
      <c r="O466" s="84" t="s">
        <v>47</v>
      </c>
      <c r="P466" s="84" t="s">
        <v>77</v>
      </c>
      <c r="Q466" s="83" t="s">
        <v>78</v>
      </c>
      <c r="R466" s="84" t="s">
        <v>79</v>
      </c>
      <c r="S466" s="84" t="s">
        <v>81</v>
      </c>
      <c r="T466" s="84" t="s">
        <v>83</v>
      </c>
      <c r="U466" s="84" t="s">
        <v>85</v>
      </c>
    </row>
    <row r="467" spans="2:21" s="119" customFormat="1" ht="19.5" hidden="1" thickBot="1" x14ac:dyDescent="0.35">
      <c r="B467" s="301"/>
      <c r="C467" s="119">
        <f t="shared" ref="C467:C480" si="500">C466</f>
        <v>0</v>
      </c>
      <c r="D467" s="103" t="s">
        <v>26</v>
      </c>
      <c r="E467" s="104"/>
      <c r="F467" s="745"/>
      <c r="G467" s="745"/>
      <c r="H467" s="746"/>
      <c r="I467" s="745"/>
      <c r="J467" s="745"/>
      <c r="K467" s="745"/>
      <c r="L467" s="745"/>
      <c r="M467" s="746"/>
      <c r="N467" s="746"/>
      <c r="O467" s="745"/>
      <c r="P467" s="746"/>
      <c r="Q467" s="747"/>
      <c r="R467" s="748"/>
      <c r="S467" s="745"/>
      <c r="T467" s="746"/>
      <c r="U467" s="749"/>
    </row>
    <row r="468" spans="2:21" s="119" customFormat="1" ht="19.5" hidden="1" thickBot="1" x14ac:dyDescent="0.3">
      <c r="B468" s="301"/>
      <c r="C468" s="119">
        <f t="shared" si="500"/>
        <v>0</v>
      </c>
      <c r="D468" s="109" t="s">
        <v>93</v>
      </c>
      <c r="E468" s="76" t="s">
        <v>57</v>
      </c>
      <c r="F468" s="733">
        <f>$F$6*$E$465</f>
        <v>0</v>
      </c>
      <c r="G468" s="733">
        <f>$G$6*$E$465</f>
        <v>0</v>
      </c>
      <c r="H468" s="733">
        <f>$H$6*$E$465</f>
        <v>0</v>
      </c>
      <c r="I468" s="733">
        <f>$I$6*$E$465</f>
        <v>0</v>
      </c>
      <c r="J468" s="733">
        <f>$J$6*$E$465</f>
        <v>0</v>
      </c>
      <c r="K468" s="733">
        <f>$J$6*$E$465</f>
        <v>0</v>
      </c>
      <c r="L468" s="733"/>
      <c r="M468" s="733">
        <f>$M$6*$E$465</f>
        <v>0</v>
      </c>
      <c r="N468" s="733"/>
      <c r="O468" s="733"/>
      <c r="P468" s="733">
        <f>$P$6*$E$465</f>
        <v>0</v>
      </c>
      <c r="Q468" s="734">
        <f t="shared" ref="Q468:Q479" si="501">SUM(F468:P468)</f>
        <v>0</v>
      </c>
      <c r="R468" s="733">
        <f>$R$6*$E$465</f>
        <v>0</v>
      </c>
      <c r="S468" s="733">
        <f>$S$6*$E$465</f>
        <v>0</v>
      </c>
      <c r="T468" s="733">
        <f ca="1">$T$6*$E$465</f>
        <v>0</v>
      </c>
      <c r="U468" s="733">
        <f ca="1">$U$6*$E$465</f>
        <v>0</v>
      </c>
    </row>
    <row r="469" spans="2:21" s="119" customFormat="1" ht="19.5" hidden="1" thickBot="1" x14ac:dyDescent="0.3">
      <c r="B469" s="301"/>
      <c r="C469" s="119">
        <f t="shared" si="500"/>
        <v>0</v>
      </c>
      <c r="D469" s="110" t="s">
        <v>92</v>
      </c>
      <c r="E469" s="76" t="s">
        <v>56</v>
      </c>
      <c r="F469" s="733">
        <f>$F$7*$E$465</f>
        <v>0</v>
      </c>
      <c r="G469" s="733">
        <f>$G$7*$E$465</f>
        <v>0</v>
      </c>
      <c r="H469" s="733">
        <f>$H$7*$E$465</f>
        <v>0</v>
      </c>
      <c r="I469" s="733">
        <f>$I$7*$E$465</f>
        <v>0</v>
      </c>
      <c r="J469" s="733">
        <f>$J$7*$E$465</f>
        <v>0</v>
      </c>
      <c r="K469" s="733">
        <f>$J$7*$E$465</f>
        <v>0</v>
      </c>
      <c r="L469" s="733"/>
      <c r="M469" s="733">
        <f>$M$7*$E$465</f>
        <v>0</v>
      </c>
      <c r="N469" s="733"/>
      <c r="O469" s="733"/>
      <c r="P469" s="733">
        <f>$P$7*$E$465</f>
        <v>0</v>
      </c>
      <c r="Q469" s="734">
        <f t="shared" si="501"/>
        <v>0</v>
      </c>
      <c r="R469" s="733">
        <f>$R$7*$E$465</f>
        <v>0</v>
      </c>
      <c r="S469" s="733">
        <f>$S$7*$E$465</f>
        <v>0</v>
      </c>
      <c r="T469" s="733">
        <f>$T$7*$E$465</f>
        <v>0</v>
      </c>
      <c r="U469" s="733">
        <f>$U$7*$E$465</f>
        <v>0</v>
      </c>
    </row>
    <row r="470" spans="2:21" s="119" customFormat="1" ht="19.5" hidden="1" thickBot="1" x14ac:dyDescent="0.3">
      <c r="B470" s="301"/>
      <c r="C470" s="119">
        <f t="shared" si="500"/>
        <v>0</v>
      </c>
      <c r="D470" s="110" t="s">
        <v>91</v>
      </c>
      <c r="E470" s="76" t="s">
        <v>55</v>
      </c>
      <c r="F470" s="733">
        <f>$F$8*$E$465</f>
        <v>0</v>
      </c>
      <c r="G470" s="733">
        <f>$G$8*$E$465</f>
        <v>0</v>
      </c>
      <c r="H470" s="733">
        <f>$H$8*$E$465</f>
        <v>0</v>
      </c>
      <c r="I470" s="733">
        <f>$I$8*$E$465</f>
        <v>0</v>
      </c>
      <c r="J470" s="733">
        <f>$J$8*$E$465</f>
        <v>0</v>
      </c>
      <c r="K470" s="733">
        <f>$J$8*$E$465</f>
        <v>0</v>
      </c>
      <c r="L470" s="733"/>
      <c r="M470" s="733">
        <f>$M$8*$E$465</f>
        <v>0</v>
      </c>
      <c r="N470" s="733"/>
      <c r="O470" s="733"/>
      <c r="P470" s="733">
        <f>$P$8*$E$465</f>
        <v>0</v>
      </c>
      <c r="Q470" s="734">
        <f t="shared" si="501"/>
        <v>0</v>
      </c>
      <c r="R470" s="733">
        <f>$R$8*$E$465</f>
        <v>0</v>
      </c>
      <c r="S470" s="733">
        <f>$S$8*$E$465</f>
        <v>0</v>
      </c>
      <c r="T470" s="733">
        <f ca="1">$T$8*$E$465</f>
        <v>0</v>
      </c>
      <c r="U470" s="733">
        <f ca="1">$U$8*$E$465</f>
        <v>0</v>
      </c>
    </row>
    <row r="471" spans="2:21" s="119" customFormat="1" ht="19.5" hidden="1" thickBot="1" x14ac:dyDescent="0.3">
      <c r="B471" s="301"/>
      <c r="C471" s="119">
        <f t="shared" si="500"/>
        <v>0</v>
      </c>
      <c r="D471" s="111" t="s">
        <v>117</v>
      </c>
      <c r="E471" s="76" t="s">
        <v>54</v>
      </c>
      <c r="F471" s="733">
        <f>$F$9*$E$465</f>
        <v>0</v>
      </c>
      <c r="G471" s="733">
        <f>$G$9*$E$465</f>
        <v>0</v>
      </c>
      <c r="H471" s="733">
        <f>$H$9*$E$465</f>
        <v>0</v>
      </c>
      <c r="I471" s="733">
        <f>$I$9*$E$465</f>
        <v>0</v>
      </c>
      <c r="J471" s="733">
        <f>$J$9*$E$465</f>
        <v>0</v>
      </c>
      <c r="K471" s="733">
        <f>$J$9*$E$465</f>
        <v>0</v>
      </c>
      <c r="L471" s="733"/>
      <c r="M471" s="733">
        <f>$M$9*$E$465</f>
        <v>0</v>
      </c>
      <c r="N471" s="733"/>
      <c r="O471" s="733"/>
      <c r="P471" s="733">
        <f>$P$9*$E$465</f>
        <v>0</v>
      </c>
      <c r="Q471" s="734">
        <f t="shared" si="501"/>
        <v>0</v>
      </c>
      <c r="R471" s="733">
        <f>$R$9*$E$465</f>
        <v>0</v>
      </c>
      <c r="S471" s="733">
        <f>$S$9*$E$465</f>
        <v>0</v>
      </c>
      <c r="T471" s="733">
        <f>$T$9*$E$465</f>
        <v>0</v>
      </c>
      <c r="U471" s="733">
        <f>$U$9*$E$465</f>
        <v>0</v>
      </c>
    </row>
    <row r="472" spans="2:21" s="119" customFormat="1" ht="19.5" hidden="1" thickBot="1" x14ac:dyDescent="0.35">
      <c r="B472" s="301"/>
      <c r="C472" s="119">
        <f t="shared" si="500"/>
        <v>0</v>
      </c>
      <c r="D472" s="112" t="s">
        <v>31</v>
      </c>
      <c r="E472" s="76"/>
      <c r="F472" s="750"/>
      <c r="G472" s="735"/>
      <c r="H472" s="736"/>
      <c r="I472" s="735"/>
      <c r="J472" s="735"/>
      <c r="K472" s="735"/>
      <c r="L472" s="735"/>
      <c r="M472" s="736"/>
      <c r="N472" s="736"/>
      <c r="O472" s="737"/>
      <c r="P472" s="738"/>
      <c r="Q472" s="734">
        <f t="shared" si="501"/>
        <v>0</v>
      </c>
      <c r="R472" s="739"/>
      <c r="S472" s="735"/>
      <c r="T472" s="740"/>
      <c r="U472" s="741"/>
    </row>
    <row r="473" spans="2:21" s="119" customFormat="1" ht="19.5" hidden="1" thickBot="1" x14ac:dyDescent="0.35">
      <c r="B473" s="301"/>
      <c r="C473" s="119">
        <f t="shared" si="500"/>
        <v>0</v>
      </c>
      <c r="D473" s="113" t="s">
        <v>118</v>
      </c>
      <c r="E473" s="76" t="s">
        <v>53</v>
      </c>
      <c r="F473" s="733">
        <f>$F$11*$E$465</f>
        <v>0</v>
      </c>
      <c r="G473" s="733">
        <f>$G$11*$E$465</f>
        <v>0</v>
      </c>
      <c r="H473" s="733">
        <f>$H$11*$E$465</f>
        <v>0</v>
      </c>
      <c r="I473" s="733">
        <f>$I$11*$E$465</f>
        <v>0</v>
      </c>
      <c r="J473" s="733">
        <f>$J$11*$E$465</f>
        <v>0</v>
      </c>
      <c r="K473" s="733">
        <f>$J$11*$E$465</f>
        <v>0</v>
      </c>
      <c r="L473" s="733"/>
      <c r="M473" s="733">
        <f>$M$11*$E$465</f>
        <v>0</v>
      </c>
      <c r="N473" s="733"/>
      <c r="O473" s="733"/>
      <c r="P473" s="733">
        <f>$P$11*$E$465</f>
        <v>0</v>
      </c>
      <c r="Q473" s="734">
        <f t="shared" si="501"/>
        <v>0</v>
      </c>
      <c r="R473" s="733">
        <f>$R$11*$E$465</f>
        <v>0</v>
      </c>
      <c r="S473" s="733">
        <f>$S$11*$E$465</f>
        <v>0</v>
      </c>
      <c r="T473" s="733">
        <f>$T$11*$E$465</f>
        <v>0</v>
      </c>
      <c r="U473" s="733">
        <f>$U$11*$E$465</f>
        <v>0</v>
      </c>
    </row>
    <row r="474" spans="2:21" s="119" customFormat="1" ht="19.5" hidden="1" thickBot="1" x14ac:dyDescent="0.35">
      <c r="B474" s="301"/>
      <c r="C474" s="119">
        <f t="shared" si="500"/>
        <v>0</v>
      </c>
      <c r="D474" s="113" t="s">
        <v>119</v>
      </c>
      <c r="E474" s="76" t="s">
        <v>52</v>
      </c>
      <c r="F474" s="733">
        <f>$F$12*$E$465</f>
        <v>0</v>
      </c>
      <c r="G474" s="733">
        <f>$G$12*$E$465</f>
        <v>0</v>
      </c>
      <c r="H474" s="733">
        <f>$H$12*$E$465</f>
        <v>0</v>
      </c>
      <c r="I474" s="733">
        <f>$I$12*$E$465</f>
        <v>0</v>
      </c>
      <c r="J474" s="733">
        <f>$J$12*$E$465</f>
        <v>0</v>
      </c>
      <c r="K474" s="733">
        <f>$J$12*$E$465</f>
        <v>0</v>
      </c>
      <c r="L474" s="733"/>
      <c r="M474" s="733">
        <f>$M$12*$E$465</f>
        <v>0</v>
      </c>
      <c r="N474" s="733"/>
      <c r="O474" s="733"/>
      <c r="P474" s="733">
        <f>$P$12*$E$465</f>
        <v>0</v>
      </c>
      <c r="Q474" s="734">
        <f t="shared" si="501"/>
        <v>0</v>
      </c>
      <c r="R474" s="733">
        <f>$R$12*$E$465</f>
        <v>0</v>
      </c>
      <c r="S474" s="733">
        <f>$S$12*$E$465</f>
        <v>0</v>
      </c>
      <c r="T474" s="733">
        <f>$T$12*$E$465</f>
        <v>0</v>
      </c>
      <c r="U474" s="733">
        <f>$U$12*$E$465</f>
        <v>0</v>
      </c>
    </row>
    <row r="475" spans="2:21" s="119" customFormat="1" ht="19.5" hidden="1" thickBot="1" x14ac:dyDescent="0.35">
      <c r="B475" s="301"/>
      <c r="C475" s="119">
        <f t="shared" si="500"/>
        <v>0</v>
      </c>
      <c r="D475" s="113" t="s">
        <v>120</v>
      </c>
      <c r="E475" s="76" t="s">
        <v>51</v>
      </c>
      <c r="F475" s="733">
        <f>$F$13*$E$465</f>
        <v>0</v>
      </c>
      <c r="G475" s="733">
        <f>$G$13*$E$465</f>
        <v>0</v>
      </c>
      <c r="H475" s="733">
        <f>$H$13*$E$465</f>
        <v>0</v>
      </c>
      <c r="I475" s="733">
        <f>$I$13*$E$465</f>
        <v>0</v>
      </c>
      <c r="J475" s="733">
        <f>$J$13*$E$465</f>
        <v>0</v>
      </c>
      <c r="K475" s="733">
        <f>$J$13*$E$465</f>
        <v>0</v>
      </c>
      <c r="L475" s="733"/>
      <c r="M475" s="733">
        <f>$M$13*$E$465</f>
        <v>0</v>
      </c>
      <c r="N475" s="733"/>
      <c r="O475" s="733"/>
      <c r="P475" s="733">
        <f>$P$13*$E$465</f>
        <v>0</v>
      </c>
      <c r="Q475" s="734">
        <f t="shared" si="501"/>
        <v>0</v>
      </c>
      <c r="R475" s="733">
        <f>$R$13*$E$465</f>
        <v>0</v>
      </c>
      <c r="S475" s="733">
        <f>$S$13*$E$465</f>
        <v>0</v>
      </c>
      <c r="T475" s="733">
        <f>$T$13*$E$465</f>
        <v>0</v>
      </c>
      <c r="U475" s="733">
        <f>$U$13*$E$465</f>
        <v>0</v>
      </c>
    </row>
    <row r="476" spans="2:21" s="119" customFormat="1" ht="19.5" hidden="1" thickBot="1" x14ac:dyDescent="0.35">
      <c r="B476" s="301"/>
      <c r="C476" s="119">
        <f t="shared" si="500"/>
        <v>0</v>
      </c>
      <c r="D476" s="113" t="s">
        <v>121</v>
      </c>
      <c r="E476" s="76" t="s">
        <v>50</v>
      </c>
      <c r="F476" s="733">
        <f>$F$14*$E$465</f>
        <v>0</v>
      </c>
      <c r="G476" s="733">
        <f>$G$14*$E$465</f>
        <v>0</v>
      </c>
      <c r="H476" s="733">
        <f>$H$14*$E$465</f>
        <v>0</v>
      </c>
      <c r="I476" s="733">
        <f>$I$14*$E$465</f>
        <v>0</v>
      </c>
      <c r="J476" s="733">
        <f>$J$14*$E$465</f>
        <v>0</v>
      </c>
      <c r="K476" s="733">
        <f>$J$14*$E$465</f>
        <v>0</v>
      </c>
      <c r="L476" s="733"/>
      <c r="M476" s="733">
        <f>$M$14*$E$465</f>
        <v>0</v>
      </c>
      <c r="N476" s="733"/>
      <c r="O476" s="733"/>
      <c r="P476" s="733">
        <f>$P$14*$E$465</f>
        <v>0</v>
      </c>
      <c r="Q476" s="734">
        <f t="shared" si="501"/>
        <v>0</v>
      </c>
      <c r="R476" s="733">
        <f>$R$14*$E$465</f>
        <v>0</v>
      </c>
      <c r="S476" s="733">
        <f>$S$14*$E$465</f>
        <v>0</v>
      </c>
      <c r="T476" s="733">
        <f>$T$14*$E$465</f>
        <v>0</v>
      </c>
      <c r="U476" s="733">
        <f>$U$14*$E$465</f>
        <v>0</v>
      </c>
    </row>
    <row r="477" spans="2:21" s="119" customFormat="1" ht="19.5" hidden="1" thickBot="1" x14ac:dyDescent="0.35">
      <c r="B477" s="301"/>
      <c r="C477" s="119">
        <f t="shared" si="500"/>
        <v>0</v>
      </c>
      <c r="D477" s="113" t="s">
        <v>122</v>
      </c>
      <c r="E477" s="76" t="s">
        <v>49</v>
      </c>
      <c r="F477" s="733">
        <f>$F$15*$E$465</f>
        <v>0</v>
      </c>
      <c r="G477" s="733">
        <f>$G$15*$E$465</f>
        <v>0</v>
      </c>
      <c r="H477" s="733">
        <f>$H$15*$E$465</f>
        <v>0</v>
      </c>
      <c r="I477" s="733">
        <f>$I$15*$E$465</f>
        <v>0</v>
      </c>
      <c r="J477" s="733">
        <f>$J$15*$E$465</f>
        <v>0</v>
      </c>
      <c r="K477" s="733">
        <f>$J$15*$E$465</f>
        <v>0</v>
      </c>
      <c r="L477" s="733"/>
      <c r="M477" s="733">
        <f>$M$15*$E$465</f>
        <v>0</v>
      </c>
      <c r="N477" s="733"/>
      <c r="O477" s="733"/>
      <c r="P477" s="733">
        <f>$P$15*$E$465</f>
        <v>0</v>
      </c>
      <c r="Q477" s="734">
        <f t="shared" si="501"/>
        <v>0</v>
      </c>
      <c r="R477" s="733">
        <f>$R$15*$E$465</f>
        <v>0</v>
      </c>
      <c r="S477" s="733">
        <f>$S$15*$E$465</f>
        <v>0</v>
      </c>
      <c r="T477" s="733">
        <f>$T$15*$E$465</f>
        <v>0</v>
      </c>
      <c r="U477" s="733">
        <f>$U$15*$E$465</f>
        <v>0</v>
      </c>
    </row>
    <row r="478" spans="2:21" s="119" customFormat="1" ht="19.5" hidden="1" thickBot="1" x14ac:dyDescent="0.35">
      <c r="B478" s="301"/>
      <c r="C478" s="119">
        <f t="shared" si="500"/>
        <v>0</v>
      </c>
      <c r="D478" s="113" t="s">
        <v>123</v>
      </c>
      <c r="E478" s="76" t="s">
        <v>47</v>
      </c>
      <c r="F478" s="733">
        <f>$F$16*$E$465</f>
        <v>0</v>
      </c>
      <c r="G478" s="733">
        <f>$G$16*$E$465</f>
        <v>0</v>
      </c>
      <c r="H478" s="733">
        <f>$H$16*$E$465</f>
        <v>0</v>
      </c>
      <c r="I478" s="733">
        <f>$I$16*$E$465</f>
        <v>0</v>
      </c>
      <c r="J478" s="733">
        <f>$J$16*$E$465</f>
        <v>0</v>
      </c>
      <c r="K478" s="733">
        <f>$J$16*$E$465</f>
        <v>0</v>
      </c>
      <c r="L478" s="733"/>
      <c r="M478" s="733">
        <f>$M$16*$E$465</f>
        <v>0</v>
      </c>
      <c r="N478" s="733"/>
      <c r="O478" s="733"/>
      <c r="P478" s="733">
        <f>$P$16*$E$465</f>
        <v>0</v>
      </c>
      <c r="Q478" s="734">
        <f t="shared" si="501"/>
        <v>0</v>
      </c>
      <c r="R478" s="733">
        <f>$R$16*$E$465</f>
        <v>0</v>
      </c>
      <c r="S478" s="733">
        <f>$S$16*$E$465</f>
        <v>0</v>
      </c>
      <c r="T478" s="733">
        <f>$T$16*$E$465</f>
        <v>0</v>
      </c>
      <c r="U478" s="733">
        <f>$U$16*$E$465</f>
        <v>0</v>
      </c>
    </row>
    <row r="479" spans="2:21" s="119" customFormat="1" ht="19.5" hidden="1" thickBot="1" x14ac:dyDescent="0.35">
      <c r="B479" s="301"/>
      <c r="C479" s="119">
        <f t="shared" si="500"/>
        <v>0</v>
      </c>
      <c r="D479" s="114" t="s">
        <v>16</v>
      </c>
      <c r="E479" s="70" t="s">
        <v>77</v>
      </c>
      <c r="F479" s="733">
        <f>$F$17*$E$465</f>
        <v>0</v>
      </c>
      <c r="G479" s="733">
        <f>$G$17*$E$465</f>
        <v>0</v>
      </c>
      <c r="H479" s="733">
        <f>$H$17*$E$465</f>
        <v>0</v>
      </c>
      <c r="I479" s="733">
        <f>$I$17*$E$465</f>
        <v>0</v>
      </c>
      <c r="J479" s="733">
        <f>$J$17*$E$465</f>
        <v>0</v>
      </c>
      <c r="K479" s="733">
        <f>$J$17*$E$465</f>
        <v>0</v>
      </c>
      <c r="L479" s="733"/>
      <c r="M479" s="733">
        <f>$M$17*$E$465</f>
        <v>0</v>
      </c>
      <c r="N479" s="733"/>
      <c r="O479" s="733"/>
      <c r="P479" s="733">
        <f>$P$17*$E$465</f>
        <v>0</v>
      </c>
      <c r="Q479" s="734">
        <f t="shared" si="501"/>
        <v>0</v>
      </c>
      <c r="R479" s="733">
        <f>$R$17*$E$465</f>
        <v>0</v>
      </c>
      <c r="S479" s="733">
        <f>$S$17*$E$465</f>
        <v>0</v>
      </c>
      <c r="T479" s="733">
        <f ca="1">$T$17*$E$465</f>
        <v>0</v>
      </c>
      <c r="U479" s="733">
        <f ca="1">$U$17*$E$465</f>
        <v>0</v>
      </c>
    </row>
    <row r="480" spans="2:21" s="119" customFormat="1" ht="19.5" hidden="1" thickBot="1" x14ac:dyDescent="0.35">
      <c r="B480" s="301"/>
      <c r="C480" s="119">
        <f t="shared" si="500"/>
        <v>0</v>
      </c>
      <c r="D480" s="115" t="s">
        <v>124</v>
      </c>
      <c r="E480" s="116" t="s">
        <v>78</v>
      </c>
      <c r="F480" s="742">
        <f t="shared" ref="F480:U480" si="502">SUBTOTAL(9,F468:F479)</f>
        <v>0</v>
      </c>
      <c r="G480" s="742">
        <f>SUBTOTAL(9,G468:G479)</f>
        <v>0</v>
      </c>
      <c r="H480" s="742">
        <f>SUBTOTAL(9,H468:H479)</f>
        <v>0</v>
      </c>
      <c r="I480" s="742">
        <f>SUBTOTAL(9,I468:I479)</f>
        <v>0</v>
      </c>
      <c r="J480" s="742">
        <f>SUBTOTAL(9,J468:J479)</f>
        <v>0</v>
      </c>
      <c r="K480" s="742">
        <f>SUBTOTAL(9,K468:K479)</f>
        <v>0</v>
      </c>
      <c r="L480" s="742"/>
      <c r="M480" s="742">
        <f t="shared" si="502"/>
        <v>0</v>
      </c>
      <c r="N480" s="742"/>
      <c r="O480" s="742"/>
      <c r="P480" s="742">
        <f t="shared" si="502"/>
        <v>0</v>
      </c>
      <c r="Q480" s="743">
        <f>SUBTOTAL(9,Q468:Q479)</f>
        <v>0</v>
      </c>
      <c r="R480" s="742">
        <f t="shared" si="502"/>
        <v>0</v>
      </c>
      <c r="S480" s="742">
        <f t="shared" si="502"/>
        <v>0</v>
      </c>
      <c r="T480" s="742">
        <f t="shared" si="502"/>
        <v>0</v>
      </c>
      <c r="U480" s="742">
        <f t="shared" si="502"/>
        <v>0</v>
      </c>
    </row>
    <row r="481" spans="2:21" s="119" customFormat="1" ht="19.5" hidden="1" thickBot="1" x14ac:dyDescent="0.3">
      <c r="B481" s="340"/>
      <c r="D481" s="117"/>
      <c r="E481" s="117"/>
      <c r="F481" s="118"/>
      <c r="G481" s="118"/>
      <c r="I481" s="118"/>
      <c r="J481" s="118"/>
      <c r="K481" s="118"/>
      <c r="L481" s="118"/>
      <c r="O481" s="118"/>
      <c r="Q481" s="120"/>
      <c r="R481" s="117"/>
      <c r="S481" s="118"/>
      <c r="U481" s="118"/>
    </row>
    <row r="482" spans="2:21" s="119" customFormat="1" ht="75.75" hidden="1" thickBot="1" x14ac:dyDescent="0.3">
      <c r="B482" s="301"/>
      <c r="C482" s="119">
        <f>IF($E482&gt;0,1,0)</f>
        <v>0</v>
      </c>
      <c r="D482" s="96" t="str">
        <f>A31</f>
        <v>Monroe</v>
      </c>
      <c r="E482" s="166">
        <f>IFERROR(SUMIF(A:A,D482,B:B),0)</f>
        <v>0</v>
      </c>
      <c r="F482" s="98" t="s">
        <v>356</v>
      </c>
      <c r="G482" s="98" t="s">
        <v>373</v>
      </c>
      <c r="H482" s="98" t="s">
        <v>358</v>
      </c>
      <c r="I482" s="98" t="s">
        <v>109</v>
      </c>
      <c r="J482" s="98" t="s">
        <v>111</v>
      </c>
      <c r="K482" s="98" t="s">
        <v>469</v>
      </c>
      <c r="L482" s="98" t="s">
        <v>470</v>
      </c>
      <c r="M482" s="98" t="s">
        <v>357</v>
      </c>
      <c r="N482" s="509" t="s">
        <v>471</v>
      </c>
      <c r="O482" s="98" t="s">
        <v>472</v>
      </c>
      <c r="P482" s="98" t="s">
        <v>110</v>
      </c>
      <c r="Q482" s="99" t="s">
        <v>116</v>
      </c>
      <c r="R482" s="98" t="s">
        <v>112</v>
      </c>
      <c r="S482" s="98" t="s">
        <v>113</v>
      </c>
      <c r="T482" s="98" t="s">
        <v>114</v>
      </c>
      <c r="U482" s="98" t="s">
        <v>115</v>
      </c>
    </row>
    <row r="483" spans="2:21" s="119" customFormat="1" ht="19.5" hidden="1" thickBot="1" x14ac:dyDescent="0.3">
      <c r="B483" s="301"/>
      <c r="C483" s="119">
        <f>C482</f>
        <v>0</v>
      </c>
      <c r="D483" s="101"/>
      <c r="E483" s="102"/>
      <c r="F483" s="84" t="s">
        <v>57</v>
      </c>
      <c r="G483" s="84" t="s">
        <v>56</v>
      </c>
      <c r="H483" s="84" t="s">
        <v>55</v>
      </c>
      <c r="I483" s="84" t="s">
        <v>54</v>
      </c>
      <c r="J483" s="84" t="s">
        <v>53</v>
      </c>
      <c r="K483" s="84" t="s">
        <v>52</v>
      </c>
      <c r="L483" s="84" t="s">
        <v>51</v>
      </c>
      <c r="M483" s="84" t="s">
        <v>50</v>
      </c>
      <c r="N483" s="84" t="s">
        <v>49</v>
      </c>
      <c r="O483" s="84" t="s">
        <v>47</v>
      </c>
      <c r="P483" s="84" t="s">
        <v>77</v>
      </c>
      <c r="Q483" s="83" t="s">
        <v>78</v>
      </c>
      <c r="R483" s="84" t="s">
        <v>79</v>
      </c>
      <c r="S483" s="84" t="s">
        <v>81</v>
      </c>
      <c r="T483" s="84" t="s">
        <v>83</v>
      </c>
      <c r="U483" s="84" t="s">
        <v>85</v>
      </c>
    </row>
    <row r="484" spans="2:21" s="119" customFormat="1" ht="19.5" hidden="1" thickBot="1" x14ac:dyDescent="0.35">
      <c r="B484" s="301"/>
      <c r="C484" s="119">
        <f t="shared" ref="C484:C497" si="503">C483</f>
        <v>0</v>
      </c>
      <c r="D484" s="103" t="s">
        <v>26</v>
      </c>
      <c r="E484" s="104"/>
      <c r="F484" s="745"/>
      <c r="G484" s="745"/>
      <c r="H484" s="746"/>
      <c r="I484" s="745"/>
      <c r="J484" s="745"/>
      <c r="K484" s="745"/>
      <c r="L484" s="745"/>
      <c r="M484" s="746"/>
      <c r="N484" s="746"/>
      <c r="O484" s="745"/>
      <c r="P484" s="746"/>
      <c r="Q484" s="747"/>
      <c r="R484" s="748"/>
      <c r="S484" s="745"/>
      <c r="T484" s="746"/>
      <c r="U484" s="749"/>
    </row>
    <row r="485" spans="2:21" s="119" customFormat="1" ht="19.5" hidden="1" thickBot="1" x14ac:dyDescent="0.3">
      <c r="B485" s="301"/>
      <c r="C485" s="119">
        <f t="shared" si="503"/>
        <v>0</v>
      </c>
      <c r="D485" s="109" t="s">
        <v>93</v>
      </c>
      <c r="E485" s="76" t="s">
        <v>57</v>
      </c>
      <c r="F485" s="733">
        <f>$F$6*$E$482</f>
        <v>0</v>
      </c>
      <c r="G485" s="733">
        <f>$G$6*$E$482</f>
        <v>0</v>
      </c>
      <c r="H485" s="733">
        <f>$H$6*$E$482</f>
        <v>0</v>
      </c>
      <c r="I485" s="733">
        <f>$I$6*$E$482</f>
        <v>0</v>
      </c>
      <c r="J485" s="733">
        <f>$J$6*$E$482</f>
        <v>0</v>
      </c>
      <c r="K485" s="733"/>
      <c r="L485" s="733"/>
      <c r="M485" s="733">
        <f>$M$6*$E$482</f>
        <v>0</v>
      </c>
      <c r="N485" s="733"/>
      <c r="O485" s="733"/>
      <c r="P485" s="733">
        <f>$P$6*$E$482</f>
        <v>0</v>
      </c>
      <c r="Q485" s="734">
        <f t="shared" ref="Q485:Q496" si="504">SUM(F485:P485)</f>
        <v>0</v>
      </c>
      <c r="R485" s="733">
        <f>$R$6*$E$482</f>
        <v>0</v>
      </c>
      <c r="S485" s="733">
        <f>$S$6*$E$482</f>
        <v>0</v>
      </c>
      <c r="T485" s="733">
        <f ca="1">$T$6*$E$482</f>
        <v>0</v>
      </c>
      <c r="U485" s="733">
        <f ca="1">$U$6*$E$482</f>
        <v>0</v>
      </c>
    </row>
    <row r="486" spans="2:21" s="119" customFormat="1" ht="19.5" hidden="1" thickBot="1" x14ac:dyDescent="0.3">
      <c r="B486" s="301"/>
      <c r="C486" s="119">
        <f t="shared" si="503"/>
        <v>0</v>
      </c>
      <c r="D486" s="110" t="s">
        <v>92</v>
      </c>
      <c r="E486" s="76" t="s">
        <v>56</v>
      </c>
      <c r="F486" s="733">
        <f>$F$7*$E$482</f>
        <v>0</v>
      </c>
      <c r="G486" s="733">
        <f>$G$7*$E$482</f>
        <v>0</v>
      </c>
      <c r="H486" s="733">
        <f>$H$7*$E$482</f>
        <v>0</v>
      </c>
      <c r="I486" s="733">
        <f>$I$7*$E$482</f>
        <v>0</v>
      </c>
      <c r="J486" s="733">
        <f>$J$7*$E$482</f>
        <v>0</v>
      </c>
      <c r="K486" s="733"/>
      <c r="L486" s="733"/>
      <c r="M486" s="733">
        <f>$M$7*$E$482</f>
        <v>0</v>
      </c>
      <c r="N486" s="733"/>
      <c r="O486" s="733"/>
      <c r="P486" s="733">
        <f>$P$7*$E$482</f>
        <v>0</v>
      </c>
      <c r="Q486" s="734">
        <f t="shared" si="504"/>
        <v>0</v>
      </c>
      <c r="R486" s="733">
        <f>$R$7*$E$482</f>
        <v>0</v>
      </c>
      <c r="S486" s="733">
        <f>$S$7*$E$482</f>
        <v>0</v>
      </c>
      <c r="T486" s="733">
        <f>$T$7*$E$482</f>
        <v>0</v>
      </c>
      <c r="U486" s="733">
        <f>$U$7*$E$482</f>
        <v>0</v>
      </c>
    </row>
    <row r="487" spans="2:21" s="119" customFormat="1" ht="19.5" hidden="1" thickBot="1" x14ac:dyDescent="0.3">
      <c r="B487" s="301"/>
      <c r="C487" s="119">
        <f t="shared" si="503"/>
        <v>0</v>
      </c>
      <c r="D487" s="110" t="s">
        <v>91</v>
      </c>
      <c r="E487" s="76" t="s">
        <v>55</v>
      </c>
      <c r="F487" s="733">
        <f>$F$8*$E$482</f>
        <v>0</v>
      </c>
      <c r="G487" s="733">
        <f>$G$8*$E$482</f>
        <v>0</v>
      </c>
      <c r="H487" s="733">
        <f>$H$8*$E$482</f>
        <v>0</v>
      </c>
      <c r="I487" s="733">
        <f>$I$8*$E$482</f>
        <v>0</v>
      </c>
      <c r="J487" s="733">
        <f>$J$8*$E$482</f>
        <v>0</v>
      </c>
      <c r="K487" s="733"/>
      <c r="L487" s="733"/>
      <c r="M487" s="733">
        <f>$M$8*$E$482</f>
        <v>0</v>
      </c>
      <c r="N487" s="733"/>
      <c r="O487" s="733"/>
      <c r="P487" s="733">
        <f>$P$8*$E$482</f>
        <v>0</v>
      </c>
      <c r="Q487" s="734">
        <f t="shared" si="504"/>
        <v>0</v>
      </c>
      <c r="R487" s="733">
        <f>$R$8*$E$482</f>
        <v>0</v>
      </c>
      <c r="S487" s="733">
        <f>$S$8*$E$482</f>
        <v>0</v>
      </c>
      <c r="T487" s="733">
        <f ca="1">$T$8*$E$482</f>
        <v>0</v>
      </c>
      <c r="U487" s="733">
        <f ca="1">$U$8*$E$482</f>
        <v>0</v>
      </c>
    </row>
    <row r="488" spans="2:21" s="119" customFormat="1" ht="19.5" hidden="1" thickBot="1" x14ac:dyDescent="0.3">
      <c r="B488" s="301"/>
      <c r="C488" s="119">
        <f t="shared" si="503"/>
        <v>0</v>
      </c>
      <c r="D488" s="111" t="s">
        <v>117</v>
      </c>
      <c r="E488" s="76" t="s">
        <v>54</v>
      </c>
      <c r="F488" s="733">
        <f>$F$9*$E$482</f>
        <v>0</v>
      </c>
      <c r="G488" s="733">
        <f>$G$9*$E$482</f>
        <v>0</v>
      </c>
      <c r="H488" s="733">
        <f>$H$9*$E$482</f>
        <v>0</v>
      </c>
      <c r="I488" s="733">
        <f>$I$9*$E$482</f>
        <v>0</v>
      </c>
      <c r="J488" s="733">
        <f>$J$9*$E$482</f>
        <v>0</v>
      </c>
      <c r="K488" s="733"/>
      <c r="L488" s="733"/>
      <c r="M488" s="733">
        <f>$M$9*$E$482</f>
        <v>0</v>
      </c>
      <c r="N488" s="733"/>
      <c r="O488" s="733"/>
      <c r="P488" s="733">
        <f>$P$9*$E$482</f>
        <v>0</v>
      </c>
      <c r="Q488" s="734">
        <f t="shared" si="504"/>
        <v>0</v>
      </c>
      <c r="R488" s="733">
        <f>$R$9*$E$482</f>
        <v>0</v>
      </c>
      <c r="S488" s="733">
        <f>$S$9*$E$482</f>
        <v>0</v>
      </c>
      <c r="T488" s="733">
        <f>$T$9*$E$482</f>
        <v>0</v>
      </c>
      <c r="U488" s="733">
        <f>$U$9*$E$482</f>
        <v>0</v>
      </c>
    </row>
    <row r="489" spans="2:21" s="119" customFormat="1" ht="19.5" hidden="1" thickBot="1" x14ac:dyDescent="0.35">
      <c r="B489" s="301"/>
      <c r="C489" s="119">
        <f t="shared" si="503"/>
        <v>0</v>
      </c>
      <c r="D489" s="112" t="s">
        <v>31</v>
      </c>
      <c r="E489" s="76"/>
      <c r="F489" s="750"/>
      <c r="G489" s="735"/>
      <c r="H489" s="736"/>
      <c r="I489" s="735"/>
      <c r="J489" s="735"/>
      <c r="K489" s="735"/>
      <c r="L489" s="735"/>
      <c r="M489" s="736"/>
      <c r="N489" s="736"/>
      <c r="O489" s="737"/>
      <c r="P489" s="738"/>
      <c r="Q489" s="734">
        <f t="shared" si="504"/>
        <v>0</v>
      </c>
      <c r="R489" s="739"/>
      <c r="S489" s="735"/>
      <c r="T489" s="740"/>
      <c r="U489" s="741"/>
    </row>
    <row r="490" spans="2:21" s="119" customFormat="1" ht="19.5" hidden="1" thickBot="1" x14ac:dyDescent="0.35">
      <c r="B490" s="301"/>
      <c r="C490" s="119">
        <f t="shared" si="503"/>
        <v>0</v>
      </c>
      <c r="D490" s="113" t="s">
        <v>118</v>
      </c>
      <c r="E490" s="76" t="s">
        <v>53</v>
      </c>
      <c r="F490" s="733">
        <f>$F$11*$E$482</f>
        <v>0</v>
      </c>
      <c r="G490" s="733">
        <f>$G$11*$E$482</f>
        <v>0</v>
      </c>
      <c r="H490" s="733">
        <f>$H$11*$E$482</f>
        <v>0</v>
      </c>
      <c r="I490" s="733">
        <f>$I$11*$E$482</f>
        <v>0</v>
      </c>
      <c r="J490" s="733">
        <f>$J$11*$E$482</f>
        <v>0</v>
      </c>
      <c r="K490" s="733"/>
      <c r="L490" s="733"/>
      <c r="M490" s="733">
        <f>$M$11*$E$482</f>
        <v>0</v>
      </c>
      <c r="N490" s="733"/>
      <c r="O490" s="733"/>
      <c r="P490" s="733">
        <f>$P$11*$E$482</f>
        <v>0</v>
      </c>
      <c r="Q490" s="734">
        <f t="shared" si="504"/>
        <v>0</v>
      </c>
      <c r="R490" s="733">
        <f>$R$11*$E$482</f>
        <v>0</v>
      </c>
      <c r="S490" s="733">
        <f>$S$11*$E$482</f>
        <v>0</v>
      </c>
      <c r="T490" s="733">
        <f>$T$11*$E$482</f>
        <v>0</v>
      </c>
      <c r="U490" s="733">
        <f>$U$11*$E$482</f>
        <v>0</v>
      </c>
    </row>
    <row r="491" spans="2:21" s="119" customFormat="1" ht="19.5" hidden="1" thickBot="1" x14ac:dyDescent="0.35">
      <c r="B491" s="301"/>
      <c r="C491" s="119">
        <f t="shared" si="503"/>
        <v>0</v>
      </c>
      <c r="D491" s="113" t="s">
        <v>119</v>
      </c>
      <c r="E491" s="76" t="s">
        <v>52</v>
      </c>
      <c r="F491" s="733">
        <f>$F$12*$E$482</f>
        <v>0</v>
      </c>
      <c r="G491" s="733">
        <f>$G$12*$E$482</f>
        <v>0</v>
      </c>
      <c r="H491" s="733">
        <f>$H$12*$E$482</f>
        <v>0</v>
      </c>
      <c r="I491" s="733">
        <f>$I$12*$E$482</f>
        <v>0</v>
      </c>
      <c r="J491" s="733">
        <f>$J$12*$E$482</f>
        <v>0</v>
      </c>
      <c r="K491" s="733"/>
      <c r="L491" s="733"/>
      <c r="M491" s="733">
        <f>$M$12*$E$482</f>
        <v>0</v>
      </c>
      <c r="N491" s="733"/>
      <c r="O491" s="733"/>
      <c r="P491" s="733">
        <f>$P$12*$E$482</f>
        <v>0</v>
      </c>
      <c r="Q491" s="734">
        <f t="shared" si="504"/>
        <v>0</v>
      </c>
      <c r="R491" s="733">
        <f>$R$12*$E$482</f>
        <v>0</v>
      </c>
      <c r="S491" s="733">
        <f>$S$12*$E$482</f>
        <v>0</v>
      </c>
      <c r="T491" s="733">
        <f>$T$12*$E$482</f>
        <v>0</v>
      </c>
      <c r="U491" s="733">
        <f>$U$12*$E$482</f>
        <v>0</v>
      </c>
    </row>
    <row r="492" spans="2:21" s="119" customFormat="1" ht="19.5" hidden="1" thickBot="1" x14ac:dyDescent="0.35">
      <c r="B492" s="301"/>
      <c r="C492" s="119">
        <f t="shared" si="503"/>
        <v>0</v>
      </c>
      <c r="D492" s="113" t="s">
        <v>120</v>
      </c>
      <c r="E492" s="76" t="s">
        <v>51</v>
      </c>
      <c r="F492" s="733">
        <f>$F$13*$E$482</f>
        <v>0</v>
      </c>
      <c r="G492" s="733">
        <f>$G$13*$E$482</f>
        <v>0</v>
      </c>
      <c r="H492" s="733">
        <f>$H$13*$E$482</f>
        <v>0</v>
      </c>
      <c r="I492" s="733">
        <f>$I$13*$E$482</f>
        <v>0</v>
      </c>
      <c r="J492" s="733">
        <f>$J$13*$E$482</f>
        <v>0</v>
      </c>
      <c r="K492" s="733"/>
      <c r="L492" s="733"/>
      <c r="M492" s="733">
        <f>$M$13*$E$482</f>
        <v>0</v>
      </c>
      <c r="N492" s="733"/>
      <c r="O492" s="733"/>
      <c r="P492" s="733">
        <f>$P$13*$E$482</f>
        <v>0</v>
      </c>
      <c r="Q492" s="734">
        <f t="shared" si="504"/>
        <v>0</v>
      </c>
      <c r="R492" s="733">
        <f>$R$13*$E$482</f>
        <v>0</v>
      </c>
      <c r="S492" s="733">
        <f>$S$13*$E$482</f>
        <v>0</v>
      </c>
      <c r="T492" s="733">
        <f>$T$13*$E$482</f>
        <v>0</v>
      </c>
      <c r="U492" s="733">
        <f>$U$13*$E$482</f>
        <v>0</v>
      </c>
    </row>
    <row r="493" spans="2:21" s="119" customFormat="1" ht="19.5" hidden="1" thickBot="1" x14ac:dyDescent="0.35">
      <c r="B493" s="301"/>
      <c r="C493" s="119">
        <f t="shared" si="503"/>
        <v>0</v>
      </c>
      <c r="D493" s="113" t="s">
        <v>121</v>
      </c>
      <c r="E493" s="76" t="s">
        <v>50</v>
      </c>
      <c r="F493" s="733">
        <f>$F$14*$E$482</f>
        <v>0</v>
      </c>
      <c r="G493" s="733">
        <f>$G$14*$E$482</f>
        <v>0</v>
      </c>
      <c r="H493" s="733">
        <f>$H$14*$E$482</f>
        <v>0</v>
      </c>
      <c r="I493" s="733">
        <f>$I$14*$E$482</f>
        <v>0</v>
      </c>
      <c r="J493" s="733">
        <f>$J$14*$E$482</f>
        <v>0</v>
      </c>
      <c r="K493" s="733"/>
      <c r="L493" s="733"/>
      <c r="M493" s="733">
        <f>$M$14*$E$482</f>
        <v>0</v>
      </c>
      <c r="N493" s="733"/>
      <c r="O493" s="733"/>
      <c r="P493" s="733">
        <f>$P$14*$E$482</f>
        <v>0</v>
      </c>
      <c r="Q493" s="734">
        <f t="shared" si="504"/>
        <v>0</v>
      </c>
      <c r="R493" s="733">
        <f>$R$14*$E$482</f>
        <v>0</v>
      </c>
      <c r="S493" s="733">
        <f>$S$14*$E$482</f>
        <v>0</v>
      </c>
      <c r="T493" s="733">
        <f>$T$14*$E$482</f>
        <v>0</v>
      </c>
      <c r="U493" s="733">
        <f>$U$14*$E$482</f>
        <v>0</v>
      </c>
    </row>
    <row r="494" spans="2:21" s="119" customFormat="1" ht="19.5" hidden="1" thickBot="1" x14ac:dyDescent="0.35">
      <c r="B494" s="301"/>
      <c r="C494" s="119">
        <f t="shared" si="503"/>
        <v>0</v>
      </c>
      <c r="D494" s="113" t="s">
        <v>122</v>
      </c>
      <c r="E494" s="76" t="s">
        <v>49</v>
      </c>
      <c r="F494" s="733">
        <f>$F$15*$E$482</f>
        <v>0</v>
      </c>
      <c r="G494" s="733">
        <f>$G$15*$E$482</f>
        <v>0</v>
      </c>
      <c r="H494" s="733">
        <f>$H$15*$E$482</f>
        <v>0</v>
      </c>
      <c r="I494" s="733">
        <f>$I$15*$E$482</f>
        <v>0</v>
      </c>
      <c r="J494" s="733">
        <f>$J$15*$E$482</f>
        <v>0</v>
      </c>
      <c r="K494" s="733"/>
      <c r="L494" s="733"/>
      <c r="M494" s="733">
        <f>$M$15*$E$482</f>
        <v>0</v>
      </c>
      <c r="N494" s="733"/>
      <c r="O494" s="733"/>
      <c r="P494" s="733">
        <f>$P$15*$E$482</f>
        <v>0</v>
      </c>
      <c r="Q494" s="734">
        <f t="shared" si="504"/>
        <v>0</v>
      </c>
      <c r="R494" s="733">
        <f>$R$15*$E$482</f>
        <v>0</v>
      </c>
      <c r="S494" s="733">
        <f>$S$15*$E$482</f>
        <v>0</v>
      </c>
      <c r="T494" s="733">
        <f>$T$15*$E$482</f>
        <v>0</v>
      </c>
      <c r="U494" s="733">
        <f>$U$15*$E$482</f>
        <v>0</v>
      </c>
    </row>
    <row r="495" spans="2:21" s="119" customFormat="1" ht="19.5" hidden="1" thickBot="1" x14ac:dyDescent="0.35">
      <c r="B495" s="301"/>
      <c r="C495" s="119">
        <f t="shared" si="503"/>
        <v>0</v>
      </c>
      <c r="D495" s="113" t="s">
        <v>123</v>
      </c>
      <c r="E495" s="76" t="s">
        <v>47</v>
      </c>
      <c r="F495" s="733">
        <f>$F$16*$E$482</f>
        <v>0</v>
      </c>
      <c r="G495" s="733">
        <f>$G$16*$E$482</f>
        <v>0</v>
      </c>
      <c r="H495" s="733">
        <f>$H$16*$E$482</f>
        <v>0</v>
      </c>
      <c r="I495" s="733">
        <f>$I$16*$E$482</f>
        <v>0</v>
      </c>
      <c r="J495" s="733">
        <f>$J$16*$E$482</f>
        <v>0</v>
      </c>
      <c r="K495" s="733"/>
      <c r="L495" s="733"/>
      <c r="M495" s="733">
        <f>$M$16*$E$482</f>
        <v>0</v>
      </c>
      <c r="N495" s="733"/>
      <c r="O495" s="733"/>
      <c r="P495" s="733">
        <f>$P$16*$E$482</f>
        <v>0</v>
      </c>
      <c r="Q495" s="734">
        <f t="shared" si="504"/>
        <v>0</v>
      </c>
      <c r="R495" s="733">
        <f>$R$16*$E$482</f>
        <v>0</v>
      </c>
      <c r="S495" s="733">
        <f>$S$16*$E$482</f>
        <v>0</v>
      </c>
      <c r="T495" s="733">
        <f>$T$16*$E$482</f>
        <v>0</v>
      </c>
      <c r="U495" s="733">
        <f>$U$16*$E$482</f>
        <v>0</v>
      </c>
    </row>
    <row r="496" spans="2:21" s="119" customFormat="1" ht="19.5" hidden="1" thickBot="1" x14ac:dyDescent="0.35">
      <c r="B496" s="301"/>
      <c r="C496" s="119">
        <f t="shared" si="503"/>
        <v>0</v>
      </c>
      <c r="D496" s="114" t="s">
        <v>16</v>
      </c>
      <c r="E496" s="70" t="s">
        <v>77</v>
      </c>
      <c r="F496" s="733">
        <f>$F$17*$E$482</f>
        <v>0</v>
      </c>
      <c r="G496" s="733">
        <f>$G$17*$E$482</f>
        <v>0</v>
      </c>
      <c r="H496" s="733">
        <f>$H$17*$E$482</f>
        <v>0</v>
      </c>
      <c r="I496" s="733">
        <f>$I$17*$E$482</f>
        <v>0</v>
      </c>
      <c r="J496" s="733">
        <f>$J$17*$E$482</f>
        <v>0</v>
      </c>
      <c r="K496" s="733"/>
      <c r="L496" s="733"/>
      <c r="M496" s="733">
        <f>$M$17*$E$482</f>
        <v>0</v>
      </c>
      <c r="N496" s="733"/>
      <c r="O496" s="733"/>
      <c r="P496" s="733">
        <f>$P$17*$E$482</f>
        <v>0</v>
      </c>
      <c r="Q496" s="734">
        <f t="shared" si="504"/>
        <v>0</v>
      </c>
      <c r="R496" s="733">
        <f>$R$17*$E$482</f>
        <v>0</v>
      </c>
      <c r="S496" s="733">
        <f>$S$17*$E$482</f>
        <v>0</v>
      </c>
      <c r="T496" s="733">
        <f ca="1">$T$17*$E$482</f>
        <v>0</v>
      </c>
      <c r="U496" s="733">
        <f ca="1">$U$17*$E$482</f>
        <v>0</v>
      </c>
    </row>
    <row r="497" spans="2:21" s="119" customFormat="1" ht="19.5" hidden="1" thickBot="1" x14ac:dyDescent="0.35">
      <c r="B497" s="301"/>
      <c r="C497" s="119">
        <f t="shared" si="503"/>
        <v>0</v>
      </c>
      <c r="D497" s="115" t="s">
        <v>124</v>
      </c>
      <c r="E497" s="116" t="s">
        <v>78</v>
      </c>
      <c r="F497" s="742">
        <f t="shared" ref="F497:U497" si="505">SUBTOTAL(9,F485:F496)</f>
        <v>0</v>
      </c>
      <c r="G497" s="742">
        <f>SUBTOTAL(9,G485:G496)</f>
        <v>0</v>
      </c>
      <c r="H497" s="742">
        <f>SUBTOTAL(9,H485:H496)</f>
        <v>0</v>
      </c>
      <c r="I497" s="742">
        <f>SUBTOTAL(9,I485:I496)</f>
        <v>0</v>
      </c>
      <c r="J497" s="742">
        <f>SUBTOTAL(9,J485:J496)</f>
        <v>0</v>
      </c>
      <c r="K497" s="742"/>
      <c r="L497" s="742"/>
      <c r="M497" s="742">
        <f t="shared" si="505"/>
        <v>0</v>
      </c>
      <c r="N497" s="742"/>
      <c r="O497" s="742"/>
      <c r="P497" s="742">
        <f t="shared" si="505"/>
        <v>0</v>
      </c>
      <c r="Q497" s="743">
        <f>SUBTOTAL(9,Q485:Q496)</f>
        <v>0</v>
      </c>
      <c r="R497" s="742">
        <f t="shared" si="505"/>
        <v>0</v>
      </c>
      <c r="S497" s="742">
        <f t="shared" si="505"/>
        <v>0</v>
      </c>
      <c r="T497" s="742">
        <f t="shared" si="505"/>
        <v>0</v>
      </c>
      <c r="U497" s="742">
        <f t="shared" si="505"/>
        <v>0</v>
      </c>
    </row>
    <row r="498" spans="2:21" s="119" customFormat="1" ht="19.5" hidden="1" thickBot="1" x14ac:dyDescent="0.3">
      <c r="B498" s="340"/>
      <c r="D498" s="117"/>
      <c r="E498" s="117"/>
      <c r="F498" s="118"/>
      <c r="G498" s="118"/>
      <c r="I498" s="118"/>
      <c r="J498" s="118"/>
      <c r="K498" s="118"/>
      <c r="L498" s="118"/>
      <c r="O498" s="118"/>
      <c r="Q498" s="120"/>
      <c r="R498" s="117"/>
      <c r="S498" s="118"/>
      <c r="U498" s="118"/>
    </row>
    <row r="499" spans="2:21" ht="75" x14ac:dyDescent="0.25">
      <c r="B499" s="790"/>
      <c r="C499" s="117">
        <f>IF($E499&gt;0,1,0)</f>
        <v>1</v>
      </c>
      <c r="D499" s="96" t="str">
        <f>A32</f>
        <v>Montgomery</v>
      </c>
      <c r="E499" s="166">
        <f>IFERROR(SUMIF(A:A,D499,B:B),0)</f>
        <v>1.7109272327241044E-4</v>
      </c>
      <c r="F499" s="98" t="s">
        <v>356</v>
      </c>
      <c r="G499" s="98" t="s">
        <v>373</v>
      </c>
      <c r="H499" s="98" t="s">
        <v>358</v>
      </c>
      <c r="I499" s="98" t="s">
        <v>109</v>
      </c>
      <c r="J499" s="98" t="s">
        <v>111</v>
      </c>
      <c r="K499" s="98" t="s">
        <v>469</v>
      </c>
      <c r="L499" s="98" t="s">
        <v>470</v>
      </c>
      <c r="M499" s="98" t="s">
        <v>357</v>
      </c>
      <c r="N499" s="509" t="s">
        <v>471</v>
      </c>
      <c r="O499" s="98" t="s">
        <v>472</v>
      </c>
      <c r="P499" s="98" t="s">
        <v>110</v>
      </c>
      <c r="Q499" s="99" t="s">
        <v>116</v>
      </c>
      <c r="R499" s="98" t="s">
        <v>112</v>
      </c>
      <c r="S499" s="98" t="s">
        <v>113</v>
      </c>
      <c r="T499" s="98" t="s">
        <v>114</v>
      </c>
      <c r="U499" s="98" t="s">
        <v>115</v>
      </c>
    </row>
    <row r="500" spans="2:21" ht="18.75" x14ac:dyDescent="0.25">
      <c r="B500" s="790"/>
      <c r="C500" s="117">
        <f>C499</f>
        <v>1</v>
      </c>
      <c r="D500" s="101"/>
      <c r="E500" s="102"/>
      <c r="F500" s="84" t="s">
        <v>57</v>
      </c>
      <c r="G500" s="84" t="s">
        <v>56</v>
      </c>
      <c r="H500" s="84" t="s">
        <v>55</v>
      </c>
      <c r="I500" s="84" t="s">
        <v>54</v>
      </c>
      <c r="J500" s="84" t="s">
        <v>53</v>
      </c>
      <c r="K500" s="84" t="s">
        <v>52</v>
      </c>
      <c r="L500" s="84" t="s">
        <v>51</v>
      </c>
      <c r="M500" s="84" t="s">
        <v>50</v>
      </c>
      <c r="N500" s="84" t="s">
        <v>49</v>
      </c>
      <c r="O500" s="84" t="s">
        <v>47</v>
      </c>
      <c r="P500" s="84" t="s">
        <v>77</v>
      </c>
      <c r="Q500" s="83" t="s">
        <v>78</v>
      </c>
      <c r="R500" s="84" t="s">
        <v>79</v>
      </c>
      <c r="S500" s="84" t="s">
        <v>81</v>
      </c>
      <c r="T500" s="84" t="s">
        <v>83</v>
      </c>
      <c r="U500" s="84" t="s">
        <v>85</v>
      </c>
    </row>
    <row r="501" spans="2:21" ht="18.75" x14ac:dyDescent="0.25">
      <c r="B501" s="790"/>
      <c r="C501" s="117">
        <f t="shared" ref="C501:C514" si="506">C500</f>
        <v>1</v>
      </c>
      <c r="D501" s="103" t="s">
        <v>26</v>
      </c>
      <c r="E501" s="104"/>
      <c r="F501" s="745"/>
      <c r="G501" s="745"/>
      <c r="H501" s="784"/>
      <c r="I501" s="745"/>
      <c r="J501" s="745"/>
      <c r="K501" s="745"/>
      <c r="L501" s="745"/>
      <c r="M501" s="784"/>
      <c r="N501" s="784"/>
      <c r="O501" s="745"/>
      <c r="P501" s="784"/>
      <c r="Q501" s="747"/>
      <c r="R501" s="748"/>
      <c r="S501" s="745"/>
      <c r="T501" s="784"/>
      <c r="U501" s="749"/>
    </row>
    <row r="502" spans="2:21" ht="18.75" x14ac:dyDescent="0.25">
      <c r="B502" s="790"/>
      <c r="C502" s="117">
        <f t="shared" si="506"/>
        <v>1</v>
      </c>
      <c r="D502" s="763" t="s">
        <v>93</v>
      </c>
      <c r="E502" s="84" t="s">
        <v>57</v>
      </c>
      <c r="F502" s="733">
        <f>$F$6*$E$499</f>
        <v>21597.646611330962</v>
      </c>
      <c r="G502" s="733">
        <f>$G$6*$E$499</f>
        <v>1495.8714967972107</v>
      </c>
      <c r="H502" s="733">
        <f>$H$6*$E$499</f>
        <v>3.3539067013278037</v>
      </c>
      <c r="I502" s="733">
        <f>$I$6*$E$499</f>
        <v>537.35112813663625</v>
      </c>
      <c r="J502" s="733">
        <f>$J$6*$E$499</f>
        <v>392.03358864044935</v>
      </c>
      <c r="K502" s="733">
        <f>K$6*$E$499</f>
        <v>21.091217642521045</v>
      </c>
      <c r="L502" s="733">
        <f>L$6*$E$499</f>
        <v>0</v>
      </c>
      <c r="M502" s="733">
        <f t="shared" ref="M502:O502" si="507">M$6*$E$499</f>
        <v>15.320532123972647</v>
      </c>
      <c r="N502" s="733">
        <f t="shared" si="507"/>
        <v>0</v>
      </c>
      <c r="O502" s="733">
        <f t="shared" si="507"/>
        <v>100.06454759068298</v>
      </c>
      <c r="P502" s="733">
        <f>$P$6*$E$499</f>
        <v>0</v>
      </c>
      <c r="Q502" s="734">
        <f t="shared" ref="Q502:Q513" si="508">SUM(F502:P502)</f>
        <v>24162.733028963765</v>
      </c>
      <c r="R502" s="733">
        <f>$R$6*$E$499</f>
        <v>0</v>
      </c>
      <c r="S502" s="733">
        <f>$S$6*$E$499</f>
        <v>1845.2899292806262</v>
      </c>
      <c r="T502" s="733">
        <f ca="1">$T$6*$E$499</f>
        <v>760.73103036469661</v>
      </c>
      <c r="U502" s="733">
        <f ca="1">$U$6*$E$499</f>
        <v>569.82192683871153</v>
      </c>
    </row>
    <row r="503" spans="2:21" ht="18.75" x14ac:dyDescent="0.25">
      <c r="B503" s="790"/>
      <c r="C503" s="117">
        <f t="shared" si="506"/>
        <v>1</v>
      </c>
      <c r="D503" s="765" t="s">
        <v>92</v>
      </c>
      <c r="E503" s="84" t="s">
        <v>56</v>
      </c>
      <c r="F503" s="733">
        <f>$F$7*$E$499</f>
        <v>0</v>
      </c>
      <c r="G503" s="733">
        <f>$G$7*$E$499</f>
        <v>0</v>
      </c>
      <c r="H503" s="733">
        <f>$H$7*$E$499</f>
        <v>0</v>
      </c>
      <c r="I503" s="733">
        <f>$I$7*$E$499</f>
        <v>0</v>
      </c>
      <c r="J503" s="733">
        <f>$J$7*$E$499</f>
        <v>0</v>
      </c>
      <c r="K503" s="733">
        <f>K$7*$E$499</f>
        <v>0</v>
      </c>
      <c r="L503" s="733">
        <f>L$7*$E$499</f>
        <v>0</v>
      </c>
      <c r="M503" s="733">
        <f t="shared" ref="M503:O503" si="509">M$7*$E$499</f>
        <v>0</v>
      </c>
      <c r="N503" s="733">
        <f t="shared" si="509"/>
        <v>0</v>
      </c>
      <c r="O503" s="733">
        <f t="shared" si="509"/>
        <v>0</v>
      </c>
      <c r="P503" s="733">
        <f>$P$7*$E$499</f>
        <v>0</v>
      </c>
      <c r="Q503" s="734">
        <f t="shared" si="508"/>
        <v>0</v>
      </c>
      <c r="R503" s="733">
        <f>$R$7*$E$499</f>
        <v>0</v>
      </c>
      <c r="S503" s="733">
        <f>$S$7*$E$499</f>
        <v>0</v>
      </c>
      <c r="T503" s="733">
        <f>$T$7*$E$499</f>
        <v>0</v>
      </c>
      <c r="U503" s="733">
        <f>$U$7*$E$499</f>
        <v>0</v>
      </c>
    </row>
    <row r="504" spans="2:21" ht="18.75" x14ac:dyDescent="0.25">
      <c r="B504" s="790"/>
      <c r="C504" s="117">
        <f t="shared" si="506"/>
        <v>1</v>
      </c>
      <c r="D504" s="765" t="s">
        <v>91</v>
      </c>
      <c r="E504" s="84" t="s">
        <v>55</v>
      </c>
      <c r="F504" s="733">
        <f>$F$8*$E$499</f>
        <v>192.23807294164763</v>
      </c>
      <c r="G504" s="733">
        <f>$G$8*$E$499</f>
        <v>0</v>
      </c>
      <c r="H504" s="733">
        <f>$H$8*$E$499</f>
        <v>0</v>
      </c>
      <c r="I504" s="733">
        <f>$I$8*$E$499</f>
        <v>3.212265879439506</v>
      </c>
      <c r="J504" s="733">
        <f>$J$8*$E$499</f>
        <v>0</v>
      </c>
      <c r="K504" s="733">
        <f>K$8*$E$499</f>
        <v>0</v>
      </c>
      <c r="L504" s="733">
        <f>L$8*$E$499</f>
        <v>0</v>
      </c>
      <c r="M504" s="733">
        <f t="shared" ref="M504:O504" si="510">M$8*$E$499</f>
        <v>0</v>
      </c>
      <c r="N504" s="733">
        <f t="shared" si="510"/>
        <v>0</v>
      </c>
      <c r="O504" s="733">
        <f t="shared" si="510"/>
        <v>5.7692466287456803</v>
      </c>
      <c r="P504" s="733">
        <f>$P$8*$E$499</f>
        <v>0</v>
      </c>
      <c r="Q504" s="734">
        <f t="shared" si="508"/>
        <v>201.21958544983283</v>
      </c>
      <c r="R504" s="733">
        <f>$R$8*$E$499</f>
        <v>0</v>
      </c>
      <c r="S504" s="733">
        <f>$S$8*$E$499</f>
        <v>5.8089025001457593</v>
      </c>
      <c r="T504" s="733">
        <f ca="1">$T$8*$E$499</f>
        <v>2.3770587498085431</v>
      </c>
      <c r="U504" s="733">
        <f ca="1">$U$8*$E$499</f>
        <v>0.2371338000590085</v>
      </c>
    </row>
    <row r="505" spans="2:21" ht="18.75" x14ac:dyDescent="0.25">
      <c r="B505" s="790"/>
      <c r="C505" s="117">
        <f t="shared" si="506"/>
        <v>1</v>
      </c>
      <c r="D505" s="766" t="s">
        <v>117</v>
      </c>
      <c r="E505" s="84" t="s">
        <v>54</v>
      </c>
      <c r="F505" s="733">
        <f>$F$9*$E$499</f>
        <v>0</v>
      </c>
      <c r="G505" s="733">
        <f>$G$9*$E$499</f>
        <v>0</v>
      </c>
      <c r="H505" s="733">
        <f>$H$9*$E$499</f>
        <v>0</v>
      </c>
      <c r="I505" s="733">
        <f>$I$9*$E$499</f>
        <v>0</v>
      </c>
      <c r="J505" s="733">
        <f>$J$9*$E$499</f>
        <v>0</v>
      </c>
      <c r="K505" s="733">
        <f>K$9*$E$499</f>
        <v>0</v>
      </c>
      <c r="L505" s="733">
        <f>L$9*$E$499</f>
        <v>0</v>
      </c>
      <c r="M505" s="733">
        <f t="shared" ref="M505:O505" si="511">M$9*$E$499</f>
        <v>0</v>
      </c>
      <c r="N505" s="733">
        <f t="shared" si="511"/>
        <v>0</v>
      </c>
      <c r="O505" s="733">
        <f t="shared" si="511"/>
        <v>0</v>
      </c>
      <c r="P505" s="733">
        <f>$P$9*$E$499</f>
        <v>0</v>
      </c>
      <c r="Q505" s="734">
        <f t="shared" si="508"/>
        <v>0</v>
      </c>
      <c r="R505" s="733">
        <f>$R$9*$E$499</f>
        <v>0</v>
      </c>
      <c r="S505" s="733">
        <f>$S$9*$E$499</f>
        <v>0</v>
      </c>
      <c r="T505" s="733">
        <f>$T$9*$E$499</f>
        <v>0</v>
      </c>
      <c r="U505" s="733">
        <f>$U$9*$E$499</f>
        <v>0</v>
      </c>
    </row>
    <row r="506" spans="2:21" ht="18.75" x14ac:dyDescent="0.25">
      <c r="B506" s="790"/>
      <c r="C506" s="117">
        <f t="shared" si="506"/>
        <v>1</v>
      </c>
      <c r="D506" s="112" t="s">
        <v>31</v>
      </c>
      <c r="E506" s="84"/>
      <c r="F506" s="767"/>
      <c r="G506" s="768"/>
      <c r="H506" s="769"/>
      <c r="I506" s="768"/>
      <c r="J506" s="768"/>
      <c r="K506" s="768"/>
      <c r="L506" s="768"/>
      <c r="M506" s="768"/>
      <c r="N506" s="768"/>
      <c r="O506" s="768"/>
      <c r="P506" s="771"/>
      <c r="Q506" s="734">
        <f t="shared" si="508"/>
        <v>0</v>
      </c>
      <c r="R506" s="772"/>
      <c r="S506" s="768"/>
      <c r="T506" s="773"/>
      <c r="U506" s="774"/>
    </row>
    <row r="507" spans="2:21" ht="18.75" x14ac:dyDescent="0.25">
      <c r="B507" s="790"/>
      <c r="C507" s="117">
        <f t="shared" si="506"/>
        <v>1</v>
      </c>
      <c r="D507" s="775" t="s">
        <v>118</v>
      </c>
      <c r="E507" s="84" t="s">
        <v>53</v>
      </c>
      <c r="F507" s="733">
        <f>$F$11*$E$499</f>
        <v>0</v>
      </c>
      <c r="G507" s="733">
        <f>$G$11*$E$499</f>
        <v>0</v>
      </c>
      <c r="H507" s="733">
        <f>$H$11*$E$499</f>
        <v>0</v>
      </c>
      <c r="I507" s="733">
        <f>$I$11*$E$499</f>
        <v>0</v>
      </c>
      <c r="J507" s="733">
        <f>$J$11*$E$499</f>
        <v>0</v>
      </c>
      <c r="K507" s="733">
        <f>K$11*$E$499</f>
        <v>0</v>
      </c>
      <c r="L507" s="733">
        <f>L$11*$E$499</f>
        <v>0</v>
      </c>
      <c r="M507" s="733">
        <f t="shared" ref="M507:O507" si="512">M$11*$E$499</f>
        <v>0</v>
      </c>
      <c r="N507" s="733">
        <f t="shared" si="512"/>
        <v>0</v>
      </c>
      <c r="O507" s="733">
        <f t="shared" si="512"/>
        <v>0</v>
      </c>
      <c r="P507" s="733">
        <f>$P$11*$E$499</f>
        <v>0</v>
      </c>
      <c r="Q507" s="734">
        <f t="shared" si="508"/>
        <v>0</v>
      </c>
      <c r="R507" s="733">
        <f>$R$11*$E$499</f>
        <v>0</v>
      </c>
      <c r="S507" s="733">
        <f>$S$11*$E$499</f>
        <v>0</v>
      </c>
      <c r="T507" s="733">
        <f>$T$11*$E$499</f>
        <v>0</v>
      </c>
      <c r="U507" s="733">
        <f>$U$11*$E$499</f>
        <v>0</v>
      </c>
    </row>
    <row r="508" spans="2:21" ht="18.75" x14ac:dyDescent="0.25">
      <c r="B508" s="790"/>
      <c r="C508" s="117">
        <f t="shared" si="506"/>
        <v>1</v>
      </c>
      <c r="D508" s="775" t="s">
        <v>119</v>
      </c>
      <c r="E508" s="84" t="s">
        <v>52</v>
      </c>
      <c r="F508" s="733">
        <f>$F$12*$E$499</f>
        <v>0</v>
      </c>
      <c r="G508" s="733">
        <f>$G$12*$E$499</f>
        <v>0</v>
      </c>
      <c r="H508" s="733">
        <f>$H$12*$E$499</f>
        <v>0</v>
      </c>
      <c r="I508" s="733">
        <f>$I$12*$E$499</f>
        <v>0</v>
      </c>
      <c r="J508" s="733">
        <f>$J$12*$E$499</f>
        <v>0</v>
      </c>
      <c r="K508" s="733">
        <f>K$12*$E$499</f>
        <v>0</v>
      </c>
      <c r="L508" s="733">
        <f>L$12*$E$499</f>
        <v>0</v>
      </c>
      <c r="M508" s="733">
        <f t="shared" ref="M508:O508" si="513">M$12*$E$499</f>
        <v>0</v>
      </c>
      <c r="N508" s="733">
        <f t="shared" si="513"/>
        <v>0</v>
      </c>
      <c r="O508" s="733">
        <f t="shared" si="513"/>
        <v>0</v>
      </c>
      <c r="P508" s="733">
        <f>$P$12*$E$499</f>
        <v>0</v>
      </c>
      <c r="Q508" s="734">
        <f t="shared" si="508"/>
        <v>0</v>
      </c>
      <c r="R508" s="733">
        <f>$R$12*$E$499</f>
        <v>0</v>
      </c>
      <c r="S508" s="733">
        <f>$S$12*$E$499</f>
        <v>0</v>
      </c>
      <c r="T508" s="733">
        <f>$T$12*$E$499</f>
        <v>0</v>
      </c>
      <c r="U508" s="733">
        <f>$U$12*$E$499</f>
        <v>0</v>
      </c>
    </row>
    <row r="509" spans="2:21" ht="18.75" x14ac:dyDescent="0.25">
      <c r="B509" s="790"/>
      <c r="C509" s="117">
        <f t="shared" si="506"/>
        <v>1</v>
      </c>
      <c r="D509" s="775" t="s">
        <v>120</v>
      </c>
      <c r="E509" s="84" t="s">
        <v>51</v>
      </c>
      <c r="F509" s="733">
        <f>$F$13*$E$499</f>
        <v>0</v>
      </c>
      <c r="G509" s="733">
        <f>$G$13*$E$499</f>
        <v>0</v>
      </c>
      <c r="H509" s="733">
        <f>$H$13*$E$499</f>
        <v>0</v>
      </c>
      <c r="I509" s="733">
        <f>$I$13*$E$499</f>
        <v>0</v>
      </c>
      <c r="J509" s="733">
        <f>$J$13*$E$499</f>
        <v>0</v>
      </c>
      <c r="K509" s="733">
        <f>K$13*$E$499</f>
        <v>0</v>
      </c>
      <c r="L509" s="733">
        <f>L$13*$E$499</f>
        <v>0</v>
      </c>
      <c r="M509" s="733">
        <f t="shared" ref="M509:O509" si="514">M$13*$E$499</f>
        <v>0</v>
      </c>
      <c r="N509" s="733">
        <f t="shared" si="514"/>
        <v>0</v>
      </c>
      <c r="O509" s="733">
        <f t="shared" si="514"/>
        <v>0</v>
      </c>
      <c r="P509" s="733">
        <f>$P$13*$E$499</f>
        <v>0</v>
      </c>
      <c r="Q509" s="734">
        <f t="shared" si="508"/>
        <v>0</v>
      </c>
      <c r="R509" s="733">
        <f>$R$13*$E$499</f>
        <v>0</v>
      </c>
      <c r="S509" s="733">
        <f>$S$13*$E$499</f>
        <v>0</v>
      </c>
      <c r="T509" s="733">
        <f>$T$13*$E$499</f>
        <v>0</v>
      </c>
      <c r="U509" s="733">
        <f>$U$13*$E$499</f>
        <v>0</v>
      </c>
    </row>
    <row r="510" spans="2:21" ht="18.75" x14ac:dyDescent="0.25">
      <c r="B510" s="790"/>
      <c r="C510" s="117">
        <f t="shared" si="506"/>
        <v>1</v>
      </c>
      <c r="D510" s="775" t="s">
        <v>121</v>
      </c>
      <c r="E510" s="84" t="s">
        <v>50</v>
      </c>
      <c r="F510" s="733">
        <f>$F$14*$E$499</f>
        <v>0</v>
      </c>
      <c r="G510" s="733">
        <f>$G$14*$E$499</f>
        <v>0</v>
      </c>
      <c r="H510" s="733">
        <f>$H$14*$E$499</f>
        <v>0</v>
      </c>
      <c r="I510" s="733">
        <f>$I$14*$E$499</f>
        <v>0</v>
      </c>
      <c r="J510" s="733">
        <f>$J$14*$E$499</f>
        <v>0</v>
      </c>
      <c r="K510" s="733">
        <f>K$14*$E$499</f>
        <v>0</v>
      </c>
      <c r="L510" s="733">
        <f>L$14*$E$499</f>
        <v>0</v>
      </c>
      <c r="M510" s="733">
        <f t="shared" ref="M510:O510" si="515">M$14*$E$499</f>
        <v>0</v>
      </c>
      <c r="N510" s="733">
        <f t="shared" si="515"/>
        <v>0</v>
      </c>
      <c r="O510" s="733">
        <f t="shared" si="515"/>
        <v>0</v>
      </c>
      <c r="P510" s="733">
        <f>$P$14*$E$499</f>
        <v>0</v>
      </c>
      <c r="Q510" s="734">
        <f t="shared" si="508"/>
        <v>0</v>
      </c>
      <c r="R510" s="733">
        <f>$R$14*$E$499</f>
        <v>0</v>
      </c>
      <c r="S510" s="733">
        <f>$S$14*$E$499</f>
        <v>0</v>
      </c>
      <c r="T510" s="733">
        <f>$T$14*$E$499</f>
        <v>0</v>
      </c>
      <c r="U510" s="733">
        <f>$U$14*$E$499</f>
        <v>0</v>
      </c>
    </row>
    <row r="511" spans="2:21" ht="18.75" x14ac:dyDescent="0.25">
      <c r="B511" s="790"/>
      <c r="C511" s="117">
        <f t="shared" si="506"/>
        <v>1</v>
      </c>
      <c r="D511" s="775" t="s">
        <v>122</v>
      </c>
      <c r="E511" s="84" t="s">
        <v>49</v>
      </c>
      <c r="F511" s="733">
        <f>$F$15*$E$499</f>
        <v>0</v>
      </c>
      <c r="G511" s="733">
        <f>$G$15*$E$499</f>
        <v>0</v>
      </c>
      <c r="H511" s="733">
        <f>$H$15*$E$499</f>
        <v>0</v>
      </c>
      <c r="I511" s="733">
        <f>$I$15*$E$499</f>
        <v>0</v>
      </c>
      <c r="J511" s="733">
        <f>$J$15*$E$499</f>
        <v>0</v>
      </c>
      <c r="K511" s="733">
        <f>K$15*$E$499</f>
        <v>0</v>
      </c>
      <c r="L511" s="733">
        <f>L$15*$E$499</f>
        <v>0</v>
      </c>
      <c r="M511" s="733">
        <f t="shared" ref="M511:O511" si="516">M$15*$E$499</f>
        <v>0</v>
      </c>
      <c r="N511" s="733">
        <f t="shared" si="516"/>
        <v>0</v>
      </c>
      <c r="O511" s="733">
        <f t="shared" si="516"/>
        <v>0</v>
      </c>
      <c r="P511" s="733">
        <f>$P$15*$E$499</f>
        <v>0</v>
      </c>
      <c r="Q511" s="734">
        <f t="shared" si="508"/>
        <v>0</v>
      </c>
      <c r="R511" s="733">
        <f>$R$15*$E$499</f>
        <v>0</v>
      </c>
      <c r="S511" s="733">
        <f>$S$15*$E$499</f>
        <v>0</v>
      </c>
      <c r="T511" s="733">
        <f>$T$15*$E$499</f>
        <v>0</v>
      </c>
      <c r="U511" s="733">
        <f>$U$15*$E$499</f>
        <v>0</v>
      </c>
    </row>
    <row r="512" spans="2:21" ht="18.75" x14ac:dyDescent="0.25">
      <c r="B512" s="790"/>
      <c r="C512" s="117">
        <f t="shared" si="506"/>
        <v>1</v>
      </c>
      <c r="D512" s="775" t="s">
        <v>123</v>
      </c>
      <c r="E512" s="84" t="s">
        <v>47</v>
      </c>
      <c r="F512" s="733">
        <f>$F$16*$E$499</f>
        <v>0</v>
      </c>
      <c r="G512" s="733">
        <f>$G$16*$E$499</f>
        <v>0</v>
      </c>
      <c r="H512" s="733">
        <f>$H$16*$E$499</f>
        <v>0</v>
      </c>
      <c r="I512" s="733">
        <f>$I$16*$E$499</f>
        <v>0</v>
      </c>
      <c r="J512" s="733">
        <f>$J$16*$E$499</f>
        <v>0</v>
      </c>
      <c r="K512" s="733">
        <f>K$16*$E$499</f>
        <v>0</v>
      </c>
      <c r="L512" s="733">
        <f>L$16*$E$499</f>
        <v>0</v>
      </c>
      <c r="M512" s="733">
        <f t="shared" ref="M512:O512" si="517">M$16*$E$499</f>
        <v>0</v>
      </c>
      <c r="N512" s="733">
        <f t="shared" si="517"/>
        <v>0</v>
      </c>
      <c r="O512" s="733">
        <f t="shared" si="517"/>
        <v>0</v>
      </c>
      <c r="P512" s="733">
        <f>$P$16*$E$499</f>
        <v>0</v>
      </c>
      <c r="Q512" s="734">
        <f t="shared" si="508"/>
        <v>0</v>
      </c>
      <c r="R512" s="733">
        <f>$R$16*$E$499</f>
        <v>0</v>
      </c>
      <c r="S512" s="733">
        <f>$S$16*$E$499</f>
        <v>0</v>
      </c>
      <c r="T512" s="733">
        <f>$T$16*$E$499</f>
        <v>0</v>
      </c>
      <c r="U512" s="733">
        <f>$U$16*$E$499</f>
        <v>0</v>
      </c>
    </row>
    <row r="513" spans="2:21" ht="19.5" thickBot="1" x14ac:dyDescent="0.3">
      <c r="B513" s="790"/>
      <c r="C513" s="117">
        <f t="shared" si="506"/>
        <v>1</v>
      </c>
      <c r="D513" s="776" t="s">
        <v>16</v>
      </c>
      <c r="E513" s="777" t="s">
        <v>77</v>
      </c>
      <c r="F513" s="733">
        <f>$F$17*$E$499</f>
        <v>2387.9895072164877</v>
      </c>
      <c r="G513" s="733">
        <f>$G$17*$E$499</f>
        <v>47.437032596977055</v>
      </c>
      <c r="H513" s="733">
        <f>$H$17*$E$499</f>
        <v>0</v>
      </c>
      <c r="I513" s="733">
        <f>$I$17*$E$499</f>
        <v>0</v>
      </c>
      <c r="J513" s="733">
        <f>$J$17*$E$499</f>
        <v>101.27520399096898</v>
      </c>
      <c r="K513" s="733">
        <f>K$17*$E$499</f>
        <v>0.41695441696218455</v>
      </c>
      <c r="L513" s="733">
        <f>L$17*$E$499</f>
        <v>5.867745199926263E-2</v>
      </c>
      <c r="M513" s="733">
        <f t="shared" ref="M513:O513" si="518">M$17*$E$499</f>
        <v>0</v>
      </c>
      <c r="N513" s="733">
        <f t="shared" si="518"/>
        <v>0</v>
      </c>
      <c r="O513" s="733">
        <f t="shared" si="518"/>
        <v>30.348911678936798</v>
      </c>
      <c r="P513" s="733">
        <f>$P$17*$E$499</f>
        <v>516.89174726468593</v>
      </c>
      <c r="Q513" s="734">
        <f t="shared" si="508"/>
        <v>3084.4180346170183</v>
      </c>
      <c r="R513" s="733">
        <f>$R$17*$E$499</f>
        <v>0</v>
      </c>
      <c r="S513" s="733">
        <f>$S$17*$E$499</f>
        <v>214.46990331431559</v>
      </c>
      <c r="T513" s="733">
        <f ca="1">$T$17*$E$499</f>
        <v>62.202038256835522</v>
      </c>
      <c r="U513" s="733">
        <f ca="1">$U$17*$E$499</f>
        <v>3.5444701357603137</v>
      </c>
    </row>
    <row r="514" spans="2:21" ht="19.5" thickBot="1" x14ac:dyDescent="0.3">
      <c r="B514" s="790"/>
      <c r="C514" s="117">
        <f t="shared" si="506"/>
        <v>1</v>
      </c>
      <c r="D514" s="115" t="s">
        <v>124</v>
      </c>
      <c r="E514" s="778" t="s">
        <v>78</v>
      </c>
      <c r="F514" s="779">
        <f t="shared" ref="F514:U514" si="519">SUBTOTAL(9,F502:F513)</f>
        <v>24177.874191489096</v>
      </c>
      <c r="G514" s="779">
        <f t="shared" ref="G514:L514" si="520">SUBTOTAL(9,G502:G513)</f>
        <v>1543.3085293941879</v>
      </c>
      <c r="H514" s="779">
        <f t="shared" si="520"/>
        <v>3.3539067013278037</v>
      </c>
      <c r="I514" s="779">
        <f t="shared" si="520"/>
        <v>540.56339401607579</v>
      </c>
      <c r="J514" s="779">
        <f t="shared" si="520"/>
        <v>493.30879263141833</v>
      </c>
      <c r="K514" s="779">
        <f t="shared" si="520"/>
        <v>21.508172059483229</v>
      </c>
      <c r="L514" s="779">
        <f t="shared" si="520"/>
        <v>5.867745199926263E-2</v>
      </c>
      <c r="M514" s="779">
        <f t="shared" ref="M514:O514" si="521">SUBTOTAL(9,M502:M513)</f>
        <v>15.320532123972647</v>
      </c>
      <c r="N514" s="779">
        <f t="shared" si="521"/>
        <v>0</v>
      </c>
      <c r="O514" s="779">
        <f t="shared" si="521"/>
        <v>136.18270589836544</v>
      </c>
      <c r="P514" s="779">
        <f t="shared" si="519"/>
        <v>516.89174726468593</v>
      </c>
      <c r="Q514" s="780">
        <f>SUBTOTAL(9,Q502:Q513)</f>
        <v>27448.370649030614</v>
      </c>
      <c r="R514" s="779">
        <f t="shared" si="519"/>
        <v>0</v>
      </c>
      <c r="S514" s="779">
        <f t="shared" si="519"/>
        <v>2065.5687350950875</v>
      </c>
      <c r="T514" s="779">
        <f t="shared" ca="1" si="519"/>
        <v>825.31012737134063</v>
      </c>
      <c r="U514" s="779">
        <f t="shared" ca="1" si="519"/>
        <v>573.6035307745309</v>
      </c>
    </row>
    <row r="515" spans="2:21" s="119" customFormat="1" ht="19.5" hidden="1" thickBot="1" x14ac:dyDescent="0.3">
      <c r="B515" s="340"/>
      <c r="D515" s="117"/>
      <c r="E515" s="117"/>
      <c r="F515" s="118"/>
      <c r="G515" s="118"/>
      <c r="I515" s="118"/>
      <c r="J515" s="118"/>
      <c r="K515" s="118"/>
      <c r="L515" s="118"/>
      <c r="O515" s="118"/>
      <c r="Q515" s="120"/>
      <c r="R515" s="117"/>
      <c r="S515" s="118"/>
      <c r="U515" s="118"/>
    </row>
    <row r="516" spans="2:21" ht="75" x14ac:dyDescent="0.25">
      <c r="B516" s="790"/>
      <c r="C516" s="117">
        <f>IF($E516&gt;0,1,0)</f>
        <v>1</v>
      </c>
      <c r="D516" s="96" t="str">
        <f>A33</f>
        <v>Nassau</v>
      </c>
      <c r="E516" s="166">
        <f>IFERROR(SUMIF(A:A,D516,B:B),0)</f>
        <v>0.12769760760357801</v>
      </c>
      <c r="F516" s="98" t="s">
        <v>356</v>
      </c>
      <c r="G516" s="98" t="s">
        <v>373</v>
      </c>
      <c r="H516" s="98" t="s">
        <v>358</v>
      </c>
      <c r="I516" s="98" t="s">
        <v>109</v>
      </c>
      <c r="J516" s="98" t="s">
        <v>111</v>
      </c>
      <c r="K516" s="98" t="s">
        <v>469</v>
      </c>
      <c r="L516" s="98" t="s">
        <v>470</v>
      </c>
      <c r="M516" s="98" t="s">
        <v>357</v>
      </c>
      <c r="N516" s="509" t="s">
        <v>471</v>
      </c>
      <c r="O516" s="98" t="s">
        <v>472</v>
      </c>
      <c r="P516" s="98" t="s">
        <v>110</v>
      </c>
      <c r="Q516" s="99" t="s">
        <v>116</v>
      </c>
      <c r="R516" s="98" t="s">
        <v>112</v>
      </c>
      <c r="S516" s="98" t="s">
        <v>113</v>
      </c>
      <c r="T516" s="98" t="s">
        <v>114</v>
      </c>
      <c r="U516" s="98" t="s">
        <v>115</v>
      </c>
    </row>
    <row r="517" spans="2:21" ht="18.75" x14ac:dyDescent="0.25">
      <c r="B517" s="790"/>
      <c r="C517" s="117">
        <f t="shared" ref="C517:C531" si="522">C516</f>
        <v>1</v>
      </c>
      <c r="D517" s="101"/>
      <c r="E517" s="102"/>
      <c r="F517" s="84" t="s">
        <v>57</v>
      </c>
      <c r="G517" s="84" t="s">
        <v>56</v>
      </c>
      <c r="H517" s="84" t="s">
        <v>55</v>
      </c>
      <c r="I517" s="84" t="s">
        <v>54</v>
      </c>
      <c r="J517" s="84" t="s">
        <v>53</v>
      </c>
      <c r="K517" s="84" t="s">
        <v>52</v>
      </c>
      <c r="L517" s="84" t="s">
        <v>51</v>
      </c>
      <c r="M517" s="84" t="s">
        <v>50</v>
      </c>
      <c r="N517" s="84" t="s">
        <v>49</v>
      </c>
      <c r="O517" s="84" t="s">
        <v>47</v>
      </c>
      <c r="P517" s="84" t="s">
        <v>77</v>
      </c>
      <c r="Q517" s="83" t="s">
        <v>78</v>
      </c>
      <c r="R517" s="84" t="s">
        <v>79</v>
      </c>
      <c r="S517" s="84" t="s">
        <v>81</v>
      </c>
      <c r="T517" s="84" t="s">
        <v>83</v>
      </c>
      <c r="U517" s="84" t="s">
        <v>85</v>
      </c>
    </row>
    <row r="518" spans="2:21" ht="18.75" x14ac:dyDescent="0.25">
      <c r="B518" s="790"/>
      <c r="C518" s="117">
        <f t="shared" si="522"/>
        <v>1</v>
      </c>
      <c r="D518" s="103" t="s">
        <v>26</v>
      </c>
      <c r="E518" s="104"/>
      <c r="F518" s="745"/>
      <c r="G518" s="745"/>
      <c r="H518" s="784"/>
      <c r="I518" s="745"/>
      <c r="J518" s="745"/>
      <c r="K518" s="745"/>
      <c r="L518" s="745"/>
      <c r="M518" s="784"/>
      <c r="N518" s="784"/>
      <c r="O518" s="745"/>
      <c r="P518" s="784"/>
      <c r="Q518" s="747"/>
      <c r="R518" s="748"/>
      <c r="S518" s="745"/>
      <c r="T518" s="784"/>
      <c r="U518" s="749"/>
    </row>
    <row r="519" spans="2:21" ht="18.75" x14ac:dyDescent="0.25">
      <c r="B519" s="790"/>
      <c r="C519" s="117">
        <f t="shared" si="522"/>
        <v>1</v>
      </c>
      <c r="D519" s="763" t="s">
        <v>93</v>
      </c>
      <c r="E519" s="84" t="s">
        <v>57</v>
      </c>
      <c r="F519" s="733">
        <f t="shared" ref="F519:P519" si="523">F6*$E$516</f>
        <v>16119725.897069894</v>
      </c>
      <c r="G519" s="733">
        <f t="shared" si="523"/>
        <v>1116466.0177817738</v>
      </c>
      <c r="H519" s="733">
        <f t="shared" si="523"/>
        <v>2503.2383241878752</v>
      </c>
      <c r="I519" s="733">
        <f t="shared" si="523"/>
        <v>401060.03454559087</v>
      </c>
      <c r="J519" s="733">
        <f t="shared" si="523"/>
        <v>292600.12005258282</v>
      </c>
      <c r="K519" s="733">
        <f t="shared" si="523"/>
        <v>15741.745077656509</v>
      </c>
      <c r="L519" s="733">
        <f t="shared" si="523"/>
        <v>0</v>
      </c>
      <c r="M519" s="733">
        <f t="shared" si="523"/>
        <v>11434.707812383913</v>
      </c>
      <c r="N519" s="733">
        <f t="shared" si="523"/>
        <v>0</v>
      </c>
      <c r="O519" s="733">
        <f t="shared" si="523"/>
        <v>74684.668575411633</v>
      </c>
      <c r="P519" s="733">
        <f t="shared" si="523"/>
        <v>0</v>
      </c>
      <c r="Q519" s="734">
        <f t="shared" ref="Q519:Q530" si="524">SUM(F519:P519)</f>
        <v>18034216.429239478</v>
      </c>
      <c r="R519" s="733">
        <f t="shared" ref="R519:U519" si="525">R6*$E$516</f>
        <v>0</v>
      </c>
      <c r="S519" s="733">
        <f t="shared" si="525"/>
        <v>1377259.6799977971</v>
      </c>
      <c r="T519" s="733">
        <f t="shared" ca="1" si="525"/>
        <v>567782.95855812996</v>
      </c>
      <c r="U519" s="733">
        <f t="shared" ca="1" si="525"/>
        <v>425295.09978930955</v>
      </c>
    </row>
    <row r="520" spans="2:21" ht="18.75" x14ac:dyDescent="0.25">
      <c r="B520" s="790"/>
      <c r="C520" s="117">
        <f t="shared" si="522"/>
        <v>1</v>
      </c>
      <c r="D520" s="765" t="s">
        <v>92</v>
      </c>
      <c r="E520" s="84" t="s">
        <v>56</v>
      </c>
      <c r="F520" s="733">
        <f t="shared" ref="F520:F530" si="526">$F7*$E$516</f>
        <v>0</v>
      </c>
      <c r="G520" s="733">
        <f t="shared" ref="G520:J530" si="527">G7*$E$516</f>
        <v>0</v>
      </c>
      <c r="H520" s="733">
        <f t="shared" si="527"/>
        <v>0</v>
      </c>
      <c r="I520" s="733">
        <f t="shared" si="527"/>
        <v>0</v>
      </c>
      <c r="J520" s="733">
        <f t="shared" si="527"/>
        <v>0</v>
      </c>
      <c r="K520" s="733">
        <f t="shared" ref="K520:P520" si="528">K7*$E$516</f>
        <v>0</v>
      </c>
      <c r="L520" s="733">
        <f t="shared" si="528"/>
        <v>0</v>
      </c>
      <c r="M520" s="733">
        <f t="shared" si="528"/>
        <v>0</v>
      </c>
      <c r="N520" s="733">
        <f t="shared" si="528"/>
        <v>0</v>
      </c>
      <c r="O520" s="733">
        <f t="shared" si="528"/>
        <v>0</v>
      </c>
      <c r="P520" s="733">
        <f t="shared" si="528"/>
        <v>0</v>
      </c>
      <c r="Q520" s="734">
        <f t="shared" si="524"/>
        <v>0</v>
      </c>
      <c r="R520" s="733">
        <f t="shared" ref="R520:U520" si="529">R7*$E$516</f>
        <v>0</v>
      </c>
      <c r="S520" s="733">
        <f t="shared" si="529"/>
        <v>0</v>
      </c>
      <c r="T520" s="733">
        <f t="shared" si="529"/>
        <v>0</v>
      </c>
      <c r="U520" s="733">
        <f t="shared" si="529"/>
        <v>0</v>
      </c>
    </row>
    <row r="521" spans="2:21" ht="18.75" x14ac:dyDescent="0.25">
      <c r="B521" s="790"/>
      <c r="C521" s="117">
        <f t="shared" si="522"/>
        <v>1</v>
      </c>
      <c r="D521" s="765" t="s">
        <v>91</v>
      </c>
      <c r="E521" s="84" t="s">
        <v>55</v>
      </c>
      <c r="F521" s="733">
        <f t="shared" si="526"/>
        <v>143479.75492730422</v>
      </c>
      <c r="G521" s="733">
        <f t="shared" si="527"/>
        <v>0</v>
      </c>
      <c r="H521" s="733">
        <f t="shared" si="527"/>
        <v>0</v>
      </c>
      <c r="I521" s="733">
        <f t="shared" si="527"/>
        <v>2397.5225827571771</v>
      </c>
      <c r="J521" s="733">
        <f t="shared" si="527"/>
        <v>0</v>
      </c>
      <c r="K521" s="733">
        <f t="shared" ref="K521:P521" si="530">K8*$E$516</f>
        <v>0</v>
      </c>
      <c r="L521" s="733">
        <f t="shared" si="530"/>
        <v>0</v>
      </c>
      <c r="M521" s="733">
        <f t="shared" si="530"/>
        <v>0</v>
      </c>
      <c r="N521" s="733">
        <f t="shared" si="530"/>
        <v>0</v>
      </c>
      <c r="O521" s="733">
        <f t="shared" si="530"/>
        <v>4305.9633283926505</v>
      </c>
      <c r="P521" s="733">
        <f t="shared" si="530"/>
        <v>0</v>
      </c>
      <c r="Q521" s="734">
        <f t="shared" si="524"/>
        <v>150183.24083845405</v>
      </c>
      <c r="R521" s="733">
        <f t="shared" ref="R521:U521" si="531">R8*$E$516</f>
        <v>0</v>
      </c>
      <c r="S521" s="733">
        <f t="shared" si="531"/>
        <v>4335.5610798830076</v>
      </c>
      <c r="T521" s="733">
        <f t="shared" ca="1" si="531"/>
        <v>1774.1532759426898</v>
      </c>
      <c r="U521" s="733">
        <f t="shared" ca="1" si="531"/>
        <v>176.98835093802975</v>
      </c>
    </row>
    <row r="522" spans="2:21" ht="18.75" x14ac:dyDescent="0.25">
      <c r="B522" s="790"/>
      <c r="C522" s="117">
        <f t="shared" si="522"/>
        <v>1</v>
      </c>
      <c r="D522" s="766" t="s">
        <v>117</v>
      </c>
      <c r="E522" s="84" t="s">
        <v>54</v>
      </c>
      <c r="F522" s="733">
        <f t="shared" si="526"/>
        <v>0</v>
      </c>
      <c r="G522" s="733">
        <f t="shared" si="527"/>
        <v>0</v>
      </c>
      <c r="H522" s="733">
        <f t="shared" si="527"/>
        <v>0</v>
      </c>
      <c r="I522" s="733">
        <f t="shared" si="527"/>
        <v>0</v>
      </c>
      <c r="J522" s="733">
        <f t="shared" si="527"/>
        <v>0</v>
      </c>
      <c r="K522" s="733">
        <f t="shared" ref="K522:P522" si="532">K9*$E$516</f>
        <v>0</v>
      </c>
      <c r="L522" s="733">
        <f t="shared" si="532"/>
        <v>0</v>
      </c>
      <c r="M522" s="733">
        <f t="shared" si="532"/>
        <v>0</v>
      </c>
      <c r="N522" s="733">
        <f t="shared" si="532"/>
        <v>0</v>
      </c>
      <c r="O522" s="733">
        <f t="shared" si="532"/>
        <v>0</v>
      </c>
      <c r="P522" s="733">
        <f t="shared" si="532"/>
        <v>0</v>
      </c>
      <c r="Q522" s="734">
        <f t="shared" si="524"/>
        <v>0</v>
      </c>
      <c r="R522" s="733">
        <f t="shared" ref="R522:U522" si="533">R9*$E$516</f>
        <v>0</v>
      </c>
      <c r="S522" s="733">
        <f t="shared" si="533"/>
        <v>0</v>
      </c>
      <c r="T522" s="733">
        <f t="shared" si="533"/>
        <v>0</v>
      </c>
      <c r="U522" s="733">
        <f t="shared" si="533"/>
        <v>0</v>
      </c>
    </row>
    <row r="523" spans="2:21" ht="18.75" x14ac:dyDescent="0.25">
      <c r="B523" s="790"/>
      <c r="C523" s="117">
        <f t="shared" si="522"/>
        <v>1</v>
      </c>
      <c r="D523" s="112" t="s">
        <v>31</v>
      </c>
      <c r="E523" s="84"/>
      <c r="F523" s="733">
        <f t="shared" si="526"/>
        <v>0</v>
      </c>
      <c r="G523" s="733">
        <f t="shared" si="527"/>
        <v>0</v>
      </c>
      <c r="H523" s="733">
        <f t="shared" si="527"/>
        <v>0</v>
      </c>
      <c r="I523" s="733">
        <f t="shared" si="527"/>
        <v>0</v>
      </c>
      <c r="J523" s="733">
        <f t="shared" si="527"/>
        <v>0</v>
      </c>
      <c r="K523" s="733">
        <f t="shared" ref="K523:P523" si="534">K10*$E$516</f>
        <v>0</v>
      </c>
      <c r="L523" s="733">
        <f t="shared" si="534"/>
        <v>0</v>
      </c>
      <c r="M523" s="733">
        <f t="shared" si="534"/>
        <v>0</v>
      </c>
      <c r="N523" s="733">
        <f t="shared" si="534"/>
        <v>0</v>
      </c>
      <c r="O523" s="733">
        <f t="shared" si="534"/>
        <v>0</v>
      </c>
      <c r="P523" s="733">
        <f t="shared" si="534"/>
        <v>0</v>
      </c>
      <c r="Q523" s="734">
        <f t="shared" si="524"/>
        <v>0</v>
      </c>
      <c r="R523" s="733">
        <f t="shared" ref="R523:U523" si="535">R10*$E$516</f>
        <v>0</v>
      </c>
      <c r="S523" s="733">
        <f t="shared" si="535"/>
        <v>0</v>
      </c>
      <c r="T523" s="733">
        <f t="shared" si="535"/>
        <v>0</v>
      </c>
      <c r="U523" s="733">
        <f t="shared" si="535"/>
        <v>0</v>
      </c>
    </row>
    <row r="524" spans="2:21" ht="18.75" x14ac:dyDescent="0.25">
      <c r="B524" s="790"/>
      <c r="C524" s="117">
        <f t="shared" si="522"/>
        <v>1</v>
      </c>
      <c r="D524" s="775" t="s">
        <v>118</v>
      </c>
      <c r="E524" s="84" t="s">
        <v>53</v>
      </c>
      <c r="F524" s="733">
        <f t="shared" si="526"/>
        <v>0</v>
      </c>
      <c r="G524" s="733">
        <f t="shared" si="527"/>
        <v>0</v>
      </c>
      <c r="H524" s="733">
        <f t="shared" si="527"/>
        <v>0</v>
      </c>
      <c r="I524" s="733">
        <f t="shared" si="527"/>
        <v>0</v>
      </c>
      <c r="J524" s="733">
        <f t="shared" si="527"/>
        <v>0</v>
      </c>
      <c r="K524" s="733">
        <f t="shared" ref="K524:P524" si="536">K11*$E$516</f>
        <v>0</v>
      </c>
      <c r="L524" s="733">
        <f t="shared" si="536"/>
        <v>0</v>
      </c>
      <c r="M524" s="733">
        <f t="shared" si="536"/>
        <v>0</v>
      </c>
      <c r="N524" s="733">
        <f t="shared" si="536"/>
        <v>0</v>
      </c>
      <c r="O524" s="733">
        <f t="shared" si="536"/>
        <v>0</v>
      </c>
      <c r="P524" s="733">
        <f t="shared" si="536"/>
        <v>0</v>
      </c>
      <c r="Q524" s="734">
        <f t="shared" si="524"/>
        <v>0</v>
      </c>
      <c r="R524" s="733">
        <f t="shared" ref="R524:U524" si="537">R11*$E$516</f>
        <v>0</v>
      </c>
      <c r="S524" s="733">
        <f t="shared" si="537"/>
        <v>0</v>
      </c>
      <c r="T524" s="733">
        <f t="shared" si="537"/>
        <v>0</v>
      </c>
      <c r="U524" s="733">
        <f t="shared" si="537"/>
        <v>0</v>
      </c>
    </row>
    <row r="525" spans="2:21" ht="18.75" x14ac:dyDescent="0.25">
      <c r="B525" s="790"/>
      <c r="C525" s="117">
        <f t="shared" si="522"/>
        <v>1</v>
      </c>
      <c r="D525" s="775" t="s">
        <v>119</v>
      </c>
      <c r="E525" s="84" t="s">
        <v>52</v>
      </c>
      <c r="F525" s="733">
        <f t="shared" si="526"/>
        <v>0</v>
      </c>
      <c r="G525" s="733">
        <f t="shared" si="527"/>
        <v>0</v>
      </c>
      <c r="H525" s="733">
        <f t="shared" si="527"/>
        <v>0</v>
      </c>
      <c r="I525" s="733">
        <f t="shared" si="527"/>
        <v>0</v>
      </c>
      <c r="J525" s="733">
        <f t="shared" si="527"/>
        <v>0</v>
      </c>
      <c r="K525" s="733">
        <f t="shared" ref="K525:P525" si="538">K12*$E$516</f>
        <v>0</v>
      </c>
      <c r="L525" s="733">
        <f t="shared" si="538"/>
        <v>0</v>
      </c>
      <c r="M525" s="733">
        <f t="shared" si="538"/>
        <v>0</v>
      </c>
      <c r="N525" s="733">
        <f t="shared" si="538"/>
        <v>0</v>
      </c>
      <c r="O525" s="733">
        <f t="shared" si="538"/>
        <v>0</v>
      </c>
      <c r="P525" s="733">
        <f t="shared" si="538"/>
        <v>0</v>
      </c>
      <c r="Q525" s="734">
        <f t="shared" si="524"/>
        <v>0</v>
      </c>
      <c r="R525" s="733">
        <f t="shared" ref="R525:U525" si="539">R12*$E$516</f>
        <v>0</v>
      </c>
      <c r="S525" s="733">
        <f t="shared" si="539"/>
        <v>0</v>
      </c>
      <c r="T525" s="733">
        <f t="shared" si="539"/>
        <v>0</v>
      </c>
      <c r="U525" s="733">
        <f t="shared" si="539"/>
        <v>0</v>
      </c>
    </row>
    <row r="526" spans="2:21" ht="18.75" x14ac:dyDescent="0.25">
      <c r="B526" s="790"/>
      <c r="C526" s="117">
        <f t="shared" si="522"/>
        <v>1</v>
      </c>
      <c r="D526" s="775" t="s">
        <v>120</v>
      </c>
      <c r="E526" s="84" t="s">
        <v>51</v>
      </c>
      <c r="F526" s="733">
        <f t="shared" si="526"/>
        <v>0</v>
      </c>
      <c r="G526" s="733">
        <f t="shared" si="527"/>
        <v>0</v>
      </c>
      <c r="H526" s="733">
        <f t="shared" si="527"/>
        <v>0</v>
      </c>
      <c r="I526" s="733">
        <f t="shared" si="527"/>
        <v>0</v>
      </c>
      <c r="J526" s="733">
        <f t="shared" si="527"/>
        <v>0</v>
      </c>
      <c r="K526" s="733">
        <f t="shared" ref="K526:P526" si="540">K13*$E$516</f>
        <v>0</v>
      </c>
      <c r="L526" s="733">
        <f t="shared" si="540"/>
        <v>0</v>
      </c>
      <c r="M526" s="733">
        <f t="shared" si="540"/>
        <v>0</v>
      </c>
      <c r="N526" s="733">
        <f t="shared" si="540"/>
        <v>0</v>
      </c>
      <c r="O526" s="733">
        <f t="shared" si="540"/>
        <v>0</v>
      </c>
      <c r="P526" s="733">
        <f t="shared" si="540"/>
        <v>0</v>
      </c>
      <c r="Q526" s="734">
        <f t="shared" si="524"/>
        <v>0</v>
      </c>
      <c r="R526" s="733">
        <f t="shared" ref="R526:U526" si="541">R13*$E$516</f>
        <v>0</v>
      </c>
      <c r="S526" s="733">
        <f t="shared" si="541"/>
        <v>0</v>
      </c>
      <c r="T526" s="733">
        <f t="shared" si="541"/>
        <v>0</v>
      </c>
      <c r="U526" s="733">
        <f t="shared" si="541"/>
        <v>0</v>
      </c>
    </row>
    <row r="527" spans="2:21" ht="18.75" x14ac:dyDescent="0.25">
      <c r="B527" s="790"/>
      <c r="C527" s="117">
        <f t="shared" si="522"/>
        <v>1</v>
      </c>
      <c r="D527" s="775" t="s">
        <v>121</v>
      </c>
      <c r="E527" s="84" t="s">
        <v>50</v>
      </c>
      <c r="F527" s="733">
        <f t="shared" si="526"/>
        <v>0</v>
      </c>
      <c r="G527" s="733">
        <f t="shared" si="527"/>
        <v>0</v>
      </c>
      <c r="H527" s="733">
        <f t="shared" si="527"/>
        <v>0</v>
      </c>
      <c r="I527" s="733">
        <f t="shared" si="527"/>
        <v>0</v>
      </c>
      <c r="J527" s="733">
        <f t="shared" si="527"/>
        <v>0</v>
      </c>
      <c r="K527" s="733">
        <f t="shared" ref="K527:P527" si="542">K14*$E$516</f>
        <v>0</v>
      </c>
      <c r="L527" s="733">
        <f t="shared" si="542"/>
        <v>0</v>
      </c>
      <c r="M527" s="733">
        <f t="shared" si="542"/>
        <v>0</v>
      </c>
      <c r="N527" s="733">
        <f t="shared" si="542"/>
        <v>0</v>
      </c>
      <c r="O527" s="733">
        <f t="shared" si="542"/>
        <v>0</v>
      </c>
      <c r="P527" s="733">
        <f t="shared" si="542"/>
        <v>0</v>
      </c>
      <c r="Q527" s="734">
        <f t="shared" si="524"/>
        <v>0</v>
      </c>
      <c r="R527" s="733">
        <f t="shared" ref="R527:U527" si="543">R14*$E$516</f>
        <v>0</v>
      </c>
      <c r="S527" s="733">
        <f t="shared" si="543"/>
        <v>0</v>
      </c>
      <c r="T527" s="733">
        <f t="shared" si="543"/>
        <v>0</v>
      </c>
      <c r="U527" s="733">
        <f t="shared" si="543"/>
        <v>0</v>
      </c>
    </row>
    <row r="528" spans="2:21" ht="18.75" x14ac:dyDescent="0.25">
      <c r="B528" s="790"/>
      <c r="C528" s="117">
        <f t="shared" si="522"/>
        <v>1</v>
      </c>
      <c r="D528" s="775" t="s">
        <v>122</v>
      </c>
      <c r="E528" s="84" t="s">
        <v>49</v>
      </c>
      <c r="F528" s="733">
        <f t="shared" si="526"/>
        <v>0</v>
      </c>
      <c r="G528" s="733">
        <f t="shared" si="527"/>
        <v>0</v>
      </c>
      <c r="H528" s="733">
        <f t="shared" si="527"/>
        <v>0</v>
      </c>
      <c r="I528" s="733">
        <f t="shared" si="527"/>
        <v>0</v>
      </c>
      <c r="J528" s="733">
        <f t="shared" si="527"/>
        <v>0</v>
      </c>
      <c r="K528" s="733">
        <f t="shared" ref="K528:P528" si="544">K15*$E$516</f>
        <v>0</v>
      </c>
      <c r="L528" s="733">
        <f t="shared" si="544"/>
        <v>0</v>
      </c>
      <c r="M528" s="733">
        <f t="shared" si="544"/>
        <v>0</v>
      </c>
      <c r="N528" s="733">
        <f t="shared" si="544"/>
        <v>0</v>
      </c>
      <c r="O528" s="733">
        <f t="shared" si="544"/>
        <v>0</v>
      </c>
      <c r="P528" s="733">
        <f t="shared" si="544"/>
        <v>0</v>
      </c>
      <c r="Q528" s="734">
        <f t="shared" si="524"/>
        <v>0</v>
      </c>
      <c r="R528" s="733">
        <f t="shared" ref="R528:U528" si="545">R15*$E$516</f>
        <v>0</v>
      </c>
      <c r="S528" s="733">
        <f t="shared" si="545"/>
        <v>0</v>
      </c>
      <c r="T528" s="733">
        <f t="shared" si="545"/>
        <v>0</v>
      </c>
      <c r="U528" s="733">
        <f t="shared" si="545"/>
        <v>0</v>
      </c>
    </row>
    <row r="529" spans="2:21" ht="18.75" x14ac:dyDescent="0.25">
      <c r="B529" s="790"/>
      <c r="C529" s="117">
        <f t="shared" si="522"/>
        <v>1</v>
      </c>
      <c r="D529" s="775" t="s">
        <v>123</v>
      </c>
      <c r="E529" s="84" t="s">
        <v>47</v>
      </c>
      <c r="F529" s="733">
        <f t="shared" si="526"/>
        <v>0</v>
      </c>
      <c r="G529" s="733">
        <f t="shared" si="527"/>
        <v>0</v>
      </c>
      <c r="H529" s="733">
        <f t="shared" si="527"/>
        <v>0</v>
      </c>
      <c r="I529" s="733">
        <f t="shared" si="527"/>
        <v>0</v>
      </c>
      <c r="J529" s="733">
        <f t="shared" si="527"/>
        <v>0</v>
      </c>
      <c r="K529" s="733">
        <f t="shared" ref="K529:P529" si="546">K16*$E$516</f>
        <v>0</v>
      </c>
      <c r="L529" s="733">
        <f t="shared" si="546"/>
        <v>0</v>
      </c>
      <c r="M529" s="733">
        <f t="shared" si="546"/>
        <v>0</v>
      </c>
      <c r="N529" s="733">
        <f t="shared" si="546"/>
        <v>0</v>
      </c>
      <c r="O529" s="733">
        <f t="shared" si="546"/>
        <v>0</v>
      </c>
      <c r="P529" s="733">
        <f t="shared" si="546"/>
        <v>0</v>
      </c>
      <c r="Q529" s="734">
        <f t="shared" si="524"/>
        <v>0</v>
      </c>
      <c r="R529" s="733">
        <f t="shared" ref="R529:U529" si="547">R16*$E$516</f>
        <v>0</v>
      </c>
      <c r="S529" s="733">
        <f t="shared" si="547"/>
        <v>0</v>
      </c>
      <c r="T529" s="733">
        <f t="shared" si="547"/>
        <v>0</v>
      </c>
      <c r="U529" s="733">
        <f t="shared" si="547"/>
        <v>0</v>
      </c>
    </row>
    <row r="530" spans="2:21" ht="19.5" thickBot="1" x14ac:dyDescent="0.3">
      <c r="B530" s="790"/>
      <c r="C530" s="117">
        <f t="shared" si="522"/>
        <v>1</v>
      </c>
      <c r="D530" s="776" t="s">
        <v>16</v>
      </c>
      <c r="E530" s="777" t="s">
        <v>77</v>
      </c>
      <c r="F530" s="733">
        <f t="shared" si="526"/>
        <v>1782311.6098776008</v>
      </c>
      <c r="G530" s="733">
        <f t="shared" si="527"/>
        <v>35405.337284871734</v>
      </c>
      <c r="H530" s="733">
        <f t="shared" si="527"/>
        <v>0</v>
      </c>
      <c r="I530" s="733">
        <f t="shared" si="527"/>
        <v>0</v>
      </c>
      <c r="J530" s="733">
        <f t="shared" si="527"/>
        <v>75588.260049026416</v>
      </c>
      <c r="K530" s="733">
        <f t="shared" ref="K530:P530" si="548">K17*$E$516</f>
        <v>311.20015221828879</v>
      </c>
      <c r="L530" s="733">
        <f t="shared" si="548"/>
        <v>43.794792071019081</v>
      </c>
      <c r="M530" s="733">
        <f t="shared" si="548"/>
        <v>0</v>
      </c>
      <c r="N530" s="733">
        <f t="shared" si="548"/>
        <v>0</v>
      </c>
      <c r="O530" s="733">
        <f t="shared" si="548"/>
        <v>22651.363194459471</v>
      </c>
      <c r="P530" s="733">
        <f t="shared" si="548"/>
        <v>385789.87027192558</v>
      </c>
      <c r="Q530" s="734">
        <f t="shared" si="524"/>
        <v>2302101.4356221734</v>
      </c>
      <c r="R530" s="733">
        <f t="shared" ref="R530:U530" si="549">R17*$E$516</f>
        <v>0</v>
      </c>
      <c r="S530" s="733">
        <f t="shared" si="549"/>
        <v>160072.81333995299</v>
      </c>
      <c r="T530" s="733">
        <f t="shared" ca="1" si="549"/>
        <v>46425.419629433105</v>
      </c>
      <c r="U530" s="733">
        <f t="shared" ca="1" si="549"/>
        <v>2645.4681876696081</v>
      </c>
    </row>
    <row r="531" spans="2:21" ht="19.5" thickBot="1" x14ac:dyDescent="0.3">
      <c r="B531" s="790"/>
      <c r="C531" s="117">
        <f t="shared" si="522"/>
        <v>1</v>
      </c>
      <c r="D531" s="115" t="s">
        <v>124</v>
      </c>
      <c r="E531" s="778" t="s">
        <v>78</v>
      </c>
      <c r="F531" s="779">
        <f t="shared" ref="F531:U531" si="550">SUBTOTAL(9,F519:F530)</f>
        <v>18045517.261874799</v>
      </c>
      <c r="G531" s="779">
        <f t="shared" ref="G531:Q531" si="551">SUBTOTAL(9,G519:G530)</f>
        <v>1151871.3550666457</v>
      </c>
      <c r="H531" s="779">
        <f t="shared" si="551"/>
        <v>2503.2383241878752</v>
      </c>
      <c r="I531" s="779">
        <f t="shared" si="551"/>
        <v>403457.55712834804</v>
      </c>
      <c r="J531" s="779">
        <f t="shared" si="551"/>
        <v>368188.38010160922</v>
      </c>
      <c r="K531" s="779">
        <f t="shared" si="551"/>
        <v>16052.945229874798</v>
      </c>
      <c r="L531" s="779">
        <f t="shared" si="551"/>
        <v>43.794792071019081</v>
      </c>
      <c r="M531" s="779">
        <f t="shared" si="551"/>
        <v>11434.707812383913</v>
      </c>
      <c r="N531" s="779">
        <f t="shared" si="551"/>
        <v>0</v>
      </c>
      <c r="O531" s="779">
        <f t="shared" si="551"/>
        <v>101641.99509826375</v>
      </c>
      <c r="P531" s="779">
        <f t="shared" si="551"/>
        <v>385789.87027192558</v>
      </c>
      <c r="Q531" s="780">
        <f t="shared" si="551"/>
        <v>20486501.105700105</v>
      </c>
      <c r="R531" s="779">
        <f t="shared" si="550"/>
        <v>0</v>
      </c>
      <c r="S531" s="779">
        <f t="shared" si="550"/>
        <v>1541668.0544176332</v>
      </c>
      <c r="T531" s="779">
        <f t="shared" ca="1" si="550"/>
        <v>615982.5314635057</v>
      </c>
      <c r="U531" s="779">
        <f t="shared" ca="1" si="550"/>
        <v>428117.55632791715</v>
      </c>
    </row>
    <row r="532" spans="2:21" s="119" customFormat="1" ht="19.5" hidden="1" thickBot="1" x14ac:dyDescent="0.3">
      <c r="B532" s="340"/>
      <c r="D532" s="117"/>
      <c r="E532" s="117"/>
      <c r="F532" s="118"/>
      <c r="G532" s="118"/>
      <c r="I532" s="118"/>
      <c r="J532" s="118"/>
      <c r="K532" s="118"/>
      <c r="L532" s="118"/>
      <c r="O532" s="118"/>
      <c r="Q532" s="120"/>
      <c r="R532" s="117"/>
      <c r="S532" s="118"/>
      <c r="U532" s="118"/>
    </row>
    <row r="533" spans="2:21" ht="75" x14ac:dyDescent="0.25">
      <c r="C533" s="117">
        <f>IF($E533&gt;0,1,0)</f>
        <v>1</v>
      </c>
      <c r="D533" s="96" t="str">
        <f>A34</f>
        <v>New York</v>
      </c>
      <c r="E533" s="166">
        <f>IFERROR(SUMIF(A:A,D533,B:B),0)</f>
        <v>0.11860817754043497</v>
      </c>
      <c r="F533" s="98" t="s">
        <v>356</v>
      </c>
      <c r="G533" s="98" t="s">
        <v>373</v>
      </c>
      <c r="H533" s="98" t="s">
        <v>358</v>
      </c>
      <c r="I533" s="98" t="s">
        <v>109</v>
      </c>
      <c r="J533" s="98" t="s">
        <v>111</v>
      </c>
      <c r="K533" s="98" t="s">
        <v>469</v>
      </c>
      <c r="L533" s="98" t="s">
        <v>470</v>
      </c>
      <c r="M533" s="98" t="s">
        <v>357</v>
      </c>
      <c r="N533" s="509" t="s">
        <v>471</v>
      </c>
      <c r="O533" s="98" t="s">
        <v>472</v>
      </c>
      <c r="P533" s="98" t="s">
        <v>110</v>
      </c>
      <c r="Q533" s="99" t="s">
        <v>116</v>
      </c>
      <c r="R533" s="98" t="s">
        <v>112</v>
      </c>
      <c r="S533" s="98" t="s">
        <v>113</v>
      </c>
      <c r="T533" s="98" t="s">
        <v>114</v>
      </c>
      <c r="U533" s="98" t="s">
        <v>115</v>
      </c>
    </row>
    <row r="534" spans="2:21" ht="18.75" x14ac:dyDescent="0.25">
      <c r="C534" s="117">
        <f>C533</f>
        <v>1</v>
      </c>
      <c r="D534" s="101"/>
      <c r="E534" s="102"/>
      <c r="F534" s="84" t="s">
        <v>57</v>
      </c>
      <c r="G534" s="84" t="s">
        <v>56</v>
      </c>
      <c r="H534" s="84" t="s">
        <v>55</v>
      </c>
      <c r="I534" s="84" t="s">
        <v>54</v>
      </c>
      <c r="J534" s="84" t="s">
        <v>53</v>
      </c>
      <c r="K534" s="84" t="s">
        <v>52</v>
      </c>
      <c r="L534" s="84" t="s">
        <v>51</v>
      </c>
      <c r="M534" s="84" t="s">
        <v>50</v>
      </c>
      <c r="N534" s="84" t="s">
        <v>49</v>
      </c>
      <c r="O534" s="84" t="s">
        <v>47</v>
      </c>
      <c r="P534" s="84" t="s">
        <v>77</v>
      </c>
      <c r="Q534" s="83" t="s">
        <v>78</v>
      </c>
      <c r="R534" s="84" t="s">
        <v>79</v>
      </c>
      <c r="S534" s="84" t="s">
        <v>81</v>
      </c>
      <c r="T534" s="84" t="s">
        <v>83</v>
      </c>
      <c r="U534" s="84" t="s">
        <v>85</v>
      </c>
    </row>
    <row r="535" spans="2:21" ht="18.75" x14ac:dyDescent="0.25">
      <c r="C535" s="117">
        <f t="shared" ref="C535:C548" si="552">C534</f>
        <v>1</v>
      </c>
      <c r="D535" s="103" t="s">
        <v>26</v>
      </c>
      <c r="E535" s="104"/>
      <c r="F535" s="745"/>
      <c r="G535" s="745"/>
      <c r="H535" s="784"/>
      <c r="I535" s="745"/>
      <c r="J535" s="745"/>
      <c r="K535" s="745"/>
      <c r="L535" s="745"/>
      <c r="M535" s="784"/>
      <c r="N535" s="784"/>
      <c r="O535" s="745"/>
      <c r="P535" s="784"/>
      <c r="Q535" s="747"/>
      <c r="R535" s="748"/>
      <c r="S535" s="745"/>
      <c r="T535" s="784"/>
      <c r="U535" s="749"/>
    </row>
    <row r="536" spans="2:21" ht="18.75" x14ac:dyDescent="0.25">
      <c r="C536" s="117">
        <f t="shared" si="552"/>
        <v>1</v>
      </c>
      <c r="D536" s="763" t="s">
        <v>93</v>
      </c>
      <c r="E536" s="84" t="s">
        <v>57</v>
      </c>
      <c r="F536" s="733">
        <f>F6*$E$533</f>
        <v>14972334.619127525</v>
      </c>
      <c r="G536" s="733">
        <f>G6*$E$533</f>
        <v>1036996.7154436547</v>
      </c>
      <c r="H536" s="733">
        <f>H6*$E$533</f>
        <v>2325.0594991802909</v>
      </c>
      <c r="I536" s="733">
        <f>I6*$E$533</f>
        <v>372512.8502753842</v>
      </c>
      <c r="J536" s="733">
        <f>J6*$E$533</f>
        <v>271773.0397525233</v>
      </c>
      <c r="K536" s="733">
        <f t="shared" ref="K536:P536" si="553">K6*$E$533</f>
        <v>14621.258220930338</v>
      </c>
      <c r="L536" s="733">
        <f t="shared" si="553"/>
        <v>0</v>
      </c>
      <c r="M536" s="733">
        <f t="shared" si="553"/>
        <v>10620.792979493757</v>
      </c>
      <c r="N536" s="733">
        <f t="shared" si="553"/>
        <v>0</v>
      </c>
      <c r="O536" s="733">
        <f t="shared" si="553"/>
        <v>69368.663956808276</v>
      </c>
      <c r="P536" s="733">
        <f t="shared" si="553"/>
        <v>0</v>
      </c>
      <c r="Q536" s="734">
        <f t="shared" ref="Q536:Q547" si="554">SUM(F536:P536)</f>
        <v>16750552.999255497</v>
      </c>
      <c r="R536" s="733">
        <f t="shared" ref="R536:U536" si="555">R6*$E$533</f>
        <v>0</v>
      </c>
      <c r="S536" s="733">
        <f t="shared" si="555"/>
        <v>1279227.2596960091</v>
      </c>
      <c r="T536" s="733">
        <f t="shared" ca="1" si="555"/>
        <v>527368.54837685451</v>
      </c>
      <c r="U536" s="733">
        <f t="shared" ca="1" si="555"/>
        <v>395022.87982937938</v>
      </c>
    </row>
    <row r="537" spans="2:21" ht="18.75" x14ac:dyDescent="0.25">
      <c r="C537" s="117">
        <f t="shared" si="552"/>
        <v>1</v>
      </c>
      <c r="D537" s="765" t="s">
        <v>92</v>
      </c>
      <c r="E537" s="84" t="s">
        <v>56</v>
      </c>
      <c r="F537" s="733">
        <f t="shared" ref="F537:U537" si="556">F7*$E$533</f>
        <v>0</v>
      </c>
      <c r="G537" s="733">
        <f t="shared" ref="G537:J547" si="557">G7*$E$533</f>
        <v>0</v>
      </c>
      <c r="H537" s="733">
        <f t="shared" si="557"/>
        <v>0</v>
      </c>
      <c r="I537" s="733">
        <f t="shared" si="557"/>
        <v>0</v>
      </c>
      <c r="J537" s="733">
        <f t="shared" si="557"/>
        <v>0</v>
      </c>
      <c r="K537" s="733">
        <f t="shared" ref="K537:P537" si="558">K7*$E$533</f>
        <v>0</v>
      </c>
      <c r="L537" s="733">
        <f t="shared" si="558"/>
        <v>0</v>
      </c>
      <c r="M537" s="733">
        <f t="shared" si="558"/>
        <v>0</v>
      </c>
      <c r="N537" s="733">
        <f t="shared" si="558"/>
        <v>0</v>
      </c>
      <c r="O537" s="733">
        <f t="shared" si="558"/>
        <v>0</v>
      </c>
      <c r="P537" s="733">
        <f t="shared" si="558"/>
        <v>0</v>
      </c>
      <c r="Q537" s="734">
        <f t="shared" si="554"/>
        <v>0</v>
      </c>
      <c r="R537" s="733">
        <f t="shared" si="556"/>
        <v>0</v>
      </c>
      <c r="S537" s="733">
        <f t="shared" si="556"/>
        <v>0</v>
      </c>
      <c r="T537" s="733">
        <f t="shared" si="556"/>
        <v>0</v>
      </c>
      <c r="U537" s="733">
        <f t="shared" si="556"/>
        <v>0</v>
      </c>
    </row>
    <row r="538" spans="2:21" ht="18.75" x14ac:dyDescent="0.25">
      <c r="C538" s="117">
        <f t="shared" si="552"/>
        <v>1</v>
      </c>
      <c r="D538" s="765" t="s">
        <v>91</v>
      </c>
      <c r="E538" s="84" t="s">
        <v>55</v>
      </c>
      <c r="F538" s="733">
        <f t="shared" ref="F538:U538" si="559">F8*$E$533</f>
        <v>133266.96220265733</v>
      </c>
      <c r="G538" s="733">
        <f t="shared" si="557"/>
        <v>0</v>
      </c>
      <c r="H538" s="733">
        <f t="shared" si="557"/>
        <v>0</v>
      </c>
      <c r="I538" s="733">
        <f t="shared" si="557"/>
        <v>2226.8685333216667</v>
      </c>
      <c r="J538" s="733">
        <f t="shared" si="557"/>
        <v>0</v>
      </c>
      <c r="K538" s="733">
        <f t="shared" ref="K538:P538" si="560">K8*$E$533</f>
        <v>0</v>
      </c>
      <c r="L538" s="733">
        <f t="shared" si="560"/>
        <v>0</v>
      </c>
      <c r="M538" s="733">
        <f t="shared" si="560"/>
        <v>0</v>
      </c>
      <c r="N538" s="733">
        <f t="shared" si="560"/>
        <v>0</v>
      </c>
      <c r="O538" s="733">
        <f t="shared" si="560"/>
        <v>3999.4677466634671</v>
      </c>
      <c r="P538" s="733">
        <f t="shared" si="560"/>
        <v>0</v>
      </c>
      <c r="Q538" s="734">
        <f t="shared" si="554"/>
        <v>139493.29848264245</v>
      </c>
      <c r="R538" s="733">
        <f t="shared" si="559"/>
        <v>0</v>
      </c>
      <c r="S538" s="733">
        <f t="shared" si="559"/>
        <v>4026.9587500537891</v>
      </c>
      <c r="T538" s="733">
        <f t="shared" ca="1" si="559"/>
        <v>1647.8702356758856</v>
      </c>
      <c r="U538" s="733">
        <f t="shared" ca="1" si="559"/>
        <v>164.39043882336958</v>
      </c>
    </row>
    <row r="539" spans="2:21" ht="18.75" x14ac:dyDescent="0.25">
      <c r="C539" s="117">
        <f t="shared" si="552"/>
        <v>1</v>
      </c>
      <c r="D539" s="766" t="s">
        <v>117</v>
      </c>
      <c r="E539" s="84" t="s">
        <v>54</v>
      </c>
      <c r="F539" s="733">
        <f t="shared" ref="F539:U539" si="561">F9*$E$533</f>
        <v>0</v>
      </c>
      <c r="G539" s="733">
        <f t="shared" si="557"/>
        <v>0</v>
      </c>
      <c r="H539" s="733">
        <f t="shared" si="557"/>
        <v>0</v>
      </c>
      <c r="I539" s="733">
        <f t="shared" si="557"/>
        <v>0</v>
      </c>
      <c r="J539" s="733">
        <f t="shared" si="557"/>
        <v>0</v>
      </c>
      <c r="K539" s="733">
        <f t="shared" ref="K539:P539" si="562">K9*$E$533</f>
        <v>0</v>
      </c>
      <c r="L539" s="733">
        <f t="shared" si="562"/>
        <v>0</v>
      </c>
      <c r="M539" s="733">
        <f t="shared" si="562"/>
        <v>0</v>
      </c>
      <c r="N539" s="733">
        <f t="shared" si="562"/>
        <v>0</v>
      </c>
      <c r="O539" s="733">
        <f t="shared" si="562"/>
        <v>0</v>
      </c>
      <c r="P539" s="733">
        <f t="shared" si="562"/>
        <v>0</v>
      </c>
      <c r="Q539" s="734">
        <f t="shared" si="554"/>
        <v>0</v>
      </c>
      <c r="R539" s="733">
        <f t="shared" si="561"/>
        <v>0</v>
      </c>
      <c r="S539" s="733">
        <f t="shared" si="561"/>
        <v>0</v>
      </c>
      <c r="T539" s="733">
        <f t="shared" si="561"/>
        <v>0</v>
      </c>
      <c r="U539" s="733">
        <f t="shared" si="561"/>
        <v>0</v>
      </c>
    </row>
    <row r="540" spans="2:21" ht="18.75" x14ac:dyDescent="0.25">
      <c r="C540" s="117">
        <f t="shared" si="552"/>
        <v>1</v>
      </c>
      <c r="D540" s="112" t="s">
        <v>31</v>
      </c>
      <c r="E540" s="84"/>
      <c r="F540" s="733">
        <f t="shared" ref="F540:U540" si="563">F10*$E$533</f>
        <v>0</v>
      </c>
      <c r="G540" s="733">
        <f t="shared" si="557"/>
        <v>0</v>
      </c>
      <c r="H540" s="733">
        <f t="shared" si="557"/>
        <v>0</v>
      </c>
      <c r="I540" s="733">
        <f t="shared" si="557"/>
        <v>0</v>
      </c>
      <c r="J540" s="733">
        <f t="shared" si="557"/>
        <v>0</v>
      </c>
      <c r="K540" s="733">
        <f t="shared" ref="K540:P540" si="564">K10*$E$533</f>
        <v>0</v>
      </c>
      <c r="L540" s="733">
        <f t="shared" si="564"/>
        <v>0</v>
      </c>
      <c r="M540" s="733">
        <f t="shared" si="564"/>
        <v>0</v>
      </c>
      <c r="N540" s="733">
        <f t="shared" si="564"/>
        <v>0</v>
      </c>
      <c r="O540" s="733">
        <f t="shared" si="564"/>
        <v>0</v>
      </c>
      <c r="P540" s="733">
        <f t="shared" si="564"/>
        <v>0</v>
      </c>
      <c r="Q540" s="734">
        <f t="shared" si="554"/>
        <v>0</v>
      </c>
      <c r="R540" s="733">
        <f t="shared" si="563"/>
        <v>0</v>
      </c>
      <c r="S540" s="733">
        <f t="shared" si="563"/>
        <v>0</v>
      </c>
      <c r="T540" s="733">
        <f t="shared" si="563"/>
        <v>0</v>
      </c>
      <c r="U540" s="733">
        <f t="shared" si="563"/>
        <v>0</v>
      </c>
    </row>
    <row r="541" spans="2:21" ht="18.75" x14ac:dyDescent="0.25">
      <c r="C541" s="117">
        <f t="shared" si="552"/>
        <v>1</v>
      </c>
      <c r="D541" s="775" t="s">
        <v>118</v>
      </c>
      <c r="E541" s="84" t="s">
        <v>53</v>
      </c>
      <c r="F541" s="733">
        <f t="shared" ref="F541:U541" si="565">F11*$E$533</f>
        <v>0</v>
      </c>
      <c r="G541" s="733">
        <f t="shared" si="557"/>
        <v>0</v>
      </c>
      <c r="H541" s="733">
        <f t="shared" si="557"/>
        <v>0</v>
      </c>
      <c r="I541" s="733">
        <f t="shared" si="557"/>
        <v>0</v>
      </c>
      <c r="J541" s="733">
        <f t="shared" si="557"/>
        <v>0</v>
      </c>
      <c r="K541" s="733">
        <f t="shared" ref="K541:P541" si="566">K11*$E$533</f>
        <v>0</v>
      </c>
      <c r="L541" s="733">
        <f t="shared" si="566"/>
        <v>0</v>
      </c>
      <c r="M541" s="733">
        <f t="shared" si="566"/>
        <v>0</v>
      </c>
      <c r="N541" s="733">
        <f t="shared" si="566"/>
        <v>0</v>
      </c>
      <c r="O541" s="733">
        <f t="shared" si="566"/>
        <v>0</v>
      </c>
      <c r="P541" s="733">
        <f t="shared" si="566"/>
        <v>0</v>
      </c>
      <c r="Q541" s="734">
        <f t="shared" si="554"/>
        <v>0</v>
      </c>
      <c r="R541" s="733">
        <f t="shared" si="565"/>
        <v>0</v>
      </c>
      <c r="S541" s="733">
        <f t="shared" si="565"/>
        <v>0</v>
      </c>
      <c r="T541" s="733">
        <f t="shared" si="565"/>
        <v>0</v>
      </c>
      <c r="U541" s="733">
        <f t="shared" si="565"/>
        <v>0</v>
      </c>
    </row>
    <row r="542" spans="2:21" ht="18.75" x14ac:dyDescent="0.25">
      <c r="C542" s="117">
        <f t="shared" si="552"/>
        <v>1</v>
      </c>
      <c r="D542" s="775" t="s">
        <v>119</v>
      </c>
      <c r="E542" s="84" t="s">
        <v>52</v>
      </c>
      <c r="F542" s="733">
        <f t="shared" ref="F542:U542" si="567">F12*$E$533</f>
        <v>0</v>
      </c>
      <c r="G542" s="733">
        <f t="shared" si="557"/>
        <v>0</v>
      </c>
      <c r="H542" s="733">
        <f t="shared" si="557"/>
        <v>0</v>
      </c>
      <c r="I542" s="733">
        <f t="shared" si="557"/>
        <v>0</v>
      </c>
      <c r="J542" s="733">
        <f t="shared" si="557"/>
        <v>0</v>
      </c>
      <c r="K542" s="733">
        <f t="shared" ref="K542:P542" si="568">K12*$E$533</f>
        <v>0</v>
      </c>
      <c r="L542" s="733">
        <f t="shared" si="568"/>
        <v>0</v>
      </c>
      <c r="M542" s="733">
        <f t="shared" si="568"/>
        <v>0</v>
      </c>
      <c r="N542" s="733">
        <f t="shared" si="568"/>
        <v>0</v>
      </c>
      <c r="O542" s="733">
        <f t="shared" si="568"/>
        <v>0</v>
      </c>
      <c r="P542" s="733">
        <f t="shared" si="568"/>
        <v>0</v>
      </c>
      <c r="Q542" s="734">
        <f t="shared" si="554"/>
        <v>0</v>
      </c>
      <c r="R542" s="733">
        <f t="shared" si="567"/>
        <v>0</v>
      </c>
      <c r="S542" s="733">
        <f t="shared" si="567"/>
        <v>0</v>
      </c>
      <c r="T542" s="733">
        <f t="shared" si="567"/>
        <v>0</v>
      </c>
      <c r="U542" s="733">
        <f t="shared" si="567"/>
        <v>0</v>
      </c>
    </row>
    <row r="543" spans="2:21" ht="18.75" x14ac:dyDescent="0.25">
      <c r="C543" s="117">
        <f t="shared" si="552"/>
        <v>1</v>
      </c>
      <c r="D543" s="775" t="s">
        <v>120</v>
      </c>
      <c r="E543" s="84" t="s">
        <v>51</v>
      </c>
      <c r="F543" s="733">
        <f t="shared" ref="F543:U543" si="569">F13*$E$533</f>
        <v>0</v>
      </c>
      <c r="G543" s="733">
        <f t="shared" si="557"/>
        <v>0</v>
      </c>
      <c r="H543" s="733">
        <f t="shared" si="557"/>
        <v>0</v>
      </c>
      <c r="I543" s="733">
        <f t="shared" si="557"/>
        <v>0</v>
      </c>
      <c r="J543" s="733">
        <f t="shared" si="557"/>
        <v>0</v>
      </c>
      <c r="K543" s="733">
        <f t="shared" ref="K543:P543" si="570">K13*$E$533</f>
        <v>0</v>
      </c>
      <c r="L543" s="733">
        <f t="shared" si="570"/>
        <v>0</v>
      </c>
      <c r="M543" s="733">
        <f t="shared" si="570"/>
        <v>0</v>
      </c>
      <c r="N543" s="733">
        <f t="shared" si="570"/>
        <v>0</v>
      </c>
      <c r="O543" s="733">
        <f t="shared" si="570"/>
        <v>0</v>
      </c>
      <c r="P543" s="733">
        <f t="shared" si="570"/>
        <v>0</v>
      </c>
      <c r="Q543" s="734">
        <f t="shared" si="554"/>
        <v>0</v>
      </c>
      <c r="R543" s="733">
        <f t="shared" si="569"/>
        <v>0</v>
      </c>
      <c r="S543" s="733">
        <f t="shared" si="569"/>
        <v>0</v>
      </c>
      <c r="T543" s="733">
        <f t="shared" si="569"/>
        <v>0</v>
      </c>
      <c r="U543" s="733">
        <f t="shared" si="569"/>
        <v>0</v>
      </c>
    </row>
    <row r="544" spans="2:21" ht="18.75" x14ac:dyDescent="0.25">
      <c r="C544" s="117">
        <f t="shared" si="552"/>
        <v>1</v>
      </c>
      <c r="D544" s="775" t="s">
        <v>121</v>
      </c>
      <c r="E544" s="84" t="s">
        <v>50</v>
      </c>
      <c r="F544" s="733">
        <f t="shared" ref="F544:U544" si="571">F14*$E$533</f>
        <v>0</v>
      </c>
      <c r="G544" s="733">
        <f t="shared" si="557"/>
        <v>0</v>
      </c>
      <c r="H544" s="733">
        <f t="shared" si="557"/>
        <v>0</v>
      </c>
      <c r="I544" s="733">
        <f t="shared" si="557"/>
        <v>0</v>
      </c>
      <c r="J544" s="733">
        <f t="shared" si="557"/>
        <v>0</v>
      </c>
      <c r="K544" s="733">
        <f t="shared" ref="K544:P544" si="572">K14*$E$533</f>
        <v>0</v>
      </c>
      <c r="L544" s="733">
        <f t="shared" si="572"/>
        <v>0</v>
      </c>
      <c r="M544" s="733">
        <f t="shared" si="572"/>
        <v>0</v>
      </c>
      <c r="N544" s="733">
        <f t="shared" si="572"/>
        <v>0</v>
      </c>
      <c r="O544" s="733">
        <f t="shared" si="572"/>
        <v>0</v>
      </c>
      <c r="P544" s="733">
        <f t="shared" si="572"/>
        <v>0</v>
      </c>
      <c r="Q544" s="734">
        <f t="shared" si="554"/>
        <v>0</v>
      </c>
      <c r="R544" s="733">
        <f t="shared" si="571"/>
        <v>0</v>
      </c>
      <c r="S544" s="733">
        <f t="shared" si="571"/>
        <v>0</v>
      </c>
      <c r="T544" s="733">
        <f t="shared" si="571"/>
        <v>0</v>
      </c>
      <c r="U544" s="733">
        <f t="shared" si="571"/>
        <v>0</v>
      </c>
    </row>
    <row r="545" spans="2:21" ht="18.75" x14ac:dyDescent="0.25">
      <c r="C545" s="117">
        <f t="shared" si="552"/>
        <v>1</v>
      </c>
      <c r="D545" s="775" t="s">
        <v>122</v>
      </c>
      <c r="E545" s="84" t="s">
        <v>49</v>
      </c>
      <c r="F545" s="733">
        <f t="shared" ref="F545:U545" si="573">F15*$E$533</f>
        <v>0</v>
      </c>
      <c r="G545" s="733">
        <f t="shared" si="557"/>
        <v>0</v>
      </c>
      <c r="H545" s="733">
        <f t="shared" si="557"/>
        <v>0</v>
      </c>
      <c r="I545" s="733">
        <f t="shared" si="557"/>
        <v>0</v>
      </c>
      <c r="J545" s="733">
        <f t="shared" si="557"/>
        <v>0</v>
      </c>
      <c r="K545" s="733">
        <f t="shared" ref="K545:P545" si="574">K15*$E$533</f>
        <v>0</v>
      </c>
      <c r="L545" s="733">
        <f t="shared" si="574"/>
        <v>0</v>
      </c>
      <c r="M545" s="733">
        <f t="shared" si="574"/>
        <v>0</v>
      </c>
      <c r="N545" s="733">
        <f t="shared" si="574"/>
        <v>0</v>
      </c>
      <c r="O545" s="733">
        <f t="shared" si="574"/>
        <v>0</v>
      </c>
      <c r="P545" s="733">
        <f t="shared" si="574"/>
        <v>0</v>
      </c>
      <c r="Q545" s="734">
        <f t="shared" si="554"/>
        <v>0</v>
      </c>
      <c r="R545" s="733">
        <f t="shared" si="573"/>
        <v>0</v>
      </c>
      <c r="S545" s="733">
        <f t="shared" si="573"/>
        <v>0</v>
      </c>
      <c r="T545" s="733">
        <f t="shared" si="573"/>
        <v>0</v>
      </c>
      <c r="U545" s="733">
        <f t="shared" si="573"/>
        <v>0</v>
      </c>
    </row>
    <row r="546" spans="2:21" ht="18.75" x14ac:dyDescent="0.25">
      <c r="C546" s="117">
        <f t="shared" si="552"/>
        <v>1</v>
      </c>
      <c r="D546" s="775" t="s">
        <v>123</v>
      </c>
      <c r="E546" s="84" t="s">
        <v>47</v>
      </c>
      <c r="F546" s="733">
        <f t="shared" ref="F546:U546" si="575">F16*$E$533</f>
        <v>0</v>
      </c>
      <c r="G546" s="733">
        <f t="shared" si="557"/>
        <v>0</v>
      </c>
      <c r="H546" s="733">
        <f t="shared" si="557"/>
        <v>0</v>
      </c>
      <c r="I546" s="733">
        <f t="shared" si="557"/>
        <v>0</v>
      </c>
      <c r="J546" s="733">
        <f t="shared" si="557"/>
        <v>0</v>
      </c>
      <c r="K546" s="733">
        <f t="shared" ref="K546:P546" si="576">K16*$E$533</f>
        <v>0</v>
      </c>
      <c r="L546" s="733">
        <f t="shared" si="576"/>
        <v>0</v>
      </c>
      <c r="M546" s="733">
        <f t="shared" si="576"/>
        <v>0</v>
      </c>
      <c r="N546" s="733">
        <f t="shared" si="576"/>
        <v>0</v>
      </c>
      <c r="O546" s="733">
        <f t="shared" si="576"/>
        <v>0</v>
      </c>
      <c r="P546" s="733">
        <f t="shared" si="576"/>
        <v>0</v>
      </c>
      <c r="Q546" s="734">
        <f t="shared" si="554"/>
        <v>0</v>
      </c>
      <c r="R546" s="733">
        <f t="shared" si="575"/>
        <v>0</v>
      </c>
      <c r="S546" s="733">
        <f t="shared" si="575"/>
        <v>0</v>
      </c>
      <c r="T546" s="733">
        <f t="shared" si="575"/>
        <v>0</v>
      </c>
      <c r="U546" s="733">
        <f t="shared" si="575"/>
        <v>0</v>
      </c>
    </row>
    <row r="547" spans="2:21" ht="19.5" thickBot="1" x14ac:dyDescent="0.3">
      <c r="C547" s="117">
        <f t="shared" si="552"/>
        <v>1</v>
      </c>
      <c r="D547" s="776" t="s">
        <v>16</v>
      </c>
      <c r="E547" s="777" t="s">
        <v>77</v>
      </c>
      <c r="F547" s="733">
        <f t="shared" ref="F547:U547" si="577">F17*$E$533</f>
        <v>1655447.8648730591</v>
      </c>
      <c r="G547" s="733">
        <f t="shared" si="557"/>
        <v>32885.209123098597</v>
      </c>
      <c r="H547" s="733">
        <f t="shared" si="557"/>
        <v>0</v>
      </c>
      <c r="I547" s="733">
        <f t="shared" si="557"/>
        <v>0</v>
      </c>
      <c r="J547" s="733">
        <f t="shared" si="557"/>
        <v>70207.938395364952</v>
      </c>
      <c r="K547" s="733">
        <f t="shared" ref="K547:P547" si="578">K17*$E$533</f>
        <v>289.04913410361314</v>
      </c>
      <c r="L547" s="733">
        <f t="shared" si="578"/>
        <v>40.677508144328939</v>
      </c>
      <c r="M547" s="733">
        <f t="shared" si="578"/>
        <v>0</v>
      </c>
      <c r="N547" s="733">
        <f t="shared" si="578"/>
        <v>0</v>
      </c>
      <c r="O547" s="733">
        <f t="shared" si="578"/>
        <v>21039.054354421947</v>
      </c>
      <c r="P547" s="733">
        <f t="shared" si="578"/>
        <v>358329.60605310363</v>
      </c>
      <c r="Q547" s="734">
        <f t="shared" si="554"/>
        <v>2138239.3994412962</v>
      </c>
      <c r="R547" s="733">
        <f t="shared" si="577"/>
        <v>0</v>
      </c>
      <c r="S547" s="733">
        <f t="shared" si="577"/>
        <v>148678.93784636635</v>
      </c>
      <c r="T547" s="733">
        <f t="shared" ca="1" si="577"/>
        <v>43120.88939748241</v>
      </c>
      <c r="U547" s="733">
        <f t="shared" ca="1" si="577"/>
        <v>2457.1655363721775</v>
      </c>
    </row>
    <row r="548" spans="2:21" ht="19.5" thickBot="1" x14ac:dyDescent="0.3">
      <c r="C548" s="117">
        <f t="shared" si="552"/>
        <v>1</v>
      </c>
      <c r="D548" s="115" t="s">
        <v>124</v>
      </c>
      <c r="E548" s="778" t="s">
        <v>78</v>
      </c>
      <c r="F548" s="779">
        <f t="shared" ref="F548:U548" si="579">SUBTOTAL(9,F536:F547)</f>
        <v>16761049.446203241</v>
      </c>
      <c r="G548" s="779">
        <f>SUBTOTAL(9,G536:G547)</f>
        <v>1069881.9245667532</v>
      </c>
      <c r="H548" s="779">
        <f>SUBTOTAL(9,H536:H547)</f>
        <v>2325.0594991802909</v>
      </c>
      <c r="I548" s="779">
        <f>SUBTOTAL(9,I536:I547)</f>
        <v>374739.71880870586</v>
      </c>
      <c r="J548" s="779">
        <f>SUBTOTAL(9,J536:J547)</f>
        <v>341980.97814788827</v>
      </c>
      <c r="K548" s="779">
        <f t="shared" ref="K548:P548" si="580">SUBTOTAL(9,K536:K547)</f>
        <v>14910.30735503395</v>
      </c>
      <c r="L548" s="779">
        <f t="shared" si="580"/>
        <v>40.677508144328939</v>
      </c>
      <c r="M548" s="779">
        <f t="shared" si="580"/>
        <v>10620.792979493757</v>
      </c>
      <c r="N548" s="779">
        <f t="shared" si="580"/>
        <v>0</v>
      </c>
      <c r="O548" s="779">
        <f t="shared" si="580"/>
        <v>94407.186057893676</v>
      </c>
      <c r="P548" s="779">
        <f t="shared" si="580"/>
        <v>358329.60605310363</v>
      </c>
      <c r="Q548" s="780">
        <f>SUBTOTAL(9,Q536:Q547)</f>
        <v>19028285.697179437</v>
      </c>
      <c r="R548" s="779">
        <f t="shared" si="579"/>
        <v>0</v>
      </c>
      <c r="S548" s="779">
        <f t="shared" si="579"/>
        <v>1431933.1562924292</v>
      </c>
      <c r="T548" s="779">
        <f t="shared" ca="1" si="579"/>
        <v>572137.30801001273</v>
      </c>
      <c r="U548" s="779">
        <f t="shared" ca="1" si="579"/>
        <v>397644.43580457492</v>
      </c>
    </row>
    <row r="549" spans="2:21" s="119" customFormat="1" ht="19.5" hidden="1" thickBot="1" x14ac:dyDescent="0.3">
      <c r="B549" s="340"/>
      <c r="D549" s="117"/>
      <c r="E549" s="117"/>
      <c r="F549" s="118"/>
      <c r="G549" s="118"/>
      <c r="I549" s="118"/>
      <c r="J549" s="118"/>
      <c r="K549" s="118"/>
      <c r="L549" s="118"/>
      <c r="O549" s="118"/>
      <c r="Q549" s="120"/>
      <c r="R549" s="117"/>
      <c r="S549" s="118"/>
      <c r="U549" s="118"/>
    </row>
    <row r="550" spans="2:21" s="119" customFormat="1" ht="75.75" hidden="1" thickBot="1" x14ac:dyDescent="0.3">
      <c r="B550" s="301"/>
      <c r="C550" s="119">
        <f>IF($E550&gt;0,1,0)</f>
        <v>0</v>
      </c>
      <c r="D550" s="96" t="str">
        <f>A35</f>
        <v>Niagara</v>
      </c>
      <c r="E550" s="166">
        <f>IFERROR(SUMIF(A:A,D550,B:B),0)</f>
        <v>0</v>
      </c>
      <c r="F550" s="98" t="s">
        <v>356</v>
      </c>
      <c r="G550" s="98" t="s">
        <v>373</v>
      </c>
      <c r="H550" s="98" t="s">
        <v>358</v>
      </c>
      <c r="I550" s="98" t="s">
        <v>109</v>
      </c>
      <c r="J550" s="98" t="s">
        <v>111</v>
      </c>
      <c r="K550" s="98" t="s">
        <v>469</v>
      </c>
      <c r="L550" s="98" t="s">
        <v>470</v>
      </c>
      <c r="M550" s="98" t="s">
        <v>357</v>
      </c>
      <c r="N550" s="509" t="s">
        <v>471</v>
      </c>
      <c r="O550" s="98" t="s">
        <v>472</v>
      </c>
      <c r="P550" s="98" t="s">
        <v>110</v>
      </c>
      <c r="Q550" s="99" t="s">
        <v>116</v>
      </c>
      <c r="R550" s="98" t="s">
        <v>112</v>
      </c>
      <c r="S550" s="98" t="s">
        <v>113</v>
      </c>
      <c r="T550" s="98" t="s">
        <v>114</v>
      </c>
      <c r="U550" s="98" t="s">
        <v>115</v>
      </c>
    </row>
    <row r="551" spans="2:21" s="119" customFormat="1" ht="19.5" hidden="1" thickBot="1" x14ac:dyDescent="0.3">
      <c r="B551" s="301"/>
      <c r="C551" s="119">
        <f>C550</f>
        <v>0</v>
      </c>
      <c r="D551" s="101"/>
      <c r="E551" s="102"/>
      <c r="F551" s="84" t="s">
        <v>57</v>
      </c>
      <c r="G551" s="84" t="s">
        <v>56</v>
      </c>
      <c r="H551" s="84" t="s">
        <v>55</v>
      </c>
      <c r="I551" s="84" t="s">
        <v>54</v>
      </c>
      <c r="J551" s="84" t="s">
        <v>53</v>
      </c>
      <c r="K551" s="84" t="s">
        <v>52</v>
      </c>
      <c r="L551" s="84" t="s">
        <v>51</v>
      </c>
      <c r="M551" s="84" t="s">
        <v>50</v>
      </c>
      <c r="N551" s="84" t="s">
        <v>49</v>
      </c>
      <c r="O551" s="84" t="s">
        <v>47</v>
      </c>
      <c r="P551" s="84" t="s">
        <v>77</v>
      </c>
      <c r="Q551" s="83" t="s">
        <v>78</v>
      </c>
      <c r="R551" s="84" t="s">
        <v>79</v>
      </c>
      <c r="S551" s="84" t="s">
        <v>81</v>
      </c>
      <c r="T551" s="84" t="s">
        <v>83</v>
      </c>
      <c r="U551" s="84" t="s">
        <v>85</v>
      </c>
    </row>
    <row r="552" spans="2:21" s="119" customFormat="1" ht="19.5" hidden="1" thickBot="1" x14ac:dyDescent="0.35">
      <c r="B552" s="301"/>
      <c r="C552" s="119">
        <f t="shared" ref="C552:C565" si="581">C551</f>
        <v>0</v>
      </c>
      <c r="D552" s="103" t="s">
        <v>26</v>
      </c>
      <c r="E552" s="104"/>
      <c r="F552" s="745"/>
      <c r="G552" s="745"/>
      <c r="H552" s="746"/>
      <c r="I552" s="745"/>
      <c r="J552" s="745"/>
      <c r="K552" s="745"/>
      <c r="L552" s="745"/>
      <c r="M552" s="746"/>
      <c r="N552" s="746"/>
      <c r="O552" s="745"/>
      <c r="P552" s="746"/>
      <c r="Q552" s="747"/>
      <c r="R552" s="748"/>
      <c r="S552" s="745"/>
      <c r="T552" s="746"/>
      <c r="U552" s="749"/>
    </row>
    <row r="553" spans="2:21" s="119" customFormat="1" ht="19.5" hidden="1" thickBot="1" x14ac:dyDescent="0.3">
      <c r="B553" s="301"/>
      <c r="C553" s="119">
        <f t="shared" si="581"/>
        <v>0</v>
      </c>
      <c r="D553" s="109" t="s">
        <v>93</v>
      </c>
      <c r="E553" s="76" t="s">
        <v>57</v>
      </c>
      <c r="F553" s="733">
        <f>$F$6*$E$550</f>
        <v>0</v>
      </c>
      <c r="G553" s="733">
        <f>$G$6*$E$550</f>
        <v>0</v>
      </c>
      <c r="H553" s="733">
        <f>$H$6*$E$550</f>
        <v>0</v>
      </c>
      <c r="I553" s="733">
        <f>$I$6*$E$550</f>
        <v>0</v>
      </c>
      <c r="J553" s="733">
        <f>$J$6*$E$550</f>
        <v>0</v>
      </c>
      <c r="K553" s="733">
        <f>K$6*$E$550</f>
        <v>0</v>
      </c>
      <c r="L553" s="733">
        <f t="shared" ref="L553:O553" si="582">L$6*$E$550</f>
        <v>0</v>
      </c>
      <c r="M553" s="733">
        <f t="shared" si="582"/>
        <v>0</v>
      </c>
      <c r="N553" s="733">
        <f t="shared" si="582"/>
        <v>0</v>
      </c>
      <c r="O553" s="733">
        <f t="shared" si="582"/>
        <v>0</v>
      </c>
      <c r="P553" s="733">
        <f>$P$6*$E$550</f>
        <v>0</v>
      </c>
      <c r="Q553" s="734">
        <f t="shared" ref="Q553:Q564" si="583">SUM(F553:P553)</f>
        <v>0</v>
      </c>
      <c r="R553" s="733">
        <f>$R$6*$E$550</f>
        <v>0</v>
      </c>
      <c r="S553" s="733">
        <f>$S$6*$E$550</f>
        <v>0</v>
      </c>
      <c r="T553" s="733">
        <f ca="1">$T$6*$E$550</f>
        <v>0</v>
      </c>
      <c r="U553" s="733">
        <f ca="1">$U$6*$E$550</f>
        <v>0</v>
      </c>
    </row>
    <row r="554" spans="2:21" s="119" customFormat="1" ht="19.5" hidden="1" thickBot="1" x14ac:dyDescent="0.3">
      <c r="B554" s="301"/>
      <c r="C554" s="119">
        <f t="shared" si="581"/>
        <v>0</v>
      </c>
      <c r="D554" s="110" t="s">
        <v>92</v>
      </c>
      <c r="E554" s="76" t="s">
        <v>56</v>
      </c>
      <c r="F554" s="733">
        <f>$F$7*$E$550</f>
        <v>0</v>
      </c>
      <c r="G554" s="733">
        <f>$G$7*$E$550</f>
        <v>0</v>
      </c>
      <c r="H554" s="733">
        <f>$H$7*$E$550</f>
        <v>0</v>
      </c>
      <c r="I554" s="733">
        <f>$I$7*$E$550</f>
        <v>0</v>
      </c>
      <c r="J554" s="733">
        <f>$J$7*$E$550</f>
        <v>0</v>
      </c>
      <c r="K554" s="733">
        <f>K$7*$E$550</f>
        <v>0</v>
      </c>
      <c r="L554" s="733">
        <f t="shared" ref="L554:O554" si="584">L$7*$E$550</f>
        <v>0</v>
      </c>
      <c r="M554" s="733">
        <f t="shared" si="584"/>
        <v>0</v>
      </c>
      <c r="N554" s="733">
        <f t="shared" si="584"/>
        <v>0</v>
      </c>
      <c r="O554" s="733">
        <f t="shared" si="584"/>
        <v>0</v>
      </c>
      <c r="P554" s="733">
        <f>$P$7*$E$550</f>
        <v>0</v>
      </c>
      <c r="Q554" s="734">
        <f t="shared" si="583"/>
        <v>0</v>
      </c>
      <c r="R554" s="733">
        <f>$R$7*$E$550</f>
        <v>0</v>
      </c>
      <c r="S554" s="733">
        <f>$S$7*$E$550</f>
        <v>0</v>
      </c>
      <c r="T554" s="733">
        <f>$T$7*$E$550</f>
        <v>0</v>
      </c>
      <c r="U554" s="733">
        <f>$U$7*$E$550</f>
        <v>0</v>
      </c>
    </row>
    <row r="555" spans="2:21" s="119" customFormat="1" ht="19.5" hidden="1" thickBot="1" x14ac:dyDescent="0.3">
      <c r="B555" s="301"/>
      <c r="C555" s="119">
        <f t="shared" si="581"/>
        <v>0</v>
      </c>
      <c r="D555" s="110" t="s">
        <v>91</v>
      </c>
      <c r="E555" s="76" t="s">
        <v>55</v>
      </c>
      <c r="F555" s="733">
        <f>$F$8*$E$550</f>
        <v>0</v>
      </c>
      <c r="G555" s="733">
        <f>$G$8*$E$550</f>
        <v>0</v>
      </c>
      <c r="H555" s="733">
        <f>$H$8*$E$550</f>
        <v>0</v>
      </c>
      <c r="I555" s="733">
        <f>$I$8*$E$550</f>
        <v>0</v>
      </c>
      <c r="J555" s="733">
        <f>$J$8*$E$550</f>
        <v>0</v>
      </c>
      <c r="K555" s="733">
        <f>K$8*$E$550</f>
        <v>0</v>
      </c>
      <c r="L555" s="733">
        <f t="shared" ref="L555:O555" si="585">L$8*$E$550</f>
        <v>0</v>
      </c>
      <c r="M555" s="733">
        <f t="shared" si="585"/>
        <v>0</v>
      </c>
      <c r="N555" s="733">
        <f t="shared" si="585"/>
        <v>0</v>
      </c>
      <c r="O555" s="733">
        <f t="shared" si="585"/>
        <v>0</v>
      </c>
      <c r="P555" s="733">
        <f>$P$8*$E$550</f>
        <v>0</v>
      </c>
      <c r="Q555" s="734">
        <f t="shared" si="583"/>
        <v>0</v>
      </c>
      <c r="R555" s="733">
        <f>$R$8*$E$550</f>
        <v>0</v>
      </c>
      <c r="S555" s="733">
        <f>$S$8*$E$550</f>
        <v>0</v>
      </c>
      <c r="T555" s="733">
        <f ca="1">$T$8*$E$550</f>
        <v>0</v>
      </c>
      <c r="U555" s="733">
        <f ca="1">$U$8*$E$550</f>
        <v>0</v>
      </c>
    </row>
    <row r="556" spans="2:21" s="119" customFormat="1" ht="19.5" hidden="1" thickBot="1" x14ac:dyDescent="0.3">
      <c r="B556" s="301"/>
      <c r="C556" s="119">
        <f t="shared" si="581"/>
        <v>0</v>
      </c>
      <c r="D556" s="111" t="s">
        <v>117</v>
      </c>
      <c r="E556" s="76" t="s">
        <v>54</v>
      </c>
      <c r="F556" s="733">
        <f>$F$9*$E$550</f>
        <v>0</v>
      </c>
      <c r="G556" s="733">
        <f>$G$9*$E$550</f>
        <v>0</v>
      </c>
      <c r="H556" s="733">
        <f>$H$9*$E$550</f>
        <v>0</v>
      </c>
      <c r="I556" s="733">
        <f>$I$9*$E$550</f>
        <v>0</v>
      </c>
      <c r="J556" s="733">
        <f>$J$9*$E$550</f>
        <v>0</v>
      </c>
      <c r="K556" s="733">
        <f>K$9*$E$550</f>
        <v>0</v>
      </c>
      <c r="L556" s="733">
        <f t="shared" ref="L556:O556" si="586">L$9*$E$550</f>
        <v>0</v>
      </c>
      <c r="M556" s="733">
        <f t="shared" si="586"/>
        <v>0</v>
      </c>
      <c r="N556" s="733">
        <f t="shared" si="586"/>
        <v>0</v>
      </c>
      <c r="O556" s="733">
        <f t="shared" si="586"/>
        <v>0</v>
      </c>
      <c r="P556" s="733">
        <f>$P$9*$E$550</f>
        <v>0</v>
      </c>
      <c r="Q556" s="734">
        <f t="shared" si="583"/>
        <v>0</v>
      </c>
      <c r="R556" s="733">
        <f>$R$9*$E$550</f>
        <v>0</v>
      </c>
      <c r="S556" s="733">
        <f>$S$9*$E$550</f>
        <v>0</v>
      </c>
      <c r="T556" s="733">
        <f>$T$9*$E$550</f>
        <v>0</v>
      </c>
      <c r="U556" s="733">
        <f>$U$9*$E$550</f>
        <v>0</v>
      </c>
    </row>
    <row r="557" spans="2:21" s="119" customFormat="1" ht="19.5" hidden="1" thickBot="1" x14ac:dyDescent="0.35">
      <c r="B557" s="301"/>
      <c r="C557" s="119">
        <f t="shared" si="581"/>
        <v>0</v>
      </c>
      <c r="D557" s="112" t="s">
        <v>31</v>
      </c>
      <c r="E557" s="76"/>
      <c r="F557" s="750"/>
      <c r="G557" s="735"/>
      <c r="H557" s="736"/>
      <c r="I557" s="735"/>
      <c r="J557" s="735"/>
      <c r="K557" s="735"/>
      <c r="L557" s="735"/>
      <c r="M557" s="735"/>
      <c r="N557" s="735"/>
      <c r="O557" s="735"/>
      <c r="P557" s="738"/>
      <c r="Q557" s="734">
        <f t="shared" si="583"/>
        <v>0</v>
      </c>
      <c r="R557" s="739"/>
      <c r="S557" s="735"/>
      <c r="T557" s="740"/>
      <c r="U557" s="741"/>
    </row>
    <row r="558" spans="2:21" s="119" customFormat="1" ht="19.5" hidden="1" thickBot="1" x14ac:dyDescent="0.35">
      <c r="B558" s="301"/>
      <c r="C558" s="119">
        <f t="shared" si="581"/>
        <v>0</v>
      </c>
      <c r="D558" s="113" t="s">
        <v>118</v>
      </c>
      <c r="E558" s="76" t="s">
        <v>53</v>
      </c>
      <c r="F558" s="733">
        <f>$F$11*$E$550</f>
        <v>0</v>
      </c>
      <c r="G558" s="733">
        <f>$G$11*$E$550</f>
        <v>0</v>
      </c>
      <c r="H558" s="733">
        <f>$H$11*$E$550</f>
        <v>0</v>
      </c>
      <c r="I558" s="733">
        <f>$I$11*$E$550</f>
        <v>0</v>
      </c>
      <c r="J558" s="733">
        <f>$J$11*$E$550</f>
        <v>0</v>
      </c>
      <c r="K558" s="733">
        <f>K$11*$E$550</f>
        <v>0</v>
      </c>
      <c r="L558" s="733">
        <f t="shared" ref="L558:O558" si="587">L$11*$E$550</f>
        <v>0</v>
      </c>
      <c r="M558" s="733">
        <f t="shared" si="587"/>
        <v>0</v>
      </c>
      <c r="N558" s="733">
        <f t="shared" si="587"/>
        <v>0</v>
      </c>
      <c r="O558" s="733">
        <f t="shared" si="587"/>
        <v>0</v>
      </c>
      <c r="P558" s="733">
        <f>$P$11*$E$550</f>
        <v>0</v>
      </c>
      <c r="Q558" s="734">
        <f t="shared" si="583"/>
        <v>0</v>
      </c>
      <c r="R558" s="733">
        <f>$R$11*$E$550</f>
        <v>0</v>
      </c>
      <c r="S558" s="733">
        <f>$S$11*$E$550</f>
        <v>0</v>
      </c>
      <c r="T558" s="733">
        <f>$T$11*$E$550</f>
        <v>0</v>
      </c>
      <c r="U558" s="733">
        <f>$U$11*$E$550</f>
        <v>0</v>
      </c>
    </row>
    <row r="559" spans="2:21" s="119" customFormat="1" ht="19.5" hidden="1" thickBot="1" x14ac:dyDescent="0.35">
      <c r="B559" s="301"/>
      <c r="C559" s="119">
        <f t="shared" si="581"/>
        <v>0</v>
      </c>
      <c r="D559" s="113" t="s">
        <v>119</v>
      </c>
      <c r="E559" s="76" t="s">
        <v>52</v>
      </c>
      <c r="F559" s="733">
        <f>$F$12*$E$550</f>
        <v>0</v>
      </c>
      <c r="G559" s="733">
        <f>$G$12*$E$550</f>
        <v>0</v>
      </c>
      <c r="H559" s="733">
        <f>$H$12*$E$550</f>
        <v>0</v>
      </c>
      <c r="I559" s="733">
        <f>$I$12*$E$550</f>
        <v>0</v>
      </c>
      <c r="J559" s="733">
        <f>$J$12*$E$550</f>
        <v>0</v>
      </c>
      <c r="K559" s="733">
        <f>K$12*$E$550</f>
        <v>0</v>
      </c>
      <c r="L559" s="733">
        <f t="shared" ref="L559:O559" si="588">L$12*$E$550</f>
        <v>0</v>
      </c>
      <c r="M559" s="733">
        <f t="shared" si="588"/>
        <v>0</v>
      </c>
      <c r="N559" s="733">
        <f t="shared" si="588"/>
        <v>0</v>
      </c>
      <c r="O559" s="733">
        <f t="shared" si="588"/>
        <v>0</v>
      </c>
      <c r="P559" s="733">
        <f>$P$12*$E$550</f>
        <v>0</v>
      </c>
      <c r="Q559" s="734">
        <f t="shared" si="583"/>
        <v>0</v>
      </c>
      <c r="R559" s="733">
        <f>$R$12*$E$550</f>
        <v>0</v>
      </c>
      <c r="S559" s="733">
        <f>$S$12*$E$550</f>
        <v>0</v>
      </c>
      <c r="T559" s="733">
        <f>$T$12*$E$550</f>
        <v>0</v>
      </c>
      <c r="U559" s="733">
        <f>$U$12*$E$550</f>
        <v>0</v>
      </c>
    </row>
    <row r="560" spans="2:21" s="119" customFormat="1" ht="19.5" hidden="1" thickBot="1" x14ac:dyDescent="0.35">
      <c r="B560" s="301"/>
      <c r="C560" s="119">
        <f t="shared" si="581"/>
        <v>0</v>
      </c>
      <c r="D560" s="113" t="s">
        <v>120</v>
      </c>
      <c r="E560" s="76" t="s">
        <v>51</v>
      </c>
      <c r="F560" s="733">
        <f>$F$13*$E$550</f>
        <v>0</v>
      </c>
      <c r="G560" s="733">
        <f>$G$13*$E$550</f>
        <v>0</v>
      </c>
      <c r="H560" s="733">
        <f>$H$13*$E$550</f>
        <v>0</v>
      </c>
      <c r="I560" s="733">
        <f>$I$13*$E$550</f>
        <v>0</v>
      </c>
      <c r="J560" s="733">
        <f>$J$13*$E$550</f>
        <v>0</v>
      </c>
      <c r="K560" s="733">
        <f>K$13*$E$550</f>
        <v>0</v>
      </c>
      <c r="L560" s="733">
        <f t="shared" ref="L560:O560" si="589">L$13*$E$550</f>
        <v>0</v>
      </c>
      <c r="M560" s="733">
        <f t="shared" si="589"/>
        <v>0</v>
      </c>
      <c r="N560" s="733">
        <f t="shared" si="589"/>
        <v>0</v>
      </c>
      <c r="O560" s="733">
        <f t="shared" si="589"/>
        <v>0</v>
      </c>
      <c r="P560" s="733">
        <f>$P$13*$E$550</f>
        <v>0</v>
      </c>
      <c r="Q560" s="734">
        <f t="shared" si="583"/>
        <v>0</v>
      </c>
      <c r="R560" s="733">
        <f>$R$13*$E$550</f>
        <v>0</v>
      </c>
      <c r="S560" s="733">
        <f>$S$13*$E$550</f>
        <v>0</v>
      </c>
      <c r="T560" s="733">
        <f>$T$13*$E$550</f>
        <v>0</v>
      </c>
      <c r="U560" s="733">
        <f>$U$13*$E$550</f>
        <v>0</v>
      </c>
    </row>
    <row r="561" spans="2:21" s="119" customFormat="1" ht="19.5" hidden="1" thickBot="1" x14ac:dyDescent="0.35">
      <c r="B561" s="301"/>
      <c r="C561" s="119">
        <f t="shared" si="581"/>
        <v>0</v>
      </c>
      <c r="D561" s="113" t="s">
        <v>121</v>
      </c>
      <c r="E561" s="76" t="s">
        <v>50</v>
      </c>
      <c r="F561" s="733">
        <f>$F$14*$E$550</f>
        <v>0</v>
      </c>
      <c r="G561" s="733">
        <f>$G$14*$E$550</f>
        <v>0</v>
      </c>
      <c r="H561" s="733">
        <f>$H$14*$E$550</f>
        <v>0</v>
      </c>
      <c r="I561" s="733">
        <f>$I$14*$E$550</f>
        <v>0</v>
      </c>
      <c r="J561" s="733">
        <f>$J$14*$E$550</f>
        <v>0</v>
      </c>
      <c r="K561" s="733">
        <f>K$14*$E$550</f>
        <v>0</v>
      </c>
      <c r="L561" s="733">
        <f t="shared" ref="L561:O561" si="590">L$14*$E$550</f>
        <v>0</v>
      </c>
      <c r="M561" s="733">
        <f t="shared" si="590"/>
        <v>0</v>
      </c>
      <c r="N561" s="733">
        <f t="shared" si="590"/>
        <v>0</v>
      </c>
      <c r="O561" s="733">
        <f t="shared" si="590"/>
        <v>0</v>
      </c>
      <c r="P561" s="733">
        <f>$P$14*$E$550</f>
        <v>0</v>
      </c>
      <c r="Q561" s="734">
        <f t="shared" si="583"/>
        <v>0</v>
      </c>
      <c r="R561" s="733">
        <f>$R$14*$E$550</f>
        <v>0</v>
      </c>
      <c r="S561" s="733">
        <f>$S$14*$E$550</f>
        <v>0</v>
      </c>
      <c r="T561" s="733">
        <f>$T$14*$E$550</f>
        <v>0</v>
      </c>
      <c r="U561" s="733">
        <f>$U$14*$E$550</f>
        <v>0</v>
      </c>
    </row>
    <row r="562" spans="2:21" s="119" customFormat="1" ht="19.5" hidden="1" thickBot="1" x14ac:dyDescent="0.35">
      <c r="B562" s="301"/>
      <c r="C562" s="119">
        <f t="shared" si="581"/>
        <v>0</v>
      </c>
      <c r="D562" s="113" t="s">
        <v>122</v>
      </c>
      <c r="E562" s="76" t="s">
        <v>49</v>
      </c>
      <c r="F562" s="733">
        <f>$F$15*$E$550</f>
        <v>0</v>
      </c>
      <c r="G562" s="733">
        <f>$G$15*$E$550</f>
        <v>0</v>
      </c>
      <c r="H562" s="733">
        <f>$H$15*$E$550</f>
        <v>0</v>
      </c>
      <c r="I562" s="733">
        <f>$I$15*$E$550</f>
        <v>0</v>
      </c>
      <c r="J562" s="733">
        <f>$J$15*$E$550</f>
        <v>0</v>
      </c>
      <c r="K562" s="733">
        <f>K$15*$E$550</f>
        <v>0</v>
      </c>
      <c r="L562" s="733">
        <f t="shared" ref="L562:O562" si="591">L$15*$E$550</f>
        <v>0</v>
      </c>
      <c r="M562" s="733">
        <f t="shared" si="591"/>
        <v>0</v>
      </c>
      <c r="N562" s="733">
        <f t="shared" si="591"/>
        <v>0</v>
      </c>
      <c r="O562" s="733">
        <f t="shared" si="591"/>
        <v>0</v>
      </c>
      <c r="P562" s="733">
        <f>$P$15*$E$550</f>
        <v>0</v>
      </c>
      <c r="Q562" s="734">
        <f t="shared" si="583"/>
        <v>0</v>
      </c>
      <c r="R562" s="733">
        <f>$R$15*$E$550</f>
        <v>0</v>
      </c>
      <c r="S562" s="733">
        <f>$S$15*$E$550</f>
        <v>0</v>
      </c>
      <c r="T562" s="733">
        <f>$T$15*$E$550</f>
        <v>0</v>
      </c>
      <c r="U562" s="733">
        <f>$U$15*$E$550</f>
        <v>0</v>
      </c>
    </row>
    <row r="563" spans="2:21" s="119" customFormat="1" ht="19.5" hidden="1" thickBot="1" x14ac:dyDescent="0.35">
      <c r="B563" s="301"/>
      <c r="C563" s="119">
        <f t="shared" si="581"/>
        <v>0</v>
      </c>
      <c r="D563" s="113" t="s">
        <v>123</v>
      </c>
      <c r="E563" s="76" t="s">
        <v>47</v>
      </c>
      <c r="F563" s="733">
        <f>$F$16*$E$550</f>
        <v>0</v>
      </c>
      <c r="G563" s="733">
        <f>$G$16*$E$550</f>
        <v>0</v>
      </c>
      <c r="H563" s="733">
        <f>$H$16*$E$550</f>
        <v>0</v>
      </c>
      <c r="I563" s="733">
        <f>$I$16*$E$550</f>
        <v>0</v>
      </c>
      <c r="J563" s="733">
        <f>$J$16*$E$550</f>
        <v>0</v>
      </c>
      <c r="K563" s="733">
        <f>K$16*$E$550</f>
        <v>0</v>
      </c>
      <c r="L563" s="733">
        <f t="shared" ref="L563:O563" si="592">L$16*$E$550</f>
        <v>0</v>
      </c>
      <c r="M563" s="733">
        <f t="shared" si="592"/>
        <v>0</v>
      </c>
      <c r="N563" s="733">
        <f t="shared" si="592"/>
        <v>0</v>
      </c>
      <c r="O563" s="733">
        <f t="shared" si="592"/>
        <v>0</v>
      </c>
      <c r="P563" s="733">
        <f>$P$16*$E$550</f>
        <v>0</v>
      </c>
      <c r="Q563" s="734">
        <f t="shared" si="583"/>
        <v>0</v>
      </c>
      <c r="R563" s="733">
        <f>$R$16*$E$550</f>
        <v>0</v>
      </c>
      <c r="S563" s="733">
        <f>$S$16*$E$550</f>
        <v>0</v>
      </c>
      <c r="T563" s="733">
        <f>$T$16*$E$550</f>
        <v>0</v>
      </c>
      <c r="U563" s="733">
        <f>$U$16*$E$550</f>
        <v>0</v>
      </c>
    </row>
    <row r="564" spans="2:21" s="119" customFormat="1" ht="19.5" hidden="1" thickBot="1" x14ac:dyDescent="0.35">
      <c r="B564" s="301"/>
      <c r="C564" s="119">
        <f t="shared" si="581"/>
        <v>0</v>
      </c>
      <c r="D564" s="114" t="s">
        <v>16</v>
      </c>
      <c r="E564" s="70" t="s">
        <v>77</v>
      </c>
      <c r="F564" s="733">
        <f>$F$17*$E$550</f>
        <v>0</v>
      </c>
      <c r="G564" s="733">
        <f>$G$17*$E$550</f>
        <v>0</v>
      </c>
      <c r="H564" s="733">
        <f>$H$17*$E$550</f>
        <v>0</v>
      </c>
      <c r="I564" s="733">
        <f>$I$17*$E$550</f>
        <v>0</v>
      </c>
      <c r="J564" s="733">
        <f>$J$17*$E$550</f>
        <v>0</v>
      </c>
      <c r="K564" s="733">
        <f>K$17*$E$550</f>
        <v>0</v>
      </c>
      <c r="L564" s="733">
        <f t="shared" ref="L564:O564" si="593">L$17*$E$550</f>
        <v>0</v>
      </c>
      <c r="M564" s="733">
        <f t="shared" si="593"/>
        <v>0</v>
      </c>
      <c r="N564" s="733">
        <f t="shared" si="593"/>
        <v>0</v>
      </c>
      <c r="O564" s="733">
        <f t="shared" si="593"/>
        <v>0</v>
      </c>
      <c r="P564" s="733">
        <f>$P$17*$E$550</f>
        <v>0</v>
      </c>
      <c r="Q564" s="734">
        <f t="shared" si="583"/>
        <v>0</v>
      </c>
      <c r="R564" s="733">
        <f>$R$17*$E$550</f>
        <v>0</v>
      </c>
      <c r="S564" s="733">
        <f>$S$17*$E$550</f>
        <v>0</v>
      </c>
      <c r="T564" s="733">
        <f ca="1">$T$17*$E$550</f>
        <v>0</v>
      </c>
      <c r="U564" s="733">
        <f ca="1">$U$17*$E$550</f>
        <v>0</v>
      </c>
    </row>
    <row r="565" spans="2:21" s="119" customFormat="1" ht="19.5" hidden="1" thickBot="1" x14ac:dyDescent="0.35">
      <c r="B565" s="301"/>
      <c r="C565" s="119">
        <f t="shared" si="581"/>
        <v>0</v>
      </c>
      <c r="D565" s="115" t="s">
        <v>124</v>
      </c>
      <c r="E565" s="116" t="s">
        <v>78</v>
      </c>
      <c r="F565" s="742">
        <f t="shared" ref="F565:U565" si="594">SUBTOTAL(9,F553:F564)</f>
        <v>0</v>
      </c>
      <c r="G565" s="742">
        <f>SUBTOTAL(9,G553:G564)</f>
        <v>0</v>
      </c>
      <c r="H565" s="742">
        <f>SUBTOTAL(9,H553:H564)</f>
        <v>0</v>
      </c>
      <c r="I565" s="742">
        <f>SUBTOTAL(9,I553:I564)</f>
        <v>0</v>
      </c>
      <c r="J565" s="742">
        <f>SUBTOTAL(9,J553:J564)</f>
        <v>0</v>
      </c>
      <c r="K565" s="742">
        <f>SUBTOTAL(9,K553:K564)</f>
        <v>0</v>
      </c>
      <c r="L565" s="742">
        <f t="shared" ref="L565:O565" si="595">SUBTOTAL(9,L553:L564)</f>
        <v>0</v>
      </c>
      <c r="M565" s="742">
        <f t="shared" si="595"/>
        <v>0</v>
      </c>
      <c r="N565" s="742">
        <f t="shared" si="595"/>
        <v>0</v>
      </c>
      <c r="O565" s="742">
        <f t="shared" si="595"/>
        <v>0</v>
      </c>
      <c r="P565" s="742">
        <f t="shared" si="594"/>
        <v>0</v>
      </c>
      <c r="Q565" s="743">
        <f>SUBTOTAL(9,Q553:Q564)</f>
        <v>0</v>
      </c>
      <c r="R565" s="742">
        <f t="shared" si="594"/>
        <v>0</v>
      </c>
      <c r="S565" s="742">
        <f t="shared" si="594"/>
        <v>0</v>
      </c>
      <c r="T565" s="742">
        <f t="shared" si="594"/>
        <v>0</v>
      </c>
      <c r="U565" s="742">
        <f t="shared" si="594"/>
        <v>0</v>
      </c>
    </row>
    <row r="566" spans="2:21" s="119" customFormat="1" ht="19.5" hidden="1" thickBot="1" x14ac:dyDescent="0.3">
      <c r="B566" s="340"/>
      <c r="D566" s="117"/>
      <c r="E566" s="117"/>
      <c r="F566" s="118"/>
      <c r="G566" s="118"/>
      <c r="I566" s="118"/>
      <c r="J566" s="118"/>
      <c r="K566" s="118"/>
      <c r="L566" s="118"/>
      <c r="O566" s="118"/>
      <c r="Q566" s="120"/>
      <c r="R566" s="117"/>
      <c r="S566" s="118"/>
      <c r="U566" s="118"/>
    </row>
    <row r="567" spans="2:21" s="119" customFormat="1" ht="75.75" hidden="1" thickBot="1" x14ac:dyDescent="0.3">
      <c r="B567" s="301"/>
      <c r="C567" s="119">
        <f>IF($E567&gt;0,1,0)</f>
        <v>0</v>
      </c>
      <c r="D567" s="96" t="str">
        <f>A36</f>
        <v>Oneida</v>
      </c>
      <c r="E567" s="166">
        <f>IFERROR(SUMIF(A:A,D567,B:B),0)</f>
        <v>0</v>
      </c>
      <c r="F567" s="98" t="s">
        <v>356</v>
      </c>
      <c r="G567" s="98" t="s">
        <v>373</v>
      </c>
      <c r="H567" s="98" t="s">
        <v>358</v>
      </c>
      <c r="I567" s="98" t="s">
        <v>109</v>
      </c>
      <c r="J567" s="98" t="s">
        <v>111</v>
      </c>
      <c r="K567" s="98" t="s">
        <v>469</v>
      </c>
      <c r="L567" s="98" t="s">
        <v>470</v>
      </c>
      <c r="M567" s="98" t="s">
        <v>357</v>
      </c>
      <c r="N567" s="509" t="s">
        <v>471</v>
      </c>
      <c r="O567" s="98" t="s">
        <v>472</v>
      </c>
      <c r="P567" s="98" t="s">
        <v>110</v>
      </c>
      <c r="Q567" s="99" t="s">
        <v>116</v>
      </c>
      <c r="R567" s="98" t="s">
        <v>112</v>
      </c>
      <c r="S567" s="98" t="s">
        <v>113</v>
      </c>
      <c r="T567" s="98" t="s">
        <v>114</v>
      </c>
      <c r="U567" s="98" t="s">
        <v>115</v>
      </c>
    </row>
    <row r="568" spans="2:21" s="119" customFormat="1" ht="19.5" hidden="1" thickBot="1" x14ac:dyDescent="0.3">
      <c r="B568" s="301"/>
      <c r="C568" s="119">
        <f>C567</f>
        <v>0</v>
      </c>
      <c r="D568" s="101"/>
      <c r="E568" s="102"/>
      <c r="F568" s="84" t="s">
        <v>57</v>
      </c>
      <c r="G568" s="84" t="s">
        <v>56</v>
      </c>
      <c r="H568" s="84" t="s">
        <v>55</v>
      </c>
      <c r="I568" s="84" t="s">
        <v>54</v>
      </c>
      <c r="J568" s="84" t="s">
        <v>53</v>
      </c>
      <c r="K568" s="84" t="s">
        <v>52</v>
      </c>
      <c r="L568" s="84" t="s">
        <v>51</v>
      </c>
      <c r="M568" s="84" t="s">
        <v>50</v>
      </c>
      <c r="N568" s="84" t="s">
        <v>49</v>
      </c>
      <c r="O568" s="84" t="s">
        <v>47</v>
      </c>
      <c r="P568" s="84" t="s">
        <v>77</v>
      </c>
      <c r="Q568" s="83" t="s">
        <v>78</v>
      </c>
      <c r="R568" s="84" t="s">
        <v>79</v>
      </c>
      <c r="S568" s="84" t="s">
        <v>81</v>
      </c>
      <c r="T568" s="84" t="s">
        <v>83</v>
      </c>
      <c r="U568" s="84" t="s">
        <v>85</v>
      </c>
    </row>
    <row r="569" spans="2:21" s="119" customFormat="1" ht="19.5" hidden="1" thickBot="1" x14ac:dyDescent="0.35">
      <c r="B569" s="301"/>
      <c r="C569" s="119">
        <f t="shared" ref="C569:C582" si="596">C568</f>
        <v>0</v>
      </c>
      <c r="D569" s="103" t="s">
        <v>26</v>
      </c>
      <c r="E569" s="104"/>
      <c r="F569" s="745"/>
      <c r="G569" s="745"/>
      <c r="H569" s="746"/>
      <c r="I569" s="745"/>
      <c r="J569" s="745"/>
      <c r="K569" s="745"/>
      <c r="L569" s="745"/>
      <c r="M569" s="746"/>
      <c r="N569" s="746"/>
      <c r="O569" s="745"/>
      <c r="P569" s="746"/>
      <c r="Q569" s="747"/>
      <c r="R569" s="748"/>
      <c r="S569" s="745"/>
      <c r="T569" s="746"/>
      <c r="U569" s="749"/>
    </row>
    <row r="570" spans="2:21" s="119" customFormat="1" ht="19.5" hidden="1" thickBot="1" x14ac:dyDescent="0.3">
      <c r="B570" s="301"/>
      <c r="C570" s="119">
        <f t="shared" si="596"/>
        <v>0</v>
      </c>
      <c r="D570" s="109" t="s">
        <v>93</v>
      </c>
      <c r="E570" s="76" t="s">
        <v>57</v>
      </c>
      <c r="F570" s="733">
        <f>$F$6*$E$567</f>
        <v>0</v>
      </c>
      <c r="G570" s="733">
        <f>$G$6*$E$567</f>
        <v>0</v>
      </c>
      <c r="H570" s="733">
        <f>$H$6*$E$567</f>
        <v>0</v>
      </c>
      <c r="I570" s="733">
        <f>$I$6*$E$567</f>
        <v>0</v>
      </c>
      <c r="J570" s="733">
        <f>$J$6*$E$567</f>
        <v>0</v>
      </c>
      <c r="K570" s="733">
        <f>K$6*$E$567</f>
        <v>0</v>
      </c>
      <c r="L570" s="733">
        <f t="shared" ref="L570:O570" si="597">L$6*$E$567</f>
        <v>0</v>
      </c>
      <c r="M570" s="733">
        <f t="shared" si="597"/>
        <v>0</v>
      </c>
      <c r="N570" s="733">
        <f t="shared" si="597"/>
        <v>0</v>
      </c>
      <c r="O570" s="733">
        <f t="shared" si="597"/>
        <v>0</v>
      </c>
      <c r="P570" s="733">
        <f>$P$6*$E$567</f>
        <v>0</v>
      </c>
      <c r="Q570" s="734">
        <f t="shared" ref="Q570:Q581" si="598">SUM(F570:P570)</f>
        <v>0</v>
      </c>
      <c r="R570" s="733">
        <f>$R$6*$E$567</f>
        <v>0</v>
      </c>
      <c r="S570" s="733">
        <f>$S$6*$E$567</f>
        <v>0</v>
      </c>
      <c r="T570" s="733">
        <f ca="1">$T$6*$E$567</f>
        <v>0</v>
      </c>
      <c r="U570" s="733">
        <f ca="1">$U$6*$E$567</f>
        <v>0</v>
      </c>
    </row>
    <row r="571" spans="2:21" s="119" customFormat="1" ht="19.5" hidden="1" thickBot="1" x14ac:dyDescent="0.3">
      <c r="B571" s="301"/>
      <c r="C571" s="119">
        <f t="shared" si="596"/>
        <v>0</v>
      </c>
      <c r="D571" s="110" t="s">
        <v>92</v>
      </c>
      <c r="E571" s="76" t="s">
        <v>56</v>
      </c>
      <c r="F571" s="733">
        <f>$F$7*$E$567</f>
        <v>0</v>
      </c>
      <c r="G571" s="733">
        <f>$G$7*$E$567</f>
        <v>0</v>
      </c>
      <c r="H571" s="733">
        <f>$H$7*$E$567</f>
        <v>0</v>
      </c>
      <c r="I571" s="733">
        <f>$I$7*$E$567</f>
        <v>0</v>
      </c>
      <c r="J571" s="733">
        <f>$J$7*$E$567</f>
        <v>0</v>
      </c>
      <c r="K571" s="733">
        <f>K$7*$E$567</f>
        <v>0</v>
      </c>
      <c r="L571" s="733">
        <f t="shared" ref="L571:O571" si="599">L$7*$E$567</f>
        <v>0</v>
      </c>
      <c r="M571" s="733">
        <f t="shared" si="599"/>
        <v>0</v>
      </c>
      <c r="N571" s="733">
        <f t="shared" si="599"/>
        <v>0</v>
      </c>
      <c r="O571" s="733">
        <f t="shared" si="599"/>
        <v>0</v>
      </c>
      <c r="P571" s="733">
        <f>$P$7*$E$567</f>
        <v>0</v>
      </c>
      <c r="Q571" s="734">
        <f t="shared" si="598"/>
        <v>0</v>
      </c>
      <c r="R571" s="733">
        <f>$R$7*$E$567</f>
        <v>0</v>
      </c>
      <c r="S571" s="733">
        <f>$S$7*$E$567</f>
        <v>0</v>
      </c>
      <c r="T571" s="733">
        <f>$T$7*$E$567</f>
        <v>0</v>
      </c>
      <c r="U571" s="733">
        <f>$U$7*$E$567</f>
        <v>0</v>
      </c>
    </row>
    <row r="572" spans="2:21" s="119" customFormat="1" ht="19.5" hidden="1" thickBot="1" x14ac:dyDescent="0.3">
      <c r="B572" s="301"/>
      <c r="C572" s="119">
        <f t="shared" si="596"/>
        <v>0</v>
      </c>
      <c r="D572" s="110" t="s">
        <v>91</v>
      </c>
      <c r="E572" s="76" t="s">
        <v>55</v>
      </c>
      <c r="F572" s="733">
        <f>$F$8*$E$567</f>
        <v>0</v>
      </c>
      <c r="G572" s="733">
        <f>$G$8*$E$567</f>
        <v>0</v>
      </c>
      <c r="H572" s="733">
        <f>$H$8*$E$567</f>
        <v>0</v>
      </c>
      <c r="I572" s="733">
        <f>$I$8*$E$567</f>
        <v>0</v>
      </c>
      <c r="J572" s="733">
        <f>$J$8*$E$567</f>
        <v>0</v>
      </c>
      <c r="K572" s="733">
        <f>K$8*$E$567</f>
        <v>0</v>
      </c>
      <c r="L572" s="733">
        <f t="shared" ref="L572:O572" si="600">L$8*$E$567</f>
        <v>0</v>
      </c>
      <c r="M572" s="733">
        <f t="shared" si="600"/>
        <v>0</v>
      </c>
      <c r="N572" s="733">
        <f t="shared" si="600"/>
        <v>0</v>
      </c>
      <c r="O572" s="733">
        <f t="shared" si="600"/>
        <v>0</v>
      </c>
      <c r="P572" s="733">
        <f>$P$8*$E$567</f>
        <v>0</v>
      </c>
      <c r="Q572" s="734">
        <f t="shared" si="598"/>
        <v>0</v>
      </c>
      <c r="R572" s="733">
        <f>$R$8*$E$567</f>
        <v>0</v>
      </c>
      <c r="S572" s="733">
        <f>$S$8*$E$567</f>
        <v>0</v>
      </c>
      <c r="T572" s="733">
        <f ca="1">$T$8*$E$567</f>
        <v>0</v>
      </c>
      <c r="U572" s="733">
        <f ca="1">$U$8*$E$567</f>
        <v>0</v>
      </c>
    </row>
    <row r="573" spans="2:21" s="119" customFormat="1" ht="19.5" hidden="1" thickBot="1" x14ac:dyDescent="0.3">
      <c r="B573" s="301"/>
      <c r="C573" s="119">
        <f t="shared" si="596"/>
        <v>0</v>
      </c>
      <c r="D573" s="111" t="s">
        <v>117</v>
      </c>
      <c r="E573" s="76" t="s">
        <v>54</v>
      </c>
      <c r="F573" s="733">
        <f>$F$9*$E$567</f>
        <v>0</v>
      </c>
      <c r="G573" s="733">
        <f>$G$9*$E$567</f>
        <v>0</v>
      </c>
      <c r="H573" s="733">
        <f>$H$9*$E$567</f>
        <v>0</v>
      </c>
      <c r="I573" s="733">
        <f>$I$9*$E$567</f>
        <v>0</v>
      </c>
      <c r="J573" s="733">
        <f>$J$9*$E$567</f>
        <v>0</v>
      </c>
      <c r="K573" s="733">
        <f>K$9*$E$567</f>
        <v>0</v>
      </c>
      <c r="L573" s="733">
        <f t="shared" ref="L573:O573" si="601">L$9*$E$567</f>
        <v>0</v>
      </c>
      <c r="M573" s="733">
        <f t="shared" si="601"/>
        <v>0</v>
      </c>
      <c r="N573" s="733">
        <f t="shared" si="601"/>
        <v>0</v>
      </c>
      <c r="O573" s="733">
        <f t="shared" si="601"/>
        <v>0</v>
      </c>
      <c r="P573" s="733">
        <f>$P$9*$E$567</f>
        <v>0</v>
      </c>
      <c r="Q573" s="734">
        <f t="shared" si="598"/>
        <v>0</v>
      </c>
      <c r="R573" s="733">
        <f>$R$9*$E$567</f>
        <v>0</v>
      </c>
      <c r="S573" s="733">
        <f>$S$9*$E$567</f>
        <v>0</v>
      </c>
      <c r="T573" s="733">
        <f>$T$9*$E$567</f>
        <v>0</v>
      </c>
      <c r="U573" s="733">
        <f>$U$9*$E$567</f>
        <v>0</v>
      </c>
    </row>
    <row r="574" spans="2:21" s="119" customFormat="1" ht="19.5" hidden="1" thickBot="1" x14ac:dyDescent="0.35">
      <c r="B574" s="301"/>
      <c r="C574" s="119">
        <f t="shared" si="596"/>
        <v>0</v>
      </c>
      <c r="D574" s="112" t="s">
        <v>31</v>
      </c>
      <c r="E574" s="76"/>
      <c r="F574" s="750"/>
      <c r="G574" s="735"/>
      <c r="H574" s="736"/>
      <c r="I574" s="735"/>
      <c r="J574" s="735"/>
      <c r="K574" s="735"/>
      <c r="L574" s="735"/>
      <c r="M574" s="735"/>
      <c r="N574" s="735"/>
      <c r="O574" s="735"/>
      <c r="P574" s="738"/>
      <c r="Q574" s="734">
        <f t="shared" si="598"/>
        <v>0</v>
      </c>
      <c r="R574" s="739"/>
      <c r="S574" s="735"/>
      <c r="T574" s="740"/>
      <c r="U574" s="741"/>
    </row>
    <row r="575" spans="2:21" s="119" customFormat="1" ht="19.5" hidden="1" thickBot="1" x14ac:dyDescent="0.35">
      <c r="B575" s="301"/>
      <c r="C575" s="119">
        <f t="shared" si="596"/>
        <v>0</v>
      </c>
      <c r="D575" s="113" t="s">
        <v>118</v>
      </c>
      <c r="E575" s="76" t="s">
        <v>53</v>
      </c>
      <c r="F575" s="733">
        <f>$F$11*$E$567</f>
        <v>0</v>
      </c>
      <c r="G575" s="733">
        <f>$G$11*$E$567</f>
        <v>0</v>
      </c>
      <c r="H575" s="733">
        <f>$H$11*$E$567</f>
        <v>0</v>
      </c>
      <c r="I575" s="733">
        <f>$I$11*$E$567</f>
        <v>0</v>
      </c>
      <c r="J575" s="733">
        <f>$J$11*$E$567</f>
        <v>0</v>
      </c>
      <c r="K575" s="733">
        <f>K$11*$E$567</f>
        <v>0</v>
      </c>
      <c r="L575" s="733">
        <f t="shared" ref="L575:O575" si="602">L$11*$E$567</f>
        <v>0</v>
      </c>
      <c r="M575" s="733">
        <f t="shared" si="602"/>
        <v>0</v>
      </c>
      <c r="N575" s="733">
        <f t="shared" si="602"/>
        <v>0</v>
      </c>
      <c r="O575" s="733">
        <f t="shared" si="602"/>
        <v>0</v>
      </c>
      <c r="P575" s="733">
        <f>$P$11*$E$567</f>
        <v>0</v>
      </c>
      <c r="Q575" s="734">
        <f t="shared" si="598"/>
        <v>0</v>
      </c>
      <c r="R575" s="733">
        <f>$R$11*$E$567</f>
        <v>0</v>
      </c>
      <c r="S575" s="733">
        <f>$S$11*$E$567</f>
        <v>0</v>
      </c>
      <c r="T575" s="733">
        <f>$T$11*$E$567</f>
        <v>0</v>
      </c>
      <c r="U575" s="733">
        <f>$U$11*$E$567</f>
        <v>0</v>
      </c>
    </row>
    <row r="576" spans="2:21" s="119" customFormat="1" ht="19.5" hidden="1" thickBot="1" x14ac:dyDescent="0.35">
      <c r="B576" s="301"/>
      <c r="C576" s="119">
        <f t="shared" si="596"/>
        <v>0</v>
      </c>
      <c r="D576" s="113" t="s">
        <v>119</v>
      </c>
      <c r="E576" s="76" t="s">
        <v>52</v>
      </c>
      <c r="F576" s="733">
        <f>$F$12*$E$567</f>
        <v>0</v>
      </c>
      <c r="G576" s="733">
        <f>$G$12*$E$567</f>
        <v>0</v>
      </c>
      <c r="H576" s="733">
        <f>$H$12*$E$567</f>
        <v>0</v>
      </c>
      <c r="I576" s="733">
        <f>$I$12*$E$567</f>
        <v>0</v>
      </c>
      <c r="J576" s="733">
        <f>$J$12*$E$567</f>
        <v>0</v>
      </c>
      <c r="K576" s="733">
        <f>K$12*$E$567</f>
        <v>0</v>
      </c>
      <c r="L576" s="733">
        <f t="shared" ref="L576:O576" si="603">L$12*$E$567</f>
        <v>0</v>
      </c>
      <c r="M576" s="733">
        <f t="shared" si="603"/>
        <v>0</v>
      </c>
      <c r="N576" s="733">
        <f t="shared" si="603"/>
        <v>0</v>
      </c>
      <c r="O576" s="733">
        <f t="shared" si="603"/>
        <v>0</v>
      </c>
      <c r="P576" s="733">
        <f>$P$12*$E$567</f>
        <v>0</v>
      </c>
      <c r="Q576" s="734">
        <f t="shared" si="598"/>
        <v>0</v>
      </c>
      <c r="R576" s="733">
        <f>$R$12*$E$567</f>
        <v>0</v>
      </c>
      <c r="S576" s="733">
        <f>$S$12*$E$567</f>
        <v>0</v>
      </c>
      <c r="T576" s="733">
        <f>$T$12*$E$567</f>
        <v>0</v>
      </c>
      <c r="U576" s="733">
        <f>$U$12*$E$567</f>
        <v>0</v>
      </c>
    </row>
    <row r="577" spans="2:21" s="119" customFormat="1" ht="19.5" hidden="1" thickBot="1" x14ac:dyDescent="0.35">
      <c r="B577" s="301"/>
      <c r="C577" s="119">
        <f t="shared" si="596"/>
        <v>0</v>
      </c>
      <c r="D577" s="113" t="s">
        <v>120</v>
      </c>
      <c r="E577" s="76" t="s">
        <v>51</v>
      </c>
      <c r="F577" s="733">
        <f>$F$13*$E$567</f>
        <v>0</v>
      </c>
      <c r="G577" s="733">
        <f>$G$13*$E$567</f>
        <v>0</v>
      </c>
      <c r="H577" s="733">
        <f>$H$13*$E$567</f>
        <v>0</v>
      </c>
      <c r="I577" s="733">
        <f>$I$13*$E$567</f>
        <v>0</v>
      </c>
      <c r="J577" s="733">
        <f>$J$13*$E$567</f>
        <v>0</v>
      </c>
      <c r="K577" s="733">
        <f>K$13*$E$567</f>
        <v>0</v>
      </c>
      <c r="L577" s="733">
        <f t="shared" ref="L577:O577" si="604">L$13*$E$567</f>
        <v>0</v>
      </c>
      <c r="M577" s="733">
        <f t="shared" si="604"/>
        <v>0</v>
      </c>
      <c r="N577" s="733">
        <f t="shared" si="604"/>
        <v>0</v>
      </c>
      <c r="O577" s="733">
        <f t="shared" si="604"/>
        <v>0</v>
      </c>
      <c r="P577" s="733">
        <f>$P$13*$E$567</f>
        <v>0</v>
      </c>
      <c r="Q577" s="734">
        <f t="shared" si="598"/>
        <v>0</v>
      </c>
      <c r="R577" s="733">
        <f>$R$13*$E$567</f>
        <v>0</v>
      </c>
      <c r="S577" s="733">
        <f>$S$13*$E$567</f>
        <v>0</v>
      </c>
      <c r="T577" s="733">
        <f>$T$13*$E$567</f>
        <v>0</v>
      </c>
      <c r="U577" s="733">
        <f>$U$13*$E$567</f>
        <v>0</v>
      </c>
    </row>
    <row r="578" spans="2:21" s="119" customFormat="1" ht="19.5" hidden="1" thickBot="1" x14ac:dyDescent="0.35">
      <c r="B578" s="301"/>
      <c r="C578" s="119">
        <f t="shared" si="596"/>
        <v>0</v>
      </c>
      <c r="D578" s="113" t="s">
        <v>121</v>
      </c>
      <c r="E578" s="76" t="s">
        <v>50</v>
      </c>
      <c r="F578" s="733">
        <f>$F$14*$E$567</f>
        <v>0</v>
      </c>
      <c r="G578" s="733">
        <f>$G$14*$E$567</f>
        <v>0</v>
      </c>
      <c r="H578" s="733">
        <f>$H$14*$E$567</f>
        <v>0</v>
      </c>
      <c r="I578" s="733">
        <f>$I$14*$E$567</f>
        <v>0</v>
      </c>
      <c r="J578" s="733">
        <f>$J$14*$E$567</f>
        <v>0</v>
      </c>
      <c r="K578" s="733">
        <f>K$14*$E$567</f>
        <v>0</v>
      </c>
      <c r="L578" s="733">
        <f t="shared" ref="L578:O578" si="605">L$14*$E$567</f>
        <v>0</v>
      </c>
      <c r="M578" s="733">
        <f t="shared" si="605"/>
        <v>0</v>
      </c>
      <c r="N578" s="733">
        <f t="shared" si="605"/>
        <v>0</v>
      </c>
      <c r="O578" s="733">
        <f t="shared" si="605"/>
        <v>0</v>
      </c>
      <c r="P578" s="733">
        <f>$P$14*$E$567</f>
        <v>0</v>
      </c>
      <c r="Q578" s="734">
        <f t="shared" si="598"/>
        <v>0</v>
      </c>
      <c r="R578" s="733">
        <f>$R$14*$E$567</f>
        <v>0</v>
      </c>
      <c r="S578" s="733">
        <f>$S$14*$E$567</f>
        <v>0</v>
      </c>
      <c r="T578" s="733">
        <f>$T$14*$E$567</f>
        <v>0</v>
      </c>
      <c r="U578" s="733">
        <f>$U$14*$E$567</f>
        <v>0</v>
      </c>
    </row>
    <row r="579" spans="2:21" s="119" customFormat="1" ht="19.5" hidden="1" thickBot="1" x14ac:dyDescent="0.35">
      <c r="B579" s="301"/>
      <c r="C579" s="119">
        <f t="shared" si="596"/>
        <v>0</v>
      </c>
      <c r="D579" s="113" t="s">
        <v>122</v>
      </c>
      <c r="E579" s="76" t="s">
        <v>49</v>
      </c>
      <c r="F579" s="733">
        <f>$F$15*$E$567</f>
        <v>0</v>
      </c>
      <c r="G579" s="733">
        <f>$G$15*$E$567</f>
        <v>0</v>
      </c>
      <c r="H579" s="733">
        <f>$H$15*$E$567</f>
        <v>0</v>
      </c>
      <c r="I579" s="733">
        <f>$I$15*$E$567</f>
        <v>0</v>
      </c>
      <c r="J579" s="733">
        <f>$J$15*$E$567</f>
        <v>0</v>
      </c>
      <c r="K579" s="733">
        <f>K$15*$E$567</f>
        <v>0</v>
      </c>
      <c r="L579" s="733">
        <f t="shared" ref="L579:O579" si="606">L$15*$E$567</f>
        <v>0</v>
      </c>
      <c r="M579" s="733">
        <f t="shared" si="606"/>
        <v>0</v>
      </c>
      <c r="N579" s="733">
        <f t="shared" si="606"/>
        <v>0</v>
      </c>
      <c r="O579" s="733">
        <f t="shared" si="606"/>
        <v>0</v>
      </c>
      <c r="P579" s="733">
        <f>$P$15*$E$567</f>
        <v>0</v>
      </c>
      <c r="Q579" s="734">
        <f t="shared" si="598"/>
        <v>0</v>
      </c>
      <c r="R579" s="733">
        <f>$R$15*$E$567</f>
        <v>0</v>
      </c>
      <c r="S579" s="733">
        <f>$S$15*$E$567</f>
        <v>0</v>
      </c>
      <c r="T579" s="733">
        <f>$T$15*$E$567</f>
        <v>0</v>
      </c>
      <c r="U579" s="733">
        <f>$U$15*$E$567</f>
        <v>0</v>
      </c>
    </row>
    <row r="580" spans="2:21" s="119" customFormat="1" ht="19.5" hidden="1" thickBot="1" x14ac:dyDescent="0.35">
      <c r="B580" s="301"/>
      <c r="C580" s="119">
        <f t="shared" si="596"/>
        <v>0</v>
      </c>
      <c r="D580" s="113" t="s">
        <v>123</v>
      </c>
      <c r="E580" s="76" t="s">
        <v>47</v>
      </c>
      <c r="F580" s="733">
        <f>$F$16*$E$567</f>
        <v>0</v>
      </c>
      <c r="G580" s="733">
        <f>$G$16*$E$567</f>
        <v>0</v>
      </c>
      <c r="H580" s="733">
        <f>$H$16*$E$567</f>
        <v>0</v>
      </c>
      <c r="I580" s="733">
        <f>$I$16*$E$567</f>
        <v>0</v>
      </c>
      <c r="J580" s="733">
        <f>$J$16*$E$567</f>
        <v>0</v>
      </c>
      <c r="K580" s="733">
        <f>K$16*$E$567</f>
        <v>0</v>
      </c>
      <c r="L580" s="733">
        <f t="shared" ref="L580:O580" si="607">L$16*$E$567</f>
        <v>0</v>
      </c>
      <c r="M580" s="733">
        <f t="shared" si="607"/>
        <v>0</v>
      </c>
      <c r="N580" s="733">
        <f t="shared" si="607"/>
        <v>0</v>
      </c>
      <c r="O580" s="733">
        <f t="shared" si="607"/>
        <v>0</v>
      </c>
      <c r="P580" s="733">
        <f>$P$16*$E$567</f>
        <v>0</v>
      </c>
      <c r="Q580" s="734">
        <f t="shared" si="598"/>
        <v>0</v>
      </c>
      <c r="R580" s="733">
        <f>$R$16*$E$567</f>
        <v>0</v>
      </c>
      <c r="S580" s="733">
        <f>$S$16*$E$567</f>
        <v>0</v>
      </c>
      <c r="T580" s="733">
        <f>$T$16*$E$567</f>
        <v>0</v>
      </c>
      <c r="U580" s="733">
        <f>$U$16*$E$567</f>
        <v>0</v>
      </c>
    </row>
    <row r="581" spans="2:21" s="119" customFormat="1" ht="19.5" hidden="1" thickBot="1" x14ac:dyDescent="0.35">
      <c r="B581" s="301"/>
      <c r="C581" s="119">
        <f t="shared" si="596"/>
        <v>0</v>
      </c>
      <c r="D581" s="114" t="s">
        <v>16</v>
      </c>
      <c r="E581" s="70" t="s">
        <v>77</v>
      </c>
      <c r="F581" s="733">
        <f>$F$17*$E$567</f>
        <v>0</v>
      </c>
      <c r="G581" s="733">
        <f>$G$17*$E$567</f>
        <v>0</v>
      </c>
      <c r="H581" s="733">
        <f>$H$17*$E$567</f>
        <v>0</v>
      </c>
      <c r="I581" s="733">
        <f>$I$17*$E$567</f>
        <v>0</v>
      </c>
      <c r="J581" s="733">
        <f>$J$17*$E$567</f>
        <v>0</v>
      </c>
      <c r="K581" s="733">
        <f>K$17*$E$567</f>
        <v>0</v>
      </c>
      <c r="L581" s="733">
        <f t="shared" ref="L581:O581" si="608">L$17*$E$567</f>
        <v>0</v>
      </c>
      <c r="M581" s="733">
        <f t="shared" si="608"/>
        <v>0</v>
      </c>
      <c r="N581" s="733">
        <f t="shared" si="608"/>
        <v>0</v>
      </c>
      <c r="O581" s="733">
        <f t="shared" si="608"/>
        <v>0</v>
      </c>
      <c r="P581" s="733">
        <f>$P$17*$E$567</f>
        <v>0</v>
      </c>
      <c r="Q581" s="734">
        <f t="shared" si="598"/>
        <v>0</v>
      </c>
      <c r="R581" s="733">
        <f>$R$17*$E$567</f>
        <v>0</v>
      </c>
      <c r="S581" s="733">
        <f>$S$17*$E$567</f>
        <v>0</v>
      </c>
      <c r="T581" s="733">
        <f ca="1">$T$17*$E$567</f>
        <v>0</v>
      </c>
      <c r="U581" s="733">
        <f ca="1">$U$17*$E$567</f>
        <v>0</v>
      </c>
    </row>
    <row r="582" spans="2:21" s="119" customFormat="1" ht="19.5" hidden="1" thickBot="1" x14ac:dyDescent="0.35">
      <c r="B582" s="301"/>
      <c r="C582" s="119">
        <f t="shared" si="596"/>
        <v>0</v>
      </c>
      <c r="D582" s="115" t="s">
        <v>124</v>
      </c>
      <c r="E582" s="116" t="s">
        <v>78</v>
      </c>
      <c r="F582" s="742">
        <f t="shared" ref="F582:U582" si="609">SUBTOTAL(9,F570:F581)</f>
        <v>0</v>
      </c>
      <c r="G582" s="742">
        <f>SUBTOTAL(9,G570:G581)</f>
        <v>0</v>
      </c>
      <c r="H582" s="742">
        <f>SUBTOTAL(9,H570:H581)</f>
        <v>0</v>
      </c>
      <c r="I582" s="742">
        <f>SUBTOTAL(9,I570:I581)</f>
        <v>0</v>
      </c>
      <c r="J582" s="742">
        <f>SUBTOTAL(9,J570:J581)</f>
        <v>0</v>
      </c>
      <c r="K582" s="742">
        <f>SUBTOTAL(9,K570:K581)</f>
        <v>0</v>
      </c>
      <c r="L582" s="742">
        <f t="shared" ref="L582:O582" si="610">SUBTOTAL(9,L570:L581)</f>
        <v>0</v>
      </c>
      <c r="M582" s="742">
        <f t="shared" si="610"/>
        <v>0</v>
      </c>
      <c r="N582" s="742">
        <f t="shared" si="610"/>
        <v>0</v>
      </c>
      <c r="O582" s="742">
        <f t="shared" si="610"/>
        <v>0</v>
      </c>
      <c r="P582" s="742">
        <f t="shared" si="609"/>
        <v>0</v>
      </c>
      <c r="Q582" s="743">
        <f>SUBTOTAL(9,Q570:Q581)</f>
        <v>0</v>
      </c>
      <c r="R582" s="742">
        <f t="shared" si="609"/>
        <v>0</v>
      </c>
      <c r="S582" s="742">
        <f t="shared" si="609"/>
        <v>0</v>
      </c>
      <c r="T582" s="742">
        <f t="shared" si="609"/>
        <v>0</v>
      </c>
      <c r="U582" s="742">
        <f t="shared" si="609"/>
        <v>0</v>
      </c>
    </row>
    <row r="583" spans="2:21" s="119" customFormat="1" ht="19.5" hidden="1" thickBot="1" x14ac:dyDescent="0.3">
      <c r="B583" s="340"/>
      <c r="D583" s="117"/>
      <c r="E583" s="117"/>
      <c r="F583" s="118"/>
      <c r="G583" s="118"/>
      <c r="I583" s="118"/>
      <c r="J583" s="118"/>
      <c r="K583" s="118"/>
      <c r="L583" s="118"/>
      <c r="O583" s="118"/>
      <c r="Q583" s="120"/>
      <c r="R583" s="117"/>
      <c r="S583" s="118"/>
      <c r="U583" s="118"/>
    </row>
    <row r="584" spans="2:21" s="119" customFormat="1" ht="75.75" hidden="1" thickBot="1" x14ac:dyDescent="0.3">
      <c r="B584" s="301"/>
      <c r="C584" s="119">
        <f>IF($E584&gt;0,1,0)</f>
        <v>0</v>
      </c>
      <c r="D584" s="96" t="str">
        <f>A37</f>
        <v>Onondaga</v>
      </c>
      <c r="E584" s="166">
        <f>IFERROR(SUMIF(A:A,D584,B:B),0)</f>
        <v>0</v>
      </c>
      <c r="F584" s="98" t="s">
        <v>356</v>
      </c>
      <c r="G584" s="98" t="s">
        <v>373</v>
      </c>
      <c r="H584" s="98" t="s">
        <v>358</v>
      </c>
      <c r="I584" s="98" t="s">
        <v>109</v>
      </c>
      <c r="J584" s="98" t="s">
        <v>111</v>
      </c>
      <c r="K584" s="98" t="s">
        <v>469</v>
      </c>
      <c r="L584" s="98" t="s">
        <v>470</v>
      </c>
      <c r="M584" s="98" t="s">
        <v>357</v>
      </c>
      <c r="N584" s="509" t="s">
        <v>471</v>
      </c>
      <c r="O584" s="98" t="s">
        <v>472</v>
      </c>
      <c r="P584" s="98" t="s">
        <v>110</v>
      </c>
      <c r="Q584" s="99" t="s">
        <v>116</v>
      </c>
      <c r="R584" s="98" t="s">
        <v>112</v>
      </c>
      <c r="S584" s="98" t="s">
        <v>113</v>
      </c>
      <c r="T584" s="98" t="s">
        <v>114</v>
      </c>
      <c r="U584" s="98" t="s">
        <v>115</v>
      </c>
    </row>
    <row r="585" spans="2:21" s="119" customFormat="1" ht="19.5" hidden="1" thickBot="1" x14ac:dyDescent="0.3">
      <c r="B585" s="301"/>
      <c r="C585" s="119">
        <f>C584</f>
        <v>0</v>
      </c>
      <c r="D585" s="101"/>
      <c r="E585" s="102"/>
      <c r="F585" s="84" t="s">
        <v>57</v>
      </c>
      <c r="G585" s="84" t="s">
        <v>56</v>
      </c>
      <c r="H585" s="84" t="s">
        <v>55</v>
      </c>
      <c r="I585" s="84" t="s">
        <v>54</v>
      </c>
      <c r="J585" s="84" t="s">
        <v>53</v>
      </c>
      <c r="K585" s="84" t="s">
        <v>52</v>
      </c>
      <c r="L585" s="84" t="s">
        <v>51</v>
      </c>
      <c r="M585" s="84" t="s">
        <v>50</v>
      </c>
      <c r="N585" s="84" t="s">
        <v>49</v>
      </c>
      <c r="O585" s="84" t="s">
        <v>47</v>
      </c>
      <c r="P585" s="84" t="s">
        <v>77</v>
      </c>
      <c r="Q585" s="83" t="s">
        <v>78</v>
      </c>
      <c r="R585" s="84" t="s">
        <v>79</v>
      </c>
      <c r="S585" s="84" t="s">
        <v>81</v>
      </c>
      <c r="T585" s="84" t="s">
        <v>83</v>
      </c>
      <c r="U585" s="84" t="s">
        <v>85</v>
      </c>
    </row>
    <row r="586" spans="2:21" s="119" customFormat="1" ht="19.5" hidden="1" thickBot="1" x14ac:dyDescent="0.35">
      <c r="B586" s="301"/>
      <c r="C586" s="119">
        <f t="shared" ref="C586:C599" si="611">C585</f>
        <v>0</v>
      </c>
      <c r="D586" s="103" t="s">
        <v>26</v>
      </c>
      <c r="E586" s="104"/>
      <c r="F586" s="745"/>
      <c r="G586" s="745"/>
      <c r="H586" s="746"/>
      <c r="I586" s="745"/>
      <c r="J586" s="745"/>
      <c r="K586" s="745"/>
      <c r="L586" s="745"/>
      <c r="M586" s="746"/>
      <c r="N586" s="746"/>
      <c r="O586" s="745"/>
      <c r="P586" s="746"/>
      <c r="Q586" s="747"/>
      <c r="R586" s="748"/>
      <c r="S586" s="745"/>
      <c r="T586" s="746"/>
      <c r="U586" s="749"/>
    </row>
    <row r="587" spans="2:21" s="119" customFormat="1" ht="19.5" hidden="1" thickBot="1" x14ac:dyDescent="0.3">
      <c r="B587" s="301"/>
      <c r="C587" s="119">
        <f t="shared" si="611"/>
        <v>0</v>
      </c>
      <c r="D587" s="109" t="s">
        <v>93</v>
      </c>
      <c r="E587" s="76" t="s">
        <v>57</v>
      </c>
      <c r="F587" s="733">
        <f>$F$6*$E$584</f>
        <v>0</v>
      </c>
      <c r="G587" s="733">
        <f>$G$6*$E$584</f>
        <v>0</v>
      </c>
      <c r="H587" s="733">
        <f>$H$6*$E$584</f>
        <v>0</v>
      </c>
      <c r="I587" s="733">
        <f>$I$6*$E$584</f>
        <v>0</v>
      </c>
      <c r="J587" s="733">
        <f>$J$6*$E$584</f>
        <v>0</v>
      </c>
      <c r="K587" s="733">
        <f>K$6*$E$584</f>
        <v>0</v>
      </c>
      <c r="L587" s="733">
        <f t="shared" ref="L587:O587" si="612">L$6*$E$584</f>
        <v>0</v>
      </c>
      <c r="M587" s="733">
        <f t="shared" si="612"/>
        <v>0</v>
      </c>
      <c r="N587" s="733">
        <f t="shared" si="612"/>
        <v>0</v>
      </c>
      <c r="O587" s="733">
        <f t="shared" si="612"/>
        <v>0</v>
      </c>
      <c r="P587" s="733">
        <f>$P$6*$E$584</f>
        <v>0</v>
      </c>
      <c r="Q587" s="734">
        <f t="shared" ref="Q587:Q598" si="613">SUM(F587:P587)</f>
        <v>0</v>
      </c>
      <c r="R587" s="733">
        <f>$R$6*$E$584</f>
        <v>0</v>
      </c>
      <c r="S587" s="733">
        <f>$S$6*$E$584</f>
        <v>0</v>
      </c>
      <c r="T587" s="733">
        <f ca="1">$T$6*$E$584</f>
        <v>0</v>
      </c>
      <c r="U587" s="733">
        <f ca="1">$U$6*$E$584</f>
        <v>0</v>
      </c>
    </row>
    <row r="588" spans="2:21" s="119" customFormat="1" ht="19.5" hidden="1" thickBot="1" x14ac:dyDescent="0.3">
      <c r="B588" s="301"/>
      <c r="C588" s="119">
        <f t="shared" si="611"/>
        <v>0</v>
      </c>
      <c r="D588" s="110" t="s">
        <v>92</v>
      </c>
      <c r="E588" s="76" t="s">
        <v>56</v>
      </c>
      <c r="F588" s="733">
        <f>$F$7*$E$584</f>
        <v>0</v>
      </c>
      <c r="G588" s="733">
        <f>$G$7*$E$584</f>
        <v>0</v>
      </c>
      <c r="H588" s="733">
        <f>$H$7*$E$584</f>
        <v>0</v>
      </c>
      <c r="I588" s="733">
        <f>$I$7*$E$584</f>
        <v>0</v>
      </c>
      <c r="J588" s="733">
        <f>$J$7*$E$584</f>
        <v>0</v>
      </c>
      <c r="K588" s="733">
        <f>K$7*$E$584</f>
        <v>0</v>
      </c>
      <c r="L588" s="733">
        <f t="shared" ref="L588:O588" si="614">L$7*$E$584</f>
        <v>0</v>
      </c>
      <c r="M588" s="733">
        <f t="shared" si="614"/>
        <v>0</v>
      </c>
      <c r="N588" s="733">
        <f t="shared" si="614"/>
        <v>0</v>
      </c>
      <c r="O588" s="733">
        <f t="shared" si="614"/>
        <v>0</v>
      </c>
      <c r="P588" s="733">
        <f>$P$7*$E$584</f>
        <v>0</v>
      </c>
      <c r="Q588" s="734">
        <f t="shared" si="613"/>
        <v>0</v>
      </c>
      <c r="R588" s="733">
        <f>$R$7*$E$584</f>
        <v>0</v>
      </c>
      <c r="S588" s="733">
        <f>$S$7*$E$584</f>
        <v>0</v>
      </c>
      <c r="T588" s="733">
        <f>$T$7*$E$584</f>
        <v>0</v>
      </c>
      <c r="U588" s="733">
        <f>$U$7*$E$584</f>
        <v>0</v>
      </c>
    </row>
    <row r="589" spans="2:21" s="119" customFormat="1" ht="19.5" hidden="1" thickBot="1" x14ac:dyDescent="0.3">
      <c r="B589" s="301"/>
      <c r="C589" s="119">
        <f t="shared" si="611"/>
        <v>0</v>
      </c>
      <c r="D589" s="110" t="s">
        <v>91</v>
      </c>
      <c r="E589" s="76" t="s">
        <v>55</v>
      </c>
      <c r="F589" s="733">
        <f>$F$8*$E$584</f>
        <v>0</v>
      </c>
      <c r="G589" s="733">
        <f>$G$8*$E$584</f>
        <v>0</v>
      </c>
      <c r="H589" s="733">
        <f>$H$8*$E$584</f>
        <v>0</v>
      </c>
      <c r="I589" s="733">
        <f>$I$8*$E$584</f>
        <v>0</v>
      </c>
      <c r="J589" s="733">
        <f>$J$8*$E$584</f>
        <v>0</v>
      </c>
      <c r="K589" s="733">
        <f>K$8*$E$584</f>
        <v>0</v>
      </c>
      <c r="L589" s="733">
        <f t="shared" ref="L589:O589" si="615">L$8*$E$584</f>
        <v>0</v>
      </c>
      <c r="M589" s="733">
        <f t="shared" si="615"/>
        <v>0</v>
      </c>
      <c r="N589" s="733">
        <f t="shared" si="615"/>
        <v>0</v>
      </c>
      <c r="O589" s="733">
        <f t="shared" si="615"/>
        <v>0</v>
      </c>
      <c r="P589" s="733">
        <f>$P$8*$E$584</f>
        <v>0</v>
      </c>
      <c r="Q589" s="734">
        <f t="shared" si="613"/>
        <v>0</v>
      </c>
      <c r="R589" s="733">
        <f>$R$8*$E$584</f>
        <v>0</v>
      </c>
      <c r="S589" s="733">
        <f>$S$8*$E$584</f>
        <v>0</v>
      </c>
      <c r="T589" s="733">
        <f ca="1">$T$8*$E$584</f>
        <v>0</v>
      </c>
      <c r="U589" s="733">
        <f ca="1">$U$8*$E$584</f>
        <v>0</v>
      </c>
    </row>
    <row r="590" spans="2:21" s="119" customFormat="1" ht="19.5" hidden="1" thickBot="1" x14ac:dyDescent="0.3">
      <c r="B590" s="301"/>
      <c r="C590" s="119">
        <f t="shared" si="611"/>
        <v>0</v>
      </c>
      <c r="D590" s="111" t="s">
        <v>117</v>
      </c>
      <c r="E590" s="76" t="s">
        <v>54</v>
      </c>
      <c r="F590" s="733">
        <f>$F$9*$E$584</f>
        <v>0</v>
      </c>
      <c r="G590" s="733">
        <f>$G$9*$E$584</f>
        <v>0</v>
      </c>
      <c r="H590" s="733">
        <f>$H$9*$E$584</f>
        <v>0</v>
      </c>
      <c r="I590" s="733">
        <f>$I$9*$E$584</f>
        <v>0</v>
      </c>
      <c r="J590" s="733">
        <f>$J$9*$E$584</f>
        <v>0</v>
      </c>
      <c r="K590" s="733">
        <f>K$9*$E$584</f>
        <v>0</v>
      </c>
      <c r="L590" s="733">
        <f t="shared" ref="L590:O590" si="616">L$9*$E$584</f>
        <v>0</v>
      </c>
      <c r="M590" s="733">
        <f t="shared" si="616"/>
        <v>0</v>
      </c>
      <c r="N590" s="733">
        <f t="shared" si="616"/>
        <v>0</v>
      </c>
      <c r="O590" s="733">
        <f t="shared" si="616"/>
        <v>0</v>
      </c>
      <c r="P590" s="733">
        <f>$P$9*$E$584</f>
        <v>0</v>
      </c>
      <c r="Q590" s="734">
        <f t="shared" si="613"/>
        <v>0</v>
      </c>
      <c r="R590" s="733">
        <f>$R$9*$E$584</f>
        <v>0</v>
      </c>
      <c r="S590" s="733">
        <f>$S$9*$E$584</f>
        <v>0</v>
      </c>
      <c r="T590" s="733">
        <f>$T$9*$E$584</f>
        <v>0</v>
      </c>
      <c r="U590" s="733">
        <f>$U$9*$E$584</f>
        <v>0</v>
      </c>
    </row>
    <row r="591" spans="2:21" s="119" customFormat="1" ht="19.5" hidden="1" thickBot="1" x14ac:dyDescent="0.35">
      <c r="B591" s="301"/>
      <c r="C591" s="119">
        <f t="shared" si="611"/>
        <v>0</v>
      </c>
      <c r="D591" s="112" t="s">
        <v>31</v>
      </c>
      <c r="E591" s="76"/>
      <c r="F591" s="750"/>
      <c r="G591" s="735"/>
      <c r="H591" s="736"/>
      <c r="I591" s="735"/>
      <c r="J591" s="735"/>
      <c r="K591" s="735"/>
      <c r="L591" s="735"/>
      <c r="M591" s="735"/>
      <c r="N591" s="735"/>
      <c r="O591" s="735"/>
      <c r="P591" s="738"/>
      <c r="Q591" s="734">
        <f t="shared" si="613"/>
        <v>0</v>
      </c>
      <c r="R591" s="739"/>
      <c r="S591" s="735"/>
      <c r="T591" s="740"/>
      <c r="U591" s="741"/>
    </row>
    <row r="592" spans="2:21" s="119" customFormat="1" ht="19.5" hidden="1" thickBot="1" x14ac:dyDescent="0.35">
      <c r="B592" s="301"/>
      <c r="C592" s="119">
        <f t="shared" si="611"/>
        <v>0</v>
      </c>
      <c r="D592" s="113" t="s">
        <v>118</v>
      </c>
      <c r="E592" s="76" t="s">
        <v>53</v>
      </c>
      <c r="F592" s="733">
        <f>$F$11*$E$584</f>
        <v>0</v>
      </c>
      <c r="G592" s="733">
        <f>$G$11*$E$584</f>
        <v>0</v>
      </c>
      <c r="H592" s="733">
        <f>$H$11*$E$584</f>
        <v>0</v>
      </c>
      <c r="I592" s="733">
        <f>$I$11*$E$584</f>
        <v>0</v>
      </c>
      <c r="J592" s="733">
        <f>$J$11*$E$584</f>
        <v>0</v>
      </c>
      <c r="K592" s="733">
        <f>K$11*$E$584</f>
        <v>0</v>
      </c>
      <c r="L592" s="733">
        <f t="shared" ref="L592:O592" si="617">L$11*$E$584</f>
        <v>0</v>
      </c>
      <c r="M592" s="733">
        <f t="shared" si="617"/>
        <v>0</v>
      </c>
      <c r="N592" s="733">
        <f t="shared" si="617"/>
        <v>0</v>
      </c>
      <c r="O592" s="733">
        <f t="shared" si="617"/>
        <v>0</v>
      </c>
      <c r="P592" s="733">
        <f>$P$11*$E$584</f>
        <v>0</v>
      </c>
      <c r="Q592" s="734">
        <f t="shared" si="613"/>
        <v>0</v>
      </c>
      <c r="R592" s="733">
        <f>$R$11*$E$584</f>
        <v>0</v>
      </c>
      <c r="S592" s="733">
        <f>$S$11*$E$584</f>
        <v>0</v>
      </c>
      <c r="T592" s="733">
        <f>$T$11*$E$584</f>
        <v>0</v>
      </c>
      <c r="U592" s="733">
        <f>$U$11*$E$584</f>
        <v>0</v>
      </c>
    </row>
    <row r="593" spans="2:21" s="119" customFormat="1" ht="19.5" hidden="1" thickBot="1" x14ac:dyDescent="0.35">
      <c r="B593" s="301"/>
      <c r="C593" s="119">
        <f t="shared" si="611"/>
        <v>0</v>
      </c>
      <c r="D593" s="113" t="s">
        <v>119</v>
      </c>
      <c r="E593" s="76" t="s">
        <v>52</v>
      </c>
      <c r="F593" s="733">
        <f>$F$12*$E$584</f>
        <v>0</v>
      </c>
      <c r="G593" s="733">
        <f>$G$12*$E$584</f>
        <v>0</v>
      </c>
      <c r="H593" s="733">
        <f>$H$12*$E$584</f>
        <v>0</v>
      </c>
      <c r="I593" s="733">
        <f>$I$12*$E$584</f>
        <v>0</v>
      </c>
      <c r="J593" s="733">
        <f>$J$12*$E$584</f>
        <v>0</v>
      </c>
      <c r="K593" s="733">
        <f>K$12*$E$584</f>
        <v>0</v>
      </c>
      <c r="L593" s="733">
        <f t="shared" ref="L593:O593" si="618">L$12*$E$584</f>
        <v>0</v>
      </c>
      <c r="M593" s="733">
        <f t="shared" si="618"/>
        <v>0</v>
      </c>
      <c r="N593" s="733">
        <f t="shared" si="618"/>
        <v>0</v>
      </c>
      <c r="O593" s="733">
        <f t="shared" si="618"/>
        <v>0</v>
      </c>
      <c r="P593" s="733">
        <f>$P$12*$E$584</f>
        <v>0</v>
      </c>
      <c r="Q593" s="734">
        <f t="shared" si="613"/>
        <v>0</v>
      </c>
      <c r="R593" s="733">
        <f>$R$12*$E$584</f>
        <v>0</v>
      </c>
      <c r="S593" s="733">
        <f>$S$12*$E$584</f>
        <v>0</v>
      </c>
      <c r="T593" s="733">
        <f>$T$12*$E$584</f>
        <v>0</v>
      </c>
      <c r="U593" s="733">
        <f>$U$12*$E$584</f>
        <v>0</v>
      </c>
    </row>
    <row r="594" spans="2:21" s="119" customFormat="1" ht="19.5" hidden="1" thickBot="1" x14ac:dyDescent="0.35">
      <c r="B594" s="301"/>
      <c r="C594" s="119">
        <f t="shared" si="611"/>
        <v>0</v>
      </c>
      <c r="D594" s="113" t="s">
        <v>120</v>
      </c>
      <c r="E594" s="76" t="s">
        <v>51</v>
      </c>
      <c r="F594" s="733">
        <f>$F$13*$E$584</f>
        <v>0</v>
      </c>
      <c r="G594" s="733">
        <f>$G$13*$E$584</f>
        <v>0</v>
      </c>
      <c r="H594" s="733">
        <f>$H$13*$E$584</f>
        <v>0</v>
      </c>
      <c r="I594" s="733">
        <f>$I$13*$E$584</f>
        <v>0</v>
      </c>
      <c r="J594" s="733">
        <f>$J$13*$E$584</f>
        <v>0</v>
      </c>
      <c r="K594" s="733">
        <f>K$13*$E$584</f>
        <v>0</v>
      </c>
      <c r="L594" s="733">
        <f t="shared" ref="L594:O594" si="619">L$13*$E$584</f>
        <v>0</v>
      </c>
      <c r="M594" s="733">
        <f t="shared" si="619"/>
        <v>0</v>
      </c>
      <c r="N594" s="733">
        <f t="shared" si="619"/>
        <v>0</v>
      </c>
      <c r="O594" s="733">
        <f t="shared" si="619"/>
        <v>0</v>
      </c>
      <c r="P594" s="733">
        <f>$P$13*$E$584</f>
        <v>0</v>
      </c>
      <c r="Q594" s="734">
        <f t="shared" si="613"/>
        <v>0</v>
      </c>
      <c r="R594" s="733">
        <f>$R$13*$E$584</f>
        <v>0</v>
      </c>
      <c r="S594" s="733">
        <f>$S$13*$E$584</f>
        <v>0</v>
      </c>
      <c r="T594" s="733">
        <f>$T$13*$E$584</f>
        <v>0</v>
      </c>
      <c r="U594" s="733">
        <f>$U$13*$E$584</f>
        <v>0</v>
      </c>
    </row>
    <row r="595" spans="2:21" s="119" customFormat="1" ht="19.5" hidden="1" thickBot="1" x14ac:dyDescent="0.35">
      <c r="B595" s="301"/>
      <c r="C595" s="119">
        <f t="shared" si="611"/>
        <v>0</v>
      </c>
      <c r="D595" s="113" t="s">
        <v>121</v>
      </c>
      <c r="E595" s="76" t="s">
        <v>50</v>
      </c>
      <c r="F595" s="733">
        <f>$F$14*$E$584</f>
        <v>0</v>
      </c>
      <c r="G595" s="733">
        <f>$G$14*$E$584</f>
        <v>0</v>
      </c>
      <c r="H595" s="733">
        <f>$H$14*$E$584</f>
        <v>0</v>
      </c>
      <c r="I595" s="733">
        <f>$I$14*$E$584</f>
        <v>0</v>
      </c>
      <c r="J595" s="733">
        <f>$J$14*$E$584</f>
        <v>0</v>
      </c>
      <c r="K595" s="733">
        <f>K$14*$E$584</f>
        <v>0</v>
      </c>
      <c r="L595" s="733">
        <f t="shared" ref="L595:O595" si="620">L$14*$E$584</f>
        <v>0</v>
      </c>
      <c r="M595" s="733">
        <f t="shared" si="620"/>
        <v>0</v>
      </c>
      <c r="N595" s="733">
        <f t="shared" si="620"/>
        <v>0</v>
      </c>
      <c r="O595" s="733">
        <f t="shared" si="620"/>
        <v>0</v>
      </c>
      <c r="P595" s="733">
        <f>$P$14*$E$584</f>
        <v>0</v>
      </c>
      <c r="Q595" s="734">
        <f t="shared" si="613"/>
        <v>0</v>
      </c>
      <c r="R595" s="733">
        <f>$R$14*$E$584</f>
        <v>0</v>
      </c>
      <c r="S595" s="733">
        <f>$S$14*$E$584</f>
        <v>0</v>
      </c>
      <c r="T595" s="733">
        <f>$T$14*$E$584</f>
        <v>0</v>
      </c>
      <c r="U595" s="733">
        <f>$U$14*$E$584</f>
        <v>0</v>
      </c>
    </row>
    <row r="596" spans="2:21" s="119" customFormat="1" ht="19.5" hidden="1" thickBot="1" x14ac:dyDescent="0.35">
      <c r="B596" s="301"/>
      <c r="C596" s="119">
        <f t="shared" si="611"/>
        <v>0</v>
      </c>
      <c r="D596" s="113" t="s">
        <v>122</v>
      </c>
      <c r="E596" s="76" t="s">
        <v>49</v>
      </c>
      <c r="F596" s="733">
        <f>$F$15*$E$584</f>
        <v>0</v>
      </c>
      <c r="G596" s="733">
        <f>$G$15*$E$584</f>
        <v>0</v>
      </c>
      <c r="H596" s="733">
        <f>$H$15*$E$584</f>
        <v>0</v>
      </c>
      <c r="I596" s="733">
        <f>$I$15*$E$584</f>
        <v>0</v>
      </c>
      <c r="J596" s="733">
        <f>$J$15*$E$584</f>
        <v>0</v>
      </c>
      <c r="K596" s="733">
        <f>K$15*$E$584</f>
        <v>0</v>
      </c>
      <c r="L596" s="733">
        <f t="shared" ref="L596:O596" si="621">L$15*$E$584</f>
        <v>0</v>
      </c>
      <c r="M596" s="733">
        <f t="shared" si="621"/>
        <v>0</v>
      </c>
      <c r="N596" s="733">
        <f t="shared" si="621"/>
        <v>0</v>
      </c>
      <c r="O596" s="733">
        <f t="shared" si="621"/>
        <v>0</v>
      </c>
      <c r="P596" s="733">
        <f>$P$15*$E$584</f>
        <v>0</v>
      </c>
      <c r="Q596" s="734">
        <f t="shared" si="613"/>
        <v>0</v>
      </c>
      <c r="R596" s="733">
        <f>$R$15*$E$584</f>
        <v>0</v>
      </c>
      <c r="S596" s="733">
        <f>$S$15*$E$584</f>
        <v>0</v>
      </c>
      <c r="T596" s="733">
        <f>$T$15*$E$584</f>
        <v>0</v>
      </c>
      <c r="U596" s="733">
        <f>$U$15*$E$584</f>
        <v>0</v>
      </c>
    </row>
    <row r="597" spans="2:21" s="119" customFormat="1" ht="19.5" hidden="1" thickBot="1" x14ac:dyDescent="0.35">
      <c r="B597" s="301"/>
      <c r="C597" s="119">
        <f t="shared" si="611"/>
        <v>0</v>
      </c>
      <c r="D597" s="113" t="s">
        <v>123</v>
      </c>
      <c r="E597" s="76" t="s">
        <v>47</v>
      </c>
      <c r="F597" s="733">
        <f>$F$16*$E$584</f>
        <v>0</v>
      </c>
      <c r="G597" s="733">
        <f>$G$16*$E$584</f>
        <v>0</v>
      </c>
      <c r="H597" s="733">
        <f>$H$16*$E$584</f>
        <v>0</v>
      </c>
      <c r="I597" s="733">
        <f>$I$16*$E$584</f>
        <v>0</v>
      </c>
      <c r="J597" s="733">
        <f>$J$16*$E$584</f>
        <v>0</v>
      </c>
      <c r="K597" s="733">
        <f>K$16*$E$584</f>
        <v>0</v>
      </c>
      <c r="L597" s="733">
        <f t="shared" ref="L597:O597" si="622">L$16*$E$584</f>
        <v>0</v>
      </c>
      <c r="M597" s="733">
        <f t="shared" si="622"/>
        <v>0</v>
      </c>
      <c r="N597" s="733">
        <f t="shared" si="622"/>
        <v>0</v>
      </c>
      <c r="O597" s="733">
        <f t="shared" si="622"/>
        <v>0</v>
      </c>
      <c r="P597" s="733">
        <f>$P$16*$E$584</f>
        <v>0</v>
      </c>
      <c r="Q597" s="734">
        <f t="shared" si="613"/>
        <v>0</v>
      </c>
      <c r="R597" s="733">
        <f>$R$16*$E$584</f>
        <v>0</v>
      </c>
      <c r="S597" s="733">
        <f>$S$16*$E$584</f>
        <v>0</v>
      </c>
      <c r="T597" s="733">
        <f>$T$16*$E$584</f>
        <v>0</v>
      </c>
      <c r="U597" s="733">
        <f>$U$16*$E$584</f>
        <v>0</v>
      </c>
    </row>
    <row r="598" spans="2:21" s="119" customFormat="1" ht="19.5" hidden="1" thickBot="1" x14ac:dyDescent="0.35">
      <c r="B598" s="301"/>
      <c r="C598" s="119">
        <f t="shared" si="611"/>
        <v>0</v>
      </c>
      <c r="D598" s="114" t="s">
        <v>16</v>
      </c>
      <c r="E598" s="70" t="s">
        <v>77</v>
      </c>
      <c r="F598" s="733">
        <f>$F$17*$E$584</f>
        <v>0</v>
      </c>
      <c r="G598" s="733">
        <f>$G$17*$E$584</f>
        <v>0</v>
      </c>
      <c r="H598" s="733">
        <f>$H$17*$E$584</f>
        <v>0</v>
      </c>
      <c r="I598" s="733">
        <f>$I$17*$E$584</f>
        <v>0</v>
      </c>
      <c r="J598" s="733">
        <f>$J$17*$E$584</f>
        <v>0</v>
      </c>
      <c r="K598" s="733">
        <f>K$17*$E$584</f>
        <v>0</v>
      </c>
      <c r="L598" s="733">
        <f t="shared" ref="L598:O598" si="623">L$17*$E$584</f>
        <v>0</v>
      </c>
      <c r="M598" s="733">
        <f t="shared" si="623"/>
        <v>0</v>
      </c>
      <c r="N598" s="733">
        <f t="shared" si="623"/>
        <v>0</v>
      </c>
      <c r="O598" s="733">
        <f t="shared" si="623"/>
        <v>0</v>
      </c>
      <c r="P598" s="733">
        <f>$P$17*$E$584</f>
        <v>0</v>
      </c>
      <c r="Q598" s="734">
        <f t="shared" si="613"/>
        <v>0</v>
      </c>
      <c r="R598" s="733">
        <f>$R$17*$E$584</f>
        <v>0</v>
      </c>
      <c r="S598" s="733">
        <f>$S$17*$E$584</f>
        <v>0</v>
      </c>
      <c r="T598" s="733">
        <f ca="1">$T$17*$E$584</f>
        <v>0</v>
      </c>
      <c r="U598" s="733">
        <f ca="1">$U$17*$E$584</f>
        <v>0</v>
      </c>
    </row>
    <row r="599" spans="2:21" s="119" customFormat="1" ht="19.5" hidden="1" thickBot="1" x14ac:dyDescent="0.35">
      <c r="B599" s="301"/>
      <c r="C599" s="119">
        <f t="shared" si="611"/>
        <v>0</v>
      </c>
      <c r="D599" s="115" t="s">
        <v>124</v>
      </c>
      <c r="E599" s="116" t="s">
        <v>78</v>
      </c>
      <c r="F599" s="742">
        <f t="shared" ref="F599:U599" si="624">SUBTOTAL(9,F587:F598)</f>
        <v>0</v>
      </c>
      <c r="G599" s="742">
        <f>SUBTOTAL(9,G587:G598)</f>
        <v>0</v>
      </c>
      <c r="H599" s="742">
        <f>SUBTOTAL(9,H587:H598)</f>
        <v>0</v>
      </c>
      <c r="I599" s="742">
        <f>SUBTOTAL(9,I587:I598)</f>
        <v>0</v>
      </c>
      <c r="J599" s="742">
        <f>SUBTOTAL(9,J587:J598)</f>
        <v>0</v>
      </c>
      <c r="K599" s="742">
        <f>SUBTOTAL(9,K587:K598)</f>
        <v>0</v>
      </c>
      <c r="L599" s="742">
        <f t="shared" ref="L599:O599" si="625">SUBTOTAL(9,L587:L598)</f>
        <v>0</v>
      </c>
      <c r="M599" s="742">
        <f t="shared" si="625"/>
        <v>0</v>
      </c>
      <c r="N599" s="742">
        <f t="shared" si="625"/>
        <v>0</v>
      </c>
      <c r="O599" s="742">
        <f t="shared" si="625"/>
        <v>0</v>
      </c>
      <c r="P599" s="742">
        <f t="shared" si="624"/>
        <v>0</v>
      </c>
      <c r="Q599" s="743">
        <f>SUBTOTAL(9,Q587:Q598)</f>
        <v>0</v>
      </c>
      <c r="R599" s="742">
        <f t="shared" si="624"/>
        <v>0</v>
      </c>
      <c r="S599" s="742">
        <f t="shared" si="624"/>
        <v>0</v>
      </c>
      <c r="T599" s="742">
        <f t="shared" si="624"/>
        <v>0</v>
      </c>
      <c r="U599" s="742">
        <f t="shared" si="624"/>
        <v>0</v>
      </c>
    </row>
    <row r="600" spans="2:21" s="119" customFormat="1" ht="19.5" hidden="1" thickBot="1" x14ac:dyDescent="0.3">
      <c r="B600" s="340"/>
      <c r="D600" s="117"/>
      <c r="E600" s="117"/>
      <c r="F600" s="118"/>
      <c r="G600" s="118"/>
      <c r="I600" s="118"/>
      <c r="J600" s="118"/>
      <c r="K600" s="118"/>
      <c r="L600" s="118"/>
      <c r="O600" s="118"/>
      <c r="Q600" s="120"/>
      <c r="R600" s="117"/>
      <c r="S600" s="118"/>
      <c r="U600" s="118"/>
    </row>
    <row r="601" spans="2:21" s="119" customFormat="1" ht="75.75" hidden="1" thickBot="1" x14ac:dyDescent="0.3">
      <c r="B601" s="301"/>
      <c r="C601" s="119">
        <f>IF($E601&gt;0,1,0)</f>
        <v>0</v>
      </c>
      <c r="D601" s="96" t="str">
        <f>A38</f>
        <v>Ontario</v>
      </c>
      <c r="E601" s="166">
        <f>IFERROR(SUMIF(A:A,D601,B:B),0)</f>
        <v>0</v>
      </c>
      <c r="F601" s="98" t="s">
        <v>356</v>
      </c>
      <c r="G601" s="98" t="s">
        <v>373</v>
      </c>
      <c r="H601" s="98" t="s">
        <v>358</v>
      </c>
      <c r="I601" s="98" t="s">
        <v>109</v>
      </c>
      <c r="J601" s="98" t="s">
        <v>111</v>
      </c>
      <c r="K601" s="98" t="s">
        <v>469</v>
      </c>
      <c r="L601" s="98" t="s">
        <v>470</v>
      </c>
      <c r="M601" s="98" t="s">
        <v>357</v>
      </c>
      <c r="N601" s="509" t="s">
        <v>471</v>
      </c>
      <c r="O601" s="98" t="s">
        <v>472</v>
      </c>
      <c r="P601" s="98" t="s">
        <v>110</v>
      </c>
      <c r="Q601" s="99" t="s">
        <v>116</v>
      </c>
      <c r="R601" s="98" t="s">
        <v>112</v>
      </c>
      <c r="S601" s="98" t="s">
        <v>113</v>
      </c>
      <c r="T601" s="98" t="s">
        <v>114</v>
      </c>
      <c r="U601" s="98" t="s">
        <v>115</v>
      </c>
    </row>
    <row r="602" spans="2:21" s="119" customFormat="1" ht="19.5" hidden="1" thickBot="1" x14ac:dyDescent="0.3">
      <c r="B602" s="301"/>
      <c r="C602" s="119">
        <f>C601</f>
        <v>0</v>
      </c>
      <c r="D602" s="101"/>
      <c r="E602" s="102"/>
      <c r="F602" s="84" t="s">
        <v>57</v>
      </c>
      <c r="G602" s="84" t="s">
        <v>56</v>
      </c>
      <c r="H602" s="84" t="s">
        <v>55</v>
      </c>
      <c r="I602" s="84" t="s">
        <v>54</v>
      </c>
      <c r="J602" s="84" t="s">
        <v>53</v>
      </c>
      <c r="K602" s="84" t="s">
        <v>52</v>
      </c>
      <c r="L602" s="84" t="s">
        <v>51</v>
      </c>
      <c r="M602" s="84" t="s">
        <v>50</v>
      </c>
      <c r="N602" s="84" t="s">
        <v>49</v>
      </c>
      <c r="O602" s="84" t="s">
        <v>47</v>
      </c>
      <c r="P602" s="84" t="s">
        <v>77</v>
      </c>
      <c r="Q602" s="83" t="s">
        <v>78</v>
      </c>
      <c r="R602" s="84" t="s">
        <v>79</v>
      </c>
      <c r="S602" s="84" t="s">
        <v>81</v>
      </c>
      <c r="T602" s="84" t="s">
        <v>83</v>
      </c>
      <c r="U602" s="84" t="s">
        <v>85</v>
      </c>
    </row>
    <row r="603" spans="2:21" s="119" customFormat="1" ht="19.5" hidden="1" thickBot="1" x14ac:dyDescent="0.35">
      <c r="B603" s="301"/>
      <c r="C603" s="119">
        <f t="shared" ref="C603:C616" si="626">C602</f>
        <v>0</v>
      </c>
      <c r="D603" s="103" t="s">
        <v>26</v>
      </c>
      <c r="E603" s="104"/>
      <c r="F603" s="745"/>
      <c r="G603" s="745"/>
      <c r="H603" s="746"/>
      <c r="I603" s="745"/>
      <c r="J603" s="745"/>
      <c r="K603" s="745"/>
      <c r="L603" s="745"/>
      <c r="M603" s="746"/>
      <c r="N603" s="746"/>
      <c r="O603" s="745"/>
      <c r="P603" s="746"/>
      <c r="Q603" s="747"/>
      <c r="R603" s="748"/>
      <c r="S603" s="745"/>
      <c r="T603" s="746"/>
      <c r="U603" s="749"/>
    </row>
    <row r="604" spans="2:21" s="119" customFormat="1" ht="19.5" hidden="1" thickBot="1" x14ac:dyDescent="0.3">
      <c r="B604" s="301"/>
      <c r="C604" s="119">
        <f t="shared" si="626"/>
        <v>0</v>
      </c>
      <c r="D604" s="109" t="s">
        <v>93</v>
      </c>
      <c r="E604" s="76" t="s">
        <v>57</v>
      </c>
      <c r="F604" s="733">
        <f>$F$6*$E$601</f>
        <v>0</v>
      </c>
      <c r="G604" s="733">
        <f>$G$6*$E$601</f>
        <v>0</v>
      </c>
      <c r="H604" s="733">
        <f>$H$6*$E$601</f>
        <v>0</v>
      </c>
      <c r="I604" s="733">
        <f>$I$6*$E$601</f>
        <v>0</v>
      </c>
      <c r="J604" s="733">
        <f>$J$6*$E$601</f>
        <v>0</v>
      </c>
      <c r="K604" s="733">
        <f>K$6*$E$601</f>
        <v>0</v>
      </c>
      <c r="L604" s="733">
        <f t="shared" ref="L604:O604" si="627">L$6*$E$601</f>
        <v>0</v>
      </c>
      <c r="M604" s="733">
        <f t="shared" si="627"/>
        <v>0</v>
      </c>
      <c r="N604" s="733">
        <f t="shared" si="627"/>
        <v>0</v>
      </c>
      <c r="O604" s="733">
        <f t="shared" si="627"/>
        <v>0</v>
      </c>
      <c r="P604" s="733">
        <f>$P$6*$E$601</f>
        <v>0</v>
      </c>
      <c r="Q604" s="734">
        <f t="shared" ref="Q604:Q615" si="628">SUM(F604:P604)</f>
        <v>0</v>
      </c>
      <c r="R604" s="733">
        <f>$R$6*$E$601</f>
        <v>0</v>
      </c>
      <c r="S604" s="733">
        <f>$S$6*$E$601</f>
        <v>0</v>
      </c>
      <c r="T604" s="733">
        <f ca="1">$T$6*$E$601</f>
        <v>0</v>
      </c>
      <c r="U604" s="733">
        <f ca="1">$U$6*$E$601</f>
        <v>0</v>
      </c>
    </row>
    <row r="605" spans="2:21" s="119" customFormat="1" ht="19.5" hidden="1" thickBot="1" x14ac:dyDescent="0.3">
      <c r="B605" s="301"/>
      <c r="C605" s="119">
        <f t="shared" si="626"/>
        <v>0</v>
      </c>
      <c r="D605" s="110" t="s">
        <v>92</v>
      </c>
      <c r="E605" s="76" t="s">
        <v>56</v>
      </c>
      <c r="F605" s="733">
        <f>$F$7*$E$601</f>
        <v>0</v>
      </c>
      <c r="G605" s="733">
        <f>$G$7*$E$601</f>
        <v>0</v>
      </c>
      <c r="H605" s="733">
        <f>$H$7*$E$601</f>
        <v>0</v>
      </c>
      <c r="I605" s="733">
        <f>$I$7*$E$601</f>
        <v>0</v>
      </c>
      <c r="J605" s="733">
        <f>$J$7*$E$601</f>
        <v>0</v>
      </c>
      <c r="K605" s="733">
        <f>K$7*$E$601</f>
        <v>0</v>
      </c>
      <c r="L605" s="733">
        <f t="shared" ref="L605:O605" si="629">L$7*$E$601</f>
        <v>0</v>
      </c>
      <c r="M605" s="733">
        <f t="shared" si="629"/>
        <v>0</v>
      </c>
      <c r="N605" s="733">
        <f t="shared" si="629"/>
        <v>0</v>
      </c>
      <c r="O605" s="733">
        <f t="shared" si="629"/>
        <v>0</v>
      </c>
      <c r="P605" s="733">
        <f>$P$7*$E$601</f>
        <v>0</v>
      </c>
      <c r="Q605" s="734">
        <f t="shared" si="628"/>
        <v>0</v>
      </c>
      <c r="R605" s="733">
        <f>$R$7*$E$601</f>
        <v>0</v>
      </c>
      <c r="S605" s="733">
        <f>$S$7*$E$601</f>
        <v>0</v>
      </c>
      <c r="T605" s="733">
        <f>$T$7*$E$601</f>
        <v>0</v>
      </c>
      <c r="U605" s="733">
        <f>$U$7*$E$601</f>
        <v>0</v>
      </c>
    </row>
    <row r="606" spans="2:21" s="119" customFormat="1" ht="19.5" hidden="1" thickBot="1" x14ac:dyDescent="0.3">
      <c r="B606" s="301"/>
      <c r="C606" s="119">
        <f t="shared" si="626"/>
        <v>0</v>
      </c>
      <c r="D606" s="110" t="s">
        <v>91</v>
      </c>
      <c r="E606" s="76" t="s">
        <v>55</v>
      </c>
      <c r="F606" s="733">
        <f>$F$8*$E$601</f>
        <v>0</v>
      </c>
      <c r="G606" s="733">
        <f>$G$8*$E$601</f>
        <v>0</v>
      </c>
      <c r="H606" s="733">
        <f>$H$8*$E$601</f>
        <v>0</v>
      </c>
      <c r="I606" s="733">
        <f>$I$8*$E$601</f>
        <v>0</v>
      </c>
      <c r="J606" s="733">
        <f>$J$8*$E$601</f>
        <v>0</v>
      </c>
      <c r="K606" s="733">
        <f>K$8*$E$601</f>
        <v>0</v>
      </c>
      <c r="L606" s="733">
        <f t="shared" ref="L606:O606" si="630">L$8*$E$601</f>
        <v>0</v>
      </c>
      <c r="M606" s="733">
        <f t="shared" si="630"/>
        <v>0</v>
      </c>
      <c r="N606" s="733">
        <f t="shared" si="630"/>
        <v>0</v>
      </c>
      <c r="O606" s="733">
        <f t="shared" si="630"/>
        <v>0</v>
      </c>
      <c r="P606" s="733">
        <f>$P$8*$E$601</f>
        <v>0</v>
      </c>
      <c r="Q606" s="734">
        <f t="shared" si="628"/>
        <v>0</v>
      </c>
      <c r="R606" s="733">
        <f>$R$8*$E$601</f>
        <v>0</v>
      </c>
      <c r="S606" s="733">
        <f>$S$8*$E$601</f>
        <v>0</v>
      </c>
      <c r="T606" s="733">
        <f ca="1">$T$8*$E$601</f>
        <v>0</v>
      </c>
      <c r="U606" s="733">
        <f ca="1">$U$8*$E$601</f>
        <v>0</v>
      </c>
    </row>
    <row r="607" spans="2:21" s="119" customFormat="1" ht="19.5" hidden="1" thickBot="1" x14ac:dyDescent="0.3">
      <c r="B607" s="301"/>
      <c r="C607" s="119">
        <f t="shared" si="626"/>
        <v>0</v>
      </c>
      <c r="D607" s="111" t="s">
        <v>117</v>
      </c>
      <c r="E607" s="76" t="s">
        <v>54</v>
      </c>
      <c r="F607" s="733">
        <f>$F$9*$E$601</f>
        <v>0</v>
      </c>
      <c r="G607" s="733">
        <f>$G$9*$E$601</f>
        <v>0</v>
      </c>
      <c r="H607" s="733">
        <f>$H$9*$E$601</f>
        <v>0</v>
      </c>
      <c r="I607" s="733">
        <f>$I$9*$E$601</f>
        <v>0</v>
      </c>
      <c r="J607" s="733">
        <f>$J$9*$E$601</f>
        <v>0</v>
      </c>
      <c r="K607" s="733">
        <f>K$9*$E$601</f>
        <v>0</v>
      </c>
      <c r="L607" s="733">
        <f t="shared" ref="L607:O607" si="631">L$9*$E$601</f>
        <v>0</v>
      </c>
      <c r="M607" s="733">
        <f t="shared" si="631"/>
        <v>0</v>
      </c>
      <c r="N607" s="733">
        <f t="shared" si="631"/>
        <v>0</v>
      </c>
      <c r="O607" s="733">
        <f t="shared" si="631"/>
        <v>0</v>
      </c>
      <c r="P607" s="733">
        <f>$P$9*$E$601</f>
        <v>0</v>
      </c>
      <c r="Q607" s="734">
        <f t="shared" si="628"/>
        <v>0</v>
      </c>
      <c r="R607" s="733">
        <f>$R$9*$E$601</f>
        <v>0</v>
      </c>
      <c r="S607" s="733">
        <f>$S$9*$E$601</f>
        <v>0</v>
      </c>
      <c r="T607" s="733">
        <f>$T$9*$E$601</f>
        <v>0</v>
      </c>
      <c r="U607" s="733">
        <f>$U$9*$E$601</f>
        <v>0</v>
      </c>
    </row>
    <row r="608" spans="2:21" s="119" customFormat="1" ht="19.5" hidden="1" thickBot="1" x14ac:dyDescent="0.35">
      <c r="B608" s="301"/>
      <c r="C608" s="119">
        <f t="shared" si="626"/>
        <v>0</v>
      </c>
      <c r="D608" s="112" t="s">
        <v>31</v>
      </c>
      <c r="E608" s="76"/>
      <c r="F608" s="750"/>
      <c r="G608" s="735"/>
      <c r="H608" s="736"/>
      <c r="I608" s="735"/>
      <c r="J608" s="735"/>
      <c r="K608" s="735"/>
      <c r="L608" s="735"/>
      <c r="M608" s="735"/>
      <c r="N608" s="735"/>
      <c r="O608" s="735"/>
      <c r="P608" s="738"/>
      <c r="Q608" s="734">
        <f t="shared" si="628"/>
        <v>0</v>
      </c>
      <c r="R608" s="739"/>
      <c r="S608" s="735"/>
      <c r="T608" s="740"/>
      <c r="U608" s="741"/>
    </row>
    <row r="609" spans="2:21" s="119" customFormat="1" ht="19.5" hidden="1" thickBot="1" x14ac:dyDescent="0.35">
      <c r="B609" s="301"/>
      <c r="C609" s="119">
        <f t="shared" si="626"/>
        <v>0</v>
      </c>
      <c r="D609" s="113" t="s">
        <v>118</v>
      </c>
      <c r="E609" s="76" t="s">
        <v>53</v>
      </c>
      <c r="F609" s="733">
        <f>$F$11*$E$601</f>
        <v>0</v>
      </c>
      <c r="G609" s="733">
        <f>$G$11*$E$601</f>
        <v>0</v>
      </c>
      <c r="H609" s="733">
        <f>$H$11*$E$601</f>
        <v>0</v>
      </c>
      <c r="I609" s="733">
        <f>$I$11*$E$601</f>
        <v>0</v>
      </c>
      <c r="J609" s="733">
        <f>$J$11*$E$601</f>
        <v>0</v>
      </c>
      <c r="K609" s="733">
        <f>K$11*$E$601</f>
        <v>0</v>
      </c>
      <c r="L609" s="733">
        <f t="shared" ref="L609:O609" si="632">L$11*$E$601</f>
        <v>0</v>
      </c>
      <c r="M609" s="733">
        <f t="shared" si="632"/>
        <v>0</v>
      </c>
      <c r="N609" s="733">
        <f t="shared" si="632"/>
        <v>0</v>
      </c>
      <c r="O609" s="733">
        <f t="shared" si="632"/>
        <v>0</v>
      </c>
      <c r="P609" s="733">
        <f>$P$11*$E$601</f>
        <v>0</v>
      </c>
      <c r="Q609" s="734">
        <f t="shared" si="628"/>
        <v>0</v>
      </c>
      <c r="R609" s="733">
        <f>$R$11*$E$601</f>
        <v>0</v>
      </c>
      <c r="S609" s="733">
        <f>$S$11*$E$601</f>
        <v>0</v>
      </c>
      <c r="T609" s="733">
        <f>$T$11*$E$601</f>
        <v>0</v>
      </c>
      <c r="U609" s="733">
        <f>$U$11*$E$601</f>
        <v>0</v>
      </c>
    </row>
    <row r="610" spans="2:21" s="119" customFormat="1" ht="19.5" hidden="1" thickBot="1" x14ac:dyDescent="0.35">
      <c r="B610" s="301"/>
      <c r="C610" s="119">
        <f t="shared" si="626"/>
        <v>0</v>
      </c>
      <c r="D610" s="113" t="s">
        <v>119</v>
      </c>
      <c r="E610" s="76" t="s">
        <v>52</v>
      </c>
      <c r="F610" s="733">
        <f>$F$12*$E$601</f>
        <v>0</v>
      </c>
      <c r="G610" s="733">
        <f>$G$12*$E$601</f>
        <v>0</v>
      </c>
      <c r="H610" s="733">
        <f>$H$12*$E$601</f>
        <v>0</v>
      </c>
      <c r="I610" s="733">
        <f>$I$12*$E$601</f>
        <v>0</v>
      </c>
      <c r="J610" s="733">
        <f>$J$12*$E$601</f>
        <v>0</v>
      </c>
      <c r="K610" s="733">
        <f>K$12*$E$601</f>
        <v>0</v>
      </c>
      <c r="L610" s="733">
        <f t="shared" ref="L610:O610" si="633">L$12*$E$601</f>
        <v>0</v>
      </c>
      <c r="M610" s="733">
        <f t="shared" si="633"/>
        <v>0</v>
      </c>
      <c r="N610" s="733">
        <f t="shared" si="633"/>
        <v>0</v>
      </c>
      <c r="O610" s="733">
        <f t="shared" si="633"/>
        <v>0</v>
      </c>
      <c r="P610" s="733">
        <f>$P$12*$E$601</f>
        <v>0</v>
      </c>
      <c r="Q610" s="734">
        <f t="shared" si="628"/>
        <v>0</v>
      </c>
      <c r="R610" s="733">
        <f>$R$12*$E$601</f>
        <v>0</v>
      </c>
      <c r="S610" s="733">
        <f>$S$12*$E$601</f>
        <v>0</v>
      </c>
      <c r="T610" s="733">
        <f>$T$12*$E$601</f>
        <v>0</v>
      </c>
      <c r="U610" s="733">
        <f>$U$12*$E$601</f>
        <v>0</v>
      </c>
    </row>
    <row r="611" spans="2:21" s="119" customFormat="1" ht="19.5" hidden="1" thickBot="1" x14ac:dyDescent="0.35">
      <c r="B611" s="301"/>
      <c r="C611" s="119">
        <f t="shared" si="626"/>
        <v>0</v>
      </c>
      <c r="D611" s="113" t="s">
        <v>120</v>
      </c>
      <c r="E611" s="76" t="s">
        <v>51</v>
      </c>
      <c r="F611" s="733">
        <f>$F$13*$E$601</f>
        <v>0</v>
      </c>
      <c r="G611" s="733">
        <f>$G$13*$E$601</f>
        <v>0</v>
      </c>
      <c r="H611" s="733">
        <f>$H$13*$E$601</f>
        <v>0</v>
      </c>
      <c r="I611" s="733">
        <f>$I$13*$E$601</f>
        <v>0</v>
      </c>
      <c r="J611" s="733">
        <f>$J$13*$E$601</f>
        <v>0</v>
      </c>
      <c r="K611" s="733">
        <f>K$13*$E$601</f>
        <v>0</v>
      </c>
      <c r="L611" s="733">
        <f t="shared" ref="L611:O611" si="634">L$13*$E$601</f>
        <v>0</v>
      </c>
      <c r="M611" s="733">
        <f t="shared" si="634"/>
        <v>0</v>
      </c>
      <c r="N611" s="733">
        <f t="shared" si="634"/>
        <v>0</v>
      </c>
      <c r="O611" s="733">
        <f t="shared" si="634"/>
        <v>0</v>
      </c>
      <c r="P611" s="733">
        <f>$P$13*$E$601</f>
        <v>0</v>
      </c>
      <c r="Q611" s="734">
        <f t="shared" si="628"/>
        <v>0</v>
      </c>
      <c r="R611" s="733">
        <f>$R$13*$E$601</f>
        <v>0</v>
      </c>
      <c r="S611" s="733">
        <f>$S$13*$E$601</f>
        <v>0</v>
      </c>
      <c r="T611" s="733">
        <f>$T$13*$E$601</f>
        <v>0</v>
      </c>
      <c r="U611" s="733">
        <f>$U$13*$E$601</f>
        <v>0</v>
      </c>
    </row>
    <row r="612" spans="2:21" s="119" customFormat="1" ht="19.5" hidden="1" thickBot="1" x14ac:dyDescent="0.35">
      <c r="B612" s="301"/>
      <c r="C612" s="119">
        <f t="shared" si="626"/>
        <v>0</v>
      </c>
      <c r="D612" s="113" t="s">
        <v>121</v>
      </c>
      <c r="E612" s="76" t="s">
        <v>50</v>
      </c>
      <c r="F612" s="733">
        <f>$F$14*$E$601</f>
        <v>0</v>
      </c>
      <c r="G612" s="733">
        <f>$G$14*$E$601</f>
        <v>0</v>
      </c>
      <c r="H612" s="733">
        <f>$H$14*$E$601</f>
        <v>0</v>
      </c>
      <c r="I612" s="733">
        <f>$I$14*$E$601</f>
        <v>0</v>
      </c>
      <c r="J612" s="733">
        <f>$J$14*$E$601</f>
        <v>0</v>
      </c>
      <c r="K612" s="733">
        <f>K$14*$E$601</f>
        <v>0</v>
      </c>
      <c r="L612" s="733">
        <f t="shared" ref="L612:O612" si="635">L$14*$E$601</f>
        <v>0</v>
      </c>
      <c r="M612" s="733">
        <f t="shared" si="635"/>
        <v>0</v>
      </c>
      <c r="N612" s="733">
        <f t="shared" si="635"/>
        <v>0</v>
      </c>
      <c r="O612" s="733">
        <f t="shared" si="635"/>
        <v>0</v>
      </c>
      <c r="P612" s="733">
        <f>$P$14*$E$601</f>
        <v>0</v>
      </c>
      <c r="Q612" s="734">
        <f t="shared" si="628"/>
        <v>0</v>
      </c>
      <c r="R612" s="733">
        <f>$R$14*$E$601</f>
        <v>0</v>
      </c>
      <c r="S612" s="733">
        <f>$S$14*$E$601</f>
        <v>0</v>
      </c>
      <c r="T612" s="733">
        <f>$T$14*$E$601</f>
        <v>0</v>
      </c>
      <c r="U612" s="733">
        <f>$U$14*$E$601</f>
        <v>0</v>
      </c>
    </row>
    <row r="613" spans="2:21" s="119" customFormat="1" ht="19.5" hidden="1" thickBot="1" x14ac:dyDescent="0.35">
      <c r="B613" s="301"/>
      <c r="C613" s="119">
        <f t="shared" si="626"/>
        <v>0</v>
      </c>
      <c r="D613" s="113" t="s">
        <v>122</v>
      </c>
      <c r="E613" s="76" t="s">
        <v>49</v>
      </c>
      <c r="F613" s="733">
        <f>$F$15*$E$601</f>
        <v>0</v>
      </c>
      <c r="G613" s="733">
        <f>$G$15*$E$601</f>
        <v>0</v>
      </c>
      <c r="H613" s="733">
        <f>$H$15*$E$601</f>
        <v>0</v>
      </c>
      <c r="I613" s="733">
        <f>$I$15*$E$601</f>
        <v>0</v>
      </c>
      <c r="J613" s="733">
        <f>$J$15*$E$601</f>
        <v>0</v>
      </c>
      <c r="K613" s="733">
        <f>K$15*$E$601</f>
        <v>0</v>
      </c>
      <c r="L613" s="733">
        <f t="shared" ref="L613:O613" si="636">L$15*$E$601</f>
        <v>0</v>
      </c>
      <c r="M613" s="733">
        <f t="shared" si="636"/>
        <v>0</v>
      </c>
      <c r="N613" s="733">
        <f t="shared" si="636"/>
        <v>0</v>
      </c>
      <c r="O613" s="733">
        <f t="shared" si="636"/>
        <v>0</v>
      </c>
      <c r="P613" s="733">
        <f>$P$15*$E$601</f>
        <v>0</v>
      </c>
      <c r="Q613" s="734">
        <f t="shared" si="628"/>
        <v>0</v>
      </c>
      <c r="R613" s="733">
        <f>$R$15*$E$601</f>
        <v>0</v>
      </c>
      <c r="S613" s="733">
        <f>$S$15*$E$601</f>
        <v>0</v>
      </c>
      <c r="T613" s="733">
        <f>$T$15*$E$601</f>
        <v>0</v>
      </c>
      <c r="U613" s="733">
        <f>$U$15*$E$601</f>
        <v>0</v>
      </c>
    </row>
    <row r="614" spans="2:21" s="119" customFormat="1" ht="19.5" hidden="1" thickBot="1" x14ac:dyDescent="0.35">
      <c r="B614" s="301"/>
      <c r="C614" s="119">
        <f t="shared" si="626"/>
        <v>0</v>
      </c>
      <c r="D614" s="113" t="s">
        <v>123</v>
      </c>
      <c r="E614" s="76" t="s">
        <v>47</v>
      </c>
      <c r="F614" s="733">
        <f>$F$16*$E$601</f>
        <v>0</v>
      </c>
      <c r="G614" s="733">
        <f>$G$16*$E$601</f>
        <v>0</v>
      </c>
      <c r="H614" s="733">
        <f>$H$16*$E$601</f>
        <v>0</v>
      </c>
      <c r="I614" s="733">
        <f>$I$16*$E$601</f>
        <v>0</v>
      </c>
      <c r="J614" s="733">
        <f>$J$16*$E$601</f>
        <v>0</v>
      </c>
      <c r="K614" s="733">
        <f>K$16*$E$601</f>
        <v>0</v>
      </c>
      <c r="L614" s="733">
        <f t="shared" ref="L614:O614" si="637">L$16*$E$601</f>
        <v>0</v>
      </c>
      <c r="M614" s="733">
        <f t="shared" si="637"/>
        <v>0</v>
      </c>
      <c r="N614" s="733">
        <f t="shared" si="637"/>
        <v>0</v>
      </c>
      <c r="O614" s="733">
        <f t="shared" si="637"/>
        <v>0</v>
      </c>
      <c r="P614" s="733">
        <f>$P$16*$E$601</f>
        <v>0</v>
      </c>
      <c r="Q614" s="734">
        <f t="shared" si="628"/>
        <v>0</v>
      </c>
      <c r="R614" s="733">
        <f>$R$16*$E$601</f>
        <v>0</v>
      </c>
      <c r="S614" s="733">
        <f>$S$16*$E$601</f>
        <v>0</v>
      </c>
      <c r="T614" s="733">
        <f>$T$16*$E$601</f>
        <v>0</v>
      </c>
      <c r="U614" s="733">
        <f>$U$16*$E$601</f>
        <v>0</v>
      </c>
    </row>
    <row r="615" spans="2:21" s="119" customFormat="1" ht="19.5" hidden="1" thickBot="1" x14ac:dyDescent="0.35">
      <c r="B615" s="301"/>
      <c r="C615" s="119">
        <f t="shared" si="626"/>
        <v>0</v>
      </c>
      <c r="D615" s="114" t="s">
        <v>16</v>
      </c>
      <c r="E615" s="70" t="s">
        <v>77</v>
      </c>
      <c r="F615" s="733">
        <f>$F$17*$E$601</f>
        <v>0</v>
      </c>
      <c r="G615" s="733">
        <f>$G$17*$E$601</f>
        <v>0</v>
      </c>
      <c r="H615" s="733">
        <f>$H$17*$E$601</f>
        <v>0</v>
      </c>
      <c r="I615" s="733">
        <f>$I$17*$E$601</f>
        <v>0</v>
      </c>
      <c r="J615" s="733">
        <f>$J$17*$E$601</f>
        <v>0</v>
      </c>
      <c r="K615" s="733">
        <f>K$17*$E$601</f>
        <v>0</v>
      </c>
      <c r="L615" s="733">
        <f t="shared" ref="L615:O615" si="638">L$17*$E$601</f>
        <v>0</v>
      </c>
      <c r="M615" s="733">
        <f t="shared" si="638"/>
        <v>0</v>
      </c>
      <c r="N615" s="733">
        <f t="shared" si="638"/>
        <v>0</v>
      </c>
      <c r="O615" s="733">
        <f t="shared" si="638"/>
        <v>0</v>
      </c>
      <c r="P615" s="733">
        <f>$P$17*$E$601</f>
        <v>0</v>
      </c>
      <c r="Q615" s="734">
        <f t="shared" si="628"/>
        <v>0</v>
      </c>
      <c r="R615" s="733">
        <f>$R$17*$E$601</f>
        <v>0</v>
      </c>
      <c r="S615" s="733">
        <f>$S$17*$E$601</f>
        <v>0</v>
      </c>
      <c r="T615" s="733">
        <f ca="1">$T$17*$E$601</f>
        <v>0</v>
      </c>
      <c r="U615" s="733">
        <f ca="1">$U$17*$E$601</f>
        <v>0</v>
      </c>
    </row>
    <row r="616" spans="2:21" s="119" customFormat="1" ht="19.5" hidden="1" thickBot="1" x14ac:dyDescent="0.35">
      <c r="B616" s="301"/>
      <c r="C616" s="119">
        <f t="shared" si="626"/>
        <v>0</v>
      </c>
      <c r="D616" s="115" t="s">
        <v>124</v>
      </c>
      <c r="E616" s="116" t="s">
        <v>78</v>
      </c>
      <c r="F616" s="742">
        <f t="shared" ref="F616:U616" si="639">SUBTOTAL(9,F604:F615)</f>
        <v>0</v>
      </c>
      <c r="G616" s="742">
        <f>SUBTOTAL(9,G604:G615)</f>
        <v>0</v>
      </c>
      <c r="H616" s="742">
        <f>SUBTOTAL(9,H604:H615)</f>
        <v>0</v>
      </c>
      <c r="I616" s="742">
        <f>SUBTOTAL(9,I604:I615)</f>
        <v>0</v>
      </c>
      <c r="J616" s="742">
        <f>SUBTOTAL(9,J604:J615)</f>
        <v>0</v>
      </c>
      <c r="K616" s="742">
        <f>SUBTOTAL(9,K604:K615)</f>
        <v>0</v>
      </c>
      <c r="L616" s="742">
        <f t="shared" ref="L616:O616" si="640">SUBTOTAL(9,L604:L615)</f>
        <v>0</v>
      </c>
      <c r="M616" s="742">
        <f t="shared" si="640"/>
        <v>0</v>
      </c>
      <c r="N616" s="742">
        <f t="shared" si="640"/>
        <v>0</v>
      </c>
      <c r="O616" s="742">
        <f t="shared" si="640"/>
        <v>0</v>
      </c>
      <c r="P616" s="742">
        <f t="shared" si="639"/>
        <v>0</v>
      </c>
      <c r="Q616" s="743">
        <f>SUBTOTAL(9,Q604:Q615)</f>
        <v>0</v>
      </c>
      <c r="R616" s="742">
        <f t="shared" si="639"/>
        <v>0</v>
      </c>
      <c r="S616" s="742">
        <f t="shared" si="639"/>
        <v>0</v>
      </c>
      <c r="T616" s="742">
        <f t="shared" si="639"/>
        <v>0</v>
      </c>
      <c r="U616" s="742">
        <f t="shared" si="639"/>
        <v>0</v>
      </c>
    </row>
    <row r="617" spans="2:21" s="119" customFormat="1" ht="19.5" hidden="1" thickBot="1" x14ac:dyDescent="0.3">
      <c r="B617" s="340"/>
      <c r="D617" s="117"/>
      <c r="E617" s="117"/>
      <c r="F617" s="118"/>
      <c r="G617" s="118"/>
      <c r="I617" s="118"/>
      <c r="J617" s="118"/>
      <c r="K617" s="118"/>
      <c r="L617" s="118"/>
      <c r="O617" s="118"/>
      <c r="Q617" s="120"/>
      <c r="R617" s="117"/>
      <c r="S617" s="118"/>
      <c r="U617" s="118"/>
    </row>
    <row r="618" spans="2:21" ht="75" x14ac:dyDescent="0.25">
      <c r="B618" s="790"/>
      <c r="C618" s="117">
        <f>IF($E618&gt;0,1,0)</f>
        <v>1</v>
      </c>
      <c r="D618" s="96" t="str">
        <f>A39</f>
        <v>Orange</v>
      </c>
      <c r="E618" s="166">
        <f>IFERROR(SUMIF(A:A,D618,B:B),0)</f>
        <v>1.886556675621223E-6</v>
      </c>
      <c r="F618" s="98" t="s">
        <v>356</v>
      </c>
      <c r="G618" s="98" t="s">
        <v>373</v>
      </c>
      <c r="H618" s="98" t="s">
        <v>358</v>
      </c>
      <c r="I618" s="98" t="s">
        <v>109</v>
      </c>
      <c r="J618" s="98" t="s">
        <v>111</v>
      </c>
      <c r="K618" s="98" t="s">
        <v>469</v>
      </c>
      <c r="L618" s="98" t="s">
        <v>470</v>
      </c>
      <c r="M618" s="98" t="s">
        <v>357</v>
      </c>
      <c r="N618" s="509" t="s">
        <v>471</v>
      </c>
      <c r="O618" s="98" t="s">
        <v>472</v>
      </c>
      <c r="P618" s="98" t="s">
        <v>110</v>
      </c>
      <c r="Q618" s="99" t="s">
        <v>116</v>
      </c>
      <c r="R618" s="98" t="s">
        <v>112</v>
      </c>
      <c r="S618" s="98" t="s">
        <v>113</v>
      </c>
      <c r="T618" s="98" t="s">
        <v>114</v>
      </c>
      <c r="U618" s="98" t="s">
        <v>115</v>
      </c>
    </row>
    <row r="619" spans="2:21" ht="18.75" x14ac:dyDescent="0.25">
      <c r="B619" s="790"/>
      <c r="C619" s="117">
        <f>C618</f>
        <v>1</v>
      </c>
      <c r="D619" s="101"/>
      <c r="E619" s="102"/>
      <c r="F619" s="84" t="s">
        <v>57</v>
      </c>
      <c r="G619" s="84" t="s">
        <v>56</v>
      </c>
      <c r="H619" s="84" t="s">
        <v>55</v>
      </c>
      <c r="I619" s="84" t="s">
        <v>54</v>
      </c>
      <c r="J619" s="84" t="s">
        <v>53</v>
      </c>
      <c r="K619" s="84" t="s">
        <v>52</v>
      </c>
      <c r="L619" s="84" t="s">
        <v>51</v>
      </c>
      <c r="M619" s="84" t="s">
        <v>50</v>
      </c>
      <c r="N619" s="84" t="s">
        <v>49</v>
      </c>
      <c r="O619" s="84" t="s">
        <v>47</v>
      </c>
      <c r="P619" s="84" t="s">
        <v>77</v>
      </c>
      <c r="Q619" s="83" t="s">
        <v>78</v>
      </c>
      <c r="R619" s="84" t="s">
        <v>79</v>
      </c>
      <c r="S619" s="84" t="s">
        <v>81</v>
      </c>
      <c r="T619" s="84" t="s">
        <v>83</v>
      </c>
      <c r="U619" s="84" t="s">
        <v>85</v>
      </c>
    </row>
    <row r="620" spans="2:21" ht="18.75" x14ac:dyDescent="0.25">
      <c r="B620" s="790"/>
      <c r="C620" s="117">
        <f t="shared" ref="C620:C633" si="641">C619</f>
        <v>1</v>
      </c>
      <c r="D620" s="103" t="s">
        <v>26</v>
      </c>
      <c r="E620" s="104"/>
      <c r="F620" s="745"/>
      <c r="G620" s="745"/>
      <c r="H620" s="784"/>
      <c r="I620" s="745"/>
      <c r="J620" s="745"/>
      <c r="K620" s="745"/>
      <c r="L620" s="745"/>
      <c r="M620" s="784"/>
      <c r="N620" s="784"/>
      <c r="O620" s="745"/>
      <c r="P620" s="784"/>
      <c r="Q620" s="747"/>
      <c r="R620" s="748"/>
      <c r="S620" s="745"/>
      <c r="T620" s="784"/>
      <c r="U620" s="749"/>
    </row>
    <row r="621" spans="2:21" ht="18.75" x14ac:dyDescent="0.25">
      <c r="B621" s="790"/>
      <c r="C621" s="117">
        <f t="shared" si="641"/>
        <v>1</v>
      </c>
      <c r="D621" s="763" t="s">
        <v>93</v>
      </c>
      <c r="E621" s="84" t="s">
        <v>57</v>
      </c>
      <c r="F621" s="733">
        <f>$F$6*$E$618</f>
        <v>238.14679907479663</v>
      </c>
      <c r="G621" s="733">
        <f>$G$6*$E$618</f>
        <v>16.494251211730862</v>
      </c>
      <c r="H621" s="733">
        <f>$H$6*$E$618</f>
        <v>3.6981906394268252E-2</v>
      </c>
      <c r="I621" s="733">
        <f>$I$6*$E$618</f>
        <v>5.9251108904538521</v>
      </c>
      <c r="J621" s="733">
        <f>$J$6*$E$618</f>
        <v>4.3227646949065042</v>
      </c>
      <c r="K621" s="733">
        <f>K$6*$E$618</f>
        <v>0.23256265187342712</v>
      </c>
      <c r="L621" s="733">
        <f>L$6*$E$618</f>
        <v>0</v>
      </c>
      <c r="M621" s="733">
        <f t="shared" ref="M621:P621" si="642">M$6*$E$618</f>
        <v>0.16893209482983754</v>
      </c>
      <c r="N621" s="733">
        <f t="shared" si="642"/>
        <v>0</v>
      </c>
      <c r="O621" s="733">
        <f t="shared" si="642"/>
        <v>1.1033633496478563</v>
      </c>
      <c r="P621" s="733">
        <f t="shared" si="642"/>
        <v>0</v>
      </c>
      <c r="Q621" s="734">
        <f t="shared" ref="Q621:Q632" si="643">SUM(F621:P621)</f>
        <v>266.43076587463321</v>
      </c>
      <c r="R621" s="733">
        <f>$R$6*$E$618</f>
        <v>0</v>
      </c>
      <c r="S621" s="733">
        <f>$S$6*$E$618</f>
        <v>20.347119199208798</v>
      </c>
      <c r="T621" s="733">
        <f ca="1">$T$6*$E$618</f>
        <v>8.3882129890567754</v>
      </c>
      <c r="U621" s="733">
        <f ca="1">$U$6*$E$618</f>
        <v>6.2831506766148291</v>
      </c>
    </row>
    <row r="622" spans="2:21" ht="18.75" x14ac:dyDescent="0.25">
      <c r="B622" s="790"/>
      <c r="C622" s="117">
        <f t="shared" si="641"/>
        <v>1</v>
      </c>
      <c r="D622" s="765" t="s">
        <v>92</v>
      </c>
      <c r="E622" s="84" t="s">
        <v>56</v>
      </c>
      <c r="F622" s="733">
        <f>$F$7*$E$618</f>
        <v>0</v>
      </c>
      <c r="G622" s="733">
        <f>$G$7*$E$618</f>
        <v>0</v>
      </c>
      <c r="H622" s="733">
        <f>$H$7*$E$618</f>
        <v>0</v>
      </c>
      <c r="I622" s="733">
        <f>$I$7*$E$618</f>
        <v>0</v>
      </c>
      <c r="J622" s="733">
        <f>$J$7*$E$618</f>
        <v>0</v>
      </c>
      <c r="K622" s="733">
        <f>K$7*$E$618</f>
        <v>0</v>
      </c>
      <c r="L622" s="733">
        <f>L$7*$E$618</f>
        <v>0</v>
      </c>
      <c r="M622" s="733">
        <f t="shared" ref="M622:P622" si="644">M$7*$E$618</f>
        <v>0</v>
      </c>
      <c r="N622" s="733">
        <f t="shared" si="644"/>
        <v>0</v>
      </c>
      <c r="O622" s="733">
        <f t="shared" si="644"/>
        <v>0</v>
      </c>
      <c r="P622" s="733">
        <f t="shared" si="644"/>
        <v>0</v>
      </c>
      <c r="Q622" s="734">
        <f t="shared" si="643"/>
        <v>0</v>
      </c>
      <c r="R622" s="733">
        <f>$R$7*$E$618</f>
        <v>0</v>
      </c>
      <c r="S622" s="733">
        <f>$S$7*$E$618</f>
        <v>0</v>
      </c>
      <c r="T622" s="733">
        <f>$T$7*$E$618</f>
        <v>0</v>
      </c>
      <c r="U622" s="733">
        <f>$U$7*$E$618</f>
        <v>0</v>
      </c>
    </row>
    <row r="623" spans="2:21" ht="18.75" x14ac:dyDescent="0.25">
      <c r="B623" s="790"/>
      <c r="C623" s="117">
        <f t="shared" si="641"/>
        <v>1</v>
      </c>
      <c r="D623" s="765" t="s">
        <v>91</v>
      </c>
      <c r="E623" s="84" t="s">
        <v>55</v>
      </c>
      <c r="F623" s="733">
        <f>$F$8*$E$618</f>
        <v>2.1197162151612501</v>
      </c>
      <c r="G623" s="733">
        <f>$G$8*$E$618</f>
        <v>0</v>
      </c>
      <c r="H623" s="733">
        <f>$H$8*$E$618</f>
        <v>0</v>
      </c>
      <c r="I623" s="733">
        <f>$I$8*$E$618</f>
        <v>3.5420101584788463E-2</v>
      </c>
      <c r="J623" s="733">
        <f>$J$8*$E$618</f>
        <v>0</v>
      </c>
      <c r="K623" s="733">
        <f>K$8*$E$618</f>
        <v>0</v>
      </c>
      <c r="L623" s="733">
        <f>L$8*$E$618</f>
        <v>0</v>
      </c>
      <c r="M623" s="733">
        <f t="shared" ref="M623:P623" si="645">M$8*$E$618</f>
        <v>0</v>
      </c>
      <c r="N623" s="733">
        <f t="shared" si="645"/>
        <v>0</v>
      </c>
      <c r="O623" s="733">
        <f t="shared" si="645"/>
        <v>6.3614691101947646E-2</v>
      </c>
      <c r="P623" s="733">
        <f t="shared" si="645"/>
        <v>0</v>
      </c>
      <c r="Q623" s="734">
        <f t="shared" si="643"/>
        <v>2.218751007847986</v>
      </c>
      <c r="R623" s="733">
        <f>$R$8*$E$618</f>
        <v>0</v>
      </c>
      <c r="S623" s="733">
        <f>$S$8*$E$618</f>
        <v>6.4051957208223126E-2</v>
      </c>
      <c r="T623" s="733">
        <f ca="1">$T$8*$E$618</f>
        <v>2.621067668468333E-2</v>
      </c>
      <c r="U623" s="733">
        <f ca="1">$U$8*$E$618</f>
        <v>2.6147596751058956E-3</v>
      </c>
    </row>
    <row r="624" spans="2:21" ht="18.75" x14ac:dyDescent="0.25">
      <c r="B624" s="790"/>
      <c r="C624" s="117">
        <f t="shared" si="641"/>
        <v>1</v>
      </c>
      <c r="D624" s="766" t="s">
        <v>117</v>
      </c>
      <c r="E624" s="84" t="s">
        <v>54</v>
      </c>
      <c r="F624" s="733">
        <f>$F$9*$E$618</f>
        <v>0</v>
      </c>
      <c r="G624" s="733">
        <f>$G$9*$E$618</f>
        <v>0</v>
      </c>
      <c r="H624" s="733">
        <f>$H$9*$E$618</f>
        <v>0</v>
      </c>
      <c r="I624" s="733">
        <f>$I$9*$E$618</f>
        <v>0</v>
      </c>
      <c r="J624" s="733">
        <f>$J$9*$E$618</f>
        <v>0</v>
      </c>
      <c r="K624" s="733">
        <f>K$9*$E$618</f>
        <v>0</v>
      </c>
      <c r="L624" s="733">
        <f>L$9*$E$618</f>
        <v>0</v>
      </c>
      <c r="M624" s="733">
        <f t="shared" ref="M624:P624" si="646">M$9*$E$618</f>
        <v>0</v>
      </c>
      <c r="N624" s="733">
        <f t="shared" si="646"/>
        <v>0</v>
      </c>
      <c r="O624" s="733">
        <f t="shared" si="646"/>
        <v>0</v>
      </c>
      <c r="P624" s="733">
        <f t="shared" si="646"/>
        <v>0</v>
      </c>
      <c r="Q624" s="734">
        <f t="shared" si="643"/>
        <v>0</v>
      </c>
      <c r="R624" s="733">
        <f>$R$9*$E$618</f>
        <v>0</v>
      </c>
      <c r="S624" s="733">
        <f>$S$9*$E$618</f>
        <v>0</v>
      </c>
      <c r="T624" s="733">
        <f>$T$9*$E$618</f>
        <v>0</v>
      </c>
      <c r="U624" s="733">
        <f>$U$9*$E$618</f>
        <v>0</v>
      </c>
    </row>
    <row r="625" spans="2:21" ht="18.75" x14ac:dyDescent="0.25">
      <c r="B625" s="790"/>
      <c r="C625" s="117">
        <f t="shared" si="641"/>
        <v>1</v>
      </c>
      <c r="D625" s="112" t="s">
        <v>31</v>
      </c>
      <c r="E625" s="84"/>
      <c r="F625" s="767"/>
      <c r="G625" s="768"/>
      <c r="H625" s="769"/>
      <c r="I625" s="768"/>
      <c r="J625" s="768"/>
      <c r="K625" s="768"/>
      <c r="L625" s="768"/>
      <c r="M625" s="768"/>
      <c r="N625" s="768"/>
      <c r="O625" s="768"/>
      <c r="P625" s="768"/>
      <c r="Q625" s="734">
        <f t="shared" si="643"/>
        <v>0</v>
      </c>
      <c r="R625" s="772"/>
      <c r="S625" s="768"/>
      <c r="T625" s="773"/>
      <c r="U625" s="774"/>
    </row>
    <row r="626" spans="2:21" ht="18.75" x14ac:dyDescent="0.25">
      <c r="B626" s="790"/>
      <c r="C626" s="117">
        <f t="shared" si="641"/>
        <v>1</v>
      </c>
      <c r="D626" s="775" t="s">
        <v>118</v>
      </c>
      <c r="E626" s="84" t="s">
        <v>53</v>
      </c>
      <c r="F626" s="733">
        <f>$F$11*$E$618</f>
        <v>0</v>
      </c>
      <c r="G626" s="733">
        <f>$G$11*$E$618</f>
        <v>0</v>
      </c>
      <c r="H626" s="733">
        <f>$H$11*$E$618</f>
        <v>0</v>
      </c>
      <c r="I626" s="733">
        <f>$I$11*$E$618</f>
        <v>0</v>
      </c>
      <c r="J626" s="733">
        <f>$J$11*$E$618</f>
        <v>0</v>
      </c>
      <c r="K626" s="733">
        <f>K$11*$E$618</f>
        <v>0</v>
      </c>
      <c r="L626" s="733">
        <f>L$11*$E$618</f>
        <v>0</v>
      </c>
      <c r="M626" s="733">
        <f t="shared" ref="M626:P626" si="647">M$11*$E$618</f>
        <v>0</v>
      </c>
      <c r="N626" s="733">
        <f t="shared" si="647"/>
        <v>0</v>
      </c>
      <c r="O626" s="733">
        <f t="shared" si="647"/>
        <v>0</v>
      </c>
      <c r="P626" s="733">
        <f t="shared" si="647"/>
        <v>0</v>
      </c>
      <c r="Q626" s="734">
        <f t="shared" si="643"/>
        <v>0</v>
      </c>
      <c r="R626" s="733">
        <f>$R$11*$E$618</f>
        <v>0</v>
      </c>
      <c r="S626" s="733">
        <f>$S$11*$E$618</f>
        <v>0</v>
      </c>
      <c r="T626" s="733">
        <f>$T$11*$E$618</f>
        <v>0</v>
      </c>
      <c r="U626" s="733">
        <f>$U$11*$E$618</f>
        <v>0</v>
      </c>
    </row>
    <row r="627" spans="2:21" ht="18.75" x14ac:dyDescent="0.25">
      <c r="B627" s="790"/>
      <c r="C627" s="117">
        <f t="shared" si="641"/>
        <v>1</v>
      </c>
      <c r="D627" s="775" t="s">
        <v>119</v>
      </c>
      <c r="E627" s="84" t="s">
        <v>52</v>
      </c>
      <c r="F627" s="733">
        <f>$F$12*$E$618</f>
        <v>0</v>
      </c>
      <c r="G627" s="733">
        <f>$G$12*$E$618</f>
        <v>0</v>
      </c>
      <c r="H627" s="733">
        <f>$H$12*$E$618</f>
        <v>0</v>
      </c>
      <c r="I627" s="733">
        <f>$I$12*$E$618</f>
        <v>0</v>
      </c>
      <c r="J627" s="733">
        <f>$J$12*$E$618</f>
        <v>0</v>
      </c>
      <c r="K627" s="733">
        <f>K$12*$E$618</f>
        <v>0</v>
      </c>
      <c r="L627" s="733">
        <f>L$12*$E$618</f>
        <v>0</v>
      </c>
      <c r="M627" s="733">
        <f t="shared" ref="M627:P627" si="648">M$12*$E$618</f>
        <v>0</v>
      </c>
      <c r="N627" s="733">
        <f t="shared" si="648"/>
        <v>0</v>
      </c>
      <c r="O627" s="733">
        <f t="shared" si="648"/>
        <v>0</v>
      </c>
      <c r="P627" s="733">
        <f t="shared" si="648"/>
        <v>0</v>
      </c>
      <c r="Q627" s="734">
        <f t="shared" si="643"/>
        <v>0</v>
      </c>
      <c r="R627" s="733">
        <f>$R$12*$E$618</f>
        <v>0</v>
      </c>
      <c r="S627" s="733">
        <f>$S$12*$E$618</f>
        <v>0</v>
      </c>
      <c r="T627" s="733">
        <f>$T$12*$E$618</f>
        <v>0</v>
      </c>
      <c r="U627" s="733">
        <f>$U$12*$E$618</f>
        <v>0</v>
      </c>
    </row>
    <row r="628" spans="2:21" ht="18.75" x14ac:dyDescent="0.25">
      <c r="B628" s="790"/>
      <c r="C628" s="117">
        <f t="shared" si="641"/>
        <v>1</v>
      </c>
      <c r="D628" s="775" t="s">
        <v>120</v>
      </c>
      <c r="E628" s="84" t="s">
        <v>51</v>
      </c>
      <c r="F628" s="733">
        <f>$F$13*$E$618</f>
        <v>0</v>
      </c>
      <c r="G628" s="733">
        <f>$G$13*$E$618</f>
        <v>0</v>
      </c>
      <c r="H628" s="733">
        <f>$H$13*$E$618</f>
        <v>0</v>
      </c>
      <c r="I628" s="733">
        <f>$I$13*$E$618</f>
        <v>0</v>
      </c>
      <c r="J628" s="733">
        <f>$J$13*$E$618</f>
        <v>0</v>
      </c>
      <c r="K628" s="733">
        <f>K$13*$E$618</f>
        <v>0</v>
      </c>
      <c r="L628" s="733">
        <f>L$13*$E$618</f>
        <v>0</v>
      </c>
      <c r="M628" s="733">
        <f t="shared" ref="M628:P628" si="649">M$13*$E$618</f>
        <v>0</v>
      </c>
      <c r="N628" s="733">
        <f t="shared" si="649"/>
        <v>0</v>
      </c>
      <c r="O628" s="733">
        <f t="shared" si="649"/>
        <v>0</v>
      </c>
      <c r="P628" s="733">
        <f t="shared" si="649"/>
        <v>0</v>
      </c>
      <c r="Q628" s="734">
        <f t="shared" si="643"/>
        <v>0</v>
      </c>
      <c r="R628" s="733">
        <f>$R$13*$E$618</f>
        <v>0</v>
      </c>
      <c r="S628" s="733">
        <f>$S$13*$E$618</f>
        <v>0</v>
      </c>
      <c r="T628" s="733">
        <f>$T$13*$E$618</f>
        <v>0</v>
      </c>
      <c r="U628" s="733">
        <f>$U$13*$E$618</f>
        <v>0</v>
      </c>
    </row>
    <row r="629" spans="2:21" ht="18.75" x14ac:dyDescent="0.25">
      <c r="B629" s="790"/>
      <c r="C629" s="117">
        <f t="shared" si="641"/>
        <v>1</v>
      </c>
      <c r="D629" s="775" t="s">
        <v>121</v>
      </c>
      <c r="E629" s="84" t="s">
        <v>50</v>
      </c>
      <c r="F629" s="733">
        <f>$F$14*$E$618</f>
        <v>0</v>
      </c>
      <c r="G629" s="733">
        <f>$G$14*$E$618</f>
        <v>0</v>
      </c>
      <c r="H629" s="733">
        <f>$H$14*$E$618</f>
        <v>0</v>
      </c>
      <c r="I629" s="733">
        <f>$I$14*$E$618</f>
        <v>0</v>
      </c>
      <c r="J629" s="733">
        <f>$J$14*$E$618</f>
        <v>0</v>
      </c>
      <c r="K629" s="733">
        <f>K$14*$E$618</f>
        <v>0</v>
      </c>
      <c r="L629" s="733">
        <f>L$14*$E$618</f>
        <v>0</v>
      </c>
      <c r="M629" s="733">
        <f t="shared" ref="M629:P629" si="650">M$14*$E$618</f>
        <v>0</v>
      </c>
      <c r="N629" s="733">
        <f t="shared" si="650"/>
        <v>0</v>
      </c>
      <c r="O629" s="733">
        <f t="shared" si="650"/>
        <v>0</v>
      </c>
      <c r="P629" s="733">
        <f t="shared" si="650"/>
        <v>0</v>
      </c>
      <c r="Q629" s="734">
        <f t="shared" si="643"/>
        <v>0</v>
      </c>
      <c r="R629" s="733">
        <f>$R$14*$E$618</f>
        <v>0</v>
      </c>
      <c r="S629" s="733">
        <f>$S$14*$E$618</f>
        <v>0</v>
      </c>
      <c r="T629" s="733">
        <f>$T$14*$E$618</f>
        <v>0</v>
      </c>
      <c r="U629" s="733">
        <f>$U$14*$E$618</f>
        <v>0</v>
      </c>
    </row>
    <row r="630" spans="2:21" ht="18.75" x14ac:dyDescent="0.25">
      <c r="B630" s="790"/>
      <c r="C630" s="117">
        <f t="shared" si="641"/>
        <v>1</v>
      </c>
      <c r="D630" s="775" t="s">
        <v>122</v>
      </c>
      <c r="E630" s="84" t="s">
        <v>49</v>
      </c>
      <c r="F630" s="733">
        <f>$F$15*$E$618</f>
        <v>0</v>
      </c>
      <c r="G630" s="733">
        <f>$G$15*$E$618</f>
        <v>0</v>
      </c>
      <c r="H630" s="733">
        <f>$H$15*$E$618</f>
        <v>0</v>
      </c>
      <c r="I630" s="733">
        <f>$I$15*$E$618</f>
        <v>0</v>
      </c>
      <c r="J630" s="733">
        <f>$J$15*$E$618</f>
        <v>0</v>
      </c>
      <c r="K630" s="733">
        <f>K$15*$E$618</f>
        <v>0</v>
      </c>
      <c r="L630" s="733">
        <f>L$15*$E$618</f>
        <v>0</v>
      </c>
      <c r="M630" s="733">
        <f t="shared" ref="M630:P630" si="651">M$15*$E$618</f>
        <v>0</v>
      </c>
      <c r="N630" s="733">
        <f t="shared" si="651"/>
        <v>0</v>
      </c>
      <c r="O630" s="733">
        <f t="shared" si="651"/>
        <v>0</v>
      </c>
      <c r="P630" s="733">
        <f t="shared" si="651"/>
        <v>0</v>
      </c>
      <c r="Q630" s="734">
        <f t="shared" si="643"/>
        <v>0</v>
      </c>
      <c r="R630" s="733">
        <f>$R$15*$E$618</f>
        <v>0</v>
      </c>
      <c r="S630" s="733">
        <f>$S$15*$E$618</f>
        <v>0</v>
      </c>
      <c r="T630" s="733">
        <f>$T$15*$E$618</f>
        <v>0</v>
      </c>
      <c r="U630" s="733">
        <f>$U$15*$E$618</f>
        <v>0</v>
      </c>
    </row>
    <row r="631" spans="2:21" ht="18.75" x14ac:dyDescent="0.25">
      <c r="B631" s="790"/>
      <c r="C631" s="117">
        <f t="shared" si="641"/>
        <v>1</v>
      </c>
      <c r="D631" s="775" t="s">
        <v>123</v>
      </c>
      <c r="E631" s="84" t="s">
        <v>47</v>
      </c>
      <c r="F631" s="733">
        <f>$F$16*$E$618</f>
        <v>0</v>
      </c>
      <c r="G631" s="733">
        <f>$G$16*$E$618</f>
        <v>0</v>
      </c>
      <c r="H631" s="733">
        <f>$H$16*$E$618</f>
        <v>0</v>
      </c>
      <c r="I631" s="733">
        <f>$I$16*$E$618</f>
        <v>0</v>
      </c>
      <c r="J631" s="733">
        <f>$J$16*$E$618</f>
        <v>0</v>
      </c>
      <c r="K631" s="733">
        <f>K$16*$E$618</f>
        <v>0</v>
      </c>
      <c r="L631" s="733">
        <f>L$16*$E$618</f>
        <v>0</v>
      </c>
      <c r="M631" s="733">
        <f t="shared" ref="M631:P631" si="652">M$16*$E$618</f>
        <v>0</v>
      </c>
      <c r="N631" s="733">
        <f t="shared" si="652"/>
        <v>0</v>
      </c>
      <c r="O631" s="733">
        <f t="shared" si="652"/>
        <v>0</v>
      </c>
      <c r="P631" s="733">
        <f t="shared" si="652"/>
        <v>0</v>
      </c>
      <c r="Q631" s="734">
        <f t="shared" si="643"/>
        <v>0</v>
      </c>
      <c r="R631" s="733">
        <f>$R$16*$E$618</f>
        <v>0</v>
      </c>
      <c r="S631" s="733">
        <f>$S$16*$E$618</f>
        <v>0</v>
      </c>
      <c r="T631" s="733">
        <f>$T$16*$E$618</f>
        <v>0</v>
      </c>
      <c r="U631" s="733">
        <f>$U$16*$E$618</f>
        <v>0</v>
      </c>
    </row>
    <row r="632" spans="2:21" ht="19.5" thickBot="1" x14ac:dyDescent="0.3">
      <c r="B632" s="790"/>
      <c r="C632" s="117">
        <f t="shared" si="641"/>
        <v>1</v>
      </c>
      <c r="D632" s="776" t="s">
        <v>16</v>
      </c>
      <c r="E632" s="777" t="s">
        <v>77</v>
      </c>
      <c r="F632" s="733">
        <f>$F$17*$E$618</f>
        <v>26.331204857729716</v>
      </c>
      <c r="G632" s="733">
        <f>$G$17*$E$618</f>
        <v>0.52306520584747607</v>
      </c>
      <c r="H632" s="733">
        <f>$H$17*$E$618</f>
        <v>0</v>
      </c>
      <c r="I632" s="733">
        <f>$I$17*$E$618</f>
        <v>0</v>
      </c>
      <c r="J632" s="733">
        <f>$J$17*$E$618</f>
        <v>1.116712671992832</v>
      </c>
      <c r="K632" s="733">
        <f>K$17*$E$618</f>
        <v>4.5975546107670648E-3</v>
      </c>
      <c r="L632" s="733">
        <f>L$17*$E$618</f>
        <v>6.4700787187425314E-4</v>
      </c>
      <c r="M632" s="733">
        <f t="shared" ref="M632:P632" si="653">M$17*$E$618</f>
        <v>0</v>
      </c>
      <c r="N632" s="733">
        <f t="shared" si="653"/>
        <v>0</v>
      </c>
      <c r="O632" s="733">
        <f t="shared" si="653"/>
        <v>0.33464276464041626</v>
      </c>
      <c r="P632" s="733">
        <f t="shared" si="653"/>
        <v>5.6995151969327411</v>
      </c>
      <c r="Q632" s="734">
        <f t="shared" si="643"/>
        <v>34.010385259625828</v>
      </c>
      <c r="R632" s="733">
        <f>$R$17*$E$618</f>
        <v>0</v>
      </c>
      <c r="S632" s="733">
        <f>$S$17*$E$618</f>
        <v>2.3648558517199407</v>
      </c>
      <c r="T632" s="733">
        <f ca="1">$T$17*$E$618</f>
        <v>0.68587177915124486</v>
      </c>
      <c r="U632" s="733">
        <f ca="1">$U$17*$E$618</f>
        <v>3.9083157180869826E-2</v>
      </c>
    </row>
    <row r="633" spans="2:21" ht="19.5" thickBot="1" x14ac:dyDescent="0.3">
      <c r="B633" s="790"/>
      <c r="C633" s="117">
        <f t="shared" si="641"/>
        <v>1</v>
      </c>
      <c r="D633" s="115" t="s">
        <v>124</v>
      </c>
      <c r="E633" s="778" t="s">
        <v>78</v>
      </c>
      <c r="F633" s="779">
        <f t="shared" ref="F633:U633" si="654">SUBTOTAL(9,F621:F632)</f>
        <v>266.5977201476876</v>
      </c>
      <c r="G633" s="779">
        <f t="shared" ref="G633:L633" si="655">SUBTOTAL(9,G621:G632)</f>
        <v>17.017316417578339</v>
      </c>
      <c r="H633" s="779">
        <f t="shared" si="655"/>
        <v>3.6981906394268252E-2</v>
      </c>
      <c r="I633" s="779">
        <f t="shared" si="655"/>
        <v>5.9605309920386409</v>
      </c>
      <c r="J633" s="779">
        <f t="shared" si="655"/>
        <v>5.4394773668993359</v>
      </c>
      <c r="K633" s="779">
        <f t="shared" si="655"/>
        <v>0.23716020648419417</v>
      </c>
      <c r="L633" s="779">
        <f t="shared" si="655"/>
        <v>6.4700787187425314E-4</v>
      </c>
      <c r="M633" s="779">
        <f t="shared" ref="M633:P633" si="656">SUBTOTAL(9,M621:M632)</f>
        <v>0.16893209482983754</v>
      </c>
      <c r="N633" s="779">
        <f t="shared" si="656"/>
        <v>0</v>
      </c>
      <c r="O633" s="779">
        <f t="shared" si="656"/>
        <v>1.5016208053902202</v>
      </c>
      <c r="P633" s="779">
        <f t="shared" si="656"/>
        <v>5.6995151969327411</v>
      </c>
      <c r="Q633" s="780">
        <f>SUBTOTAL(9,Q621:Q632)</f>
        <v>302.659902142107</v>
      </c>
      <c r="R633" s="779">
        <f t="shared" si="654"/>
        <v>0</v>
      </c>
      <c r="S633" s="779">
        <f t="shared" si="654"/>
        <v>22.776027008136964</v>
      </c>
      <c r="T633" s="779">
        <f t="shared" ca="1" si="654"/>
        <v>9.1002954448927049</v>
      </c>
      <c r="U633" s="779">
        <f t="shared" ca="1" si="654"/>
        <v>6.3248485934708052</v>
      </c>
    </row>
    <row r="634" spans="2:21" s="119" customFormat="1" ht="19.5" hidden="1" thickBot="1" x14ac:dyDescent="0.3">
      <c r="B634" s="340"/>
      <c r="D634" s="117"/>
      <c r="E634" s="117"/>
      <c r="F634" s="118"/>
      <c r="G634" s="118"/>
      <c r="I634" s="118"/>
      <c r="J634" s="118"/>
      <c r="K634" s="118"/>
      <c r="L634" s="118"/>
      <c r="O634" s="118"/>
      <c r="Q634" s="120"/>
      <c r="R634" s="117"/>
      <c r="S634" s="118"/>
      <c r="U634" s="118"/>
    </row>
    <row r="635" spans="2:21" s="119" customFormat="1" ht="75.75" hidden="1" thickBot="1" x14ac:dyDescent="0.3">
      <c r="B635" s="301"/>
      <c r="C635" s="119">
        <f>IF($E635&gt;0,1,0)</f>
        <v>0</v>
      </c>
      <c r="D635" s="96" t="str">
        <f>A40</f>
        <v>Orleans</v>
      </c>
      <c r="E635" s="166">
        <f>IFERROR(SUMIF(A:A,D635,B:B),0)</f>
        <v>0</v>
      </c>
      <c r="F635" s="98" t="s">
        <v>356</v>
      </c>
      <c r="G635" s="98" t="s">
        <v>373</v>
      </c>
      <c r="H635" s="98" t="s">
        <v>358</v>
      </c>
      <c r="I635" s="98" t="s">
        <v>109</v>
      </c>
      <c r="J635" s="98" t="s">
        <v>111</v>
      </c>
      <c r="K635" s="98" t="s">
        <v>469</v>
      </c>
      <c r="L635" s="98" t="s">
        <v>470</v>
      </c>
      <c r="M635" s="98" t="s">
        <v>357</v>
      </c>
      <c r="N635" s="509" t="s">
        <v>471</v>
      </c>
      <c r="O635" s="98" t="s">
        <v>472</v>
      </c>
      <c r="P635" s="98" t="s">
        <v>110</v>
      </c>
      <c r="Q635" s="99" t="s">
        <v>116</v>
      </c>
      <c r="R635" s="98" t="s">
        <v>112</v>
      </c>
      <c r="S635" s="98" t="s">
        <v>113</v>
      </c>
      <c r="T635" s="98" t="s">
        <v>114</v>
      </c>
      <c r="U635" s="98" t="s">
        <v>115</v>
      </c>
    </row>
    <row r="636" spans="2:21" s="119" customFormat="1" ht="19.5" hidden="1" thickBot="1" x14ac:dyDescent="0.3">
      <c r="B636" s="301"/>
      <c r="C636" s="119">
        <f>C635</f>
        <v>0</v>
      </c>
      <c r="D636" s="101"/>
      <c r="E636" s="102"/>
      <c r="F636" s="84" t="s">
        <v>57</v>
      </c>
      <c r="G636" s="84" t="s">
        <v>56</v>
      </c>
      <c r="H636" s="84" t="s">
        <v>55</v>
      </c>
      <c r="I636" s="84" t="s">
        <v>54</v>
      </c>
      <c r="J636" s="84" t="s">
        <v>53</v>
      </c>
      <c r="K636" s="84" t="s">
        <v>52</v>
      </c>
      <c r="L636" s="84" t="s">
        <v>51</v>
      </c>
      <c r="M636" s="84" t="s">
        <v>50</v>
      </c>
      <c r="N636" s="84" t="s">
        <v>49</v>
      </c>
      <c r="O636" s="84" t="s">
        <v>47</v>
      </c>
      <c r="P636" s="84" t="s">
        <v>77</v>
      </c>
      <c r="Q636" s="83" t="s">
        <v>78</v>
      </c>
      <c r="R636" s="84" t="s">
        <v>79</v>
      </c>
      <c r="S636" s="84" t="s">
        <v>81</v>
      </c>
      <c r="T636" s="84" t="s">
        <v>83</v>
      </c>
      <c r="U636" s="84" t="s">
        <v>85</v>
      </c>
    </row>
    <row r="637" spans="2:21" s="119" customFormat="1" ht="19.5" hidden="1" thickBot="1" x14ac:dyDescent="0.35">
      <c r="B637" s="301"/>
      <c r="C637" s="119">
        <f t="shared" ref="C637:C650" si="657">C636</f>
        <v>0</v>
      </c>
      <c r="D637" s="103" t="s">
        <v>26</v>
      </c>
      <c r="E637" s="104"/>
      <c r="F637" s="745"/>
      <c r="G637" s="745"/>
      <c r="H637" s="746"/>
      <c r="I637" s="745"/>
      <c r="J637" s="745"/>
      <c r="K637" s="745"/>
      <c r="L637" s="745"/>
      <c r="M637" s="746"/>
      <c r="N637" s="746"/>
      <c r="O637" s="745"/>
      <c r="P637" s="746"/>
      <c r="Q637" s="747"/>
      <c r="R637" s="748"/>
      <c r="S637" s="745"/>
      <c r="T637" s="746"/>
      <c r="U637" s="749"/>
    </row>
    <row r="638" spans="2:21" s="119" customFormat="1" ht="19.5" hidden="1" thickBot="1" x14ac:dyDescent="0.3">
      <c r="B638" s="301"/>
      <c r="C638" s="119">
        <f t="shared" si="657"/>
        <v>0</v>
      </c>
      <c r="D638" s="109" t="s">
        <v>93</v>
      </c>
      <c r="E638" s="76" t="s">
        <v>57</v>
      </c>
      <c r="F638" s="733">
        <f>$F$6*$E$635</f>
        <v>0</v>
      </c>
      <c r="G638" s="733">
        <f>$G$6*$E$635</f>
        <v>0</v>
      </c>
      <c r="H638" s="733">
        <f>$H$6*$E$635</f>
        <v>0</v>
      </c>
      <c r="I638" s="733">
        <f>$I$6*$E$635</f>
        <v>0</v>
      </c>
      <c r="J638" s="733">
        <f>$J$6*$E$635</f>
        <v>0</v>
      </c>
      <c r="K638" s="733">
        <f>K$6*$E$635</f>
        <v>0</v>
      </c>
      <c r="L638" s="733">
        <f t="shared" ref="L638:O638" si="658">L$6*$E$635</f>
        <v>0</v>
      </c>
      <c r="M638" s="733">
        <f t="shared" si="658"/>
        <v>0</v>
      </c>
      <c r="N638" s="733">
        <f t="shared" si="658"/>
        <v>0</v>
      </c>
      <c r="O638" s="733">
        <f t="shared" si="658"/>
        <v>0</v>
      </c>
      <c r="P638" s="733">
        <f>$P$6*$E$635</f>
        <v>0</v>
      </c>
      <c r="Q638" s="734">
        <f t="shared" ref="Q638:Q649" si="659">SUM(F638:P638)</f>
        <v>0</v>
      </c>
      <c r="R638" s="733">
        <f>$R$6*$E$635</f>
        <v>0</v>
      </c>
      <c r="S638" s="733">
        <f>$S$6*$E$635</f>
        <v>0</v>
      </c>
      <c r="T638" s="733">
        <f ca="1">$T$6*$E$635</f>
        <v>0</v>
      </c>
      <c r="U638" s="733">
        <f ca="1">$U$6*$E$635</f>
        <v>0</v>
      </c>
    </row>
    <row r="639" spans="2:21" s="119" customFormat="1" ht="19.5" hidden="1" thickBot="1" x14ac:dyDescent="0.3">
      <c r="B639" s="301"/>
      <c r="C639" s="119">
        <f t="shared" si="657"/>
        <v>0</v>
      </c>
      <c r="D639" s="110" t="s">
        <v>92</v>
      </c>
      <c r="E639" s="76" t="s">
        <v>56</v>
      </c>
      <c r="F639" s="733">
        <f>$F$7*$E$635</f>
        <v>0</v>
      </c>
      <c r="G639" s="733">
        <f>$G$7*$E$635</f>
        <v>0</v>
      </c>
      <c r="H639" s="733">
        <f>$H$7*$E$635</f>
        <v>0</v>
      </c>
      <c r="I639" s="733">
        <f>$I$7*$E$635</f>
        <v>0</v>
      </c>
      <c r="J639" s="733">
        <f>$J$7*$E$635</f>
        <v>0</v>
      </c>
      <c r="K639" s="733">
        <f>K$7*$E$635</f>
        <v>0</v>
      </c>
      <c r="L639" s="733">
        <f t="shared" ref="L639:O639" si="660">L$7*$E$635</f>
        <v>0</v>
      </c>
      <c r="M639" s="733">
        <f t="shared" si="660"/>
        <v>0</v>
      </c>
      <c r="N639" s="733">
        <f t="shared" si="660"/>
        <v>0</v>
      </c>
      <c r="O639" s="733">
        <f t="shared" si="660"/>
        <v>0</v>
      </c>
      <c r="P639" s="733">
        <f>$P$7*$E$635</f>
        <v>0</v>
      </c>
      <c r="Q639" s="734">
        <f t="shared" si="659"/>
        <v>0</v>
      </c>
      <c r="R639" s="733">
        <f>$R$7*$E$635</f>
        <v>0</v>
      </c>
      <c r="S639" s="733">
        <f>$S$7*$E$635</f>
        <v>0</v>
      </c>
      <c r="T639" s="733">
        <f>$T$7*$E$635</f>
        <v>0</v>
      </c>
      <c r="U639" s="733">
        <f>$U$7*$E$635</f>
        <v>0</v>
      </c>
    </row>
    <row r="640" spans="2:21" s="119" customFormat="1" ht="19.5" hidden="1" thickBot="1" x14ac:dyDescent="0.3">
      <c r="B640" s="301"/>
      <c r="C640" s="119">
        <f t="shared" si="657"/>
        <v>0</v>
      </c>
      <c r="D640" s="110" t="s">
        <v>91</v>
      </c>
      <c r="E640" s="76" t="s">
        <v>55</v>
      </c>
      <c r="F640" s="733">
        <f>$F$8*$E$635</f>
        <v>0</v>
      </c>
      <c r="G640" s="733">
        <f>$G$8*$E$635</f>
        <v>0</v>
      </c>
      <c r="H640" s="733">
        <f>$H$8*$E$635</f>
        <v>0</v>
      </c>
      <c r="I640" s="733">
        <f>$I$8*$E$635</f>
        <v>0</v>
      </c>
      <c r="J640" s="733">
        <f>$J$8*$E$635</f>
        <v>0</v>
      </c>
      <c r="K640" s="733">
        <f>K$8*$E$635</f>
        <v>0</v>
      </c>
      <c r="L640" s="733">
        <f t="shared" ref="L640:O640" si="661">L$8*$E$635</f>
        <v>0</v>
      </c>
      <c r="M640" s="733">
        <f t="shared" si="661"/>
        <v>0</v>
      </c>
      <c r="N640" s="733">
        <f t="shared" si="661"/>
        <v>0</v>
      </c>
      <c r="O640" s="733">
        <f t="shared" si="661"/>
        <v>0</v>
      </c>
      <c r="P640" s="733">
        <f>$P$8*$E$635</f>
        <v>0</v>
      </c>
      <c r="Q640" s="734">
        <f t="shared" si="659"/>
        <v>0</v>
      </c>
      <c r="R640" s="733">
        <f>$R$8*$E$635</f>
        <v>0</v>
      </c>
      <c r="S640" s="733">
        <f>$S$8*$E$635</f>
        <v>0</v>
      </c>
      <c r="T640" s="733">
        <f ca="1">$T$8*$E$635</f>
        <v>0</v>
      </c>
      <c r="U640" s="733">
        <f ca="1">$U$8*$E$635</f>
        <v>0</v>
      </c>
    </row>
    <row r="641" spans="2:21" s="119" customFormat="1" ht="19.5" hidden="1" thickBot="1" x14ac:dyDescent="0.3">
      <c r="B641" s="301"/>
      <c r="C641" s="119">
        <f t="shared" si="657"/>
        <v>0</v>
      </c>
      <c r="D641" s="111" t="s">
        <v>117</v>
      </c>
      <c r="E641" s="76" t="s">
        <v>54</v>
      </c>
      <c r="F641" s="733">
        <f>$F$9*$E$635</f>
        <v>0</v>
      </c>
      <c r="G641" s="733">
        <f>$G$9*$E$635</f>
        <v>0</v>
      </c>
      <c r="H641" s="733">
        <f>$H$9*$E$635</f>
        <v>0</v>
      </c>
      <c r="I641" s="733">
        <f>$I$9*$E$635</f>
        <v>0</v>
      </c>
      <c r="J641" s="733">
        <f>$J$9*$E$635</f>
        <v>0</v>
      </c>
      <c r="K641" s="733">
        <f>K$9*$E$635</f>
        <v>0</v>
      </c>
      <c r="L641" s="733">
        <f t="shared" ref="L641:O641" si="662">L$9*$E$635</f>
        <v>0</v>
      </c>
      <c r="M641" s="733">
        <f t="shared" si="662"/>
        <v>0</v>
      </c>
      <c r="N641" s="733">
        <f t="shared" si="662"/>
        <v>0</v>
      </c>
      <c r="O641" s="733">
        <f t="shared" si="662"/>
        <v>0</v>
      </c>
      <c r="P641" s="733">
        <f>$P$9*$E$635</f>
        <v>0</v>
      </c>
      <c r="Q641" s="734">
        <f t="shared" si="659"/>
        <v>0</v>
      </c>
      <c r="R641" s="733">
        <f>$R$9*$E$635</f>
        <v>0</v>
      </c>
      <c r="S641" s="733">
        <f>$S$9*$E$635</f>
        <v>0</v>
      </c>
      <c r="T641" s="733">
        <f>$T$9*$E$635</f>
        <v>0</v>
      </c>
      <c r="U641" s="733">
        <f>$U$9*$E$635</f>
        <v>0</v>
      </c>
    </row>
    <row r="642" spans="2:21" s="119" customFormat="1" ht="19.5" hidden="1" thickBot="1" x14ac:dyDescent="0.35">
      <c r="B642" s="301"/>
      <c r="C642" s="119">
        <f t="shared" si="657"/>
        <v>0</v>
      </c>
      <c r="D642" s="112" t="s">
        <v>31</v>
      </c>
      <c r="E642" s="76"/>
      <c r="F642" s="750"/>
      <c r="G642" s="735"/>
      <c r="H642" s="736"/>
      <c r="I642" s="735"/>
      <c r="J642" s="735"/>
      <c r="K642" s="735"/>
      <c r="L642" s="735"/>
      <c r="M642" s="735"/>
      <c r="N642" s="735"/>
      <c r="O642" s="735"/>
      <c r="P642" s="738"/>
      <c r="Q642" s="734">
        <f t="shared" si="659"/>
        <v>0</v>
      </c>
      <c r="R642" s="739"/>
      <c r="S642" s="735"/>
      <c r="T642" s="740"/>
      <c r="U642" s="741"/>
    </row>
    <row r="643" spans="2:21" s="119" customFormat="1" ht="19.5" hidden="1" thickBot="1" x14ac:dyDescent="0.35">
      <c r="B643" s="301"/>
      <c r="C643" s="119">
        <f t="shared" si="657"/>
        <v>0</v>
      </c>
      <c r="D643" s="113" t="s">
        <v>118</v>
      </c>
      <c r="E643" s="76" t="s">
        <v>53</v>
      </c>
      <c r="F643" s="733">
        <f>$F$11*$E$635</f>
        <v>0</v>
      </c>
      <c r="G643" s="733">
        <f>$G$11*$E$635</f>
        <v>0</v>
      </c>
      <c r="H643" s="733">
        <f>$H$11*$E$635</f>
        <v>0</v>
      </c>
      <c r="I643" s="733">
        <f>$I$11*$E$635</f>
        <v>0</v>
      </c>
      <c r="J643" s="733">
        <f>$J$11*$E$635</f>
        <v>0</v>
      </c>
      <c r="K643" s="733">
        <f>K$11*$E$635</f>
        <v>0</v>
      </c>
      <c r="L643" s="733">
        <f t="shared" ref="L643:O643" si="663">L$11*$E$635</f>
        <v>0</v>
      </c>
      <c r="M643" s="733">
        <f t="shared" si="663"/>
        <v>0</v>
      </c>
      <c r="N643" s="733">
        <f t="shared" si="663"/>
        <v>0</v>
      </c>
      <c r="O643" s="733">
        <f t="shared" si="663"/>
        <v>0</v>
      </c>
      <c r="P643" s="733">
        <f>$P$11*$E$635</f>
        <v>0</v>
      </c>
      <c r="Q643" s="734">
        <f t="shared" si="659"/>
        <v>0</v>
      </c>
      <c r="R643" s="733">
        <f>$R$11*$E$635</f>
        <v>0</v>
      </c>
      <c r="S643" s="733">
        <f>$S$11*$E$635</f>
        <v>0</v>
      </c>
      <c r="T643" s="733">
        <f>$T$11*$E$635</f>
        <v>0</v>
      </c>
      <c r="U643" s="733">
        <f>$U$11*$E$635</f>
        <v>0</v>
      </c>
    </row>
    <row r="644" spans="2:21" s="119" customFormat="1" ht="19.5" hidden="1" thickBot="1" x14ac:dyDescent="0.35">
      <c r="B644" s="301"/>
      <c r="C644" s="119">
        <f t="shared" si="657"/>
        <v>0</v>
      </c>
      <c r="D644" s="113" t="s">
        <v>119</v>
      </c>
      <c r="E644" s="76" t="s">
        <v>52</v>
      </c>
      <c r="F644" s="733">
        <f>$F$12*$E$635</f>
        <v>0</v>
      </c>
      <c r="G644" s="733">
        <f>$G$12*$E$635</f>
        <v>0</v>
      </c>
      <c r="H644" s="733">
        <f>$H$12*$E$635</f>
        <v>0</v>
      </c>
      <c r="I644" s="733">
        <f>$I$12*$E$635</f>
        <v>0</v>
      </c>
      <c r="J644" s="733">
        <f>$J$12*$E$635</f>
        <v>0</v>
      </c>
      <c r="K644" s="733">
        <f>K$12*$E$635</f>
        <v>0</v>
      </c>
      <c r="L644" s="733">
        <f t="shared" ref="L644:O644" si="664">L$12*$E$635</f>
        <v>0</v>
      </c>
      <c r="M644" s="733">
        <f t="shared" si="664"/>
        <v>0</v>
      </c>
      <c r="N644" s="733">
        <f t="shared" si="664"/>
        <v>0</v>
      </c>
      <c r="O644" s="733">
        <f t="shared" si="664"/>
        <v>0</v>
      </c>
      <c r="P644" s="733">
        <f>$P$12*$E$635</f>
        <v>0</v>
      </c>
      <c r="Q644" s="734">
        <f t="shared" si="659"/>
        <v>0</v>
      </c>
      <c r="R644" s="733">
        <f>$R$12*$E$635</f>
        <v>0</v>
      </c>
      <c r="S644" s="733">
        <f>$S$12*$E$635</f>
        <v>0</v>
      </c>
      <c r="T644" s="733">
        <f>$T$12*$E$635</f>
        <v>0</v>
      </c>
      <c r="U644" s="733">
        <f>$U$12*$E$635</f>
        <v>0</v>
      </c>
    </row>
    <row r="645" spans="2:21" s="119" customFormat="1" ht="19.5" hidden="1" thickBot="1" x14ac:dyDescent="0.35">
      <c r="B645" s="301"/>
      <c r="C645" s="119">
        <f t="shared" si="657"/>
        <v>0</v>
      </c>
      <c r="D645" s="113" t="s">
        <v>120</v>
      </c>
      <c r="E645" s="76" t="s">
        <v>51</v>
      </c>
      <c r="F645" s="733">
        <f>$F$13*$E$635</f>
        <v>0</v>
      </c>
      <c r="G645" s="733">
        <f>$G$13*$E$635</f>
        <v>0</v>
      </c>
      <c r="H645" s="733">
        <f>$H$13*$E$635</f>
        <v>0</v>
      </c>
      <c r="I645" s="733">
        <f>$I$13*$E$635</f>
        <v>0</v>
      </c>
      <c r="J645" s="733">
        <f>$J$13*$E$635</f>
        <v>0</v>
      </c>
      <c r="K645" s="733">
        <f>K$13*$E$635</f>
        <v>0</v>
      </c>
      <c r="L645" s="733">
        <f t="shared" ref="L645:O645" si="665">L$13*$E$635</f>
        <v>0</v>
      </c>
      <c r="M645" s="733">
        <f t="shared" si="665"/>
        <v>0</v>
      </c>
      <c r="N645" s="733">
        <f t="shared" si="665"/>
        <v>0</v>
      </c>
      <c r="O645" s="733">
        <f t="shared" si="665"/>
        <v>0</v>
      </c>
      <c r="P645" s="733">
        <f>$P$13*$E$635</f>
        <v>0</v>
      </c>
      <c r="Q645" s="734">
        <f t="shared" si="659"/>
        <v>0</v>
      </c>
      <c r="R645" s="733">
        <f>$R$13*$E$635</f>
        <v>0</v>
      </c>
      <c r="S645" s="733">
        <f>$S$13*$E$635</f>
        <v>0</v>
      </c>
      <c r="T645" s="733">
        <f>$T$13*$E$635</f>
        <v>0</v>
      </c>
      <c r="U645" s="733">
        <f>$U$13*$E$635</f>
        <v>0</v>
      </c>
    </row>
    <row r="646" spans="2:21" s="119" customFormat="1" ht="19.5" hidden="1" thickBot="1" x14ac:dyDescent="0.35">
      <c r="B646" s="301"/>
      <c r="C646" s="119">
        <f t="shared" si="657"/>
        <v>0</v>
      </c>
      <c r="D646" s="113" t="s">
        <v>121</v>
      </c>
      <c r="E646" s="76" t="s">
        <v>50</v>
      </c>
      <c r="F646" s="733">
        <f>$F$14*$E$635</f>
        <v>0</v>
      </c>
      <c r="G646" s="733">
        <f>$G$14*$E$635</f>
        <v>0</v>
      </c>
      <c r="H646" s="733">
        <f>$H$14*$E$635</f>
        <v>0</v>
      </c>
      <c r="I646" s="733">
        <f>$I$14*$E$635</f>
        <v>0</v>
      </c>
      <c r="J646" s="733">
        <f>$J$14*$E$635</f>
        <v>0</v>
      </c>
      <c r="K646" s="733">
        <f>K$14*$E$635</f>
        <v>0</v>
      </c>
      <c r="L646" s="733">
        <f t="shared" ref="L646:O646" si="666">L$14*$E$635</f>
        <v>0</v>
      </c>
      <c r="M646" s="733">
        <f t="shared" si="666"/>
        <v>0</v>
      </c>
      <c r="N646" s="733">
        <f t="shared" si="666"/>
        <v>0</v>
      </c>
      <c r="O646" s="733">
        <f t="shared" si="666"/>
        <v>0</v>
      </c>
      <c r="P646" s="733">
        <f>$P$14*$E$635</f>
        <v>0</v>
      </c>
      <c r="Q646" s="734">
        <f t="shared" si="659"/>
        <v>0</v>
      </c>
      <c r="R646" s="733">
        <f>$R$14*$E$635</f>
        <v>0</v>
      </c>
      <c r="S646" s="733">
        <f>$S$14*$E$635</f>
        <v>0</v>
      </c>
      <c r="T646" s="733">
        <f>$T$14*$E$635</f>
        <v>0</v>
      </c>
      <c r="U646" s="733">
        <f>$U$14*$E$635</f>
        <v>0</v>
      </c>
    </row>
    <row r="647" spans="2:21" s="119" customFormat="1" ht="19.5" hidden="1" thickBot="1" x14ac:dyDescent="0.35">
      <c r="B647" s="301"/>
      <c r="C647" s="119">
        <f t="shared" si="657"/>
        <v>0</v>
      </c>
      <c r="D647" s="113" t="s">
        <v>122</v>
      </c>
      <c r="E647" s="76" t="s">
        <v>49</v>
      </c>
      <c r="F647" s="733">
        <f>$F$15*$E$635</f>
        <v>0</v>
      </c>
      <c r="G647" s="733">
        <f>$G$15*$E$635</f>
        <v>0</v>
      </c>
      <c r="H647" s="733">
        <f>$H$15*$E$635</f>
        <v>0</v>
      </c>
      <c r="I647" s="733">
        <f>$I$15*$E$635</f>
        <v>0</v>
      </c>
      <c r="J647" s="733">
        <f>$J$15*$E$635</f>
        <v>0</v>
      </c>
      <c r="K647" s="733">
        <f>K$15*$E$635</f>
        <v>0</v>
      </c>
      <c r="L647" s="733">
        <f t="shared" ref="L647:O647" si="667">L$15*$E$635</f>
        <v>0</v>
      </c>
      <c r="M647" s="733">
        <f t="shared" si="667"/>
        <v>0</v>
      </c>
      <c r="N647" s="733">
        <f t="shared" si="667"/>
        <v>0</v>
      </c>
      <c r="O647" s="733">
        <f t="shared" si="667"/>
        <v>0</v>
      </c>
      <c r="P647" s="733">
        <f>$P$15*$E$635</f>
        <v>0</v>
      </c>
      <c r="Q647" s="734">
        <f t="shared" si="659"/>
        <v>0</v>
      </c>
      <c r="R647" s="733">
        <f>$R$15*$E$635</f>
        <v>0</v>
      </c>
      <c r="S647" s="733">
        <f>$S$15*$E$635</f>
        <v>0</v>
      </c>
      <c r="T647" s="733">
        <f>$T$15*$E$635</f>
        <v>0</v>
      </c>
      <c r="U647" s="733">
        <f>$U$15*$E$635</f>
        <v>0</v>
      </c>
    </row>
    <row r="648" spans="2:21" s="119" customFormat="1" ht="19.5" hidden="1" thickBot="1" x14ac:dyDescent="0.35">
      <c r="B648" s="301"/>
      <c r="C648" s="119">
        <f t="shared" si="657"/>
        <v>0</v>
      </c>
      <c r="D648" s="113" t="s">
        <v>123</v>
      </c>
      <c r="E648" s="76" t="s">
        <v>47</v>
      </c>
      <c r="F648" s="733">
        <f>$F$16*$E$635</f>
        <v>0</v>
      </c>
      <c r="G648" s="733">
        <f>$G$16*$E$635</f>
        <v>0</v>
      </c>
      <c r="H648" s="733">
        <f>$H$16*$E$635</f>
        <v>0</v>
      </c>
      <c r="I648" s="733">
        <f>$I$16*$E$635</f>
        <v>0</v>
      </c>
      <c r="J648" s="733">
        <f>$J$16*$E$635</f>
        <v>0</v>
      </c>
      <c r="K648" s="733">
        <f>K$16*$E$635</f>
        <v>0</v>
      </c>
      <c r="L648" s="733">
        <f t="shared" ref="L648:O648" si="668">L$16*$E$635</f>
        <v>0</v>
      </c>
      <c r="M648" s="733">
        <f t="shared" si="668"/>
        <v>0</v>
      </c>
      <c r="N648" s="733">
        <f t="shared" si="668"/>
        <v>0</v>
      </c>
      <c r="O648" s="733">
        <f t="shared" si="668"/>
        <v>0</v>
      </c>
      <c r="P648" s="733">
        <f>$P$16*$E$635</f>
        <v>0</v>
      </c>
      <c r="Q648" s="734">
        <f t="shared" si="659"/>
        <v>0</v>
      </c>
      <c r="R648" s="733">
        <f>$R$16*$E$635</f>
        <v>0</v>
      </c>
      <c r="S648" s="733">
        <f>$S$16*$E$635</f>
        <v>0</v>
      </c>
      <c r="T648" s="733">
        <f>$T$16*$E$635</f>
        <v>0</v>
      </c>
      <c r="U648" s="733">
        <f>$U$16*$E$635</f>
        <v>0</v>
      </c>
    </row>
    <row r="649" spans="2:21" s="119" customFormat="1" ht="19.5" hidden="1" thickBot="1" x14ac:dyDescent="0.35">
      <c r="B649" s="301"/>
      <c r="C649" s="119">
        <f t="shared" si="657"/>
        <v>0</v>
      </c>
      <c r="D649" s="114" t="s">
        <v>16</v>
      </c>
      <c r="E649" s="70" t="s">
        <v>77</v>
      </c>
      <c r="F649" s="733">
        <f>$F$17*$E$635</f>
        <v>0</v>
      </c>
      <c r="G649" s="733">
        <f>$G$17*$E$635</f>
        <v>0</v>
      </c>
      <c r="H649" s="733">
        <f>$H$17*$E$635</f>
        <v>0</v>
      </c>
      <c r="I649" s="733">
        <f>$I$17*$E$635</f>
        <v>0</v>
      </c>
      <c r="J649" s="733">
        <f>$J$17*$E$635</f>
        <v>0</v>
      </c>
      <c r="K649" s="733">
        <f>K$17*$E$635</f>
        <v>0</v>
      </c>
      <c r="L649" s="733">
        <f t="shared" ref="L649:O649" si="669">L$17*$E$635</f>
        <v>0</v>
      </c>
      <c r="M649" s="733">
        <f t="shared" si="669"/>
        <v>0</v>
      </c>
      <c r="N649" s="733">
        <f t="shared" si="669"/>
        <v>0</v>
      </c>
      <c r="O649" s="733">
        <f t="shared" si="669"/>
        <v>0</v>
      </c>
      <c r="P649" s="733">
        <f>$P$17*$E$635</f>
        <v>0</v>
      </c>
      <c r="Q649" s="734">
        <f t="shared" si="659"/>
        <v>0</v>
      </c>
      <c r="R649" s="733">
        <f>$R$17*$E$635</f>
        <v>0</v>
      </c>
      <c r="S649" s="733">
        <f>$S$17*$E$635</f>
        <v>0</v>
      </c>
      <c r="T649" s="733">
        <f ca="1">$T$17*$E$635</f>
        <v>0</v>
      </c>
      <c r="U649" s="733">
        <f ca="1">$U$17*$E$635</f>
        <v>0</v>
      </c>
    </row>
    <row r="650" spans="2:21" s="119" customFormat="1" ht="19.5" hidden="1" thickBot="1" x14ac:dyDescent="0.35">
      <c r="B650" s="301"/>
      <c r="C650" s="119">
        <f t="shared" si="657"/>
        <v>0</v>
      </c>
      <c r="D650" s="115" t="s">
        <v>124</v>
      </c>
      <c r="E650" s="116" t="s">
        <v>78</v>
      </c>
      <c r="F650" s="742">
        <f t="shared" ref="F650:U650" si="670">SUBTOTAL(9,F638:F649)</f>
        <v>0</v>
      </c>
      <c r="G650" s="742">
        <f>SUBTOTAL(9,G638:G649)</f>
        <v>0</v>
      </c>
      <c r="H650" s="742">
        <f>SUBTOTAL(9,H638:H649)</f>
        <v>0</v>
      </c>
      <c r="I650" s="742">
        <f>SUBTOTAL(9,I638:I649)</f>
        <v>0</v>
      </c>
      <c r="J650" s="742">
        <f>SUBTOTAL(9,J638:J649)</f>
        <v>0</v>
      </c>
      <c r="K650" s="742">
        <f>SUBTOTAL(9,K638:K649)</f>
        <v>0</v>
      </c>
      <c r="L650" s="742">
        <f t="shared" ref="L650:O650" si="671">SUBTOTAL(9,L638:L649)</f>
        <v>0</v>
      </c>
      <c r="M650" s="742">
        <f t="shared" si="671"/>
        <v>0</v>
      </c>
      <c r="N650" s="742">
        <f t="shared" si="671"/>
        <v>0</v>
      </c>
      <c r="O650" s="742">
        <f t="shared" si="671"/>
        <v>0</v>
      </c>
      <c r="P650" s="742">
        <f t="shared" si="670"/>
        <v>0</v>
      </c>
      <c r="Q650" s="743">
        <f>SUBTOTAL(9,Q638:Q649)</f>
        <v>0</v>
      </c>
      <c r="R650" s="742">
        <f t="shared" si="670"/>
        <v>0</v>
      </c>
      <c r="S650" s="742">
        <f t="shared" si="670"/>
        <v>0</v>
      </c>
      <c r="T650" s="742">
        <f t="shared" si="670"/>
        <v>0</v>
      </c>
      <c r="U650" s="742">
        <f t="shared" si="670"/>
        <v>0</v>
      </c>
    </row>
    <row r="651" spans="2:21" s="119" customFormat="1" ht="19.5" hidden="1" thickBot="1" x14ac:dyDescent="0.3">
      <c r="B651" s="340"/>
      <c r="D651" s="117"/>
      <c r="E651" s="117"/>
      <c r="F651" s="118"/>
      <c r="G651" s="118"/>
      <c r="I651" s="118"/>
      <c r="J651" s="118"/>
      <c r="K651" s="118"/>
      <c r="L651" s="118"/>
      <c r="O651" s="118"/>
      <c r="Q651" s="120"/>
      <c r="R651" s="117"/>
      <c r="S651" s="118"/>
      <c r="U651" s="118"/>
    </row>
    <row r="652" spans="2:21" s="119" customFormat="1" ht="75.75" hidden="1" thickBot="1" x14ac:dyDescent="0.3">
      <c r="B652" s="301"/>
      <c r="C652" s="119">
        <f>IF($E652&gt;0,1,0)</f>
        <v>0</v>
      </c>
      <c r="D652" s="96" t="str">
        <f>A41</f>
        <v>Oswego</v>
      </c>
      <c r="E652" s="166">
        <f>IFERROR(SUMIF(A:A,D652,B:B),0)</f>
        <v>0</v>
      </c>
      <c r="F652" s="98" t="s">
        <v>356</v>
      </c>
      <c r="G652" s="98" t="s">
        <v>373</v>
      </c>
      <c r="H652" s="98" t="s">
        <v>358</v>
      </c>
      <c r="I652" s="98" t="s">
        <v>109</v>
      </c>
      <c r="J652" s="98" t="s">
        <v>111</v>
      </c>
      <c r="K652" s="98" t="s">
        <v>469</v>
      </c>
      <c r="L652" s="98" t="s">
        <v>470</v>
      </c>
      <c r="M652" s="98" t="s">
        <v>357</v>
      </c>
      <c r="N652" s="509" t="s">
        <v>471</v>
      </c>
      <c r="O652" s="98" t="s">
        <v>472</v>
      </c>
      <c r="P652" s="98" t="s">
        <v>110</v>
      </c>
      <c r="Q652" s="99" t="s">
        <v>116</v>
      </c>
      <c r="R652" s="98" t="s">
        <v>112</v>
      </c>
      <c r="S652" s="98" t="s">
        <v>113</v>
      </c>
      <c r="T652" s="98" t="s">
        <v>114</v>
      </c>
      <c r="U652" s="98" t="s">
        <v>115</v>
      </c>
    </row>
    <row r="653" spans="2:21" s="119" customFormat="1" ht="19.5" hidden="1" thickBot="1" x14ac:dyDescent="0.3">
      <c r="B653" s="301"/>
      <c r="C653" s="119">
        <f>C652</f>
        <v>0</v>
      </c>
      <c r="D653" s="101"/>
      <c r="E653" s="102"/>
      <c r="F653" s="84" t="s">
        <v>57</v>
      </c>
      <c r="G653" s="84" t="s">
        <v>56</v>
      </c>
      <c r="H653" s="84" t="s">
        <v>55</v>
      </c>
      <c r="I653" s="84" t="s">
        <v>54</v>
      </c>
      <c r="J653" s="84" t="s">
        <v>53</v>
      </c>
      <c r="K653" s="84" t="s">
        <v>52</v>
      </c>
      <c r="L653" s="84" t="s">
        <v>51</v>
      </c>
      <c r="M653" s="84" t="s">
        <v>50</v>
      </c>
      <c r="N653" s="84" t="s">
        <v>49</v>
      </c>
      <c r="O653" s="84" t="s">
        <v>47</v>
      </c>
      <c r="P653" s="84" t="s">
        <v>77</v>
      </c>
      <c r="Q653" s="83" t="s">
        <v>78</v>
      </c>
      <c r="R653" s="84" t="s">
        <v>79</v>
      </c>
      <c r="S653" s="84" t="s">
        <v>81</v>
      </c>
      <c r="T653" s="84" t="s">
        <v>83</v>
      </c>
      <c r="U653" s="84" t="s">
        <v>85</v>
      </c>
    </row>
    <row r="654" spans="2:21" s="119" customFormat="1" ht="19.5" hidden="1" thickBot="1" x14ac:dyDescent="0.35">
      <c r="B654" s="301"/>
      <c r="C654" s="119">
        <f t="shared" ref="C654:C667" si="672">C653</f>
        <v>0</v>
      </c>
      <c r="D654" s="103" t="s">
        <v>26</v>
      </c>
      <c r="E654" s="104"/>
      <c r="F654" s="745"/>
      <c r="G654" s="745"/>
      <c r="H654" s="746"/>
      <c r="I654" s="745"/>
      <c r="J654" s="745"/>
      <c r="K654" s="745"/>
      <c r="L654" s="745"/>
      <c r="M654" s="746"/>
      <c r="N654" s="746"/>
      <c r="O654" s="745"/>
      <c r="P654" s="746"/>
      <c r="Q654" s="747"/>
      <c r="R654" s="748"/>
      <c r="S654" s="745"/>
      <c r="T654" s="746"/>
      <c r="U654" s="749"/>
    </row>
    <row r="655" spans="2:21" s="119" customFormat="1" ht="19.5" hidden="1" thickBot="1" x14ac:dyDescent="0.3">
      <c r="B655" s="301"/>
      <c r="C655" s="119">
        <f t="shared" si="672"/>
        <v>0</v>
      </c>
      <c r="D655" s="109" t="s">
        <v>93</v>
      </c>
      <c r="E655" s="76" t="s">
        <v>57</v>
      </c>
      <c r="F655" s="733">
        <f>$F$6*$E$652</f>
        <v>0</v>
      </c>
      <c r="G655" s="733">
        <f>$G$6*$E$652</f>
        <v>0</v>
      </c>
      <c r="H655" s="733">
        <f>$H$6*$E$652</f>
        <v>0</v>
      </c>
      <c r="I655" s="733">
        <f>$I$6*$E$652</f>
        <v>0</v>
      </c>
      <c r="J655" s="733">
        <f>$J$6*$E$652</f>
        <v>0</v>
      </c>
      <c r="K655" s="733">
        <f>K$6*$E$652</f>
        <v>0</v>
      </c>
      <c r="L655" s="733">
        <f t="shared" ref="L655:O655" si="673">L$6*$E$652</f>
        <v>0</v>
      </c>
      <c r="M655" s="733">
        <f t="shared" si="673"/>
        <v>0</v>
      </c>
      <c r="N655" s="733">
        <f t="shared" si="673"/>
        <v>0</v>
      </c>
      <c r="O655" s="733">
        <f t="shared" si="673"/>
        <v>0</v>
      </c>
      <c r="P655" s="733">
        <f>$P$6*$E$652</f>
        <v>0</v>
      </c>
      <c r="Q655" s="734">
        <f t="shared" ref="Q655:Q666" si="674">SUM(F655:P655)</f>
        <v>0</v>
      </c>
      <c r="R655" s="733">
        <f>$R$6*$E$652</f>
        <v>0</v>
      </c>
      <c r="S655" s="733">
        <f>$S$6*$E$652</f>
        <v>0</v>
      </c>
      <c r="T655" s="733">
        <f ca="1">$T$6*$E$652</f>
        <v>0</v>
      </c>
      <c r="U655" s="733">
        <f ca="1">$U$6*$E$652</f>
        <v>0</v>
      </c>
    </row>
    <row r="656" spans="2:21" s="119" customFormat="1" ht="19.5" hidden="1" thickBot="1" x14ac:dyDescent="0.3">
      <c r="B656" s="301"/>
      <c r="C656" s="119">
        <f t="shared" si="672"/>
        <v>0</v>
      </c>
      <c r="D656" s="110" t="s">
        <v>92</v>
      </c>
      <c r="E656" s="76" t="s">
        <v>56</v>
      </c>
      <c r="F656" s="733">
        <f>$F$7*$E$652</f>
        <v>0</v>
      </c>
      <c r="G656" s="733">
        <f>$G$7*$E$652</f>
        <v>0</v>
      </c>
      <c r="H656" s="733">
        <f>$H$7*$E$652</f>
        <v>0</v>
      </c>
      <c r="I656" s="733">
        <f>$I$7*$E$652</f>
        <v>0</v>
      </c>
      <c r="J656" s="733">
        <f>$J$7*$E$652</f>
        <v>0</v>
      </c>
      <c r="K656" s="733">
        <f>K$7*$E$652</f>
        <v>0</v>
      </c>
      <c r="L656" s="733">
        <f t="shared" ref="L656:O656" si="675">L$7*$E$652</f>
        <v>0</v>
      </c>
      <c r="M656" s="733">
        <f t="shared" si="675"/>
        <v>0</v>
      </c>
      <c r="N656" s="733">
        <f t="shared" si="675"/>
        <v>0</v>
      </c>
      <c r="O656" s="733">
        <f t="shared" si="675"/>
        <v>0</v>
      </c>
      <c r="P656" s="733">
        <f>$P$7*$E$652</f>
        <v>0</v>
      </c>
      <c r="Q656" s="734">
        <f t="shared" si="674"/>
        <v>0</v>
      </c>
      <c r="R656" s="733">
        <f>$R$7*$E$652</f>
        <v>0</v>
      </c>
      <c r="S656" s="733">
        <f>$S$7*$E$652</f>
        <v>0</v>
      </c>
      <c r="T656" s="733">
        <f>$T$7*$E$652</f>
        <v>0</v>
      </c>
      <c r="U656" s="733">
        <f>$U$7*$E$652</f>
        <v>0</v>
      </c>
    </row>
    <row r="657" spans="2:21" s="119" customFormat="1" ht="19.5" hidden="1" thickBot="1" x14ac:dyDescent="0.3">
      <c r="B657" s="301"/>
      <c r="C657" s="119">
        <f t="shared" si="672"/>
        <v>0</v>
      </c>
      <c r="D657" s="110" t="s">
        <v>91</v>
      </c>
      <c r="E657" s="76" t="s">
        <v>55</v>
      </c>
      <c r="F657" s="733">
        <f>$F$8*$E$652</f>
        <v>0</v>
      </c>
      <c r="G657" s="733">
        <f>$G$8*$E$652</f>
        <v>0</v>
      </c>
      <c r="H657" s="733">
        <f>$H$8*$E$652</f>
        <v>0</v>
      </c>
      <c r="I657" s="733">
        <f>$I$8*$E$652</f>
        <v>0</v>
      </c>
      <c r="J657" s="733">
        <f>$J$8*$E$652</f>
        <v>0</v>
      </c>
      <c r="K657" s="733">
        <f>K$8*$E$652</f>
        <v>0</v>
      </c>
      <c r="L657" s="733">
        <f t="shared" ref="L657:O657" si="676">L$8*$E$652</f>
        <v>0</v>
      </c>
      <c r="M657" s="733">
        <f t="shared" si="676"/>
        <v>0</v>
      </c>
      <c r="N657" s="733">
        <f t="shared" si="676"/>
        <v>0</v>
      </c>
      <c r="O657" s="733">
        <f t="shared" si="676"/>
        <v>0</v>
      </c>
      <c r="P657" s="733">
        <f>$P$8*$E$652</f>
        <v>0</v>
      </c>
      <c r="Q657" s="734">
        <f t="shared" si="674"/>
        <v>0</v>
      </c>
      <c r="R657" s="733">
        <f>$R$8*$E$652</f>
        <v>0</v>
      </c>
      <c r="S657" s="733">
        <f>$S$8*$E$652</f>
        <v>0</v>
      </c>
      <c r="T657" s="733">
        <f ca="1">$T$8*$E$652</f>
        <v>0</v>
      </c>
      <c r="U657" s="733">
        <f ca="1">$U$8*$E$652</f>
        <v>0</v>
      </c>
    </row>
    <row r="658" spans="2:21" s="119" customFormat="1" ht="19.5" hidden="1" thickBot="1" x14ac:dyDescent="0.3">
      <c r="B658" s="301"/>
      <c r="C658" s="119">
        <f t="shared" si="672"/>
        <v>0</v>
      </c>
      <c r="D658" s="111" t="s">
        <v>117</v>
      </c>
      <c r="E658" s="76" t="s">
        <v>54</v>
      </c>
      <c r="F658" s="733">
        <f>$F$9*$E$652</f>
        <v>0</v>
      </c>
      <c r="G658" s="733">
        <f>$G$9*$E$652</f>
        <v>0</v>
      </c>
      <c r="H658" s="733">
        <f>$H$9*$E$652</f>
        <v>0</v>
      </c>
      <c r="I658" s="733">
        <f>$I$9*$E$652</f>
        <v>0</v>
      </c>
      <c r="J658" s="733">
        <f>$J$9*$E$652</f>
        <v>0</v>
      </c>
      <c r="K658" s="733">
        <f>K$9*$E$652</f>
        <v>0</v>
      </c>
      <c r="L658" s="733">
        <f t="shared" ref="L658:O658" si="677">L$9*$E$652</f>
        <v>0</v>
      </c>
      <c r="M658" s="733">
        <f t="shared" si="677"/>
        <v>0</v>
      </c>
      <c r="N658" s="733">
        <f t="shared" si="677"/>
        <v>0</v>
      </c>
      <c r="O658" s="733">
        <f t="shared" si="677"/>
        <v>0</v>
      </c>
      <c r="P658" s="733">
        <f>$P$9*$E$652</f>
        <v>0</v>
      </c>
      <c r="Q658" s="734">
        <f t="shared" si="674"/>
        <v>0</v>
      </c>
      <c r="R658" s="733">
        <f>$R$9*$E$652</f>
        <v>0</v>
      </c>
      <c r="S658" s="733">
        <f>$S$9*$E$652</f>
        <v>0</v>
      </c>
      <c r="T658" s="733">
        <f>$T$9*$E$652</f>
        <v>0</v>
      </c>
      <c r="U658" s="733">
        <f>$U$9*$E$652</f>
        <v>0</v>
      </c>
    </row>
    <row r="659" spans="2:21" s="119" customFormat="1" ht="19.5" hidden="1" thickBot="1" x14ac:dyDescent="0.35">
      <c r="B659" s="301"/>
      <c r="C659" s="119">
        <f t="shared" si="672"/>
        <v>0</v>
      </c>
      <c r="D659" s="112" t="s">
        <v>31</v>
      </c>
      <c r="E659" s="76"/>
      <c r="F659" s="750"/>
      <c r="G659" s="735"/>
      <c r="H659" s="736"/>
      <c r="I659" s="735"/>
      <c r="J659" s="735"/>
      <c r="K659" s="735"/>
      <c r="L659" s="735"/>
      <c r="M659" s="735"/>
      <c r="N659" s="735"/>
      <c r="O659" s="735"/>
      <c r="P659" s="738"/>
      <c r="Q659" s="734">
        <f t="shared" si="674"/>
        <v>0</v>
      </c>
      <c r="R659" s="739"/>
      <c r="S659" s="735"/>
      <c r="T659" s="740"/>
      <c r="U659" s="741"/>
    </row>
    <row r="660" spans="2:21" s="119" customFormat="1" ht="19.5" hidden="1" thickBot="1" x14ac:dyDescent="0.35">
      <c r="B660" s="301"/>
      <c r="C660" s="119">
        <f t="shared" si="672"/>
        <v>0</v>
      </c>
      <c r="D660" s="113" t="s">
        <v>118</v>
      </c>
      <c r="E660" s="76" t="s">
        <v>53</v>
      </c>
      <c r="F660" s="733">
        <f>$F$11*$E$652</f>
        <v>0</v>
      </c>
      <c r="G660" s="733">
        <f>$G$11*$E$652</f>
        <v>0</v>
      </c>
      <c r="H660" s="733">
        <f>$H$11*$E$652</f>
        <v>0</v>
      </c>
      <c r="I660" s="733">
        <f>$I$11*$E$652</f>
        <v>0</v>
      </c>
      <c r="J660" s="733">
        <f>$J$11*$E$652</f>
        <v>0</v>
      </c>
      <c r="K660" s="733">
        <f>K$11*$E$652</f>
        <v>0</v>
      </c>
      <c r="L660" s="733">
        <f t="shared" ref="L660:O660" si="678">L$11*$E$652</f>
        <v>0</v>
      </c>
      <c r="M660" s="733">
        <f t="shared" si="678"/>
        <v>0</v>
      </c>
      <c r="N660" s="733">
        <f t="shared" si="678"/>
        <v>0</v>
      </c>
      <c r="O660" s="733">
        <f t="shared" si="678"/>
        <v>0</v>
      </c>
      <c r="P660" s="733">
        <f>$P$11*$E$652</f>
        <v>0</v>
      </c>
      <c r="Q660" s="734">
        <f t="shared" si="674"/>
        <v>0</v>
      </c>
      <c r="R660" s="733">
        <f>$R$11*$E$652</f>
        <v>0</v>
      </c>
      <c r="S660" s="733">
        <f>$S$11*$E$652</f>
        <v>0</v>
      </c>
      <c r="T660" s="733">
        <f>$T$11*$E$652</f>
        <v>0</v>
      </c>
      <c r="U660" s="733">
        <f>$U$11*$E$652</f>
        <v>0</v>
      </c>
    </row>
    <row r="661" spans="2:21" s="119" customFormat="1" ht="19.5" hidden="1" thickBot="1" x14ac:dyDescent="0.35">
      <c r="B661" s="301"/>
      <c r="C661" s="119">
        <f t="shared" si="672"/>
        <v>0</v>
      </c>
      <c r="D661" s="113" t="s">
        <v>119</v>
      </c>
      <c r="E661" s="76" t="s">
        <v>52</v>
      </c>
      <c r="F661" s="733">
        <f>$F$12*$E$652</f>
        <v>0</v>
      </c>
      <c r="G661" s="733">
        <f>$G$12*$E$652</f>
        <v>0</v>
      </c>
      <c r="H661" s="733">
        <f>$H$12*$E$652</f>
        <v>0</v>
      </c>
      <c r="I661" s="733">
        <f>$I$12*$E$652</f>
        <v>0</v>
      </c>
      <c r="J661" s="733">
        <f>$J$12*$E$652</f>
        <v>0</v>
      </c>
      <c r="K661" s="733">
        <f>K$12*$E$652</f>
        <v>0</v>
      </c>
      <c r="L661" s="733">
        <f t="shared" ref="L661:O661" si="679">L$12*$E$652</f>
        <v>0</v>
      </c>
      <c r="M661" s="733">
        <f t="shared" si="679"/>
        <v>0</v>
      </c>
      <c r="N661" s="733">
        <f t="shared" si="679"/>
        <v>0</v>
      </c>
      <c r="O661" s="733">
        <f t="shared" si="679"/>
        <v>0</v>
      </c>
      <c r="P661" s="733">
        <f>$P$12*$E$652</f>
        <v>0</v>
      </c>
      <c r="Q661" s="734">
        <f t="shared" si="674"/>
        <v>0</v>
      </c>
      <c r="R661" s="733">
        <f>$R$12*$E$652</f>
        <v>0</v>
      </c>
      <c r="S661" s="733">
        <f>$S$12*$E$652</f>
        <v>0</v>
      </c>
      <c r="T661" s="733">
        <f>$T$12*$E$652</f>
        <v>0</v>
      </c>
      <c r="U661" s="733">
        <f>$U$12*$E$652</f>
        <v>0</v>
      </c>
    </row>
    <row r="662" spans="2:21" s="119" customFormat="1" ht="19.5" hidden="1" thickBot="1" x14ac:dyDescent="0.35">
      <c r="B662" s="301"/>
      <c r="C662" s="119">
        <f t="shared" si="672"/>
        <v>0</v>
      </c>
      <c r="D662" s="113" t="s">
        <v>120</v>
      </c>
      <c r="E662" s="76" t="s">
        <v>51</v>
      </c>
      <c r="F662" s="733">
        <f>$F$13*$E$652</f>
        <v>0</v>
      </c>
      <c r="G662" s="733">
        <f>$G$13*$E$652</f>
        <v>0</v>
      </c>
      <c r="H662" s="733">
        <f>$H$13*$E$652</f>
        <v>0</v>
      </c>
      <c r="I662" s="733">
        <f>$I$13*$E$652</f>
        <v>0</v>
      </c>
      <c r="J662" s="733">
        <f>$J$13*$E$652</f>
        <v>0</v>
      </c>
      <c r="K662" s="733">
        <f>K$13*$E$652</f>
        <v>0</v>
      </c>
      <c r="L662" s="733">
        <f t="shared" ref="L662:O662" si="680">L$13*$E$652</f>
        <v>0</v>
      </c>
      <c r="M662" s="733">
        <f t="shared" si="680"/>
        <v>0</v>
      </c>
      <c r="N662" s="733">
        <f t="shared" si="680"/>
        <v>0</v>
      </c>
      <c r="O662" s="733">
        <f t="shared" si="680"/>
        <v>0</v>
      </c>
      <c r="P662" s="733">
        <f>$P$13*$E$652</f>
        <v>0</v>
      </c>
      <c r="Q662" s="734">
        <f t="shared" si="674"/>
        <v>0</v>
      </c>
      <c r="R662" s="733">
        <f>$R$13*$E$652</f>
        <v>0</v>
      </c>
      <c r="S662" s="733">
        <f>$S$13*$E$652</f>
        <v>0</v>
      </c>
      <c r="T662" s="733">
        <f>$T$13*$E$652</f>
        <v>0</v>
      </c>
      <c r="U662" s="733">
        <f>$U$13*$E$652</f>
        <v>0</v>
      </c>
    </row>
    <row r="663" spans="2:21" s="119" customFormat="1" ht="19.5" hidden="1" thickBot="1" x14ac:dyDescent="0.35">
      <c r="B663" s="301"/>
      <c r="C663" s="119">
        <f t="shared" si="672"/>
        <v>0</v>
      </c>
      <c r="D663" s="113" t="s">
        <v>121</v>
      </c>
      <c r="E663" s="76" t="s">
        <v>50</v>
      </c>
      <c r="F663" s="733">
        <f>$F$14*$E$652</f>
        <v>0</v>
      </c>
      <c r="G663" s="733">
        <f>$G$14*$E$652</f>
        <v>0</v>
      </c>
      <c r="H663" s="733">
        <f>$H$14*$E$652</f>
        <v>0</v>
      </c>
      <c r="I663" s="733">
        <f>$I$14*$E$652</f>
        <v>0</v>
      </c>
      <c r="J663" s="733">
        <f>$J$14*$E$652</f>
        <v>0</v>
      </c>
      <c r="K663" s="733">
        <f>K$14*$E$652</f>
        <v>0</v>
      </c>
      <c r="L663" s="733">
        <f t="shared" ref="L663:O663" si="681">L$14*$E$652</f>
        <v>0</v>
      </c>
      <c r="M663" s="733">
        <f t="shared" si="681"/>
        <v>0</v>
      </c>
      <c r="N663" s="733">
        <f t="shared" si="681"/>
        <v>0</v>
      </c>
      <c r="O663" s="733">
        <f t="shared" si="681"/>
        <v>0</v>
      </c>
      <c r="P663" s="733">
        <f>$P$14*$E$652</f>
        <v>0</v>
      </c>
      <c r="Q663" s="734">
        <f t="shared" si="674"/>
        <v>0</v>
      </c>
      <c r="R663" s="733">
        <f>$R$14*$E$652</f>
        <v>0</v>
      </c>
      <c r="S663" s="733">
        <f>$S$14*$E$652</f>
        <v>0</v>
      </c>
      <c r="T663" s="733">
        <f>$T$14*$E$652</f>
        <v>0</v>
      </c>
      <c r="U663" s="733">
        <f>$U$14*$E$652</f>
        <v>0</v>
      </c>
    </row>
    <row r="664" spans="2:21" s="119" customFormat="1" ht="19.5" hidden="1" thickBot="1" x14ac:dyDescent="0.35">
      <c r="B664" s="301"/>
      <c r="C664" s="119">
        <f t="shared" si="672"/>
        <v>0</v>
      </c>
      <c r="D664" s="113" t="s">
        <v>122</v>
      </c>
      <c r="E664" s="76" t="s">
        <v>49</v>
      </c>
      <c r="F664" s="733">
        <f>$F$15*$E$652</f>
        <v>0</v>
      </c>
      <c r="G664" s="733">
        <f>$G$15*$E$652</f>
        <v>0</v>
      </c>
      <c r="H664" s="733">
        <f>$H$15*$E$652</f>
        <v>0</v>
      </c>
      <c r="I664" s="733">
        <f>$I$15*$E$652</f>
        <v>0</v>
      </c>
      <c r="J664" s="733">
        <f>$J$15*$E$652</f>
        <v>0</v>
      </c>
      <c r="K664" s="733">
        <f>K$15*$E$652</f>
        <v>0</v>
      </c>
      <c r="L664" s="733">
        <f t="shared" ref="L664:O664" si="682">L$15*$E$652</f>
        <v>0</v>
      </c>
      <c r="M664" s="733">
        <f t="shared" si="682"/>
        <v>0</v>
      </c>
      <c r="N664" s="733">
        <f t="shared" si="682"/>
        <v>0</v>
      </c>
      <c r="O664" s="733">
        <f t="shared" si="682"/>
        <v>0</v>
      </c>
      <c r="P664" s="733">
        <f>$P$15*$E$652</f>
        <v>0</v>
      </c>
      <c r="Q664" s="734">
        <f t="shared" si="674"/>
        <v>0</v>
      </c>
      <c r="R664" s="733">
        <f>$R$15*$E$652</f>
        <v>0</v>
      </c>
      <c r="S664" s="733">
        <f>$S$15*$E$652</f>
        <v>0</v>
      </c>
      <c r="T664" s="733">
        <f>$T$15*$E$652</f>
        <v>0</v>
      </c>
      <c r="U664" s="733">
        <f>$U$15*$E$652</f>
        <v>0</v>
      </c>
    </row>
    <row r="665" spans="2:21" s="119" customFormat="1" ht="19.5" hidden="1" thickBot="1" x14ac:dyDescent="0.35">
      <c r="B665" s="301"/>
      <c r="C665" s="119">
        <f t="shared" si="672"/>
        <v>0</v>
      </c>
      <c r="D665" s="113" t="s">
        <v>123</v>
      </c>
      <c r="E665" s="76" t="s">
        <v>47</v>
      </c>
      <c r="F665" s="733">
        <f>$F$16*$E$652</f>
        <v>0</v>
      </c>
      <c r="G665" s="733">
        <f>$G$16*$E$652</f>
        <v>0</v>
      </c>
      <c r="H665" s="733">
        <f>$H$16*$E$652</f>
        <v>0</v>
      </c>
      <c r="I665" s="733">
        <f>$I$16*$E$652</f>
        <v>0</v>
      </c>
      <c r="J665" s="733">
        <f>$J$16*$E$652</f>
        <v>0</v>
      </c>
      <c r="K665" s="733">
        <f>K$16*$E$652</f>
        <v>0</v>
      </c>
      <c r="L665" s="733">
        <f t="shared" ref="L665:O665" si="683">L$16*$E$652</f>
        <v>0</v>
      </c>
      <c r="M665" s="733">
        <f t="shared" si="683"/>
        <v>0</v>
      </c>
      <c r="N665" s="733">
        <f t="shared" si="683"/>
        <v>0</v>
      </c>
      <c r="O665" s="733">
        <f t="shared" si="683"/>
        <v>0</v>
      </c>
      <c r="P665" s="733">
        <f>$P$16*$E$652</f>
        <v>0</v>
      </c>
      <c r="Q665" s="734">
        <f t="shared" si="674"/>
        <v>0</v>
      </c>
      <c r="R665" s="733">
        <f>$R$16*$E$652</f>
        <v>0</v>
      </c>
      <c r="S665" s="733">
        <f>$S$16*$E$652</f>
        <v>0</v>
      </c>
      <c r="T665" s="733">
        <f>$T$16*$E$652</f>
        <v>0</v>
      </c>
      <c r="U665" s="733">
        <f>$U$16*$E$652</f>
        <v>0</v>
      </c>
    </row>
    <row r="666" spans="2:21" s="119" customFormat="1" ht="19.5" hidden="1" thickBot="1" x14ac:dyDescent="0.35">
      <c r="B666" s="301"/>
      <c r="C666" s="119">
        <f t="shared" si="672"/>
        <v>0</v>
      </c>
      <c r="D666" s="114" t="s">
        <v>16</v>
      </c>
      <c r="E666" s="70" t="s">
        <v>77</v>
      </c>
      <c r="F666" s="733">
        <f>$F$17*$E$652</f>
        <v>0</v>
      </c>
      <c r="G666" s="733">
        <f>$G$17*$E$652</f>
        <v>0</v>
      </c>
      <c r="H666" s="733">
        <f>$H$17*$E$652</f>
        <v>0</v>
      </c>
      <c r="I666" s="733">
        <f>$I$17*$E$652</f>
        <v>0</v>
      </c>
      <c r="J666" s="733">
        <f>$J$17*$E$652</f>
        <v>0</v>
      </c>
      <c r="K666" s="733">
        <f>K$17*$E$652</f>
        <v>0</v>
      </c>
      <c r="L666" s="733">
        <f t="shared" ref="L666:O666" si="684">L$17*$E$652</f>
        <v>0</v>
      </c>
      <c r="M666" s="733">
        <f t="shared" si="684"/>
        <v>0</v>
      </c>
      <c r="N666" s="733">
        <f t="shared" si="684"/>
        <v>0</v>
      </c>
      <c r="O666" s="733">
        <f t="shared" si="684"/>
        <v>0</v>
      </c>
      <c r="P666" s="733">
        <f>$P$17*$E$652</f>
        <v>0</v>
      </c>
      <c r="Q666" s="734">
        <f t="shared" si="674"/>
        <v>0</v>
      </c>
      <c r="R666" s="733">
        <f>$R$17*$E$652</f>
        <v>0</v>
      </c>
      <c r="S666" s="733">
        <f>$S$17*$E$652</f>
        <v>0</v>
      </c>
      <c r="T666" s="733">
        <f ca="1">$T$17*$E$652</f>
        <v>0</v>
      </c>
      <c r="U666" s="733">
        <f ca="1">$U$17*$E$652</f>
        <v>0</v>
      </c>
    </row>
    <row r="667" spans="2:21" s="119" customFormat="1" ht="19.5" hidden="1" thickBot="1" x14ac:dyDescent="0.35">
      <c r="B667" s="301"/>
      <c r="C667" s="119">
        <f t="shared" si="672"/>
        <v>0</v>
      </c>
      <c r="D667" s="115" t="s">
        <v>124</v>
      </c>
      <c r="E667" s="116" t="s">
        <v>78</v>
      </c>
      <c r="F667" s="742">
        <f t="shared" ref="F667:U667" si="685">SUBTOTAL(9,F655:F666)</f>
        <v>0</v>
      </c>
      <c r="G667" s="742">
        <f>SUBTOTAL(9,G655:G666)</f>
        <v>0</v>
      </c>
      <c r="H667" s="742">
        <f>SUBTOTAL(9,H655:H666)</f>
        <v>0</v>
      </c>
      <c r="I667" s="742">
        <f>SUBTOTAL(9,I655:I666)</f>
        <v>0</v>
      </c>
      <c r="J667" s="742">
        <f>SUBTOTAL(9,J655:J666)</f>
        <v>0</v>
      </c>
      <c r="K667" s="742">
        <f>SUBTOTAL(9,K655:K666)</f>
        <v>0</v>
      </c>
      <c r="L667" s="742">
        <f t="shared" ref="L667:O667" si="686">SUBTOTAL(9,L655:L666)</f>
        <v>0</v>
      </c>
      <c r="M667" s="742">
        <f t="shared" si="686"/>
        <v>0</v>
      </c>
      <c r="N667" s="742">
        <f t="shared" si="686"/>
        <v>0</v>
      </c>
      <c r="O667" s="742">
        <f t="shared" si="686"/>
        <v>0</v>
      </c>
      <c r="P667" s="742">
        <f t="shared" si="685"/>
        <v>0</v>
      </c>
      <c r="Q667" s="743">
        <f>SUBTOTAL(9,Q655:Q666)</f>
        <v>0</v>
      </c>
      <c r="R667" s="742">
        <f t="shared" si="685"/>
        <v>0</v>
      </c>
      <c r="S667" s="742">
        <f t="shared" si="685"/>
        <v>0</v>
      </c>
      <c r="T667" s="742">
        <f t="shared" si="685"/>
        <v>0</v>
      </c>
      <c r="U667" s="742">
        <f t="shared" si="685"/>
        <v>0</v>
      </c>
    </row>
    <row r="668" spans="2:21" s="119" customFormat="1" ht="19.5" hidden="1" thickBot="1" x14ac:dyDescent="0.3">
      <c r="B668" s="340"/>
      <c r="D668" s="117"/>
      <c r="E668" s="117"/>
      <c r="F668" s="118"/>
      <c r="G668" s="118"/>
      <c r="I668" s="118"/>
      <c r="J668" s="118"/>
      <c r="K668" s="118"/>
      <c r="L668" s="118"/>
      <c r="O668" s="118"/>
      <c r="Q668" s="120"/>
      <c r="R668" s="117"/>
      <c r="S668" s="118"/>
      <c r="U668" s="118"/>
    </row>
    <row r="669" spans="2:21" s="119" customFormat="1" ht="75.75" hidden="1" thickBot="1" x14ac:dyDescent="0.3">
      <c r="B669" s="301"/>
      <c r="C669" s="119">
        <f>IF($E669&gt;0,1,0)</f>
        <v>0</v>
      </c>
      <c r="D669" s="96" t="str">
        <f>A42</f>
        <v>Otsego</v>
      </c>
      <c r="E669" s="166">
        <f>IFERROR(SUMIF(A:A,D669,B:B),0)</f>
        <v>0</v>
      </c>
      <c r="F669" s="98" t="s">
        <v>356</v>
      </c>
      <c r="G669" s="98" t="s">
        <v>373</v>
      </c>
      <c r="H669" s="98" t="s">
        <v>358</v>
      </c>
      <c r="I669" s="98" t="s">
        <v>109</v>
      </c>
      <c r="J669" s="98" t="s">
        <v>111</v>
      </c>
      <c r="K669" s="98" t="s">
        <v>469</v>
      </c>
      <c r="L669" s="98" t="s">
        <v>470</v>
      </c>
      <c r="M669" s="98" t="s">
        <v>357</v>
      </c>
      <c r="N669" s="509" t="s">
        <v>471</v>
      </c>
      <c r="O669" s="98" t="s">
        <v>472</v>
      </c>
      <c r="P669" s="98" t="s">
        <v>110</v>
      </c>
      <c r="Q669" s="99" t="s">
        <v>116</v>
      </c>
      <c r="R669" s="98" t="s">
        <v>112</v>
      </c>
      <c r="S669" s="98" t="s">
        <v>113</v>
      </c>
      <c r="T669" s="98" t="s">
        <v>114</v>
      </c>
      <c r="U669" s="98" t="s">
        <v>115</v>
      </c>
    </row>
    <row r="670" spans="2:21" s="119" customFormat="1" ht="19.5" hidden="1" thickBot="1" x14ac:dyDescent="0.3">
      <c r="B670" s="301"/>
      <c r="C670" s="119">
        <f>C669</f>
        <v>0</v>
      </c>
      <c r="D670" s="101"/>
      <c r="E670" s="102"/>
      <c r="F670" s="84" t="s">
        <v>57</v>
      </c>
      <c r="G670" s="84" t="s">
        <v>56</v>
      </c>
      <c r="H670" s="84" t="s">
        <v>55</v>
      </c>
      <c r="I670" s="84" t="s">
        <v>54</v>
      </c>
      <c r="J670" s="84" t="s">
        <v>53</v>
      </c>
      <c r="K670" s="84" t="s">
        <v>52</v>
      </c>
      <c r="L670" s="84" t="s">
        <v>51</v>
      </c>
      <c r="M670" s="84" t="s">
        <v>50</v>
      </c>
      <c r="N670" s="84" t="s">
        <v>49</v>
      </c>
      <c r="O670" s="84" t="s">
        <v>47</v>
      </c>
      <c r="P670" s="84" t="s">
        <v>77</v>
      </c>
      <c r="Q670" s="83" t="s">
        <v>78</v>
      </c>
      <c r="R670" s="84" t="s">
        <v>79</v>
      </c>
      <c r="S670" s="84" t="s">
        <v>81</v>
      </c>
      <c r="T670" s="84" t="s">
        <v>83</v>
      </c>
      <c r="U670" s="84" t="s">
        <v>85</v>
      </c>
    </row>
    <row r="671" spans="2:21" s="119" customFormat="1" ht="19.5" hidden="1" thickBot="1" x14ac:dyDescent="0.35">
      <c r="B671" s="301"/>
      <c r="C671" s="119">
        <f t="shared" ref="C671:C684" si="687">C670</f>
        <v>0</v>
      </c>
      <c r="D671" s="103" t="s">
        <v>26</v>
      </c>
      <c r="E671" s="104"/>
      <c r="F671" s="745"/>
      <c r="G671" s="745"/>
      <c r="H671" s="746"/>
      <c r="I671" s="745"/>
      <c r="J671" s="745"/>
      <c r="K671" s="745"/>
      <c r="L671" s="745"/>
      <c r="M671" s="746"/>
      <c r="N671" s="746"/>
      <c r="O671" s="745"/>
      <c r="P671" s="746"/>
      <c r="Q671" s="747"/>
      <c r="R671" s="748"/>
      <c r="S671" s="745"/>
      <c r="T671" s="746"/>
      <c r="U671" s="749"/>
    </row>
    <row r="672" spans="2:21" s="119" customFormat="1" ht="19.5" hidden="1" thickBot="1" x14ac:dyDescent="0.3">
      <c r="B672" s="301"/>
      <c r="C672" s="119">
        <f t="shared" si="687"/>
        <v>0</v>
      </c>
      <c r="D672" s="109" t="s">
        <v>93</v>
      </c>
      <c r="E672" s="76" t="s">
        <v>57</v>
      </c>
      <c r="F672" s="733">
        <f>$F$6*$E$669</f>
        <v>0</v>
      </c>
      <c r="G672" s="733">
        <f>$G$6*$E$669</f>
        <v>0</v>
      </c>
      <c r="H672" s="733">
        <f>$H$6*$E$669</f>
        <v>0</v>
      </c>
      <c r="I672" s="733">
        <f>$I$6*$E$669</f>
        <v>0</v>
      </c>
      <c r="J672" s="733">
        <f>$J$6*$E$669</f>
        <v>0</v>
      </c>
      <c r="K672" s="733">
        <f>K$6*$E$669</f>
        <v>0</v>
      </c>
      <c r="L672" s="733">
        <f t="shared" ref="L672:O672" si="688">L$6*$E$669</f>
        <v>0</v>
      </c>
      <c r="M672" s="733">
        <f t="shared" si="688"/>
        <v>0</v>
      </c>
      <c r="N672" s="733">
        <f t="shared" si="688"/>
        <v>0</v>
      </c>
      <c r="O672" s="733">
        <f t="shared" si="688"/>
        <v>0</v>
      </c>
      <c r="P672" s="733">
        <f>$P$6*$E$669</f>
        <v>0</v>
      </c>
      <c r="Q672" s="734">
        <f t="shared" ref="Q672:Q683" si="689">SUM(F672:P672)</f>
        <v>0</v>
      </c>
      <c r="R672" s="733">
        <f>$R$6*$E$669</f>
        <v>0</v>
      </c>
      <c r="S672" s="733">
        <f>$S$6*$E$669</f>
        <v>0</v>
      </c>
      <c r="T672" s="733">
        <f ca="1">$T$6*$E$669</f>
        <v>0</v>
      </c>
      <c r="U672" s="733">
        <f ca="1">$U$6*$E$669</f>
        <v>0</v>
      </c>
    </row>
    <row r="673" spans="2:21" s="119" customFormat="1" ht="19.5" hidden="1" thickBot="1" x14ac:dyDescent="0.3">
      <c r="B673" s="301"/>
      <c r="C673" s="119">
        <f t="shared" si="687"/>
        <v>0</v>
      </c>
      <c r="D673" s="110" t="s">
        <v>92</v>
      </c>
      <c r="E673" s="76" t="s">
        <v>56</v>
      </c>
      <c r="F673" s="733">
        <f>$F$7*$E$669</f>
        <v>0</v>
      </c>
      <c r="G673" s="733">
        <f>$G$7*$E$669</f>
        <v>0</v>
      </c>
      <c r="H673" s="733">
        <f>$H$7*$E$669</f>
        <v>0</v>
      </c>
      <c r="I673" s="733">
        <f>$I$7*$E$669</f>
        <v>0</v>
      </c>
      <c r="J673" s="733">
        <f>$J$7*$E$669</f>
        <v>0</v>
      </c>
      <c r="K673" s="733">
        <f>K$7*$E$669</f>
        <v>0</v>
      </c>
      <c r="L673" s="733">
        <f t="shared" ref="L673:O673" si="690">L$7*$E$669</f>
        <v>0</v>
      </c>
      <c r="M673" s="733">
        <f t="shared" si="690"/>
        <v>0</v>
      </c>
      <c r="N673" s="733">
        <f t="shared" si="690"/>
        <v>0</v>
      </c>
      <c r="O673" s="733">
        <f t="shared" si="690"/>
        <v>0</v>
      </c>
      <c r="P673" s="733">
        <f>$P$7*$E$669</f>
        <v>0</v>
      </c>
      <c r="Q673" s="734">
        <f t="shared" si="689"/>
        <v>0</v>
      </c>
      <c r="R673" s="733">
        <f>$R$7*$E$669</f>
        <v>0</v>
      </c>
      <c r="S673" s="733">
        <f>$S$7*$E$669</f>
        <v>0</v>
      </c>
      <c r="T673" s="733">
        <f>$T$7*$E$669</f>
        <v>0</v>
      </c>
      <c r="U673" s="733">
        <f>$U$7*$E$669</f>
        <v>0</v>
      </c>
    </row>
    <row r="674" spans="2:21" s="119" customFormat="1" ht="19.5" hidden="1" thickBot="1" x14ac:dyDescent="0.3">
      <c r="B674" s="301"/>
      <c r="C674" s="119">
        <f t="shared" si="687"/>
        <v>0</v>
      </c>
      <c r="D674" s="110" t="s">
        <v>91</v>
      </c>
      <c r="E674" s="76" t="s">
        <v>55</v>
      </c>
      <c r="F674" s="733">
        <f>$F$8*$E$669</f>
        <v>0</v>
      </c>
      <c r="G674" s="733">
        <f>$G$8*$E$669</f>
        <v>0</v>
      </c>
      <c r="H674" s="733">
        <f>$H$8*$E$669</f>
        <v>0</v>
      </c>
      <c r="I674" s="733">
        <f>$I$8*$E$669</f>
        <v>0</v>
      </c>
      <c r="J674" s="733">
        <f>$J$8*$E$669</f>
        <v>0</v>
      </c>
      <c r="K674" s="733">
        <f>K$8*$E$669</f>
        <v>0</v>
      </c>
      <c r="L674" s="733">
        <f t="shared" ref="L674:O674" si="691">L$8*$E$669</f>
        <v>0</v>
      </c>
      <c r="M674" s="733">
        <f t="shared" si="691"/>
        <v>0</v>
      </c>
      <c r="N674" s="733">
        <f t="shared" si="691"/>
        <v>0</v>
      </c>
      <c r="O674" s="733">
        <f t="shared" si="691"/>
        <v>0</v>
      </c>
      <c r="P674" s="733">
        <f>$P$8*$E$669</f>
        <v>0</v>
      </c>
      <c r="Q674" s="734">
        <f t="shared" si="689"/>
        <v>0</v>
      </c>
      <c r="R674" s="733">
        <f>$R$8*$E$669</f>
        <v>0</v>
      </c>
      <c r="S674" s="733">
        <f>$S$8*$E$669</f>
        <v>0</v>
      </c>
      <c r="T674" s="733">
        <f ca="1">$T$8*$E$669</f>
        <v>0</v>
      </c>
      <c r="U674" s="733">
        <f ca="1">$U$8*$E$669</f>
        <v>0</v>
      </c>
    </row>
    <row r="675" spans="2:21" s="119" customFormat="1" ht="19.5" hidden="1" thickBot="1" x14ac:dyDescent="0.3">
      <c r="B675" s="301"/>
      <c r="C675" s="119">
        <f t="shared" si="687"/>
        <v>0</v>
      </c>
      <c r="D675" s="111" t="s">
        <v>117</v>
      </c>
      <c r="E675" s="76" t="s">
        <v>54</v>
      </c>
      <c r="F675" s="733">
        <f>$F$9*$E$669</f>
        <v>0</v>
      </c>
      <c r="G675" s="733">
        <f>$G$9*$E$669</f>
        <v>0</v>
      </c>
      <c r="H675" s="733">
        <f>$H$9*$E$669</f>
        <v>0</v>
      </c>
      <c r="I675" s="733">
        <f>$I$9*$E$669</f>
        <v>0</v>
      </c>
      <c r="J675" s="733">
        <f>$J$9*$E$669</f>
        <v>0</v>
      </c>
      <c r="K675" s="733">
        <f>K$9*$E$669</f>
        <v>0</v>
      </c>
      <c r="L675" s="733">
        <f t="shared" ref="L675:O675" si="692">L$9*$E$669</f>
        <v>0</v>
      </c>
      <c r="M675" s="733">
        <f t="shared" si="692"/>
        <v>0</v>
      </c>
      <c r="N675" s="733">
        <f t="shared" si="692"/>
        <v>0</v>
      </c>
      <c r="O675" s="733">
        <f t="shared" si="692"/>
        <v>0</v>
      </c>
      <c r="P675" s="733">
        <f>$P$9*$E$669</f>
        <v>0</v>
      </c>
      <c r="Q675" s="734">
        <f t="shared" si="689"/>
        <v>0</v>
      </c>
      <c r="R675" s="733">
        <f>$R$9*$E$669</f>
        <v>0</v>
      </c>
      <c r="S675" s="733">
        <f>$S$9*$E$669</f>
        <v>0</v>
      </c>
      <c r="T675" s="733">
        <f>$T$9*$E$669</f>
        <v>0</v>
      </c>
      <c r="U675" s="733">
        <f>$U$9*$E$669</f>
        <v>0</v>
      </c>
    </row>
    <row r="676" spans="2:21" s="119" customFormat="1" ht="19.5" hidden="1" thickBot="1" x14ac:dyDescent="0.35">
      <c r="B676" s="301"/>
      <c r="C676" s="119">
        <f t="shared" si="687"/>
        <v>0</v>
      </c>
      <c r="D676" s="112" t="s">
        <v>31</v>
      </c>
      <c r="E676" s="76"/>
      <c r="F676" s="750"/>
      <c r="G676" s="735"/>
      <c r="H676" s="736"/>
      <c r="I676" s="735"/>
      <c r="J676" s="735"/>
      <c r="K676" s="735"/>
      <c r="L676" s="735"/>
      <c r="M676" s="735"/>
      <c r="N676" s="735"/>
      <c r="O676" s="735"/>
      <c r="P676" s="738"/>
      <c r="Q676" s="734">
        <f t="shared" si="689"/>
        <v>0</v>
      </c>
      <c r="R676" s="739"/>
      <c r="S676" s="735"/>
      <c r="T676" s="740"/>
      <c r="U676" s="741"/>
    </row>
    <row r="677" spans="2:21" s="119" customFormat="1" ht="19.5" hidden="1" thickBot="1" x14ac:dyDescent="0.35">
      <c r="B677" s="301"/>
      <c r="C677" s="119">
        <f t="shared" si="687"/>
        <v>0</v>
      </c>
      <c r="D677" s="113" t="s">
        <v>118</v>
      </c>
      <c r="E677" s="76" t="s">
        <v>53</v>
      </c>
      <c r="F677" s="733">
        <f>$F$11*$E$669</f>
        <v>0</v>
      </c>
      <c r="G677" s="733">
        <f>$G$11*$E$669</f>
        <v>0</v>
      </c>
      <c r="H677" s="733">
        <f>$H$11*$E$669</f>
        <v>0</v>
      </c>
      <c r="I677" s="733">
        <f>$I$11*$E$669</f>
        <v>0</v>
      </c>
      <c r="J677" s="733">
        <f>$J$11*$E$669</f>
        <v>0</v>
      </c>
      <c r="K677" s="733">
        <f>K$11*$E$669</f>
        <v>0</v>
      </c>
      <c r="L677" s="733">
        <f t="shared" ref="L677:O677" si="693">L$11*$E$669</f>
        <v>0</v>
      </c>
      <c r="M677" s="733">
        <f t="shared" si="693"/>
        <v>0</v>
      </c>
      <c r="N677" s="733">
        <f t="shared" si="693"/>
        <v>0</v>
      </c>
      <c r="O677" s="733">
        <f t="shared" si="693"/>
        <v>0</v>
      </c>
      <c r="P677" s="733">
        <f>$P$11*$E$669</f>
        <v>0</v>
      </c>
      <c r="Q677" s="734">
        <f t="shared" si="689"/>
        <v>0</v>
      </c>
      <c r="R677" s="733">
        <f>$R$11*$E$669</f>
        <v>0</v>
      </c>
      <c r="S677" s="733">
        <f>$S$11*$E$669</f>
        <v>0</v>
      </c>
      <c r="T677" s="733">
        <f>$T$11*$E$669</f>
        <v>0</v>
      </c>
      <c r="U677" s="733">
        <f>$U$11*$E$669</f>
        <v>0</v>
      </c>
    </row>
    <row r="678" spans="2:21" s="119" customFormat="1" ht="19.5" hidden="1" thickBot="1" x14ac:dyDescent="0.35">
      <c r="B678" s="301"/>
      <c r="C678" s="119">
        <f t="shared" si="687"/>
        <v>0</v>
      </c>
      <c r="D678" s="113" t="s">
        <v>119</v>
      </c>
      <c r="E678" s="76" t="s">
        <v>52</v>
      </c>
      <c r="F678" s="733">
        <f>$F$12*$E$669</f>
        <v>0</v>
      </c>
      <c r="G678" s="733">
        <f>$G$12*$E$669</f>
        <v>0</v>
      </c>
      <c r="H678" s="733">
        <f>$H$12*$E$669</f>
        <v>0</v>
      </c>
      <c r="I678" s="733">
        <f>$I$12*$E$669</f>
        <v>0</v>
      </c>
      <c r="J678" s="733">
        <f>$J$12*$E$669</f>
        <v>0</v>
      </c>
      <c r="K678" s="733">
        <f>K$12*$E$669</f>
        <v>0</v>
      </c>
      <c r="L678" s="733">
        <f t="shared" ref="L678:O678" si="694">L$12*$E$669</f>
        <v>0</v>
      </c>
      <c r="M678" s="733">
        <f t="shared" si="694"/>
        <v>0</v>
      </c>
      <c r="N678" s="733">
        <f t="shared" si="694"/>
        <v>0</v>
      </c>
      <c r="O678" s="733">
        <f t="shared" si="694"/>
        <v>0</v>
      </c>
      <c r="P678" s="733">
        <f>$P$12*$E$669</f>
        <v>0</v>
      </c>
      <c r="Q678" s="734">
        <f t="shared" si="689"/>
        <v>0</v>
      </c>
      <c r="R678" s="733">
        <f>$R$12*$E$669</f>
        <v>0</v>
      </c>
      <c r="S678" s="733">
        <f>$S$12*$E$669</f>
        <v>0</v>
      </c>
      <c r="T678" s="733">
        <f>$T$12*$E$669</f>
        <v>0</v>
      </c>
      <c r="U678" s="733">
        <f>$U$12*$E$669</f>
        <v>0</v>
      </c>
    </row>
    <row r="679" spans="2:21" s="119" customFormat="1" ht="19.5" hidden="1" thickBot="1" x14ac:dyDescent="0.35">
      <c r="B679" s="301"/>
      <c r="C679" s="119">
        <f t="shared" si="687"/>
        <v>0</v>
      </c>
      <c r="D679" s="113" t="s">
        <v>120</v>
      </c>
      <c r="E679" s="76" t="s">
        <v>51</v>
      </c>
      <c r="F679" s="733">
        <f>$F$13*$E$669</f>
        <v>0</v>
      </c>
      <c r="G679" s="733">
        <f>$G$13*$E$669</f>
        <v>0</v>
      </c>
      <c r="H679" s="733">
        <f>$H$13*$E$669</f>
        <v>0</v>
      </c>
      <c r="I679" s="733">
        <f>$I$13*$E$669</f>
        <v>0</v>
      </c>
      <c r="J679" s="733">
        <f>$J$13*$E$669</f>
        <v>0</v>
      </c>
      <c r="K679" s="733">
        <f>K$13*$E$669</f>
        <v>0</v>
      </c>
      <c r="L679" s="733">
        <f t="shared" ref="L679:O679" si="695">L$13*$E$669</f>
        <v>0</v>
      </c>
      <c r="M679" s="733">
        <f t="shared" si="695"/>
        <v>0</v>
      </c>
      <c r="N679" s="733">
        <f t="shared" si="695"/>
        <v>0</v>
      </c>
      <c r="O679" s="733">
        <f t="shared" si="695"/>
        <v>0</v>
      </c>
      <c r="P679" s="733">
        <f>$P$13*$E$669</f>
        <v>0</v>
      </c>
      <c r="Q679" s="734">
        <f t="shared" si="689"/>
        <v>0</v>
      </c>
      <c r="R679" s="733">
        <f>$R$13*$E$669</f>
        <v>0</v>
      </c>
      <c r="S679" s="733">
        <f>$S$13*$E$669</f>
        <v>0</v>
      </c>
      <c r="T679" s="733">
        <f>$T$13*$E$669</f>
        <v>0</v>
      </c>
      <c r="U679" s="733">
        <f>$U$13*$E$669</f>
        <v>0</v>
      </c>
    </row>
    <row r="680" spans="2:21" s="119" customFormat="1" ht="19.5" hidden="1" thickBot="1" x14ac:dyDescent="0.35">
      <c r="B680" s="301"/>
      <c r="C680" s="119">
        <f t="shared" si="687"/>
        <v>0</v>
      </c>
      <c r="D680" s="113" t="s">
        <v>121</v>
      </c>
      <c r="E680" s="76" t="s">
        <v>50</v>
      </c>
      <c r="F680" s="733">
        <f>$F$14*$E$669</f>
        <v>0</v>
      </c>
      <c r="G680" s="733">
        <f>$G$14*$E$669</f>
        <v>0</v>
      </c>
      <c r="H680" s="733">
        <f>$H$14*$E$669</f>
        <v>0</v>
      </c>
      <c r="I680" s="733">
        <f>$I$14*$E$669</f>
        <v>0</v>
      </c>
      <c r="J680" s="733">
        <f>$J$14*$E$669</f>
        <v>0</v>
      </c>
      <c r="K680" s="733">
        <f>K$14*$E$669</f>
        <v>0</v>
      </c>
      <c r="L680" s="733">
        <f t="shared" ref="L680:O680" si="696">L$14*$E$669</f>
        <v>0</v>
      </c>
      <c r="M680" s="733">
        <f t="shared" si="696"/>
        <v>0</v>
      </c>
      <c r="N680" s="733">
        <f t="shared" si="696"/>
        <v>0</v>
      </c>
      <c r="O680" s="733">
        <f t="shared" si="696"/>
        <v>0</v>
      </c>
      <c r="P680" s="733">
        <f>$P$14*$E$669</f>
        <v>0</v>
      </c>
      <c r="Q680" s="734">
        <f t="shared" si="689"/>
        <v>0</v>
      </c>
      <c r="R680" s="733">
        <f>$R$14*$E$669</f>
        <v>0</v>
      </c>
      <c r="S680" s="733">
        <f>$S$14*$E$669</f>
        <v>0</v>
      </c>
      <c r="T680" s="733">
        <f>$T$14*$E$669</f>
        <v>0</v>
      </c>
      <c r="U680" s="733">
        <f>$U$14*$E$669</f>
        <v>0</v>
      </c>
    </row>
    <row r="681" spans="2:21" s="119" customFormat="1" ht="19.5" hidden="1" thickBot="1" x14ac:dyDescent="0.35">
      <c r="B681" s="301"/>
      <c r="C681" s="119">
        <f t="shared" si="687"/>
        <v>0</v>
      </c>
      <c r="D681" s="113" t="s">
        <v>122</v>
      </c>
      <c r="E681" s="76" t="s">
        <v>49</v>
      </c>
      <c r="F681" s="733">
        <f>$F$15*$E$669</f>
        <v>0</v>
      </c>
      <c r="G681" s="733">
        <f>$G$15*$E$669</f>
        <v>0</v>
      </c>
      <c r="H681" s="733">
        <f>$H$15*$E$669</f>
        <v>0</v>
      </c>
      <c r="I681" s="733">
        <f>$I$15*$E$669</f>
        <v>0</v>
      </c>
      <c r="J681" s="733">
        <f>$J$15*$E$669</f>
        <v>0</v>
      </c>
      <c r="K681" s="733">
        <f>K$15*$E$669</f>
        <v>0</v>
      </c>
      <c r="L681" s="733">
        <f t="shared" ref="L681:O681" si="697">L$15*$E$669</f>
        <v>0</v>
      </c>
      <c r="M681" s="733">
        <f t="shared" si="697"/>
        <v>0</v>
      </c>
      <c r="N681" s="733">
        <f t="shared" si="697"/>
        <v>0</v>
      </c>
      <c r="O681" s="733">
        <f t="shared" si="697"/>
        <v>0</v>
      </c>
      <c r="P681" s="733">
        <f>$P$15*$E$669</f>
        <v>0</v>
      </c>
      <c r="Q681" s="734">
        <f t="shared" si="689"/>
        <v>0</v>
      </c>
      <c r="R681" s="733">
        <f>$R$15*$E$669</f>
        <v>0</v>
      </c>
      <c r="S681" s="733">
        <f>$S$15*$E$669</f>
        <v>0</v>
      </c>
      <c r="T681" s="733">
        <f>$T$15*$E$669</f>
        <v>0</v>
      </c>
      <c r="U681" s="733">
        <f>$U$15*$E$669</f>
        <v>0</v>
      </c>
    </row>
    <row r="682" spans="2:21" s="119" customFormat="1" ht="19.5" hidden="1" thickBot="1" x14ac:dyDescent="0.35">
      <c r="B682" s="301"/>
      <c r="C682" s="119">
        <f t="shared" si="687"/>
        <v>0</v>
      </c>
      <c r="D682" s="113" t="s">
        <v>123</v>
      </c>
      <c r="E682" s="76" t="s">
        <v>47</v>
      </c>
      <c r="F682" s="733">
        <f>$F$16*$E$669</f>
        <v>0</v>
      </c>
      <c r="G682" s="733">
        <f>$G$16*$E$669</f>
        <v>0</v>
      </c>
      <c r="H682" s="733">
        <f>$H$16*$E$669</f>
        <v>0</v>
      </c>
      <c r="I682" s="733">
        <f>$I$16*$E$669</f>
        <v>0</v>
      </c>
      <c r="J682" s="733">
        <f>$J$16*$E$669</f>
        <v>0</v>
      </c>
      <c r="K682" s="733">
        <f>K$16*$E$669</f>
        <v>0</v>
      </c>
      <c r="L682" s="733">
        <f t="shared" ref="L682:O682" si="698">L$16*$E$669</f>
        <v>0</v>
      </c>
      <c r="M682" s="733">
        <f t="shared" si="698"/>
        <v>0</v>
      </c>
      <c r="N682" s="733">
        <f t="shared" si="698"/>
        <v>0</v>
      </c>
      <c r="O682" s="733">
        <f t="shared" si="698"/>
        <v>0</v>
      </c>
      <c r="P682" s="733">
        <f>$P$16*$E$669</f>
        <v>0</v>
      </c>
      <c r="Q682" s="734">
        <f t="shared" si="689"/>
        <v>0</v>
      </c>
      <c r="R682" s="733">
        <f>$R$16*$E$669</f>
        <v>0</v>
      </c>
      <c r="S682" s="733">
        <f>$S$16*$E$669</f>
        <v>0</v>
      </c>
      <c r="T682" s="733">
        <f>$T$16*$E$669</f>
        <v>0</v>
      </c>
      <c r="U682" s="733">
        <f>$U$16*$E$669</f>
        <v>0</v>
      </c>
    </row>
    <row r="683" spans="2:21" s="119" customFormat="1" ht="19.5" hidden="1" thickBot="1" x14ac:dyDescent="0.35">
      <c r="B683" s="301"/>
      <c r="C683" s="119">
        <f t="shared" si="687"/>
        <v>0</v>
      </c>
      <c r="D683" s="114" t="s">
        <v>16</v>
      </c>
      <c r="E683" s="70" t="s">
        <v>77</v>
      </c>
      <c r="F683" s="733">
        <f>$F$17*$E$669</f>
        <v>0</v>
      </c>
      <c r="G683" s="733">
        <f>$G$17*$E$669</f>
        <v>0</v>
      </c>
      <c r="H683" s="733">
        <f>$H$17*$E$669</f>
        <v>0</v>
      </c>
      <c r="I683" s="733">
        <f>$I$17*$E$669</f>
        <v>0</v>
      </c>
      <c r="J683" s="733">
        <f>$J$17*$E$669</f>
        <v>0</v>
      </c>
      <c r="K683" s="733">
        <f>K$17*$E$669</f>
        <v>0</v>
      </c>
      <c r="L683" s="733">
        <f t="shared" ref="L683:O683" si="699">L$17*$E$669</f>
        <v>0</v>
      </c>
      <c r="M683" s="733">
        <f t="shared" si="699"/>
        <v>0</v>
      </c>
      <c r="N683" s="733">
        <f t="shared" si="699"/>
        <v>0</v>
      </c>
      <c r="O683" s="733">
        <f t="shared" si="699"/>
        <v>0</v>
      </c>
      <c r="P683" s="733">
        <f>$P$17*$E$669</f>
        <v>0</v>
      </c>
      <c r="Q683" s="734">
        <f t="shared" si="689"/>
        <v>0</v>
      </c>
      <c r="R683" s="733">
        <f>$R$17*$E$669</f>
        <v>0</v>
      </c>
      <c r="S683" s="733">
        <f>$S$17*$E$669</f>
        <v>0</v>
      </c>
      <c r="T683" s="733">
        <f ca="1">$T$17*$E$669</f>
        <v>0</v>
      </c>
      <c r="U683" s="733">
        <f ca="1">$U$17*$E$669</f>
        <v>0</v>
      </c>
    </row>
    <row r="684" spans="2:21" s="119" customFormat="1" ht="19.5" hidden="1" thickBot="1" x14ac:dyDescent="0.35">
      <c r="B684" s="301"/>
      <c r="C684" s="119">
        <f t="shared" si="687"/>
        <v>0</v>
      </c>
      <c r="D684" s="115" t="s">
        <v>124</v>
      </c>
      <c r="E684" s="116" t="s">
        <v>78</v>
      </c>
      <c r="F684" s="742">
        <f t="shared" ref="F684:U684" si="700">SUBTOTAL(9,F672:F683)</f>
        <v>0</v>
      </c>
      <c r="G684" s="742">
        <f>SUBTOTAL(9,G672:G683)</f>
        <v>0</v>
      </c>
      <c r="H684" s="742">
        <f>SUBTOTAL(9,H672:H683)</f>
        <v>0</v>
      </c>
      <c r="I684" s="742">
        <f>SUBTOTAL(9,I672:I683)</f>
        <v>0</v>
      </c>
      <c r="J684" s="742">
        <f>SUBTOTAL(9,J672:J683)</f>
        <v>0</v>
      </c>
      <c r="K684" s="742">
        <f>SUBTOTAL(9,K672:K683)</f>
        <v>0</v>
      </c>
      <c r="L684" s="742">
        <f t="shared" ref="L684:O684" si="701">SUBTOTAL(9,L672:L683)</f>
        <v>0</v>
      </c>
      <c r="M684" s="742">
        <f t="shared" si="701"/>
        <v>0</v>
      </c>
      <c r="N684" s="742">
        <f t="shared" si="701"/>
        <v>0</v>
      </c>
      <c r="O684" s="742">
        <f t="shared" si="701"/>
        <v>0</v>
      </c>
      <c r="P684" s="742">
        <f t="shared" si="700"/>
        <v>0</v>
      </c>
      <c r="Q684" s="743">
        <f>SUBTOTAL(9,Q672:Q683)</f>
        <v>0</v>
      </c>
      <c r="R684" s="742">
        <f t="shared" si="700"/>
        <v>0</v>
      </c>
      <c r="S684" s="742">
        <f t="shared" si="700"/>
        <v>0</v>
      </c>
      <c r="T684" s="742">
        <f t="shared" si="700"/>
        <v>0</v>
      </c>
      <c r="U684" s="742">
        <f t="shared" si="700"/>
        <v>0</v>
      </c>
    </row>
    <row r="685" spans="2:21" s="119" customFormat="1" ht="19.5" hidden="1" thickBot="1" x14ac:dyDescent="0.3">
      <c r="B685" s="340"/>
      <c r="D685" s="117"/>
      <c r="E685" s="117"/>
      <c r="F685" s="118"/>
      <c r="G685" s="118"/>
      <c r="I685" s="118"/>
      <c r="J685" s="118"/>
      <c r="K685" s="118"/>
      <c r="L685" s="118"/>
      <c r="O685" s="118"/>
      <c r="Q685" s="120"/>
      <c r="R685" s="117"/>
      <c r="S685" s="118"/>
      <c r="U685" s="118"/>
    </row>
    <row r="686" spans="2:21" s="119" customFormat="1" ht="75.75" hidden="1" thickBot="1" x14ac:dyDescent="0.3">
      <c r="B686" s="301"/>
      <c r="C686" s="119">
        <f>IF($E686&gt;0,1,0)</f>
        <v>0</v>
      </c>
      <c r="D686" s="96" t="str">
        <f>A43</f>
        <v>Putnam</v>
      </c>
      <c r="E686" s="166">
        <f>IFERROR(SUMIF(A:A,D686,B:B),0)</f>
        <v>0</v>
      </c>
      <c r="F686" s="98" t="s">
        <v>356</v>
      </c>
      <c r="G686" s="98" t="s">
        <v>373</v>
      </c>
      <c r="H686" s="98" t="s">
        <v>358</v>
      </c>
      <c r="I686" s="98" t="s">
        <v>109</v>
      </c>
      <c r="J686" s="98" t="s">
        <v>111</v>
      </c>
      <c r="K686" s="98" t="s">
        <v>469</v>
      </c>
      <c r="L686" s="98" t="s">
        <v>470</v>
      </c>
      <c r="M686" s="98" t="s">
        <v>357</v>
      </c>
      <c r="N686" s="509" t="s">
        <v>471</v>
      </c>
      <c r="O686" s="98" t="s">
        <v>472</v>
      </c>
      <c r="P686" s="98" t="s">
        <v>110</v>
      </c>
      <c r="Q686" s="99" t="s">
        <v>116</v>
      </c>
      <c r="R686" s="98" t="s">
        <v>112</v>
      </c>
      <c r="S686" s="98" t="s">
        <v>113</v>
      </c>
      <c r="T686" s="98" t="s">
        <v>114</v>
      </c>
      <c r="U686" s="98" t="s">
        <v>115</v>
      </c>
    </row>
    <row r="687" spans="2:21" s="119" customFormat="1" ht="19.5" hidden="1" thickBot="1" x14ac:dyDescent="0.3">
      <c r="B687" s="301"/>
      <c r="C687" s="119">
        <f>C686</f>
        <v>0</v>
      </c>
      <c r="D687" s="101"/>
      <c r="E687" s="102"/>
      <c r="F687" s="84" t="s">
        <v>57</v>
      </c>
      <c r="G687" s="84" t="s">
        <v>56</v>
      </c>
      <c r="H687" s="84" t="s">
        <v>55</v>
      </c>
      <c r="I687" s="84" t="s">
        <v>54</v>
      </c>
      <c r="J687" s="84" t="s">
        <v>53</v>
      </c>
      <c r="K687" s="84" t="s">
        <v>52</v>
      </c>
      <c r="L687" s="84" t="s">
        <v>51</v>
      </c>
      <c r="M687" s="84" t="s">
        <v>50</v>
      </c>
      <c r="N687" s="84" t="s">
        <v>49</v>
      </c>
      <c r="O687" s="84" t="s">
        <v>47</v>
      </c>
      <c r="P687" s="84" t="s">
        <v>77</v>
      </c>
      <c r="Q687" s="83" t="s">
        <v>78</v>
      </c>
      <c r="R687" s="84" t="s">
        <v>79</v>
      </c>
      <c r="S687" s="84" t="s">
        <v>81</v>
      </c>
      <c r="T687" s="84" t="s">
        <v>83</v>
      </c>
      <c r="U687" s="84" t="s">
        <v>85</v>
      </c>
    </row>
    <row r="688" spans="2:21" s="119" customFormat="1" ht="19.5" hidden="1" thickBot="1" x14ac:dyDescent="0.35">
      <c r="B688" s="301"/>
      <c r="C688" s="119">
        <f t="shared" ref="C688:C701" si="702">C687</f>
        <v>0</v>
      </c>
      <c r="D688" s="103" t="s">
        <v>26</v>
      </c>
      <c r="E688" s="104"/>
      <c r="F688" s="745"/>
      <c r="G688" s="745"/>
      <c r="H688" s="746"/>
      <c r="I688" s="745"/>
      <c r="J688" s="745"/>
      <c r="K688" s="745"/>
      <c r="L688" s="745"/>
      <c r="M688" s="746"/>
      <c r="N688" s="746"/>
      <c r="O688" s="745"/>
      <c r="P688" s="746"/>
      <c r="Q688" s="747"/>
      <c r="R688" s="748"/>
      <c r="S688" s="745"/>
      <c r="T688" s="746"/>
      <c r="U688" s="749"/>
    </row>
    <row r="689" spans="2:21" s="119" customFormat="1" ht="19.5" hidden="1" thickBot="1" x14ac:dyDescent="0.3">
      <c r="B689" s="301"/>
      <c r="C689" s="119">
        <f t="shared" si="702"/>
        <v>0</v>
      </c>
      <c r="D689" s="109" t="s">
        <v>93</v>
      </c>
      <c r="E689" s="76" t="s">
        <v>57</v>
      </c>
      <c r="F689" s="733">
        <f>$F$6*$E$686</f>
        <v>0</v>
      </c>
      <c r="G689" s="733">
        <f>$G$6*$E$686</f>
        <v>0</v>
      </c>
      <c r="H689" s="733">
        <f>$H$6*$E$686</f>
        <v>0</v>
      </c>
      <c r="I689" s="733">
        <f>$I$6*$E$686</f>
        <v>0</v>
      </c>
      <c r="J689" s="733">
        <f>$J$6*$E$686</f>
        <v>0</v>
      </c>
      <c r="K689" s="733">
        <f>K$6*$E$686</f>
        <v>0</v>
      </c>
      <c r="L689" s="733">
        <f t="shared" ref="L689:O689" si="703">L$6*$E$686</f>
        <v>0</v>
      </c>
      <c r="M689" s="733">
        <f t="shared" si="703"/>
        <v>0</v>
      </c>
      <c r="N689" s="733">
        <f t="shared" si="703"/>
        <v>0</v>
      </c>
      <c r="O689" s="733">
        <f t="shared" si="703"/>
        <v>0</v>
      </c>
      <c r="P689" s="733">
        <f>$P$6*$E$686</f>
        <v>0</v>
      </c>
      <c r="Q689" s="734">
        <f t="shared" ref="Q689:Q700" si="704">SUM(F689:P689)</f>
        <v>0</v>
      </c>
      <c r="R689" s="733">
        <f>$R$6*$E$686</f>
        <v>0</v>
      </c>
      <c r="S689" s="733">
        <f>$S$6*$E$686</f>
        <v>0</v>
      </c>
      <c r="T689" s="733">
        <f ca="1">$T$6*$E$686</f>
        <v>0</v>
      </c>
      <c r="U689" s="733">
        <f ca="1">$U$6*$E$686</f>
        <v>0</v>
      </c>
    </row>
    <row r="690" spans="2:21" s="119" customFormat="1" ht="19.5" hidden="1" thickBot="1" x14ac:dyDescent="0.3">
      <c r="B690" s="301"/>
      <c r="C690" s="119">
        <f t="shared" si="702"/>
        <v>0</v>
      </c>
      <c r="D690" s="110" t="s">
        <v>92</v>
      </c>
      <c r="E690" s="76" t="s">
        <v>56</v>
      </c>
      <c r="F690" s="733">
        <f>$F$7*$E$686</f>
        <v>0</v>
      </c>
      <c r="G690" s="733">
        <f>$G$7*$E$686</f>
        <v>0</v>
      </c>
      <c r="H690" s="733">
        <f>$H$7*$E$686</f>
        <v>0</v>
      </c>
      <c r="I690" s="733">
        <f>$I$7*$E$686</f>
        <v>0</v>
      </c>
      <c r="J690" s="733">
        <f>$J$7*$E$686</f>
        <v>0</v>
      </c>
      <c r="K690" s="733">
        <f>K$7*$E$686</f>
        <v>0</v>
      </c>
      <c r="L690" s="733">
        <f t="shared" ref="L690:O690" si="705">L$7*$E$686</f>
        <v>0</v>
      </c>
      <c r="M690" s="733">
        <f t="shared" si="705"/>
        <v>0</v>
      </c>
      <c r="N690" s="733">
        <f t="shared" si="705"/>
        <v>0</v>
      </c>
      <c r="O690" s="733">
        <f t="shared" si="705"/>
        <v>0</v>
      </c>
      <c r="P690" s="733">
        <f>$P$7*$E$686</f>
        <v>0</v>
      </c>
      <c r="Q690" s="734">
        <f t="shared" si="704"/>
        <v>0</v>
      </c>
      <c r="R690" s="733">
        <f>$R$7*$E$686</f>
        <v>0</v>
      </c>
      <c r="S690" s="733">
        <f>$S$7*$E$686</f>
        <v>0</v>
      </c>
      <c r="T690" s="733">
        <f>$T$7*$E$686</f>
        <v>0</v>
      </c>
      <c r="U690" s="733">
        <f>$U$7*$E$686</f>
        <v>0</v>
      </c>
    </row>
    <row r="691" spans="2:21" s="119" customFormat="1" ht="19.5" hidden="1" thickBot="1" x14ac:dyDescent="0.3">
      <c r="B691" s="301"/>
      <c r="C691" s="119">
        <f t="shared" si="702"/>
        <v>0</v>
      </c>
      <c r="D691" s="110" t="s">
        <v>91</v>
      </c>
      <c r="E691" s="76" t="s">
        <v>55</v>
      </c>
      <c r="F691" s="733">
        <f>$F$8*$E$686</f>
        <v>0</v>
      </c>
      <c r="G691" s="733">
        <f>$G$8*$E$686</f>
        <v>0</v>
      </c>
      <c r="H691" s="733">
        <f>$H$8*$E$686</f>
        <v>0</v>
      </c>
      <c r="I691" s="733">
        <f>$I$8*$E$686</f>
        <v>0</v>
      </c>
      <c r="J691" s="733">
        <f>$J$8*$E$686</f>
        <v>0</v>
      </c>
      <c r="K691" s="733">
        <f>K$8*$E$686</f>
        <v>0</v>
      </c>
      <c r="L691" s="733">
        <f t="shared" ref="L691:O691" si="706">L$8*$E$686</f>
        <v>0</v>
      </c>
      <c r="M691" s="733">
        <f t="shared" si="706"/>
        <v>0</v>
      </c>
      <c r="N691" s="733">
        <f t="shared" si="706"/>
        <v>0</v>
      </c>
      <c r="O691" s="733">
        <f t="shared" si="706"/>
        <v>0</v>
      </c>
      <c r="P691" s="733">
        <f>$P$8*$E$686</f>
        <v>0</v>
      </c>
      <c r="Q691" s="734">
        <f t="shared" si="704"/>
        <v>0</v>
      </c>
      <c r="R691" s="733">
        <f>$R$8*$E$686</f>
        <v>0</v>
      </c>
      <c r="S691" s="733">
        <f>$S$8*$E$686</f>
        <v>0</v>
      </c>
      <c r="T691" s="733">
        <f ca="1">$T$8*$E$686</f>
        <v>0</v>
      </c>
      <c r="U691" s="733">
        <f ca="1">$U$8*$E$686</f>
        <v>0</v>
      </c>
    </row>
    <row r="692" spans="2:21" s="119" customFormat="1" ht="19.5" hidden="1" thickBot="1" x14ac:dyDescent="0.3">
      <c r="B692" s="301"/>
      <c r="C692" s="119">
        <f t="shared" si="702"/>
        <v>0</v>
      </c>
      <c r="D692" s="111" t="s">
        <v>117</v>
      </c>
      <c r="E692" s="76" t="s">
        <v>54</v>
      </c>
      <c r="F692" s="733">
        <f>$F$9*$E$686</f>
        <v>0</v>
      </c>
      <c r="G692" s="733">
        <f>$G$9*$E$686</f>
        <v>0</v>
      </c>
      <c r="H692" s="733">
        <f>$H$9*$E$686</f>
        <v>0</v>
      </c>
      <c r="I692" s="733">
        <f>$I$9*$E$686</f>
        <v>0</v>
      </c>
      <c r="J692" s="733">
        <f>$J$9*$E$686</f>
        <v>0</v>
      </c>
      <c r="K692" s="733">
        <f>K$9*$E$686</f>
        <v>0</v>
      </c>
      <c r="L692" s="733">
        <f t="shared" ref="L692:O692" si="707">L$9*$E$686</f>
        <v>0</v>
      </c>
      <c r="M692" s="733">
        <f t="shared" si="707"/>
        <v>0</v>
      </c>
      <c r="N692" s="733">
        <f t="shared" si="707"/>
        <v>0</v>
      </c>
      <c r="O692" s="733">
        <f t="shared" si="707"/>
        <v>0</v>
      </c>
      <c r="P692" s="733">
        <f>$P$9*$E$686</f>
        <v>0</v>
      </c>
      <c r="Q692" s="734">
        <f t="shared" si="704"/>
        <v>0</v>
      </c>
      <c r="R692" s="733">
        <f>$R$9*$E$686</f>
        <v>0</v>
      </c>
      <c r="S692" s="733">
        <f>$S$9*$E$686</f>
        <v>0</v>
      </c>
      <c r="T692" s="733">
        <f>$T$9*$E$686</f>
        <v>0</v>
      </c>
      <c r="U692" s="733">
        <f>$U$9*$E$686</f>
        <v>0</v>
      </c>
    </row>
    <row r="693" spans="2:21" s="119" customFormat="1" ht="19.5" hidden="1" thickBot="1" x14ac:dyDescent="0.35">
      <c r="B693" s="301"/>
      <c r="C693" s="119">
        <f t="shared" si="702"/>
        <v>0</v>
      </c>
      <c r="D693" s="112" t="s">
        <v>31</v>
      </c>
      <c r="E693" s="76"/>
      <c r="F693" s="750"/>
      <c r="G693" s="735"/>
      <c r="H693" s="736"/>
      <c r="I693" s="735"/>
      <c r="J693" s="735"/>
      <c r="K693" s="735"/>
      <c r="L693" s="735"/>
      <c r="M693" s="735"/>
      <c r="N693" s="735"/>
      <c r="O693" s="735"/>
      <c r="P693" s="738"/>
      <c r="Q693" s="734">
        <f t="shared" si="704"/>
        <v>0</v>
      </c>
      <c r="R693" s="739"/>
      <c r="S693" s="735"/>
      <c r="T693" s="740"/>
      <c r="U693" s="741"/>
    </row>
    <row r="694" spans="2:21" s="119" customFormat="1" ht="19.5" hidden="1" thickBot="1" x14ac:dyDescent="0.35">
      <c r="B694" s="301"/>
      <c r="C694" s="119">
        <f t="shared" si="702"/>
        <v>0</v>
      </c>
      <c r="D694" s="113" t="s">
        <v>118</v>
      </c>
      <c r="E694" s="76" t="s">
        <v>53</v>
      </c>
      <c r="F694" s="733">
        <f>$F$11*$E$686</f>
        <v>0</v>
      </c>
      <c r="G694" s="733">
        <f>$G$11*$E$686</f>
        <v>0</v>
      </c>
      <c r="H694" s="733">
        <f>$H$11*$E$686</f>
        <v>0</v>
      </c>
      <c r="I694" s="733">
        <f>$I$11*$E$686</f>
        <v>0</v>
      </c>
      <c r="J694" s="733">
        <f>$J$11*$E$686</f>
        <v>0</v>
      </c>
      <c r="K694" s="733">
        <f>K$11*$E$686</f>
        <v>0</v>
      </c>
      <c r="L694" s="733">
        <f t="shared" ref="L694:O694" si="708">L$11*$E$686</f>
        <v>0</v>
      </c>
      <c r="M694" s="733">
        <f t="shared" si="708"/>
        <v>0</v>
      </c>
      <c r="N694" s="733">
        <f t="shared" si="708"/>
        <v>0</v>
      </c>
      <c r="O694" s="733">
        <f t="shared" si="708"/>
        <v>0</v>
      </c>
      <c r="P694" s="733">
        <f>$P$11*$E$686</f>
        <v>0</v>
      </c>
      <c r="Q694" s="734">
        <f t="shared" si="704"/>
        <v>0</v>
      </c>
      <c r="R694" s="733">
        <f>$R$11*$E$686</f>
        <v>0</v>
      </c>
      <c r="S694" s="733">
        <f>$S$11*$E$686</f>
        <v>0</v>
      </c>
      <c r="T694" s="733">
        <f>$T$11*$E$686</f>
        <v>0</v>
      </c>
      <c r="U694" s="733">
        <f>$U$11*$E$686</f>
        <v>0</v>
      </c>
    </row>
    <row r="695" spans="2:21" s="119" customFormat="1" ht="19.5" hidden="1" thickBot="1" x14ac:dyDescent="0.35">
      <c r="B695" s="301"/>
      <c r="C695" s="119">
        <f t="shared" si="702"/>
        <v>0</v>
      </c>
      <c r="D695" s="113" t="s">
        <v>119</v>
      </c>
      <c r="E695" s="76" t="s">
        <v>52</v>
      </c>
      <c r="F695" s="733">
        <f>$F$12*$E$686</f>
        <v>0</v>
      </c>
      <c r="G695" s="733">
        <f>$G$12*$E$686</f>
        <v>0</v>
      </c>
      <c r="H695" s="733">
        <f>$H$12*$E$686</f>
        <v>0</v>
      </c>
      <c r="I695" s="733">
        <f>$I$12*$E$686</f>
        <v>0</v>
      </c>
      <c r="J695" s="733">
        <f>$J$12*$E$686</f>
        <v>0</v>
      </c>
      <c r="K695" s="733">
        <f>K$12*$E$686</f>
        <v>0</v>
      </c>
      <c r="L695" s="733">
        <f t="shared" ref="L695:O695" si="709">L$12*$E$686</f>
        <v>0</v>
      </c>
      <c r="M695" s="733">
        <f t="shared" si="709"/>
        <v>0</v>
      </c>
      <c r="N695" s="733">
        <f t="shared" si="709"/>
        <v>0</v>
      </c>
      <c r="O695" s="733">
        <f t="shared" si="709"/>
        <v>0</v>
      </c>
      <c r="P695" s="733">
        <f>$P$12*$E$686</f>
        <v>0</v>
      </c>
      <c r="Q695" s="734">
        <f t="shared" si="704"/>
        <v>0</v>
      </c>
      <c r="R695" s="733">
        <f>$R$12*$E$686</f>
        <v>0</v>
      </c>
      <c r="S695" s="733">
        <f>$S$12*$E$686</f>
        <v>0</v>
      </c>
      <c r="T695" s="733">
        <f>$T$12*$E$686</f>
        <v>0</v>
      </c>
      <c r="U695" s="733">
        <f>$U$12*$E$686</f>
        <v>0</v>
      </c>
    </row>
    <row r="696" spans="2:21" s="119" customFormat="1" ht="19.5" hidden="1" thickBot="1" x14ac:dyDescent="0.35">
      <c r="B696" s="301"/>
      <c r="C696" s="119">
        <f t="shared" si="702"/>
        <v>0</v>
      </c>
      <c r="D696" s="113" t="s">
        <v>120</v>
      </c>
      <c r="E696" s="76" t="s">
        <v>51</v>
      </c>
      <c r="F696" s="733">
        <f>$F$13*$E$686</f>
        <v>0</v>
      </c>
      <c r="G696" s="733">
        <f>$G$13*$E$686</f>
        <v>0</v>
      </c>
      <c r="H696" s="733">
        <f>$H$13*$E$686</f>
        <v>0</v>
      </c>
      <c r="I696" s="733">
        <f>$I$13*$E$686</f>
        <v>0</v>
      </c>
      <c r="J696" s="733">
        <f>$J$13*$E$686</f>
        <v>0</v>
      </c>
      <c r="K696" s="733">
        <f>K$13*$E$686</f>
        <v>0</v>
      </c>
      <c r="L696" s="733">
        <f t="shared" ref="L696:O696" si="710">L$13*$E$686</f>
        <v>0</v>
      </c>
      <c r="M696" s="733">
        <f t="shared" si="710"/>
        <v>0</v>
      </c>
      <c r="N696" s="733">
        <f t="shared" si="710"/>
        <v>0</v>
      </c>
      <c r="O696" s="733">
        <f t="shared" si="710"/>
        <v>0</v>
      </c>
      <c r="P696" s="733">
        <f>$P$13*$E$686</f>
        <v>0</v>
      </c>
      <c r="Q696" s="734">
        <f t="shared" si="704"/>
        <v>0</v>
      </c>
      <c r="R696" s="733">
        <f>$R$13*$E$686</f>
        <v>0</v>
      </c>
      <c r="S696" s="733">
        <f>$S$13*$E$686</f>
        <v>0</v>
      </c>
      <c r="T696" s="733">
        <f>$T$13*$E$686</f>
        <v>0</v>
      </c>
      <c r="U696" s="733">
        <f>$U$13*$E$686</f>
        <v>0</v>
      </c>
    </row>
    <row r="697" spans="2:21" s="119" customFormat="1" ht="19.5" hidden="1" thickBot="1" x14ac:dyDescent="0.35">
      <c r="B697" s="301"/>
      <c r="C697" s="119">
        <f t="shared" si="702"/>
        <v>0</v>
      </c>
      <c r="D697" s="113" t="s">
        <v>121</v>
      </c>
      <c r="E697" s="76" t="s">
        <v>50</v>
      </c>
      <c r="F697" s="733">
        <f>$F$14*$E$686</f>
        <v>0</v>
      </c>
      <c r="G697" s="733">
        <f>$G$14*$E$686</f>
        <v>0</v>
      </c>
      <c r="H697" s="733">
        <f>$H$14*$E$686</f>
        <v>0</v>
      </c>
      <c r="I697" s="733">
        <f>$I$14*$E$686</f>
        <v>0</v>
      </c>
      <c r="J697" s="733">
        <f>$J$14*$E$686</f>
        <v>0</v>
      </c>
      <c r="K697" s="733">
        <f>K$14*$E$686</f>
        <v>0</v>
      </c>
      <c r="L697" s="733">
        <f t="shared" ref="L697:O697" si="711">L$14*$E$686</f>
        <v>0</v>
      </c>
      <c r="M697" s="733">
        <f t="shared" si="711"/>
        <v>0</v>
      </c>
      <c r="N697" s="733">
        <f t="shared" si="711"/>
        <v>0</v>
      </c>
      <c r="O697" s="733">
        <f t="shared" si="711"/>
        <v>0</v>
      </c>
      <c r="P697" s="733">
        <f>$P$14*$E$686</f>
        <v>0</v>
      </c>
      <c r="Q697" s="734">
        <f t="shared" si="704"/>
        <v>0</v>
      </c>
      <c r="R697" s="733">
        <f>$R$14*$E$686</f>
        <v>0</v>
      </c>
      <c r="S697" s="733">
        <f>$S$14*$E$686</f>
        <v>0</v>
      </c>
      <c r="T697" s="733">
        <f>$T$14*$E$686</f>
        <v>0</v>
      </c>
      <c r="U697" s="733">
        <f>$U$14*$E$686</f>
        <v>0</v>
      </c>
    </row>
    <row r="698" spans="2:21" s="119" customFormat="1" ht="19.5" hidden="1" thickBot="1" x14ac:dyDescent="0.35">
      <c r="B698" s="301"/>
      <c r="C698" s="119">
        <f t="shared" si="702"/>
        <v>0</v>
      </c>
      <c r="D698" s="113" t="s">
        <v>122</v>
      </c>
      <c r="E698" s="76" t="s">
        <v>49</v>
      </c>
      <c r="F698" s="733">
        <f>$F$15*$E$686</f>
        <v>0</v>
      </c>
      <c r="G698" s="733">
        <f>$G$15*$E$686</f>
        <v>0</v>
      </c>
      <c r="H698" s="733">
        <f>$H$15*$E$686</f>
        <v>0</v>
      </c>
      <c r="I698" s="733">
        <f>$I$15*$E$686</f>
        <v>0</v>
      </c>
      <c r="J698" s="733">
        <f>$J$15*$E$686</f>
        <v>0</v>
      </c>
      <c r="K698" s="733">
        <f>K$15*$E$686</f>
        <v>0</v>
      </c>
      <c r="L698" s="733">
        <f t="shared" ref="L698:O698" si="712">L$15*$E$686</f>
        <v>0</v>
      </c>
      <c r="M698" s="733">
        <f t="shared" si="712"/>
        <v>0</v>
      </c>
      <c r="N698" s="733">
        <f t="shared" si="712"/>
        <v>0</v>
      </c>
      <c r="O698" s="733">
        <f t="shared" si="712"/>
        <v>0</v>
      </c>
      <c r="P698" s="733">
        <f>$P$15*$E$686</f>
        <v>0</v>
      </c>
      <c r="Q698" s="734">
        <f t="shared" si="704"/>
        <v>0</v>
      </c>
      <c r="R698" s="733">
        <f>$R$15*$E$686</f>
        <v>0</v>
      </c>
      <c r="S698" s="733">
        <f>$S$15*$E$686</f>
        <v>0</v>
      </c>
      <c r="T698" s="733">
        <f>$T$15*$E$686</f>
        <v>0</v>
      </c>
      <c r="U698" s="733">
        <f>$U$15*$E$686</f>
        <v>0</v>
      </c>
    </row>
    <row r="699" spans="2:21" s="119" customFormat="1" ht="19.5" hidden="1" thickBot="1" x14ac:dyDescent="0.35">
      <c r="B699" s="301"/>
      <c r="C699" s="119">
        <f t="shared" si="702"/>
        <v>0</v>
      </c>
      <c r="D699" s="113" t="s">
        <v>123</v>
      </c>
      <c r="E699" s="76" t="s">
        <v>47</v>
      </c>
      <c r="F699" s="733">
        <f>$F$16*$E$686</f>
        <v>0</v>
      </c>
      <c r="G699" s="733">
        <f>$G$16*$E$686</f>
        <v>0</v>
      </c>
      <c r="H699" s="733">
        <f>$H$16*$E$686</f>
        <v>0</v>
      </c>
      <c r="I699" s="733">
        <f>$I$16*$E$686</f>
        <v>0</v>
      </c>
      <c r="J699" s="733">
        <f>$J$16*$E$686</f>
        <v>0</v>
      </c>
      <c r="K699" s="733">
        <f>K$16*$E$686</f>
        <v>0</v>
      </c>
      <c r="L699" s="733">
        <f t="shared" ref="L699:O699" si="713">L$16*$E$686</f>
        <v>0</v>
      </c>
      <c r="M699" s="733">
        <f t="shared" si="713"/>
        <v>0</v>
      </c>
      <c r="N699" s="733">
        <f t="shared" si="713"/>
        <v>0</v>
      </c>
      <c r="O699" s="733">
        <f t="shared" si="713"/>
        <v>0</v>
      </c>
      <c r="P699" s="733">
        <f>$P$16*$E$686</f>
        <v>0</v>
      </c>
      <c r="Q699" s="734">
        <f t="shared" si="704"/>
        <v>0</v>
      </c>
      <c r="R699" s="733">
        <f>$R$16*$E$686</f>
        <v>0</v>
      </c>
      <c r="S699" s="733">
        <f>$S$16*$E$686</f>
        <v>0</v>
      </c>
      <c r="T699" s="733">
        <f>$T$16*$E$686</f>
        <v>0</v>
      </c>
      <c r="U699" s="733">
        <f>$U$16*$E$686</f>
        <v>0</v>
      </c>
    </row>
    <row r="700" spans="2:21" s="119" customFormat="1" ht="19.5" hidden="1" thickBot="1" x14ac:dyDescent="0.35">
      <c r="B700" s="301"/>
      <c r="C700" s="119">
        <f t="shared" si="702"/>
        <v>0</v>
      </c>
      <c r="D700" s="114" t="s">
        <v>16</v>
      </c>
      <c r="E700" s="70" t="s">
        <v>77</v>
      </c>
      <c r="F700" s="733">
        <f>$F$17*$E$686</f>
        <v>0</v>
      </c>
      <c r="G700" s="733">
        <f>$G$17*$E$686</f>
        <v>0</v>
      </c>
      <c r="H700" s="733">
        <f>$H$17*$E$686</f>
        <v>0</v>
      </c>
      <c r="I700" s="733">
        <f>$I$17*$E$686</f>
        <v>0</v>
      </c>
      <c r="J700" s="733">
        <f>$J$17*$E$686</f>
        <v>0</v>
      </c>
      <c r="K700" s="733">
        <f>K$17*$E$686</f>
        <v>0</v>
      </c>
      <c r="L700" s="733">
        <f t="shared" ref="L700:O700" si="714">L$17*$E$686</f>
        <v>0</v>
      </c>
      <c r="M700" s="733">
        <f t="shared" si="714"/>
        <v>0</v>
      </c>
      <c r="N700" s="733">
        <f t="shared" si="714"/>
        <v>0</v>
      </c>
      <c r="O700" s="733">
        <f t="shared" si="714"/>
        <v>0</v>
      </c>
      <c r="P700" s="733">
        <f>$P$17*$E$686</f>
        <v>0</v>
      </c>
      <c r="Q700" s="734">
        <f t="shared" si="704"/>
        <v>0</v>
      </c>
      <c r="R700" s="733">
        <f>$R$17*$E$686</f>
        <v>0</v>
      </c>
      <c r="S700" s="733">
        <f>$S$17*$E$686</f>
        <v>0</v>
      </c>
      <c r="T700" s="733">
        <f ca="1">$T$17*$E$686</f>
        <v>0</v>
      </c>
      <c r="U700" s="733">
        <f ca="1">$U$17*$E$686</f>
        <v>0</v>
      </c>
    </row>
    <row r="701" spans="2:21" s="119" customFormat="1" ht="19.5" hidden="1" thickBot="1" x14ac:dyDescent="0.35">
      <c r="B701" s="301"/>
      <c r="C701" s="119">
        <f t="shared" si="702"/>
        <v>0</v>
      </c>
      <c r="D701" s="115" t="s">
        <v>124</v>
      </c>
      <c r="E701" s="116" t="s">
        <v>78</v>
      </c>
      <c r="F701" s="742">
        <f t="shared" ref="F701:U701" si="715">SUBTOTAL(9,F689:F700)</f>
        <v>0</v>
      </c>
      <c r="G701" s="742">
        <f>SUBTOTAL(9,G689:G700)</f>
        <v>0</v>
      </c>
      <c r="H701" s="742">
        <f>SUBTOTAL(9,H689:H700)</f>
        <v>0</v>
      </c>
      <c r="I701" s="742">
        <f>SUBTOTAL(9,I689:I700)</f>
        <v>0</v>
      </c>
      <c r="J701" s="742">
        <f>SUBTOTAL(9,J689:J700)</f>
        <v>0</v>
      </c>
      <c r="K701" s="742">
        <f>SUBTOTAL(9,K689:K700)</f>
        <v>0</v>
      </c>
      <c r="L701" s="742">
        <f t="shared" ref="L701:O701" si="716">SUBTOTAL(9,L689:L700)</f>
        <v>0</v>
      </c>
      <c r="M701" s="742">
        <f t="shared" si="716"/>
        <v>0</v>
      </c>
      <c r="N701" s="742">
        <f t="shared" si="716"/>
        <v>0</v>
      </c>
      <c r="O701" s="742">
        <f t="shared" si="716"/>
        <v>0</v>
      </c>
      <c r="P701" s="742">
        <f t="shared" si="715"/>
        <v>0</v>
      </c>
      <c r="Q701" s="743">
        <f>SUBTOTAL(9,Q689:Q700)</f>
        <v>0</v>
      </c>
      <c r="R701" s="742">
        <f t="shared" si="715"/>
        <v>0</v>
      </c>
      <c r="S701" s="742">
        <f t="shared" si="715"/>
        <v>0</v>
      </c>
      <c r="T701" s="742">
        <f t="shared" si="715"/>
        <v>0</v>
      </c>
      <c r="U701" s="742">
        <f t="shared" si="715"/>
        <v>0</v>
      </c>
    </row>
    <row r="702" spans="2:21" s="119" customFormat="1" ht="19.5" hidden="1" thickBot="1" x14ac:dyDescent="0.3">
      <c r="B702" s="340"/>
      <c r="D702" s="117"/>
      <c r="E702" s="117"/>
      <c r="F702" s="118"/>
      <c r="G702" s="118"/>
      <c r="I702" s="118"/>
      <c r="J702" s="118"/>
      <c r="K702" s="118"/>
      <c r="L702" s="118"/>
      <c r="O702" s="118"/>
      <c r="Q702" s="120"/>
      <c r="R702" s="117"/>
      <c r="S702" s="118"/>
      <c r="U702" s="118"/>
    </row>
    <row r="703" spans="2:21" ht="75" x14ac:dyDescent="0.25">
      <c r="C703" s="117">
        <f>IF($E703&gt;0,1,0)</f>
        <v>1</v>
      </c>
      <c r="D703" s="96" t="str">
        <f>A44</f>
        <v>Queens</v>
      </c>
      <c r="E703" s="166">
        <f>IFERROR(SUMIF(A:A,D703,B:B),0)</f>
        <v>0.18616689504483311</v>
      </c>
      <c r="F703" s="98" t="s">
        <v>356</v>
      </c>
      <c r="G703" s="98" t="s">
        <v>373</v>
      </c>
      <c r="H703" s="98" t="s">
        <v>358</v>
      </c>
      <c r="I703" s="98" t="s">
        <v>109</v>
      </c>
      <c r="J703" s="98" t="s">
        <v>111</v>
      </c>
      <c r="K703" s="98" t="s">
        <v>469</v>
      </c>
      <c r="L703" s="98" t="s">
        <v>470</v>
      </c>
      <c r="M703" s="98" t="s">
        <v>357</v>
      </c>
      <c r="N703" s="509" t="s">
        <v>471</v>
      </c>
      <c r="O703" s="98" t="s">
        <v>472</v>
      </c>
      <c r="P703" s="98" t="s">
        <v>110</v>
      </c>
      <c r="Q703" s="99" t="s">
        <v>116</v>
      </c>
      <c r="R703" s="98" t="s">
        <v>112</v>
      </c>
      <c r="S703" s="98" t="s">
        <v>113</v>
      </c>
      <c r="T703" s="98" t="s">
        <v>114</v>
      </c>
      <c r="U703" s="98" t="s">
        <v>115</v>
      </c>
    </row>
    <row r="704" spans="2:21" ht="18.75" x14ac:dyDescent="0.25">
      <c r="C704" s="117">
        <f>C703</f>
        <v>1</v>
      </c>
      <c r="D704" s="101"/>
      <c r="E704" s="102"/>
      <c r="F704" s="84" t="s">
        <v>57</v>
      </c>
      <c r="G704" s="84" t="s">
        <v>56</v>
      </c>
      <c r="H704" s="84" t="s">
        <v>55</v>
      </c>
      <c r="I704" s="84" t="s">
        <v>54</v>
      </c>
      <c r="J704" s="84" t="s">
        <v>53</v>
      </c>
      <c r="K704" s="84" t="s">
        <v>52</v>
      </c>
      <c r="L704" s="84" t="s">
        <v>51</v>
      </c>
      <c r="M704" s="84" t="s">
        <v>50</v>
      </c>
      <c r="N704" s="84" t="s">
        <v>49</v>
      </c>
      <c r="O704" s="84" t="s">
        <v>47</v>
      </c>
      <c r="P704" s="84" t="s">
        <v>77</v>
      </c>
      <c r="Q704" s="83" t="s">
        <v>78</v>
      </c>
      <c r="R704" s="84" t="s">
        <v>79</v>
      </c>
      <c r="S704" s="84" t="s">
        <v>81</v>
      </c>
      <c r="T704" s="84" t="s">
        <v>83</v>
      </c>
      <c r="U704" s="84" t="s">
        <v>85</v>
      </c>
    </row>
    <row r="705" spans="2:21" ht="18.75" x14ac:dyDescent="0.25">
      <c r="C705" s="117">
        <f t="shared" ref="C705:C718" si="717">C704</f>
        <v>1</v>
      </c>
      <c r="D705" s="103" t="s">
        <v>26</v>
      </c>
      <c r="E705" s="104"/>
      <c r="F705" s="745"/>
      <c r="G705" s="745"/>
      <c r="H705" s="784"/>
      <c r="I705" s="745"/>
      <c r="J705" s="745"/>
      <c r="K705" s="745"/>
      <c r="L705" s="745"/>
      <c r="M705" s="784"/>
      <c r="N705" s="784"/>
      <c r="O705" s="745"/>
      <c r="P705" s="784"/>
      <c r="Q705" s="747"/>
      <c r="R705" s="748"/>
      <c r="S705" s="745"/>
      <c r="T705" s="784"/>
      <c r="U705" s="749"/>
    </row>
    <row r="706" spans="2:21" ht="18.75" x14ac:dyDescent="0.25">
      <c r="C706" s="117">
        <f t="shared" si="717"/>
        <v>1</v>
      </c>
      <c r="D706" s="763" t="s">
        <v>93</v>
      </c>
      <c r="E706" s="84" t="s">
        <v>57</v>
      </c>
      <c r="F706" s="733">
        <f>$F$6*$E$703</f>
        <v>23500513.24804306</v>
      </c>
      <c r="G706" s="733">
        <f>$G$6*$E$703</f>
        <v>1627665.6693424103</v>
      </c>
      <c r="H706" s="733">
        <f>$H$6*$E$703</f>
        <v>3649.4035801985574</v>
      </c>
      <c r="I706" s="733">
        <f>$I$6*$E$703</f>
        <v>584694.5981142571</v>
      </c>
      <c r="J706" s="733">
        <f>$J$6*$E$703</f>
        <v>426573.81655134831</v>
      </c>
      <c r="K706" s="733">
        <f>K$6*$E$703</f>
        <v>22949.465214667685</v>
      </c>
      <c r="L706" s="733">
        <f t="shared" ref="L706:O706" si="718">L$6*$E$703</f>
        <v>0</v>
      </c>
      <c r="M706" s="733">
        <f t="shared" si="718"/>
        <v>16670.35185016859</v>
      </c>
      <c r="N706" s="733">
        <f t="shared" si="718"/>
        <v>0</v>
      </c>
      <c r="O706" s="733">
        <f t="shared" si="718"/>
        <v>108880.7622715966</v>
      </c>
      <c r="P706" s="733">
        <f>$P$6*$E$703</f>
        <v>0</v>
      </c>
      <c r="Q706" s="734">
        <f t="shared" ref="Q706:Q717" si="719">SUM(F706:P706)</f>
        <v>26291597.314967707</v>
      </c>
      <c r="R706" s="733">
        <f>$R$6*$E$703</f>
        <v>0</v>
      </c>
      <c r="S706" s="733">
        <f>$S$6*$E$703</f>
        <v>2007869.7096001517</v>
      </c>
      <c r="T706" s="733">
        <f ca="1">$T$6*$E$703</f>
        <v>827755.4484988997</v>
      </c>
      <c r="U706" s="733">
        <f ca="1">$U$6*$E$703</f>
        <v>620026.24552959716</v>
      </c>
    </row>
    <row r="707" spans="2:21" ht="18.75" x14ac:dyDescent="0.25">
      <c r="C707" s="117">
        <f t="shared" si="717"/>
        <v>1</v>
      </c>
      <c r="D707" s="765" t="s">
        <v>92</v>
      </c>
      <c r="E707" s="84" t="s">
        <v>56</v>
      </c>
      <c r="F707" s="733">
        <f>$F$7*$E$703</f>
        <v>0</v>
      </c>
      <c r="G707" s="733">
        <f>$G$7*$E$703</f>
        <v>0</v>
      </c>
      <c r="H707" s="733">
        <f>$H$7*$E$703</f>
        <v>0</v>
      </c>
      <c r="I707" s="733">
        <f>$I$7*$E$703</f>
        <v>0</v>
      </c>
      <c r="J707" s="733">
        <f>$J$7*$E$703</f>
        <v>0</v>
      </c>
      <c r="K707" s="733">
        <f>K$7*$E$703</f>
        <v>0</v>
      </c>
      <c r="L707" s="733">
        <f t="shared" ref="L707:O707" si="720">L$7*$E$703</f>
        <v>0</v>
      </c>
      <c r="M707" s="733">
        <f t="shared" si="720"/>
        <v>0</v>
      </c>
      <c r="N707" s="733">
        <f t="shared" si="720"/>
        <v>0</v>
      </c>
      <c r="O707" s="733">
        <f t="shared" si="720"/>
        <v>0</v>
      </c>
      <c r="P707" s="733">
        <f>$P$7*$E$703</f>
        <v>0</v>
      </c>
      <c r="Q707" s="734">
        <f t="shared" si="719"/>
        <v>0</v>
      </c>
      <c r="R707" s="733">
        <f>$R$7*$E$703</f>
        <v>0</v>
      </c>
      <c r="S707" s="733">
        <f>$S$7*$E$703</f>
        <v>0</v>
      </c>
      <c r="T707" s="733">
        <f>$T$7*$E$703</f>
        <v>0</v>
      </c>
      <c r="U707" s="733">
        <f>$U$7*$E$703</f>
        <v>0</v>
      </c>
    </row>
    <row r="708" spans="2:21" ht="18.75" x14ac:dyDescent="0.25">
      <c r="C708" s="117">
        <f t="shared" si="717"/>
        <v>1</v>
      </c>
      <c r="D708" s="765" t="s">
        <v>91</v>
      </c>
      <c r="E708" s="84" t="s">
        <v>55</v>
      </c>
      <c r="F708" s="733">
        <f>$F$8*$E$703</f>
        <v>209175.26160342403</v>
      </c>
      <c r="G708" s="733">
        <f>$G$8*$E$703</f>
        <v>0</v>
      </c>
      <c r="H708" s="733">
        <f>$H$8*$E$703</f>
        <v>0</v>
      </c>
      <c r="I708" s="733">
        <f>$I$8*$E$703</f>
        <v>3495.2834544667417</v>
      </c>
      <c r="J708" s="733">
        <f>$J$8*$E$703</f>
        <v>0</v>
      </c>
      <c r="K708" s="733">
        <f>K$8*$E$703</f>
        <v>0</v>
      </c>
      <c r="L708" s="733">
        <f t="shared" ref="L708:O708" si="721">L$8*$E$703</f>
        <v>0</v>
      </c>
      <c r="M708" s="733">
        <f t="shared" si="721"/>
        <v>0</v>
      </c>
      <c r="N708" s="733">
        <f t="shared" si="721"/>
        <v>0</v>
      </c>
      <c r="O708" s="733">
        <f t="shared" si="721"/>
        <v>6277.5477009117722</v>
      </c>
      <c r="P708" s="733">
        <f>$P$8*$E$703</f>
        <v>0</v>
      </c>
      <c r="Q708" s="734">
        <f t="shared" si="719"/>
        <v>218948.09275880252</v>
      </c>
      <c r="R708" s="733">
        <f>$R$8*$E$703</f>
        <v>0</v>
      </c>
      <c r="S708" s="733">
        <f>$S$8*$E$703</f>
        <v>6320.6974638452639</v>
      </c>
      <c r="T708" s="733">
        <f ca="1">$T$8*$E$703</f>
        <v>2586.4901693476604</v>
      </c>
      <c r="U708" s="733">
        <f ca="1">$U$8*$E$703</f>
        <v>258.02653919348018</v>
      </c>
    </row>
    <row r="709" spans="2:21" ht="18.75" x14ac:dyDescent="0.25">
      <c r="C709" s="117">
        <f t="shared" si="717"/>
        <v>1</v>
      </c>
      <c r="D709" s="766" t="s">
        <v>117</v>
      </c>
      <c r="E709" s="84" t="s">
        <v>54</v>
      </c>
      <c r="F709" s="733">
        <f>$F$9*$E$703</f>
        <v>0</v>
      </c>
      <c r="G709" s="733">
        <f>$G$9*$E$703</f>
        <v>0</v>
      </c>
      <c r="H709" s="733">
        <f>$H$9*$E$703</f>
        <v>0</v>
      </c>
      <c r="I709" s="733">
        <f>$I$9*$E$703</f>
        <v>0</v>
      </c>
      <c r="J709" s="733">
        <f>$J$9*$E$703</f>
        <v>0</v>
      </c>
      <c r="K709" s="733">
        <f>K$9*$E$703</f>
        <v>0</v>
      </c>
      <c r="L709" s="733">
        <f t="shared" ref="L709:O709" si="722">L$9*$E$703</f>
        <v>0</v>
      </c>
      <c r="M709" s="733">
        <f t="shared" si="722"/>
        <v>0</v>
      </c>
      <c r="N709" s="733">
        <f t="shared" si="722"/>
        <v>0</v>
      </c>
      <c r="O709" s="733">
        <f t="shared" si="722"/>
        <v>0</v>
      </c>
      <c r="P709" s="733">
        <f>$P$9*$E$703</f>
        <v>0</v>
      </c>
      <c r="Q709" s="734">
        <f t="shared" si="719"/>
        <v>0</v>
      </c>
      <c r="R709" s="733">
        <f>$R$9*$E$703</f>
        <v>0</v>
      </c>
      <c r="S709" s="733">
        <f>$S$9*$E$703</f>
        <v>0</v>
      </c>
      <c r="T709" s="733">
        <f>$T$9*$E$703</f>
        <v>0</v>
      </c>
      <c r="U709" s="733">
        <f>$U$9*$E$703</f>
        <v>0</v>
      </c>
    </row>
    <row r="710" spans="2:21" ht="18.75" x14ac:dyDescent="0.25">
      <c r="C710" s="117">
        <f t="shared" si="717"/>
        <v>1</v>
      </c>
      <c r="D710" s="112" t="s">
        <v>31</v>
      </c>
      <c r="E710" s="84"/>
      <c r="F710" s="767"/>
      <c r="G710" s="768"/>
      <c r="H710" s="769"/>
      <c r="I710" s="768"/>
      <c r="J710" s="768"/>
      <c r="K710" s="768"/>
      <c r="L710" s="768"/>
      <c r="M710" s="768"/>
      <c r="N710" s="768"/>
      <c r="O710" s="768"/>
      <c r="P710" s="771"/>
      <c r="Q710" s="734">
        <f t="shared" si="719"/>
        <v>0</v>
      </c>
      <c r="R710" s="772"/>
      <c r="S710" s="768"/>
      <c r="T710" s="773"/>
      <c r="U710" s="774"/>
    </row>
    <row r="711" spans="2:21" ht="18.75" x14ac:dyDescent="0.25">
      <c r="C711" s="117">
        <f t="shared" si="717"/>
        <v>1</v>
      </c>
      <c r="D711" s="775" t="s">
        <v>118</v>
      </c>
      <c r="E711" s="84" t="s">
        <v>53</v>
      </c>
      <c r="F711" s="733">
        <f>$F$11*$E$703</f>
        <v>0</v>
      </c>
      <c r="G711" s="733">
        <f>$G$11*$E$703</f>
        <v>0</v>
      </c>
      <c r="H711" s="733">
        <f>$H$11*$E$703</f>
        <v>0</v>
      </c>
      <c r="I711" s="733">
        <f>$I$11*$E$703</f>
        <v>0</v>
      </c>
      <c r="J711" s="733">
        <f>$J$11*$E$703</f>
        <v>0</v>
      </c>
      <c r="K711" s="733">
        <f>K$11*$E$703</f>
        <v>0</v>
      </c>
      <c r="L711" s="733">
        <f t="shared" ref="L711:O711" si="723">L$11*$E$703</f>
        <v>0</v>
      </c>
      <c r="M711" s="733">
        <f t="shared" si="723"/>
        <v>0</v>
      </c>
      <c r="N711" s="733">
        <f t="shared" si="723"/>
        <v>0</v>
      </c>
      <c r="O711" s="733">
        <f t="shared" si="723"/>
        <v>0</v>
      </c>
      <c r="P711" s="733">
        <f>$P$11*$E$703</f>
        <v>0</v>
      </c>
      <c r="Q711" s="734">
        <f t="shared" si="719"/>
        <v>0</v>
      </c>
      <c r="R711" s="733">
        <f>$R$11*$E$703</f>
        <v>0</v>
      </c>
      <c r="S711" s="733">
        <f>$S$11*$E$703</f>
        <v>0</v>
      </c>
      <c r="T711" s="733">
        <f>$T$11*$E$703</f>
        <v>0</v>
      </c>
      <c r="U711" s="733">
        <f>$U$11*$E$703</f>
        <v>0</v>
      </c>
    </row>
    <row r="712" spans="2:21" ht="18.75" x14ac:dyDescent="0.25">
      <c r="C712" s="117">
        <f t="shared" si="717"/>
        <v>1</v>
      </c>
      <c r="D712" s="775" t="s">
        <v>119</v>
      </c>
      <c r="E712" s="84" t="s">
        <v>52</v>
      </c>
      <c r="F712" s="733">
        <f>$F$12*$E$703</f>
        <v>0</v>
      </c>
      <c r="G712" s="733">
        <f>$G$12*$E$703</f>
        <v>0</v>
      </c>
      <c r="H712" s="733">
        <f>$H$12*$E$703</f>
        <v>0</v>
      </c>
      <c r="I712" s="733">
        <f>$I$12*$E$703</f>
        <v>0</v>
      </c>
      <c r="J712" s="733">
        <f>$J$12*$E$703</f>
        <v>0</v>
      </c>
      <c r="K712" s="733">
        <f>K$12*$E$703</f>
        <v>0</v>
      </c>
      <c r="L712" s="733">
        <f t="shared" ref="L712:O712" si="724">L$12*$E$703</f>
        <v>0</v>
      </c>
      <c r="M712" s="733">
        <f t="shared" si="724"/>
        <v>0</v>
      </c>
      <c r="N712" s="733">
        <f t="shared" si="724"/>
        <v>0</v>
      </c>
      <c r="O712" s="733">
        <f t="shared" si="724"/>
        <v>0</v>
      </c>
      <c r="P712" s="733">
        <f>$P$12*$E$703</f>
        <v>0</v>
      </c>
      <c r="Q712" s="734">
        <f t="shared" si="719"/>
        <v>0</v>
      </c>
      <c r="R712" s="733">
        <f>$R$12*$E$703</f>
        <v>0</v>
      </c>
      <c r="S712" s="733">
        <f>$S$12*$E$703</f>
        <v>0</v>
      </c>
      <c r="T712" s="733">
        <f>$T$12*$E$703</f>
        <v>0</v>
      </c>
      <c r="U712" s="733">
        <f>$U$12*$E$703</f>
        <v>0</v>
      </c>
    </row>
    <row r="713" spans="2:21" ht="18.75" x14ac:dyDescent="0.25">
      <c r="C713" s="117">
        <f t="shared" si="717"/>
        <v>1</v>
      </c>
      <c r="D713" s="775" t="s">
        <v>120</v>
      </c>
      <c r="E713" s="84" t="s">
        <v>51</v>
      </c>
      <c r="F713" s="733">
        <f>$F$13*$E$703</f>
        <v>0</v>
      </c>
      <c r="G713" s="733">
        <f>$G$13*$E$703</f>
        <v>0</v>
      </c>
      <c r="H713" s="733">
        <f>$H$13*$E$703</f>
        <v>0</v>
      </c>
      <c r="I713" s="733">
        <f>$I$13*$E$703</f>
        <v>0</v>
      </c>
      <c r="J713" s="733">
        <f>$J$13*$E$703</f>
        <v>0</v>
      </c>
      <c r="K713" s="733">
        <f>K$13*$E$703</f>
        <v>0</v>
      </c>
      <c r="L713" s="733">
        <f t="shared" ref="L713:O713" si="725">L$13*$E$703</f>
        <v>0</v>
      </c>
      <c r="M713" s="733">
        <f t="shared" si="725"/>
        <v>0</v>
      </c>
      <c r="N713" s="733">
        <f t="shared" si="725"/>
        <v>0</v>
      </c>
      <c r="O713" s="733">
        <f t="shared" si="725"/>
        <v>0</v>
      </c>
      <c r="P713" s="733">
        <f>$P$13*$E$703</f>
        <v>0</v>
      </c>
      <c r="Q713" s="734">
        <f t="shared" si="719"/>
        <v>0</v>
      </c>
      <c r="R713" s="733">
        <f>$R$13*$E$703</f>
        <v>0</v>
      </c>
      <c r="S713" s="733">
        <f>$S$13*$E$703</f>
        <v>0</v>
      </c>
      <c r="T713" s="733">
        <f>$T$13*$E$703</f>
        <v>0</v>
      </c>
      <c r="U713" s="733">
        <f>$U$13*$E$703</f>
        <v>0</v>
      </c>
    </row>
    <row r="714" spans="2:21" ht="18.75" x14ac:dyDescent="0.25">
      <c r="C714" s="117">
        <f t="shared" si="717"/>
        <v>1</v>
      </c>
      <c r="D714" s="775" t="s">
        <v>121</v>
      </c>
      <c r="E714" s="84" t="s">
        <v>50</v>
      </c>
      <c r="F714" s="733">
        <f>$F$14*$E$703</f>
        <v>0</v>
      </c>
      <c r="G714" s="733">
        <f>$G$14*$E$703</f>
        <v>0</v>
      </c>
      <c r="H714" s="733">
        <f>$H$14*$E$703</f>
        <v>0</v>
      </c>
      <c r="I714" s="733">
        <f>$I$14*$E$703</f>
        <v>0</v>
      </c>
      <c r="J714" s="733">
        <f>$J$14*$E$703</f>
        <v>0</v>
      </c>
      <c r="K714" s="733">
        <f>K$14*$E$703</f>
        <v>0</v>
      </c>
      <c r="L714" s="733">
        <f t="shared" ref="L714:O714" si="726">L$14*$E$703</f>
        <v>0</v>
      </c>
      <c r="M714" s="733">
        <f t="shared" si="726"/>
        <v>0</v>
      </c>
      <c r="N714" s="733">
        <f t="shared" si="726"/>
        <v>0</v>
      </c>
      <c r="O714" s="733">
        <f t="shared" si="726"/>
        <v>0</v>
      </c>
      <c r="P714" s="733">
        <f>$P$14*$E$703</f>
        <v>0</v>
      </c>
      <c r="Q714" s="734">
        <f t="shared" si="719"/>
        <v>0</v>
      </c>
      <c r="R714" s="733">
        <f>$R$14*$E$703</f>
        <v>0</v>
      </c>
      <c r="S714" s="733">
        <f>$S$14*$E$703</f>
        <v>0</v>
      </c>
      <c r="T714" s="733">
        <f>$T$14*$E$703</f>
        <v>0</v>
      </c>
      <c r="U714" s="733">
        <f>$U$14*$E$703</f>
        <v>0</v>
      </c>
    </row>
    <row r="715" spans="2:21" ht="18.75" x14ac:dyDescent="0.25">
      <c r="C715" s="117">
        <f t="shared" si="717"/>
        <v>1</v>
      </c>
      <c r="D715" s="775" t="s">
        <v>122</v>
      </c>
      <c r="E715" s="84" t="s">
        <v>49</v>
      </c>
      <c r="F715" s="733">
        <f>$F$15*$E$703</f>
        <v>0</v>
      </c>
      <c r="G715" s="733">
        <f>$G$15*$E$703</f>
        <v>0</v>
      </c>
      <c r="H715" s="733">
        <f>$H$15*$E$703</f>
        <v>0</v>
      </c>
      <c r="I715" s="733">
        <f>$I$15*$E$703</f>
        <v>0</v>
      </c>
      <c r="J715" s="733">
        <f>$J$15*$E$703</f>
        <v>0</v>
      </c>
      <c r="K715" s="733">
        <f>K$15*$E$703</f>
        <v>0</v>
      </c>
      <c r="L715" s="733">
        <f t="shared" ref="L715:O715" si="727">L$15*$E$703</f>
        <v>0</v>
      </c>
      <c r="M715" s="733">
        <f t="shared" si="727"/>
        <v>0</v>
      </c>
      <c r="N715" s="733">
        <f t="shared" si="727"/>
        <v>0</v>
      </c>
      <c r="O715" s="733">
        <f t="shared" si="727"/>
        <v>0</v>
      </c>
      <c r="P715" s="733">
        <f>$P$15*$E$703</f>
        <v>0</v>
      </c>
      <c r="Q715" s="734">
        <f t="shared" si="719"/>
        <v>0</v>
      </c>
      <c r="R715" s="733">
        <f>$R$15*$E$703</f>
        <v>0</v>
      </c>
      <c r="S715" s="733">
        <f>$S$15*$E$703</f>
        <v>0</v>
      </c>
      <c r="T715" s="733">
        <f>$T$15*$E$703</f>
        <v>0</v>
      </c>
      <c r="U715" s="733">
        <f>$U$15*$E$703</f>
        <v>0</v>
      </c>
    </row>
    <row r="716" spans="2:21" ht="18.75" x14ac:dyDescent="0.25">
      <c r="C716" s="117">
        <f t="shared" si="717"/>
        <v>1</v>
      </c>
      <c r="D716" s="775" t="s">
        <v>123</v>
      </c>
      <c r="E716" s="84" t="s">
        <v>47</v>
      </c>
      <c r="F716" s="733">
        <f>$F$16*$E$703</f>
        <v>0</v>
      </c>
      <c r="G716" s="733">
        <f>$G$16*$E$703</f>
        <v>0</v>
      </c>
      <c r="H716" s="733">
        <f>$H$16*$E$703</f>
        <v>0</v>
      </c>
      <c r="I716" s="733">
        <f>$I$16*$E$703</f>
        <v>0</v>
      </c>
      <c r="J716" s="733">
        <f>$J$16*$E$703</f>
        <v>0</v>
      </c>
      <c r="K716" s="733">
        <f>K$16*$E$703</f>
        <v>0</v>
      </c>
      <c r="L716" s="733">
        <f t="shared" ref="L716:O716" si="728">L$16*$E$703</f>
        <v>0</v>
      </c>
      <c r="M716" s="733">
        <f t="shared" si="728"/>
        <v>0</v>
      </c>
      <c r="N716" s="733">
        <f t="shared" si="728"/>
        <v>0</v>
      </c>
      <c r="O716" s="733">
        <f t="shared" si="728"/>
        <v>0</v>
      </c>
      <c r="P716" s="733">
        <f>$P$16*$E$703</f>
        <v>0</v>
      </c>
      <c r="Q716" s="734">
        <f t="shared" si="719"/>
        <v>0</v>
      </c>
      <c r="R716" s="733">
        <f>$R$16*$E$703</f>
        <v>0</v>
      </c>
      <c r="S716" s="733">
        <f>$S$16*$E$703</f>
        <v>0</v>
      </c>
      <c r="T716" s="733">
        <f>$T$16*$E$703</f>
        <v>0</v>
      </c>
      <c r="U716" s="733">
        <f>$U$16*$E$703</f>
        <v>0</v>
      </c>
    </row>
    <row r="717" spans="2:21" ht="19.5" thickBot="1" x14ac:dyDescent="0.3">
      <c r="C717" s="117">
        <f t="shared" si="717"/>
        <v>1</v>
      </c>
      <c r="D717" s="776" t="s">
        <v>16</v>
      </c>
      <c r="E717" s="777" t="s">
        <v>77</v>
      </c>
      <c r="F717" s="733">
        <f>$F$17*$E$703</f>
        <v>2598383.9841645849</v>
      </c>
      <c r="G717" s="733">
        <f>$G$17*$E$703</f>
        <v>51616.485492833526</v>
      </c>
      <c r="H717" s="733">
        <f>$H$17*$E$703</f>
        <v>0</v>
      </c>
      <c r="I717" s="733">
        <f>$I$17*$E$703</f>
        <v>0</v>
      </c>
      <c r="J717" s="733">
        <f>$J$17*$E$703</f>
        <v>110198.08388935207</v>
      </c>
      <c r="K717" s="733">
        <f>K$17*$E$703</f>
        <v>453.69030135483092</v>
      </c>
      <c r="L717" s="733">
        <f t="shared" ref="L717:O717" si="729">L$17*$E$703</f>
        <v>63.847245159879193</v>
      </c>
      <c r="M717" s="733">
        <f t="shared" si="729"/>
        <v>0</v>
      </c>
      <c r="N717" s="733">
        <f t="shared" si="729"/>
        <v>0</v>
      </c>
      <c r="O717" s="733">
        <f t="shared" si="729"/>
        <v>33022.810948317063</v>
      </c>
      <c r="P717" s="733">
        <f>$P$17*$E$703</f>
        <v>562432.63782383467</v>
      </c>
      <c r="Q717" s="734">
        <f t="shared" si="719"/>
        <v>3356171.539865437</v>
      </c>
      <c r="R717" s="733">
        <f>$R$17*$E$703</f>
        <v>0</v>
      </c>
      <c r="S717" s="733">
        <f>$S$17*$E$703</f>
        <v>233365.83354875009</v>
      </c>
      <c r="T717" s="733">
        <f ca="1">$T$17*$E$703</f>
        <v>67682.366065899885</v>
      </c>
      <c r="U717" s="733">
        <f ca="1">$U$17*$E$703</f>
        <v>3856.7566588031618</v>
      </c>
    </row>
    <row r="718" spans="2:21" ht="19.5" thickBot="1" x14ac:dyDescent="0.3">
      <c r="C718" s="117">
        <f t="shared" si="717"/>
        <v>1</v>
      </c>
      <c r="D718" s="115" t="s">
        <v>124</v>
      </c>
      <c r="E718" s="778" t="s">
        <v>78</v>
      </c>
      <c r="F718" s="779">
        <f t="shared" ref="F718:U718" si="730">SUBTOTAL(9,F706:F717)</f>
        <v>26308072.493811067</v>
      </c>
      <c r="G718" s="779">
        <f>SUBTOTAL(9,G706:G717)</f>
        <v>1679282.1548352437</v>
      </c>
      <c r="H718" s="779">
        <f>SUBTOTAL(9,H706:H717)</f>
        <v>3649.4035801985574</v>
      </c>
      <c r="I718" s="779">
        <f>SUBTOTAL(9,I706:I717)</f>
        <v>588189.88156872382</v>
      </c>
      <c r="J718" s="779">
        <f>SUBTOTAL(9,J706:J717)</f>
        <v>536771.90044070035</v>
      </c>
      <c r="K718" s="779">
        <f>SUBTOTAL(9,K706:K717)</f>
        <v>23403.155516022518</v>
      </c>
      <c r="L718" s="779">
        <f t="shared" ref="L718:O718" si="731">SUBTOTAL(9,L706:L717)</f>
        <v>63.847245159879193</v>
      </c>
      <c r="M718" s="779">
        <f t="shared" si="731"/>
        <v>16670.35185016859</v>
      </c>
      <c r="N718" s="779">
        <f t="shared" si="731"/>
        <v>0</v>
      </c>
      <c r="O718" s="779">
        <f t="shared" si="731"/>
        <v>148181.12092082543</v>
      </c>
      <c r="P718" s="779">
        <f t="shared" si="730"/>
        <v>562432.63782383467</v>
      </c>
      <c r="Q718" s="780">
        <f>SUBTOTAL(9,Q706:Q717)</f>
        <v>29866716.947591946</v>
      </c>
      <c r="R718" s="779">
        <f t="shared" si="730"/>
        <v>0</v>
      </c>
      <c r="S718" s="779">
        <f t="shared" si="730"/>
        <v>2247556.2406127471</v>
      </c>
      <c r="T718" s="779">
        <f t="shared" ca="1" si="730"/>
        <v>898024.30473414715</v>
      </c>
      <c r="U718" s="779">
        <f t="shared" ca="1" si="730"/>
        <v>624141.02872759383</v>
      </c>
    </row>
    <row r="719" spans="2:21" s="119" customFormat="1" ht="19.5" hidden="1" thickBot="1" x14ac:dyDescent="0.3">
      <c r="B719" s="340"/>
      <c r="D719" s="117"/>
      <c r="E719" s="117"/>
      <c r="F719" s="118"/>
      <c r="G719" s="118"/>
      <c r="I719" s="118"/>
      <c r="J719" s="118"/>
      <c r="K719" s="118"/>
      <c r="L719" s="118"/>
      <c r="O719" s="118"/>
      <c r="Q719" s="120"/>
      <c r="R719" s="117"/>
      <c r="S719" s="118"/>
      <c r="U719" s="118"/>
    </row>
    <row r="720" spans="2:21" ht="75" x14ac:dyDescent="0.25">
      <c r="B720" s="790"/>
      <c r="C720" s="117">
        <f>IF($E720&gt;0,1,0)</f>
        <v>1</v>
      </c>
      <c r="D720" s="96" t="str">
        <f>A45</f>
        <v>Rensselaer</v>
      </c>
      <c r="E720" s="166">
        <f>IFERROR(SUMIF(A:A,D720,B:B),0)</f>
        <v>1.5563194213553365E-3</v>
      </c>
      <c r="F720" s="98" t="s">
        <v>356</v>
      </c>
      <c r="G720" s="98" t="s">
        <v>373</v>
      </c>
      <c r="H720" s="98" t="s">
        <v>358</v>
      </c>
      <c r="I720" s="98" t="s">
        <v>109</v>
      </c>
      <c r="J720" s="98" t="s">
        <v>111</v>
      </c>
      <c r="K720" s="98" t="s">
        <v>469</v>
      </c>
      <c r="L720" s="98" t="s">
        <v>470</v>
      </c>
      <c r="M720" s="98" t="s">
        <v>357</v>
      </c>
      <c r="N720" s="509" t="s">
        <v>471</v>
      </c>
      <c r="O720" s="98" t="s">
        <v>472</v>
      </c>
      <c r="P720" s="98" t="s">
        <v>110</v>
      </c>
      <c r="Q720" s="99" t="s">
        <v>116</v>
      </c>
      <c r="R720" s="98" t="s">
        <v>112</v>
      </c>
      <c r="S720" s="98" t="s">
        <v>113</v>
      </c>
      <c r="T720" s="98" t="s">
        <v>114</v>
      </c>
      <c r="U720" s="98" t="s">
        <v>115</v>
      </c>
    </row>
    <row r="721" spans="2:21" ht="18.75" x14ac:dyDescent="0.25">
      <c r="B721" s="790"/>
      <c r="C721" s="117">
        <f>C720</f>
        <v>1</v>
      </c>
      <c r="D721" s="101"/>
      <c r="E721" s="102"/>
      <c r="F721" s="84" t="s">
        <v>57</v>
      </c>
      <c r="G721" s="84" t="s">
        <v>56</v>
      </c>
      <c r="H721" s="84" t="s">
        <v>55</v>
      </c>
      <c r="I721" s="84" t="s">
        <v>54</v>
      </c>
      <c r="J721" s="84" t="s">
        <v>53</v>
      </c>
      <c r="K721" s="84" t="s">
        <v>52</v>
      </c>
      <c r="L721" s="84" t="s">
        <v>51</v>
      </c>
      <c r="M721" s="84" t="s">
        <v>50</v>
      </c>
      <c r="N721" s="84" t="s">
        <v>49</v>
      </c>
      <c r="O721" s="84" t="s">
        <v>47</v>
      </c>
      <c r="P721" s="84" t="s">
        <v>77</v>
      </c>
      <c r="Q721" s="83" t="s">
        <v>78</v>
      </c>
      <c r="R721" s="84" t="s">
        <v>79</v>
      </c>
      <c r="S721" s="84" t="s">
        <v>81</v>
      </c>
      <c r="T721" s="84" t="s">
        <v>83</v>
      </c>
      <c r="U721" s="84" t="s">
        <v>85</v>
      </c>
    </row>
    <row r="722" spans="2:21" ht="18.75" x14ac:dyDescent="0.25">
      <c r="B722" s="790"/>
      <c r="C722" s="117">
        <f t="shared" ref="C722:C735" si="732">C721</f>
        <v>1</v>
      </c>
      <c r="D722" s="103" t="s">
        <v>26</v>
      </c>
      <c r="E722" s="104"/>
      <c r="F722" s="745"/>
      <c r="G722" s="745"/>
      <c r="H722" s="784"/>
      <c r="I722" s="745"/>
      <c r="J722" s="745"/>
      <c r="K722" s="745"/>
      <c r="L722" s="745"/>
      <c r="M722" s="784"/>
      <c r="N722" s="784"/>
      <c r="O722" s="745"/>
      <c r="P722" s="784"/>
      <c r="Q722" s="747"/>
      <c r="R722" s="748"/>
      <c r="S722" s="745"/>
      <c r="T722" s="784"/>
      <c r="U722" s="749"/>
    </row>
    <row r="723" spans="2:21" ht="18.75" x14ac:dyDescent="0.25">
      <c r="B723" s="790"/>
      <c r="C723" s="117">
        <f t="shared" si="732"/>
        <v>1</v>
      </c>
      <c r="D723" s="763" t="s">
        <v>93</v>
      </c>
      <c r="E723" s="84" t="s">
        <v>57</v>
      </c>
      <c r="F723" s="733">
        <f>$F$6*$E$720</f>
        <v>196459.76891294174</v>
      </c>
      <c r="G723" s="733">
        <f>$G$6*$E$720</f>
        <v>13606.971809144068</v>
      </c>
      <c r="H723" s="733">
        <f>$H$6*$E$720</f>
        <v>30.508311732109672</v>
      </c>
      <c r="I723" s="733">
        <f>$I$6*$E$720</f>
        <v>4887.9343364867873</v>
      </c>
      <c r="J723" s="733">
        <f>$J$6*$E$720</f>
        <v>3566.0750273600129</v>
      </c>
      <c r="K723" s="733">
        <f>K$6*$E$720</f>
        <v>191.85311338358341</v>
      </c>
      <c r="L723" s="733">
        <f t="shared" ref="L723:O723" si="733">L$6*$E$720</f>
        <v>0</v>
      </c>
      <c r="M723" s="733">
        <f t="shared" si="733"/>
        <v>139.36093384914787</v>
      </c>
      <c r="N723" s="733">
        <f t="shared" si="733"/>
        <v>0</v>
      </c>
      <c r="O723" s="733">
        <f t="shared" si="733"/>
        <v>910.22222234759352</v>
      </c>
      <c r="P723" s="733">
        <f>$P$6*$E$720</f>
        <v>0</v>
      </c>
      <c r="Q723" s="734">
        <f t="shared" ref="Q723:Q734" si="734">SUM(F723:P723)</f>
        <v>219792.69466724506</v>
      </c>
      <c r="R723" s="733">
        <f>$R$6*$E$720</f>
        <v>0</v>
      </c>
      <c r="S723" s="733">
        <f>$S$6*$E$720</f>
        <v>16785.404428909198</v>
      </c>
      <c r="T723" s="733">
        <f ca="1">$T$6*$E$720</f>
        <v>6919.8762772580749</v>
      </c>
      <c r="U723" s="733">
        <f ca="1">$U$6*$E$720</f>
        <v>5183.300110555967</v>
      </c>
    </row>
    <row r="724" spans="2:21" ht="18.75" x14ac:dyDescent="0.25">
      <c r="B724" s="790"/>
      <c r="C724" s="117">
        <f t="shared" si="732"/>
        <v>1</v>
      </c>
      <c r="D724" s="765" t="s">
        <v>92</v>
      </c>
      <c r="E724" s="84" t="s">
        <v>56</v>
      </c>
      <c r="F724" s="733">
        <f>$F$7*$E$720</f>
        <v>0</v>
      </c>
      <c r="G724" s="733">
        <f>$G$7*$E$720</f>
        <v>0</v>
      </c>
      <c r="H724" s="733">
        <f>$H$7*$E$720</f>
        <v>0</v>
      </c>
      <c r="I724" s="733">
        <f>$I$7*$E$720</f>
        <v>0</v>
      </c>
      <c r="J724" s="733">
        <f>$J$7*$E$720</f>
        <v>0</v>
      </c>
      <c r="K724" s="733">
        <f>K$7*$E$720</f>
        <v>0</v>
      </c>
      <c r="L724" s="733">
        <f t="shared" ref="L724:O724" si="735">L$7*$E$720</f>
        <v>0</v>
      </c>
      <c r="M724" s="733">
        <f t="shared" si="735"/>
        <v>0</v>
      </c>
      <c r="N724" s="733">
        <f t="shared" si="735"/>
        <v>0</v>
      </c>
      <c r="O724" s="733">
        <f t="shared" si="735"/>
        <v>0</v>
      </c>
      <c r="P724" s="733">
        <f>$P$7*$E$720</f>
        <v>0</v>
      </c>
      <c r="Q724" s="734">
        <f t="shared" si="734"/>
        <v>0</v>
      </c>
      <c r="R724" s="733">
        <f>$R$7*$E$720</f>
        <v>0</v>
      </c>
      <c r="S724" s="733">
        <f>$S$7*$E$720</f>
        <v>0</v>
      </c>
      <c r="T724" s="733">
        <f>$T$7*$E$720</f>
        <v>0</v>
      </c>
      <c r="U724" s="733">
        <f>$U$7*$E$720</f>
        <v>0</v>
      </c>
    </row>
    <row r="725" spans="2:21" ht="18.75" x14ac:dyDescent="0.25">
      <c r="B725" s="790"/>
      <c r="C725" s="117">
        <f t="shared" si="732"/>
        <v>1</v>
      </c>
      <c r="D725" s="765" t="s">
        <v>91</v>
      </c>
      <c r="E725" s="84" t="s">
        <v>55</v>
      </c>
      <c r="F725" s="733">
        <f>$F$8*$E$720</f>
        <v>1748.6649386406425</v>
      </c>
      <c r="G725" s="733">
        <f>$G$8*$E$720</f>
        <v>0</v>
      </c>
      <c r="H725" s="733">
        <f>$H$8*$E$720</f>
        <v>0</v>
      </c>
      <c r="I725" s="733">
        <f>$I$8*$E$720</f>
        <v>29.219897135946443</v>
      </c>
      <c r="J725" s="733">
        <f>$J$8*$E$720</f>
        <v>0</v>
      </c>
      <c r="K725" s="733">
        <f>K$8*$E$720</f>
        <v>0</v>
      </c>
      <c r="L725" s="733">
        <f t="shared" ref="L725:O725" si="736">L$8*$E$720</f>
        <v>0</v>
      </c>
      <c r="M725" s="733">
        <f t="shared" si="736"/>
        <v>0</v>
      </c>
      <c r="N725" s="733">
        <f t="shared" si="736"/>
        <v>0</v>
      </c>
      <c r="O725" s="733">
        <f t="shared" si="736"/>
        <v>52.479090888101943</v>
      </c>
      <c r="P725" s="733">
        <f>$P$8*$E$720</f>
        <v>0</v>
      </c>
      <c r="Q725" s="734">
        <f t="shared" si="734"/>
        <v>1830.3639266646908</v>
      </c>
      <c r="R725" s="733">
        <f>$R$8*$E$720</f>
        <v>0</v>
      </c>
      <c r="S725" s="733">
        <f>$S$8*$E$720</f>
        <v>52.839814603583683</v>
      </c>
      <c r="T725" s="733">
        <f ca="1">$T$8*$E$720</f>
        <v>21.622560137402573</v>
      </c>
      <c r="U725" s="733">
        <f ca="1">$U$8*$E$720</f>
        <v>2.1570522195968826</v>
      </c>
    </row>
    <row r="726" spans="2:21" ht="18.75" x14ac:dyDescent="0.25">
      <c r="B726" s="790"/>
      <c r="C726" s="117">
        <f t="shared" si="732"/>
        <v>1</v>
      </c>
      <c r="D726" s="766" t="s">
        <v>117</v>
      </c>
      <c r="E726" s="84" t="s">
        <v>54</v>
      </c>
      <c r="F726" s="733">
        <f>$F$9*$E$720</f>
        <v>0</v>
      </c>
      <c r="G726" s="733">
        <f>$G$9*$E$720</f>
        <v>0</v>
      </c>
      <c r="H726" s="733">
        <f>$H$9*$E$720</f>
        <v>0</v>
      </c>
      <c r="I726" s="733">
        <f>$I$9*$E$720</f>
        <v>0</v>
      </c>
      <c r="J726" s="733">
        <f>$J$9*$E$720</f>
        <v>0</v>
      </c>
      <c r="K726" s="733">
        <f>K$9*$E$720</f>
        <v>0</v>
      </c>
      <c r="L726" s="733">
        <f t="shared" ref="L726:O726" si="737">L$9*$E$720</f>
        <v>0</v>
      </c>
      <c r="M726" s="733">
        <f t="shared" si="737"/>
        <v>0</v>
      </c>
      <c r="N726" s="733">
        <f t="shared" si="737"/>
        <v>0</v>
      </c>
      <c r="O726" s="733">
        <f t="shared" si="737"/>
        <v>0</v>
      </c>
      <c r="P726" s="733">
        <f>$P$9*$E$720</f>
        <v>0</v>
      </c>
      <c r="Q726" s="734">
        <f t="shared" si="734"/>
        <v>0</v>
      </c>
      <c r="R726" s="733">
        <f>$R$9*$E$720</f>
        <v>0</v>
      </c>
      <c r="S726" s="733">
        <f>$S$9*$E$720</f>
        <v>0</v>
      </c>
      <c r="T726" s="733">
        <f>$T$9*$E$720</f>
        <v>0</v>
      </c>
      <c r="U726" s="733">
        <f>$U$9*$E$720</f>
        <v>0</v>
      </c>
    </row>
    <row r="727" spans="2:21" ht="18.75" x14ac:dyDescent="0.25">
      <c r="B727" s="790"/>
      <c r="C727" s="117">
        <f t="shared" si="732"/>
        <v>1</v>
      </c>
      <c r="D727" s="112" t="s">
        <v>31</v>
      </c>
      <c r="E727" s="84"/>
      <c r="F727" s="767"/>
      <c r="G727" s="768"/>
      <c r="H727" s="769"/>
      <c r="I727" s="768"/>
      <c r="J727" s="768"/>
      <c r="K727" s="768"/>
      <c r="L727" s="768"/>
      <c r="M727" s="768"/>
      <c r="N727" s="768"/>
      <c r="O727" s="768"/>
      <c r="P727" s="771"/>
      <c r="Q727" s="734">
        <f t="shared" si="734"/>
        <v>0</v>
      </c>
      <c r="R727" s="772"/>
      <c r="S727" s="768"/>
      <c r="T727" s="773"/>
      <c r="U727" s="774"/>
    </row>
    <row r="728" spans="2:21" ht="18.75" x14ac:dyDescent="0.25">
      <c r="B728" s="790"/>
      <c r="C728" s="117">
        <f t="shared" si="732"/>
        <v>1</v>
      </c>
      <c r="D728" s="775" t="s">
        <v>118</v>
      </c>
      <c r="E728" s="84" t="s">
        <v>53</v>
      </c>
      <c r="F728" s="733">
        <f>$F$11*$E$720</f>
        <v>0</v>
      </c>
      <c r="G728" s="733">
        <f>$G$11*$E$720</f>
        <v>0</v>
      </c>
      <c r="H728" s="733">
        <f>$H$11*$E$720</f>
        <v>0</v>
      </c>
      <c r="I728" s="733">
        <f>$I$11*$E$720</f>
        <v>0</v>
      </c>
      <c r="J728" s="733">
        <f>$J$11*$E$720</f>
        <v>0</v>
      </c>
      <c r="K728" s="733">
        <f>K$11*$E$720</f>
        <v>0</v>
      </c>
      <c r="L728" s="733">
        <f t="shared" ref="L728:O728" si="738">L$11*$E$720</f>
        <v>0</v>
      </c>
      <c r="M728" s="733">
        <f t="shared" si="738"/>
        <v>0</v>
      </c>
      <c r="N728" s="733">
        <f t="shared" si="738"/>
        <v>0</v>
      </c>
      <c r="O728" s="733">
        <f t="shared" si="738"/>
        <v>0</v>
      </c>
      <c r="P728" s="733">
        <f>$P$11*$E$720</f>
        <v>0</v>
      </c>
      <c r="Q728" s="734">
        <f t="shared" si="734"/>
        <v>0</v>
      </c>
      <c r="R728" s="733">
        <f>$R$11*$E$720</f>
        <v>0</v>
      </c>
      <c r="S728" s="733">
        <f>$S$11*$E$720</f>
        <v>0</v>
      </c>
      <c r="T728" s="733">
        <f>$T$11*$E$720</f>
        <v>0</v>
      </c>
      <c r="U728" s="733">
        <f>$U$11*$E$720</f>
        <v>0</v>
      </c>
    </row>
    <row r="729" spans="2:21" ht="18.75" x14ac:dyDescent="0.25">
      <c r="B729" s="790"/>
      <c r="C729" s="117">
        <f t="shared" si="732"/>
        <v>1</v>
      </c>
      <c r="D729" s="775" t="s">
        <v>119</v>
      </c>
      <c r="E729" s="84" t="s">
        <v>52</v>
      </c>
      <c r="F729" s="733">
        <f>$F$12*$E$720</f>
        <v>0</v>
      </c>
      <c r="G729" s="733">
        <f>$G$12*$E$720</f>
        <v>0</v>
      </c>
      <c r="H729" s="733">
        <f>$H$12*$E$720</f>
        <v>0</v>
      </c>
      <c r="I729" s="733">
        <f>$I$12*$E$720</f>
        <v>0</v>
      </c>
      <c r="J729" s="733">
        <f>$J$12*$E$720</f>
        <v>0</v>
      </c>
      <c r="K729" s="733">
        <f>K$12*$E$720</f>
        <v>0</v>
      </c>
      <c r="L729" s="733">
        <f t="shared" ref="L729:O729" si="739">L$12*$E$720</f>
        <v>0</v>
      </c>
      <c r="M729" s="733">
        <f t="shared" si="739"/>
        <v>0</v>
      </c>
      <c r="N729" s="733">
        <f t="shared" si="739"/>
        <v>0</v>
      </c>
      <c r="O729" s="733">
        <f t="shared" si="739"/>
        <v>0</v>
      </c>
      <c r="P729" s="733">
        <f>$P$12*$E$720</f>
        <v>0</v>
      </c>
      <c r="Q729" s="734">
        <f t="shared" si="734"/>
        <v>0</v>
      </c>
      <c r="R729" s="733">
        <f>$R$12*$E$720</f>
        <v>0</v>
      </c>
      <c r="S729" s="733">
        <f>$S$12*$E$720</f>
        <v>0</v>
      </c>
      <c r="T729" s="733">
        <f>$T$12*$E$720</f>
        <v>0</v>
      </c>
      <c r="U729" s="733">
        <f>$U$12*$E$720</f>
        <v>0</v>
      </c>
    </row>
    <row r="730" spans="2:21" ht="18.75" x14ac:dyDescent="0.25">
      <c r="B730" s="790"/>
      <c r="C730" s="117">
        <f t="shared" si="732"/>
        <v>1</v>
      </c>
      <c r="D730" s="775" t="s">
        <v>120</v>
      </c>
      <c r="E730" s="84" t="s">
        <v>51</v>
      </c>
      <c r="F730" s="733">
        <f>$F$13*$E$720</f>
        <v>0</v>
      </c>
      <c r="G730" s="733">
        <f>$G$13*$E$720</f>
        <v>0</v>
      </c>
      <c r="H730" s="733">
        <f>$H$13*$E$720</f>
        <v>0</v>
      </c>
      <c r="I730" s="733">
        <f>$I$13*$E$720</f>
        <v>0</v>
      </c>
      <c r="J730" s="733">
        <f>$J$13*$E$720</f>
        <v>0</v>
      </c>
      <c r="K730" s="733">
        <f>K$13*$E$720</f>
        <v>0</v>
      </c>
      <c r="L730" s="733">
        <f t="shared" ref="L730:O730" si="740">L$13*$E$720</f>
        <v>0</v>
      </c>
      <c r="M730" s="733">
        <f t="shared" si="740"/>
        <v>0</v>
      </c>
      <c r="N730" s="733">
        <f t="shared" si="740"/>
        <v>0</v>
      </c>
      <c r="O730" s="733">
        <f t="shared" si="740"/>
        <v>0</v>
      </c>
      <c r="P730" s="733">
        <f>$P$13*$E$720</f>
        <v>0</v>
      </c>
      <c r="Q730" s="734">
        <f t="shared" si="734"/>
        <v>0</v>
      </c>
      <c r="R730" s="733">
        <f>$R$13*$E$720</f>
        <v>0</v>
      </c>
      <c r="S730" s="733">
        <f>$S$13*$E$720</f>
        <v>0</v>
      </c>
      <c r="T730" s="733">
        <f>$T$13*$E$720</f>
        <v>0</v>
      </c>
      <c r="U730" s="733">
        <f>$U$13*$E$720</f>
        <v>0</v>
      </c>
    </row>
    <row r="731" spans="2:21" ht="18.75" x14ac:dyDescent="0.25">
      <c r="B731" s="790"/>
      <c r="C731" s="117">
        <f t="shared" si="732"/>
        <v>1</v>
      </c>
      <c r="D731" s="775" t="s">
        <v>121</v>
      </c>
      <c r="E731" s="84" t="s">
        <v>50</v>
      </c>
      <c r="F731" s="733">
        <f>$F$14*$E$720</f>
        <v>0</v>
      </c>
      <c r="G731" s="733">
        <f>$G$14*$E$720</f>
        <v>0</v>
      </c>
      <c r="H731" s="733">
        <f>$H$14*$E$720</f>
        <v>0</v>
      </c>
      <c r="I731" s="733">
        <f>$I$14*$E$720</f>
        <v>0</v>
      </c>
      <c r="J731" s="733">
        <f>$J$14*$E$720</f>
        <v>0</v>
      </c>
      <c r="K731" s="733">
        <f>K$14*$E$720</f>
        <v>0</v>
      </c>
      <c r="L731" s="733">
        <f t="shared" ref="L731:O731" si="741">L$14*$E$720</f>
        <v>0</v>
      </c>
      <c r="M731" s="733">
        <f t="shared" si="741"/>
        <v>0</v>
      </c>
      <c r="N731" s="733">
        <f t="shared" si="741"/>
        <v>0</v>
      </c>
      <c r="O731" s="733">
        <f t="shared" si="741"/>
        <v>0</v>
      </c>
      <c r="P731" s="733">
        <f>$P$14*$E$720</f>
        <v>0</v>
      </c>
      <c r="Q731" s="734">
        <f t="shared" si="734"/>
        <v>0</v>
      </c>
      <c r="R731" s="733">
        <f>$R$14*$E$720</f>
        <v>0</v>
      </c>
      <c r="S731" s="733">
        <f>$S$14*$E$720</f>
        <v>0</v>
      </c>
      <c r="T731" s="733">
        <f>$T$14*$E$720</f>
        <v>0</v>
      </c>
      <c r="U731" s="733">
        <f>$U$14*$E$720</f>
        <v>0</v>
      </c>
    </row>
    <row r="732" spans="2:21" ht="18.75" x14ac:dyDescent="0.25">
      <c r="B732" s="790"/>
      <c r="C732" s="117">
        <f t="shared" si="732"/>
        <v>1</v>
      </c>
      <c r="D732" s="775" t="s">
        <v>122</v>
      </c>
      <c r="E732" s="84" t="s">
        <v>49</v>
      </c>
      <c r="F732" s="733">
        <f>$F$15*$E$720</f>
        <v>0</v>
      </c>
      <c r="G732" s="733">
        <f>$G$15*$E$720</f>
        <v>0</v>
      </c>
      <c r="H732" s="733">
        <f>$H$15*$E$720</f>
        <v>0</v>
      </c>
      <c r="I732" s="733">
        <f>$I$15*$E$720</f>
        <v>0</v>
      </c>
      <c r="J732" s="733">
        <f>$J$15*$E$720</f>
        <v>0</v>
      </c>
      <c r="K732" s="733">
        <f>K$15*$E$720</f>
        <v>0</v>
      </c>
      <c r="L732" s="733">
        <f t="shared" ref="L732:O732" si="742">L$15*$E$720</f>
        <v>0</v>
      </c>
      <c r="M732" s="733">
        <f t="shared" si="742"/>
        <v>0</v>
      </c>
      <c r="N732" s="733">
        <f t="shared" si="742"/>
        <v>0</v>
      </c>
      <c r="O732" s="733">
        <f t="shared" si="742"/>
        <v>0</v>
      </c>
      <c r="P732" s="733">
        <f>$P$15*$E$720</f>
        <v>0</v>
      </c>
      <c r="Q732" s="734">
        <f t="shared" si="734"/>
        <v>0</v>
      </c>
      <c r="R732" s="733">
        <f>$R$15*$E$720</f>
        <v>0</v>
      </c>
      <c r="S732" s="733">
        <f>$S$15*$E$720</f>
        <v>0</v>
      </c>
      <c r="T732" s="733">
        <f>$T$15*$E$720</f>
        <v>0</v>
      </c>
      <c r="U732" s="733">
        <f>$U$15*$E$720</f>
        <v>0</v>
      </c>
    </row>
    <row r="733" spans="2:21" ht="18.75" x14ac:dyDescent="0.25">
      <c r="B733" s="790"/>
      <c r="C733" s="117">
        <f t="shared" si="732"/>
        <v>1</v>
      </c>
      <c r="D733" s="775" t="s">
        <v>123</v>
      </c>
      <c r="E733" s="84" t="s">
        <v>47</v>
      </c>
      <c r="F733" s="733">
        <f>$F$16*$E$720</f>
        <v>0</v>
      </c>
      <c r="G733" s="733">
        <f>$G$16*$E$720</f>
        <v>0</v>
      </c>
      <c r="H733" s="733">
        <f>$H$16*$E$720</f>
        <v>0</v>
      </c>
      <c r="I733" s="733">
        <f>$I$16*$E$720</f>
        <v>0</v>
      </c>
      <c r="J733" s="733">
        <f>$J$16*$E$720</f>
        <v>0</v>
      </c>
      <c r="K733" s="733">
        <f>K$16*$E$720</f>
        <v>0</v>
      </c>
      <c r="L733" s="733">
        <f t="shared" ref="L733:O733" si="743">L$16*$E$720</f>
        <v>0</v>
      </c>
      <c r="M733" s="733">
        <f t="shared" si="743"/>
        <v>0</v>
      </c>
      <c r="N733" s="733">
        <f t="shared" si="743"/>
        <v>0</v>
      </c>
      <c r="O733" s="733">
        <f t="shared" si="743"/>
        <v>0</v>
      </c>
      <c r="P733" s="733">
        <f>$P$16*$E$720</f>
        <v>0</v>
      </c>
      <c r="Q733" s="734">
        <f t="shared" si="734"/>
        <v>0</v>
      </c>
      <c r="R733" s="733">
        <f>$R$16*$E$720</f>
        <v>0</v>
      </c>
      <c r="S733" s="733">
        <f>$S$16*$E$720</f>
        <v>0</v>
      </c>
      <c r="T733" s="733">
        <f>$T$16*$E$720</f>
        <v>0</v>
      </c>
      <c r="U733" s="733">
        <f>$U$16*$E$720</f>
        <v>0</v>
      </c>
    </row>
    <row r="734" spans="2:21" ht="19.5" thickBot="1" x14ac:dyDescent="0.3">
      <c r="B734" s="790"/>
      <c r="C734" s="117">
        <f t="shared" si="732"/>
        <v>1</v>
      </c>
      <c r="D734" s="776" t="s">
        <v>16</v>
      </c>
      <c r="E734" s="777" t="s">
        <v>77</v>
      </c>
      <c r="F734" s="733">
        <f>$F$17*$E$720</f>
        <v>21721.990140729027</v>
      </c>
      <c r="G734" s="733">
        <f>$G$17*$E$720</f>
        <v>431.50388695722268</v>
      </c>
      <c r="H734" s="733">
        <f>$H$17*$E$720</f>
        <v>0</v>
      </c>
      <c r="I734" s="733">
        <f>$I$17*$E$720</f>
        <v>0</v>
      </c>
      <c r="J734" s="733">
        <f>$J$17*$E$720</f>
        <v>921.23477760018193</v>
      </c>
      <c r="K734" s="733">
        <f>K$17*$E$720</f>
        <v>3.7927636227108872</v>
      </c>
      <c r="L734" s="733">
        <f t="shared" ref="L734:O734" si="744">L$17*$E$720</f>
        <v>0.53375068439759821</v>
      </c>
      <c r="M734" s="733">
        <f t="shared" si="744"/>
        <v>0</v>
      </c>
      <c r="N734" s="733">
        <f t="shared" si="744"/>
        <v>0</v>
      </c>
      <c r="O734" s="733">
        <f t="shared" si="744"/>
        <v>276.06434545859861</v>
      </c>
      <c r="P734" s="733">
        <f>$P$17*$E$720</f>
        <v>4701.8286319839426</v>
      </c>
      <c r="Q734" s="734">
        <f t="shared" si="734"/>
        <v>28056.94829703608</v>
      </c>
      <c r="R734" s="733">
        <f>$R$17*$E$720</f>
        <v>0</v>
      </c>
      <c r="S734" s="733">
        <f>$S$17*$E$720</f>
        <v>1950.8934654855359</v>
      </c>
      <c r="T734" s="733">
        <f ca="1">$T$17*$E$720</f>
        <v>565.81155723886502</v>
      </c>
      <c r="U734" s="733">
        <f ca="1">$U$17*$E$720</f>
        <v>32.241743571494709</v>
      </c>
    </row>
    <row r="735" spans="2:21" ht="19.5" thickBot="1" x14ac:dyDescent="0.3">
      <c r="B735" s="790"/>
      <c r="C735" s="117">
        <f t="shared" si="732"/>
        <v>1</v>
      </c>
      <c r="D735" s="115" t="s">
        <v>124</v>
      </c>
      <c r="E735" s="778" t="s">
        <v>78</v>
      </c>
      <c r="F735" s="779">
        <f t="shared" ref="F735:U735" si="745">SUBTOTAL(9,F723:F734)</f>
        <v>219930.42399231141</v>
      </c>
      <c r="G735" s="779">
        <f>SUBTOTAL(9,G723:G734)</f>
        <v>14038.47569610129</v>
      </c>
      <c r="H735" s="779">
        <f>SUBTOTAL(9,H723:H734)</f>
        <v>30.508311732109672</v>
      </c>
      <c r="I735" s="779">
        <f>SUBTOTAL(9,I723:I734)</f>
        <v>4917.154233622734</v>
      </c>
      <c r="J735" s="779">
        <f>SUBTOTAL(9,J723:J734)</f>
        <v>4487.3098049601949</v>
      </c>
      <c r="K735" s="779">
        <f>SUBTOTAL(9,K723:K734)</f>
        <v>195.64587700629428</v>
      </c>
      <c r="L735" s="779">
        <f t="shared" ref="L735:O735" si="746">SUBTOTAL(9,L723:L734)</f>
        <v>0.53375068439759821</v>
      </c>
      <c r="M735" s="779">
        <f t="shared" si="746"/>
        <v>139.36093384914787</v>
      </c>
      <c r="N735" s="779">
        <f t="shared" si="746"/>
        <v>0</v>
      </c>
      <c r="O735" s="779">
        <f t="shared" si="746"/>
        <v>1238.765658694294</v>
      </c>
      <c r="P735" s="779">
        <f t="shared" si="745"/>
        <v>4701.8286319839426</v>
      </c>
      <c r="Q735" s="780">
        <f>SUBTOTAL(9,Q723:Q734)</f>
        <v>249680.00689094584</v>
      </c>
      <c r="R735" s="779">
        <f t="shared" si="745"/>
        <v>0</v>
      </c>
      <c r="S735" s="779">
        <f t="shared" si="745"/>
        <v>18789.137708998318</v>
      </c>
      <c r="T735" s="779">
        <f t="shared" ca="1" si="745"/>
        <v>7507.3103946343426</v>
      </c>
      <c r="U735" s="779">
        <f t="shared" ca="1" si="745"/>
        <v>5217.6989063470592</v>
      </c>
    </row>
    <row r="736" spans="2:21" s="119" customFormat="1" ht="19.5" hidden="1" thickBot="1" x14ac:dyDescent="0.3">
      <c r="B736" s="340"/>
      <c r="D736" s="117"/>
      <c r="E736" s="117"/>
      <c r="F736" s="118"/>
      <c r="G736" s="118"/>
      <c r="I736" s="118"/>
      <c r="J736" s="118"/>
      <c r="K736" s="118"/>
      <c r="L736" s="118"/>
      <c r="O736" s="118"/>
      <c r="Q736" s="120"/>
      <c r="R736" s="117"/>
      <c r="S736" s="118"/>
      <c r="U736" s="118"/>
    </row>
    <row r="737" spans="2:21" ht="75" x14ac:dyDescent="0.25">
      <c r="B737" s="790"/>
      <c r="C737" s="117">
        <f>IF($E737&gt;0,1,0)</f>
        <v>1</v>
      </c>
      <c r="D737" s="96" t="str">
        <f>A46</f>
        <v>Richmond</v>
      </c>
      <c r="E737" s="166">
        <f>IFERROR(SUMIF(A:A,D737,B:B),0)</f>
        <v>0.11418343852982973</v>
      </c>
      <c r="F737" s="98" t="s">
        <v>356</v>
      </c>
      <c r="G737" s="98" t="s">
        <v>373</v>
      </c>
      <c r="H737" s="98" t="s">
        <v>358</v>
      </c>
      <c r="I737" s="98" t="s">
        <v>109</v>
      </c>
      <c r="J737" s="98" t="s">
        <v>111</v>
      </c>
      <c r="K737" s="98" t="s">
        <v>469</v>
      </c>
      <c r="L737" s="98" t="s">
        <v>470</v>
      </c>
      <c r="M737" s="98" t="s">
        <v>357</v>
      </c>
      <c r="N737" s="509" t="s">
        <v>471</v>
      </c>
      <c r="O737" s="98" t="s">
        <v>472</v>
      </c>
      <c r="P737" s="98" t="s">
        <v>110</v>
      </c>
      <c r="Q737" s="99" t="s">
        <v>116</v>
      </c>
      <c r="R737" s="98" t="s">
        <v>112</v>
      </c>
      <c r="S737" s="98" t="s">
        <v>113</v>
      </c>
      <c r="T737" s="98" t="s">
        <v>114</v>
      </c>
      <c r="U737" s="98" t="s">
        <v>115</v>
      </c>
    </row>
    <row r="738" spans="2:21" ht="18.75" x14ac:dyDescent="0.25">
      <c r="B738" s="790"/>
      <c r="C738" s="117">
        <f>C737</f>
        <v>1</v>
      </c>
      <c r="D738" s="101"/>
      <c r="E738" s="102"/>
      <c r="F738" s="84" t="s">
        <v>57</v>
      </c>
      <c r="G738" s="84" t="s">
        <v>56</v>
      </c>
      <c r="H738" s="84" t="s">
        <v>55</v>
      </c>
      <c r="I738" s="84" t="s">
        <v>54</v>
      </c>
      <c r="J738" s="84" t="s">
        <v>53</v>
      </c>
      <c r="K738" s="84" t="s">
        <v>52</v>
      </c>
      <c r="L738" s="84" t="s">
        <v>51</v>
      </c>
      <c r="M738" s="84" t="s">
        <v>50</v>
      </c>
      <c r="N738" s="84" t="s">
        <v>49</v>
      </c>
      <c r="O738" s="84" t="s">
        <v>47</v>
      </c>
      <c r="P738" s="84" t="s">
        <v>77</v>
      </c>
      <c r="Q738" s="83" t="s">
        <v>78</v>
      </c>
      <c r="R738" s="84" t="s">
        <v>79</v>
      </c>
      <c r="S738" s="84" t="s">
        <v>81</v>
      </c>
      <c r="T738" s="84" t="s">
        <v>83</v>
      </c>
      <c r="U738" s="84" t="s">
        <v>85</v>
      </c>
    </row>
    <row r="739" spans="2:21" ht="18.75" x14ac:dyDescent="0.25">
      <c r="B739" s="790"/>
      <c r="C739" s="117">
        <f t="shared" ref="C739:C752" si="747">C738</f>
        <v>1</v>
      </c>
      <c r="D739" s="103" t="s">
        <v>26</v>
      </c>
      <c r="E739" s="104"/>
      <c r="F739" s="745"/>
      <c r="G739" s="745"/>
      <c r="H739" s="784"/>
      <c r="I739" s="745"/>
      <c r="J739" s="745"/>
      <c r="K739" s="745"/>
      <c r="L739" s="745"/>
      <c r="M739" s="784"/>
      <c r="N739" s="784"/>
      <c r="O739" s="745"/>
      <c r="P739" s="784"/>
      <c r="Q739" s="747"/>
      <c r="R739" s="748"/>
      <c r="S739" s="745"/>
      <c r="T739" s="784"/>
      <c r="U739" s="749"/>
    </row>
    <row r="740" spans="2:21" ht="18.75" x14ac:dyDescent="0.25">
      <c r="B740" s="790"/>
      <c r="C740" s="117">
        <f t="shared" si="747"/>
        <v>1</v>
      </c>
      <c r="D740" s="763" t="s">
        <v>93</v>
      </c>
      <c r="E740" s="84" t="s">
        <v>57</v>
      </c>
      <c r="F740" s="733">
        <f>$F$6*$E$737</f>
        <v>14413783.982545121</v>
      </c>
      <c r="G740" s="733">
        <f>$G$6*$E$737</f>
        <v>998311.02010760771</v>
      </c>
      <c r="H740" s="733">
        <f>$H$6*$E$737</f>
        <v>2238.321959818858</v>
      </c>
      <c r="I740" s="733">
        <f>$I$6*$E$737</f>
        <v>358616.06697809999</v>
      </c>
      <c r="J740" s="733">
        <f>$J$6*$E$737</f>
        <v>261634.4068524958</v>
      </c>
      <c r="K740" s="733">
        <f>K$6*$E$737</f>
        <v>14075.804669785202</v>
      </c>
      <c r="L740" s="733">
        <f t="shared" ref="L740:O740" si="748">L$6*$E$737</f>
        <v>0</v>
      </c>
      <c r="M740" s="733">
        <f t="shared" si="748"/>
        <v>10224.57883984131</v>
      </c>
      <c r="N740" s="733">
        <f t="shared" si="748"/>
        <v>0</v>
      </c>
      <c r="O740" s="733">
        <f t="shared" si="748"/>
        <v>66780.830302433009</v>
      </c>
      <c r="P740" s="733">
        <f>$P$6*$E$737</f>
        <v>0</v>
      </c>
      <c r="Q740" s="734">
        <f t="shared" ref="Q740:Q751" si="749">SUM(F740:P740)</f>
        <v>16125665.012255203</v>
      </c>
      <c r="R740" s="733">
        <f>$R$6*$E$737</f>
        <v>0</v>
      </c>
      <c r="S740" s="733">
        <f>$S$6*$E$737</f>
        <v>1231505.029435141</v>
      </c>
      <c r="T740" s="733">
        <f ca="1">$T$6*$E$737</f>
        <v>507694.79368844937</v>
      </c>
      <c r="U740" s="733">
        <f ca="1">$U$6*$E$737</f>
        <v>380286.34831268183</v>
      </c>
    </row>
    <row r="741" spans="2:21" ht="18.75" x14ac:dyDescent="0.25">
      <c r="B741" s="790"/>
      <c r="C741" s="117">
        <f t="shared" si="747"/>
        <v>1</v>
      </c>
      <c r="D741" s="765" t="s">
        <v>92</v>
      </c>
      <c r="E741" s="84" t="s">
        <v>56</v>
      </c>
      <c r="F741" s="733">
        <f>$F$7*$E$737</f>
        <v>0</v>
      </c>
      <c r="G741" s="733">
        <f>$G$7*$E$737</f>
        <v>0</v>
      </c>
      <c r="H741" s="733">
        <f>$H$7*$E$737</f>
        <v>0</v>
      </c>
      <c r="I741" s="733">
        <f>$I$7*$E$737</f>
        <v>0</v>
      </c>
      <c r="J741" s="733">
        <f>$J$7*$E$737</f>
        <v>0</v>
      </c>
      <c r="K741" s="733">
        <f>K$7*$E$737</f>
        <v>0</v>
      </c>
      <c r="L741" s="733">
        <f t="shared" ref="L741:O741" si="750">L$7*$E$737</f>
        <v>0</v>
      </c>
      <c r="M741" s="733">
        <f t="shared" si="750"/>
        <v>0</v>
      </c>
      <c r="N741" s="733">
        <f t="shared" si="750"/>
        <v>0</v>
      </c>
      <c r="O741" s="733">
        <f t="shared" si="750"/>
        <v>0</v>
      </c>
      <c r="P741" s="733">
        <f>$P$7*$E$737</f>
        <v>0</v>
      </c>
      <c r="Q741" s="734">
        <f t="shared" si="749"/>
        <v>0</v>
      </c>
      <c r="R741" s="733">
        <f>$R$7*$E$737</f>
        <v>0</v>
      </c>
      <c r="S741" s="733">
        <f>$S$7*$E$737</f>
        <v>0</v>
      </c>
      <c r="T741" s="733">
        <f>$T$7*$E$737</f>
        <v>0</v>
      </c>
      <c r="U741" s="733">
        <f>$U$7*$E$737</f>
        <v>0</v>
      </c>
    </row>
    <row r="742" spans="2:21" ht="18.75" x14ac:dyDescent="0.25">
      <c r="B742" s="790"/>
      <c r="C742" s="117">
        <f t="shared" si="747"/>
        <v>1</v>
      </c>
      <c r="D742" s="765" t="s">
        <v>91</v>
      </c>
      <c r="E742" s="84" t="s">
        <v>55</v>
      </c>
      <c r="F742" s="733">
        <f>$F$8*$E$737</f>
        <v>128295.3696977314</v>
      </c>
      <c r="G742" s="733">
        <f>$G$8*$E$737</f>
        <v>0</v>
      </c>
      <c r="H742" s="733">
        <f>$H$8*$E$737</f>
        <v>0</v>
      </c>
      <c r="I742" s="733">
        <f>$I$8*$E$737</f>
        <v>2143.7940583975533</v>
      </c>
      <c r="J742" s="733">
        <f>$J$8*$E$737</f>
        <v>0</v>
      </c>
      <c r="K742" s="733">
        <f>K$8*$E$737</f>
        <v>0</v>
      </c>
      <c r="L742" s="733">
        <f t="shared" ref="L742:O742" si="751">L$8*$E$737</f>
        <v>0</v>
      </c>
      <c r="M742" s="733">
        <f t="shared" si="751"/>
        <v>0</v>
      </c>
      <c r="N742" s="733">
        <f t="shared" si="751"/>
        <v>0</v>
      </c>
      <c r="O742" s="733">
        <f t="shared" si="751"/>
        <v>3850.2655472258584</v>
      </c>
      <c r="P742" s="733">
        <f>$P$8*$E$737</f>
        <v>0</v>
      </c>
      <c r="Q742" s="734">
        <f t="shared" si="749"/>
        <v>134289.42930335482</v>
      </c>
      <c r="R742" s="733">
        <f>$R$8*$E$737</f>
        <v>0</v>
      </c>
      <c r="S742" s="733">
        <f>$S$8*$E$737</f>
        <v>3876.7309846083026</v>
      </c>
      <c r="T742" s="733">
        <f ca="1">$T$8*$E$737</f>
        <v>1586.3955897668832</v>
      </c>
      <c r="U742" s="733">
        <f ca="1">$U$8*$E$737</f>
        <v>158.25776903013966</v>
      </c>
    </row>
    <row r="743" spans="2:21" ht="18.75" x14ac:dyDescent="0.25">
      <c r="B743" s="790"/>
      <c r="C743" s="117">
        <f t="shared" si="747"/>
        <v>1</v>
      </c>
      <c r="D743" s="766" t="s">
        <v>117</v>
      </c>
      <c r="E743" s="84" t="s">
        <v>54</v>
      </c>
      <c r="F743" s="733">
        <f>$F$9*$E$737</f>
        <v>0</v>
      </c>
      <c r="G743" s="733">
        <f>$G$9*$E$737</f>
        <v>0</v>
      </c>
      <c r="H743" s="733">
        <f>$H$9*$E$737</f>
        <v>0</v>
      </c>
      <c r="I743" s="733">
        <f>$I$9*$E$737</f>
        <v>0</v>
      </c>
      <c r="J743" s="733">
        <f>$J$9*$E$737</f>
        <v>0</v>
      </c>
      <c r="K743" s="733">
        <f>K$9*$E$737</f>
        <v>0</v>
      </c>
      <c r="L743" s="733">
        <f t="shared" ref="L743:O743" si="752">L$9*$E$737</f>
        <v>0</v>
      </c>
      <c r="M743" s="733">
        <f t="shared" si="752"/>
        <v>0</v>
      </c>
      <c r="N743" s="733">
        <f t="shared" si="752"/>
        <v>0</v>
      </c>
      <c r="O743" s="733">
        <f t="shared" si="752"/>
        <v>0</v>
      </c>
      <c r="P743" s="733">
        <f>$P$9*$E$737</f>
        <v>0</v>
      </c>
      <c r="Q743" s="734">
        <f t="shared" si="749"/>
        <v>0</v>
      </c>
      <c r="R743" s="733">
        <f>$R$9*$E$737</f>
        <v>0</v>
      </c>
      <c r="S743" s="733">
        <f>$S$9*$E$737</f>
        <v>0</v>
      </c>
      <c r="T743" s="733">
        <f>$T$9*$E$737</f>
        <v>0</v>
      </c>
      <c r="U743" s="733">
        <f>$U$9*$E$737</f>
        <v>0</v>
      </c>
    </row>
    <row r="744" spans="2:21" ht="18.75" x14ac:dyDescent="0.25">
      <c r="B744" s="790"/>
      <c r="C744" s="117">
        <f t="shared" si="747"/>
        <v>1</v>
      </c>
      <c r="D744" s="112" t="s">
        <v>31</v>
      </c>
      <c r="E744" s="84"/>
      <c r="F744" s="767"/>
      <c r="G744" s="768"/>
      <c r="H744" s="769"/>
      <c r="I744" s="768"/>
      <c r="J744" s="768"/>
      <c r="K744" s="768"/>
      <c r="L744" s="768"/>
      <c r="M744" s="768"/>
      <c r="N744" s="768"/>
      <c r="O744" s="768"/>
      <c r="P744" s="771"/>
      <c r="Q744" s="734">
        <f t="shared" si="749"/>
        <v>0</v>
      </c>
      <c r="R744" s="772"/>
      <c r="S744" s="768"/>
      <c r="T744" s="773"/>
      <c r="U744" s="774"/>
    </row>
    <row r="745" spans="2:21" ht="18.75" x14ac:dyDescent="0.25">
      <c r="B745" s="790"/>
      <c r="C745" s="117">
        <f t="shared" si="747"/>
        <v>1</v>
      </c>
      <c r="D745" s="775" t="s">
        <v>118</v>
      </c>
      <c r="E745" s="84" t="s">
        <v>53</v>
      </c>
      <c r="F745" s="733">
        <f>$F$11*$E$737</f>
        <v>0</v>
      </c>
      <c r="G745" s="733">
        <f>$G$11*$E$737</f>
        <v>0</v>
      </c>
      <c r="H745" s="733">
        <f>$H$11*$E$737</f>
        <v>0</v>
      </c>
      <c r="I745" s="733">
        <f>$I$11*$E$737</f>
        <v>0</v>
      </c>
      <c r="J745" s="733">
        <f>$J$11*$E$737</f>
        <v>0</v>
      </c>
      <c r="K745" s="733">
        <f>K$11*$E$737</f>
        <v>0</v>
      </c>
      <c r="L745" s="733">
        <f t="shared" ref="L745:O745" si="753">L$11*$E$737</f>
        <v>0</v>
      </c>
      <c r="M745" s="733">
        <f t="shared" si="753"/>
        <v>0</v>
      </c>
      <c r="N745" s="733">
        <f t="shared" si="753"/>
        <v>0</v>
      </c>
      <c r="O745" s="733">
        <f t="shared" si="753"/>
        <v>0</v>
      </c>
      <c r="P745" s="733">
        <f>$P$11*$E$737</f>
        <v>0</v>
      </c>
      <c r="Q745" s="734">
        <f t="shared" si="749"/>
        <v>0</v>
      </c>
      <c r="R745" s="733">
        <f>$R$11*$E$737</f>
        <v>0</v>
      </c>
      <c r="S745" s="733">
        <f>$S$11*$E$737</f>
        <v>0</v>
      </c>
      <c r="T745" s="733">
        <f>$T$11*$E$737</f>
        <v>0</v>
      </c>
      <c r="U745" s="733">
        <f>$U$11*$E$737</f>
        <v>0</v>
      </c>
    </row>
    <row r="746" spans="2:21" ht="18.75" x14ac:dyDescent="0.25">
      <c r="B746" s="790"/>
      <c r="C746" s="117">
        <f t="shared" si="747"/>
        <v>1</v>
      </c>
      <c r="D746" s="775" t="s">
        <v>119</v>
      </c>
      <c r="E746" s="84" t="s">
        <v>52</v>
      </c>
      <c r="F746" s="733">
        <f>$F$12*$E$737</f>
        <v>0</v>
      </c>
      <c r="G746" s="733">
        <f>$G$12*$E$737</f>
        <v>0</v>
      </c>
      <c r="H746" s="733">
        <f>$H$12*$E$737</f>
        <v>0</v>
      </c>
      <c r="I746" s="733">
        <f>$I$12*$E$737</f>
        <v>0</v>
      </c>
      <c r="J746" s="733">
        <f>$J$12*$E$737</f>
        <v>0</v>
      </c>
      <c r="K746" s="733">
        <f>K$12*$E$737</f>
        <v>0</v>
      </c>
      <c r="L746" s="733">
        <f t="shared" ref="L746:O746" si="754">L$12*$E$737</f>
        <v>0</v>
      </c>
      <c r="M746" s="733">
        <f t="shared" si="754"/>
        <v>0</v>
      </c>
      <c r="N746" s="733">
        <f t="shared" si="754"/>
        <v>0</v>
      </c>
      <c r="O746" s="733">
        <f t="shared" si="754"/>
        <v>0</v>
      </c>
      <c r="P746" s="733">
        <f>$P$12*$E$737</f>
        <v>0</v>
      </c>
      <c r="Q746" s="734">
        <f t="shared" si="749"/>
        <v>0</v>
      </c>
      <c r="R746" s="733">
        <f>$R$12*$E$737</f>
        <v>0</v>
      </c>
      <c r="S746" s="733">
        <f>$S$12*$E$737</f>
        <v>0</v>
      </c>
      <c r="T746" s="733">
        <f>$T$12*$E$737</f>
        <v>0</v>
      </c>
      <c r="U746" s="733">
        <f>$U$12*$E$737</f>
        <v>0</v>
      </c>
    </row>
    <row r="747" spans="2:21" ht="18.75" x14ac:dyDescent="0.25">
      <c r="B747" s="790"/>
      <c r="C747" s="117">
        <f t="shared" si="747"/>
        <v>1</v>
      </c>
      <c r="D747" s="775" t="s">
        <v>120</v>
      </c>
      <c r="E747" s="84" t="s">
        <v>51</v>
      </c>
      <c r="F747" s="733">
        <f>$F$13*$E$737</f>
        <v>0</v>
      </c>
      <c r="G747" s="733">
        <f>$G$13*$E$737</f>
        <v>0</v>
      </c>
      <c r="H747" s="733">
        <f>$H$13*$E$737</f>
        <v>0</v>
      </c>
      <c r="I747" s="733">
        <f>$I$13*$E$737</f>
        <v>0</v>
      </c>
      <c r="J747" s="733">
        <f>$J$13*$E$737</f>
        <v>0</v>
      </c>
      <c r="K747" s="733">
        <f>K$13*$E$737</f>
        <v>0</v>
      </c>
      <c r="L747" s="733">
        <f t="shared" ref="L747:O747" si="755">L$13*$E$737</f>
        <v>0</v>
      </c>
      <c r="M747" s="733">
        <f t="shared" si="755"/>
        <v>0</v>
      </c>
      <c r="N747" s="733">
        <f t="shared" si="755"/>
        <v>0</v>
      </c>
      <c r="O747" s="733">
        <f t="shared" si="755"/>
        <v>0</v>
      </c>
      <c r="P747" s="733">
        <f>$P$13*$E$737</f>
        <v>0</v>
      </c>
      <c r="Q747" s="734">
        <f t="shared" si="749"/>
        <v>0</v>
      </c>
      <c r="R747" s="733">
        <f>$R$13*$E$737</f>
        <v>0</v>
      </c>
      <c r="S747" s="733">
        <f>$S$13*$E$737</f>
        <v>0</v>
      </c>
      <c r="T747" s="733">
        <f>$T$13*$E$737</f>
        <v>0</v>
      </c>
      <c r="U747" s="733">
        <f>$U$13*$E$737</f>
        <v>0</v>
      </c>
    </row>
    <row r="748" spans="2:21" ht="18.75" x14ac:dyDescent="0.25">
      <c r="B748" s="790"/>
      <c r="C748" s="117">
        <f t="shared" si="747"/>
        <v>1</v>
      </c>
      <c r="D748" s="775" t="s">
        <v>121</v>
      </c>
      <c r="E748" s="84" t="s">
        <v>50</v>
      </c>
      <c r="F748" s="733">
        <f>$F$14*$E$737</f>
        <v>0</v>
      </c>
      <c r="G748" s="733">
        <f>$G$14*$E$737</f>
        <v>0</v>
      </c>
      <c r="H748" s="733">
        <f>$H$14*$E$737</f>
        <v>0</v>
      </c>
      <c r="I748" s="733">
        <f>$I$14*$E$737</f>
        <v>0</v>
      </c>
      <c r="J748" s="733">
        <f>$J$14*$E$737</f>
        <v>0</v>
      </c>
      <c r="K748" s="733">
        <f>K$14*$E$737</f>
        <v>0</v>
      </c>
      <c r="L748" s="733">
        <f t="shared" ref="L748:O748" si="756">L$14*$E$737</f>
        <v>0</v>
      </c>
      <c r="M748" s="733">
        <f t="shared" si="756"/>
        <v>0</v>
      </c>
      <c r="N748" s="733">
        <f t="shared" si="756"/>
        <v>0</v>
      </c>
      <c r="O748" s="733">
        <f t="shared" si="756"/>
        <v>0</v>
      </c>
      <c r="P748" s="733">
        <f>$P$14*$E$737</f>
        <v>0</v>
      </c>
      <c r="Q748" s="734">
        <f t="shared" si="749"/>
        <v>0</v>
      </c>
      <c r="R748" s="733">
        <f>$R$14*$E$737</f>
        <v>0</v>
      </c>
      <c r="S748" s="733">
        <f>$S$14*$E$737</f>
        <v>0</v>
      </c>
      <c r="T748" s="733">
        <f>$T$14*$E$737</f>
        <v>0</v>
      </c>
      <c r="U748" s="733">
        <f>$U$14*$E$737</f>
        <v>0</v>
      </c>
    </row>
    <row r="749" spans="2:21" ht="18.75" x14ac:dyDescent="0.25">
      <c r="B749" s="790"/>
      <c r="C749" s="117">
        <f t="shared" si="747"/>
        <v>1</v>
      </c>
      <c r="D749" s="775" t="s">
        <v>122</v>
      </c>
      <c r="E749" s="84" t="s">
        <v>49</v>
      </c>
      <c r="F749" s="733">
        <f>$F$15*$E$737</f>
        <v>0</v>
      </c>
      <c r="G749" s="733">
        <f>$G$15*$E$737</f>
        <v>0</v>
      </c>
      <c r="H749" s="733">
        <f>$H$15*$E$737</f>
        <v>0</v>
      </c>
      <c r="I749" s="733">
        <f>$I$15*$E$737</f>
        <v>0</v>
      </c>
      <c r="J749" s="733">
        <f>$J$15*$E$737</f>
        <v>0</v>
      </c>
      <c r="K749" s="733">
        <f>K$15*$E$737</f>
        <v>0</v>
      </c>
      <c r="L749" s="733">
        <f t="shared" ref="L749:O749" si="757">L$15*$E$737</f>
        <v>0</v>
      </c>
      <c r="M749" s="733">
        <f t="shared" si="757"/>
        <v>0</v>
      </c>
      <c r="N749" s="733">
        <f t="shared" si="757"/>
        <v>0</v>
      </c>
      <c r="O749" s="733">
        <f t="shared" si="757"/>
        <v>0</v>
      </c>
      <c r="P749" s="733">
        <f>$P$15*$E$737</f>
        <v>0</v>
      </c>
      <c r="Q749" s="734">
        <f t="shared" si="749"/>
        <v>0</v>
      </c>
      <c r="R749" s="733">
        <f>$R$15*$E$737</f>
        <v>0</v>
      </c>
      <c r="S749" s="733">
        <f>$S$15*$E$737</f>
        <v>0</v>
      </c>
      <c r="T749" s="733">
        <f>$T$15*$E$737</f>
        <v>0</v>
      </c>
      <c r="U749" s="733">
        <f>$U$15*$E$737</f>
        <v>0</v>
      </c>
    </row>
    <row r="750" spans="2:21" ht="18.75" x14ac:dyDescent="0.25">
      <c r="B750" s="790"/>
      <c r="C750" s="117">
        <f t="shared" si="747"/>
        <v>1</v>
      </c>
      <c r="D750" s="775" t="s">
        <v>123</v>
      </c>
      <c r="E750" s="84" t="s">
        <v>47</v>
      </c>
      <c r="F750" s="733">
        <f>$F$16*$E$737</f>
        <v>0</v>
      </c>
      <c r="G750" s="733">
        <f>$G$16*$E$737</f>
        <v>0</v>
      </c>
      <c r="H750" s="733">
        <f>$H$16*$E$737</f>
        <v>0</v>
      </c>
      <c r="I750" s="733">
        <f>$I$16*$E$737</f>
        <v>0</v>
      </c>
      <c r="J750" s="733">
        <f>$J$16*$E$737</f>
        <v>0</v>
      </c>
      <c r="K750" s="733">
        <f>K$16*$E$737</f>
        <v>0</v>
      </c>
      <c r="L750" s="733">
        <f t="shared" ref="L750:O750" si="758">L$16*$E$737</f>
        <v>0</v>
      </c>
      <c r="M750" s="733">
        <f t="shared" si="758"/>
        <v>0</v>
      </c>
      <c r="N750" s="733">
        <f t="shared" si="758"/>
        <v>0</v>
      </c>
      <c r="O750" s="733">
        <f t="shared" si="758"/>
        <v>0</v>
      </c>
      <c r="P750" s="733">
        <f>$P$16*$E$737</f>
        <v>0</v>
      </c>
      <c r="Q750" s="734">
        <f t="shared" si="749"/>
        <v>0</v>
      </c>
      <c r="R750" s="733">
        <f>$R$16*$E$737</f>
        <v>0</v>
      </c>
      <c r="S750" s="733">
        <f>$S$16*$E$737</f>
        <v>0</v>
      </c>
      <c r="T750" s="733">
        <f>$T$16*$E$737</f>
        <v>0</v>
      </c>
      <c r="U750" s="733">
        <f>$U$16*$E$737</f>
        <v>0</v>
      </c>
    </row>
    <row r="751" spans="2:21" ht="19.5" thickBot="1" x14ac:dyDescent="0.3">
      <c r="B751" s="790"/>
      <c r="C751" s="117">
        <f t="shared" si="747"/>
        <v>1</v>
      </c>
      <c r="D751" s="776" t="s">
        <v>16</v>
      </c>
      <c r="E751" s="777" t="s">
        <v>77</v>
      </c>
      <c r="F751" s="733">
        <f>$F$17*$E$737</f>
        <v>1593690.53161305</v>
      </c>
      <c r="G751" s="733">
        <f>$G$17*$E$737</f>
        <v>31658.409498517234</v>
      </c>
      <c r="H751" s="733">
        <f>$H$17*$E$737</f>
        <v>0</v>
      </c>
      <c r="I751" s="733">
        <f>$I$17*$E$737</f>
        <v>0</v>
      </c>
      <c r="J751" s="733">
        <f>$J$17*$E$737</f>
        <v>67588.795176793574</v>
      </c>
      <c r="K751" s="733">
        <f>K$17*$E$737</f>
        <v>278.26600762640282</v>
      </c>
      <c r="L751" s="733">
        <f t="shared" ref="L751:O751" si="759">L$17*$E$737</f>
        <v>39.160012800645198</v>
      </c>
      <c r="M751" s="733">
        <f t="shared" si="759"/>
        <v>0</v>
      </c>
      <c r="N751" s="733">
        <f t="shared" si="759"/>
        <v>0</v>
      </c>
      <c r="O751" s="733">
        <f t="shared" si="759"/>
        <v>20254.181620697342</v>
      </c>
      <c r="P751" s="733">
        <f>$P$17*$E$737</f>
        <v>344961.93596966902</v>
      </c>
      <c r="Q751" s="734">
        <f t="shared" si="749"/>
        <v>2058471.2798991543</v>
      </c>
      <c r="R751" s="733">
        <f>$R$17*$E$737</f>
        <v>0</v>
      </c>
      <c r="S751" s="733">
        <f>$S$17*$E$737</f>
        <v>143132.39367052403</v>
      </c>
      <c r="T751" s="733">
        <f ca="1">$T$17*$E$737</f>
        <v>41512.24246060499</v>
      </c>
      <c r="U751" s="733">
        <f ca="1">$U$17*$E$737</f>
        <v>2365.499713409893</v>
      </c>
    </row>
    <row r="752" spans="2:21" ht="19.5" thickBot="1" x14ac:dyDescent="0.3">
      <c r="B752" s="790"/>
      <c r="C752" s="117">
        <f t="shared" si="747"/>
        <v>1</v>
      </c>
      <c r="D752" s="115" t="s">
        <v>124</v>
      </c>
      <c r="E752" s="778" t="s">
        <v>78</v>
      </c>
      <c r="F752" s="779">
        <f t="shared" ref="F752:U752" si="760">SUBTOTAL(9,F740:F751)</f>
        <v>16135769.883855902</v>
      </c>
      <c r="G752" s="779">
        <f>SUBTOTAL(9,G740:G751)</f>
        <v>1029969.429606125</v>
      </c>
      <c r="H752" s="779">
        <f>SUBTOTAL(9,H740:H751)</f>
        <v>2238.321959818858</v>
      </c>
      <c r="I752" s="779">
        <f>SUBTOTAL(9,I740:I751)</f>
        <v>360759.86103649752</v>
      </c>
      <c r="J752" s="779">
        <f>SUBTOTAL(9,J740:J751)</f>
        <v>329223.20202928939</v>
      </c>
      <c r="K752" s="779">
        <f>SUBTOTAL(9,K740:K751)</f>
        <v>14354.070677411604</v>
      </c>
      <c r="L752" s="779">
        <f t="shared" ref="L752:O752" si="761">SUBTOTAL(9,L740:L751)</f>
        <v>39.160012800645198</v>
      </c>
      <c r="M752" s="779">
        <f t="shared" si="761"/>
        <v>10224.57883984131</v>
      </c>
      <c r="N752" s="779">
        <f t="shared" si="761"/>
        <v>0</v>
      </c>
      <c r="O752" s="779">
        <f t="shared" si="761"/>
        <v>90885.277470356217</v>
      </c>
      <c r="P752" s="779">
        <f t="shared" si="760"/>
        <v>344961.93596966902</v>
      </c>
      <c r="Q752" s="780">
        <f>SUBTOTAL(9,Q740:Q751)</f>
        <v>18318425.721457712</v>
      </c>
      <c r="R752" s="779">
        <f t="shared" si="760"/>
        <v>0</v>
      </c>
      <c r="S752" s="779">
        <f t="shared" si="760"/>
        <v>1378514.1540902734</v>
      </c>
      <c r="T752" s="779">
        <f t="shared" ca="1" si="760"/>
        <v>550793.43173882132</v>
      </c>
      <c r="U752" s="779">
        <f t="shared" ca="1" si="760"/>
        <v>382810.10579512181</v>
      </c>
    </row>
    <row r="753" spans="2:21" s="119" customFormat="1" ht="19.5" hidden="1" thickBot="1" x14ac:dyDescent="0.3">
      <c r="B753" s="340"/>
      <c r="D753" s="117"/>
      <c r="E753" s="117"/>
      <c r="F753" s="118"/>
      <c r="G753" s="118"/>
      <c r="I753" s="118"/>
      <c r="J753" s="118"/>
      <c r="K753" s="118"/>
      <c r="L753" s="118"/>
      <c r="O753" s="118"/>
      <c r="Q753" s="120"/>
      <c r="R753" s="117"/>
      <c r="S753" s="118"/>
      <c r="U753" s="118"/>
    </row>
    <row r="754" spans="2:21" s="119" customFormat="1" ht="75.75" hidden="1" thickBot="1" x14ac:dyDescent="0.3">
      <c r="B754" s="301"/>
      <c r="C754" s="119">
        <f>IF($E754&gt;0,1,0)</f>
        <v>0</v>
      </c>
      <c r="D754" s="96" t="str">
        <f>A47</f>
        <v>Rockland</v>
      </c>
      <c r="E754" s="166">
        <f>IFERROR(SUMIF(A:A,D754,B:B),0)</f>
        <v>0</v>
      </c>
      <c r="F754" s="98" t="s">
        <v>356</v>
      </c>
      <c r="G754" s="98" t="s">
        <v>373</v>
      </c>
      <c r="H754" s="98" t="s">
        <v>358</v>
      </c>
      <c r="I754" s="98" t="s">
        <v>109</v>
      </c>
      <c r="J754" s="98" t="s">
        <v>111</v>
      </c>
      <c r="K754" s="98" t="s">
        <v>469</v>
      </c>
      <c r="L754" s="98" t="s">
        <v>470</v>
      </c>
      <c r="M754" s="98" t="s">
        <v>357</v>
      </c>
      <c r="N754" s="509" t="s">
        <v>471</v>
      </c>
      <c r="O754" s="98" t="s">
        <v>472</v>
      </c>
      <c r="P754" s="98" t="s">
        <v>110</v>
      </c>
      <c r="Q754" s="99" t="s">
        <v>116</v>
      </c>
      <c r="R754" s="98" t="s">
        <v>112</v>
      </c>
      <c r="S754" s="98" t="s">
        <v>113</v>
      </c>
      <c r="T754" s="98" t="s">
        <v>114</v>
      </c>
      <c r="U754" s="98" t="s">
        <v>115</v>
      </c>
    </row>
    <row r="755" spans="2:21" s="119" customFormat="1" ht="19.5" hidden="1" thickBot="1" x14ac:dyDescent="0.3">
      <c r="B755" s="301"/>
      <c r="C755" s="119">
        <f>C754</f>
        <v>0</v>
      </c>
      <c r="D755" s="101"/>
      <c r="E755" s="102"/>
      <c r="F755" s="84" t="s">
        <v>57</v>
      </c>
      <c r="G755" s="84" t="s">
        <v>56</v>
      </c>
      <c r="H755" s="84" t="s">
        <v>55</v>
      </c>
      <c r="I755" s="84" t="s">
        <v>54</v>
      </c>
      <c r="J755" s="84" t="s">
        <v>53</v>
      </c>
      <c r="K755" s="84" t="s">
        <v>52</v>
      </c>
      <c r="L755" s="84" t="s">
        <v>51</v>
      </c>
      <c r="M755" s="84" t="s">
        <v>50</v>
      </c>
      <c r="N755" s="84" t="s">
        <v>49</v>
      </c>
      <c r="O755" s="84" t="s">
        <v>47</v>
      </c>
      <c r="P755" s="84" t="s">
        <v>77</v>
      </c>
      <c r="Q755" s="83" t="s">
        <v>78</v>
      </c>
      <c r="R755" s="84" t="s">
        <v>79</v>
      </c>
      <c r="S755" s="84" t="s">
        <v>81</v>
      </c>
      <c r="T755" s="84" t="s">
        <v>83</v>
      </c>
      <c r="U755" s="84" t="s">
        <v>85</v>
      </c>
    </row>
    <row r="756" spans="2:21" s="119" customFormat="1" ht="19.5" hidden="1" thickBot="1" x14ac:dyDescent="0.35">
      <c r="B756" s="301"/>
      <c r="C756" s="119">
        <f t="shared" ref="C756:C769" si="762">C755</f>
        <v>0</v>
      </c>
      <c r="D756" s="103" t="s">
        <v>26</v>
      </c>
      <c r="E756" s="104"/>
      <c r="F756" s="745"/>
      <c r="G756" s="745"/>
      <c r="H756" s="746"/>
      <c r="I756" s="745"/>
      <c r="J756" s="745"/>
      <c r="K756" s="745"/>
      <c r="L756" s="745"/>
      <c r="M756" s="746"/>
      <c r="N756" s="746"/>
      <c r="O756" s="745"/>
      <c r="P756" s="746"/>
      <c r="Q756" s="747"/>
      <c r="R756" s="748"/>
      <c r="S756" s="745"/>
      <c r="T756" s="746"/>
      <c r="U756" s="749"/>
    </row>
    <row r="757" spans="2:21" s="119" customFormat="1" ht="19.5" hidden="1" thickBot="1" x14ac:dyDescent="0.3">
      <c r="B757" s="301"/>
      <c r="C757" s="119">
        <f t="shared" si="762"/>
        <v>0</v>
      </c>
      <c r="D757" s="109" t="s">
        <v>93</v>
      </c>
      <c r="E757" s="76" t="s">
        <v>57</v>
      </c>
      <c r="F757" s="733">
        <f>$F$6*$E$754</f>
        <v>0</v>
      </c>
      <c r="G757" s="733">
        <f>$G$6*$E$754</f>
        <v>0</v>
      </c>
      <c r="H757" s="733">
        <f>$H$6*$E$754</f>
        <v>0</v>
      </c>
      <c r="I757" s="733">
        <f>$I$6*$E$754</f>
        <v>0</v>
      </c>
      <c r="J757" s="733">
        <f>$J$6*$E$754</f>
        <v>0</v>
      </c>
      <c r="K757" s="733">
        <f>K$6*$E$754</f>
        <v>0</v>
      </c>
      <c r="L757" s="733">
        <f t="shared" ref="L757:O757" si="763">L$6*$E$754</f>
        <v>0</v>
      </c>
      <c r="M757" s="733">
        <f t="shared" si="763"/>
        <v>0</v>
      </c>
      <c r="N757" s="733">
        <f t="shared" si="763"/>
        <v>0</v>
      </c>
      <c r="O757" s="733">
        <f t="shared" si="763"/>
        <v>0</v>
      </c>
      <c r="P757" s="733">
        <f>$P$6*$E$754</f>
        <v>0</v>
      </c>
      <c r="Q757" s="734">
        <f t="shared" ref="Q757:Q768" si="764">SUM(F757:P757)</f>
        <v>0</v>
      </c>
      <c r="R757" s="733">
        <f>$R$6*$E$754</f>
        <v>0</v>
      </c>
      <c r="S757" s="733">
        <f>$S$6*$E$754</f>
        <v>0</v>
      </c>
      <c r="T757" s="733">
        <f ca="1">$T$6*$E$754</f>
        <v>0</v>
      </c>
      <c r="U757" s="733">
        <f ca="1">$U$6*$E$754</f>
        <v>0</v>
      </c>
    </row>
    <row r="758" spans="2:21" s="119" customFormat="1" ht="19.5" hidden="1" thickBot="1" x14ac:dyDescent="0.3">
      <c r="B758" s="301"/>
      <c r="C758" s="119">
        <f t="shared" si="762"/>
        <v>0</v>
      </c>
      <c r="D758" s="110" t="s">
        <v>92</v>
      </c>
      <c r="E758" s="76" t="s">
        <v>56</v>
      </c>
      <c r="F758" s="733">
        <f>$F$7*$E$754</f>
        <v>0</v>
      </c>
      <c r="G758" s="733">
        <f>$G$7*$E$754</f>
        <v>0</v>
      </c>
      <c r="H758" s="733">
        <f>$H$7*$E$754</f>
        <v>0</v>
      </c>
      <c r="I758" s="733">
        <f>$I$7*$E$754</f>
        <v>0</v>
      </c>
      <c r="J758" s="733">
        <f>$J$7*$E$754</f>
        <v>0</v>
      </c>
      <c r="K758" s="733">
        <f>K$7*$E$754</f>
        <v>0</v>
      </c>
      <c r="L758" s="733">
        <f t="shared" ref="L758:O758" si="765">L$7*$E$754</f>
        <v>0</v>
      </c>
      <c r="M758" s="733">
        <f t="shared" si="765"/>
        <v>0</v>
      </c>
      <c r="N758" s="733">
        <f t="shared" si="765"/>
        <v>0</v>
      </c>
      <c r="O758" s="733">
        <f t="shared" si="765"/>
        <v>0</v>
      </c>
      <c r="P758" s="733">
        <f>$P$7*$E$754</f>
        <v>0</v>
      </c>
      <c r="Q758" s="734">
        <f t="shared" si="764"/>
        <v>0</v>
      </c>
      <c r="R758" s="733">
        <f>$R$7*$E$754</f>
        <v>0</v>
      </c>
      <c r="S758" s="733">
        <f>$S$7*$E$754</f>
        <v>0</v>
      </c>
      <c r="T758" s="733">
        <f>$T$7*$E$754</f>
        <v>0</v>
      </c>
      <c r="U758" s="733">
        <f>$U$7*$E$754</f>
        <v>0</v>
      </c>
    </row>
    <row r="759" spans="2:21" s="119" customFormat="1" ht="19.5" hidden="1" thickBot="1" x14ac:dyDescent="0.3">
      <c r="B759" s="301"/>
      <c r="C759" s="119">
        <f t="shared" si="762"/>
        <v>0</v>
      </c>
      <c r="D759" s="110" t="s">
        <v>91</v>
      </c>
      <c r="E759" s="76" t="s">
        <v>55</v>
      </c>
      <c r="F759" s="733">
        <f>$F$8*$E$754</f>
        <v>0</v>
      </c>
      <c r="G759" s="733">
        <f>$G$8*$E$754</f>
        <v>0</v>
      </c>
      <c r="H759" s="733">
        <f>$H$8*$E$754</f>
        <v>0</v>
      </c>
      <c r="I759" s="733">
        <f>$I$8*$E$754</f>
        <v>0</v>
      </c>
      <c r="J759" s="733">
        <f>$J$8*$E$754</f>
        <v>0</v>
      </c>
      <c r="K759" s="733">
        <f>K$8*$E$754</f>
        <v>0</v>
      </c>
      <c r="L759" s="733">
        <f t="shared" ref="L759:O759" si="766">L$8*$E$754</f>
        <v>0</v>
      </c>
      <c r="M759" s="733">
        <f t="shared" si="766"/>
        <v>0</v>
      </c>
      <c r="N759" s="733">
        <f t="shared" si="766"/>
        <v>0</v>
      </c>
      <c r="O759" s="733">
        <f t="shared" si="766"/>
        <v>0</v>
      </c>
      <c r="P759" s="733">
        <f>$P$8*$E$754</f>
        <v>0</v>
      </c>
      <c r="Q759" s="734">
        <f t="shared" si="764"/>
        <v>0</v>
      </c>
      <c r="R759" s="733">
        <f>$R$8*$E$754</f>
        <v>0</v>
      </c>
      <c r="S759" s="733">
        <f>$S$8*$E$754</f>
        <v>0</v>
      </c>
      <c r="T759" s="733">
        <f ca="1">$T$8*$E$754</f>
        <v>0</v>
      </c>
      <c r="U759" s="733">
        <f ca="1">$U$8*$E$754</f>
        <v>0</v>
      </c>
    </row>
    <row r="760" spans="2:21" s="119" customFormat="1" ht="19.5" hidden="1" thickBot="1" x14ac:dyDescent="0.3">
      <c r="B760" s="301"/>
      <c r="C760" s="119">
        <f t="shared" si="762"/>
        <v>0</v>
      </c>
      <c r="D760" s="111" t="s">
        <v>117</v>
      </c>
      <c r="E760" s="76" t="s">
        <v>54</v>
      </c>
      <c r="F760" s="733">
        <f>$F$9*$E$754</f>
        <v>0</v>
      </c>
      <c r="G760" s="733">
        <f>$G$9*$E$754</f>
        <v>0</v>
      </c>
      <c r="H760" s="733">
        <f>$H$9*$E$754</f>
        <v>0</v>
      </c>
      <c r="I760" s="733">
        <f>$I$9*$E$754</f>
        <v>0</v>
      </c>
      <c r="J760" s="733">
        <f>$J$9*$E$754</f>
        <v>0</v>
      </c>
      <c r="K760" s="733">
        <f>K$9*$E$754</f>
        <v>0</v>
      </c>
      <c r="L760" s="733">
        <f t="shared" ref="L760:O760" si="767">L$9*$E$754</f>
        <v>0</v>
      </c>
      <c r="M760" s="733">
        <f t="shared" si="767"/>
        <v>0</v>
      </c>
      <c r="N760" s="733">
        <f t="shared" si="767"/>
        <v>0</v>
      </c>
      <c r="O760" s="733">
        <f t="shared" si="767"/>
        <v>0</v>
      </c>
      <c r="P760" s="733">
        <f>$P$9*$E$754</f>
        <v>0</v>
      </c>
      <c r="Q760" s="734">
        <f t="shared" si="764"/>
        <v>0</v>
      </c>
      <c r="R760" s="733">
        <f>$R$9*$E$754</f>
        <v>0</v>
      </c>
      <c r="S760" s="733">
        <f>$S$9*$E$754</f>
        <v>0</v>
      </c>
      <c r="T760" s="733">
        <f>$T$9*$E$754</f>
        <v>0</v>
      </c>
      <c r="U760" s="733">
        <f>$U$9*$E$754</f>
        <v>0</v>
      </c>
    </row>
    <row r="761" spans="2:21" s="119" customFormat="1" ht="19.5" hidden="1" thickBot="1" x14ac:dyDescent="0.35">
      <c r="B761" s="301"/>
      <c r="C761" s="119">
        <f t="shared" si="762"/>
        <v>0</v>
      </c>
      <c r="D761" s="112" t="s">
        <v>31</v>
      </c>
      <c r="E761" s="76"/>
      <c r="F761" s="750"/>
      <c r="G761" s="735"/>
      <c r="H761" s="736"/>
      <c r="I761" s="735"/>
      <c r="J761" s="735"/>
      <c r="K761" s="735"/>
      <c r="L761" s="735"/>
      <c r="M761" s="735"/>
      <c r="N761" s="735"/>
      <c r="O761" s="735"/>
      <c r="P761" s="738"/>
      <c r="Q761" s="734">
        <f t="shared" si="764"/>
        <v>0</v>
      </c>
      <c r="R761" s="739"/>
      <c r="S761" s="735"/>
      <c r="T761" s="740"/>
      <c r="U761" s="741"/>
    </row>
    <row r="762" spans="2:21" s="119" customFormat="1" ht="19.5" hidden="1" thickBot="1" x14ac:dyDescent="0.35">
      <c r="B762" s="301"/>
      <c r="C762" s="119">
        <f t="shared" si="762"/>
        <v>0</v>
      </c>
      <c r="D762" s="113" t="s">
        <v>118</v>
      </c>
      <c r="E762" s="76" t="s">
        <v>53</v>
      </c>
      <c r="F762" s="733">
        <f>$F$11*$E$754</f>
        <v>0</v>
      </c>
      <c r="G762" s="733">
        <f>$G$11*$E$754</f>
        <v>0</v>
      </c>
      <c r="H762" s="733">
        <f>$H$11*$E$754</f>
        <v>0</v>
      </c>
      <c r="I762" s="733">
        <f>$I$11*$E$754</f>
        <v>0</v>
      </c>
      <c r="J762" s="733">
        <f>$J$11*$E$754</f>
        <v>0</v>
      </c>
      <c r="K762" s="733">
        <f>K$11*$E$754</f>
        <v>0</v>
      </c>
      <c r="L762" s="733">
        <f t="shared" ref="L762:O762" si="768">L$11*$E$754</f>
        <v>0</v>
      </c>
      <c r="M762" s="733">
        <f t="shared" si="768"/>
        <v>0</v>
      </c>
      <c r="N762" s="733">
        <f t="shared" si="768"/>
        <v>0</v>
      </c>
      <c r="O762" s="733">
        <f t="shared" si="768"/>
        <v>0</v>
      </c>
      <c r="P762" s="733">
        <f>$P$11*$E$754</f>
        <v>0</v>
      </c>
      <c r="Q762" s="734">
        <f t="shared" si="764"/>
        <v>0</v>
      </c>
      <c r="R762" s="733">
        <f>$R$11*$E$754</f>
        <v>0</v>
      </c>
      <c r="S762" s="733">
        <f>$S$11*$E$754</f>
        <v>0</v>
      </c>
      <c r="T762" s="733">
        <f>$T$11*$E$754</f>
        <v>0</v>
      </c>
      <c r="U762" s="733">
        <f>$U$11*$E$754</f>
        <v>0</v>
      </c>
    </row>
    <row r="763" spans="2:21" s="119" customFormat="1" ht="19.5" hidden="1" thickBot="1" x14ac:dyDescent="0.35">
      <c r="B763" s="301"/>
      <c r="C763" s="119">
        <f t="shared" si="762"/>
        <v>0</v>
      </c>
      <c r="D763" s="113" t="s">
        <v>119</v>
      </c>
      <c r="E763" s="76" t="s">
        <v>52</v>
      </c>
      <c r="F763" s="733">
        <f>$F$12*$E$754</f>
        <v>0</v>
      </c>
      <c r="G763" s="733">
        <f>$G$12*$E$754</f>
        <v>0</v>
      </c>
      <c r="H763" s="733">
        <f>$H$12*$E$754</f>
        <v>0</v>
      </c>
      <c r="I763" s="733">
        <f>$I$12*$E$754</f>
        <v>0</v>
      </c>
      <c r="J763" s="733">
        <f>$J$12*$E$754</f>
        <v>0</v>
      </c>
      <c r="K763" s="733">
        <f>K$12*$E$754</f>
        <v>0</v>
      </c>
      <c r="L763" s="733">
        <f t="shared" ref="L763:O763" si="769">L$12*$E$754</f>
        <v>0</v>
      </c>
      <c r="M763" s="733">
        <f t="shared" si="769"/>
        <v>0</v>
      </c>
      <c r="N763" s="733">
        <f t="shared" si="769"/>
        <v>0</v>
      </c>
      <c r="O763" s="733">
        <f t="shared" si="769"/>
        <v>0</v>
      </c>
      <c r="P763" s="733">
        <f>$P$12*$E$754</f>
        <v>0</v>
      </c>
      <c r="Q763" s="734">
        <f t="shared" si="764"/>
        <v>0</v>
      </c>
      <c r="R763" s="733">
        <f>$R$12*$E$754</f>
        <v>0</v>
      </c>
      <c r="S763" s="733">
        <f>$S$12*$E$754</f>
        <v>0</v>
      </c>
      <c r="T763" s="733">
        <f>$T$12*$E$754</f>
        <v>0</v>
      </c>
      <c r="U763" s="733">
        <f>$U$12*$E$754</f>
        <v>0</v>
      </c>
    </row>
    <row r="764" spans="2:21" s="119" customFormat="1" ht="19.5" hidden="1" thickBot="1" x14ac:dyDescent="0.35">
      <c r="B764" s="301"/>
      <c r="C764" s="119">
        <f t="shared" si="762"/>
        <v>0</v>
      </c>
      <c r="D764" s="113" t="s">
        <v>120</v>
      </c>
      <c r="E764" s="76" t="s">
        <v>51</v>
      </c>
      <c r="F764" s="733">
        <f>$F$13*$E$754</f>
        <v>0</v>
      </c>
      <c r="G764" s="733">
        <f>$G$13*$E$754</f>
        <v>0</v>
      </c>
      <c r="H764" s="733">
        <f>$H$13*$E$754</f>
        <v>0</v>
      </c>
      <c r="I764" s="733">
        <f>$I$13*$E$754</f>
        <v>0</v>
      </c>
      <c r="J764" s="733">
        <f>$J$13*$E$754</f>
        <v>0</v>
      </c>
      <c r="K764" s="733">
        <f>K$13*$E$754</f>
        <v>0</v>
      </c>
      <c r="L764" s="733">
        <f t="shared" ref="L764:O764" si="770">L$13*$E$754</f>
        <v>0</v>
      </c>
      <c r="M764" s="733">
        <f t="shared" si="770"/>
        <v>0</v>
      </c>
      <c r="N764" s="733">
        <f t="shared" si="770"/>
        <v>0</v>
      </c>
      <c r="O764" s="733">
        <f t="shared" si="770"/>
        <v>0</v>
      </c>
      <c r="P764" s="733">
        <f>$P$13*$E$754</f>
        <v>0</v>
      </c>
      <c r="Q764" s="734">
        <f t="shared" si="764"/>
        <v>0</v>
      </c>
      <c r="R764" s="733">
        <f>$R$13*$E$754</f>
        <v>0</v>
      </c>
      <c r="S764" s="733">
        <f>$S$13*$E$754</f>
        <v>0</v>
      </c>
      <c r="T764" s="733">
        <f>$T$13*$E$754</f>
        <v>0</v>
      </c>
      <c r="U764" s="733">
        <f>$U$13*$E$754</f>
        <v>0</v>
      </c>
    </row>
    <row r="765" spans="2:21" s="119" customFormat="1" ht="19.5" hidden="1" thickBot="1" x14ac:dyDescent="0.35">
      <c r="B765" s="301"/>
      <c r="C765" s="119">
        <f t="shared" si="762"/>
        <v>0</v>
      </c>
      <c r="D765" s="113" t="s">
        <v>121</v>
      </c>
      <c r="E765" s="76" t="s">
        <v>50</v>
      </c>
      <c r="F765" s="733">
        <f>$F$14*$E$754</f>
        <v>0</v>
      </c>
      <c r="G765" s="733">
        <f>$G$14*$E$754</f>
        <v>0</v>
      </c>
      <c r="H765" s="733">
        <f>$H$14*$E$754</f>
        <v>0</v>
      </c>
      <c r="I765" s="733">
        <f>$I$14*$E$754</f>
        <v>0</v>
      </c>
      <c r="J765" s="733">
        <f>$J$14*$E$754</f>
        <v>0</v>
      </c>
      <c r="K765" s="733">
        <f>K$14*$E$754</f>
        <v>0</v>
      </c>
      <c r="L765" s="733">
        <f t="shared" ref="L765:O765" si="771">L$14*$E$754</f>
        <v>0</v>
      </c>
      <c r="M765" s="733">
        <f t="shared" si="771"/>
        <v>0</v>
      </c>
      <c r="N765" s="733">
        <f t="shared" si="771"/>
        <v>0</v>
      </c>
      <c r="O765" s="733">
        <f t="shared" si="771"/>
        <v>0</v>
      </c>
      <c r="P765" s="733">
        <f>$P$14*$E$754</f>
        <v>0</v>
      </c>
      <c r="Q765" s="734">
        <f t="shared" si="764"/>
        <v>0</v>
      </c>
      <c r="R765" s="733">
        <f>$R$14*$E$754</f>
        <v>0</v>
      </c>
      <c r="S765" s="733">
        <f>$S$14*$E$754</f>
        <v>0</v>
      </c>
      <c r="T765" s="733">
        <f>$T$14*$E$754</f>
        <v>0</v>
      </c>
      <c r="U765" s="733">
        <f>$U$14*$E$754</f>
        <v>0</v>
      </c>
    </row>
    <row r="766" spans="2:21" s="119" customFormat="1" ht="19.5" hidden="1" thickBot="1" x14ac:dyDescent="0.35">
      <c r="B766" s="301"/>
      <c r="C766" s="119">
        <f t="shared" si="762"/>
        <v>0</v>
      </c>
      <c r="D766" s="113" t="s">
        <v>122</v>
      </c>
      <c r="E766" s="76" t="s">
        <v>49</v>
      </c>
      <c r="F766" s="733">
        <f>$F$15*$E$754</f>
        <v>0</v>
      </c>
      <c r="G766" s="733">
        <f>$G$15*$E$754</f>
        <v>0</v>
      </c>
      <c r="H766" s="733">
        <f>$H$15*$E$754</f>
        <v>0</v>
      </c>
      <c r="I766" s="733">
        <f>$I$15*$E$754</f>
        <v>0</v>
      </c>
      <c r="J766" s="733">
        <f>$J$15*$E$754</f>
        <v>0</v>
      </c>
      <c r="K766" s="733">
        <f>K$15*$E$754</f>
        <v>0</v>
      </c>
      <c r="L766" s="733">
        <f t="shared" ref="L766:O766" si="772">L$15*$E$754</f>
        <v>0</v>
      </c>
      <c r="M766" s="733">
        <f t="shared" si="772"/>
        <v>0</v>
      </c>
      <c r="N766" s="733">
        <f t="shared" si="772"/>
        <v>0</v>
      </c>
      <c r="O766" s="733">
        <f t="shared" si="772"/>
        <v>0</v>
      </c>
      <c r="P766" s="733">
        <f>$P$15*$E$754</f>
        <v>0</v>
      </c>
      <c r="Q766" s="734">
        <f t="shared" si="764"/>
        <v>0</v>
      </c>
      <c r="R766" s="733">
        <f>$R$15*$E$754</f>
        <v>0</v>
      </c>
      <c r="S766" s="733">
        <f>$S$15*$E$754</f>
        <v>0</v>
      </c>
      <c r="T766" s="733">
        <f>$T$15*$E$754</f>
        <v>0</v>
      </c>
      <c r="U766" s="733">
        <f>$U$15*$E$754</f>
        <v>0</v>
      </c>
    </row>
    <row r="767" spans="2:21" s="119" customFormat="1" ht="19.5" hidden="1" thickBot="1" x14ac:dyDescent="0.35">
      <c r="B767" s="301"/>
      <c r="C767" s="119">
        <f t="shared" si="762"/>
        <v>0</v>
      </c>
      <c r="D767" s="113" t="s">
        <v>123</v>
      </c>
      <c r="E767" s="76" t="s">
        <v>47</v>
      </c>
      <c r="F767" s="733">
        <f>$F$16*$E$754</f>
        <v>0</v>
      </c>
      <c r="G767" s="733">
        <f>$G$16*$E$754</f>
        <v>0</v>
      </c>
      <c r="H767" s="733">
        <f>$H$16*$E$754</f>
        <v>0</v>
      </c>
      <c r="I767" s="733">
        <f>$I$16*$E$754</f>
        <v>0</v>
      </c>
      <c r="J767" s="733">
        <f>$J$16*$E$754</f>
        <v>0</v>
      </c>
      <c r="K767" s="733">
        <f>K$16*$E$754</f>
        <v>0</v>
      </c>
      <c r="L767" s="733">
        <f t="shared" ref="L767:O767" si="773">L$16*$E$754</f>
        <v>0</v>
      </c>
      <c r="M767" s="733">
        <f t="shared" si="773"/>
        <v>0</v>
      </c>
      <c r="N767" s="733">
        <f t="shared" si="773"/>
        <v>0</v>
      </c>
      <c r="O767" s="733">
        <f t="shared" si="773"/>
        <v>0</v>
      </c>
      <c r="P767" s="733">
        <f>$P$16*$E$754</f>
        <v>0</v>
      </c>
      <c r="Q767" s="734">
        <f t="shared" si="764"/>
        <v>0</v>
      </c>
      <c r="R767" s="733">
        <f>$R$16*$E$754</f>
        <v>0</v>
      </c>
      <c r="S767" s="733">
        <f>$S$16*$E$754</f>
        <v>0</v>
      </c>
      <c r="T767" s="733">
        <f>$T$16*$E$754</f>
        <v>0</v>
      </c>
      <c r="U767" s="733">
        <f>$U$16*$E$754</f>
        <v>0</v>
      </c>
    </row>
    <row r="768" spans="2:21" s="119" customFormat="1" ht="19.5" hidden="1" thickBot="1" x14ac:dyDescent="0.35">
      <c r="B768" s="301"/>
      <c r="C768" s="119">
        <f t="shared" si="762"/>
        <v>0</v>
      </c>
      <c r="D768" s="114" t="s">
        <v>16</v>
      </c>
      <c r="E768" s="70" t="s">
        <v>77</v>
      </c>
      <c r="F768" s="733">
        <f>$F$17*$E$754</f>
        <v>0</v>
      </c>
      <c r="G768" s="733">
        <f>$G$17*$E$754</f>
        <v>0</v>
      </c>
      <c r="H768" s="733">
        <f>$H$17*$E$754</f>
        <v>0</v>
      </c>
      <c r="I768" s="733">
        <f>$I$17*$E$754</f>
        <v>0</v>
      </c>
      <c r="J768" s="733">
        <f>$J$17*$E$754</f>
        <v>0</v>
      </c>
      <c r="K768" s="733">
        <f>K$17*$E$754</f>
        <v>0</v>
      </c>
      <c r="L768" s="733">
        <f t="shared" ref="L768:O768" si="774">L$17*$E$754</f>
        <v>0</v>
      </c>
      <c r="M768" s="733">
        <f t="shared" si="774"/>
        <v>0</v>
      </c>
      <c r="N768" s="733">
        <f t="shared" si="774"/>
        <v>0</v>
      </c>
      <c r="O768" s="733">
        <f t="shared" si="774"/>
        <v>0</v>
      </c>
      <c r="P768" s="733">
        <f>$P$17*$E$754</f>
        <v>0</v>
      </c>
      <c r="Q768" s="734">
        <f t="shared" si="764"/>
        <v>0</v>
      </c>
      <c r="R768" s="733">
        <f>$R$17*$E$754</f>
        <v>0</v>
      </c>
      <c r="S768" s="733">
        <f>$S$17*$E$754</f>
        <v>0</v>
      </c>
      <c r="T768" s="733">
        <f ca="1">$T$17*$E$754</f>
        <v>0</v>
      </c>
      <c r="U768" s="733">
        <f ca="1">$U$17*$E$754</f>
        <v>0</v>
      </c>
    </row>
    <row r="769" spans="2:21" s="119" customFormat="1" ht="19.5" hidden="1" thickBot="1" x14ac:dyDescent="0.35">
      <c r="B769" s="301"/>
      <c r="C769" s="119">
        <f t="shared" si="762"/>
        <v>0</v>
      </c>
      <c r="D769" s="115" t="s">
        <v>124</v>
      </c>
      <c r="E769" s="116" t="s">
        <v>78</v>
      </c>
      <c r="F769" s="742">
        <f t="shared" ref="F769:U769" si="775">SUBTOTAL(9,F757:F768)</f>
        <v>0</v>
      </c>
      <c r="G769" s="742">
        <f>SUBTOTAL(9,G757:G768)</f>
        <v>0</v>
      </c>
      <c r="H769" s="742">
        <f>SUBTOTAL(9,H757:H768)</f>
        <v>0</v>
      </c>
      <c r="I769" s="742">
        <f>SUBTOTAL(9,I757:I768)</f>
        <v>0</v>
      </c>
      <c r="J769" s="742">
        <f>SUBTOTAL(9,J757:J768)</f>
        <v>0</v>
      </c>
      <c r="K769" s="742">
        <f>SUBTOTAL(9,K757:K768)</f>
        <v>0</v>
      </c>
      <c r="L769" s="742">
        <f t="shared" ref="L769:O769" si="776">SUBTOTAL(9,L757:L768)</f>
        <v>0</v>
      </c>
      <c r="M769" s="742">
        <f t="shared" si="776"/>
        <v>0</v>
      </c>
      <c r="N769" s="742">
        <f t="shared" si="776"/>
        <v>0</v>
      </c>
      <c r="O769" s="742">
        <f t="shared" si="776"/>
        <v>0</v>
      </c>
      <c r="P769" s="742">
        <f t="shared" si="775"/>
        <v>0</v>
      </c>
      <c r="Q769" s="743">
        <f>SUBTOTAL(9,Q757:Q768)</f>
        <v>0</v>
      </c>
      <c r="R769" s="742">
        <f t="shared" si="775"/>
        <v>0</v>
      </c>
      <c r="S769" s="742">
        <f t="shared" si="775"/>
        <v>0</v>
      </c>
      <c r="T769" s="742">
        <f t="shared" si="775"/>
        <v>0</v>
      </c>
      <c r="U769" s="742">
        <f t="shared" si="775"/>
        <v>0</v>
      </c>
    </row>
    <row r="770" spans="2:21" s="119" customFormat="1" ht="19.5" hidden="1" thickBot="1" x14ac:dyDescent="0.3">
      <c r="B770" s="340"/>
      <c r="D770" s="117"/>
      <c r="E770" s="117"/>
      <c r="F770" s="118"/>
      <c r="G770" s="118"/>
      <c r="I770" s="118"/>
      <c r="J770" s="118"/>
      <c r="K770" s="118"/>
      <c r="L770" s="118"/>
      <c r="O770" s="118"/>
      <c r="Q770" s="120"/>
      <c r="R770" s="117"/>
      <c r="S770" s="118"/>
      <c r="U770" s="118"/>
    </row>
    <row r="771" spans="2:21" s="119" customFormat="1" ht="75.75" hidden="1" thickBot="1" x14ac:dyDescent="0.3">
      <c r="B771" s="301"/>
      <c r="C771" s="119">
        <f>IF($E771&gt;0,1,0)</f>
        <v>0</v>
      </c>
      <c r="D771" s="96" t="str">
        <f>A48</f>
        <v>Saint Lawrence</v>
      </c>
      <c r="E771" s="166">
        <f>IFERROR(SUMIF(A:A,D771,B:B),0)</f>
        <v>0</v>
      </c>
      <c r="F771" s="98" t="s">
        <v>356</v>
      </c>
      <c r="G771" s="98" t="s">
        <v>373</v>
      </c>
      <c r="H771" s="98" t="s">
        <v>358</v>
      </c>
      <c r="I771" s="98" t="s">
        <v>109</v>
      </c>
      <c r="J771" s="98" t="s">
        <v>111</v>
      </c>
      <c r="K771" s="98" t="s">
        <v>469</v>
      </c>
      <c r="L771" s="98" t="s">
        <v>470</v>
      </c>
      <c r="M771" s="98" t="s">
        <v>357</v>
      </c>
      <c r="N771" s="509" t="s">
        <v>471</v>
      </c>
      <c r="O771" s="98" t="s">
        <v>472</v>
      </c>
      <c r="P771" s="98" t="s">
        <v>110</v>
      </c>
      <c r="Q771" s="99" t="s">
        <v>116</v>
      </c>
      <c r="R771" s="98" t="s">
        <v>112</v>
      </c>
      <c r="S771" s="98" t="s">
        <v>113</v>
      </c>
      <c r="T771" s="98" t="s">
        <v>114</v>
      </c>
      <c r="U771" s="98" t="s">
        <v>115</v>
      </c>
    </row>
    <row r="772" spans="2:21" s="119" customFormat="1" ht="19.5" hidden="1" thickBot="1" x14ac:dyDescent="0.3">
      <c r="B772" s="301"/>
      <c r="C772" s="119">
        <f>C771</f>
        <v>0</v>
      </c>
      <c r="D772" s="101"/>
      <c r="E772" s="102"/>
      <c r="F772" s="84" t="s">
        <v>57</v>
      </c>
      <c r="G772" s="84" t="s">
        <v>56</v>
      </c>
      <c r="H772" s="84" t="s">
        <v>55</v>
      </c>
      <c r="I772" s="84" t="s">
        <v>54</v>
      </c>
      <c r="J772" s="84" t="s">
        <v>53</v>
      </c>
      <c r="K772" s="84" t="s">
        <v>52</v>
      </c>
      <c r="L772" s="84" t="s">
        <v>51</v>
      </c>
      <c r="M772" s="84" t="s">
        <v>50</v>
      </c>
      <c r="N772" s="84" t="s">
        <v>49</v>
      </c>
      <c r="O772" s="84" t="s">
        <v>47</v>
      </c>
      <c r="P772" s="84" t="s">
        <v>77</v>
      </c>
      <c r="Q772" s="83" t="s">
        <v>78</v>
      </c>
      <c r="R772" s="84" t="s">
        <v>79</v>
      </c>
      <c r="S772" s="84" t="s">
        <v>81</v>
      </c>
      <c r="T772" s="84" t="s">
        <v>83</v>
      </c>
      <c r="U772" s="84" t="s">
        <v>85</v>
      </c>
    </row>
    <row r="773" spans="2:21" s="119" customFormat="1" ht="19.5" hidden="1" thickBot="1" x14ac:dyDescent="0.35">
      <c r="B773" s="301"/>
      <c r="C773" s="119">
        <f t="shared" ref="C773:C786" si="777">C772</f>
        <v>0</v>
      </c>
      <c r="D773" s="103" t="s">
        <v>26</v>
      </c>
      <c r="E773" s="104"/>
      <c r="F773" s="745"/>
      <c r="G773" s="745"/>
      <c r="H773" s="746"/>
      <c r="I773" s="745"/>
      <c r="J773" s="745"/>
      <c r="K773" s="745"/>
      <c r="L773" s="745"/>
      <c r="M773" s="746"/>
      <c r="N773" s="746"/>
      <c r="O773" s="745"/>
      <c r="P773" s="746"/>
      <c r="Q773" s="747"/>
      <c r="R773" s="748"/>
      <c r="S773" s="745"/>
      <c r="T773" s="746"/>
      <c r="U773" s="749"/>
    </row>
    <row r="774" spans="2:21" s="119" customFormat="1" ht="19.5" hidden="1" thickBot="1" x14ac:dyDescent="0.3">
      <c r="B774" s="301"/>
      <c r="C774" s="119">
        <f t="shared" si="777"/>
        <v>0</v>
      </c>
      <c r="D774" s="109" t="s">
        <v>93</v>
      </c>
      <c r="E774" s="76" t="s">
        <v>57</v>
      </c>
      <c r="F774" s="733">
        <f>$F$6*$E$771</f>
        <v>0</v>
      </c>
      <c r="G774" s="733">
        <f>$G$6*$E$771</f>
        <v>0</v>
      </c>
      <c r="H774" s="733">
        <f>$H$6*$E$771</f>
        <v>0</v>
      </c>
      <c r="I774" s="733">
        <f>$I$6*$E$771</f>
        <v>0</v>
      </c>
      <c r="J774" s="733">
        <f>$J$6*$E$771</f>
        <v>0</v>
      </c>
      <c r="K774" s="733">
        <f>K$6*$E$771</f>
        <v>0</v>
      </c>
      <c r="L774" s="733">
        <f t="shared" ref="L774:O774" si="778">L$6*$E$771</f>
        <v>0</v>
      </c>
      <c r="M774" s="733">
        <f t="shared" si="778"/>
        <v>0</v>
      </c>
      <c r="N774" s="733">
        <f t="shared" si="778"/>
        <v>0</v>
      </c>
      <c r="O774" s="733">
        <f t="shared" si="778"/>
        <v>0</v>
      </c>
      <c r="P774" s="733">
        <f>$P$6*$E$771</f>
        <v>0</v>
      </c>
      <c r="Q774" s="734">
        <f t="shared" ref="Q774:Q785" si="779">SUM(F774:P774)</f>
        <v>0</v>
      </c>
      <c r="R774" s="733">
        <f>$R$6*$E$771</f>
        <v>0</v>
      </c>
      <c r="S774" s="733">
        <f>$S$6*$E$771</f>
        <v>0</v>
      </c>
      <c r="T774" s="733">
        <f ca="1">$T$6*$E$771</f>
        <v>0</v>
      </c>
      <c r="U774" s="733">
        <f ca="1">$U$6*$E$771</f>
        <v>0</v>
      </c>
    </row>
    <row r="775" spans="2:21" s="119" customFormat="1" ht="19.5" hidden="1" thickBot="1" x14ac:dyDescent="0.3">
      <c r="B775" s="301"/>
      <c r="C775" s="119">
        <f t="shared" si="777"/>
        <v>0</v>
      </c>
      <c r="D775" s="110" t="s">
        <v>92</v>
      </c>
      <c r="E775" s="76" t="s">
        <v>56</v>
      </c>
      <c r="F775" s="733">
        <f>$F$7*$E$771</f>
        <v>0</v>
      </c>
      <c r="G775" s="733">
        <f>$G$7*$E$771</f>
        <v>0</v>
      </c>
      <c r="H775" s="733">
        <f>$H$7*$E$771</f>
        <v>0</v>
      </c>
      <c r="I775" s="733">
        <f>$I$7*$E$771</f>
        <v>0</v>
      </c>
      <c r="J775" s="733">
        <f>$J$7*$E$771</f>
        <v>0</v>
      </c>
      <c r="K775" s="733">
        <f>K$7*$E$771</f>
        <v>0</v>
      </c>
      <c r="L775" s="733">
        <f t="shared" ref="L775:O775" si="780">L$7*$E$771</f>
        <v>0</v>
      </c>
      <c r="M775" s="733">
        <f t="shared" si="780"/>
        <v>0</v>
      </c>
      <c r="N775" s="733">
        <f t="shared" si="780"/>
        <v>0</v>
      </c>
      <c r="O775" s="733">
        <f t="shared" si="780"/>
        <v>0</v>
      </c>
      <c r="P775" s="733">
        <f>$P$7*$E$771</f>
        <v>0</v>
      </c>
      <c r="Q775" s="734">
        <f t="shared" si="779"/>
        <v>0</v>
      </c>
      <c r="R775" s="733">
        <f>$R$7*$E$771</f>
        <v>0</v>
      </c>
      <c r="S775" s="733">
        <f>$S$7*$E$771</f>
        <v>0</v>
      </c>
      <c r="T775" s="733">
        <f>$T$7*$E$771</f>
        <v>0</v>
      </c>
      <c r="U775" s="733">
        <f>$U$7*$E$771</f>
        <v>0</v>
      </c>
    </row>
    <row r="776" spans="2:21" s="119" customFormat="1" ht="19.5" hidden="1" thickBot="1" x14ac:dyDescent="0.3">
      <c r="B776" s="301"/>
      <c r="C776" s="119">
        <f t="shared" si="777"/>
        <v>0</v>
      </c>
      <c r="D776" s="110" t="s">
        <v>91</v>
      </c>
      <c r="E776" s="76" t="s">
        <v>55</v>
      </c>
      <c r="F776" s="733">
        <f>$F$8*$E$771</f>
        <v>0</v>
      </c>
      <c r="G776" s="733">
        <f>$G$8*$E$771</f>
        <v>0</v>
      </c>
      <c r="H776" s="733">
        <f>$H$8*$E$771</f>
        <v>0</v>
      </c>
      <c r="I776" s="733">
        <f>$I$8*$E$771</f>
        <v>0</v>
      </c>
      <c r="J776" s="733">
        <f>$J$8*$E$771</f>
        <v>0</v>
      </c>
      <c r="K776" s="733">
        <f>K$8*$E$771</f>
        <v>0</v>
      </c>
      <c r="L776" s="733">
        <f t="shared" ref="L776:O776" si="781">L$8*$E$771</f>
        <v>0</v>
      </c>
      <c r="M776" s="733">
        <f t="shared" si="781"/>
        <v>0</v>
      </c>
      <c r="N776" s="733">
        <f t="shared" si="781"/>
        <v>0</v>
      </c>
      <c r="O776" s="733">
        <f t="shared" si="781"/>
        <v>0</v>
      </c>
      <c r="P776" s="733">
        <f>$P$8*$E$771</f>
        <v>0</v>
      </c>
      <c r="Q776" s="734">
        <f t="shared" si="779"/>
        <v>0</v>
      </c>
      <c r="R776" s="733">
        <f>$R$8*$E$771</f>
        <v>0</v>
      </c>
      <c r="S776" s="733">
        <f>$S$8*$E$771</f>
        <v>0</v>
      </c>
      <c r="T776" s="733">
        <f ca="1">$T$8*$E$771</f>
        <v>0</v>
      </c>
      <c r="U776" s="733">
        <f ca="1">$U$8*$E$771</f>
        <v>0</v>
      </c>
    </row>
    <row r="777" spans="2:21" s="119" customFormat="1" ht="19.5" hidden="1" thickBot="1" x14ac:dyDescent="0.3">
      <c r="B777" s="301"/>
      <c r="C777" s="119">
        <f t="shared" si="777"/>
        <v>0</v>
      </c>
      <c r="D777" s="111" t="s">
        <v>117</v>
      </c>
      <c r="E777" s="76" t="s">
        <v>54</v>
      </c>
      <c r="F777" s="733">
        <f>$F$9*$E$771</f>
        <v>0</v>
      </c>
      <c r="G777" s="733">
        <f>$G$9*$E$771</f>
        <v>0</v>
      </c>
      <c r="H777" s="733">
        <f>$H$9*$E$771</f>
        <v>0</v>
      </c>
      <c r="I777" s="733">
        <f>$I$9*$E$771</f>
        <v>0</v>
      </c>
      <c r="J777" s="733">
        <f>$J$9*$E$771</f>
        <v>0</v>
      </c>
      <c r="K777" s="733">
        <f>K$9*$E$771</f>
        <v>0</v>
      </c>
      <c r="L777" s="733">
        <f t="shared" ref="L777:O777" si="782">L$9*$E$771</f>
        <v>0</v>
      </c>
      <c r="M777" s="733">
        <f t="shared" si="782"/>
        <v>0</v>
      </c>
      <c r="N777" s="733">
        <f t="shared" si="782"/>
        <v>0</v>
      </c>
      <c r="O777" s="733">
        <f t="shared" si="782"/>
        <v>0</v>
      </c>
      <c r="P777" s="733">
        <f>$P$9*$E$771</f>
        <v>0</v>
      </c>
      <c r="Q777" s="734">
        <f t="shared" si="779"/>
        <v>0</v>
      </c>
      <c r="R777" s="733">
        <f>$R$9*$E$771</f>
        <v>0</v>
      </c>
      <c r="S777" s="733">
        <f>$S$9*$E$771</f>
        <v>0</v>
      </c>
      <c r="T777" s="733">
        <f>$T$9*$E$771</f>
        <v>0</v>
      </c>
      <c r="U777" s="733">
        <f>$U$9*$E$771</f>
        <v>0</v>
      </c>
    </row>
    <row r="778" spans="2:21" s="119" customFormat="1" ht="19.5" hidden="1" thickBot="1" x14ac:dyDescent="0.35">
      <c r="B778" s="301"/>
      <c r="C778" s="119">
        <f t="shared" si="777"/>
        <v>0</v>
      </c>
      <c r="D778" s="112" t="s">
        <v>31</v>
      </c>
      <c r="E778" s="76"/>
      <c r="F778" s="750"/>
      <c r="G778" s="735"/>
      <c r="H778" s="736"/>
      <c r="I778" s="735"/>
      <c r="J778" s="735"/>
      <c r="K778" s="735"/>
      <c r="L778" s="735"/>
      <c r="M778" s="735"/>
      <c r="N778" s="735"/>
      <c r="O778" s="735"/>
      <c r="P778" s="738"/>
      <c r="Q778" s="734">
        <f t="shared" si="779"/>
        <v>0</v>
      </c>
      <c r="R778" s="739"/>
      <c r="S778" s="735"/>
      <c r="T778" s="740"/>
      <c r="U778" s="741"/>
    </row>
    <row r="779" spans="2:21" s="119" customFormat="1" ht="19.5" hidden="1" thickBot="1" x14ac:dyDescent="0.35">
      <c r="B779" s="301"/>
      <c r="C779" s="119">
        <f t="shared" si="777"/>
        <v>0</v>
      </c>
      <c r="D779" s="113" t="s">
        <v>118</v>
      </c>
      <c r="E779" s="76" t="s">
        <v>53</v>
      </c>
      <c r="F779" s="733">
        <f>$F$11*$E$771</f>
        <v>0</v>
      </c>
      <c r="G779" s="733">
        <f>$G$11*$E$771</f>
        <v>0</v>
      </c>
      <c r="H779" s="733">
        <f>$H$11*$E$771</f>
        <v>0</v>
      </c>
      <c r="I779" s="733">
        <f>$I$11*$E$771</f>
        <v>0</v>
      </c>
      <c r="J779" s="733">
        <f>$J$11*$E$771</f>
        <v>0</v>
      </c>
      <c r="K779" s="733">
        <f>K$11*$E$771</f>
        <v>0</v>
      </c>
      <c r="L779" s="733">
        <f t="shared" ref="L779:O779" si="783">L$11*$E$771</f>
        <v>0</v>
      </c>
      <c r="M779" s="733">
        <f t="shared" si="783"/>
        <v>0</v>
      </c>
      <c r="N779" s="733">
        <f t="shared" si="783"/>
        <v>0</v>
      </c>
      <c r="O779" s="733">
        <f t="shared" si="783"/>
        <v>0</v>
      </c>
      <c r="P779" s="733">
        <f>$P$11*$E$771</f>
        <v>0</v>
      </c>
      <c r="Q779" s="734">
        <f t="shared" si="779"/>
        <v>0</v>
      </c>
      <c r="R779" s="733">
        <f>$R$11*$E$771</f>
        <v>0</v>
      </c>
      <c r="S779" s="733">
        <f>$S$11*$E$771</f>
        <v>0</v>
      </c>
      <c r="T779" s="733">
        <f>$T$11*$E$771</f>
        <v>0</v>
      </c>
      <c r="U779" s="733">
        <f>$U$11*$E$771</f>
        <v>0</v>
      </c>
    </row>
    <row r="780" spans="2:21" s="119" customFormat="1" ht="19.5" hidden="1" thickBot="1" x14ac:dyDescent="0.35">
      <c r="B780" s="301"/>
      <c r="C780" s="119">
        <f t="shared" si="777"/>
        <v>0</v>
      </c>
      <c r="D780" s="113" t="s">
        <v>119</v>
      </c>
      <c r="E780" s="76" t="s">
        <v>52</v>
      </c>
      <c r="F780" s="733">
        <f>$F$12*$E$771</f>
        <v>0</v>
      </c>
      <c r="G780" s="733">
        <f>$G$12*$E$771</f>
        <v>0</v>
      </c>
      <c r="H780" s="733">
        <f>$H$12*$E$771</f>
        <v>0</v>
      </c>
      <c r="I780" s="733">
        <f>$I$12*$E$771</f>
        <v>0</v>
      </c>
      <c r="J780" s="733">
        <f>$J$12*$E$771</f>
        <v>0</v>
      </c>
      <c r="K780" s="733">
        <f>K$12*$E$771</f>
        <v>0</v>
      </c>
      <c r="L780" s="733">
        <f t="shared" ref="L780:O780" si="784">L$12*$E$771</f>
        <v>0</v>
      </c>
      <c r="M780" s="733">
        <f t="shared" si="784"/>
        <v>0</v>
      </c>
      <c r="N780" s="733">
        <f t="shared" si="784"/>
        <v>0</v>
      </c>
      <c r="O780" s="733">
        <f t="shared" si="784"/>
        <v>0</v>
      </c>
      <c r="P780" s="733">
        <f>$P$12*$E$771</f>
        <v>0</v>
      </c>
      <c r="Q780" s="734">
        <f t="shared" si="779"/>
        <v>0</v>
      </c>
      <c r="R780" s="733">
        <f>$R$12*$E$771</f>
        <v>0</v>
      </c>
      <c r="S780" s="733">
        <f>$S$12*$E$771</f>
        <v>0</v>
      </c>
      <c r="T780" s="733">
        <f>$T$12*$E$771</f>
        <v>0</v>
      </c>
      <c r="U780" s="733">
        <f>$U$12*$E$771</f>
        <v>0</v>
      </c>
    </row>
    <row r="781" spans="2:21" s="119" customFormat="1" ht="19.5" hidden="1" thickBot="1" x14ac:dyDescent="0.35">
      <c r="B781" s="301"/>
      <c r="C781" s="119">
        <f t="shared" si="777"/>
        <v>0</v>
      </c>
      <c r="D781" s="113" t="s">
        <v>120</v>
      </c>
      <c r="E781" s="76" t="s">
        <v>51</v>
      </c>
      <c r="F781" s="733">
        <f>$F$13*$E$771</f>
        <v>0</v>
      </c>
      <c r="G781" s="733">
        <f>$G$13*$E$771</f>
        <v>0</v>
      </c>
      <c r="H781" s="733">
        <f>$H$13*$E$771</f>
        <v>0</v>
      </c>
      <c r="I781" s="733">
        <f>$I$13*$E$771</f>
        <v>0</v>
      </c>
      <c r="J781" s="733">
        <f>$J$13*$E$771</f>
        <v>0</v>
      </c>
      <c r="K781" s="733">
        <f>K$13*$E$771</f>
        <v>0</v>
      </c>
      <c r="L781" s="733">
        <f t="shared" ref="L781:O781" si="785">L$13*$E$771</f>
        <v>0</v>
      </c>
      <c r="M781" s="733">
        <f t="shared" si="785"/>
        <v>0</v>
      </c>
      <c r="N781" s="733">
        <f t="shared" si="785"/>
        <v>0</v>
      </c>
      <c r="O781" s="733">
        <f t="shared" si="785"/>
        <v>0</v>
      </c>
      <c r="P781" s="733">
        <f>$P$13*$E$771</f>
        <v>0</v>
      </c>
      <c r="Q781" s="734">
        <f t="shared" si="779"/>
        <v>0</v>
      </c>
      <c r="R781" s="733">
        <f>$R$13*$E$771</f>
        <v>0</v>
      </c>
      <c r="S781" s="733">
        <f>$S$13*$E$771</f>
        <v>0</v>
      </c>
      <c r="T781" s="733">
        <f>$T$13*$E$771</f>
        <v>0</v>
      </c>
      <c r="U781" s="733">
        <f>$U$13*$E$771</f>
        <v>0</v>
      </c>
    </row>
    <row r="782" spans="2:21" s="119" customFormat="1" ht="19.5" hidden="1" thickBot="1" x14ac:dyDescent="0.35">
      <c r="B782" s="301"/>
      <c r="C782" s="119">
        <f t="shared" si="777"/>
        <v>0</v>
      </c>
      <c r="D782" s="113" t="s">
        <v>121</v>
      </c>
      <c r="E782" s="76" t="s">
        <v>50</v>
      </c>
      <c r="F782" s="733">
        <f>$F$14*$E$771</f>
        <v>0</v>
      </c>
      <c r="G782" s="733">
        <f>$G$14*$E$771</f>
        <v>0</v>
      </c>
      <c r="H782" s="733">
        <f>$H$14*$E$771</f>
        <v>0</v>
      </c>
      <c r="I782" s="733">
        <f>$I$14*$E$771</f>
        <v>0</v>
      </c>
      <c r="J782" s="733">
        <f>$J$14*$E$771</f>
        <v>0</v>
      </c>
      <c r="K782" s="733">
        <f>K$14*$E$771</f>
        <v>0</v>
      </c>
      <c r="L782" s="733">
        <f t="shared" ref="L782:O782" si="786">L$14*$E$771</f>
        <v>0</v>
      </c>
      <c r="M782" s="733">
        <f t="shared" si="786"/>
        <v>0</v>
      </c>
      <c r="N782" s="733">
        <f t="shared" si="786"/>
        <v>0</v>
      </c>
      <c r="O782" s="733">
        <f t="shared" si="786"/>
        <v>0</v>
      </c>
      <c r="P782" s="733">
        <f>$P$14*$E$771</f>
        <v>0</v>
      </c>
      <c r="Q782" s="734">
        <f t="shared" si="779"/>
        <v>0</v>
      </c>
      <c r="R782" s="733">
        <f>$R$14*$E$771</f>
        <v>0</v>
      </c>
      <c r="S782" s="733">
        <f>$S$14*$E$771</f>
        <v>0</v>
      </c>
      <c r="T782" s="733">
        <f>$T$14*$E$771</f>
        <v>0</v>
      </c>
      <c r="U782" s="733">
        <f>$U$14*$E$771</f>
        <v>0</v>
      </c>
    </row>
    <row r="783" spans="2:21" s="119" customFormat="1" ht="19.5" hidden="1" thickBot="1" x14ac:dyDescent="0.35">
      <c r="B783" s="301"/>
      <c r="C783" s="119">
        <f t="shared" si="777"/>
        <v>0</v>
      </c>
      <c r="D783" s="113" t="s">
        <v>122</v>
      </c>
      <c r="E783" s="76" t="s">
        <v>49</v>
      </c>
      <c r="F783" s="733">
        <f>$F$15*$E$771</f>
        <v>0</v>
      </c>
      <c r="G783" s="733">
        <f>$G$15*$E$771</f>
        <v>0</v>
      </c>
      <c r="H783" s="733">
        <f>$H$15*$E$771</f>
        <v>0</v>
      </c>
      <c r="I783" s="733">
        <f>$I$15*$E$771</f>
        <v>0</v>
      </c>
      <c r="J783" s="733">
        <f>$J$15*$E$771</f>
        <v>0</v>
      </c>
      <c r="K783" s="733">
        <f>K$15*$E$771</f>
        <v>0</v>
      </c>
      <c r="L783" s="733">
        <f t="shared" ref="L783:O783" si="787">L$15*$E$771</f>
        <v>0</v>
      </c>
      <c r="M783" s="733">
        <f t="shared" si="787"/>
        <v>0</v>
      </c>
      <c r="N783" s="733">
        <f t="shared" si="787"/>
        <v>0</v>
      </c>
      <c r="O783" s="733">
        <f t="shared" si="787"/>
        <v>0</v>
      </c>
      <c r="P783" s="733">
        <f>$P$15*$E$771</f>
        <v>0</v>
      </c>
      <c r="Q783" s="734">
        <f t="shared" si="779"/>
        <v>0</v>
      </c>
      <c r="R783" s="733">
        <f>$R$15*$E$771</f>
        <v>0</v>
      </c>
      <c r="S783" s="733">
        <f>$S$15*$E$771</f>
        <v>0</v>
      </c>
      <c r="T783" s="733">
        <f>$T$15*$E$771</f>
        <v>0</v>
      </c>
      <c r="U783" s="733">
        <f>$U$15*$E$771</f>
        <v>0</v>
      </c>
    </row>
    <row r="784" spans="2:21" s="119" customFormat="1" ht="19.5" hidden="1" thickBot="1" x14ac:dyDescent="0.35">
      <c r="B784" s="301"/>
      <c r="C784" s="119">
        <f t="shared" si="777"/>
        <v>0</v>
      </c>
      <c r="D784" s="113" t="s">
        <v>123</v>
      </c>
      <c r="E784" s="76" t="s">
        <v>47</v>
      </c>
      <c r="F784" s="733">
        <f>$F$16*$E$771</f>
        <v>0</v>
      </c>
      <c r="G784" s="733">
        <f>$G$16*$E$771</f>
        <v>0</v>
      </c>
      <c r="H784" s="733">
        <f>$H$16*$E$771</f>
        <v>0</v>
      </c>
      <c r="I784" s="733">
        <f>$I$16*$E$771</f>
        <v>0</v>
      </c>
      <c r="J784" s="733">
        <f>$J$16*$E$771</f>
        <v>0</v>
      </c>
      <c r="K784" s="733">
        <f>K$16*$E$771</f>
        <v>0</v>
      </c>
      <c r="L784" s="733">
        <f t="shared" ref="L784:O784" si="788">L$16*$E$771</f>
        <v>0</v>
      </c>
      <c r="M784" s="733">
        <f t="shared" si="788"/>
        <v>0</v>
      </c>
      <c r="N784" s="733">
        <f t="shared" si="788"/>
        <v>0</v>
      </c>
      <c r="O784" s="733">
        <f t="shared" si="788"/>
        <v>0</v>
      </c>
      <c r="P784" s="733">
        <f>$P$16*$E$771</f>
        <v>0</v>
      </c>
      <c r="Q784" s="734">
        <f t="shared" si="779"/>
        <v>0</v>
      </c>
      <c r="R784" s="733">
        <f>$R$16*$E$771</f>
        <v>0</v>
      </c>
      <c r="S784" s="733">
        <f>$S$16*$E$771</f>
        <v>0</v>
      </c>
      <c r="T784" s="733">
        <f>$T$16*$E$771</f>
        <v>0</v>
      </c>
      <c r="U784" s="733">
        <f>$U$16*$E$771</f>
        <v>0</v>
      </c>
    </row>
    <row r="785" spans="2:21" s="119" customFormat="1" ht="19.5" hidden="1" thickBot="1" x14ac:dyDescent="0.35">
      <c r="B785" s="301"/>
      <c r="C785" s="119">
        <f t="shared" si="777"/>
        <v>0</v>
      </c>
      <c r="D785" s="114" t="s">
        <v>16</v>
      </c>
      <c r="E785" s="70" t="s">
        <v>77</v>
      </c>
      <c r="F785" s="733">
        <f>$F$17*$E$771</f>
        <v>0</v>
      </c>
      <c r="G785" s="733">
        <f>$G$17*$E$771</f>
        <v>0</v>
      </c>
      <c r="H785" s="733">
        <f>$H$17*$E$771</f>
        <v>0</v>
      </c>
      <c r="I785" s="733">
        <f>$I$17*$E$771</f>
        <v>0</v>
      </c>
      <c r="J785" s="733">
        <f>$J$17*$E$771</f>
        <v>0</v>
      </c>
      <c r="K785" s="733">
        <f>K$17*$E$771</f>
        <v>0</v>
      </c>
      <c r="L785" s="733">
        <f t="shared" ref="L785:O785" si="789">L$17*$E$771</f>
        <v>0</v>
      </c>
      <c r="M785" s="733">
        <f t="shared" si="789"/>
        <v>0</v>
      </c>
      <c r="N785" s="733">
        <f t="shared" si="789"/>
        <v>0</v>
      </c>
      <c r="O785" s="733">
        <f t="shared" si="789"/>
        <v>0</v>
      </c>
      <c r="P785" s="733">
        <f>$P$17*$E$771</f>
        <v>0</v>
      </c>
      <c r="Q785" s="734">
        <f t="shared" si="779"/>
        <v>0</v>
      </c>
      <c r="R785" s="733">
        <f>$R$17*$E$771</f>
        <v>0</v>
      </c>
      <c r="S785" s="733">
        <f>$S$17*$E$771</f>
        <v>0</v>
      </c>
      <c r="T785" s="733">
        <f ca="1">$T$17*$E$771</f>
        <v>0</v>
      </c>
      <c r="U785" s="733">
        <f ca="1">$U$17*$E$771</f>
        <v>0</v>
      </c>
    </row>
    <row r="786" spans="2:21" s="119" customFormat="1" ht="19.5" hidden="1" thickBot="1" x14ac:dyDescent="0.35">
      <c r="B786" s="301"/>
      <c r="C786" s="119">
        <f t="shared" si="777"/>
        <v>0</v>
      </c>
      <c r="D786" s="115" t="s">
        <v>124</v>
      </c>
      <c r="E786" s="116" t="s">
        <v>78</v>
      </c>
      <c r="F786" s="742">
        <f t="shared" ref="F786:U786" si="790">SUBTOTAL(9,F774:F785)</f>
        <v>0</v>
      </c>
      <c r="G786" s="742">
        <f>SUBTOTAL(9,G774:G785)</f>
        <v>0</v>
      </c>
      <c r="H786" s="742">
        <f>SUBTOTAL(9,H774:H785)</f>
        <v>0</v>
      </c>
      <c r="I786" s="742">
        <f>SUBTOTAL(9,I774:I785)</f>
        <v>0</v>
      </c>
      <c r="J786" s="742">
        <f>SUBTOTAL(9,J774:J785)</f>
        <v>0</v>
      </c>
      <c r="K786" s="742">
        <f>SUBTOTAL(9,K774:K785)</f>
        <v>0</v>
      </c>
      <c r="L786" s="742">
        <f t="shared" ref="L786:O786" si="791">SUBTOTAL(9,L774:L785)</f>
        <v>0</v>
      </c>
      <c r="M786" s="742">
        <f t="shared" si="791"/>
        <v>0</v>
      </c>
      <c r="N786" s="742">
        <f t="shared" si="791"/>
        <v>0</v>
      </c>
      <c r="O786" s="742">
        <f t="shared" si="791"/>
        <v>0</v>
      </c>
      <c r="P786" s="742">
        <f t="shared" si="790"/>
        <v>0</v>
      </c>
      <c r="Q786" s="743">
        <f>SUBTOTAL(9,Q774:Q785)</f>
        <v>0</v>
      </c>
      <c r="R786" s="742">
        <f t="shared" si="790"/>
        <v>0</v>
      </c>
      <c r="S786" s="742">
        <f t="shared" si="790"/>
        <v>0</v>
      </c>
      <c r="T786" s="742">
        <f t="shared" si="790"/>
        <v>0</v>
      </c>
      <c r="U786" s="742">
        <f t="shared" si="790"/>
        <v>0</v>
      </c>
    </row>
    <row r="787" spans="2:21" s="119" customFormat="1" ht="19.5" hidden="1" thickBot="1" x14ac:dyDescent="0.3">
      <c r="B787" s="340"/>
      <c r="D787" s="117"/>
      <c r="E787" s="117"/>
      <c r="F787" s="118"/>
      <c r="G787" s="118"/>
      <c r="I787" s="118"/>
      <c r="J787" s="118"/>
      <c r="K787" s="118"/>
      <c r="L787" s="118"/>
      <c r="O787" s="118"/>
      <c r="Q787" s="120"/>
      <c r="R787" s="117"/>
      <c r="S787" s="118"/>
      <c r="U787" s="118"/>
    </row>
    <row r="788" spans="2:21" ht="75" x14ac:dyDescent="0.25">
      <c r="B788" s="790"/>
      <c r="C788" s="117">
        <f>IF($E788&gt;0,1,0)</f>
        <v>1</v>
      </c>
      <c r="D788" s="96" t="str">
        <f>A49</f>
        <v>Saratoga</v>
      </c>
      <c r="E788" s="166">
        <f>IFERROR(SUMIF(A:A,D788,B:B),0)</f>
        <v>2.3438220793789384E-4</v>
      </c>
      <c r="F788" s="98" t="s">
        <v>356</v>
      </c>
      <c r="G788" s="98" t="s">
        <v>373</v>
      </c>
      <c r="H788" s="98" t="s">
        <v>358</v>
      </c>
      <c r="I788" s="98" t="s">
        <v>109</v>
      </c>
      <c r="J788" s="98" t="s">
        <v>111</v>
      </c>
      <c r="K788" s="98" t="s">
        <v>469</v>
      </c>
      <c r="L788" s="98" t="s">
        <v>470</v>
      </c>
      <c r="M788" s="98" t="s">
        <v>357</v>
      </c>
      <c r="N788" s="509" t="s">
        <v>471</v>
      </c>
      <c r="O788" s="98" t="s">
        <v>472</v>
      </c>
      <c r="P788" s="98" t="s">
        <v>110</v>
      </c>
      <c r="Q788" s="99" t="s">
        <v>116</v>
      </c>
      <c r="R788" s="98" t="s">
        <v>112</v>
      </c>
      <c r="S788" s="98" t="s">
        <v>113</v>
      </c>
      <c r="T788" s="98" t="s">
        <v>114</v>
      </c>
      <c r="U788" s="98" t="s">
        <v>115</v>
      </c>
    </row>
    <row r="789" spans="2:21" ht="18.75" x14ac:dyDescent="0.25">
      <c r="B789" s="790"/>
      <c r="C789" s="117">
        <f>C788</f>
        <v>1</v>
      </c>
      <c r="D789" s="101"/>
      <c r="E789" s="102"/>
      <c r="F789" s="84" t="s">
        <v>57</v>
      </c>
      <c r="G789" s="84" t="s">
        <v>56</v>
      </c>
      <c r="H789" s="84" t="s">
        <v>55</v>
      </c>
      <c r="I789" s="84" t="s">
        <v>54</v>
      </c>
      <c r="J789" s="84" t="s">
        <v>53</v>
      </c>
      <c r="K789" s="84" t="s">
        <v>52</v>
      </c>
      <c r="L789" s="84" t="s">
        <v>51</v>
      </c>
      <c r="M789" s="84" t="s">
        <v>50</v>
      </c>
      <c r="N789" s="84" t="s">
        <v>49</v>
      </c>
      <c r="O789" s="84" t="s">
        <v>47</v>
      </c>
      <c r="P789" s="84" t="s">
        <v>77</v>
      </c>
      <c r="Q789" s="83" t="s">
        <v>78</v>
      </c>
      <c r="R789" s="84" t="s">
        <v>79</v>
      </c>
      <c r="S789" s="84" t="s">
        <v>81</v>
      </c>
      <c r="T789" s="84" t="s">
        <v>83</v>
      </c>
      <c r="U789" s="84" t="s">
        <v>85</v>
      </c>
    </row>
    <row r="790" spans="2:21" ht="18.75" x14ac:dyDescent="0.25">
      <c r="B790" s="790"/>
      <c r="C790" s="117">
        <f t="shared" ref="C790:C803" si="792">C789</f>
        <v>1</v>
      </c>
      <c r="D790" s="103" t="s">
        <v>26</v>
      </c>
      <c r="E790" s="104"/>
      <c r="F790" s="745"/>
      <c r="G790" s="745"/>
      <c r="H790" s="784"/>
      <c r="I790" s="745"/>
      <c r="J790" s="745"/>
      <c r="K790" s="745"/>
      <c r="L790" s="745"/>
      <c r="M790" s="784"/>
      <c r="N790" s="784"/>
      <c r="O790" s="745"/>
      <c r="P790" s="784"/>
      <c r="Q790" s="747"/>
      <c r="R790" s="748"/>
      <c r="S790" s="745"/>
      <c r="T790" s="784"/>
      <c r="U790" s="749"/>
    </row>
    <row r="791" spans="2:21" ht="18.75" x14ac:dyDescent="0.25">
      <c r="B791" s="790"/>
      <c r="C791" s="117">
        <f t="shared" si="792"/>
        <v>1</v>
      </c>
      <c r="D791" s="763" t="s">
        <v>93</v>
      </c>
      <c r="E791" s="84" t="s">
        <v>57</v>
      </c>
      <c r="F791" s="733">
        <f>$F$6*$E$788</f>
        <v>29586.904704102115</v>
      </c>
      <c r="G791" s="733">
        <f>$G$6*$E$788</f>
        <v>2049.2143529240866</v>
      </c>
      <c r="H791" s="733">
        <f>$H$6*$E$788</f>
        <v>4.5945616086974219</v>
      </c>
      <c r="I791" s="733">
        <f>$I$6*$E$788</f>
        <v>736.12449110448097</v>
      </c>
      <c r="J791" s="733">
        <f>$J$6*$E$788</f>
        <v>537.05205185766988</v>
      </c>
      <c r="K791" s="733">
        <f>K$6*$E$788</f>
        <v>28.893140892274825</v>
      </c>
      <c r="L791" s="733">
        <f t="shared" ref="L791:O791" si="793">L$6*$E$788</f>
        <v>0</v>
      </c>
      <c r="M791" s="733">
        <f t="shared" si="793"/>
        <v>20.987801686240292</v>
      </c>
      <c r="N791" s="733">
        <f t="shared" si="793"/>
        <v>0</v>
      </c>
      <c r="O791" s="733">
        <f t="shared" si="793"/>
        <v>137.07976091577416</v>
      </c>
      <c r="P791" s="733">
        <f>$P$6*$E$788</f>
        <v>0</v>
      </c>
      <c r="Q791" s="734">
        <f t="shared" ref="Q791:Q802" si="794">SUM(F791:P791)</f>
        <v>33100.850865091335</v>
      </c>
      <c r="R791" s="733">
        <f>$R$6*$E$788</f>
        <v>0</v>
      </c>
      <c r="S791" s="733">
        <f>$S$6*$E$788</f>
        <v>2527.8873328921786</v>
      </c>
      <c r="T791" s="733">
        <f ca="1">$T$6*$E$788</f>
        <v>1042.1356042118632</v>
      </c>
      <c r="U791" s="733">
        <f ca="1">$U$6*$E$788</f>
        <v>780.60667215657566</v>
      </c>
    </row>
    <row r="792" spans="2:21" ht="18.75" x14ac:dyDescent="0.25">
      <c r="B792" s="790"/>
      <c r="C792" s="117">
        <f t="shared" si="792"/>
        <v>1</v>
      </c>
      <c r="D792" s="765" t="s">
        <v>92</v>
      </c>
      <c r="E792" s="84" t="s">
        <v>56</v>
      </c>
      <c r="F792" s="733">
        <f>$F$7*$E$788</f>
        <v>0</v>
      </c>
      <c r="G792" s="733">
        <f>$G$7*$E$788</f>
        <v>0</v>
      </c>
      <c r="H792" s="733">
        <f>$H$7*$E$788</f>
        <v>0</v>
      </c>
      <c r="I792" s="733">
        <f>$I$7*$E$788</f>
        <v>0</v>
      </c>
      <c r="J792" s="733">
        <f>$J$7*$E$788</f>
        <v>0</v>
      </c>
      <c r="K792" s="733">
        <f>K$7*$E$788</f>
        <v>0</v>
      </c>
      <c r="L792" s="733">
        <f t="shared" ref="L792:O792" si="795">L$7*$E$788</f>
        <v>0</v>
      </c>
      <c r="M792" s="733">
        <f t="shared" si="795"/>
        <v>0</v>
      </c>
      <c r="N792" s="733">
        <f t="shared" si="795"/>
        <v>0</v>
      </c>
      <c r="O792" s="733">
        <f t="shared" si="795"/>
        <v>0</v>
      </c>
      <c r="P792" s="733">
        <f>$P$7*$E$788</f>
        <v>0</v>
      </c>
      <c r="Q792" s="734">
        <f t="shared" si="794"/>
        <v>0</v>
      </c>
      <c r="R792" s="733">
        <f>$R$7*$E$788</f>
        <v>0</v>
      </c>
      <c r="S792" s="733">
        <f>$S$7*$E$788</f>
        <v>0</v>
      </c>
      <c r="T792" s="733">
        <f>$T$7*$E$788</f>
        <v>0</v>
      </c>
      <c r="U792" s="733">
        <f>$U$7*$E$788</f>
        <v>0</v>
      </c>
    </row>
    <row r="793" spans="2:21" ht="18.75" x14ac:dyDescent="0.25">
      <c r="B793" s="790"/>
      <c r="C793" s="117">
        <f t="shared" si="792"/>
        <v>1</v>
      </c>
      <c r="D793" s="765" t="s">
        <v>91</v>
      </c>
      <c r="E793" s="84" t="s">
        <v>55</v>
      </c>
      <c r="F793" s="733">
        <f>$F$8*$E$788</f>
        <v>263.34950501693811</v>
      </c>
      <c r="G793" s="733">
        <f>$G$8*$E$788</f>
        <v>0</v>
      </c>
      <c r="H793" s="733">
        <f>$H$8*$E$788</f>
        <v>0</v>
      </c>
      <c r="I793" s="733">
        <f>$I$8*$E$788</f>
        <v>4.4005259540339567</v>
      </c>
      <c r="J793" s="733">
        <f>$J$8*$E$788</f>
        <v>0</v>
      </c>
      <c r="K793" s="733">
        <f>K$8*$E$788</f>
        <v>0</v>
      </c>
      <c r="L793" s="733">
        <f t="shared" ref="L793:O793" si="796">L$8*$E$788</f>
        <v>0</v>
      </c>
      <c r="M793" s="733">
        <f t="shared" si="796"/>
        <v>0</v>
      </c>
      <c r="N793" s="733">
        <f t="shared" si="796"/>
        <v>0</v>
      </c>
      <c r="O793" s="733">
        <f t="shared" si="796"/>
        <v>7.9033680516657805</v>
      </c>
      <c r="P793" s="733">
        <f>$P$8*$E$788</f>
        <v>0</v>
      </c>
      <c r="Q793" s="734">
        <f t="shared" si="794"/>
        <v>275.65339902263787</v>
      </c>
      <c r="R793" s="733">
        <f>$R$8*$E$788</f>
        <v>0</v>
      </c>
      <c r="S793" s="733">
        <f>$S$8*$E$788</f>
        <v>7.9576931598216252</v>
      </c>
      <c r="T793" s="733">
        <f ca="1">$T$8*$E$788</f>
        <v>3.2563645462066098</v>
      </c>
      <c r="U793" s="733">
        <f ca="1">$U$8*$E$788</f>
        <v>0.32485276154053722</v>
      </c>
    </row>
    <row r="794" spans="2:21" ht="18.75" x14ac:dyDescent="0.25">
      <c r="B794" s="790"/>
      <c r="C794" s="117">
        <f t="shared" si="792"/>
        <v>1</v>
      </c>
      <c r="D794" s="766" t="s">
        <v>117</v>
      </c>
      <c r="E794" s="84" t="s">
        <v>54</v>
      </c>
      <c r="F794" s="733">
        <f>$F$9*$E$788</f>
        <v>0</v>
      </c>
      <c r="G794" s="733">
        <f>$G$9*$E$788</f>
        <v>0</v>
      </c>
      <c r="H794" s="733">
        <f>$H$9*$E$788</f>
        <v>0</v>
      </c>
      <c r="I794" s="733">
        <f>$I$9*$E$788</f>
        <v>0</v>
      </c>
      <c r="J794" s="733">
        <f>$J$9*$E$788</f>
        <v>0</v>
      </c>
      <c r="K794" s="733">
        <f>K$9*$E$788</f>
        <v>0</v>
      </c>
      <c r="L794" s="733">
        <f t="shared" ref="L794:O794" si="797">L$9*$E$788</f>
        <v>0</v>
      </c>
      <c r="M794" s="733">
        <f t="shared" si="797"/>
        <v>0</v>
      </c>
      <c r="N794" s="733">
        <f t="shared" si="797"/>
        <v>0</v>
      </c>
      <c r="O794" s="733">
        <f t="shared" si="797"/>
        <v>0</v>
      </c>
      <c r="P794" s="733">
        <f>$P$9*$E$788</f>
        <v>0</v>
      </c>
      <c r="Q794" s="734">
        <f t="shared" si="794"/>
        <v>0</v>
      </c>
      <c r="R794" s="733">
        <f>$R$9*$E$788</f>
        <v>0</v>
      </c>
      <c r="S794" s="733">
        <f>$S$9*$E$788</f>
        <v>0</v>
      </c>
      <c r="T794" s="733">
        <f>$T$9*$E$788</f>
        <v>0</v>
      </c>
      <c r="U794" s="733">
        <f>$U$9*$E$788</f>
        <v>0</v>
      </c>
    </row>
    <row r="795" spans="2:21" ht="18.75" x14ac:dyDescent="0.25">
      <c r="B795" s="790"/>
      <c r="C795" s="117">
        <f t="shared" si="792"/>
        <v>1</v>
      </c>
      <c r="D795" s="112" t="s">
        <v>31</v>
      </c>
      <c r="E795" s="84"/>
      <c r="F795" s="767"/>
      <c r="G795" s="768"/>
      <c r="H795" s="769"/>
      <c r="I795" s="768"/>
      <c r="J795" s="768"/>
      <c r="K795" s="768"/>
      <c r="L795" s="768"/>
      <c r="M795" s="768"/>
      <c r="N795" s="768"/>
      <c r="O795" s="768"/>
      <c r="P795" s="771"/>
      <c r="Q795" s="734">
        <f t="shared" si="794"/>
        <v>0</v>
      </c>
      <c r="R795" s="772"/>
      <c r="S795" s="768"/>
      <c r="T795" s="773"/>
      <c r="U795" s="774"/>
    </row>
    <row r="796" spans="2:21" ht="18.75" x14ac:dyDescent="0.25">
      <c r="B796" s="790"/>
      <c r="C796" s="117">
        <f t="shared" si="792"/>
        <v>1</v>
      </c>
      <c r="D796" s="775" t="s">
        <v>118</v>
      </c>
      <c r="E796" s="84" t="s">
        <v>53</v>
      </c>
      <c r="F796" s="733">
        <f>$F$11*$E$788</f>
        <v>0</v>
      </c>
      <c r="G796" s="733">
        <f>$G$11*$E$788</f>
        <v>0</v>
      </c>
      <c r="H796" s="733">
        <f>$H$11*$E$788</f>
        <v>0</v>
      </c>
      <c r="I796" s="733">
        <f>$I$11*$E$788</f>
        <v>0</v>
      </c>
      <c r="J796" s="733">
        <f>$J$11*$E$788</f>
        <v>0</v>
      </c>
      <c r="K796" s="733">
        <f>K$11*$E$788</f>
        <v>0</v>
      </c>
      <c r="L796" s="733">
        <f t="shared" ref="L796:O796" si="798">L$11*$E$788</f>
        <v>0</v>
      </c>
      <c r="M796" s="733">
        <f t="shared" si="798"/>
        <v>0</v>
      </c>
      <c r="N796" s="733">
        <f t="shared" si="798"/>
        <v>0</v>
      </c>
      <c r="O796" s="733">
        <f t="shared" si="798"/>
        <v>0</v>
      </c>
      <c r="P796" s="733">
        <f>$P$11*$E$788</f>
        <v>0</v>
      </c>
      <c r="Q796" s="734">
        <f t="shared" si="794"/>
        <v>0</v>
      </c>
      <c r="R796" s="733">
        <f>$R$11*$E$788</f>
        <v>0</v>
      </c>
      <c r="S796" s="733">
        <f>$S$11*$E$788</f>
        <v>0</v>
      </c>
      <c r="T796" s="733">
        <f>$T$11*$E$788</f>
        <v>0</v>
      </c>
      <c r="U796" s="733">
        <f>$U$11*$E$788</f>
        <v>0</v>
      </c>
    </row>
    <row r="797" spans="2:21" ht="18.75" x14ac:dyDescent="0.25">
      <c r="B797" s="790"/>
      <c r="C797" s="117">
        <f t="shared" si="792"/>
        <v>1</v>
      </c>
      <c r="D797" s="775" t="s">
        <v>119</v>
      </c>
      <c r="E797" s="84" t="s">
        <v>52</v>
      </c>
      <c r="F797" s="733">
        <f>$F$12*$E$788</f>
        <v>0</v>
      </c>
      <c r="G797" s="733">
        <f>$G$12*$E$788</f>
        <v>0</v>
      </c>
      <c r="H797" s="733">
        <f>$H$12*$E$788</f>
        <v>0</v>
      </c>
      <c r="I797" s="733">
        <f>$I$12*$E$788</f>
        <v>0</v>
      </c>
      <c r="J797" s="733">
        <f>$J$12*$E$788</f>
        <v>0</v>
      </c>
      <c r="K797" s="733">
        <f>K$12*$E$788</f>
        <v>0</v>
      </c>
      <c r="L797" s="733">
        <f t="shared" ref="L797:O797" si="799">L$12*$E$788</f>
        <v>0</v>
      </c>
      <c r="M797" s="733">
        <f t="shared" si="799"/>
        <v>0</v>
      </c>
      <c r="N797" s="733">
        <f t="shared" si="799"/>
        <v>0</v>
      </c>
      <c r="O797" s="733">
        <f t="shared" si="799"/>
        <v>0</v>
      </c>
      <c r="P797" s="733">
        <f>$P$12*$E$788</f>
        <v>0</v>
      </c>
      <c r="Q797" s="734">
        <f t="shared" si="794"/>
        <v>0</v>
      </c>
      <c r="R797" s="733">
        <f>$R$12*$E$788</f>
        <v>0</v>
      </c>
      <c r="S797" s="733">
        <f>$S$12*$E$788</f>
        <v>0</v>
      </c>
      <c r="T797" s="733">
        <f>$T$12*$E$788</f>
        <v>0</v>
      </c>
      <c r="U797" s="733">
        <f>$U$12*$E$788</f>
        <v>0</v>
      </c>
    </row>
    <row r="798" spans="2:21" ht="18.75" x14ac:dyDescent="0.25">
      <c r="B798" s="790"/>
      <c r="C798" s="117">
        <f t="shared" si="792"/>
        <v>1</v>
      </c>
      <c r="D798" s="775" t="s">
        <v>120</v>
      </c>
      <c r="E798" s="84" t="s">
        <v>51</v>
      </c>
      <c r="F798" s="733">
        <f>$F$13*$E$788</f>
        <v>0</v>
      </c>
      <c r="G798" s="733">
        <f>$G$13*$E$788</f>
        <v>0</v>
      </c>
      <c r="H798" s="733">
        <f>$H$13*$E$788</f>
        <v>0</v>
      </c>
      <c r="I798" s="733">
        <f>$I$13*$E$788</f>
        <v>0</v>
      </c>
      <c r="J798" s="733">
        <f>$J$13*$E$788</f>
        <v>0</v>
      </c>
      <c r="K798" s="733">
        <f>K$13*$E$788</f>
        <v>0</v>
      </c>
      <c r="L798" s="733">
        <f t="shared" ref="L798:O798" si="800">L$13*$E$788</f>
        <v>0</v>
      </c>
      <c r="M798" s="733">
        <f t="shared" si="800"/>
        <v>0</v>
      </c>
      <c r="N798" s="733">
        <f t="shared" si="800"/>
        <v>0</v>
      </c>
      <c r="O798" s="733">
        <f t="shared" si="800"/>
        <v>0</v>
      </c>
      <c r="P798" s="733">
        <f>$P$13*$E$788</f>
        <v>0</v>
      </c>
      <c r="Q798" s="734">
        <f t="shared" si="794"/>
        <v>0</v>
      </c>
      <c r="R798" s="733">
        <f>$R$13*$E$788</f>
        <v>0</v>
      </c>
      <c r="S798" s="733">
        <f>$S$13*$E$788</f>
        <v>0</v>
      </c>
      <c r="T798" s="733">
        <f>$T$13*$E$788</f>
        <v>0</v>
      </c>
      <c r="U798" s="733">
        <f>$U$13*$E$788</f>
        <v>0</v>
      </c>
    </row>
    <row r="799" spans="2:21" ht="18.75" x14ac:dyDescent="0.25">
      <c r="B799" s="790"/>
      <c r="C799" s="117">
        <f t="shared" si="792"/>
        <v>1</v>
      </c>
      <c r="D799" s="775" t="s">
        <v>121</v>
      </c>
      <c r="E799" s="84" t="s">
        <v>50</v>
      </c>
      <c r="F799" s="733">
        <f>$F$14*$E$788</f>
        <v>0</v>
      </c>
      <c r="G799" s="733">
        <f>$G$14*$E$788</f>
        <v>0</v>
      </c>
      <c r="H799" s="733">
        <f>$H$14*$E$788</f>
        <v>0</v>
      </c>
      <c r="I799" s="733">
        <f>$I$14*$E$788</f>
        <v>0</v>
      </c>
      <c r="J799" s="733">
        <f>$J$14*$E$788</f>
        <v>0</v>
      </c>
      <c r="K799" s="733">
        <f>K$14*$E$788</f>
        <v>0</v>
      </c>
      <c r="L799" s="733">
        <f t="shared" ref="L799:O799" si="801">L$14*$E$788</f>
        <v>0</v>
      </c>
      <c r="M799" s="733">
        <f t="shared" si="801"/>
        <v>0</v>
      </c>
      <c r="N799" s="733">
        <f t="shared" si="801"/>
        <v>0</v>
      </c>
      <c r="O799" s="733">
        <f t="shared" si="801"/>
        <v>0</v>
      </c>
      <c r="P799" s="733">
        <f>$P$14*$E$788</f>
        <v>0</v>
      </c>
      <c r="Q799" s="734">
        <f t="shared" si="794"/>
        <v>0</v>
      </c>
      <c r="R799" s="733">
        <f>$R$14*$E$788</f>
        <v>0</v>
      </c>
      <c r="S799" s="733">
        <f>$S$14*$E$788</f>
        <v>0</v>
      </c>
      <c r="T799" s="733">
        <f>$T$14*$E$788</f>
        <v>0</v>
      </c>
      <c r="U799" s="733">
        <f>$U$14*$E$788</f>
        <v>0</v>
      </c>
    </row>
    <row r="800" spans="2:21" ht="18.75" x14ac:dyDescent="0.25">
      <c r="B800" s="790"/>
      <c r="C800" s="117">
        <f t="shared" si="792"/>
        <v>1</v>
      </c>
      <c r="D800" s="775" t="s">
        <v>122</v>
      </c>
      <c r="E800" s="84" t="s">
        <v>49</v>
      </c>
      <c r="F800" s="733">
        <f>$F$15*$E$788</f>
        <v>0</v>
      </c>
      <c r="G800" s="733">
        <f>$G$15*$E$788</f>
        <v>0</v>
      </c>
      <c r="H800" s="733">
        <f>$H$15*$E$788</f>
        <v>0</v>
      </c>
      <c r="I800" s="733">
        <f>$I$15*$E$788</f>
        <v>0</v>
      </c>
      <c r="J800" s="733">
        <f>$J$15*$E$788</f>
        <v>0</v>
      </c>
      <c r="K800" s="733">
        <f>K$15*$E$788</f>
        <v>0</v>
      </c>
      <c r="L800" s="733">
        <f t="shared" ref="L800:O800" si="802">L$15*$E$788</f>
        <v>0</v>
      </c>
      <c r="M800" s="733">
        <f t="shared" si="802"/>
        <v>0</v>
      </c>
      <c r="N800" s="733">
        <f t="shared" si="802"/>
        <v>0</v>
      </c>
      <c r="O800" s="733">
        <f t="shared" si="802"/>
        <v>0</v>
      </c>
      <c r="P800" s="733">
        <f>$P$15*$E$788</f>
        <v>0</v>
      </c>
      <c r="Q800" s="734">
        <f t="shared" si="794"/>
        <v>0</v>
      </c>
      <c r="R800" s="733">
        <f>$R$15*$E$788</f>
        <v>0</v>
      </c>
      <c r="S800" s="733">
        <f>$S$15*$E$788</f>
        <v>0</v>
      </c>
      <c r="T800" s="733">
        <f>$T$15*$E$788</f>
        <v>0</v>
      </c>
      <c r="U800" s="733">
        <f>$U$15*$E$788</f>
        <v>0</v>
      </c>
    </row>
    <row r="801" spans="2:21" ht="18.75" x14ac:dyDescent="0.25">
      <c r="B801" s="790"/>
      <c r="C801" s="117">
        <f t="shared" si="792"/>
        <v>1</v>
      </c>
      <c r="D801" s="775" t="s">
        <v>123</v>
      </c>
      <c r="E801" s="84" t="s">
        <v>47</v>
      </c>
      <c r="F801" s="733">
        <f>$F$16*$E$788</f>
        <v>0</v>
      </c>
      <c r="G801" s="733">
        <f>$G$16*$E$788</f>
        <v>0</v>
      </c>
      <c r="H801" s="733">
        <f>$H$16*$E$788</f>
        <v>0</v>
      </c>
      <c r="I801" s="733">
        <f>$I$16*$E$788</f>
        <v>0</v>
      </c>
      <c r="J801" s="733">
        <f>$J$16*$E$788</f>
        <v>0</v>
      </c>
      <c r="K801" s="733">
        <f>K$16*$E$788</f>
        <v>0</v>
      </c>
      <c r="L801" s="733">
        <f t="shared" ref="L801:O801" si="803">L$16*$E$788</f>
        <v>0</v>
      </c>
      <c r="M801" s="733">
        <f t="shared" si="803"/>
        <v>0</v>
      </c>
      <c r="N801" s="733">
        <f t="shared" si="803"/>
        <v>0</v>
      </c>
      <c r="O801" s="733">
        <f t="shared" si="803"/>
        <v>0</v>
      </c>
      <c r="P801" s="733">
        <f>$P$16*$E$788</f>
        <v>0</v>
      </c>
      <c r="Q801" s="734">
        <f t="shared" si="794"/>
        <v>0</v>
      </c>
      <c r="R801" s="733">
        <f>$R$16*$E$788</f>
        <v>0</v>
      </c>
      <c r="S801" s="733">
        <f>$S$16*$E$788</f>
        <v>0</v>
      </c>
      <c r="T801" s="733">
        <f>$T$16*$E$788</f>
        <v>0</v>
      </c>
      <c r="U801" s="733">
        <f>$U$16*$E$788</f>
        <v>0</v>
      </c>
    </row>
    <row r="802" spans="2:21" ht="19.5" thickBot="1" x14ac:dyDescent="0.3">
      <c r="B802" s="790"/>
      <c r="C802" s="117">
        <f t="shared" si="792"/>
        <v>1</v>
      </c>
      <c r="D802" s="776" t="s">
        <v>16</v>
      </c>
      <c r="E802" s="777" t="s">
        <v>77</v>
      </c>
      <c r="F802" s="733">
        <f>$F$17*$E$788</f>
        <v>3271.3387368484205</v>
      </c>
      <c r="G802" s="733">
        <f>$G$17*$E$788</f>
        <v>64.984624859812627</v>
      </c>
      <c r="H802" s="733">
        <f>$H$17*$E$788</f>
        <v>0</v>
      </c>
      <c r="I802" s="733">
        <f>$I$17*$E$788</f>
        <v>0</v>
      </c>
      <c r="J802" s="733">
        <f>$J$17*$E$788</f>
        <v>138.73825529663327</v>
      </c>
      <c r="K802" s="733">
        <f>K$17*$E$788</f>
        <v>0.57119142759482244</v>
      </c>
      <c r="L802" s="733">
        <f t="shared" ref="L802:O802" si="804">L$17*$E$788</f>
        <v>8.0383025605710784E-2</v>
      </c>
      <c r="M802" s="733">
        <f t="shared" si="804"/>
        <v>0</v>
      </c>
      <c r="N802" s="733">
        <f t="shared" si="804"/>
        <v>0</v>
      </c>
      <c r="O802" s="733">
        <f t="shared" si="804"/>
        <v>41.575379664135525</v>
      </c>
      <c r="P802" s="733">
        <f>$P$17*$E$788</f>
        <v>708.09691184750091</v>
      </c>
      <c r="Q802" s="734">
        <f t="shared" si="794"/>
        <v>4225.3854829697038</v>
      </c>
      <c r="R802" s="733">
        <f>$R$17*$E$788</f>
        <v>0</v>
      </c>
      <c r="S802" s="733">
        <f>$S$17*$E$788</f>
        <v>293.80518653034886</v>
      </c>
      <c r="T802" s="733">
        <f ca="1">$T$17*$E$788</f>
        <v>85.21140341931418</v>
      </c>
      <c r="U802" s="733">
        <f ca="1">$U$17*$E$788</f>
        <v>4.855617004042351</v>
      </c>
    </row>
    <row r="803" spans="2:21" ht="19.5" thickBot="1" x14ac:dyDescent="0.3">
      <c r="B803" s="790"/>
      <c r="C803" s="117">
        <f t="shared" si="792"/>
        <v>1</v>
      </c>
      <c r="D803" s="115" t="s">
        <v>124</v>
      </c>
      <c r="E803" s="778" t="s">
        <v>78</v>
      </c>
      <c r="F803" s="779">
        <f t="shared" ref="F803:U803" si="805">SUBTOTAL(9,F791:F802)</f>
        <v>33121.592945967473</v>
      </c>
      <c r="G803" s="779">
        <f>SUBTOTAL(9,G791:G802)</f>
        <v>2114.1989777838994</v>
      </c>
      <c r="H803" s="779">
        <f>SUBTOTAL(9,H791:H802)</f>
        <v>4.5945616086974219</v>
      </c>
      <c r="I803" s="779">
        <f>SUBTOTAL(9,I791:I802)</f>
        <v>740.52501705851489</v>
      </c>
      <c r="J803" s="779">
        <f>SUBTOTAL(9,J791:J802)</f>
        <v>675.79030715430315</v>
      </c>
      <c r="K803" s="779">
        <f>SUBTOTAL(9,K791:K802)</f>
        <v>29.464332319869648</v>
      </c>
      <c r="L803" s="779">
        <f t="shared" ref="L803:O803" si="806">SUBTOTAL(9,L791:L802)</f>
        <v>8.0383025605710784E-2</v>
      </c>
      <c r="M803" s="779">
        <f t="shared" si="806"/>
        <v>20.987801686240292</v>
      </c>
      <c r="N803" s="779">
        <f t="shared" si="806"/>
        <v>0</v>
      </c>
      <c r="O803" s="779">
        <f t="shared" si="806"/>
        <v>186.55850863157548</v>
      </c>
      <c r="P803" s="779">
        <f t="shared" si="805"/>
        <v>708.09691184750091</v>
      </c>
      <c r="Q803" s="780">
        <f>SUBTOTAL(9,Q791:Q802)</f>
        <v>37601.889747083675</v>
      </c>
      <c r="R803" s="779">
        <f t="shared" si="805"/>
        <v>0</v>
      </c>
      <c r="S803" s="779">
        <f t="shared" si="805"/>
        <v>2829.650212582349</v>
      </c>
      <c r="T803" s="779">
        <f t="shared" ca="1" si="805"/>
        <v>1130.603372177384</v>
      </c>
      <c r="U803" s="779">
        <f t="shared" ca="1" si="805"/>
        <v>785.78714192215853</v>
      </c>
    </row>
    <row r="804" spans="2:21" s="119" customFormat="1" ht="19.5" hidden="1" thickBot="1" x14ac:dyDescent="0.3">
      <c r="B804" s="340"/>
      <c r="D804" s="117"/>
      <c r="E804" s="117"/>
      <c r="F804" s="118"/>
      <c r="G804" s="118"/>
      <c r="I804" s="118"/>
      <c r="J804" s="118"/>
      <c r="K804" s="118"/>
      <c r="L804" s="118"/>
      <c r="O804" s="118"/>
      <c r="Q804" s="120"/>
      <c r="R804" s="117"/>
      <c r="S804" s="118"/>
      <c r="U804" s="118"/>
    </row>
    <row r="805" spans="2:21" ht="75" x14ac:dyDescent="0.25">
      <c r="B805" s="790"/>
      <c r="C805" s="117">
        <f>IF($E805&gt;0,1,0)</f>
        <v>1</v>
      </c>
      <c r="D805" s="96" t="str">
        <f>A50</f>
        <v>Schenectady</v>
      </c>
      <c r="E805" s="166">
        <f>IFERROR(SUMIF(A:A,D805,B:B),0)</f>
        <v>4.4993927533405302E-3</v>
      </c>
      <c r="F805" s="98" t="s">
        <v>356</v>
      </c>
      <c r="G805" s="98" t="s">
        <v>373</v>
      </c>
      <c r="H805" s="98" t="s">
        <v>358</v>
      </c>
      <c r="I805" s="98" t="s">
        <v>109</v>
      </c>
      <c r="J805" s="98" t="s">
        <v>111</v>
      </c>
      <c r="K805" s="98" t="s">
        <v>469</v>
      </c>
      <c r="L805" s="98" t="s">
        <v>470</v>
      </c>
      <c r="M805" s="98" t="s">
        <v>357</v>
      </c>
      <c r="N805" s="509" t="s">
        <v>471</v>
      </c>
      <c r="O805" s="98" t="s">
        <v>472</v>
      </c>
      <c r="P805" s="98" t="s">
        <v>110</v>
      </c>
      <c r="Q805" s="99" t="s">
        <v>116</v>
      </c>
      <c r="R805" s="98" t="s">
        <v>112</v>
      </c>
      <c r="S805" s="98" t="s">
        <v>113</v>
      </c>
      <c r="T805" s="98" t="s">
        <v>114</v>
      </c>
      <c r="U805" s="98" t="s">
        <v>115</v>
      </c>
    </row>
    <row r="806" spans="2:21" ht="18.75" x14ac:dyDescent="0.25">
      <c r="B806" s="790"/>
      <c r="C806" s="117">
        <f>C805</f>
        <v>1</v>
      </c>
      <c r="D806" s="101"/>
      <c r="E806" s="102"/>
      <c r="F806" s="84" t="s">
        <v>57</v>
      </c>
      <c r="G806" s="84" t="s">
        <v>56</v>
      </c>
      <c r="H806" s="84" t="s">
        <v>55</v>
      </c>
      <c r="I806" s="84" t="s">
        <v>54</v>
      </c>
      <c r="J806" s="84" t="s">
        <v>53</v>
      </c>
      <c r="K806" s="84" t="s">
        <v>52</v>
      </c>
      <c r="L806" s="84" t="s">
        <v>51</v>
      </c>
      <c r="M806" s="84" t="s">
        <v>50</v>
      </c>
      <c r="N806" s="84" t="s">
        <v>49</v>
      </c>
      <c r="O806" s="84" t="s">
        <v>47</v>
      </c>
      <c r="P806" s="84" t="s">
        <v>77</v>
      </c>
      <c r="Q806" s="83" t="s">
        <v>78</v>
      </c>
      <c r="R806" s="84" t="s">
        <v>79</v>
      </c>
      <c r="S806" s="84" t="s">
        <v>81</v>
      </c>
      <c r="T806" s="84" t="s">
        <v>83</v>
      </c>
      <c r="U806" s="84" t="s">
        <v>85</v>
      </c>
    </row>
    <row r="807" spans="2:21" ht="18.75" x14ac:dyDescent="0.25">
      <c r="B807" s="790"/>
      <c r="C807" s="117">
        <f t="shared" ref="C807:C820" si="807">C806</f>
        <v>1</v>
      </c>
      <c r="D807" s="103" t="s">
        <v>26</v>
      </c>
      <c r="E807" s="104"/>
      <c r="F807" s="745"/>
      <c r="G807" s="745"/>
      <c r="H807" s="784"/>
      <c r="I807" s="745"/>
      <c r="J807" s="745"/>
      <c r="K807" s="745"/>
      <c r="L807" s="745"/>
      <c r="M807" s="784"/>
      <c r="N807" s="784"/>
      <c r="O807" s="745"/>
      <c r="P807" s="784"/>
      <c r="Q807" s="747"/>
      <c r="R807" s="748"/>
      <c r="S807" s="745"/>
      <c r="T807" s="784"/>
      <c r="U807" s="749"/>
    </row>
    <row r="808" spans="2:21" ht="18.75" x14ac:dyDescent="0.25">
      <c r="B808" s="790"/>
      <c r="C808" s="117">
        <f t="shared" si="807"/>
        <v>1</v>
      </c>
      <c r="D808" s="763" t="s">
        <v>93</v>
      </c>
      <c r="E808" s="84" t="s">
        <v>57</v>
      </c>
      <c r="F808" s="733">
        <f>$F$6*$E$805</f>
        <v>567974.4456315072</v>
      </c>
      <c r="G808" s="733">
        <f>$G$6*$E$805</f>
        <v>39338.396419711156</v>
      </c>
      <c r="H808" s="733">
        <f>$H$6*$E$805</f>
        <v>88.200966228748953</v>
      </c>
      <c r="I808" s="733">
        <f>$I$6*$E$805</f>
        <v>14131.248399663617</v>
      </c>
      <c r="J808" s="733">
        <f>$J$6*$E$805</f>
        <v>10309.690874383085</v>
      </c>
      <c r="K808" s="733">
        <f>K$6*$E$805</f>
        <v>554.65638751212668</v>
      </c>
      <c r="L808" s="733">
        <f t="shared" ref="L808:O808" si="808">L$6*$E$805</f>
        <v>0</v>
      </c>
      <c r="M808" s="733">
        <f t="shared" si="808"/>
        <v>402.89902397642845</v>
      </c>
      <c r="N808" s="733">
        <f t="shared" si="808"/>
        <v>0</v>
      </c>
      <c r="O808" s="733">
        <f t="shared" si="808"/>
        <v>2631.4953183541929</v>
      </c>
      <c r="P808" s="733">
        <f>$P$6*$E$805</f>
        <v>0</v>
      </c>
      <c r="Q808" s="734">
        <f t="shared" ref="Q808:Q819" si="809">SUM(F808:P808)</f>
        <v>635431.03302133654</v>
      </c>
      <c r="R808" s="733">
        <f>$R$6*$E$805</f>
        <v>0</v>
      </c>
      <c r="S808" s="733">
        <f>$S$6*$E$805</f>
        <v>48527.394834893945</v>
      </c>
      <c r="T808" s="733">
        <f ca="1">$T$6*$E$805</f>
        <v>20005.688259543527</v>
      </c>
      <c r="U808" s="733">
        <f ca="1">$U$6*$E$805</f>
        <v>14985.164764900734</v>
      </c>
    </row>
    <row r="809" spans="2:21" ht="18.75" x14ac:dyDescent="0.25">
      <c r="B809" s="790"/>
      <c r="C809" s="117">
        <f t="shared" si="807"/>
        <v>1</v>
      </c>
      <c r="D809" s="765" t="s">
        <v>92</v>
      </c>
      <c r="E809" s="84" t="s">
        <v>56</v>
      </c>
      <c r="F809" s="733">
        <f>$F$7*$E$805</f>
        <v>0</v>
      </c>
      <c r="G809" s="733">
        <f>$G$7*$E$805</f>
        <v>0</v>
      </c>
      <c r="H809" s="733">
        <f>$H$7*$E$805</f>
        <v>0</v>
      </c>
      <c r="I809" s="733">
        <f>$I$7*$E$805</f>
        <v>0</v>
      </c>
      <c r="J809" s="733">
        <f>$J$7*$E$805</f>
        <v>0</v>
      </c>
      <c r="K809" s="733">
        <f>K$7*$E$805</f>
        <v>0</v>
      </c>
      <c r="L809" s="733">
        <f t="shared" ref="L809:O809" si="810">L$7*$E$805</f>
        <v>0</v>
      </c>
      <c r="M809" s="733">
        <f t="shared" si="810"/>
        <v>0</v>
      </c>
      <c r="N809" s="733">
        <f t="shared" si="810"/>
        <v>0</v>
      </c>
      <c r="O809" s="733">
        <f t="shared" si="810"/>
        <v>0</v>
      </c>
      <c r="P809" s="733">
        <f>$P$7*$E$805</f>
        <v>0</v>
      </c>
      <c r="Q809" s="734">
        <f t="shared" si="809"/>
        <v>0</v>
      </c>
      <c r="R809" s="733">
        <f>$R$7*$E$805</f>
        <v>0</v>
      </c>
      <c r="S809" s="733">
        <f>$S$7*$E$805</f>
        <v>0</v>
      </c>
      <c r="T809" s="733">
        <f>$T$7*$E$805</f>
        <v>0</v>
      </c>
      <c r="U809" s="733">
        <f>$U$7*$E$805</f>
        <v>0</v>
      </c>
    </row>
    <row r="810" spans="2:21" ht="18.75" x14ac:dyDescent="0.25">
      <c r="B810" s="790"/>
      <c r="C810" s="117">
        <f t="shared" si="807"/>
        <v>1</v>
      </c>
      <c r="D810" s="765" t="s">
        <v>91</v>
      </c>
      <c r="E810" s="84" t="s">
        <v>55</v>
      </c>
      <c r="F810" s="733">
        <f>$F$8*$E$805</f>
        <v>5055.4727037258863</v>
      </c>
      <c r="G810" s="733">
        <f>$G$8*$E$805</f>
        <v>0</v>
      </c>
      <c r="H810" s="733">
        <f>$H$8*$E$805</f>
        <v>0</v>
      </c>
      <c r="I810" s="733">
        <f>$I$8*$E$805</f>
        <v>84.476098943968452</v>
      </c>
      <c r="J810" s="733">
        <f>$J$8*$E$805</f>
        <v>0</v>
      </c>
      <c r="K810" s="733">
        <f>K$8*$E$805</f>
        <v>0</v>
      </c>
      <c r="L810" s="733">
        <f t="shared" ref="L810:O810" si="811">L$8*$E$805</f>
        <v>0</v>
      </c>
      <c r="M810" s="733">
        <f t="shared" si="811"/>
        <v>0</v>
      </c>
      <c r="N810" s="733">
        <f t="shared" si="811"/>
        <v>0</v>
      </c>
      <c r="O810" s="733">
        <f t="shared" si="811"/>
        <v>151.71952364264268</v>
      </c>
      <c r="P810" s="733">
        <f>$P$8*$E$805</f>
        <v>0</v>
      </c>
      <c r="Q810" s="734">
        <f t="shared" si="809"/>
        <v>5291.6683263124969</v>
      </c>
      <c r="R810" s="733">
        <f>$R$8*$E$805</f>
        <v>0</v>
      </c>
      <c r="S810" s="733">
        <f>$S$8*$E$805</f>
        <v>152.76239289501194</v>
      </c>
      <c r="T810" s="733">
        <f ca="1">$T$8*$E$805</f>
        <v>62.51183982923915</v>
      </c>
      <c r="U810" s="733">
        <f ca="1">$U$8*$E$805</f>
        <v>6.2361395689448198</v>
      </c>
    </row>
    <row r="811" spans="2:21" ht="18.75" x14ac:dyDescent="0.25">
      <c r="B811" s="790"/>
      <c r="C811" s="117">
        <f t="shared" si="807"/>
        <v>1</v>
      </c>
      <c r="D811" s="766" t="s">
        <v>117</v>
      </c>
      <c r="E811" s="84" t="s">
        <v>54</v>
      </c>
      <c r="F811" s="733">
        <f>$F$9*$E$805</f>
        <v>0</v>
      </c>
      <c r="G811" s="733">
        <f>$G$9*$E$805</f>
        <v>0</v>
      </c>
      <c r="H811" s="733">
        <f>$H$9*$E$805</f>
        <v>0</v>
      </c>
      <c r="I811" s="733">
        <f>$I$9*$E$805</f>
        <v>0</v>
      </c>
      <c r="J811" s="733">
        <f>$J$9*$E$805</f>
        <v>0</v>
      </c>
      <c r="K811" s="733">
        <f>K$9*$E$805</f>
        <v>0</v>
      </c>
      <c r="L811" s="733">
        <f t="shared" ref="L811:O811" si="812">L$9*$E$805</f>
        <v>0</v>
      </c>
      <c r="M811" s="733">
        <f t="shared" si="812"/>
        <v>0</v>
      </c>
      <c r="N811" s="733">
        <f t="shared" si="812"/>
        <v>0</v>
      </c>
      <c r="O811" s="733">
        <f t="shared" si="812"/>
        <v>0</v>
      </c>
      <c r="P811" s="733">
        <f>$P$9*$E$805</f>
        <v>0</v>
      </c>
      <c r="Q811" s="734">
        <f t="shared" si="809"/>
        <v>0</v>
      </c>
      <c r="R811" s="733">
        <f>$R$9*$E$805</f>
        <v>0</v>
      </c>
      <c r="S811" s="733">
        <f>$S$9*$E$805</f>
        <v>0</v>
      </c>
      <c r="T811" s="733">
        <f>$T$9*$E$805</f>
        <v>0</v>
      </c>
      <c r="U811" s="733">
        <f>$U$9*$E$805</f>
        <v>0</v>
      </c>
    </row>
    <row r="812" spans="2:21" ht="18.75" x14ac:dyDescent="0.25">
      <c r="B812" s="790"/>
      <c r="C812" s="117">
        <f t="shared" si="807"/>
        <v>1</v>
      </c>
      <c r="D812" s="112" t="s">
        <v>31</v>
      </c>
      <c r="E812" s="84"/>
      <c r="F812" s="767"/>
      <c r="G812" s="768"/>
      <c r="H812" s="769"/>
      <c r="I812" s="768"/>
      <c r="J812" s="768"/>
      <c r="K812" s="768"/>
      <c r="L812" s="768"/>
      <c r="M812" s="768"/>
      <c r="N812" s="768"/>
      <c r="O812" s="768"/>
      <c r="P812" s="771"/>
      <c r="Q812" s="734">
        <f t="shared" si="809"/>
        <v>0</v>
      </c>
      <c r="R812" s="772"/>
      <c r="S812" s="768"/>
      <c r="T812" s="773"/>
      <c r="U812" s="774"/>
    </row>
    <row r="813" spans="2:21" ht="18.75" x14ac:dyDescent="0.25">
      <c r="B813" s="790"/>
      <c r="C813" s="117">
        <f t="shared" si="807"/>
        <v>1</v>
      </c>
      <c r="D813" s="775" t="s">
        <v>118</v>
      </c>
      <c r="E813" s="84" t="s">
        <v>53</v>
      </c>
      <c r="F813" s="733">
        <f>$F$11*$E$805</f>
        <v>0</v>
      </c>
      <c r="G813" s="733">
        <f>$G$11*$E$805</f>
        <v>0</v>
      </c>
      <c r="H813" s="733">
        <f>$H$11*$E$805</f>
        <v>0</v>
      </c>
      <c r="I813" s="733">
        <f>$I$11*$E$805</f>
        <v>0</v>
      </c>
      <c r="J813" s="733">
        <f>$J$11*$E$805</f>
        <v>0</v>
      </c>
      <c r="K813" s="733">
        <f>K$11*$E$805</f>
        <v>0</v>
      </c>
      <c r="L813" s="733">
        <f t="shared" ref="L813:O813" si="813">L$11*$E$805</f>
        <v>0</v>
      </c>
      <c r="M813" s="733">
        <f t="shared" si="813"/>
        <v>0</v>
      </c>
      <c r="N813" s="733">
        <f t="shared" si="813"/>
        <v>0</v>
      </c>
      <c r="O813" s="733">
        <f t="shared" si="813"/>
        <v>0</v>
      </c>
      <c r="P813" s="733">
        <f>$P$11*$E$805</f>
        <v>0</v>
      </c>
      <c r="Q813" s="734">
        <f t="shared" si="809"/>
        <v>0</v>
      </c>
      <c r="R813" s="733">
        <f>$R$11*$E$805</f>
        <v>0</v>
      </c>
      <c r="S813" s="733">
        <f>$S$11*$E$805</f>
        <v>0</v>
      </c>
      <c r="T813" s="733">
        <f>$T$11*$E$805</f>
        <v>0</v>
      </c>
      <c r="U813" s="733">
        <f>$U$11*$E$805</f>
        <v>0</v>
      </c>
    </row>
    <row r="814" spans="2:21" ht="18.75" x14ac:dyDescent="0.25">
      <c r="B814" s="790"/>
      <c r="C814" s="117">
        <f t="shared" si="807"/>
        <v>1</v>
      </c>
      <c r="D814" s="775" t="s">
        <v>119</v>
      </c>
      <c r="E814" s="84" t="s">
        <v>52</v>
      </c>
      <c r="F814" s="733">
        <f>$F$12*$E$805</f>
        <v>0</v>
      </c>
      <c r="G814" s="733">
        <f>$G$12*$E$805</f>
        <v>0</v>
      </c>
      <c r="H814" s="733">
        <f>$H$12*$E$805</f>
        <v>0</v>
      </c>
      <c r="I814" s="733">
        <f>$I$12*$E$805</f>
        <v>0</v>
      </c>
      <c r="J814" s="733">
        <f>$J$12*$E$805</f>
        <v>0</v>
      </c>
      <c r="K814" s="733">
        <f>K$12*$E$805</f>
        <v>0</v>
      </c>
      <c r="L814" s="733">
        <f t="shared" ref="L814:O814" si="814">L$12*$E$805</f>
        <v>0</v>
      </c>
      <c r="M814" s="733">
        <f t="shared" si="814"/>
        <v>0</v>
      </c>
      <c r="N814" s="733">
        <f t="shared" si="814"/>
        <v>0</v>
      </c>
      <c r="O814" s="733">
        <f t="shared" si="814"/>
        <v>0</v>
      </c>
      <c r="P814" s="733">
        <f>$P$12*$E$805</f>
        <v>0</v>
      </c>
      <c r="Q814" s="734">
        <f t="shared" si="809"/>
        <v>0</v>
      </c>
      <c r="R814" s="733">
        <f>$R$12*$E$805</f>
        <v>0</v>
      </c>
      <c r="S814" s="733">
        <f>$S$12*$E$805</f>
        <v>0</v>
      </c>
      <c r="T814" s="733">
        <f>$T$12*$E$805</f>
        <v>0</v>
      </c>
      <c r="U814" s="733">
        <f>$U$12*$E$805</f>
        <v>0</v>
      </c>
    </row>
    <row r="815" spans="2:21" ht="18.75" x14ac:dyDescent="0.25">
      <c r="B815" s="790"/>
      <c r="C815" s="117">
        <f t="shared" si="807"/>
        <v>1</v>
      </c>
      <c r="D815" s="775" t="s">
        <v>120</v>
      </c>
      <c r="E815" s="84" t="s">
        <v>51</v>
      </c>
      <c r="F815" s="733">
        <f>$F$13*$E$805</f>
        <v>0</v>
      </c>
      <c r="G815" s="733">
        <f>$G$13*$E$805</f>
        <v>0</v>
      </c>
      <c r="H815" s="733">
        <f>$H$13*$E$805</f>
        <v>0</v>
      </c>
      <c r="I815" s="733">
        <f>$I$13*$E$805</f>
        <v>0</v>
      </c>
      <c r="J815" s="733">
        <f>$J$13*$E$805</f>
        <v>0</v>
      </c>
      <c r="K815" s="733">
        <f>K$13*$E$805</f>
        <v>0</v>
      </c>
      <c r="L815" s="733">
        <f t="shared" ref="L815:O815" si="815">L$13*$E$805</f>
        <v>0</v>
      </c>
      <c r="M815" s="733">
        <f t="shared" si="815"/>
        <v>0</v>
      </c>
      <c r="N815" s="733">
        <f t="shared" si="815"/>
        <v>0</v>
      </c>
      <c r="O815" s="733">
        <f t="shared" si="815"/>
        <v>0</v>
      </c>
      <c r="P815" s="733">
        <f>$P$13*$E$805</f>
        <v>0</v>
      </c>
      <c r="Q815" s="734">
        <f t="shared" si="809"/>
        <v>0</v>
      </c>
      <c r="R815" s="733">
        <f>$R$13*$E$805</f>
        <v>0</v>
      </c>
      <c r="S815" s="733">
        <f>$S$13*$E$805</f>
        <v>0</v>
      </c>
      <c r="T815" s="733">
        <f>$T$13*$E$805</f>
        <v>0</v>
      </c>
      <c r="U815" s="733">
        <f>$U$13*$E$805</f>
        <v>0</v>
      </c>
    </row>
    <row r="816" spans="2:21" ht="18.75" x14ac:dyDescent="0.25">
      <c r="B816" s="790"/>
      <c r="C816" s="117">
        <f t="shared" si="807"/>
        <v>1</v>
      </c>
      <c r="D816" s="775" t="s">
        <v>121</v>
      </c>
      <c r="E816" s="84" t="s">
        <v>50</v>
      </c>
      <c r="F816" s="733">
        <f>$F$14*$E$805</f>
        <v>0</v>
      </c>
      <c r="G816" s="733">
        <f>$G$14*$E$805</f>
        <v>0</v>
      </c>
      <c r="H816" s="733">
        <f>$H$14*$E$805</f>
        <v>0</v>
      </c>
      <c r="I816" s="733">
        <f>$I$14*$E$805</f>
        <v>0</v>
      </c>
      <c r="J816" s="733">
        <f>$J$14*$E$805</f>
        <v>0</v>
      </c>
      <c r="K816" s="733">
        <f>K$14*$E$805</f>
        <v>0</v>
      </c>
      <c r="L816" s="733">
        <f t="shared" ref="L816:O816" si="816">L$14*$E$805</f>
        <v>0</v>
      </c>
      <c r="M816" s="733">
        <f t="shared" si="816"/>
        <v>0</v>
      </c>
      <c r="N816" s="733">
        <f t="shared" si="816"/>
        <v>0</v>
      </c>
      <c r="O816" s="733">
        <f t="shared" si="816"/>
        <v>0</v>
      </c>
      <c r="P816" s="733">
        <f>$P$14*$E$805</f>
        <v>0</v>
      </c>
      <c r="Q816" s="734">
        <f t="shared" si="809"/>
        <v>0</v>
      </c>
      <c r="R816" s="733">
        <f>$R$14*$E$805</f>
        <v>0</v>
      </c>
      <c r="S816" s="733">
        <f>$S$14*$E$805</f>
        <v>0</v>
      </c>
      <c r="T816" s="733">
        <f>$T$14*$E$805</f>
        <v>0</v>
      </c>
      <c r="U816" s="733">
        <f>$U$14*$E$805</f>
        <v>0</v>
      </c>
    </row>
    <row r="817" spans="2:21" ht="18.75" x14ac:dyDescent="0.25">
      <c r="B817" s="790"/>
      <c r="C817" s="117">
        <f t="shared" si="807"/>
        <v>1</v>
      </c>
      <c r="D817" s="775" t="s">
        <v>122</v>
      </c>
      <c r="E817" s="84" t="s">
        <v>49</v>
      </c>
      <c r="F817" s="733">
        <f>$F$15*$E$805</f>
        <v>0</v>
      </c>
      <c r="G817" s="733">
        <f>$G$15*$E$805</f>
        <v>0</v>
      </c>
      <c r="H817" s="733">
        <f>$H$15*$E$805</f>
        <v>0</v>
      </c>
      <c r="I817" s="733">
        <f>$I$15*$E$805</f>
        <v>0</v>
      </c>
      <c r="J817" s="733">
        <f>$J$15*$E$805</f>
        <v>0</v>
      </c>
      <c r="K817" s="733">
        <f>K$15*$E$805</f>
        <v>0</v>
      </c>
      <c r="L817" s="733">
        <f t="shared" ref="L817:O817" si="817">L$15*$E$805</f>
        <v>0</v>
      </c>
      <c r="M817" s="733">
        <f t="shared" si="817"/>
        <v>0</v>
      </c>
      <c r="N817" s="733">
        <f t="shared" si="817"/>
        <v>0</v>
      </c>
      <c r="O817" s="733">
        <f t="shared" si="817"/>
        <v>0</v>
      </c>
      <c r="P817" s="733">
        <f>$P$15*$E$805</f>
        <v>0</v>
      </c>
      <c r="Q817" s="734">
        <f t="shared" si="809"/>
        <v>0</v>
      </c>
      <c r="R817" s="733">
        <f>$R$15*$E$805</f>
        <v>0</v>
      </c>
      <c r="S817" s="733">
        <f>$S$15*$E$805</f>
        <v>0</v>
      </c>
      <c r="T817" s="733">
        <f>$T$15*$E$805</f>
        <v>0</v>
      </c>
      <c r="U817" s="733">
        <f>$U$15*$E$805</f>
        <v>0</v>
      </c>
    </row>
    <row r="818" spans="2:21" ht="18.75" x14ac:dyDescent="0.25">
      <c r="B818" s="790"/>
      <c r="C818" s="117">
        <f t="shared" si="807"/>
        <v>1</v>
      </c>
      <c r="D818" s="775" t="s">
        <v>123</v>
      </c>
      <c r="E818" s="84" t="s">
        <v>47</v>
      </c>
      <c r="F818" s="733">
        <f>$F$16*$E$805</f>
        <v>0</v>
      </c>
      <c r="G818" s="733">
        <f>$G$16*$E$805</f>
        <v>0</v>
      </c>
      <c r="H818" s="733">
        <f>$H$16*$E$805</f>
        <v>0</v>
      </c>
      <c r="I818" s="733">
        <f>$I$16*$E$805</f>
        <v>0</v>
      </c>
      <c r="J818" s="733">
        <f>$J$16*$E$805</f>
        <v>0</v>
      </c>
      <c r="K818" s="733">
        <f>K$16*$E$805</f>
        <v>0</v>
      </c>
      <c r="L818" s="733">
        <f t="shared" ref="L818:O818" si="818">L$16*$E$805</f>
        <v>0</v>
      </c>
      <c r="M818" s="733">
        <f t="shared" si="818"/>
        <v>0</v>
      </c>
      <c r="N818" s="733">
        <f t="shared" si="818"/>
        <v>0</v>
      </c>
      <c r="O818" s="733">
        <f t="shared" si="818"/>
        <v>0</v>
      </c>
      <c r="P818" s="733">
        <f>$P$16*$E$805</f>
        <v>0</v>
      </c>
      <c r="Q818" s="734">
        <f t="shared" si="809"/>
        <v>0</v>
      </c>
      <c r="R818" s="733">
        <f>$R$16*$E$805</f>
        <v>0</v>
      </c>
      <c r="S818" s="733">
        <f>$S$16*$E$805</f>
        <v>0</v>
      </c>
      <c r="T818" s="733">
        <f>$T$16*$E$805</f>
        <v>0</v>
      </c>
      <c r="U818" s="733">
        <f>$U$16*$E$805</f>
        <v>0</v>
      </c>
    </row>
    <row r="819" spans="2:21" ht="19.5" thickBot="1" x14ac:dyDescent="0.3">
      <c r="B819" s="790"/>
      <c r="C819" s="117">
        <f t="shared" si="807"/>
        <v>1</v>
      </c>
      <c r="D819" s="776" t="s">
        <v>16</v>
      </c>
      <c r="E819" s="777" t="s">
        <v>77</v>
      </c>
      <c r="F819" s="733">
        <f>$F$17*$E$805</f>
        <v>62799.296652236379</v>
      </c>
      <c r="G819" s="733">
        <f>$G$17*$E$805</f>
        <v>1247.4980620127578</v>
      </c>
      <c r="H819" s="733">
        <f>$H$17*$E$805</f>
        <v>0</v>
      </c>
      <c r="I819" s="733">
        <f>$I$17*$E$805</f>
        <v>0</v>
      </c>
      <c r="J819" s="733">
        <f>$J$17*$E$805</f>
        <v>2663.3331343059517</v>
      </c>
      <c r="K819" s="733">
        <f>K$17*$E$805</f>
        <v>10.965058281093478</v>
      </c>
      <c r="L819" s="733">
        <f t="shared" ref="L819:O819" si="819">L$17*$E$805</f>
        <v>1.5430983694707634</v>
      </c>
      <c r="M819" s="733">
        <f t="shared" si="819"/>
        <v>0</v>
      </c>
      <c r="N819" s="733">
        <f t="shared" si="819"/>
        <v>0</v>
      </c>
      <c r="O819" s="733">
        <f t="shared" si="819"/>
        <v>798.11502598252025</v>
      </c>
      <c r="P819" s="733">
        <f>$P$17*$E$805</f>
        <v>13593.208041941802</v>
      </c>
      <c r="Q819" s="734">
        <f t="shared" si="809"/>
        <v>81113.959073129969</v>
      </c>
      <c r="R819" s="733">
        <f>$R$17*$E$805</f>
        <v>0</v>
      </c>
      <c r="S819" s="733">
        <f>$S$17*$E$805</f>
        <v>5640.1249002603508</v>
      </c>
      <c r="T819" s="733">
        <f ca="1">$T$17*$E$805</f>
        <v>1635.7878629952629</v>
      </c>
      <c r="U819" s="733">
        <f ca="1">$U$17*$E$805</f>
        <v>93.212399325013081</v>
      </c>
    </row>
    <row r="820" spans="2:21" ht="19.5" thickBot="1" x14ac:dyDescent="0.3">
      <c r="B820" s="790"/>
      <c r="C820" s="117">
        <f t="shared" si="807"/>
        <v>1</v>
      </c>
      <c r="D820" s="115" t="s">
        <v>124</v>
      </c>
      <c r="E820" s="778" t="s">
        <v>78</v>
      </c>
      <c r="F820" s="779">
        <f t="shared" ref="F820:U820" si="820">SUBTOTAL(9,F808:F819)</f>
        <v>635829.21498746949</v>
      </c>
      <c r="G820" s="779">
        <f>SUBTOTAL(9,G808:G819)</f>
        <v>40585.894481723917</v>
      </c>
      <c r="H820" s="779">
        <f>SUBTOTAL(9,H808:H819)</f>
        <v>88.200966228748953</v>
      </c>
      <c r="I820" s="779">
        <f>SUBTOTAL(9,I808:I819)</f>
        <v>14215.724498607586</v>
      </c>
      <c r="J820" s="779">
        <f>SUBTOTAL(9,J808:J819)</f>
        <v>12973.024008689037</v>
      </c>
      <c r="K820" s="779">
        <f>SUBTOTAL(9,K808:K819)</f>
        <v>565.62144579322012</v>
      </c>
      <c r="L820" s="779">
        <f t="shared" ref="L820:O820" si="821">SUBTOTAL(9,L808:L819)</f>
        <v>1.5430983694707634</v>
      </c>
      <c r="M820" s="779">
        <f t="shared" si="821"/>
        <v>402.89902397642845</v>
      </c>
      <c r="N820" s="779">
        <f t="shared" si="821"/>
        <v>0</v>
      </c>
      <c r="O820" s="779">
        <f t="shared" si="821"/>
        <v>3581.3298679793561</v>
      </c>
      <c r="P820" s="779">
        <f t="shared" si="820"/>
        <v>13593.208041941802</v>
      </c>
      <c r="Q820" s="780">
        <f>SUBTOTAL(9,Q808:Q819)</f>
        <v>721836.66042077891</v>
      </c>
      <c r="R820" s="779">
        <f t="shared" si="820"/>
        <v>0</v>
      </c>
      <c r="S820" s="779">
        <f t="shared" si="820"/>
        <v>54320.282128049308</v>
      </c>
      <c r="T820" s="779">
        <f t="shared" ca="1" si="820"/>
        <v>21703.987962368032</v>
      </c>
      <c r="U820" s="779">
        <f t="shared" ca="1" si="820"/>
        <v>15084.613303794691</v>
      </c>
    </row>
    <row r="821" spans="2:21" s="119" customFormat="1" ht="19.5" hidden="1" thickBot="1" x14ac:dyDescent="0.3">
      <c r="B821" s="340"/>
      <c r="D821" s="117"/>
      <c r="E821" s="117"/>
      <c r="F821" s="118"/>
      <c r="G821" s="118"/>
      <c r="I821" s="118"/>
      <c r="J821" s="118"/>
      <c r="K821" s="118"/>
      <c r="L821" s="118"/>
      <c r="O821" s="118"/>
      <c r="Q821" s="120"/>
      <c r="R821" s="117"/>
      <c r="S821" s="118"/>
      <c r="U821" s="118"/>
    </row>
    <row r="822" spans="2:21" s="119" customFormat="1" ht="75.75" hidden="1" thickBot="1" x14ac:dyDescent="0.3">
      <c r="B822" s="301"/>
      <c r="C822" s="119">
        <f>IF($E822&gt;0,1,0)</f>
        <v>0</v>
      </c>
      <c r="D822" s="96" t="str">
        <f>A51</f>
        <v>Schoharie</v>
      </c>
      <c r="E822" s="166">
        <f>IFERROR(SUMIF(A:A,D822,B:B),0)</f>
        <v>0</v>
      </c>
      <c r="F822" s="98" t="s">
        <v>356</v>
      </c>
      <c r="G822" s="98" t="s">
        <v>373</v>
      </c>
      <c r="H822" s="98" t="s">
        <v>358</v>
      </c>
      <c r="I822" s="98" t="s">
        <v>109</v>
      </c>
      <c r="J822" s="98" t="s">
        <v>111</v>
      </c>
      <c r="K822" s="98" t="s">
        <v>469</v>
      </c>
      <c r="L822" s="98" t="s">
        <v>470</v>
      </c>
      <c r="M822" s="98" t="s">
        <v>357</v>
      </c>
      <c r="N822" s="509" t="s">
        <v>471</v>
      </c>
      <c r="O822" s="98" t="s">
        <v>472</v>
      </c>
      <c r="P822" s="98" t="s">
        <v>110</v>
      </c>
      <c r="Q822" s="99" t="s">
        <v>116</v>
      </c>
      <c r="R822" s="98" t="s">
        <v>112</v>
      </c>
      <c r="S822" s="98" t="s">
        <v>113</v>
      </c>
      <c r="T822" s="98" t="s">
        <v>114</v>
      </c>
      <c r="U822" s="98" t="s">
        <v>115</v>
      </c>
    </row>
    <row r="823" spans="2:21" s="119" customFormat="1" ht="19.5" hidden="1" thickBot="1" x14ac:dyDescent="0.3">
      <c r="B823" s="301"/>
      <c r="C823" s="119">
        <f>C822</f>
        <v>0</v>
      </c>
      <c r="D823" s="101"/>
      <c r="E823" s="102"/>
      <c r="F823" s="84" t="s">
        <v>57</v>
      </c>
      <c r="G823" s="84" t="s">
        <v>56</v>
      </c>
      <c r="H823" s="84" t="s">
        <v>55</v>
      </c>
      <c r="I823" s="84" t="s">
        <v>54</v>
      </c>
      <c r="J823" s="84" t="s">
        <v>53</v>
      </c>
      <c r="K823" s="84" t="s">
        <v>52</v>
      </c>
      <c r="L823" s="84" t="s">
        <v>51</v>
      </c>
      <c r="M823" s="84" t="s">
        <v>50</v>
      </c>
      <c r="N823" s="84" t="s">
        <v>49</v>
      </c>
      <c r="O823" s="84" t="s">
        <v>47</v>
      </c>
      <c r="P823" s="84" t="s">
        <v>77</v>
      </c>
      <c r="Q823" s="83" t="s">
        <v>78</v>
      </c>
      <c r="R823" s="84" t="s">
        <v>79</v>
      </c>
      <c r="S823" s="84" t="s">
        <v>81</v>
      </c>
      <c r="T823" s="84" t="s">
        <v>83</v>
      </c>
      <c r="U823" s="84" t="s">
        <v>85</v>
      </c>
    </row>
    <row r="824" spans="2:21" s="119" customFormat="1" ht="19.5" hidden="1" thickBot="1" x14ac:dyDescent="0.35">
      <c r="B824" s="301"/>
      <c r="C824" s="119">
        <f t="shared" ref="C824:C837" si="822">C823</f>
        <v>0</v>
      </c>
      <c r="D824" s="103" t="s">
        <v>26</v>
      </c>
      <c r="E824" s="104"/>
      <c r="F824" s="745"/>
      <c r="G824" s="745"/>
      <c r="H824" s="746"/>
      <c r="I824" s="745"/>
      <c r="J824" s="745"/>
      <c r="K824" s="745"/>
      <c r="L824" s="745"/>
      <c r="M824" s="746"/>
      <c r="N824" s="746"/>
      <c r="O824" s="745"/>
      <c r="P824" s="746"/>
      <c r="Q824" s="747"/>
      <c r="R824" s="748"/>
      <c r="S824" s="745"/>
      <c r="T824" s="746"/>
      <c r="U824" s="749"/>
    </row>
    <row r="825" spans="2:21" s="119" customFormat="1" ht="19.5" hidden="1" thickBot="1" x14ac:dyDescent="0.3">
      <c r="B825" s="301"/>
      <c r="C825" s="119">
        <f t="shared" si="822"/>
        <v>0</v>
      </c>
      <c r="D825" s="109" t="s">
        <v>93</v>
      </c>
      <c r="E825" s="76" t="s">
        <v>57</v>
      </c>
      <c r="F825" s="733">
        <f>$F$6*$E$822</f>
        <v>0</v>
      </c>
      <c r="G825" s="733">
        <f>$G$6*$E$822</f>
        <v>0</v>
      </c>
      <c r="H825" s="733">
        <f>$H$6*$E$822</f>
        <v>0</v>
      </c>
      <c r="I825" s="733">
        <f>$I$6*$E$822</f>
        <v>0</v>
      </c>
      <c r="J825" s="733">
        <f>$J$6*$E$822</f>
        <v>0</v>
      </c>
      <c r="K825" s="733">
        <f>K$6*$E$822</f>
        <v>0</v>
      </c>
      <c r="L825" s="733">
        <f t="shared" ref="L825:O825" si="823">L$6*$E$822</f>
        <v>0</v>
      </c>
      <c r="M825" s="733">
        <f t="shared" si="823"/>
        <v>0</v>
      </c>
      <c r="N825" s="733">
        <f t="shared" si="823"/>
        <v>0</v>
      </c>
      <c r="O825" s="733">
        <f t="shared" si="823"/>
        <v>0</v>
      </c>
      <c r="P825" s="733">
        <f>$P$6*$E$822</f>
        <v>0</v>
      </c>
      <c r="Q825" s="734">
        <f t="shared" ref="Q825:Q836" si="824">SUM(F825:P825)</f>
        <v>0</v>
      </c>
      <c r="R825" s="733">
        <f>$R$6*$E$822</f>
        <v>0</v>
      </c>
      <c r="S825" s="733">
        <f>$S$6*$E$822</f>
        <v>0</v>
      </c>
      <c r="T825" s="733">
        <f ca="1">$T$6*$E$822</f>
        <v>0</v>
      </c>
      <c r="U825" s="733">
        <f ca="1">$U$6*$E$822</f>
        <v>0</v>
      </c>
    </row>
    <row r="826" spans="2:21" s="119" customFormat="1" ht="19.5" hidden="1" thickBot="1" x14ac:dyDescent="0.3">
      <c r="B826" s="301"/>
      <c r="C826" s="119">
        <f t="shared" si="822"/>
        <v>0</v>
      </c>
      <c r="D826" s="110" t="s">
        <v>92</v>
      </c>
      <c r="E826" s="76" t="s">
        <v>56</v>
      </c>
      <c r="F826" s="733">
        <f>$F$7*$E$822</f>
        <v>0</v>
      </c>
      <c r="G826" s="733">
        <f>$G$7*$E$822</f>
        <v>0</v>
      </c>
      <c r="H826" s="733">
        <f>$H$7*$E$822</f>
        <v>0</v>
      </c>
      <c r="I826" s="733">
        <f>$I$7*$E$822</f>
        <v>0</v>
      </c>
      <c r="J826" s="733">
        <f>$J$7*$E$822</f>
        <v>0</v>
      </c>
      <c r="K826" s="733">
        <f>K$7*$E$822</f>
        <v>0</v>
      </c>
      <c r="L826" s="733">
        <f t="shared" ref="L826:O826" si="825">L$7*$E$822</f>
        <v>0</v>
      </c>
      <c r="M826" s="733">
        <f t="shared" si="825"/>
        <v>0</v>
      </c>
      <c r="N826" s="733">
        <f t="shared" si="825"/>
        <v>0</v>
      </c>
      <c r="O826" s="733">
        <f t="shared" si="825"/>
        <v>0</v>
      </c>
      <c r="P826" s="733">
        <f>$P$7*$E$822</f>
        <v>0</v>
      </c>
      <c r="Q826" s="734">
        <f t="shared" si="824"/>
        <v>0</v>
      </c>
      <c r="R826" s="733">
        <f>$R$7*$E$822</f>
        <v>0</v>
      </c>
      <c r="S826" s="733">
        <f>$S$7*$E$822</f>
        <v>0</v>
      </c>
      <c r="T826" s="733">
        <f>$T$7*$E$822</f>
        <v>0</v>
      </c>
      <c r="U826" s="733">
        <f>$U$7*$E$822</f>
        <v>0</v>
      </c>
    </row>
    <row r="827" spans="2:21" s="119" customFormat="1" ht="19.5" hidden="1" thickBot="1" x14ac:dyDescent="0.3">
      <c r="B827" s="301"/>
      <c r="C827" s="119">
        <f t="shared" si="822"/>
        <v>0</v>
      </c>
      <c r="D827" s="110" t="s">
        <v>91</v>
      </c>
      <c r="E827" s="76" t="s">
        <v>55</v>
      </c>
      <c r="F827" s="733">
        <f>$F$8*$E$822</f>
        <v>0</v>
      </c>
      <c r="G827" s="733">
        <f>$G$8*$E$822</f>
        <v>0</v>
      </c>
      <c r="H827" s="733">
        <f>$H$8*$E$822</f>
        <v>0</v>
      </c>
      <c r="I827" s="733">
        <f>$I$8*$E$822</f>
        <v>0</v>
      </c>
      <c r="J827" s="733">
        <f>$J$8*$E$822</f>
        <v>0</v>
      </c>
      <c r="K827" s="733">
        <f>K$8*$E$822</f>
        <v>0</v>
      </c>
      <c r="L827" s="733">
        <f t="shared" ref="L827:O827" si="826">L$8*$E$822</f>
        <v>0</v>
      </c>
      <c r="M827" s="733">
        <f t="shared" si="826"/>
        <v>0</v>
      </c>
      <c r="N827" s="733">
        <f t="shared" si="826"/>
        <v>0</v>
      </c>
      <c r="O827" s="733">
        <f t="shared" si="826"/>
        <v>0</v>
      </c>
      <c r="P827" s="733">
        <f>$P$8*$E$822</f>
        <v>0</v>
      </c>
      <c r="Q827" s="734">
        <f t="shared" si="824"/>
        <v>0</v>
      </c>
      <c r="R827" s="733">
        <f>$R$8*$E$822</f>
        <v>0</v>
      </c>
      <c r="S827" s="733">
        <f>$S$8*$E$822</f>
        <v>0</v>
      </c>
      <c r="T827" s="733">
        <f ca="1">$T$8*$E$822</f>
        <v>0</v>
      </c>
      <c r="U827" s="733">
        <f ca="1">$U$8*$E$822</f>
        <v>0</v>
      </c>
    </row>
    <row r="828" spans="2:21" s="119" customFormat="1" ht="19.5" hidden="1" thickBot="1" x14ac:dyDescent="0.3">
      <c r="B828" s="301"/>
      <c r="C828" s="119">
        <f t="shared" si="822"/>
        <v>0</v>
      </c>
      <c r="D828" s="111" t="s">
        <v>117</v>
      </c>
      <c r="E828" s="76" t="s">
        <v>54</v>
      </c>
      <c r="F828" s="733">
        <f>$F$9*$E$822</f>
        <v>0</v>
      </c>
      <c r="G828" s="733">
        <f>$G$9*$E$822</f>
        <v>0</v>
      </c>
      <c r="H828" s="733">
        <f>$H$9*$E$822</f>
        <v>0</v>
      </c>
      <c r="I828" s="733">
        <f>$I$9*$E$822</f>
        <v>0</v>
      </c>
      <c r="J828" s="733">
        <f>$J$9*$E$822</f>
        <v>0</v>
      </c>
      <c r="K828" s="733">
        <f>K$9*$E$822</f>
        <v>0</v>
      </c>
      <c r="L828" s="733">
        <f t="shared" ref="L828:O828" si="827">L$9*$E$822</f>
        <v>0</v>
      </c>
      <c r="M828" s="733">
        <f t="shared" si="827"/>
        <v>0</v>
      </c>
      <c r="N828" s="733">
        <f t="shared" si="827"/>
        <v>0</v>
      </c>
      <c r="O828" s="733">
        <f t="shared" si="827"/>
        <v>0</v>
      </c>
      <c r="P828" s="733">
        <f>$P$9*$E$822</f>
        <v>0</v>
      </c>
      <c r="Q828" s="734">
        <f t="shared" si="824"/>
        <v>0</v>
      </c>
      <c r="R828" s="733">
        <f>$R$9*$E$822</f>
        <v>0</v>
      </c>
      <c r="S828" s="733">
        <f>$S$9*$E$822</f>
        <v>0</v>
      </c>
      <c r="T828" s="733">
        <f>$T$9*$E$822</f>
        <v>0</v>
      </c>
      <c r="U828" s="733">
        <f>$U$9*$E$822</f>
        <v>0</v>
      </c>
    </row>
    <row r="829" spans="2:21" s="119" customFormat="1" ht="19.5" hidden="1" thickBot="1" x14ac:dyDescent="0.35">
      <c r="B829" s="301"/>
      <c r="C829" s="119">
        <f t="shared" si="822"/>
        <v>0</v>
      </c>
      <c r="D829" s="112" t="s">
        <v>31</v>
      </c>
      <c r="E829" s="76"/>
      <c r="F829" s="750"/>
      <c r="G829" s="735"/>
      <c r="H829" s="736"/>
      <c r="I829" s="735"/>
      <c r="J829" s="735"/>
      <c r="K829" s="735"/>
      <c r="L829" s="735"/>
      <c r="M829" s="735"/>
      <c r="N829" s="735"/>
      <c r="O829" s="735"/>
      <c r="P829" s="738"/>
      <c r="Q829" s="734">
        <f t="shared" si="824"/>
        <v>0</v>
      </c>
      <c r="R829" s="739"/>
      <c r="S829" s="735"/>
      <c r="T829" s="740"/>
      <c r="U829" s="741"/>
    </row>
    <row r="830" spans="2:21" s="119" customFormat="1" ht="19.5" hidden="1" thickBot="1" x14ac:dyDescent="0.35">
      <c r="B830" s="301"/>
      <c r="C830" s="119">
        <f t="shared" si="822"/>
        <v>0</v>
      </c>
      <c r="D830" s="113" t="s">
        <v>118</v>
      </c>
      <c r="E830" s="76" t="s">
        <v>53</v>
      </c>
      <c r="F830" s="733">
        <f>$F$11*$E$822</f>
        <v>0</v>
      </c>
      <c r="G830" s="733">
        <f>$G$11*$E$822</f>
        <v>0</v>
      </c>
      <c r="H830" s="733">
        <f>$H$11*$E$822</f>
        <v>0</v>
      </c>
      <c r="I830" s="733">
        <f>$I$11*$E$822</f>
        <v>0</v>
      </c>
      <c r="J830" s="733">
        <f>$J$11*$E$822</f>
        <v>0</v>
      </c>
      <c r="K830" s="733">
        <f>K$11*$E$822</f>
        <v>0</v>
      </c>
      <c r="L830" s="733">
        <f t="shared" ref="L830:O830" si="828">L$11*$E$822</f>
        <v>0</v>
      </c>
      <c r="M830" s="733">
        <f t="shared" si="828"/>
        <v>0</v>
      </c>
      <c r="N830" s="733">
        <f t="shared" si="828"/>
        <v>0</v>
      </c>
      <c r="O830" s="733">
        <f t="shared" si="828"/>
        <v>0</v>
      </c>
      <c r="P830" s="733">
        <f>$P$11*$E$822</f>
        <v>0</v>
      </c>
      <c r="Q830" s="734">
        <f t="shared" si="824"/>
        <v>0</v>
      </c>
      <c r="R830" s="733">
        <f>$R$11*$E$822</f>
        <v>0</v>
      </c>
      <c r="S830" s="733">
        <f>$S$11*$E$822</f>
        <v>0</v>
      </c>
      <c r="T830" s="733">
        <f>$T$11*$E$822</f>
        <v>0</v>
      </c>
      <c r="U830" s="733">
        <f>$U$11*$E$822</f>
        <v>0</v>
      </c>
    </row>
    <row r="831" spans="2:21" s="119" customFormat="1" ht="19.5" hidden="1" thickBot="1" x14ac:dyDescent="0.35">
      <c r="B831" s="301"/>
      <c r="C831" s="119">
        <f t="shared" si="822"/>
        <v>0</v>
      </c>
      <c r="D831" s="113" t="s">
        <v>119</v>
      </c>
      <c r="E831" s="76" t="s">
        <v>52</v>
      </c>
      <c r="F831" s="733">
        <f>$F$12*$E$822</f>
        <v>0</v>
      </c>
      <c r="G831" s="733">
        <f>$G$12*$E$822</f>
        <v>0</v>
      </c>
      <c r="H831" s="733">
        <f>$H$12*$E$822</f>
        <v>0</v>
      </c>
      <c r="I831" s="733">
        <f>$I$12*$E$822</f>
        <v>0</v>
      </c>
      <c r="J831" s="733">
        <f>$J$12*$E$822</f>
        <v>0</v>
      </c>
      <c r="K831" s="733">
        <f>K$12*$E$822</f>
        <v>0</v>
      </c>
      <c r="L831" s="733">
        <f t="shared" ref="L831:O831" si="829">L$12*$E$822</f>
        <v>0</v>
      </c>
      <c r="M831" s="733">
        <f t="shared" si="829"/>
        <v>0</v>
      </c>
      <c r="N831" s="733">
        <f t="shared" si="829"/>
        <v>0</v>
      </c>
      <c r="O831" s="733">
        <f t="shared" si="829"/>
        <v>0</v>
      </c>
      <c r="P831" s="733">
        <f>$P$12*$E$822</f>
        <v>0</v>
      </c>
      <c r="Q831" s="734">
        <f t="shared" si="824"/>
        <v>0</v>
      </c>
      <c r="R831" s="733">
        <f>$R$12*$E$822</f>
        <v>0</v>
      </c>
      <c r="S831" s="733">
        <f>$S$12*$E$822</f>
        <v>0</v>
      </c>
      <c r="T831" s="733">
        <f>$T$12*$E$822</f>
        <v>0</v>
      </c>
      <c r="U831" s="733">
        <f>$U$12*$E$822</f>
        <v>0</v>
      </c>
    </row>
    <row r="832" spans="2:21" s="119" customFormat="1" ht="19.5" hidden="1" thickBot="1" x14ac:dyDescent="0.35">
      <c r="B832" s="301"/>
      <c r="C832" s="119">
        <f t="shared" si="822"/>
        <v>0</v>
      </c>
      <c r="D832" s="113" t="s">
        <v>120</v>
      </c>
      <c r="E832" s="76" t="s">
        <v>51</v>
      </c>
      <c r="F832" s="733">
        <f>$F$13*$E$822</f>
        <v>0</v>
      </c>
      <c r="G832" s="733">
        <f>$G$13*$E$822</f>
        <v>0</v>
      </c>
      <c r="H832" s="733">
        <f>$H$13*$E$822</f>
        <v>0</v>
      </c>
      <c r="I832" s="733">
        <f>$I$13*$E$822</f>
        <v>0</v>
      </c>
      <c r="J832" s="733">
        <f>$J$13*$E$822</f>
        <v>0</v>
      </c>
      <c r="K832" s="733">
        <f>K$13*$E$822</f>
        <v>0</v>
      </c>
      <c r="L832" s="733">
        <f t="shared" ref="L832:O832" si="830">L$13*$E$822</f>
        <v>0</v>
      </c>
      <c r="M832" s="733">
        <f t="shared" si="830"/>
        <v>0</v>
      </c>
      <c r="N832" s="733">
        <f t="shared" si="830"/>
        <v>0</v>
      </c>
      <c r="O832" s="733">
        <f t="shared" si="830"/>
        <v>0</v>
      </c>
      <c r="P832" s="733">
        <f>$P$13*$E$822</f>
        <v>0</v>
      </c>
      <c r="Q832" s="734">
        <f t="shared" si="824"/>
        <v>0</v>
      </c>
      <c r="R832" s="733">
        <f>$R$13*$E$822</f>
        <v>0</v>
      </c>
      <c r="S832" s="733">
        <f>$S$13*$E$822</f>
        <v>0</v>
      </c>
      <c r="T832" s="733">
        <f>$T$13*$E$822</f>
        <v>0</v>
      </c>
      <c r="U832" s="733">
        <f>$U$13*$E$822</f>
        <v>0</v>
      </c>
    </row>
    <row r="833" spans="2:21" s="119" customFormat="1" ht="19.5" hidden="1" thickBot="1" x14ac:dyDescent="0.35">
      <c r="B833" s="301"/>
      <c r="C833" s="119">
        <f t="shared" si="822"/>
        <v>0</v>
      </c>
      <c r="D833" s="113" t="s">
        <v>121</v>
      </c>
      <c r="E833" s="76" t="s">
        <v>50</v>
      </c>
      <c r="F833" s="733">
        <f>$F$14*$E$822</f>
        <v>0</v>
      </c>
      <c r="G833" s="733">
        <f>$G$14*$E$822</f>
        <v>0</v>
      </c>
      <c r="H833" s="733">
        <f>$H$14*$E$822</f>
        <v>0</v>
      </c>
      <c r="I833" s="733">
        <f>$I$14*$E$822</f>
        <v>0</v>
      </c>
      <c r="J833" s="733">
        <f>$J$14*$E$822</f>
        <v>0</v>
      </c>
      <c r="K833" s="733">
        <f>K$14*$E$822</f>
        <v>0</v>
      </c>
      <c r="L833" s="733">
        <f t="shared" ref="L833:O833" si="831">L$14*$E$822</f>
        <v>0</v>
      </c>
      <c r="M833" s="733">
        <f t="shared" si="831"/>
        <v>0</v>
      </c>
      <c r="N833" s="733">
        <f t="shared" si="831"/>
        <v>0</v>
      </c>
      <c r="O833" s="733">
        <f t="shared" si="831"/>
        <v>0</v>
      </c>
      <c r="P833" s="733">
        <f>$P$14*$E$822</f>
        <v>0</v>
      </c>
      <c r="Q833" s="734">
        <f t="shared" si="824"/>
        <v>0</v>
      </c>
      <c r="R833" s="733">
        <f>$R$14*$E$822</f>
        <v>0</v>
      </c>
      <c r="S833" s="733">
        <f>$S$14*$E$822</f>
        <v>0</v>
      </c>
      <c r="T833" s="733">
        <f>$T$14*$E$822</f>
        <v>0</v>
      </c>
      <c r="U833" s="733">
        <f>$U$14*$E$822</f>
        <v>0</v>
      </c>
    </row>
    <row r="834" spans="2:21" s="119" customFormat="1" ht="19.5" hidden="1" thickBot="1" x14ac:dyDescent="0.35">
      <c r="B834" s="301"/>
      <c r="C834" s="119">
        <f t="shared" si="822"/>
        <v>0</v>
      </c>
      <c r="D834" s="113" t="s">
        <v>122</v>
      </c>
      <c r="E834" s="76" t="s">
        <v>49</v>
      </c>
      <c r="F834" s="733">
        <f>$F$15*$E$822</f>
        <v>0</v>
      </c>
      <c r="G834" s="733">
        <f>$G$15*$E$822</f>
        <v>0</v>
      </c>
      <c r="H834" s="733">
        <f>$H$15*$E$822</f>
        <v>0</v>
      </c>
      <c r="I834" s="733">
        <f>$I$15*$E$822</f>
        <v>0</v>
      </c>
      <c r="J834" s="733">
        <f>$J$15*$E$822</f>
        <v>0</v>
      </c>
      <c r="K834" s="733">
        <f>K$15*$E$822</f>
        <v>0</v>
      </c>
      <c r="L834" s="733">
        <f t="shared" ref="L834:O834" si="832">L$15*$E$822</f>
        <v>0</v>
      </c>
      <c r="M834" s="733">
        <f t="shared" si="832"/>
        <v>0</v>
      </c>
      <c r="N834" s="733">
        <f t="shared" si="832"/>
        <v>0</v>
      </c>
      <c r="O834" s="733">
        <f t="shared" si="832"/>
        <v>0</v>
      </c>
      <c r="P834" s="733">
        <f>$P$15*$E$822</f>
        <v>0</v>
      </c>
      <c r="Q834" s="734">
        <f t="shared" si="824"/>
        <v>0</v>
      </c>
      <c r="R834" s="733">
        <f>$R$15*$E$822</f>
        <v>0</v>
      </c>
      <c r="S834" s="733">
        <f>$S$15*$E$822</f>
        <v>0</v>
      </c>
      <c r="T834" s="733">
        <f>$T$15*$E$822</f>
        <v>0</v>
      </c>
      <c r="U834" s="733">
        <f>$U$15*$E$822</f>
        <v>0</v>
      </c>
    </row>
    <row r="835" spans="2:21" s="119" customFormat="1" ht="19.5" hidden="1" thickBot="1" x14ac:dyDescent="0.35">
      <c r="B835" s="301"/>
      <c r="C835" s="119">
        <f t="shared" si="822"/>
        <v>0</v>
      </c>
      <c r="D835" s="113" t="s">
        <v>123</v>
      </c>
      <c r="E835" s="76" t="s">
        <v>47</v>
      </c>
      <c r="F835" s="733">
        <f>$F$16*$E$822</f>
        <v>0</v>
      </c>
      <c r="G835" s="733">
        <f>$G$16*$E$822</f>
        <v>0</v>
      </c>
      <c r="H835" s="733">
        <f>$H$16*$E$822</f>
        <v>0</v>
      </c>
      <c r="I835" s="733">
        <f>$I$16*$E$822</f>
        <v>0</v>
      </c>
      <c r="J835" s="733">
        <f>$J$16*$E$822</f>
        <v>0</v>
      </c>
      <c r="K835" s="733">
        <f>K$16*$E$822</f>
        <v>0</v>
      </c>
      <c r="L835" s="733">
        <f t="shared" ref="L835:O835" si="833">L$16*$E$822</f>
        <v>0</v>
      </c>
      <c r="M835" s="733">
        <f t="shared" si="833"/>
        <v>0</v>
      </c>
      <c r="N835" s="733">
        <f t="shared" si="833"/>
        <v>0</v>
      </c>
      <c r="O835" s="733">
        <f t="shared" si="833"/>
        <v>0</v>
      </c>
      <c r="P835" s="733">
        <f>$P$16*$E$822</f>
        <v>0</v>
      </c>
      <c r="Q835" s="734">
        <f t="shared" si="824"/>
        <v>0</v>
      </c>
      <c r="R835" s="733">
        <f>$R$16*$E$822</f>
        <v>0</v>
      </c>
      <c r="S835" s="733">
        <f>$S$16*$E$822</f>
        <v>0</v>
      </c>
      <c r="T835" s="733">
        <f>$T$16*$E$822</f>
        <v>0</v>
      </c>
      <c r="U835" s="733">
        <f>$U$16*$E$822</f>
        <v>0</v>
      </c>
    </row>
    <row r="836" spans="2:21" s="119" customFormat="1" ht="19.5" hidden="1" thickBot="1" x14ac:dyDescent="0.35">
      <c r="B836" s="301"/>
      <c r="C836" s="119">
        <f t="shared" si="822"/>
        <v>0</v>
      </c>
      <c r="D836" s="114" t="s">
        <v>16</v>
      </c>
      <c r="E836" s="70" t="s">
        <v>77</v>
      </c>
      <c r="F836" s="733">
        <f>$F$17*$E$822</f>
        <v>0</v>
      </c>
      <c r="G836" s="733">
        <f>$G$17*$E$822</f>
        <v>0</v>
      </c>
      <c r="H836" s="733">
        <f>$H$17*$E$822</f>
        <v>0</v>
      </c>
      <c r="I836" s="733">
        <f>$I$17*$E$822</f>
        <v>0</v>
      </c>
      <c r="J836" s="733">
        <f>$J$17*$E$822</f>
        <v>0</v>
      </c>
      <c r="K836" s="733">
        <f>K$17*$E$822</f>
        <v>0</v>
      </c>
      <c r="L836" s="733">
        <f t="shared" ref="L836:O836" si="834">L$17*$E$822</f>
        <v>0</v>
      </c>
      <c r="M836" s="733">
        <f t="shared" si="834"/>
        <v>0</v>
      </c>
      <c r="N836" s="733">
        <f t="shared" si="834"/>
        <v>0</v>
      </c>
      <c r="O836" s="733">
        <f t="shared" si="834"/>
        <v>0</v>
      </c>
      <c r="P836" s="733">
        <f>$P$17*$E$822</f>
        <v>0</v>
      </c>
      <c r="Q836" s="734">
        <f t="shared" si="824"/>
        <v>0</v>
      </c>
      <c r="R836" s="733">
        <f>$R$17*$E$822</f>
        <v>0</v>
      </c>
      <c r="S836" s="733">
        <f>$S$17*$E$822</f>
        <v>0</v>
      </c>
      <c r="T836" s="733">
        <f ca="1">$T$17*$E$822</f>
        <v>0</v>
      </c>
      <c r="U836" s="733">
        <f ca="1">$U$17*$E$822</f>
        <v>0</v>
      </c>
    </row>
    <row r="837" spans="2:21" s="119" customFormat="1" ht="19.5" hidden="1" thickBot="1" x14ac:dyDescent="0.35">
      <c r="B837" s="301"/>
      <c r="C837" s="119">
        <f t="shared" si="822"/>
        <v>0</v>
      </c>
      <c r="D837" s="115" t="s">
        <v>124</v>
      </c>
      <c r="E837" s="116" t="s">
        <v>78</v>
      </c>
      <c r="F837" s="742">
        <f t="shared" ref="F837:U837" si="835">SUBTOTAL(9,F825:F836)</f>
        <v>0</v>
      </c>
      <c r="G837" s="742">
        <f>SUBTOTAL(9,G825:G836)</f>
        <v>0</v>
      </c>
      <c r="H837" s="742">
        <f>SUBTOTAL(9,H825:H836)</f>
        <v>0</v>
      </c>
      <c r="I837" s="742">
        <f>SUBTOTAL(9,I825:I836)</f>
        <v>0</v>
      </c>
      <c r="J837" s="742">
        <f>SUBTOTAL(9,J825:J836)</f>
        <v>0</v>
      </c>
      <c r="K837" s="742">
        <f>SUBTOTAL(9,K825:K836)</f>
        <v>0</v>
      </c>
      <c r="L837" s="742">
        <f t="shared" ref="L837:O837" si="836">SUBTOTAL(9,L825:L836)</f>
        <v>0</v>
      </c>
      <c r="M837" s="742">
        <f t="shared" si="836"/>
        <v>0</v>
      </c>
      <c r="N837" s="742">
        <f t="shared" si="836"/>
        <v>0</v>
      </c>
      <c r="O837" s="742">
        <f t="shared" si="836"/>
        <v>0</v>
      </c>
      <c r="P837" s="742">
        <f t="shared" si="835"/>
        <v>0</v>
      </c>
      <c r="Q837" s="743">
        <f>SUBTOTAL(9,Q825:Q836)</f>
        <v>0</v>
      </c>
      <c r="R837" s="742">
        <f t="shared" si="835"/>
        <v>0</v>
      </c>
      <c r="S837" s="742">
        <f t="shared" si="835"/>
        <v>0</v>
      </c>
      <c r="T837" s="742">
        <f t="shared" si="835"/>
        <v>0</v>
      </c>
      <c r="U837" s="742">
        <f t="shared" si="835"/>
        <v>0</v>
      </c>
    </row>
    <row r="838" spans="2:21" s="119" customFormat="1" ht="19.5" hidden="1" thickBot="1" x14ac:dyDescent="0.3">
      <c r="B838" s="340"/>
      <c r="D838" s="117"/>
      <c r="E838" s="117"/>
      <c r="F838" s="118"/>
      <c r="G838" s="118"/>
      <c r="I838" s="118"/>
      <c r="J838" s="118"/>
      <c r="K838" s="118"/>
      <c r="L838" s="118"/>
      <c r="O838" s="118"/>
      <c r="Q838" s="120"/>
      <c r="R838" s="117"/>
      <c r="S838" s="118"/>
      <c r="U838" s="118"/>
    </row>
    <row r="839" spans="2:21" s="119" customFormat="1" ht="75.75" hidden="1" thickBot="1" x14ac:dyDescent="0.3">
      <c r="B839" s="301"/>
      <c r="C839" s="119">
        <f>IF($E839&gt;0,1,0)</f>
        <v>0</v>
      </c>
      <c r="D839" s="96" t="str">
        <f>A52</f>
        <v>Schuyler</v>
      </c>
      <c r="E839" s="166">
        <f>IFERROR(SUMIF(A:A,D839,B:B),0)</f>
        <v>0</v>
      </c>
      <c r="F839" s="98" t="s">
        <v>356</v>
      </c>
      <c r="G839" s="98" t="s">
        <v>373</v>
      </c>
      <c r="H839" s="98" t="s">
        <v>358</v>
      </c>
      <c r="I839" s="98" t="s">
        <v>109</v>
      </c>
      <c r="J839" s="98" t="s">
        <v>111</v>
      </c>
      <c r="K839" s="98" t="s">
        <v>469</v>
      </c>
      <c r="L839" s="98" t="s">
        <v>470</v>
      </c>
      <c r="M839" s="98" t="s">
        <v>357</v>
      </c>
      <c r="N839" s="509" t="s">
        <v>471</v>
      </c>
      <c r="O839" s="98" t="s">
        <v>472</v>
      </c>
      <c r="P839" s="98" t="s">
        <v>110</v>
      </c>
      <c r="Q839" s="99" t="s">
        <v>116</v>
      </c>
      <c r="R839" s="98" t="s">
        <v>112</v>
      </c>
      <c r="S839" s="98" t="s">
        <v>113</v>
      </c>
      <c r="T839" s="98" t="s">
        <v>114</v>
      </c>
      <c r="U839" s="98" t="s">
        <v>115</v>
      </c>
    </row>
    <row r="840" spans="2:21" s="119" customFormat="1" ht="19.5" hidden="1" thickBot="1" x14ac:dyDescent="0.3">
      <c r="B840" s="301"/>
      <c r="C840" s="119">
        <f>C839</f>
        <v>0</v>
      </c>
      <c r="D840" s="101"/>
      <c r="E840" s="102"/>
      <c r="F840" s="84" t="s">
        <v>57</v>
      </c>
      <c r="G840" s="84" t="s">
        <v>56</v>
      </c>
      <c r="H840" s="84" t="s">
        <v>55</v>
      </c>
      <c r="I840" s="84" t="s">
        <v>54</v>
      </c>
      <c r="J840" s="84" t="s">
        <v>53</v>
      </c>
      <c r="K840" s="84" t="s">
        <v>52</v>
      </c>
      <c r="L840" s="84" t="s">
        <v>51</v>
      </c>
      <c r="M840" s="84" t="s">
        <v>50</v>
      </c>
      <c r="N840" s="84" t="s">
        <v>49</v>
      </c>
      <c r="O840" s="84" t="s">
        <v>47</v>
      </c>
      <c r="P840" s="84" t="s">
        <v>77</v>
      </c>
      <c r="Q840" s="83" t="s">
        <v>78</v>
      </c>
      <c r="R840" s="84" t="s">
        <v>79</v>
      </c>
      <c r="S840" s="84" t="s">
        <v>81</v>
      </c>
      <c r="T840" s="84" t="s">
        <v>83</v>
      </c>
      <c r="U840" s="84" t="s">
        <v>85</v>
      </c>
    </row>
    <row r="841" spans="2:21" s="119" customFormat="1" ht="19.5" hidden="1" thickBot="1" x14ac:dyDescent="0.35">
      <c r="B841" s="301"/>
      <c r="C841" s="119">
        <f t="shared" ref="C841:C854" si="837">C840</f>
        <v>0</v>
      </c>
      <c r="D841" s="103" t="s">
        <v>26</v>
      </c>
      <c r="E841" s="104"/>
      <c r="F841" s="745"/>
      <c r="G841" s="745"/>
      <c r="H841" s="746"/>
      <c r="I841" s="745"/>
      <c r="J841" s="745"/>
      <c r="K841" s="745"/>
      <c r="L841" s="745"/>
      <c r="M841" s="746"/>
      <c r="N841" s="746"/>
      <c r="O841" s="745"/>
      <c r="P841" s="746"/>
      <c r="Q841" s="747"/>
      <c r="R841" s="748"/>
      <c r="S841" s="745"/>
      <c r="T841" s="746"/>
      <c r="U841" s="749"/>
    </row>
    <row r="842" spans="2:21" s="119" customFormat="1" ht="19.5" hidden="1" thickBot="1" x14ac:dyDescent="0.3">
      <c r="B842" s="301"/>
      <c r="C842" s="119">
        <f t="shared" si="837"/>
        <v>0</v>
      </c>
      <c r="D842" s="109" t="s">
        <v>93</v>
      </c>
      <c r="E842" s="76" t="s">
        <v>57</v>
      </c>
      <c r="F842" s="733">
        <f>$F$6*$E$839</f>
        <v>0</v>
      </c>
      <c r="G842" s="733">
        <f>$G$6*$E$839</f>
        <v>0</v>
      </c>
      <c r="H842" s="733">
        <f>$H$6*$E$839</f>
        <v>0</v>
      </c>
      <c r="I842" s="733">
        <f>$I$6*$E$839</f>
        <v>0</v>
      </c>
      <c r="J842" s="733">
        <f>$J$6*$E$839</f>
        <v>0</v>
      </c>
      <c r="K842" s="733">
        <f>K$6*$E$839</f>
        <v>0</v>
      </c>
      <c r="L842" s="733">
        <f t="shared" ref="L842:O842" si="838">L$6*$E$839</f>
        <v>0</v>
      </c>
      <c r="M842" s="733">
        <f t="shared" si="838"/>
        <v>0</v>
      </c>
      <c r="N842" s="733">
        <f t="shared" si="838"/>
        <v>0</v>
      </c>
      <c r="O842" s="733">
        <f t="shared" si="838"/>
        <v>0</v>
      </c>
      <c r="P842" s="733">
        <f>$P$6*$E$839</f>
        <v>0</v>
      </c>
      <c r="Q842" s="734">
        <f t="shared" ref="Q842:Q853" si="839">SUM(F842:P842)</f>
        <v>0</v>
      </c>
      <c r="R842" s="733">
        <f>$R$6*$E$839</f>
        <v>0</v>
      </c>
      <c r="S842" s="733">
        <f>$S$6*$E$839</f>
        <v>0</v>
      </c>
      <c r="T842" s="733">
        <f ca="1">$T$6*$E$839</f>
        <v>0</v>
      </c>
      <c r="U842" s="733">
        <f ca="1">$U$6*$E$839</f>
        <v>0</v>
      </c>
    </row>
    <row r="843" spans="2:21" s="119" customFormat="1" ht="19.5" hidden="1" thickBot="1" x14ac:dyDescent="0.3">
      <c r="B843" s="301"/>
      <c r="C843" s="119">
        <f t="shared" si="837"/>
        <v>0</v>
      </c>
      <c r="D843" s="110" t="s">
        <v>92</v>
      </c>
      <c r="E843" s="76" t="s">
        <v>56</v>
      </c>
      <c r="F843" s="733">
        <f>$F$7*$E$839</f>
        <v>0</v>
      </c>
      <c r="G843" s="733">
        <f>$G$7*$E$839</f>
        <v>0</v>
      </c>
      <c r="H843" s="733">
        <f>$H$7*$E$839</f>
        <v>0</v>
      </c>
      <c r="I843" s="733">
        <f>$I$7*$E$839</f>
        <v>0</v>
      </c>
      <c r="J843" s="733">
        <f>$J$7*$E$839</f>
        <v>0</v>
      </c>
      <c r="K843" s="733">
        <f>K$7*$E$839</f>
        <v>0</v>
      </c>
      <c r="L843" s="733">
        <f t="shared" ref="L843:O843" si="840">L$7*$E$839</f>
        <v>0</v>
      </c>
      <c r="M843" s="733">
        <f t="shared" si="840"/>
        <v>0</v>
      </c>
      <c r="N843" s="733">
        <f t="shared" si="840"/>
        <v>0</v>
      </c>
      <c r="O843" s="733">
        <f t="shared" si="840"/>
        <v>0</v>
      </c>
      <c r="P843" s="733">
        <f>$P$7*$E$839</f>
        <v>0</v>
      </c>
      <c r="Q843" s="734">
        <f t="shared" si="839"/>
        <v>0</v>
      </c>
      <c r="R843" s="733">
        <f>$R$7*$E$839</f>
        <v>0</v>
      </c>
      <c r="S843" s="733">
        <f>$S$7*$E$839</f>
        <v>0</v>
      </c>
      <c r="T843" s="733">
        <f>$T$7*$E$839</f>
        <v>0</v>
      </c>
      <c r="U843" s="733">
        <f>$U$7*$E$839</f>
        <v>0</v>
      </c>
    </row>
    <row r="844" spans="2:21" s="119" customFormat="1" ht="19.5" hidden="1" thickBot="1" x14ac:dyDescent="0.3">
      <c r="B844" s="301"/>
      <c r="C844" s="119">
        <f t="shared" si="837"/>
        <v>0</v>
      </c>
      <c r="D844" s="110" t="s">
        <v>91</v>
      </c>
      <c r="E844" s="76" t="s">
        <v>55</v>
      </c>
      <c r="F844" s="733">
        <f>$F$8*$E$839</f>
        <v>0</v>
      </c>
      <c r="G844" s="733">
        <f>$G$8*$E$839</f>
        <v>0</v>
      </c>
      <c r="H844" s="733">
        <f>$H$8*$E$839</f>
        <v>0</v>
      </c>
      <c r="I844" s="733">
        <f>$I$8*$E$839</f>
        <v>0</v>
      </c>
      <c r="J844" s="733">
        <f>$J$8*$E$839</f>
        <v>0</v>
      </c>
      <c r="K844" s="733">
        <f>K$8*$E$839</f>
        <v>0</v>
      </c>
      <c r="L844" s="733">
        <f t="shared" ref="L844:O844" si="841">L$8*$E$839</f>
        <v>0</v>
      </c>
      <c r="M844" s="733">
        <f t="shared" si="841"/>
        <v>0</v>
      </c>
      <c r="N844" s="733">
        <f t="shared" si="841"/>
        <v>0</v>
      </c>
      <c r="O844" s="733">
        <f t="shared" si="841"/>
        <v>0</v>
      </c>
      <c r="P844" s="733">
        <f>$P$8*$E$839</f>
        <v>0</v>
      </c>
      <c r="Q844" s="734">
        <f t="shared" si="839"/>
        <v>0</v>
      </c>
      <c r="R844" s="733">
        <f>$R$8*$E$839</f>
        <v>0</v>
      </c>
      <c r="S844" s="733">
        <f>$S$8*$E$839</f>
        <v>0</v>
      </c>
      <c r="T844" s="733">
        <f ca="1">$T$8*$E$839</f>
        <v>0</v>
      </c>
      <c r="U844" s="733">
        <f ca="1">$U$8*$E$839</f>
        <v>0</v>
      </c>
    </row>
    <row r="845" spans="2:21" s="119" customFormat="1" ht="19.5" hidden="1" thickBot="1" x14ac:dyDescent="0.3">
      <c r="B845" s="301"/>
      <c r="C845" s="119">
        <f t="shared" si="837"/>
        <v>0</v>
      </c>
      <c r="D845" s="111" t="s">
        <v>117</v>
      </c>
      <c r="E845" s="76" t="s">
        <v>54</v>
      </c>
      <c r="F845" s="733">
        <f>$F$9*$E$839</f>
        <v>0</v>
      </c>
      <c r="G845" s="733">
        <f>$G$9*$E$839</f>
        <v>0</v>
      </c>
      <c r="H845" s="733">
        <f>$H$9*$E$839</f>
        <v>0</v>
      </c>
      <c r="I845" s="733">
        <f>$I$9*$E$839</f>
        <v>0</v>
      </c>
      <c r="J845" s="733">
        <f>$J$9*$E$839</f>
        <v>0</v>
      </c>
      <c r="K845" s="733">
        <f>K$9*$E$839</f>
        <v>0</v>
      </c>
      <c r="L845" s="733">
        <f t="shared" ref="L845:O845" si="842">L$9*$E$839</f>
        <v>0</v>
      </c>
      <c r="M845" s="733">
        <f t="shared" si="842"/>
        <v>0</v>
      </c>
      <c r="N845" s="733">
        <f t="shared" si="842"/>
        <v>0</v>
      </c>
      <c r="O845" s="733">
        <f t="shared" si="842"/>
        <v>0</v>
      </c>
      <c r="P845" s="733">
        <f>$P$9*$E$839</f>
        <v>0</v>
      </c>
      <c r="Q845" s="734">
        <f t="shared" si="839"/>
        <v>0</v>
      </c>
      <c r="R845" s="733">
        <f>$R$9*$E$839</f>
        <v>0</v>
      </c>
      <c r="S845" s="733">
        <f>$S$9*$E$839</f>
        <v>0</v>
      </c>
      <c r="T845" s="733">
        <f>$T$9*$E$839</f>
        <v>0</v>
      </c>
      <c r="U845" s="733">
        <f>$U$9*$E$839</f>
        <v>0</v>
      </c>
    </row>
    <row r="846" spans="2:21" s="119" customFormat="1" ht="19.5" hidden="1" thickBot="1" x14ac:dyDescent="0.35">
      <c r="B846" s="301"/>
      <c r="C846" s="119">
        <f t="shared" si="837"/>
        <v>0</v>
      </c>
      <c r="D846" s="112" t="s">
        <v>31</v>
      </c>
      <c r="E846" s="76"/>
      <c r="F846" s="750"/>
      <c r="G846" s="735"/>
      <c r="H846" s="736"/>
      <c r="I846" s="735"/>
      <c r="J846" s="735"/>
      <c r="K846" s="735"/>
      <c r="L846" s="735"/>
      <c r="M846" s="735"/>
      <c r="N846" s="735"/>
      <c r="O846" s="735"/>
      <c r="P846" s="738"/>
      <c r="Q846" s="734">
        <f t="shared" si="839"/>
        <v>0</v>
      </c>
      <c r="R846" s="739"/>
      <c r="S846" s="735"/>
      <c r="T846" s="740"/>
      <c r="U846" s="741"/>
    </row>
    <row r="847" spans="2:21" s="119" customFormat="1" ht="19.5" hidden="1" thickBot="1" x14ac:dyDescent="0.35">
      <c r="B847" s="301"/>
      <c r="C847" s="119">
        <f t="shared" si="837"/>
        <v>0</v>
      </c>
      <c r="D847" s="113" t="s">
        <v>118</v>
      </c>
      <c r="E847" s="76" t="s">
        <v>53</v>
      </c>
      <c r="F847" s="733">
        <f>$F$11*$E$839</f>
        <v>0</v>
      </c>
      <c r="G847" s="733">
        <f>$G$11*$E$839</f>
        <v>0</v>
      </c>
      <c r="H847" s="733">
        <f>$H$11*$E$839</f>
        <v>0</v>
      </c>
      <c r="I847" s="733">
        <f>$I$11*$E$839</f>
        <v>0</v>
      </c>
      <c r="J847" s="733">
        <f>$J$11*$E$839</f>
        <v>0</v>
      </c>
      <c r="K847" s="733">
        <f>K$11*$E$839</f>
        <v>0</v>
      </c>
      <c r="L847" s="733">
        <f t="shared" ref="L847:O847" si="843">L$11*$E$839</f>
        <v>0</v>
      </c>
      <c r="M847" s="733">
        <f t="shared" si="843"/>
        <v>0</v>
      </c>
      <c r="N847" s="733">
        <f t="shared" si="843"/>
        <v>0</v>
      </c>
      <c r="O847" s="733">
        <f t="shared" si="843"/>
        <v>0</v>
      </c>
      <c r="P847" s="733">
        <f>$P$11*$E$839</f>
        <v>0</v>
      </c>
      <c r="Q847" s="734">
        <f t="shared" si="839"/>
        <v>0</v>
      </c>
      <c r="R847" s="733">
        <f>$R$11*$E$839</f>
        <v>0</v>
      </c>
      <c r="S847" s="733">
        <f>$S$11*$E$839</f>
        <v>0</v>
      </c>
      <c r="T847" s="733">
        <f>$T$11*$E$839</f>
        <v>0</v>
      </c>
      <c r="U847" s="733">
        <f>$U$11*$E$839</f>
        <v>0</v>
      </c>
    </row>
    <row r="848" spans="2:21" s="119" customFormat="1" ht="19.5" hidden="1" thickBot="1" x14ac:dyDescent="0.35">
      <c r="B848" s="301"/>
      <c r="C848" s="119">
        <f t="shared" si="837"/>
        <v>0</v>
      </c>
      <c r="D848" s="113" t="s">
        <v>119</v>
      </c>
      <c r="E848" s="76" t="s">
        <v>52</v>
      </c>
      <c r="F848" s="733">
        <f>$F$12*$E$839</f>
        <v>0</v>
      </c>
      <c r="G848" s="733">
        <f>$G$12*$E$839</f>
        <v>0</v>
      </c>
      <c r="H848" s="733">
        <f>$H$12*$E$839</f>
        <v>0</v>
      </c>
      <c r="I848" s="733">
        <f>$I$12*$E$839</f>
        <v>0</v>
      </c>
      <c r="J848" s="733">
        <f>$J$12*$E$839</f>
        <v>0</v>
      </c>
      <c r="K848" s="733">
        <f>K$12*$E$839</f>
        <v>0</v>
      </c>
      <c r="L848" s="733">
        <f t="shared" ref="L848:O848" si="844">L$12*$E$839</f>
        <v>0</v>
      </c>
      <c r="M848" s="733">
        <f t="shared" si="844"/>
        <v>0</v>
      </c>
      <c r="N848" s="733">
        <f t="shared" si="844"/>
        <v>0</v>
      </c>
      <c r="O848" s="733">
        <f t="shared" si="844"/>
        <v>0</v>
      </c>
      <c r="P848" s="733">
        <f>$P$12*$E$839</f>
        <v>0</v>
      </c>
      <c r="Q848" s="734">
        <f t="shared" si="839"/>
        <v>0</v>
      </c>
      <c r="R848" s="733">
        <f>$R$12*$E$839</f>
        <v>0</v>
      </c>
      <c r="S848" s="733">
        <f>$S$12*$E$839</f>
        <v>0</v>
      </c>
      <c r="T848" s="733">
        <f>$T$12*$E$839</f>
        <v>0</v>
      </c>
      <c r="U848" s="733">
        <f>$U$12*$E$839</f>
        <v>0</v>
      </c>
    </row>
    <row r="849" spans="2:21" s="119" customFormat="1" ht="19.5" hidden="1" thickBot="1" x14ac:dyDescent="0.35">
      <c r="B849" s="301"/>
      <c r="C849" s="119">
        <f t="shared" si="837"/>
        <v>0</v>
      </c>
      <c r="D849" s="113" t="s">
        <v>120</v>
      </c>
      <c r="E849" s="76" t="s">
        <v>51</v>
      </c>
      <c r="F849" s="733">
        <f>$F$13*$E$839</f>
        <v>0</v>
      </c>
      <c r="G849" s="733">
        <f>$G$13*$E$839</f>
        <v>0</v>
      </c>
      <c r="H849" s="733">
        <f>$H$13*$E$839</f>
        <v>0</v>
      </c>
      <c r="I849" s="733">
        <f>$I$13*$E$839</f>
        <v>0</v>
      </c>
      <c r="J849" s="733">
        <f>$J$13*$E$839</f>
        <v>0</v>
      </c>
      <c r="K849" s="733">
        <f>K$13*$E$839</f>
        <v>0</v>
      </c>
      <c r="L849" s="733">
        <f t="shared" ref="L849:O849" si="845">L$13*$E$839</f>
        <v>0</v>
      </c>
      <c r="M849" s="733">
        <f t="shared" si="845"/>
        <v>0</v>
      </c>
      <c r="N849" s="733">
        <f t="shared" si="845"/>
        <v>0</v>
      </c>
      <c r="O849" s="733">
        <f t="shared" si="845"/>
        <v>0</v>
      </c>
      <c r="P849" s="733">
        <f>$P$13*$E$839</f>
        <v>0</v>
      </c>
      <c r="Q849" s="734">
        <f t="shared" si="839"/>
        <v>0</v>
      </c>
      <c r="R849" s="733">
        <f>$R$13*$E$839</f>
        <v>0</v>
      </c>
      <c r="S849" s="733">
        <f>$S$13*$E$839</f>
        <v>0</v>
      </c>
      <c r="T849" s="733">
        <f>$T$13*$E$839</f>
        <v>0</v>
      </c>
      <c r="U849" s="733">
        <f>$U$13*$E$839</f>
        <v>0</v>
      </c>
    </row>
    <row r="850" spans="2:21" s="119" customFormat="1" ht="19.5" hidden="1" thickBot="1" x14ac:dyDescent="0.35">
      <c r="B850" s="301"/>
      <c r="C850" s="119">
        <f t="shared" si="837"/>
        <v>0</v>
      </c>
      <c r="D850" s="113" t="s">
        <v>121</v>
      </c>
      <c r="E850" s="76" t="s">
        <v>50</v>
      </c>
      <c r="F850" s="733">
        <f>$F$14*$E$839</f>
        <v>0</v>
      </c>
      <c r="G850" s="733">
        <f>$G$14*$E$839</f>
        <v>0</v>
      </c>
      <c r="H850" s="733">
        <f>$H$14*$E$839</f>
        <v>0</v>
      </c>
      <c r="I850" s="733">
        <f>$I$14*$E$839</f>
        <v>0</v>
      </c>
      <c r="J850" s="733">
        <f>$J$14*$E$839</f>
        <v>0</v>
      </c>
      <c r="K850" s="733">
        <f>K$14*$E$839</f>
        <v>0</v>
      </c>
      <c r="L850" s="733">
        <f t="shared" ref="L850:O850" si="846">L$14*$E$839</f>
        <v>0</v>
      </c>
      <c r="M850" s="733">
        <f t="shared" si="846"/>
        <v>0</v>
      </c>
      <c r="N850" s="733">
        <f t="shared" si="846"/>
        <v>0</v>
      </c>
      <c r="O850" s="733">
        <f t="shared" si="846"/>
        <v>0</v>
      </c>
      <c r="P850" s="733">
        <f>$P$14*$E$839</f>
        <v>0</v>
      </c>
      <c r="Q850" s="734">
        <f t="shared" si="839"/>
        <v>0</v>
      </c>
      <c r="R850" s="733">
        <f>$R$14*$E$839</f>
        <v>0</v>
      </c>
      <c r="S850" s="733">
        <f>$S$14*$E$839</f>
        <v>0</v>
      </c>
      <c r="T850" s="733">
        <f>$T$14*$E$839</f>
        <v>0</v>
      </c>
      <c r="U850" s="733">
        <f>$U$14*$E$839</f>
        <v>0</v>
      </c>
    </row>
    <row r="851" spans="2:21" s="119" customFormat="1" ht="19.5" hidden="1" thickBot="1" x14ac:dyDescent="0.35">
      <c r="B851" s="301"/>
      <c r="C851" s="119">
        <f t="shared" si="837"/>
        <v>0</v>
      </c>
      <c r="D851" s="113" t="s">
        <v>122</v>
      </c>
      <c r="E851" s="76" t="s">
        <v>49</v>
      </c>
      <c r="F851" s="733">
        <f>$F$15*$E$839</f>
        <v>0</v>
      </c>
      <c r="G851" s="733">
        <f>$G$15*$E$839</f>
        <v>0</v>
      </c>
      <c r="H851" s="733">
        <f>$H$15*$E$839</f>
        <v>0</v>
      </c>
      <c r="I851" s="733">
        <f>$I$15*$E$839</f>
        <v>0</v>
      </c>
      <c r="J851" s="733">
        <f>$J$15*$E$839</f>
        <v>0</v>
      </c>
      <c r="K851" s="733">
        <f>K$15*$E$839</f>
        <v>0</v>
      </c>
      <c r="L851" s="733">
        <f t="shared" ref="L851:O851" si="847">L$15*$E$839</f>
        <v>0</v>
      </c>
      <c r="M851" s="733">
        <f t="shared" si="847"/>
        <v>0</v>
      </c>
      <c r="N851" s="733">
        <f t="shared" si="847"/>
        <v>0</v>
      </c>
      <c r="O851" s="733">
        <f t="shared" si="847"/>
        <v>0</v>
      </c>
      <c r="P851" s="733">
        <f>$P$15*$E$839</f>
        <v>0</v>
      </c>
      <c r="Q851" s="734">
        <f t="shared" si="839"/>
        <v>0</v>
      </c>
      <c r="R851" s="733">
        <f>$R$15*$E$839</f>
        <v>0</v>
      </c>
      <c r="S851" s="733">
        <f>$S$15*$E$839</f>
        <v>0</v>
      </c>
      <c r="T851" s="733">
        <f>$T$15*$E$839</f>
        <v>0</v>
      </c>
      <c r="U851" s="733">
        <f>$U$15*$E$839</f>
        <v>0</v>
      </c>
    </row>
    <row r="852" spans="2:21" s="119" customFormat="1" ht="19.5" hidden="1" thickBot="1" x14ac:dyDescent="0.35">
      <c r="B852" s="301"/>
      <c r="C852" s="119">
        <f t="shared" si="837"/>
        <v>0</v>
      </c>
      <c r="D852" s="113" t="s">
        <v>123</v>
      </c>
      <c r="E852" s="76" t="s">
        <v>47</v>
      </c>
      <c r="F852" s="733">
        <f>$F$16*$E$839</f>
        <v>0</v>
      </c>
      <c r="G852" s="733">
        <f>$G$16*$E$839</f>
        <v>0</v>
      </c>
      <c r="H852" s="733">
        <f>$H$16*$E$839</f>
        <v>0</v>
      </c>
      <c r="I852" s="733">
        <f>$I$16*$E$839</f>
        <v>0</v>
      </c>
      <c r="J852" s="733">
        <f>$J$16*$E$839</f>
        <v>0</v>
      </c>
      <c r="K852" s="733">
        <f>K$16*$E$839</f>
        <v>0</v>
      </c>
      <c r="L852" s="733">
        <f t="shared" ref="L852:O852" si="848">L$16*$E$839</f>
        <v>0</v>
      </c>
      <c r="M852" s="733">
        <f t="shared" si="848"/>
        <v>0</v>
      </c>
      <c r="N852" s="733">
        <f t="shared" si="848"/>
        <v>0</v>
      </c>
      <c r="O852" s="733">
        <f t="shared" si="848"/>
        <v>0</v>
      </c>
      <c r="P852" s="733">
        <f>$P$16*$E$839</f>
        <v>0</v>
      </c>
      <c r="Q852" s="734">
        <f t="shared" si="839"/>
        <v>0</v>
      </c>
      <c r="R852" s="733">
        <f>$R$16*$E$839</f>
        <v>0</v>
      </c>
      <c r="S852" s="733">
        <f>$S$16*$E$839</f>
        <v>0</v>
      </c>
      <c r="T852" s="733">
        <f>$T$16*$E$839</f>
        <v>0</v>
      </c>
      <c r="U852" s="733">
        <f>$U$16*$E$839</f>
        <v>0</v>
      </c>
    </row>
    <row r="853" spans="2:21" s="119" customFormat="1" ht="19.5" hidden="1" thickBot="1" x14ac:dyDescent="0.35">
      <c r="B853" s="301"/>
      <c r="C853" s="119">
        <f t="shared" si="837"/>
        <v>0</v>
      </c>
      <c r="D853" s="114" t="s">
        <v>16</v>
      </c>
      <c r="E853" s="70" t="s">
        <v>77</v>
      </c>
      <c r="F853" s="733">
        <f>$F$17*$E$839</f>
        <v>0</v>
      </c>
      <c r="G853" s="733">
        <f>$G$17*$E$839</f>
        <v>0</v>
      </c>
      <c r="H853" s="733">
        <f>$H$17*$E$839</f>
        <v>0</v>
      </c>
      <c r="I853" s="733">
        <f>$I$17*$E$839</f>
        <v>0</v>
      </c>
      <c r="J853" s="733">
        <f>$J$17*$E$839</f>
        <v>0</v>
      </c>
      <c r="K853" s="733">
        <f>K$17*$E$839</f>
        <v>0</v>
      </c>
      <c r="L853" s="733">
        <f t="shared" ref="L853:O853" si="849">L$17*$E$839</f>
        <v>0</v>
      </c>
      <c r="M853" s="733">
        <f t="shared" si="849"/>
        <v>0</v>
      </c>
      <c r="N853" s="733">
        <f t="shared" si="849"/>
        <v>0</v>
      </c>
      <c r="O853" s="733">
        <f t="shared" si="849"/>
        <v>0</v>
      </c>
      <c r="P853" s="733">
        <f>$P$17*$E$839</f>
        <v>0</v>
      </c>
      <c r="Q853" s="734">
        <f t="shared" si="839"/>
        <v>0</v>
      </c>
      <c r="R853" s="733">
        <f>$R$17*$E$839</f>
        <v>0</v>
      </c>
      <c r="S853" s="733">
        <f>$S$17*$E$839</f>
        <v>0</v>
      </c>
      <c r="T853" s="733">
        <f ca="1">$T$17*$E$839</f>
        <v>0</v>
      </c>
      <c r="U853" s="733">
        <f ca="1">$U$17*$E$839</f>
        <v>0</v>
      </c>
    </row>
    <row r="854" spans="2:21" s="119" customFormat="1" ht="19.5" hidden="1" thickBot="1" x14ac:dyDescent="0.35">
      <c r="B854" s="301"/>
      <c r="C854" s="119">
        <f t="shared" si="837"/>
        <v>0</v>
      </c>
      <c r="D854" s="115" t="s">
        <v>124</v>
      </c>
      <c r="E854" s="116" t="s">
        <v>78</v>
      </c>
      <c r="F854" s="742">
        <f t="shared" ref="F854:U854" si="850">SUBTOTAL(9,F842:F853)</f>
        <v>0</v>
      </c>
      <c r="G854" s="742">
        <f>SUBTOTAL(9,G842:G853)</f>
        <v>0</v>
      </c>
      <c r="H854" s="742">
        <f>SUBTOTAL(9,H842:H853)</f>
        <v>0</v>
      </c>
      <c r="I854" s="742">
        <f>SUBTOTAL(9,I842:I853)</f>
        <v>0</v>
      </c>
      <c r="J854" s="742">
        <f>SUBTOTAL(9,J842:J853)</f>
        <v>0</v>
      </c>
      <c r="K854" s="742">
        <f>SUBTOTAL(9,K842:K853)</f>
        <v>0</v>
      </c>
      <c r="L854" s="742">
        <f t="shared" ref="L854:O854" si="851">SUBTOTAL(9,L842:L853)</f>
        <v>0</v>
      </c>
      <c r="M854" s="742">
        <f t="shared" si="851"/>
        <v>0</v>
      </c>
      <c r="N854" s="742">
        <f t="shared" si="851"/>
        <v>0</v>
      </c>
      <c r="O854" s="742">
        <f t="shared" si="851"/>
        <v>0</v>
      </c>
      <c r="P854" s="742">
        <f t="shared" si="850"/>
        <v>0</v>
      </c>
      <c r="Q854" s="743">
        <f>SUBTOTAL(9,Q842:Q853)</f>
        <v>0</v>
      </c>
      <c r="R854" s="742">
        <f t="shared" si="850"/>
        <v>0</v>
      </c>
      <c r="S854" s="742">
        <f t="shared" si="850"/>
        <v>0</v>
      </c>
      <c r="T854" s="742">
        <f t="shared" si="850"/>
        <v>0</v>
      </c>
      <c r="U854" s="742">
        <f t="shared" si="850"/>
        <v>0</v>
      </c>
    </row>
    <row r="855" spans="2:21" s="119" customFormat="1" ht="19.5" hidden="1" thickBot="1" x14ac:dyDescent="0.3">
      <c r="B855" s="340"/>
      <c r="D855" s="117"/>
      <c r="E855" s="117"/>
      <c r="F855" s="118"/>
      <c r="G855" s="118"/>
      <c r="I855" s="118"/>
      <c r="J855" s="118"/>
      <c r="K855" s="118"/>
      <c r="L855" s="118"/>
      <c r="O855" s="118"/>
      <c r="Q855" s="120"/>
      <c r="R855" s="117"/>
      <c r="S855" s="118"/>
      <c r="U855" s="118"/>
    </row>
    <row r="856" spans="2:21" s="119" customFormat="1" ht="75.75" hidden="1" thickBot="1" x14ac:dyDescent="0.3">
      <c r="B856" s="301"/>
      <c r="C856" s="119">
        <f>IF($E856&gt;0,1,0)</f>
        <v>0</v>
      </c>
      <c r="D856" s="96" t="str">
        <f>A53</f>
        <v>Seneca</v>
      </c>
      <c r="E856" s="166">
        <f>IFERROR(SUMIF(A:A,D856,B:B),0)</f>
        <v>0</v>
      </c>
      <c r="F856" s="98" t="s">
        <v>356</v>
      </c>
      <c r="G856" s="98" t="s">
        <v>373</v>
      </c>
      <c r="H856" s="98" t="s">
        <v>358</v>
      </c>
      <c r="I856" s="98" t="s">
        <v>109</v>
      </c>
      <c r="J856" s="98" t="s">
        <v>111</v>
      </c>
      <c r="K856" s="98" t="s">
        <v>469</v>
      </c>
      <c r="L856" s="98" t="s">
        <v>470</v>
      </c>
      <c r="M856" s="98" t="s">
        <v>357</v>
      </c>
      <c r="N856" s="509" t="s">
        <v>471</v>
      </c>
      <c r="O856" s="98" t="s">
        <v>472</v>
      </c>
      <c r="P856" s="98" t="s">
        <v>110</v>
      </c>
      <c r="Q856" s="99" t="s">
        <v>116</v>
      </c>
      <c r="R856" s="98" t="s">
        <v>112</v>
      </c>
      <c r="S856" s="98" t="s">
        <v>113</v>
      </c>
      <c r="T856" s="98" t="s">
        <v>114</v>
      </c>
      <c r="U856" s="98" t="s">
        <v>115</v>
      </c>
    </row>
    <row r="857" spans="2:21" s="119" customFormat="1" ht="19.5" hidden="1" thickBot="1" x14ac:dyDescent="0.3">
      <c r="B857" s="301"/>
      <c r="C857" s="119">
        <f>C856</f>
        <v>0</v>
      </c>
      <c r="D857" s="101"/>
      <c r="E857" s="102"/>
      <c r="F857" s="84" t="s">
        <v>57</v>
      </c>
      <c r="G857" s="84" t="s">
        <v>56</v>
      </c>
      <c r="H857" s="84" t="s">
        <v>55</v>
      </c>
      <c r="I857" s="84" t="s">
        <v>54</v>
      </c>
      <c r="J857" s="84" t="s">
        <v>53</v>
      </c>
      <c r="K857" s="84" t="s">
        <v>52</v>
      </c>
      <c r="L857" s="84" t="s">
        <v>51</v>
      </c>
      <c r="M857" s="84" t="s">
        <v>50</v>
      </c>
      <c r="N857" s="84" t="s">
        <v>49</v>
      </c>
      <c r="O857" s="84" t="s">
        <v>47</v>
      </c>
      <c r="P857" s="84" t="s">
        <v>77</v>
      </c>
      <c r="Q857" s="83" t="s">
        <v>78</v>
      </c>
      <c r="R857" s="84" t="s">
        <v>79</v>
      </c>
      <c r="S857" s="84" t="s">
        <v>81</v>
      </c>
      <c r="T857" s="84" t="s">
        <v>83</v>
      </c>
      <c r="U857" s="84" t="s">
        <v>85</v>
      </c>
    </row>
    <row r="858" spans="2:21" s="119" customFormat="1" ht="19.5" hidden="1" thickBot="1" x14ac:dyDescent="0.35">
      <c r="B858" s="301"/>
      <c r="C858" s="119">
        <f t="shared" ref="C858:C871" si="852">C857</f>
        <v>0</v>
      </c>
      <c r="D858" s="103" t="s">
        <v>26</v>
      </c>
      <c r="E858" s="104"/>
      <c r="F858" s="745"/>
      <c r="G858" s="745"/>
      <c r="H858" s="746"/>
      <c r="I858" s="745"/>
      <c r="J858" s="745"/>
      <c r="K858" s="745"/>
      <c r="L858" s="745"/>
      <c r="M858" s="746"/>
      <c r="N858" s="746"/>
      <c r="O858" s="745"/>
      <c r="P858" s="746"/>
      <c r="Q858" s="747"/>
      <c r="R858" s="748"/>
      <c r="S858" s="745"/>
      <c r="T858" s="746"/>
      <c r="U858" s="749"/>
    </row>
    <row r="859" spans="2:21" s="119" customFormat="1" ht="19.5" hidden="1" thickBot="1" x14ac:dyDescent="0.3">
      <c r="B859" s="301"/>
      <c r="C859" s="119">
        <f t="shared" si="852"/>
        <v>0</v>
      </c>
      <c r="D859" s="109" t="s">
        <v>93</v>
      </c>
      <c r="E859" s="76" t="s">
        <v>57</v>
      </c>
      <c r="F859" s="733">
        <f>$F$6*$E$856</f>
        <v>0</v>
      </c>
      <c r="G859" s="733">
        <f>$G$6*$E$856</f>
        <v>0</v>
      </c>
      <c r="H859" s="733">
        <f>$H$6*$E$856</f>
        <v>0</v>
      </c>
      <c r="I859" s="733">
        <f>$I$6*$E$856</f>
        <v>0</v>
      </c>
      <c r="J859" s="733">
        <f>$J$6*$E$856</f>
        <v>0</v>
      </c>
      <c r="K859" s="733">
        <f>K$6*$E$856</f>
        <v>0</v>
      </c>
      <c r="L859" s="733">
        <f t="shared" ref="L859:P859" si="853">L$6*$E$856</f>
        <v>0</v>
      </c>
      <c r="M859" s="733">
        <f t="shared" si="853"/>
        <v>0</v>
      </c>
      <c r="N859" s="733">
        <f t="shared" si="853"/>
        <v>0</v>
      </c>
      <c r="O859" s="733">
        <f t="shared" si="853"/>
        <v>0</v>
      </c>
      <c r="P859" s="733">
        <f t="shared" si="853"/>
        <v>0</v>
      </c>
      <c r="Q859" s="734">
        <f t="shared" ref="Q859:Q870" si="854">SUM(F859:P859)</f>
        <v>0</v>
      </c>
      <c r="R859" s="733">
        <f>$R$6*$E$856</f>
        <v>0</v>
      </c>
      <c r="S859" s="733">
        <f>$S$6*$E$856</f>
        <v>0</v>
      </c>
      <c r="T859" s="733">
        <f ca="1">$T$6*$E$856</f>
        <v>0</v>
      </c>
      <c r="U859" s="733">
        <f ca="1">$U$6*$E$856</f>
        <v>0</v>
      </c>
    </row>
    <row r="860" spans="2:21" s="119" customFormat="1" ht="19.5" hidden="1" thickBot="1" x14ac:dyDescent="0.3">
      <c r="B860" s="301"/>
      <c r="C860" s="119">
        <f t="shared" si="852"/>
        <v>0</v>
      </c>
      <c r="D860" s="110" t="s">
        <v>92</v>
      </c>
      <c r="E860" s="76" t="s">
        <v>56</v>
      </c>
      <c r="F860" s="733">
        <f>$F$7*$E$856</f>
        <v>0</v>
      </c>
      <c r="G860" s="733">
        <f>$G$7*$E$856</f>
        <v>0</v>
      </c>
      <c r="H860" s="733">
        <f>$H$7*$E$856</f>
        <v>0</v>
      </c>
      <c r="I860" s="733">
        <f>$I$7*$E$856</f>
        <v>0</v>
      </c>
      <c r="J860" s="733">
        <f>$J$7*$E$856</f>
        <v>0</v>
      </c>
      <c r="K860" s="733">
        <f>K$7*$E$856</f>
        <v>0</v>
      </c>
      <c r="L860" s="733">
        <f t="shared" ref="L860:P860" si="855">L$7*$E$856</f>
        <v>0</v>
      </c>
      <c r="M860" s="733">
        <f t="shared" si="855"/>
        <v>0</v>
      </c>
      <c r="N860" s="733">
        <f t="shared" si="855"/>
        <v>0</v>
      </c>
      <c r="O860" s="733">
        <f t="shared" si="855"/>
        <v>0</v>
      </c>
      <c r="P860" s="733">
        <f t="shared" si="855"/>
        <v>0</v>
      </c>
      <c r="Q860" s="734">
        <f t="shared" si="854"/>
        <v>0</v>
      </c>
      <c r="R860" s="733">
        <f>$R$7*$E$856</f>
        <v>0</v>
      </c>
      <c r="S860" s="733">
        <f>$S$7*$E$856</f>
        <v>0</v>
      </c>
      <c r="T860" s="733">
        <f>$T$7*$E$856</f>
        <v>0</v>
      </c>
      <c r="U860" s="733">
        <f>$U$7*$E$856</f>
        <v>0</v>
      </c>
    </row>
    <row r="861" spans="2:21" s="119" customFormat="1" ht="19.5" hidden="1" thickBot="1" x14ac:dyDescent="0.3">
      <c r="B861" s="301"/>
      <c r="C861" s="119">
        <f t="shared" si="852"/>
        <v>0</v>
      </c>
      <c r="D861" s="110" t="s">
        <v>91</v>
      </c>
      <c r="E861" s="76" t="s">
        <v>55</v>
      </c>
      <c r="F861" s="733">
        <f>$F$8*$E$856</f>
        <v>0</v>
      </c>
      <c r="G861" s="733">
        <f>$G$8*$E$856</f>
        <v>0</v>
      </c>
      <c r="H861" s="733">
        <f>$H$8*$E$856</f>
        <v>0</v>
      </c>
      <c r="I861" s="733">
        <f>$I$8*$E$856</f>
        <v>0</v>
      </c>
      <c r="J861" s="733">
        <f>$J$8*$E$856</f>
        <v>0</v>
      </c>
      <c r="K861" s="733">
        <f>K$8*$E$856</f>
        <v>0</v>
      </c>
      <c r="L861" s="733">
        <f t="shared" ref="L861:P861" si="856">L$8*$E$856</f>
        <v>0</v>
      </c>
      <c r="M861" s="733">
        <f t="shared" si="856"/>
        <v>0</v>
      </c>
      <c r="N861" s="733">
        <f t="shared" si="856"/>
        <v>0</v>
      </c>
      <c r="O861" s="733">
        <f t="shared" si="856"/>
        <v>0</v>
      </c>
      <c r="P861" s="733">
        <f t="shared" si="856"/>
        <v>0</v>
      </c>
      <c r="Q861" s="734">
        <f t="shared" si="854"/>
        <v>0</v>
      </c>
      <c r="R861" s="733">
        <f>$R$8*$E$856</f>
        <v>0</v>
      </c>
      <c r="S861" s="733">
        <f>$S$8*$E$856</f>
        <v>0</v>
      </c>
      <c r="T861" s="733">
        <f ca="1">$T$8*$E$856</f>
        <v>0</v>
      </c>
      <c r="U861" s="733">
        <f ca="1">$U$8*$E$856</f>
        <v>0</v>
      </c>
    </row>
    <row r="862" spans="2:21" s="119" customFormat="1" ht="19.5" hidden="1" thickBot="1" x14ac:dyDescent="0.3">
      <c r="B862" s="301"/>
      <c r="C862" s="119">
        <f t="shared" si="852"/>
        <v>0</v>
      </c>
      <c r="D862" s="111" t="s">
        <v>117</v>
      </c>
      <c r="E862" s="76" t="s">
        <v>54</v>
      </c>
      <c r="F862" s="733">
        <f>$F$9*$E$856</f>
        <v>0</v>
      </c>
      <c r="G862" s="733">
        <f>$G$9*$E$856</f>
        <v>0</v>
      </c>
      <c r="H862" s="733">
        <f>$H$9*$E$856</f>
        <v>0</v>
      </c>
      <c r="I862" s="733">
        <f>$I$9*$E$856</f>
        <v>0</v>
      </c>
      <c r="J862" s="733">
        <f>$J$9*$E$856</f>
        <v>0</v>
      </c>
      <c r="K862" s="733">
        <f>K$9*$E$856</f>
        <v>0</v>
      </c>
      <c r="L862" s="733">
        <f t="shared" ref="L862:P862" si="857">L$9*$E$856</f>
        <v>0</v>
      </c>
      <c r="M862" s="733">
        <f t="shared" si="857"/>
        <v>0</v>
      </c>
      <c r="N862" s="733">
        <f t="shared" si="857"/>
        <v>0</v>
      </c>
      <c r="O862" s="733">
        <f t="shared" si="857"/>
        <v>0</v>
      </c>
      <c r="P862" s="733">
        <f t="shared" si="857"/>
        <v>0</v>
      </c>
      <c r="Q862" s="734">
        <f t="shared" si="854"/>
        <v>0</v>
      </c>
      <c r="R862" s="733">
        <f>$R$9*$E$856</f>
        <v>0</v>
      </c>
      <c r="S862" s="733">
        <f>$S$9*$E$856</f>
        <v>0</v>
      </c>
      <c r="T862" s="733">
        <f>$T$9*$E$856</f>
        <v>0</v>
      </c>
      <c r="U862" s="733">
        <f>$U$9*$E$856</f>
        <v>0</v>
      </c>
    </row>
    <row r="863" spans="2:21" s="119" customFormat="1" ht="19.5" hidden="1" thickBot="1" x14ac:dyDescent="0.35">
      <c r="B863" s="301"/>
      <c r="C863" s="119">
        <f t="shared" si="852"/>
        <v>0</v>
      </c>
      <c r="D863" s="112" t="s">
        <v>31</v>
      </c>
      <c r="E863" s="76"/>
      <c r="F863" s="750"/>
      <c r="G863" s="735"/>
      <c r="H863" s="736"/>
      <c r="I863" s="735"/>
      <c r="J863" s="735"/>
      <c r="K863" s="735"/>
      <c r="L863" s="735"/>
      <c r="M863" s="735"/>
      <c r="N863" s="735"/>
      <c r="O863" s="735"/>
      <c r="P863" s="735"/>
      <c r="Q863" s="734">
        <f t="shared" si="854"/>
        <v>0</v>
      </c>
      <c r="R863" s="739"/>
      <c r="S863" s="735"/>
      <c r="T863" s="740"/>
      <c r="U863" s="741"/>
    </row>
    <row r="864" spans="2:21" s="119" customFormat="1" ht="19.5" hidden="1" thickBot="1" x14ac:dyDescent="0.35">
      <c r="B864" s="301"/>
      <c r="C864" s="119">
        <f t="shared" si="852"/>
        <v>0</v>
      </c>
      <c r="D864" s="113" t="s">
        <v>118</v>
      </c>
      <c r="E864" s="76" t="s">
        <v>53</v>
      </c>
      <c r="F864" s="733">
        <f>$F$11*$E$856</f>
        <v>0</v>
      </c>
      <c r="G864" s="733">
        <f>$G$11*$E$856</f>
        <v>0</v>
      </c>
      <c r="H864" s="733">
        <f>$H$11*$E$856</f>
        <v>0</v>
      </c>
      <c r="I864" s="733">
        <f>$I$11*$E$856</f>
        <v>0</v>
      </c>
      <c r="J864" s="733">
        <f>$J$11*$E$856</f>
        <v>0</v>
      </c>
      <c r="K864" s="733">
        <f>K$11*$E$856</f>
        <v>0</v>
      </c>
      <c r="L864" s="733">
        <f t="shared" ref="L864:P864" si="858">L$11*$E$856</f>
        <v>0</v>
      </c>
      <c r="M864" s="733">
        <f t="shared" si="858"/>
        <v>0</v>
      </c>
      <c r="N864" s="733">
        <f t="shared" si="858"/>
        <v>0</v>
      </c>
      <c r="O864" s="733">
        <f t="shared" si="858"/>
        <v>0</v>
      </c>
      <c r="P864" s="733">
        <f t="shared" si="858"/>
        <v>0</v>
      </c>
      <c r="Q864" s="734">
        <f t="shared" si="854"/>
        <v>0</v>
      </c>
      <c r="R864" s="733">
        <f>$R$11*$E$856</f>
        <v>0</v>
      </c>
      <c r="S864" s="733">
        <f>$S$11*$E$856</f>
        <v>0</v>
      </c>
      <c r="T864" s="733">
        <f>$T$11*$E$856</f>
        <v>0</v>
      </c>
      <c r="U864" s="733">
        <f>$U$11*$E$856</f>
        <v>0</v>
      </c>
    </row>
    <row r="865" spans="2:21" s="119" customFormat="1" ht="19.5" hidden="1" thickBot="1" x14ac:dyDescent="0.35">
      <c r="B865" s="301"/>
      <c r="C865" s="119">
        <f t="shared" si="852"/>
        <v>0</v>
      </c>
      <c r="D865" s="113" t="s">
        <v>119</v>
      </c>
      <c r="E865" s="76" t="s">
        <v>52</v>
      </c>
      <c r="F865" s="733">
        <f>$F$12*$E$856</f>
        <v>0</v>
      </c>
      <c r="G865" s="733">
        <f>$G$12*$E$856</f>
        <v>0</v>
      </c>
      <c r="H865" s="733">
        <f>$H$12*$E$856</f>
        <v>0</v>
      </c>
      <c r="I865" s="733">
        <f>$I$12*$E$856</f>
        <v>0</v>
      </c>
      <c r="J865" s="733">
        <f>$J$12*$E$856</f>
        <v>0</v>
      </c>
      <c r="K865" s="733">
        <f>K$12*$E$856</f>
        <v>0</v>
      </c>
      <c r="L865" s="733">
        <f t="shared" ref="L865:P865" si="859">L$12*$E$856</f>
        <v>0</v>
      </c>
      <c r="M865" s="733">
        <f t="shared" si="859"/>
        <v>0</v>
      </c>
      <c r="N865" s="733">
        <f t="shared" si="859"/>
        <v>0</v>
      </c>
      <c r="O865" s="733">
        <f t="shared" si="859"/>
        <v>0</v>
      </c>
      <c r="P865" s="733">
        <f t="shared" si="859"/>
        <v>0</v>
      </c>
      <c r="Q865" s="734">
        <f t="shared" si="854"/>
        <v>0</v>
      </c>
      <c r="R865" s="733">
        <f>$R$12*$E$856</f>
        <v>0</v>
      </c>
      <c r="S865" s="733">
        <f>$S$12*$E$856</f>
        <v>0</v>
      </c>
      <c r="T865" s="733">
        <f>$T$12*$E$856</f>
        <v>0</v>
      </c>
      <c r="U865" s="733">
        <f>$U$12*$E$856</f>
        <v>0</v>
      </c>
    </row>
    <row r="866" spans="2:21" s="119" customFormat="1" ht="19.5" hidden="1" thickBot="1" x14ac:dyDescent="0.35">
      <c r="B866" s="301"/>
      <c r="C866" s="119">
        <f t="shared" si="852"/>
        <v>0</v>
      </c>
      <c r="D866" s="113" t="s">
        <v>120</v>
      </c>
      <c r="E866" s="76" t="s">
        <v>51</v>
      </c>
      <c r="F866" s="733">
        <f>$F$13*$E$856</f>
        <v>0</v>
      </c>
      <c r="G866" s="733">
        <f>$G$13*$E$856</f>
        <v>0</v>
      </c>
      <c r="H866" s="733">
        <f>$H$13*$E$856</f>
        <v>0</v>
      </c>
      <c r="I866" s="733">
        <f>$I$13*$E$856</f>
        <v>0</v>
      </c>
      <c r="J866" s="733">
        <f>$J$13*$E$856</f>
        <v>0</v>
      </c>
      <c r="K866" s="733">
        <f>K$13*$E$856</f>
        <v>0</v>
      </c>
      <c r="L866" s="733">
        <f t="shared" ref="L866:P866" si="860">L$13*$E$856</f>
        <v>0</v>
      </c>
      <c r="M866" s="733">
        <f t="shared" si="860"/>
        <v>0</v>
      </c>
      <c r="N866" s="733">
        <f t="shared" si="860"/>
        <v>0</v>
      </c>
      <c r="O866" s="733">
        <f t="shared" si="860"/>
        <v>0</v>
      </c>
      <c r="P866" s="733">
        <f t="shared" si="860"/>
        <v>0</v>
      </c>
      <c r="Q866" s="734">
        <f t="shared" si="854"/>
        <v>0</v>
      </c>
      <c r="R866" s="733">
        <f>$R$13*$E$856</f>
        <v>0</v>
      </c>
      <c r="S866" s="733">
        <f>$S$13*$E$856</f>
        <v>0</v>
      </c>
      <c r="T866" s="733">
        <f>$T$13*$E$856</f>
        <v>0</v>
      </c>
      <c r="U866" s="733">
        <f>$U$13*$E$856</f>
        <v>0</v>
      </c>
    </row>
    <row r="867" spans="2:21" s="119" customFormat="1" ht="19.5" hidden="1" thickBot="1" x14ac:dyDescent="0.35">
      <c r="B867" s="301"/>
      <c r="C867" s="119">
        <f t="shared" si="852"/>
        <v>0</v>
      </c>
      <c r="D867" s="113" t="s">
        <v>121</v>
      </c>
      <c r="E867" s="76" t="s">
        <v>50</v>
      </c>
      <c r="F867" s="733">
        <f>$F$14*$E$856</f>
        <v>0</v>
      </c>
      <c r="G867" s="733">
        <f>$G$14*$E$856</f>
        <v>0</v>
      </c>
      <c r="H867" s="733">
        <f>$H$14*$E$856</f>
        <v>0</v>
      </c>
      <c r="I867" s="733">
        <f>$I$14*$E$856</f>
        <v>0</v>
      </c>
      <c r="J867" s="733">
        <f>$J$14*$E$856</f>
        <v>0</v>
      </c>
      <c r="K867" s="733">
        <f>K$14*$E$856</f>
        <v>0</v>
      </c>
      <c r="L867" s="733">
        <f t="shared" ref="L867:P867" si="861">L$14*$E$856</f>
        <v>0</v>
      </c>
      <c r="M867" s="733">
        <f t="shared" si="861"/>
        <v>0</v>
      </c>
      <c r="N867" s="733">
        <f t="shared" si="861"/>
        <v>0</v>
      </c>
      <c r="O867" s="733">
        <f t="shared" si="861"/>
        <v>0</v>
      </c>
      <c r="P867" s="733">
        <f t="shared" si="861"/>
        <v>0</v>
      </c>
      <c r="Q867" s="734">
        <f t="shared" si="854"/>
        <v>0</v>
      </c>
      <c r="R867" s="733">
        <f>$R$14*$E$856</f>
        <v>0</v>
      </c>
      <c r="S867" s="733">
        <f>$S$14*$E$856</f>
        <v>0</v>
      </c>
      <c r="T867" s="733">
        <f>$T$14*$E$856</f>
        <v>0</v>
      </c>
      <c r="U867" s="733">
        <f>$U$14*$E$856</f>
        <v>0</v>
      </c>
    </row>
    <row r="868" spans="2:21" s="119" customFormat="1" ht="19.5" hidden="1" thickBot="1" x14ac:dyDescent="0.35">
      <c r="B868" s="301"/>
      <c r="C868" s="119">
        <f t="shared" si="852"/>
        <v>0</v>
      </c>
      <c r="D868" s="113" t="s">
        <v>122</v>
      </c>
      <c r="E868" s="76" t="s">
        <v>49</v>
      </c>
      <c r="F868" s="733">
        <f>$F$15*$E$856</f>
        <v>0</v>
      </c>
      <c r="G868" s="733">
        <f>$G$15*$E$856</f>
        <v>0</v>
      </c>
      <c r="H868" s="733">
        <f>$H$15*$E$856</f>
        <v>0</v>
      </c>
      <c r="I868" s="733">
        <f>$I$15*$E$856</f>
        <v>0</v>
      </c>
      <c r="J868" s="733">
        <f>$J$15*$E$856</f>
        <v>0</v>
      </c>
      <c r="K868" s="733">
        <f>K$15*$E$856</f>
        <v>0</v>
      </c>
      <c r="L868" s="733">
        <f t="shared" ref="L868:P868" si="862">L$15*$E$856</f>
        <v>0</v>
      </c>
      <c r="M868" s="733">
        <f t="shared" si="862"/>
        <v>0</v>
      </c>
      <c r="N868" s="733">
        <f t="shared" si="862"/>
        <v>0</v>
      </c>
      <c r="O868" s="733">
        <f t="shared" si="862"/>
        <v>0</v>
      </c>
      <c r="P868" s="733">
        <f t="shared" si="862"/>
        <v>0</v>
      </c>
      <c r="Q868" s="734">
        <f t="shared" si="854"/>
        <v>0</v>
      </c>
      <c r="R868" s="733">
        <f>$R$15*$E$856</f>
        <v>0</v>
      </c>
      <c r="S868" s="733">
        <f>$S$15*$E$856</f>
        <v>0</v>
      </c>
      <c r="T868" s="733">
        <f>$T$15*$E$856</f>
        <v>0</v>
      </c>
      <c r="U868" s="733">
        <f>$U$15*$E$856</f>
        <v>0</v>
      </c>
    </row>
    <row r="869" spans="2:21" s="119" customFormat="1" ht="19.5" hidden="1" thickBot="1" x14ac:dyDescent="0.35">
      <c r="B869" s="301"/>
      <c r="C869" s="119">
        <f t="shared" si="852"/>
        <v>0</v>
      </c>
      <c r="D869" s="113" t="s">
        <v>123</v>
      </c>
      <c r="E869" s="76" t="s">
        <v>47</v>
      </c>
      <c r="F869" s="733">
        <f>$F$16*$E$856</f>
        <v>0</v>
      </c>
      <c r="G869" s="733">
        <f>$G$16*$E$856</f>
        <v>0</v>
      </c>
      <c r="H869" s="733">
        <f>$H$16*$E$856</f>
        <v>0</v>
      </c>
      <c r="I869" s="733">
        <f>$I$16*$E$856</f>
        <v>0</v>
      </c>
      <c r="J869" s="733">
        <f>$J$16*$E$856</f>
        <v>0</v>
      </c>
      <c r="K869" s="733">
        <f>K$16*$E$856</f>
        <v>0</v>
      </c>
      <c r="L869" s="733">
        <f t="shared" ref="L869:P869" si="863">L$16*$E$856</f>
        <v>0</v>
      </c>
      <c r="M869" s="733">
        <f t="shared" si="863"/>
        <v>0</v>
      </c>
      <c r="N869" s="733">
        <f t="shared" si="863"/>
        <v>0</v>
      </c>
      <c r="O869" s="733">
        <f t="shared" si="863"/>
        <v>0</v>
      </c>
      <c r="P869" s="733">
        <f t="shared" si="863"/>
        <v>0</v>
      </c>
      <c r="Q869" s="734">
        <f t="shared" si="854"/>
        <v>0</v>
      </c>
      <c r="R869" s="733">
        <f>$R$16*$E$856</f>
        <v>0</v>
      </c>
      <c r="S869" s="733">
        <f>$S$16*$E$856</f>
        <v>0</v>
      </c>
      <c r="T869" s="733">
        <f>$T$16*$E$856</f>
        <v>0</v>
      </c>
      <c r="U869" s="733">
        <f>$U$16*$E$856</f>
        <v>0</v>
      </c>
    </row>
    <row r="870" spans="2:21" s="119" customFormat="1" ht="19.5" hidden="1" thickBot="1" x14ac:dyDescent="0.35">
      <c r="B870" s="301"/>
      <c r="C870" s="119">
        <f t="shared" si="852"/>
        <v>0</v>
      </c>
      <c r="D870" s="114" t="s">
        <v>16</v>
      </c>
      <c r="E870" s="70" t="s">
        <v>77</v>
      </c>
      <c r="F870" s="733">
        <f>$F$17*$E$856</f>
        <v>0</v>
      </c>
      <c r="G870" s="733">
        <f>$G$17*$E$856</f>
        <v>0</v>
      </c>
      <c r="H870" s="733">
        <f>$H$17*$E$856</f>
        <v>0</v>
      </c>
      <c r="I870" s="733">
        <f>$I$17*$E$856</f>
        <v>0</v>
      </c>
      <c r="J870" s="733">
        <f>$J$17*$E$856</f>
        <v>0</v>
      </c>
      <c r="K870" s="733">
        <f>K$17*$E$856</f>
        <v>0</v>
      </c>
      <c r="L870" s="733">
        <f t="shared" ref="L870:P870" si="864">L$17*$E$856</f>
        <v>0</v>
      </c>
      <c r="M870" s="733">
        <f t="shared" si="864"/>
        <v>0</v>
      </c>
      <c r="N870" s="733">
        <f t="shared" si="864"/>
        <v>0</v>
      </c>
      <c r="O870" s="733">
        <f t="shared" si="864"/>
        <v>0</v>
      </c>
      <c r="P870" s="733">
        <f t="shared" si="864"/>
        <v>0</v>
      </c>
      <c r="Q870" s="734">
        <f t="shared" si="854"/>
        <v>0</v>
      </c>
      <c r="R870" s="733">
        <f>$R$17*$E$856</f>
        <v>0</v>
      </c>
      <c r="S870" s="733">
        <f>$S$17*$E$856</f>
        <v>0</v>
      </c>
      <c r="T870" s="733">
        <f ca="1">$T$17*$E$856</f>
        <v>0</v>
      </c>
      <c r="U870" s="733">
        <f ca="1">$U$17*$E$856</f>
        <v>0</v>
      </c>
    </row>
    <row r="871" spans="2:21" s="119" customFormat="1" ht="19.5" hidden="1" thickBot="1" x14ac:dyDescent="0.35">
      <c r="B871" s="301"/>
      <c r="C871" s="119">
        <f t="shared" si="852"/>
        <v>0</v>
      </c>
      <c r="D871" s="115" t="s">
        <v>124</v>
      </c>
      <c r="E871" s="116" t="s">
        <v>78</v>
      </c>
      <c r="F871" s="742">
        <f t="shared" ref="F871:U871" si="865">SUBTOTAL(9,F859:F870)</f>
        <v>0</v>
      </c>
      <c r="G871" s="742">
        <f>SUBTOTAL(9,G859:G870)</f>
        <v>0</v>
      </c>
      <c r="H871" s="742">
        <f>SUBTOTAL(9,H859:H870)</f>
        <v>0</v>
      </c>
      <c r="I871" s="742">
        <f>SUBTOTAL(9,I859:I870)</f>
        <v>0</v>
      </c>
      <c r="J871" s="742">
        <f>SUBTOTAL(9,J859:J870)</f>
        <v>0</v>
      </c>
      <c r="K871" s="742">
        <f>SUBTOTAL(9,K859:K870)</f>
        <v>0</v>
      </c>
      <c r="L871" s="742">
        <f t="shared" ref="L871:P871" si="866">SUBTOTAL(9,L859:L870)</f>
        <v>0</v>
      </c>
      <c r="M871" s="742">
        <f t="shared" si="866"/>
        <v>0</v>
      </c>
      <c r="N871" s="742">
        <f t="shared" si="866"/>
        <v>0</v>
      </c>
      <c r="O871" s="742">
        <f t="shared" si="866"/>
        <v>0</v>
      </c>
      <c r="P871" s="742">
        <f t="shared" si="866"/>
        <v>0</v>
      </c>
      <c r="Q871" s="743">
        <f>SUBTOTAL(9,Q859:Q870)</f>
        <v>0</v>
      </c>
      <c r="R871" s="742">
        <f t="shared" si="865"/>
        <v>0</v>
      </c>
      <c r="S871" s="742">
        <f t="shared" si="865"/>
        <v>0</v>
      </c>
      <c r="T871" s="742">
        <f t="shared" si="865"/>
        <v>0</v>
      </c>
      <c r="U871" s="742">
        <f t="shared" si="865"/>
        <v>0</v>
      </c>
    </row>
    <row r="872" spans="2:21" s="119" customFormat="1" ht="19.5" hidden="1" thickBot="1" x14ac:dyDescent="0.3">
      <c r="B872" s="340"/>
      <c r="D872" s="117"/>
      <c r="E872" s="117"/>
      <c r="F872" s="118"/>
      <c r="G872" s="118"/>
      <c r="I872" s="118"/>
      <c r="J872" s="118"/>
      <c r="K872" s="118"/>
      <c r="L872" s="118"/>
      <c r="O872" s="118"/>
      <c r="Q872" s="120"/>
      <c r="R872" s="117"/>
      <c r="S872" s="118"/>
      <c r="U872" s="118"/>
    </row>
    <row r="873" spans="2:21" s="119" customFormat="1" ht="75.75" hidden="1" thickBot="1" x14ac:dyDescent="0.3">
      <c r="B873" s="301"/>
      <c r="C873" s="119">
        <f>IF($E873&gt;0,1,0)</f>
        <v>0</v>
      </c>
      <c r="D873" s="96" t="str">
        <f>A54</f>
        <v>Steuben</v>
      </c>
      <c r="E873" s="166">
        <f>IFERROR(SUMIF(A:A,D873,B:B),0)</f>
        <v>0</v>
      </c>
      <c r="F873" s="98" t="s">
        <v>356</v>
      </c>
      <c r="G873" s="98" t="s">
        <v>373</v>
      </c>
      <c r="H873" s="98" t="s">
        <v>358</v>
      </c>
      <c r="I873" s="98" t="s">
        <v>109</v>
      </c>
      <c r="J873" s="98" t="s">
        <v>111</v>
      </c>
      <c r="K873" s="98" t="s">
        <v>469</v>
      </c>
      <c r="L873" s="98" t="s">
        <v>470</v>
      </c>
      <c r="M873" s="98" t="s">
        <v>357</v>
      </c>
      <c r="N873" s="509" t="s">
        <v>471</v>
      </c>
      <c r="O873" s="98" t="s">
        <v>472</v>
      </c>
      <c r="P873" s="98" t="s">
        <v>110</v>
      </c>
      <c r="Q873" s="99" t="s">
        <v>116</v>
      </c>
      <c r="R873" s="98" t="s">
        <v>112</v>
      </c>
      <c r="S873" s="98" t="s">
        <v>113</v>
      </c>
      <c r="T873" s="98" t="s">
        <v>114</v>
      </c>
      <c r="U873" s="98" t="s">
        <v>115</v>
      </c>
    </row>
    <row r="874" spans="2:21" s="119" customFormat="1" ht="19.5" hidden="1" thickBot="1" x14ac:dyDescent="0.3">
      <c r="B874" s="301"/>
      <c r="C874" s="119">
        <f>C873</f>
        <v>0</v>
      </c>
      <c r="D874" s="101"/>
      <c r="E874" s="102"/>
      <c r="F874" s="84" t="s">
        <v>57</v>
      </c>
      <c r="G874" s="84" t="s">
        <v>56</v>
      </c>
      <c r="H874" s="84" t="s">
        <v>55</v>
      </c>
      <c r="I874" s="84" t="s">
        <v>54</v>
      </c>
      <c r="J874" s="84" t="s">
        <v>53</v>
      </c>
      <c r="K874" s="84" t="s">
        <v>52</v>
      </c>
      <c r="L874" s="84" t="s">
        <v>51</v>
      </c>
      <c r="M874" s="84" t="s">
        <v>50</v>
      </c>
      <c r="N874" s="84" t="s">
        <v>49</v>
      </c>
      <c r="O874" s="84" t="s">
        <v>47</v>
      </c>
      <c r="P874" s="84" t="s">
        <v>77</v>
      </c>
      <c r="Q874" s="83" t="s">
        <v>78</v>
      </c>
      <c r="R874" s="84" t="s">
        <v>79</v>
      </c>
      <c r="S874" s="84" t="s">
        <v>81</v>
      </c>
      <c r="T874" s="84" t="s">
        <v>83</v>
      </c>
      <c r="U874" s="84" t="s">
        <v>85</v>
      </c>
    </row>
    <row r="875" spans="2:21" s="119" customFormat="1" ht="19.5" hidden="1" thickBot="1" x14ac:dyDescent="0.35">
      <c r="B875" s="301"/>
      <c r="C875" s="119">
        <f t="shared" ref="C875:C888" si="867">C874</f>
        <v>0</v>
      </c>
      <c r="D875" s="103" t="s">
        <v>26</v>
      </c>
      <c r="E875" s="104"/>
      <c r="F875" s="745"/>
      <c r="G875" s="745"/>
      <c r="H875" s="746"/>
      <c r="I875" s="745"/>
      <c r="J875" s="745"/>
      <c r="K875" s="745"/>
      <c r="L875" s="745"/>
      <c r="M875" s="746"/>
      <c r="N875" s="746"/>
      <c r="O875" s="745"/>
      <c r="P875" s="746"/>
      <c r="Q875" s="747"/>
      <c r="R875" s="748"/>
      <c r="S875" s="745"/>
      <c r="T875" s="746"/>
      <c r="U875" s="749"/>
    </row>
    <row r="876" spans="2:21" s="119" customFormat="1" ht="19.5" hidden="1" thickBot="1" x14ac:dyDescent="0.3">
      <c r="B876" s="301"/>
      <c r="C876" s="119">
        <f t="shared" si="867"/>
        <v>0</v>
      </c>
      <c r="D876" s="109" t="s">
        <v>93</v>
      </c>
      <c r="E876" s="76" t="s">
        <v>57</v>
      </c>
      <c r="F876" s="733">
        <f>$F$6*$E$873</f>
        <v>0</v>
      </c>
      <c r="G876" s="733">
        <f>$G$6*$E$873</f>
        <v>0</v>
      </c>
      <c r="H876" s="733">
        <f>$H$6*$E$873</f>
        <v>0</v>
      </c>
      <c r="I876" s="733">
        <f>$I$6*$E$873</f>
        <v>0</v>
      </c>
      <c r="J876" s="733">
        <f>$J$6*$E$873</f>
        <v>0</v>
      </c>
      <c r="K876" s="733">
        <f>K$6*$E$873</f>
        <v>0</v>
      </c>
      <c r="L876" s="733">
        <f t="shared" ref="L876:O876" si="868">L$6*$E$873</f>
        <v>0</v>
      </c>
      <c r="M876" s="733">
        <f t="shared" si="868"/>
        <v>0</v>
      </c>
      <c r="N876" s="733">
        <f t="shared" si="868"/>
        <v>0</v>
      </c>
      <c r="O876" s="733">
        <f t="shared" si="868"/>
        <v>0</v>
      </c>
      <c r="P876" s="733">
        <f>$P$6*$E$873</f>
        <v>0</v>
      </c>
      <c r="Q876" s="734">
        <f t="shared" ref="Q876:Q887" si="869">SUM(F876:P876)</f>
        <v>0</v>
      </c>
      <c r="R876" s="733">
        <f>$R$6*$E$873</f>
        <v>0</v>
      </c>
      <c r="S876" s="733">
        <f>$S$6*$E$873</f>
        <v>0</v>
      </c>
      <c r="T876" s="733">
        <f ca="1">$T$6*$E$873</f>
        <v>0</v>
      </c>
      <c r="U876" s="733">
        <f ca="1">$U$6*$E$873</f>
        <v>0</v>
      </c>
    </row>
    <row r="877" spans="2:21" s="119" customFormat="1" ht="19.5" hidden="1" thickBot="1" x14ac:dyDescent="0.3">
      <c r="B877" s="301"/>
      <c r="C877" s="119">
        <f t="shared" si="867"/>
        <v>0</v>
      </c>
      <c r="D877" s="110" t="s">
        <v>92</v>
      </c>
      <c r="E877" s="76" t="s">
        <v>56</v>
      </c>
      <c r="F877" s="733">
        <f>$F$7*$E$873</f>
        <v>0</v>
      </c>
      <c r="G877" s="733">
        <f>$G$7*$E$873</f>
        <v>0</v>
      </c>
      <c r="H877" s="733">
        <f>$H$7*$E$873</f>
        <v>0</v>
      </c>
      <c r="I877" s="733">
        <f>$I$7*$E$873</f>
        <v>0</v>
      </c>
      <c r="J877" s="733">
        <f>$J$7*$E$873</f>
        <v>0</v>
      </c>
      <c r="K877" s="733">
        <f>K$7*$E$873</f>
        <v>0</v>
      </c>
      <c r="L877" s="733">
        <f t="shared" ref="L877:O877" si="870">L$7*$E$873</f>
        <v>0</v>
      </c>
      <c r="M877" s="733">
        <f t="shared" si="870"/>
        <v>0</v>
      </c>
      <c r="N877" s="733">
        <f t="shared" si="870"/>
        <v>0</v>
      </c>
      <c r="O877" s="733">
        <f t="shared" si="870"/>
        <v>0</v>
      </c>
      <c r="P877" s="733">
        <f>$P$7*$E$873</f>
        <v>0</v>
      </c>
      <c r="Q877" s="734">
        <f t="shared" si="869"/>
        <v>0</v>
      </c>
      <c r="R877" s="733">
        <f>$R$7*$E$873</f>
        <v>0</v>
      </c>
      <c r="S877" s="733">
        <f>$S$7*$E$873</f>
        <v>0</v>
      </c>
      <c r="T877" s="733">
        <f>$T$7*$E$873</f>
        <v>0</v>
      </c>
      <c r="U877" s="733">
        <f>$U$7*$E$873</f>
        <v>0</v>
      </c>
    </row>
    <row r="878" spans="2:21" s="119" customFormat="1" ht="19.5" hidden="1" thickBot="1" x14ac:dyDescent="0.3">
      <c r="B878" s="301"/>
      <c r="C878" s="119">
        <f t="shared" si="867"/>
        <v>0</v>
      </c>
      <c r="D878" s="110" t="s">
        <v>91</v>
      </c>
      <c r="E878" s="76" t="s">
        <v>55</v>
      </c>
      <c r="F878" s="733">
        <f>$F$8*$E$873</f>
        <v>0</v>
      </c>
      <c r="G878" s="733">
        <f>$G$8*$E$873</f>
        <v>0</v>
      </c>
      <c r="H878" s="733">
        <f>$H$8*$E$873</f>
        <v>0</v>
      </c>
      <c r="I878" s="733">
        <f>$I$8*$E$873</f>
        <v>0</v>
      </c>
      <c r="J878" s="733">
        <f>$J$8*$E$873</f>
        <v>0</v>
      </c>
      <c r="K878" s="733">
        <f>K$8*$E$873</f>
        <v>0</v>
      </c>
      <c r="L878" s="733">
        <f t="shared" ref="L878:O878" si="871">L$8*$E$873</f>
        <v>0</v>
      </c>
      <c r="M878" s="733">
        <f t="shared" si="871"/>
        <v>0</v>
      </c>
      <c r="N878" s="733">
        <f t="shared" si="871"/>
        <v>0</v>
      </c>
      <c r="O878" s="733">
        <f t="shared" si="871"/>
        <v>0</v>
      </c>
      <c r="P878" s="733">
        <f>$P$8*$E$873</f>
        <v>0</v>
      </c>
      <c r="Q878" s="734">
        <f t="shared" si="869"/>
        <v>0</v>
      </c>
      <c r="R878" s="733">
        <f>$R$8*$E$873</f>
        <v>0</v>
      </c>
      <c r="S878" s="733">
        <f>$S$8*$E$873</f>
        <v>0</v>
      </c>
      <c r="T878" s="733">
        <f ca="1">$T$8*$E$873</f>
        <v>0</v>
      </c>
      <c r="U878" s="733">
        <f ca="1">$U$8*$E$873</f>
        <v>0</v>
      </c>
    </row>
    <row r="879" spans="2:21" s="119" customFormat="1" ht="19.5" hidden="1" thickBot="1" x14ac:dyDescent="0.3">
      <c r="B879" s="301"/>
      <c r="C879" s="119">
        <f t="shared" si="867"/>
        <v>0</v>
      </c>
      <c r="D879" s="111" t="s">
        <v>117</v>
      </c>
      <c r="E879" s="76" t="s">
        <v>54</v>
      </c>
      <c r="F879" s="733">
        <f>$F$9*$E$873</f>
        <v>0</v>
      </c>
      <c r="G879" s="733">
        <f>$G$9*$E$873</f>
        <v>0</v>
      </c>
      <c r="H879" s="733">
        <f>$H$9*$E$873</f>
        <v>0</v>
      </c>
      <c r="I879" s="733">
        <f>$I$9*$E$873</f>
        <v>0</v>
      </c>
      <c r="J879" s="733">
        <f>$J$9*$E$873</f>
        <v>0</v>
      </c>
      <c r="K879" s="733">
        <f>K$9*$E$873</f>
        <v>0</v>
      </c>
      <c r="L879" s="733">
        <f t="shared" ref="L879:O879" si="872">L$9*$E$873</f>
        <v>0</v>
      </c>
      <c r="M879" s="733">
        <f t="shared" si="872"/>
        <v>0</v>
      </c>
      <c r="N879" s="733">
        <f t="shared" si="872"/>
        <v>0</v>
      </c>
      <c r="O879" s="733">
        <f t="shared" si="872"/>
        <v>0</v>
      </c>
      <c r="P879" s="733">
        <f>$P$9*$E$873</f>
        <v>0</v>
      </c>
      <c r="Q879" s="734">
        <f t="shared" si="869"/>
        <v>0</v>
      </c>
      <c r="R879" s="733">
        <f>$R$9*$E$873</f>
        <v>0</v>
      </c>
      <c r="S879" s="733">
        <f>$S$9*$E$873</f>
        <v>0</v>
      </c>
      <c r="T879" s="733">
        <f>$T$9*$E$873</f>
        <v>0</v>
      </c>
      <c r="U879" s="733">
        <f>$U$9*$E$873</f>
        <v>0</v>
      </c>
    </row>
    <row r="880" spans="2:21" s="119" customFormat="1" ht="19.5" hidden="1" thickBot="1" x14ac:dyDescent="0.35">
      <c r="B880" s="301"/>
      <c r="C880" s="119">
        <f t="shared" si="867"/>
        <v>0</v>
      </c>
      <c r="D880" s="112" t="s">
        <v>31</v>
      </c>
      <c r="E880" s="76"/>
      <c r="F880" s="750"/>
      <c r="G880" s="735"/>
      <c r="H880" s="736"/>
      <c r="I880" s="735"/>
      <c r="J880" s="735"/>
      <c r="K880" s="735"/>
      <c r="L880" s="735"/>
      <c r="M880" s="735"/>
      <c r="N880" s="735"/>
      <c r="O880" s="735"/>
      <c r="P880" s="738"/>
      <c r="Q880" s="734">
        <f t="shared" si="869"/>
        <v>0</v>
      </c>
      <c r="R880" s="739"/>
      <c r="S880" s="735"/>
      <c r="T880" s="740"/>
      <c r="U880" s="741"/>
    </row>
    <row r="881" spans="2:21" s="119" customFormat="1" ht="19.5" hidden="1" thickBot="1" x14ac:dyDescent="0.35">
      <c r="B881" s="301"/>
      <c r="C881" s="119">
        <f t="shared" si="867"/>
        <v>0</v>
      </c>
      <c r="D881" s="113" t="s">
        <v>118</v>
      </c>
      <c r="E881" s="76" t="s">
        <v>53</v>
      </c>
      <c r="F881" s="733">
        <f>$F$11*$E$873</f>
        <v>0</v>
      </c>
      <c r="G881" s="733">
        <f>$G$11*$E$873</f>
        <v>0</v>
      </c>
      <c r="H881" s="733">
        <f>$H$11*$E$873</f>
        <v>0</v>
      </c>
      <c r="I881" s="733">
        <f>$I$11*$E$873</f>
        <v>0</v>
      </c>
      <c r="J881" s="733">
        <f>$J$11*$E$873</f>
        <v>0</v>
      </c>
      <c r="K881" s="733">
        <f>K$11*$E$873</f>
        <v>0</v>
      </c>
      <c r="L881" s="733">
        <f t="shared" ref="L881:O881" si="873">L$11*$E$873</f>
        <v>0</v>
      </c>
      <c r="M881" s="733">
        <f t="shared" si="873"/>
        <v>0</v>
      </c>
      <c r="N881" s="733">
        <f t="shared" si="873"/>
        <v>0</v>
      </c>
      <c r="O881" s="733">
        <f t="shared" si="873"/>
        <v>0</v>
      </c>
      <c r="P881" s="733">
        <f>$P$11*$E$873</f>
        <v>0</v>
      </c>
      <c r="Q881" s="734">
        <f t="shared" si="869"/>
        <v>0</v>
      </c>
      <c r="R881" s="733">
        <f>$R$11*$E$873</f>
        <v>0</v>
      </c>
      <c r="S881" s="733">
        <f>$S$11*$E$873</f>
        <v>0</v>
      </c>
      <c r="T881" s="733">
        <f>$T$11*$E$873</f>
        <v>0</v>
      </c>
      <c r="U881" s="733">
        <f>$U$11*$E$873</f>
        <v>0</v>
      </c>
    </row>
    <row r="882" spans="2:21" s="119" customFormat="1" ht="19.5" hidden="1" thickBot="1" x14ac:dyDescent="0.35">
      <c r="B882" s="301"/>
      <c r="C882" s="119">
        <f t="shared" si="867"/>
        <v>0</v>
      </c>
      <c r="D882" s="113" t="s">
        <v>119</v>
      </c>
      <c r="E882" s="76" t="s">
        <v>52</v>
      </c>
      <c r="F882" s="733">
        <f>$F$12*$E$873</f>
        <v>0</v>
      </c>
      <c r="G882" s="733">
        <f>$G$12*$E$873</f>
        <v>0</v>
      </c>
      <c r="H882" s="733">
        <f>$H$12*$E$873</f>
        <v>0</v>
      </c>
      <c r="I882" s="733">
        <f>$I$12*$E$873</f>
        <v>0</v>
      </c>
      <c r="J882" s="733">
        <f>$J$12*$E$873</f>
        <v>0</v>
      </c>
      <c r="K882" s="733">
        <f>K$12*$E$873</f>
        <v>0</v>
      </c>
      <c r="L882" s="733">
        <f t="shared" ref="L882:O882" si="874">L$12*$E$873</f>
        <v>0</v>
      </c>
      <c r="M882" s="733">
        <f t="shared" si="874"/>
        <v>0</v>
      </c>
      <c r="N882" s="733">
        <f t="shared" si="874"/>
        <v>0</v>
      </c>
      <c r="O882" s="733">
        <f t="shared" si="874"/>
        <v>0</v>
      </c>
      <c r="P882" s="733">
        <f>$P$12*$E$873</f>
        <v>0</v>
      </c>
      <c r="Q882" s="734">
        <f t="shared" si="869"/>
        <v>0</v>
      </c>
      <c r="R882" s="733">
        <f>$R$12*$E$873</f>
        <v>0</v>
      </c>
      <c r="S882" s="733">
        <f>$S$12*$E$873</f>
        <v>0</v>
      </c>
      <c r="T882" s="733">
        <f>$T$12*$E$873</f>
        <v>0</v>
      </c>
      <c r="U882" s="733">
        <f>$U$12*$E$873</f>
        <v>0</v>
      </c>
    </row>
    <row r="883" spans="2:21" s="119" customFormat="1" ht="19.5" hidden="1" thickBot="1" x14ac:dyDescent="0.35">
      <c r="B883" s="301"/>
      <c r="C883" s="119">
        <f t="shared" si="867"/>
        <v>0</v>
      </c>
      <c r="D883" s="113" t="s">
        <v>120</v>
      </c>
      <c r="E883" s="76" t="s">
        <v>51</v>
      </c>
      <c r="F883" s="733">
        <f>$F$13*$E$873</f>
        <v>0</v>
      </c>
      <c r="G883" s="733">
        <f>$G$13*$E$873</f>
        <v>0</v>
      </c>
      <c r="H883" s="733">
        <f>$H$13*$E$873</f>
        <v>0</v>
      </c>
      <c r="I883" s="733">
        <f>$I$13*$E$873</f>
        <v>0</v>
      </c>
      <c r="J883" s="733">
        <f>$J$13*$E$873</f>
        <v>0</v>
      </c>
      <c r="K883" s="733">
        <f>K$13*$E$873</f>
        <v>0</v>
      </c>
      <c r="L883" s="733">
        <f t="shared" ref="L883:O883" si="875">L$13*$E$873</f>
        <v>0</v>
      </c>
      <c r="M883" s="733">
        <f t="shared" si="875"/>
        <v>0</v>
      </c>
      <c r="N883" s="733">
        <f t="shared" si="875"/>
        <v>0</v>
      </c>
      <c r="O883" s="733">
        <f t="shared" si="875"/>
        <v>0</v>
      </c>
      <c r="P883" s="733">
        <f>$P$13*$E$873</f>
        <v>0</v>
      </c>
      <c r="Q883" s="734">
        <f t="shared" si="869"/>
        <v>0</v>
      </c>
      <c r="R883" s="733">
        <f>$R$13*$E$873</f>
        <v>0</v>
      </c>
      <c r="S883" s="733">
        <f>$S$13*$E$873</f>
        <v>0</v>
      </c>
      <c r="T883" s="733">
        <f>$T$13*$E$873</f>
        <v>0</v>
      </c>
      <c r="U883" s="733">
        <f>$U$13*$E$873</f>
        <v>0</v>
      </c>
    </row>
    <row r="884" spans="2:21" s="119" customFormat="1" ht="19.5" hidden="1" thickBot="1" x14ac:dyDescent="0.35">
      <c r="B884" s="301"/>
      <c r="C884" s="119">
        <f t="shared" si="867"/>
        <v>0</v>
      </c>
      <c r="D884" s="113" t="s">
        <v>121</v>
      </c>
      <c r="E884" s="76" t="s">
        <v>50</v>
      </c>
      <c r="F884" s="733">
        <f>$F$14*$E$873</f>
        <v>0</v>
      </c>
      <c r="G884" s="733">
        <f>$G$14*$E$873</f>
        <v>0</v>
      </c>
      <c r="H884" s="733">
        <f>$H$14*$E$873</f>
        <v>0</v>
      </c>
      <c r="I884" s="733">
        <f>$I$14*$E$873</f>
        <v>0</v>
      </c>
      <c r="J884" s="733">
        <f>$J$14*$E$873</f>
        <v>0</v>
      </c>
      <c r="K884" s="733">
        <f>K$14*$E$873</f>
        <v>0</v>
      </c>
      <c r="L884" s="733">
        <f t="shared" ref="L884:O884" si="876">L$14*$E$873</f>
        <v>0</v>
      </c>
      <c r="M884" s="733">
        <f t="shared" si="876"/>
        <v>0</v>
      </c>
      <c r="N884" s="733">
        <f t="shared" si="876"/>
        <v>0</v>
      </c>
      <c r="O884" s="733">
        <f t="shared" si="876"/>
        <v>0</v>
      </c>
      <c r="P884" s="733">
        <f>$P$14*$E$873</f>
        <v>0</v>
      </c>
      <c r="Q884" s="734">
        <f t="shared" si="869"/>
        <v>0</v>
      </c>
      <c r="R884" s="733">
        <f>$R$14*$E$873</f>
        <v>0</v>
      </c>
      <c r="S884" s="733">
        <f>$S$14*$E$873</f>
        <v>0</v>
      </c>
      <c r="T884" s="733">
        <f>$T$14*$E$873</f>
        <v>0</v>
      </c>
      <c r="U884" s="733">
        <f>$U$14*$E$873</f>
        <v>0</v>
      </c>
    </row>
    <row r="885" spans="2:21" s="119" customFormat="1" ht="19.5" hidden="1" thickBot="1" x14ac:dyDescent="0.35">
      <c r="B885" s="301"/>
      <c r="C885" s="119">
        <f t="shared" si="867"/>
        <v>0</v>
      </c>
      <c r="D885" s="113" t="s">
        <v>122</v>
      </c>
      <c r="E885" s="76" t="s">
        <v>49</v>
      </c>
      <c r="F885" s="733">
        <f>$F$15*$E$873</f>
        <v>0</v>
      </c>
      <c r="G885" s="733">
        <f>$G$15*$E$873</f>
        <v>0</v>
      </c>
      <c r="H885" s="733">
        <f>$H$15*$E$873</f>
        <v>0</v>
      </c>
      <c r="I885" s="733">
        <f>$I$15*$E$873</f>
        <v>0</v>
      </c>
      <c r="J885" s="733">
        <f>$J$15*$E$873</f>
        <v>0</v>
      </c>
      <c r="K885" s="733">
        <f>K$15*$E$873</f>
        <v>0</v>
      </c>
      <c r="L885" s="733">
        <f t="shared" ref="L885:O885" si="877">L$15*$E$873</f>
        <v>0</v>
      </c>
      <c r="M885" s="733">
        <f t="shared" si="877"/>
        <v>0</v>
      </c>
      <c r="N885" s="733">
        <f t="shared" si="877"/>
        <v>0</v>
      </c>
      <c r="O885" s="733">
        <f t="shared" si="877"/>
        <v>0</v>
      </c>
      <c r="P885" s="733">
        <f>$P$15*$E$873</f>
        <v>0</v>
      </c>
      <c r="Q885" s="734">
        <f t="shared" si="869"/>
        <v>0</v>
      </c>
      <c r="R885" s="733">
        <f>$R$15*$E$873</f>
        <v>0</v>
      </c>
      <c r="S885" s="733">
        <f>$S$15*$E$873</f>
        <v>0</v>
      </c>
      <c r="T885" s="733">
        <f>$T$15*$E$873</f>
        <v>0</v>
      </c>
      <c r="U885" s="733">
        <f>$U$15*$E$873</f>
        <v>0</v>
      </c>
    </row>
    <row r="886" spans="2:21" s="119" customFormat="1" ht="19.5" hidden="1" thickBot="1" x14ac:dyDescent="0.35">
      <c r="B886" s="301"/>
      <c r="C886" s="119">
        <f t="shared" si="867"/>
        <v>0</v>
      </c>
      <c r="D886" s="113" t="s">
        <v>123</v>
      </c>
      <c r="E886" s="76" t="s">
        <v>47</v>
      </c>
      <c r="F886" s="733">
        <f>$F$16*$E$873</f>
        <v>0</v>
      </c>
      <c r="G886" s="733">
        <f>$G$16*$E$873</f>
        <v>0</v>
      </c>
      <c r="H886" s="733">
        <f>$H$16*$E$873</f>
        <v>0</v>
      </c>
      <c r="I886" s="733">
        <f>$I$16*$E$873</f>
        <v>0</v>
      </c>
      <c r="J886" s="733">
        <f>$J$16*$E$873</f>
        <v>0</v>
      </c>
      <c r="K886" s="733">
        <f>K$16*$E$873</f>
        <v>0</v>
      </c>
      <c r="L886" s="733">
        <f t="shared" ref="L886:O886" si="878">L$16*$E$873</f>
        <v>0</v>
      </c>
      <c r="M886" s="733">
        <f t="shared" si="878"/>
        <v>0</v>
      </c>
      <c r="N886" s="733">
        <f t="shared" si="878"/>
        <v>0</v>
      </c>
      <c r="O886" s="733">
        <f t="shared" si="878"/>
        <v>0</v>
      </c>
      <c r="P886" s="733">
        <f>$P$16*$E$873</f>
        <v>0</v>
      </c>
      <c r="Q886" s="734">
        <f t="shared" si="869"/>
        <v>0</v>
      </c>
      <c r="R886" s="733">
        <f>$R$16*$E$873</f>
        <v>0</v>
      </c>
      <c r="S886" s="733">
        <f>$S$16*$E$873</f>
        <v>0</v>
      </c>
      <c r="T886" s="733">
        <f>$T$16*$E$873</f>
        <v>0</v>
      </c>
      <c r="U886" s="733">
        <f>$U$16*$E$873</f>
        <v>0</v>
      </c>
    </row>
    <row r="887" spans="2:21" s="119" customFormat="1" ht="19.5" hidden="1" thickBot="1" x14ac:dyDescent="0.35">
      <c r="B887" s="301"/>
      <c r="C887" s="119">
        <f t="shared" si="867"/>
        <v>0</v>
      </c>
      <c r="D887" s="114" t="s">
        <v>16</v>
      </c>
      <c r="E887" s="70" t="s">
        <v>77</v>
      </c>
      <c r="F887" s="733">
        <f>$F$17*$E$873</f>
        <v>0</v>
      </c>
      <c r="G887" s="733">
        <f>$G$17*$E$873</f>
        <v>0</v>
      </c>
      <c r="H887" s="733">
        <f>$H$17*$E$873</f>
        <v>0</v>
      </c>
      <c r="I887" s="733">
        <f>$I$17*$E$873</f>
        <v>0</v>
      </c>
      <c r="J887" s="733">
        <f>$J$17*$E$873</f>
        <v>0</v>
      </c>
      <c r="K887" s="733">
        <f>K$17*$E$873</f>
        <v>0</v>
      </c>
      <c r="L887" s="733">
        <f t="shared" ref="L887:O887" si="879">L$17*$E$873</f>
        <v>0</v>
      </c>
      <c r="M887" s="733">
        <f t="shared" si="879"/>
        <v>0</v>
      </c>
      <c r="N887" s="733">
        <f t="shared" si="879"/>
        <v>0</v>
      </c>
      <c r="O887" s="733">
        <f t="shared" si="879"/>
        <v>0</v>
      </c>
      <c r="P887" s="733">
        <f>$P$17*$E$873</f>
        <v>0</v>
      </c>
      <c r="Q887" s="734">
        <f t="shared" si="869"/>
        <v>0</v>
      </c>
      <c r="R887" s="733">
        <f>$R$17*$E$873</f>
        <v>0</v>
      </c>
      <c r="S887" s="733">
        <f>$S$17*$E$873</f>
        <v>0</v>
      </c>
      <c r="T887" s="733">
        <f ca="1">$T$17*$E$873</f>
        <v>0</v>
      </c>
      <c r="U887" s="733">
        <f ca="1">$U$17*$E$873</f>
        <v>0</v>
      </c>
    </row>
    <row r="888" spans="2:21" s="119" customFormat="1" ht="19.5" hidden="1" thickBot="1" x14ac:dyDescent="0.35">
      <c r="B888" s="301"/>
      <c r="C888" s="119">
        <f t="shared" si="867"/>
        <v>0</v>
      </c>
      <c r="D888" s="115" t="s">
        <v>124</v>
      </c>
      <c r="E888" s="116" t="s">
        <v>78</v>
      </c>
      <c r="F888" s="742">
        <f t="shared" ref="F888:U888" si="880">SUBTOTAL(9,F876:F887)</f>
        <v>0</v>
      </c>
      <c r="G888" s="742">
        <f>SUBTOTAL(9,G876:G887)</f>
        <v>0</v>
      </c>
      <c r="H888" s="742">
        <f>SUBTOTAL(9,H876:H887)</f>
        <v>0</v>
      </c>
      <c r="I888" s="742">
        <f>SUBTOTAL(9,I876:I887)</f>
        <v>0</v>
      </c>
      <c r="J888" s="742">
        <f>SUBTOTAL(9,J876:J887)</f>
        <v>0</v>
      </c>
      <c r="K888" s="742">
        <f>SUBTOTAL(9,K876:K887)</f>
        <v>0</v>
      </c>
      <c r="L888" s="742">
        <f t="shared" ref="L888:O888" si="881">SUBTOTAL(9,L876:L887)</f>
        <v>0</v>
      </c>
      <c r="M888" s="742">
        <f t="shared" si="881"/>
        <v>0</v>
      </c>
      <c r="N888" s="742">
        <f t="shared" si="881"/>
        <v>0</v>
      </c>
      <c r="O888" s="742">
        <f t="shared" si="881"/>
        <v>0</v>
      </c>
      <c r="P888" s="742">
        <f t="shared" si="880"/>
        <v>0</v>
      </c>
      <c r="Q888" s="743">
        <f>SUBTOTAL(9,Q876:Q887)</f>
        <v>0</v>
      </c>
      <c r="R888" s="742">
        <f t="shared" si="880"/>
        <v>0</v>
      </c>
      <c r="S888" s="742">
        <f t="shared" si="880"/>
        <v>0</v>
      </c>
      <c r="T888" s="742">
        <f t="shared" si="880"/>
        <v>0</v>
      </c>
      <c r="U888" s="742">
        <f t="shared" si="880"/>
        <v>0</v>
      </c>
    </row>
    <row r="889" spans="2:21" s="119" customFormat="1" ht="19.5" hidden="1" thickBot="1" x14ac:dyDescent="0.3">
      <c r="B889" s="340"/>
      <c r="D889" s="117"/>
      <c r="E889" s="117"/>
      <c r="F889" s="118"/>
      <c r="G889" s="118"/>
      <c r="I889" s="118"/>
      <c r="J889" s="118"/>
      <c r="K889" s="118"/>
      <c r="L889" s="118"/>
      <c r="O889" s="118"/>
      <c r="Q889" s="120"/>
      <c r="R889" s="117"/>
      <c r="S889" s="118"/>
      <c r="U889" s="118"/>
    </row>
    <row r="890" spans="2:21" ht="75" x14ac:dyDescent="0.25">
      <c r="B890" s="790"/>
      <c r="C890" s="117">
        <f>IF($E890&gt;0,1,0)</f>
        <v>1</v>
      </c>
      <c r="D890" s="96" t="str">
        <f>A55</f>
        <v>Suffolk</v>
      </c>
      <c r="E890" s="166">
        <f>IFERROR(SUMIF(A:A,D890,B:B),0)</f>
        <v>1.3789830938469415E-5</v>
      </c>
      <c r="F890" s="98" t="s">
        <v>356</v>
      </c>
      <c r="G890" s="98" t="s">
        <v>373</v>
      </c>
      <c r="H890" s="98" t="s">
        <v>358</v>
      </c>
      <c r="I890" s="98" t="s">
        <v>109</v>
      </c>
      <c r="J890" s="98" t="s">
        <v>111</v>
      </c>
      <c r="K890" s="98" t="s">
        <v>469</v>
      </c>
      <c r="L890" s="98" t="s">
        <v>470</v>
      </c>
      <c r="M890" s="98" t="s">
        <v>357</v>
      </c>
      <c r="N890" s="509" t="s">
        <v>471</v>
      </c>
      <c r="O890" s="98" t="s">
        <v>472</v>
      </c>
      <c r="P890" s="98" t="s">
        <v>110</v>
      </c>
      <c r="Q890" s="99" t="s">
        <v>116</v>
      </c>
      <c r="R890" s="98" t="s">
        <v>112</v>
      </c>
      <c r="S890" s="98" t="s">
        <v>113</v>
      </c>
      <c r="T890" s="98" t="s">
        <v>114</v>
      </c>
      <c r="U890" s="98" t="s">
        <v>115</v>
      </c>
    </row>
    <row r="891" spans="2:21" ht="18.75" x14ac:dyDescent="0.25">
      <c r="B891" s="790"/>
      <c r="C891" s="117">
        <f>C890</f>
        <v>1</v>
      </c>
      <c r="D891" s="101"/>
      <c r="E891" s="102"/>
      <c r="F891" s="84" t="s">
        <v>57</v>
      </c>
      <c r="G891" s="84" t="s">
        <v>56</v>
      </c>
      <c r="H891" s="84" t="s">
        <v>55</v>
      </c>
      <c r="I891" s="84" t="s">
        <v>54</v>
      </c>
      <c r="J891" s="84" t="s">
        <v>53</v>
      </c>
      <c r="K891" s="84" t="s">
        <v>52</v>
      </c>
      <c r="L891" s="84" t="s">
        <v>51</v>
      </c>
      <c r="M891" s="84" t="s">
        <v>50</v>
      </c>
      <c r="N891" s="84" t="s">
        <v>49</v>
      </c>
      <c r="O891" s="84" t="s">
        <v>47</v>
      </c>
      <c r="P891" s="84" t="s">
        <v>77</v>
      </c>
      <c r="Q891" s="83" t="s">
        <v>78</v>
      </c>
      <c r="R891" s="84" t="s">
        <v>79</v>
      </c>
      <c r="S891" s="84" t="s">
        <v>81</v>
      </c>
      <c r="T891" s="84" t="s">
        <v>83</v>
      </c>
      <c r="U891" s="84" t="s">
        <v>85</v>
      </c>
    </row>
    <row r="892" spans="2:21" ht="18.75" x14ac:dyDescent="0.25">
      <c r="B892" s="790"/>
      <c r="C892" s="117">
        <f t="shared" ref="C892:C905" si="882">C891</f>
        <v>1</v>
      </c>
      <c r="D892" s="103" t="s">
        <v>26</v>
      </c>
      <c r="E892" s="104"/>
      <c r="F892" s="745"/>
      <c r="G892" s="745"/>
      <c r="H892" s="784"/>
      <c r="I892" s="745"/>
      <c r="J892" s="745"/>
      <c r="K892" s="745"/>
      <c r="L892" s="745"/>
      <c r="M892" s="784"/>
      <c r="N892" s="784"/>
      <c r="O892" s="745"/>
      <c r="P892" s="784"/>
      <c r="Q892" s="747"/>
      <c r="R892" s="748"/>
      <c r="S892" s="745"/>
      <c r="T892" s="784"/>
      <c r="U892" s="749"/>
    </row>
    <row r="893" spans="2:21" ht="18.75" x14ac:dyDescent="0.25">
      <c r="B893" s="790"/>
      <c r="C893" s="117">
        <f t="shared" si="882"/>
        <v>1</v>
      </c>
      <c r="D893" s="763" t="s">
        <v>93</v>
      </c>
      <c r="E893" s="84" t="s">
        <v>57</v>
      </c>
      <c r="F893" s="733">
        <f>$F$6*$E$890</f>
        <v>1740.7396979991088</v>
      </c>
      <c r="G893" s="733">
        <f>$G$6*$E$890</f>
        <v>120.56512195241368</v>
      </c>
      <c r="H893" s="733">
        <f>$H$6*$E$890</f>
        <v>0.27032012531048455</v>
      </c>
      <c r="I893" s="733">
        <f>$I$6*$E$890</f>
        <v>43.309739127841254</v>
      </c>
      <c r="J893" s="733">
        <f>$J$6*$E$890</f>
        <v>31.597351460388015</v>
      </c>
      <c r="K893" s="733">
        <f>K$6*$E$890</f>
        <v>1.6999222410748125</v>
      </c>
      <c r="L893" s="733">
        <f t="shared" ref="L893:O893" si="883">L$6*$E$890</f>
        <v>0</v>
      </c>
      <c r="M893" s="733">
        <f t="shared" si="883"/>
        <v>1.2348131693514315</v>
      </c>
      <c r="N893" s="733">
        <f t="shared" si="883"/>
        <v>0</v>
      </c>
      <c r="O893" s="733">
        <f t="shared" si="883"/>
        <v>8.0650606748069489</v>
      </c>
      <c r="P893" s="733">
        <f>$P$6*$E$890</f>
        <v>0</v>
      </c>
      <c r="Q893" s="734">
        <f t="shared" ref="Q893:Q904" si="884">SUM(F893:P893)</f>
        <v>1947.4820267502953</v>
      </c>
      <c r="R893" s="733">
        <f>$R$6*$E$890</f>
        <v>0</v>
      </c>
      <c r="S893" s="733">
        <f>$S$6*$E$890</f>
        <v>148.72775224183573</v>
      </c>
      <c r="T893" s="733">
        <f ca="1">$T$6*$E$890</f>
        <v>61.313842562867386</v>
      </c>
      <c r="U893" s="733">
        <f ca="1">$U$6*$E$890</f>
        <v>45.926839469541726</v>
      </c>
    </row>
    <row r="894" spans="2:21" ht="18.75" x14ac:dyDescent="0.25">
      <c r="B894" s="790"/>
      <c r="C894" s="117">
        <f t="shared" si="882"/>
        <v>1</v>
      </c>
      <c r="D894" s="765" t="s">
        <v>92</v>
      </c>
      <c r="E894" s="84" t="s">
        <v>56</v>
      </c>
      <c r="F894" s="733">
        <f>$F$7*$E$890</f>
        <v>0</v>
      </c>
      <c r="G894" s="733">
        <f>$G$7*$E$890</f>
        <v>0</v>
      </c>
      <c r="H894" s="733">
        <f>$H$7*$E$890</f>
        <v>0</v>
      </c>
      <c r="I894" s="733">
        <f>$I$7*$E$890</f>
        <v>0</v>
      </c>
      <c r="J894" s="733">
        <f>$J$7*$E$890</f>
        <v>0</v>
      </c>
      <c r="K894" s="733">
        <f>K$7*$E$890</f>
        <v>0</v>
      </c>
      <c r="L894" s="733">
        <f t="shared" ref="L894:O894" si="885">L$7*$E$890</f>
        <v>0</v>
      </c>
      <c r="M894" s="733">
        <f t="shared" si="885"/>
        <v>0</v>
      </c>
      <c r="N894" s="733">
        <f t="shared" si="885"/>
        <v>0</v>
      </c>
      <c r="O894" s="733">
        <f t="shared" si="885"/>
        <v>0</v>
      </c>
      <c r="P894" s="733">
        <f>$P$7*$E$890</f>
        <v>0</v>
      </c>
      <c r="Q894" s="734">
        <f t="shared" si="884"/>
        <v>0</v>
      </c>
      <c r="R894" s="733">
        <f>$R$7*$E$890</f>
        <v>0</v>
      </c>
      <c r="S894" s="733">
        <f>$S$7*$E$890</f>
        <v>0</v>
      </c>
      <c r="T894" s="733">
        <f>$T$7*$E$890</f>
        <v>0</v>
      </c>
      <c r="U894" s="733">
        <f>$U$7*$E$890</f>
        <v>0</v>
      </c>
    </row>
    <row r="895" spans="2:21" ht="18.75" x14ac:dyDescent="0.25">
      <c r="B895" s="790"/>
      <c r="C895" s="117">
        <f t="shared" si="882"/>
        <v>1</v>
      </c>
      <c r="D895" s="765" t="s">
        <v>91</v>
      </c>
      <c r="E895" s="84" t="s">
        <v>55</v>
      </c>
      <c r="F895" s="733">
        <f>$F$8*$E$890</f>
        <v>15.49411614415485</v>
      </c>
      <c r="G895" s="733">
        <f>$G$8*$E$890</f>
        <v>0</v>
      </c>
      <c r="H895" s="733">
        <f>$H$8*$E$890</f>
        <v>0</v>
      </c>
      <c r="I895" s="733">
        <f>$I$8*$E$890</f>
        <v>0.25890407586976327</v>
      </c>
      <c r="J895" s="733">
        <f>$J$8*$E$890</f>
        <v>0</v>
      </c>
      <c r="K895" s="733">
        <f>K$8*$E$890</f>
        <v>0</v>
      </c>
      <c r="L895" s="733">
        <f t="shared" ref="L895:O895" si="886">L$8*$E$890</f>
        <v>0</v>
      </c>
      <c r="M895" s="733">
        <f t="shared" si="886"/>
        <v>0</v>
      </c>
      <c r="N895" s="733">
        <f t="shared" si="886"/>
        <v>0</v>
      </c>
      <c r="O895" s="733">
        <f t="shared" si="886"/>
        <v>0.46499309924518867</v>
      </c>
      <c r="P895" s="733">
        <f>$P$8*$E$890</f>
        <v>0</v>
      </c>
      <c r="Q895" s="734">
        <f t="shared" si="884"/>
        <v>16.218013319269801</v>
      </c>
      <c r="R895" s="733">
        <f>$R$8*$E$890</f>
        <v>0</v>
      </c>
      <c r="S895" s="733">
        <f>$S$8*$E$890</f>
        <v>0.46818930626010713</v>
      </c>
      <c r="T895" s="733">
        <f ca="1">$T$8*$E$890</f>
        <v>0.1915875652904234</v>
      </c>
      <c r="U895" s="733">
        <f ca="1">$U$8*$E$890</f>
        <v>1.9112648101369284E-2</v>
      </c>
    </row>
    <row r="896" spans="2:21" ht="18.75" x14ac:dyDescent="0.25">
      <c r="B896" s="790"/>
      <c r="C896" s="117">
        <f t="shared" si="882"/>
        <v>1</v>
      </c>
      <c r="D896" s="766" t="s">
        <v>117</v>
      </c>
      <c r="E896" s="84" t="s">
        <v>54</v>
      </c>
      <c r="F896" s="733">
        <f>$F$9*$E$890</f>
        <v>0</v>
      </c>
      <c r="G896" s="733">
        <f>$G$9*$E$890</f>
        <v>0</v>
      </c>
      <c r="H896" s="733">
        <f>$H$9*$E$890</f>
        <v>0</v>
      </c>
      <c r="I896" s="733">
        <f>$I$9*$E$890</f>
        <v>0</v>
      </c>
      <c r="J896" s="733">
        <f>$J$9*$E$890</f>
        <v>0</v>
      </c>
      <c r="K896" s="733">
        <f>K$9*$E$890</f>
        <v>0</v>
      </c>
      <c r="L896" s="733">
        <f t="shared" ref="L896:O896" si="887">L$9*$E$890</f>
        <v>0</v>
      </c>
      <c r="M896" s="733">
        <f t="shared" si="887"/>
        <v>0</v>
      </c>
      <c r="N896" s="733">
        <f t="shared" si="887"/>
        <v>0</v>
      </c>
      <c r="O896" s="733">
        <f t="shared" si="887"/>
        <v>0</v>
      </c>
      <c r="P896" s="733">
        <f>$P$9*$E$890</f>
        <v>0</v>
      </c>
      <c r="Q896" s="734">
        <f t="shared" si="884"/>
        <v>0</v>
      </c>
      <c r="R896" s="733">
        <f>$R$9*$E$890</f>
        <v>0</v>
      </c>
      <c r="S896" s="733">
        <f>$S$9*$E$890</f>
        <v>0</v>
      </c>
      <c r="T896" s="733">
        <f>$T$9*$E$890</f>
        <v>0</v>
      </c>
      <c r="U896" s="733">
        <f>$U$9*$E$890</f>
        <v>0</v>
      </c>
    </row>
    <row r="897" spans="2:21" ht="18.75" x14ac:dyDescent="0.25">
      <c r="B897" s="790"/>
      <c r="C897" s="117">
        <f t="shared" si="882"/>
        <v>1</v>
      </c>
      <c r="D897" s="112" t="s">
        <v>31</v>
      </c>
      <c r="E897" s="84"/>
      <c r="F897" s="767"/>
      <c r="G897" s="768"/>
      <c r="H897" s="769"/>
      <c r="I897" s="768"/>
      <c r="J897" s="768"/>
      <c r="K897" s="768"/>
      <c r="L897" s="768"/>
      <c r="M897" s="768"/>
      <c r="N897" s="768"/>
      <c r="O897" s="768"/>
      <c r="P897" s="771"/>
      <c r="Q897" s="734">
        <f t="shared" si="884"/>
        <v>0</v>
      </c>
      <c r="R897" s="772"/>
      <c r="S897" s="768"/>
      <c r="T897" s="773"/>
      <c r="U897" s="774"/>
    </row>
    <row r="898" spans="2:21" ht="18.75" x14ac:dyDescent="0.25">
      <c r="B898" s="790"/>
      <c r="C898" s="117">
        <f t="shared" si="882"/>
        <v>1</v>
      </c>
      <c r="D898" s="775" t="s">
        <v>118</v>
      </c>
      <c r="E898" s="84" t="s">
        <v>53</v>
      </c>
      <c r="F898" s="733">
        <f>$F$11*$E$890</f>
        <v>0</v>
      </c>
      <c r="G898" s="733">
        <f>$G$11*$E$890</f>
        <v>0</v>
      </c>
      <c r="H898" s="733">
        <f>$H$11*$E$890</f>
        <v>0</v>
      </c>
      <c r="I898" s="733">
        <f>$I$11*$E$890</f>
        <v>0</v>
      </c>
      <c r="J898" s="733">
        <f>$J$11*$E$890</f>
        <v>0</v>
      </c>
      <c r="K898" s="733">
        <f>K$11*$E$890</f>
        <v>0</v>
      </c>
      <c r="L898" s="733">
        <f t="shared" ref="L898:O898" si="888">L$11*$E$890</f>
        <v>0</v>
      </c>
      <c r="M898" s="733">
        <f t="shared" si="888"/>
        <v>0</v>
      </c>
      <c r="N898" s="733">
        <f t="shared" si="888"/>
        <v>0</v>
      </c>
      <c r="O898" s="733">
        <f t="shared" si="888"/>
        <v>0</v>
      </c>
      <c r="P898" s="733">
        <f>$P$11*$E$890</f>
        <v>0</v>
      </c>
      <c r="Q898" s="734">
        <f t="shared" si="884"/>
        <v>0</v>
      </c>
      <c r="R898" s="733">
        <f>$R$11*$E$890</f>
        <v>0</v>
      </c>
      <c r="S898" s="733">
        <f>$S$11*$E$890</f>
        <v>0</v>
      </c>
      <c r="T898" s="733">
        <f>$T$11*$E$890</f>
        <v>0</v>
      </c>
      <c r="U898" s="733">
        <f>$U$11*$E$890</f>
        <v>0</v>
      </c>
    </row>
    <row r="899" spans="2:21" ht="18.75" x14ac:dyDescent="0.25">
      <c r="B899" s="790"/>
      <c r="C899" s="117">
        <f t="shared" si="882"/>
        <v>1</v>
      </c>
      <c r="D899" s="775" t="s">
        <v>119</v>
      </c>
      <c r="E899" s="84" t="s">
        <v>52</v>
      </c>
      <c r="F899" s="733">
        <f>$F$12*$E$890</f>
        <v>0</v>
      </c>
      <c r="G899" s="733">
        <f>$G$12*$E$890</f>
        <v>0</v>
      </c>
      <c r="H899" s="733">
        <f>$H$12*$E$890</f>
        <v>0</v>
      </c>
      <c r="I899" s="733">
        <f>$I$12*$E$890</f>
        <v>0</v>
      </c>
      <c r="J899" s="733">
        <f>$J$12*$E$890</f>
        <v>0</v>
      </c>
      <c r="K899" s="733">
        <f>K$12*$E$890</f>
        <v>0</v>
      </c>
      <c r="L899" s="733">
        <f t="shared" ref="L899:O899" si="889">L$12*$E$890</f>
        <v>0</v>
      </c>
      <c r="M899" s="733">
        <f t="shared" si="889"/>
        <v>0</v>
      </c>
      <c r="N899" s="733">
        <f t="shared" si="889"/>
        <v>0</v>
      </c>
      <c r="O899" s="733">
        <f t="shared" si="889"/>
        <v>0</v>
      </c>
      <c r="P899" s="733">
        <f>$P$12*$E$890</f>
        <v>0</v>
      </c>
      <c r="Q899" s="734">
        <f t="shared" si="884"/>
        <v>0</v>
      </c>
      <c r="R899" s="733">
        <f>$R$12*$E$890</f>
        <v>0</v>
      </c>
      <c r="S899" s="733">
        <f>$S$12*$E$890</f>
        <v>0</v>
      </c>
      <c r="T899" s="733">
        <f>$T$12*$E$890</f>
        <v>0</v>
      </c>
      <c r="U899" s="733">
        <f>$U$12*$E$890</f>
        <v>0</v>
      </c>
    </row>
    <row r="900" spans="2:21" ht="18.75" x14ac:dyDescent="0.25">
      <c r="B900" s="790"/>
      <c r="C900" s="117">
        <f t="shared" si="882"/>
        <v>1</v>
      </c>
      <c r="D900" s="775" t="s">
        <v>120</v>
      </c>
      <c r="E900" s="84" t="s">
        <v>51</v>
      </c>
      <c r="F900" s="733">
        <f>$F$13*$E$890</f>
        <v>0</v>
      </c>
      <c r="G900" s="733">
        <f>$G$13*$E$890</f>
        <v>0</v>
      </c>
      <c r="H900" s="733">
        <f>$H$13*$E$890</f>
        <v>0</v>
      </c>
      <c r="I900" s="733">
        <f>$I$13*$E$890</f>
        <v>0</v>
      </c>
      <c r="J900" s="733">
        <f>$J$13*$E$890</f>
        <v>0</v>
      </c>
      <c r="K900" s="733">
        <f>K$13*$E$890</f>
        <v>0</v>
      </c>
      <c r="L900" s="733">
        <f t="shared" ref="L900:O900" si="890">L$13*$E$890</f>
        <v>0</v>
      </c>
      <c r="M900" s="733">
        <f t="shared" si="890"/>
        <v>0</v>
      </c>
      <c r="N900" s="733">
        <f t="shared" si="890"/>
        <v>0</v>
      </c>
      <c r="O900" s="733">
        <f t="shared" si="890"/>
        <v>0</v>
      </c>
      <c r="P900" s="733">
        <f>$P$13*$E$890</f>
        <v>0</v>
      </c>
      <c r="Q900" s="734">
        <f t="shared" si="884"/>
        <v>0</v>
      </c>
      <c r="R900" s="733">
        <f>$R$13*$E$890</f>
        <v>0</v>
      </c>
      <c r="S900" s="733">
        <f>$S$13*$E$890</f>
        <v>0</v>
      </c>
      <c r="T900" s="733">
        <f>$T$13*$E$890</f>
        <v>0</v>
      </c>
      <c r="U900" s="733">
        <f>$U$13*$E$890</f>
        <v>0</v>
      </c>
    </row>
    <row r="901" spans="2:21" ht="18.75" x14ac:dyDescent="0.25">
      <c r="B901" s="790"/>
      <c r="C901" s="117">
        <f t="shared" si="882"/>
        <v>1</v>
      </c>
      <c r="D901" s="775" t="s">
        <v>121</v>
      </c>
      <c r="E901" s="84" t="s">
        <v>50</v>
      </c>
      <c r="F901" s="733">
        <f>$F$14*$E$890</f>
        <v>0</v>
      </c>
      <c r="G901" s="733">
        <f>$G$14*$E$890</f>
        <v>0</v>
      </c>
      <c r="H901" s="733">
        <f>$H$14*$E$890</f>
        <v>0</v>
      </c>
      <c r="I901" s="733">
        <f>$I$14*$E$890</f>
        <v>0</v>
      </c>
      <c r="J901" s="733">
        <f>$J$14*$E$890</f>
        <v>0</v>
      </c>
      <c r="K901" s="733">
        <f>K$14*$E$890</f>
        <v>0</v>
      </c>
      <c r="L901" s="733">
        <f t="shared" ref="L901:O901" si="891">L$14*$E$890</f>
        <v>0</v>
      </c>
      <c r="M901" s="733">
        <f t="shared" si="891"/>
        <v>0</v>
      </c>
      <c r="N901" s="733">
        <f t="shared" si="891"/>
        <v>0</v>
      </c>
      <c r="O901" s="733">
        <f t="shared" si="891"/>
        <v>0</v>
      </c>
      <c r="P901" s="733">
        <f>$P$14*$E$890</f>
        <v>0</v>
      </c>
      <c r="Q901" s="734">
        <f t="shared" si="884"/>
        <v>0</v>
      </c>
      <c r="R901" s="733">
        <f>$R$14*$E$890</f>
        <v>0</v>
      </c>
      <c r="S901" s="733">
        <f>$S$14*$E$890</f>
        <v>0</v>
      </c>
      <c r="T901" s="733">
        <f>$T$14*$E$890</f>
        <v>0</v>
      </c>
      <c r="U901" s="733">
        <f>$U$14*$E$890</f>
        <v>0</v>
      </c>
    </row>
    <row r="902" spans="2:21" ht="18.75" x14ac:dyDescent="0.25">
      <c r="B902" s="790"/>
      <c r="C902" s="117">
        <f t="shared" si="882"/>
        <v>1</v>
      </c>
      <c r="D902" s="775" t="s">
        <v>122</v>
      </c>
      <c r="E902" s="84" t="s">
        <v>49</v>
      </c>
      <c r="F902" s="733">
        <f>$F$15*$E$890</f>
        <v>0</v>
      </c>
      <c r="G902" s="733">
        <f>$G$15*$E$890</f>
        <v>0</v>
      </c>
      <c r="H902" s="733">
        <f>$H$15*$E$890</f>
        <v>0</v>
      </c>
      <c r="I902" s="733">
        <f>$I$15*$E$890</f>
        <v>0</v>
      </c>
      <c r="J902" s="733">
        <f>$J$15*$E$890</f>
        <v>0</v>
      </c>
      <c r="K902" s="733">
        <f>K$15*$E$890</f>
        <v>0</v>
      </c>
      <c r="L902" s="733">
        <f t="shared" ref="L902:O902" si="892">L$15*$E$890</f>
        <v>0</v>
      </c>
      <c r="M902" s="733">
        <f t="shared" si="892"/>
        <v>0</v>
      </c>
      <c r="N902" s="733">
        <f t="shared" si="892"/>
        <v>0</v>
      </c>
      <c r="O902" s="733">
        <f t="shared" si="892"/>
        <v>0</v>
      </c>
      <c r="P902" s="733">
        <f>$P$15*$E$890</f>
        <v>0</v>
      </c>
      <c r="Q902" s="734">
        <f t="shared" si="884"/>
        <v>0</v>
      </c>
      <c r="R902" s="733">
        <f>$R$15*$E$890</f>
        <v>0</v>
      </c>
      <c r="S902" s="733">
        <f>$S$15*$E$890</f>
        <v>0</v>
      </c>
      <c r="T902" s="733">
        <f>$T$15*$E$890</f>
        <v>0</v>
      </c>
      <c r="U902" s="733">
        <f>$U$15*$E$890</f>
        <v>0</v>
      </c>
    </row>
    <row r="903" spans="2:21" ht="18.75" x14ac:dyDescent="0.25">
      <c r="B903" s="790"/>
      <c r="C903" s="117">
        <f t="shared" si="882"/>
        <v>1</v>
      </c>
      <c r="D903" s="775" t="s">
        <v>123</v>
      </c>
      <c r="E903" s="84" t="s">
        <v>47</v>
      </c>
      <c r="F903" s="733">
        <f>$F$16*$E$890</f>
        <v>0</v>
      </c>
      <c r="G903" s="733">
        <f>$G$16*$E$890</f>
        <v>0</v>
      </c>
      <c r="H903" s="733">
        <f>$H$16*$E$890</f>
        <v>0</v>
      </c>
      <c r="I903" s="733">
        <f>$I$16*$E$890</f>
        <v>0</v>
      </c>
      <c r="J903" s="733">
        <f>$J$16*$E$890</f>
        <v>0</v>
      </c>
      <c r="K903" s="733">
        <f>K$16*$E$890</f>
        <v>0</v>
      </c>
      <c r="L903" s="733">
        <f t="shared" ref="L903:O903" si="893">L$16*$E$890</f>
        <v>0</v>
      </c>
      <c r="M903" s="733">
        <f t="shared" si="893"/>
        <v>0</v>
      </c>
      <c r="N903" s="733">
        <f t="shared" si="893"/>
        <v>0</v>
      </c>
      <c r="O903" s="733">
        <f t="shared" si="893"/>
        <v>0</v>
      </c>
      <c r="P903" s="733">
        <f>$P$16*$E$890</f>
        <v>0</v>
      </c>
      <c r="Q903" s="734">
        <f t="shared" si="884"/>
        <v>0</v>
      </c>
      <c r="R903" s="733">
        <f>$R$16*$E$890</f>
        <v>0</v>
      </c>
      <c r="S903" s="733">
        <f>$S$16*$E$890</f>
        <v>0</v>
      </c>
      <c r="T903" s="733">
        <f>$T$16*$E$890</f>
        <v>0</v>
      </c>
      <c r="U903" s="733">
        <f>$U$16*$E$890</f>
        <v>0</v>
      </c>
    </row>
    <row r="904" spans="2:21" ht="19.5" thickBot="1" x14ac:dyDescent="0.3">
      <c r="B904" s="790"/>
      <c r="C904" s="117">
        <f t="shared" si="882"/>
        <v>1</v>
      </c>
      <c r="D904" s="776" t="s">
        <v>16</v>
      </c>
      <c r="E904" s="777" t="s">
        <v>77</v>
      </c>
      <c r="F904" s="733">
        <f>$F$17*$E$890</f>
        <v>192.46856884102436</v>
      </c>
      <c r="G904" s="733">
        <f>$G$17*$E$890</f>
        <v>3.8233575760755989</v>
      </c>
      <c r="H904" s="733">
        <f>$H$17*$E$890</f>
        <v>0</v>
      </c>
      <c r="I904" s="733">
        <f>$I$17*$E$890</f>
        <v>0</v>
      </c>
      <c r="J904" s="733">
        <f>$J$17*$E$890</f>
        <v>8.1626378643285573</v>
      </c>
      <c r="K904" s="733">
        <f>K$17*$E$890</f>
        <v>3.3605934892987833E-2</v>
      </c>
      <c r="L904" s="733">
        <f t="shared" ref="L904:O904" si="894">L$17*$E$890</f>
        <v>4.7293194444141835E-3</v>
      </c>
      <c r="M904" s="733">
        <f t="shared" si="894"/>
        <v>0</v>
      </c>
      <c r="N904" s="733">
        <f t="shared" si="894"/>
        <v>0</v>
      </c>
      <c r="O904" s="733">
        <f t="shared" si="894"/>
        <v>2.446079255823995</v>
      </c>
      <c r="P904" s="733">
        <f>$P$17*$E$890</f>
        <v>41.660742034722652</v>
      </c>
      <c r="Q904" s="734">
        <f t="shared" si="884"/>
        <v>248.59972082631259</v>
      </c>
      <c r="R904" s="733">
        <f>$R$17*$E$890</f>
        <v>0</v>
      </c>
      <c r="S904" s="733">
        <f>$S$17*$E$890</f>
        <v>17.285970154238615</v>
      </c>
      <c r="T904" s="733">
        <f ca="1">$T$17*$E$890</f>
        <v>5.0133960999864806</v>
      </c>
      <c r="U904" s="733">
        <f ca="1">$U$17*$E$890</f>
        <v>0.28567926796492943</v>
      </c>
    </row>
    <row r="905" spans="2:21" ht="19.5" thickBot="1" x14ac:dyDescent="0.3">
      <c r="B905" s="790"/>
      <c r="C905" s="117">
        <f t="shared" si="882"/>
        <v>1</v>
      </c>
      <c r="D905" s="115" t="s">
        <v>124</v>
      </c>
      <c r="E905" s="778" t="s">
        <v>78</v>
      </c>
      <c r="F905" s="779">
        <f t="shared" ref="F905:U905" si="895">SUBTOTAL(9,F893:F904)</f>
        <v>1948.7023829842879</v>
      </c>
      <c r="G905" s="779">
        <f>SUBTOTAL(9,G893:G904)</f>
        <v>124.38847952848927</v>
      </c>
      <c r="H905" s="779">
        <f>SUBTOTAL(9,H893:H904)</f>
        <v>0.27032012531048455</v>
      </c>
      <c r="I905" s="779">
        <f>SUBTOTAL(9,I893:I904)</f>
        <v>43.568643203711019</v>
      </c>
      <c r="J905" s="779">
        <f>SUBTOTAL(9,J893:J904)</f>
        <v>39.759989324716571</v>
      </c>
      <c r="K905" s="779">
        <f>SUBTOTAL(9,K893:K904)</f>
        <v>1.7335281759678003</v>
      </c>
      <c r="L905" s="779">
        <f t="shared" ref="L905:O905" si="896">SUBTOTAL(9,L893:L904)</f>
        <v>4.7293194444141835E-3</v>
      </c>
      <c r="M905" s="779">
        <f t="shared" si="896"/>
        <v>1.2348131693514315</v>
      </c>
      <c r="N905" s="779">
        <f t="shared" si="896"/>
        <v>0</v>
      </c>
      <c r="O905" s="779">
        <f t="shared" si="896"/>
        <v>10.976133029876131</v>
      </c>
      <c r="P905" s="779">
        <f t="shared" si="895"/>
        <v>41.660742034722652</v>
      </c>
      <c r="Q905" s="780">
        <f>SUBTOTAL(9,Q893:Q904)</f>
        <v>2212.2997608958776</v>
      </c>
      <c r="R905" s="779">
        <f t="shared" si="895"/>
        <v>0</v>
      </c>
      <c r="S905" s="779">
        <f t="shared" si="895"/>
        <v>166.48191170233446</v>
      </c>
      <c r="T905" s="779">
        <f t="shared" ca="1" si="895"/>
        <v>66.518826228144292</v>
      </c>
      <c r="U905" s="779">
        <f t="shared" ca="1" si="895"/>
        <v>46.231631385608026</v>
      </c>
    </row>
    <row r="906" spans="2:21" s="119" customFormat="1" ht="19.5" hidden="1" thickBot="1" x14ac:dyDescent="0.3">
      <c r="B906" s="340"/>
      <c r="D906" s="117"/>
      <c r="E906" s="117"/>
      <c r="F906" s="118"/>
      <c r="G906" s="118"/>
      <c r="I906" s="118"/>
      <c r="J906" s="118"/>
      <c r="K906" s="118"/>
      <c r="L906" s="118"/>
      <c r="O906" s="118"/>
      <c r="Q906" s="120"/>
      <c r="R906" s="117"/>
      <c r="S906" s="118"/>
      <c r="U906" s="118"/>
    </row>
    <row r="907" spans="2:21" s="119" customFormat="1" ht="75.75" hidden="1" thickBot="1" x14ac:dyDescent="0.3">
      <c r="B907" s="301"/>
      <c r="C907" s="119">
        <f>IF($E907&gt;0,1,0)</f>
        <v>0</v>
      </c>
      <c r="D907" s="96" t="str">
        <f>A56</f>
        <v>Sullivan</v>
      </c>
      <c r="E907" s="166">
        <f>IFERROR(SUMIF(A:A,D907,B:B),0)</f>
        <v>0</v>
      </c>
      <c r="F907" s="98" t="s">
        <v>356</v>
      </c>
      <c r="G907" s="98" t="s">
        <v>373</v>
      </c>
      <c r="H907" s="98" t="s">
        <v>358</v>
      </c>
      <c r="I907" s="98" t="s">
        <v>109</v>
      </c>
      <c r="J907" s="98" t="s">
        <v>111</v>
      </c>
      <c r="K907" s="98" t="s">
        <v>469</v>
      </c>
      <c r="L907" s="98" t="s">
        <v>470</v>
      </c>
      <c r="M907" s="98" t="s">
        <v>357</v>
      </c>
      <c r="N907" s="509" t="s">
        <v>471</v>
      </c>
      <c r="O907" s="98" t="s">
        <v>472</v>
      </c>
      <c r="P907" s="98" t="s">
        <v>110</v>
      </c>
      <c r="Q907" s="99" t="s">
        <v>116</v>
      </c>
      <c r="R907" s="98" t="s">
        <v>112</v>
      </c>
      <c r="S907" s="98" t="s">
        <v>113</v>
      </c>
      <c r="T907" s="98" t="s">
        <v>114</v>
      </c>
      <c r="U907" s="98" t="s">
        <v>115</v>
      </c>
    </row>
    <row r="908" spans="2:21" s="119" customFormat="1" ht="19.5" hidden="1" thickBot="1" x14ac:dyDescent="0.3">
      <c r="B908" s="301"/>
      <c r="C908" s="119">
        <f>C907</f>
        <v>0</v>
      </c>
      <c r="D908" s="101"/>
      <c r="E908" s="102"/>
      <c r="F908" s="84" t="s">
        <v>57</v>
      </c>
      <c r="G908" s="84" t="s">
        <v>56</v>
      </c>
      <c r="H908" s="84" t="s">
        <v>55</v>
      </c>
      <c r="I908" s="84" t="s">
        <v>54</v>
      </c>
      <c r="J908" s="84" t="s">
        <v>53</v>
      </c>
      <c r="K908" s="84" t="s">
        <v>52</v>
      </c>
      <c r="L908" s="84" t="s">
        <v>51</v>
      </c>
      <c r="M908" s="84" t="s">
        <v>50</v>
      </c>
      <c r="N908" s="84" t="s">
        <v>49</v>
      </c>
      <c r="O908" s="84" t="s">
        <v>47</v>
      </c>
      <c r="P908" s="84" t="s">
        <v>77</v>
      </c>
      <c r="Q908" s="83" t="s">
        <v>78</v>
      </c>
      <c r="R908" s="84" t="s">
        <v>79</v>
      </c>
      <c r="S908" s="84" t="s">
        <v>81</v>
      </c>
      <c r="T908" s="84" t="s">
        <v>83</v>
      </c>
      <c r="U908" s="84" t="s">
        <v>85</v>
      </c>
    </row>
    <row r="909" spans="2:21" s="119" customFormat="1" ht="19.5" hidden="1" thickBot="1" x14ac:dyDescent="0.35">
      <c r="B909" s="301"/>
      <c r="C909" s="119">
        <f t="shared" ref="C909:C922" si="897">C908</f>
        <v>0</v>
      </c>
      <c r="D909" s="103" t="s">
        <v>26</v>
      </c>
      <c r="E909" s="104"/>
      <c r="F909" s="745"/>
      <c r="G909" s="745"/>
      <c r="H909" s="746"/>
      <c r="I909" s="745"/>
      <c r="J909" s="745"/>
      <c r="K909" s="745"/>
      <c r="L909" s="745"/>
      <c r="M909" s="746"/>
      <c r="N909" s="746"/>
      <c r="O909" s="745"/>
      <c r="P909" s="746"/>
      <c r="Q909" s="747"/>
      <c r="R909" s="748"/>
      <c r="S909" s="745"/>
      <c r="T909" s="746"/>
      <c r="U909" s="749"/>
    </row>
    <row r="910" spans="2:21" s="119" customFormat="1" ht="19.5" hidden="1" thickBot="1" x14ac:dyDescent="0.3">
      <c r="B910" s="301"/>
      <c r="C910" s="119">
        <f t="shared" si="897"/>
        <v>0</v>
      </c>
      <c r="D910" s="109" t="s">
        <v>93</v>
      </c>
      <c r="E910" s="76" t="s">
        <v>57</v>
      </c>
      <c r="F910" s="733">
        <f>$F$6*$E$907</f>
        <v>0</v>
      </c>
      <c r="G910" s="733">
        <f>$G$6*$E$907</f>
        <v>0</v>
      </c>
      <c r="H910" s="733">
        <f>$H$6*$E$907</f>
        <v>0</v>
      </c>
      <c r="I910" s="733">
        <f>$I$6*$E$907</f>
        <v>0</v>
      </c>
      <c r="J910" s="733">
        <f>$J$6*$E$907</f>
        <v>0</v>
      </c>
      <c r="K910" s="733">
        <f>K$6*$E$907</f>
        <v>0</v>
      </c>
      <c r="L910" s="733">
        <f t="shared" ref="L910:P910" si="898">L$6*$E$907</f>
        <v>0</v>
      </c>
      <c r="M910" s="733">
        <f t="shared" si="898"/>
        <v>0</v>
      </c>
      <c r="N910" s="733">
        <f t="shared" si="898"/>
        <v>0</v>
      </c>
      <c r="O910" s="733">
        <f t="shared" si="898"/>
        <v>0</v>
      </c>
      <c r="P910" s="733">
        <f t="shared" si="898"/>
        <v>0</v>
      </c>
      <c r="Q910" s="734">
        <f t="shared" ref="Q910:Q921" si="899">SUM(F910:P910)</f>
        <v>0</v>
      </c>
      <c r="R910" s="733">
        <f>$R$6*$E$907</f>
        <v>0</v>
      </c>
      <c r="S910" s="733">
        <f>$S$6*$E$907</f>
        <v>0</v>
      </c>
      <c r="T910" s="733">
        <f ca="1">$T$6*$E$907</f>
        <v>0</v>
      </c>
      <c r="U910" s="733">
        <f ca="1">$U$6*$E$907</f>
        <v>0</v>
      </c>
    </row>
    <row r="911" spans="2:21" s="119" customFormat="1" ht="19.5" hidden="1" thickBot="1" x14ac:dyDescent="0.3">
      <c r="B911" s="301"/>
      <c r="C911" s="119">
        <f t="shared" si="897"/>
        <v>0</v>
      </c>
      <c r="D911" s="110" t="s">
        <v>92</v>
      </c>
      <c r="E911" s="76" t="s">
        <v>56</v>
      </c>
      <c r="F911" s="733">
        <f>$F$7*$E$907</f>
        <v>0</v>
      </c>
      <c r="G911" s="733">
        <f>$G$7*$E$907</f>
        <v>0</v>
      </c>
      <c r="H911" s="733">
        <f>$H$7*$E$907</f>
        <v>0</v>
      </c>
      <c r="I911" s="733">
        <f>$I$7*$E$907</f>
        <v>0</v>
      </c>
      <c r="J911" s="733">
        <f>$J$7*$E$907</f>
        <v>0</v>
      </c>
      <c r="K911" s="733">
        <f>K$7*$E$907</f>
        <v>0</v>
      </c>
      <c r="L911" s="733">
        <f t="shared" ref="L911:P911" si="900">L$7*$E$907</f>
        <v>0</v>
      </c>
      <c r="M911" s="733">
        <f t="shared" si="900"/>
        <v>0</v>
      </c>
      <c r="N911" s="733">
        <f t="shared" si="900"/>
        <v>0</v>
      </c>
      <c r="O911" s="733">
        <f t="shared" si="900"/>
        <v>0</v>
      </c>
      <c r="P911" s="733">
        <f t="shared" si="900"/>
        <v>0</v>
      </c>
      <c r="Q911" s="734">
        <f t="shared" si="899"/>
        <v>0</v>
      </c>
      <c r="R911" s="733">
        <f>$R$7*$E$907</f>
        <v>0</v>
      </c>
      <c r="S911" s="733">
        <f>$S$7*$E$907</f>
        <v>0</v>
      </c>
      <c r="T911" s="733">
        <f>$T$7*$E$907</f>
        <v>0</v>
      </c>
      <c r="U911" s="733">
        <f>$U$7*$E$907</f>
        <v>0</v>
      </c>
    </row>
    <row r="912" spans="2:21" s="119" customFormat="1" ht="19.5" hidden="1" thickBot="1" x14ac:dyDescent="0.3">
      <c r="B912" s="301"/>
      <c r="C912" s="119">
        <f t="shared" si="897"/>
        <v>0</v>
      </c>
      <c r="D912" s="110" t="s">
        <v>91</v>
      </c>
      <c r="E912" s="76" t="s">
        <v>55</v>
      </c>
      <c r="F912" s="733">
        <f>$F$8*$E$907</f>
        <v>0</v>
      </c>
      <c r="G912" s="733">
        <f>$G$8*$E$907</f>
        <v>0</v>
      </c>
      <c r="H912" s="733">
        <f>$H$8*$E$907</f>
        <v>0</v>
      </c>
      <c r="I912" s="733">
        <f>$I$8*$E$907</f>
        <v>0</v>
      </c>
      <c r="J912" s="733">
        <f>$J$8*$E$907</f>
        <v>0</v>
      </c>
      <c r="K912" s="733">
        <f>K$8*$E$907</f>
        <v>0</v>
      </c>
      <c r="L912" s="733">
        <f t="shared" ref="L912:P912" si="901">L$8*$E$907</f>
        <v>0</v>
      </c>
      <c r="M912" s="733">
        <f t="shared" si="901"/>
        <v>0</v>
      </c>
      <c r="N912" s="733">
        <f t="shared" si="901"/>
        <v>0</v>
      </c>
      <c r="O912" s="733">
        <f t="shared" si="901"/>
        <v>0</v>
      </c>
      <c r="P912" s="733">
        <f t="shared" si="901"/>
        <v>0</v>
      </c>
      <c r="Q912" s="734">
        <f t="shared" si="899"/>
        <v>0</v>
      </c>
      <c r="R912" s="733">
        <f>$R$8*$E$907</f>
        <v>0</v>
      </c>
      <c r="S912" s="733">
        <f>$S$8*$E$907</f>
        <v>0</v>
      </c>
      <c r="T912" s="733">
        <f ca="1">$T$8*$E$907</f>
        <v>0</v>
      </c>
      <c r="U912" s="733">
        <f ca="1">$U$8*$E$907</f>
        <v>0</v>
      </c>
    </row>
    <row r="913" spans="2:21" s="119" customFormat="1" ht="19.5" hidden="1" thickBot="1" x14ac:dyDescent="0.3">
      <c r="B913" s="301"/>
      <c r="C913" s="119">
        <f t="shared" si="897"/>
        <v>0</v>
      </c>
      <c r="D913" s="111" t="s">
        <v>117</v>
      </c>
      <c r="E913" s="76" t="s">
        <v>54</v>
      </c>
      <c r="F913" s="733">
        <f>$F$9*$E$907</f>
        <v>0</v>
      </c>
      <c r="G913" s="733">
        <f>$G$9*$E$907</f>
        <v>0</v>
      </c>
      <c r="H913" s="733">
        <f>$H$9*$E$907</f>
        <v>0</v>
      </c>
      <c r="I913" s="733">
        <f>$I$9*$E$907</f>
        <v>0</v>
      </c>
      <c r="J913" s="733">
        <f>$J$9*$E$907</f>
        <v>0</v>
      </c>
      <c r="K913" s="733">
        <f>K$9*$E$907</f>
        <v>0</v>
      </c>
      <c r="L913" s="733">
        <f t="shared" ref="L913:P913" si="902">L$9*$E$907</f>
        <v>0</v>
      </c>
      <c r="M913" s="733">
        <f t="shared" si="902"/>
        <v>0</v>
      </c>
      <c r="N913" s="733">
        <f t="shared" si="902"/>
        <v>0</v>
      </c>
      <c r="O913" s="733">
        <f t="shared" si="902"/>
        <v>0</v>
      </c>
      <c r="P913" s="733">
        <f t="shared" si="902"/>
        <v>0</v>
      </c>
      <c r="Q913" s="734">
        <f t="shared" si="899"/>
        <v>0</v>
      </c>
      <c r="R913" s="733">
        <f>$R$9*$E$907</f>
        <v>0</v>
      </c>
      <c r="S913" s="733">
        <f>$S$9*$E$907</f>
        <v>0</v>
      </c>
      <c r="T913" s="733">
        <f>$T$9*$E$907</f>
        <v>0</v>
      </c>
      <c r="U913" s="733">
        <f>$U$9*$E$907</f>
        <v>0</v>
      </c>
    </row>
    <row r="914" spans="2:21" s="119" customFormat="1" ht="19.5" hidden="1" thickBot="1" x14ac:dyDescent="0.35">
      <c r="B914" s="301"/>
      <c r="C914" s="119">
        <f t="shared" si="897"/>
        <v>0</v>
      </c>
      <c r="D914" s="112" t="s">
        <v>31</v>
      </c>
      <c r="E914" s="76"/>
      <c r="F914" s="750"/>
      <c r="G914" s="735"/>
      <c r="H914" s="736"/>
      <c r="I914" s="735"/>
      <c r="J914" s="735"/>
      <c r="K914" s="735"/>
      <c r="L914" s="735"/>
      <c r="M914" s="735"/>
      <c r="N914" s="735"/>
      <c r="O914" s="735"/>
      <c r="P914" s="735"/>
      <c r="Q914" s="734">
        <f t="shared" si="899"/>
        <v>0</v>
      </c>
      <c r="R914" s="739"/>
      <c r="S914" s="735"/>
      <c r="T914" s="740"/>
      <c r="U914" s="741"/>
    </row>
    <row r="915" spans="2:21" s="119" customFormat="1" ht="19.5" hidden="1" thickBot="1" x14ac:dyDescent="0.35">
      <c r="B915" s="301"/>
      <c r="C915" s="119">
        <f t="shared" si="897"/>
        <v>0</v>
      </c>
      <c r="D915" s="113" t="s">
        <v>118</v>
      </c>
      <c r="E915" s="76" t="s">
        <v>53</v>
      </c>
      <c r="F915" s="733">
        <f>$F$11*$E$907</f>
        <v>0</v>
      </c>
      <c r="G915" s="733">
        <f>$G$11*$E$907</f>
        <v>0</v>
      </c>
      <c r="H915" s="733">
        <f>$H$11*$E$907</f>
        <v>0</v>
      </c>
      <c r="I915" s="733">
        <f>$I$11*$E$907</f>
        <v>0</v>
      </c>
      <c r="J915" s="733">
        <f>$J$11*$E$907</f>
        <v>0</v>
      </c>
      <c r="K915" s="733">
        <f>K$11*$E$907</f>
        <v>0</v>
      </c>
      <c r="L915" s="733">
        <f t="shared" ref="L915:P915" si="903">L$11*$E$907</f>
        <v>0</v>
      </c>
      <c r="M915" s="733">
        <f t="shared" si="903"/>
        <v>0</v>
      </c>
      <c r="N915" s="733">
        <f t="shared" si="903"/>
        <v>0</v>
      </c>
      <c r="O915" s="733">
        <f t="shared" si="903"/>
        <v>0</v>
      </c>
      <c r="P915" s="733">
        <f t="shared" si="903"/>
        <v>0</v>
      </c>
      <c r="Q915" s="734">
        <f t="shared" si="899"/>
        <v>0</v>
      </c>
      <c r="R915" s="733">
        <f>$R$11*$E$907</f>
        <v>0</v>
      </c>
      <c r="S915" s="733">
        <f>$S$11*$E$907</f>
        <v>0</v>
      </c>
      <c r="T915" s="733">
        <f>$T$11*$E$907</f>
        <v>0</v>
      </c>
      <c r="U915" s="733">
        <f>$U$11*$E$907</f>
        <v>0</v>
      </c>
    </row>
    <row r="916" spans="2:21" s="119" customFormat="1" ht="19.5" hidden="1" thickBot="1" x14ac:dyDescent="0.35">
      <c r="B916" s="301"/>
      <c r="C916" s="119">
        <f t="shared" si="897"/>
        <v>0</v>
      </c>
      <c r="D916" s="113" t="s">
        <v>119</v>
      </c>
      <c r="E916" s="76" t="s">
        <v>52</v>
      </c>
      <c r="F916" s="733">
        <f>$F$12*$E$907</f>
        <v>0</v>
      </c>
      <c r="G916" s="733">
        <f>$G$12*$E$907</f>
        <v>0</v>
      </c>
      <c r="H916" s="733">
        <f>$H$12*$E$907</f>
        <v>0</v>
      </c>
      <c r="I916" s="733">
        <f>$I$12*$E$907</f>
        <v>0</v>
      </c>
      <c r="J916" s="733">
        <f>$J$12*$E$907</f>
        <v>0</v>
      </c>
      <c r="K916" s="733">
        <f>K$12*$E$907</f>
        <v>0</v>
      </c>
      <c r="L916" s="733">
        <f t="shared" ref="L916:P916" si="904">L$12*$E$907</f>
        <v>0</v>
      </c>
      <c r="M916" s="733">
        <f t="shared" si="904"/>
        <v>0</v>
      </c>
      <c r="N916" s="733">
        <f t="shared" si="904"/>
        <v>0</v>
      </c>
      <c r="O916" s="733">
        <f t="shared" si="904"/>
        <v>0</v>
      </c>
      <c r="P916" s="733">
        <f t="shared" si="904"/>
        <v>0</v>
      </c>
      <c r="Q916" s="734">
        <f t="shared" si="899"/>
        <v>0</v>
      </c>
      <c r="R916" s="733">
        <f>$R$12*$E$907</f>
        <v>0</v>
      </c>
      <c r="S916" s="733">
        <f>$S$12*$E$907</f>
        <v>0</v>
      </c>
      <c r="T916" s="733">
        <f>$T$12*$E$907</f>
        <v>0</v>
      </c>
      <c r="U916" s="733">
        <f>$U$12*$E$907</f>
        <v>0</v>
      </c>
    </row>
    <row r="917" spans="2:21" s="119" customFormat="1" ht="19.5" hidden="1" thickBot="1" x14ac:dyDescent="0.35">
      <c r="B917" s="301"/>
      <c r="C917" s="119">
        <f t="shared" si="897"/>
        <v>0</v>
      </c>
      <c r="D917" s="113" t="s">
        <v>120</v>
      </c>
      <c r="E917" s="76" t="s">
        <v>51</v>
      </c>
      <c r="F917" s="733">
        <f>$F$13*$E$907</f>
        <v>0</v>
      </c>
      <c r="G917" s="733">
        <f>$G$13*$E$907</f>
        <v>0</v>
      </c>
      <c r="H917" s="733">
        <f>$H$13*$E$907</f>
        <v>0</v>
      </c>
      <c r="I917" s="733">
        <f>$I$13*$E$907</f>
        <v>0</v>
      </c>
      <c r="J917" s="733">
        <f>$J$13*$E$907</f>
        <v>0</v>
      </c>
      <c r="K917" s="733">
        <f>K$13*$E$907</f>
        <v>0</v>
      </c>
      <c r="L917" s="733">
        <f t="shared" ref="L917:P917" si="905">L$13*$E$907</f>
        <v>0</v>
      </c>
      <c r="M917" s="733">
        <f t="shared" si="905"/>
        <v>0</v>
      </c>
      <c r="N917" s="733">
        <f t="shared" si="905"/>
        <v>0</v>
      </c>
      <c r="O917" s="733">
        <f t="shared" si="905"/>
        <v>0</v>
      </c>
      <c r="P917" s="733">
        <f t="shared" si="905"/>
        <v>0</v>
      </c>
      <c r="Q917" s="734">
        <f t="shared" si="899"/>
        <v>0</v>
      </c>
      <c r="R917" s="733">
        <f>$R$13*$E$907</f>
        <v>0</v>
      </c>
      <c r="S917" s="733">
        <f>$S$13*$E$907</f>
        <v>0</v>
      </c>
      <c r="T917" s="733">
        <f>$T$13*$E$907</f>
        <v>0</v>
      </c>
      <c r="U917" s="733">
        <f>$U$13*$E$907</f>
        <v>0</v>
      </c>
    </row>
    <row r="918" spans="2:21" s="119" customFormat="1" ht="19.5" hidden="1" thickBot="1" x14ac:dyDescent="0.35">
      <c r="B918" s="301"/>
      <c r="C918" s="119">
        <f t="shared" si="897"/>
        <v>0</v>
      </c>
      <c r="D918" s="113" t="s">
        <v>121</v>
      </c>
      <c r="E918" s="76" t="s">
        <v>50</v>
      </c>
      <c r="F918" s="733">
        <f>$F$14*$E$907</f>
        <v>0</v>
      </c>
      <c r="G918" s="733">
        <f>$G$14*$E$907</f>
        <v>0</v>
      </c>
      <c r="H918" s="733">
        <f>$H$14*$E$907</f>
        <v>0</v>
      </c>
      <c r="I918" s="733">
        <f>$I$14*$E$907</f>
        <v>0</v>
      </c>
      <c r="J918" s="733">
        <f>$J$14*$E$907</f>
        <v>0</v>
      </c>
      <c r="K918" s="733">
        <f>K$14*$E$907</f>
        <v>0</v>
      </c>
      <c r="L918" s="733">
        <f t="shared" ref="L918:P918" si="906">L$14*$E$907</f>
        <v>0</v>
      </c>
      <c r="M918" s="733">
        <f t="shared" si="906"/>
        <v>0</v>
      </c>
      <c r="N918" s="733">
        <f t="shared" si="906"/>
        <v>0</v>
      </c>
      <c r="O918" s="733">
        <f t="shared" si="906"/>
        <v>0</v>
      </c>
      <c r="P918" s="733">
        <f t="shared" si="906"/>
        <v>0</v>
      </c>
      <c r="Q918" s="734">
        <f t="shared" si="899"/>
        <v>0</v>
      </c>
      <c r="R918" s="733">
        <f>$R$14*$E$907</f>
        <v>0</v>
      </c>
      <c r="S918" s="733">
        <f>$S$14*$E$907</f>
        <v>0</v>
      </c>
      <c r="T918" s="733">
        <f>$T$14*$E$907</f>
        <v>0</v>
      </c>
      <c r="U918" s="733">
        <f>$U$14*$E$907</f>
        <v>0</v>
      </c>
    </row>
    <row r="919" spans="2:21" s="119" customFormat="1" ht="19.5" hidden="1" thickBot="1" x14ac:dyDescent="0.35">
      <c r="B919" s="301"/>
      <c r="C919" s="119">
        <f t="shared" si="897"/>
        <v>0</v>
      </c>
      <c r="D919" s="113" t="s">
        <v>122</v>
      </c>
      <c r="E919" s="76" t="s">
        <v>49</v>
      </c>
      <c r="F919" s="733">
        <f>$F$15*$E$907</f>
        <v>0</v>
      </c>
      <c r="G919" s="733">
        <f>$G$15*$E$907</f>
        <v>0</v>
      </c>
      <c r="H919" s="733">
        <f>$H$15*$E$907</f>
        <v>0</v>
      </c>
      <c r="I919" s="733">
        <f>$I$15*$E$907</f>
        <v>0</v>
      </c>
      <c r="J919" s="733">
        <f>$J$15*$E$907</f>
        <v>0</v>
      </c>
      <c r="K919" s="733">
        <f>K$15*$E$907</f>
        <v>0</v>
      </c>
      <c r="L919" s="733">
        <f t="shared" ref="L919:P919" si="907">L$15*$E$907</f>
        <v>0</v>
      </c>
      <c r="M919" s="733">
        <f t="shared" si="907"/>
        <v>0</v>
      </c>
      <c r="N919" s="733">
        <f t="shared" si="907"/>
        <v>0</v>
      </c>
      <c r="O919" s="733">
        <f t="shared" si="907"/>
        <v>0</v>
      </c>
      <c r="P919" s="733">
        <f t="shared" si="907"/>
        <v>0</v>
      </c>
      <c r="Q919" s="734">
        <f t="shared" si="899"/>
        <v>0</v>
      </c>
      <c r="R919" s="733">
        <f>$R$15*$E$907</f>
        <v>0</v>
      </c>
      <c r="S919" s="733">
        <f>$S$15*$E$907</f>
        <v>0</v>
      </c>
      <c r="T919" s="733">
        <f>$T$15*$E$907</f>
        <v>0</v>
      </c>
      <c r="U919" s="733">
        <f>$U$15*$E$907</f>
        <v>0</v>
      </c>
    </row>
    <row r="920" spans="2:21" s="119" customFormat="1" ht="19.5" hidden="1" thickBot="1" x14ac:dyDescent="0.35">
      <c r="B920" s="301"/>
      <c r="C920" s="119">
        <f t="shared" si="897"/>
        <v>0</v>
      </c>
      <c r="D920" s="113" t="s">
        <v>123</v>
      </c>
      <c r="E920" s="76" t="s">
        <v>47</v>
      </c>
      <c r="F920" s="733">
        <f>$F$16*$E$907</f>
        <v>0</v>
      </c>
      <c r="G920" s="733">
        <f>$G$16*$E$907</f>
        <v>0</v>
      </c>
      <c r="H920" s="733">
        <f>$H$16*$E$907</f>
        <v>0</v>
      </c>
      <c r="I920" s="733">
        <f>$I$16*$E$907</f>
        <v>0</v>
      </c>
      <c r="J920" s="733">
        <f>$J$16*$E$907</f>
        <v>0</v>
      </c>
      <c r="K920" s="733">
        <f>K$16*$E$907</f>
        <v>0</v>
      </c>
      <c r="L920" s="733">
        <f t="shared" ref="L920:P920" si="908">L$16*$E$907</f>
        <v>0</v>
      </c>
      <c r="M920" s="733">
        <f t="shared" si="908"/>
        <v>0</v>
      </c>
      <c r="N920" s="733">
        <f t="shared" si="908"/>
        <v>0</v>
      </c>
      <c r="O920" s="733">
        <f t="shared" si="908"/>
        <v>0</v>
      </c>
      <c r="P920" s="733">
        <f t="shared" si="908"/>
        <v>0</v>
      </c>
      <c r="Q920" s="734">
        <f t="shared" si="899"/>
        <v>0</v>
      </c>
      <c r="R920" s="733">
        <f>$R$16*$E$907</f>
        <v>0</v>
      </c>
      <c r="S920" s="733">
        <f>$S$16*$E$907</f>
        <v>0</v>
      </c>
      <c r="T920" s="733">
        <f>$T$16*$E$907</f>
        <v>0</v>
      </c>
      <c r="U920" s="733">
        <f>$U$16*$E$907</f>
        <v>0</v>
      </c>
    </row>
    <row r="921" spans="2:21" s="119" customFormat="1" ht="19.5" hidden="1" thickBot="1" x14ac:dyDescent="0.35">
      <c r="B921" s="301"/>
      <c r="C921" s="119">
        <f t="shared" si="897"/>
        <v>0</v>
      </c>
      <c r="D921" s="114" t="s">
        <v>16</v>
      </c>
      <c r="E921" s="70" t="s">
        <v>77</v>
      </c>
      <c r="F921" s="733">
        <f>$F$17*$E$907</f>
        <v>0</v>
      </c>
      <c r="G921" s="733">
        <f>$G$17*$E$907</f>
        <v>0</v>
      </c>
      <c r="H921" s="733">
        <f>$H$17*$E$907</f>
        <v>0</v>
      </c>
      <c r="I921" s="733">
        <f>$I$17*$E$907</f>
        <v>0</v>
      </c>
      <c r="J921" s="733">
        <f>$J$17*$E$907</f>
        <v>0</v>
      </c>
      <c r="K921" s="733">
        <f>K$17*$E$907</f>
        <v>0</v>
      </c>
      <c r="L921" s="733">
        <f t="shared" ref="L921:P921" si="909">L$17*$E$907</f>
        <v>0</v>
      </c>
      <c r="M921" s="733">
        <f t="shared" si="909"/>
        <v>0</v>
      </c>
      <c r="N921" s="733">
        <f t="shared" si="909"/>
        <v>0</v>
      </c>
      <c r="O921" s="733">
        <f t="shared" si="909"/>
        <v>0</v>
      </c>
      <c r="P921" s="733">
        <f t="shared" si="909"/>
        <v>0</v>
      </c>
      <c r="Q921" s="734">
        <f t="shared" si="899"/>
        <v>0</v>
      </c>
      <c r="R921" s="733">
        <f>$R$17*$E$907</f>
        <v>0</v>
      </c>
      <c r="S921" s="733">
        <f>$S$17*$E$907</f>
        <v>0</v>
      </c>
      <c r="T921" s="733">
        <f ca="1">$T$17*$E$907</f>
        <v>0</v>
      </c>
      <c r="U921" s="733">
        <f ca="1">$U$17*$E$907</f>
        <v>0</v>
      </c>
    </row>
    <row r="922" spans="2:21" s="119" customFormat="1" ht="19.5" hidden="1" thickBot="1" x14ac:dyDescent="0.35">
      <c r="B922" s="301"/>
      <c r="C922" s="119">
        <f t="shared" si="897"/>
        <v>0</v>
      </c>
      <c r="D922" s="115" t="s">
        <v>124</v>
      </c>
      <c r="E922" s="116" t="s">
        <v>78</v>
      </c>
      <c r="F922" s="742">
        <f t="shared" ref="F922:U922" si="910">SUBTOTAL(9,F910:F921)</f>
        <v>0</v>
      </c>
      <c r="G922" s="742">
        <f>SUBTOTAL(9,G910:G921)</f>
        <v>0</v>
      </c>
      <c r="H922" s="742">
        <f>SUBTOTAL(9,H910:H921)</f>
        <v>0</v>
      </c>
      <c r="I922" s="742">
        <f>SUBTOTAL(9,I910:I921)</f>
        <v>0</v>
      </c>
      <c r="J922" s="742">
        <f>SUBTOTAL(9,J910:J921)</f>
        <v>0</v>
      </c>
      <c r="K922" s="742">
        <f>SUBTOTAL(9,K910:K921)</f>
        <v>0</v>
      </c>
      <c r="L922" s="742">
        <f t="shared" ref="L922:P922" si="911">SUBTOTAL(9,L910:L921)</f>
        <v>0</v>
      </c>
      <c r="M922" s="742">
        <f t="shared" si="911"/>
        <v>0</v>
      </c>
      <c r="N922" s="742">
        <f t="shared" si="911"/>
        <v>0</v>
      </c>
      <c r="O922" s="742">
        <f t="shared" si="911"/>
        <v>0</v>
      </c>
      <c r="P922" s="742">
        <f t="shared" si="911"/>
        <v>0</v>
      </c>
      <c r="Q922" s="743">
        <f>SUBTOTAL(9,Q910:Q921)</f>
        <v>0</v>
      </c>
      <c r="R922" s="742">
        <f t="shared" si="910"/>
        <v>0</v>
      </c>
      <c r="S922" s="742">
        <f t="shared" si="910"/>
        <v>0</v>
      </c>
      <c r="T922" s="742">
        <f t="shared" si="910"/>
        <v>0</v>
      </c>
      <c r="U922" s="742">
        <f t="shared" si="910"/>
        <v>0</v>
      </c>
    </row>
    <row r="923" spans="2:21" s="119" customFormat="1" ht="19.5" hidden="1" thickBot="1" x14ac:dyDescent="0.3">
      <c r="B923" s="340"/>
      <c r="D923" s="117"/>
      <c r="E923" s="117"/>
      <c r="F923" s="118"/>
      <c r="G923" s="118"/>
      <c r="I923" s="118"/>
      <c r="J923" s="118"/>
      <c r="K923" s="118"/>
      <c r="L923" s="118"/>
      <c r="O923" s="118"/>
      <c r="Q923" s="120"/>
      <c r="R923" s="117"/>
      <c r="S923" s="118"/>
      <c r="U923" s="118"/>
    </row>
    <row r="924" spans="2:21" s="119" customFormat="1" ht="75.75" hidden="1" thickBot="1" x14ac:dyDescent="0.3">
      <c r="B924" s="301"/>
      <c r="C924" s="119">
        <f>IF($E924&gt;0,1,0)</f>
        <v>0</v>
      </c>
      <c r="D924" s="96" t="str">
        <f>A57</f>
        <v>Tioga</v>
      </c>
      <c r="E924" s="166">
        <f>IFERROR(SUMIF(A:A,D924,B:B),0)</f>
        <v>0</v>
      </c>
      <c r="F924" s="98" t="s">
        <v>356</v>
      </c>
      <c r="G924" s="98" t="s">
        <v>373</v>
      </c>
      <c r="H924" s="98" t="s">
        <v>358</v>
      </c>
      <c r="I924" s="98" t="s">
        <v>109</v>
      </c>
      <c r="J924" s="98" t="s">
        <v>111</v>
      </c>
      <c r="K924" s="98" t="s">
        <v>469</v>
      </c>
      <c r="L924" s="98" t="s">
        <v>470</v>
      </c>
      <c r="M924" s="98" t="s">
        <v>357</v>
      </c>
      <c r="N924" s="509" t="s">
        <v>471</v>
      </c>
      <c r="O924" s="98" t="s">
        <v>472</v>
      </c>
      <c r="P924" s="98" t="s">
        <v>110</v>
      </c>
      <c r="Q924" s="99" t="s">
        <v>116</v>
      </c>
      <c r="R924" s="98" t="s">
        <v>112</v>
      </c>
      <c r="S924" s="98" t="s">
        <v>113</v>
      </c>
      <c r="T924" s="98" t="s">
        <v>114</v>
      </c>
      <c r="U924" s="98" t="s">
        <v>115</v>
      </c>
    </row>
    <row r="925" spans="2:21" s="119" customFormat="1" ht="19.5" hidden="1" thickBot="1" x14ac:dyDescent="0.3">
      <c r="B925" s="301"/>
      <c r="C925" s="119">
        <f>C924</f>
        <v>0</v>
      </c>
      <c r="D925" s="101"/>
      <c r="E925" s="102"/>
      <c r="F925" s="84" t="s">
        <v>57</v>
      </c>
      <c r="G925" s="84" t="s">
        <v>56</v>
      </c>
      <c r="H925" s="84" t="s">
        <v>55</v>
      </c>
      <c r="I925" s="84" t="s">
        <v>54</v>
      </c>
      <c r="J925" s="84" t="s">
        <v>53</v>
      </c>
      <c r="K925" s="84" t="s">
        <v>52</v>
      </c>
      <c r="L925" s="84" t="s">
        <v>51</v>
      </c>
      <c r="M925" s="84" t="s">
        <v>50</v>
      </c>
      <c r="N925" s="84" t="s">
        <v>49</v>
      </c>
      <c r="O925" s="84" t="s">
        <v>47</v>
      </c>
      <c r="P925" s="84" t="s">
        <v>77</v>
      </c>
      <c r="Q925" s="83" t="s">
        <v>78</v>
      </c>
      <c r="R925" s="84" t="s">
        <v>79</v>
      </c>
      <c r="S925" s="84" t="s">
        <v>81</v>
      </c>
      <c r="T925" s="84" t="s">
        <v>83</v>
      </c>
      <c r="U925" s="84" t="s">
        <v>85</v>
      </c>
    </row>
    <row r="926" spans="2:21" s="119" customFormat="1" ht="19.5" hidden="1" thickBot="1" x14ac:dyDescent="0.35">
      <c r="B926" s="301"/>
      <c r="C926" s="119">
        <f t="shared" ref="C926:C939" si="912">C925</f>
        <v>0</v>
      </c>
      <c r="D926" s="103" t="s">
        <v>26</v>
      </c>
      <c r="E926" s="104"/>
      <c r="F926" s="745"/>
      <c r="G926" s="745"/>
      <c r="H926" s="746"/>
      <c r="I926" s="745"/>
      <c r="J926" s="745"/>
      <c r="K926" s="745"/>
      <c r="L926" s="745"/>
      <c r="M926" s="746"/>
      <c r="N926" s="746"/>
      <c r="O926" s="745"/>
      <c r="P926" s="746"/>
      <c r="Q926" s="747"/>
      <c r="R926" s="748"/>
      <c r="S926" s="745"/>
      <c r="T926" s="746"/>
      <c r="U926" s="749"/>
    </row>
    <row r="927" spans="2:21" s="119" customFormat="1" ht="19.5" hidden="1" thickBot="1" x14ac:dyDescent="0.3">
      <c r="B927" s="301"/>
      <c r="C927" s="119">
        <f t="shared" si="912"/>
        <v>0</v>
      </c>
      <c r="D927" s="109" t="s">
        <v>93</v>
      </c>
      <c r="E927" s="76" t="s">
        <v>57</v>
      </c>
      <c r="F927" s="733">
        <f>$F$6*$E$924</f>
        <v>0</v>
      </c>
      <c r="G927" s="733">
        <f>$G$6*$E$924</f>
        <v>0</v>
      </c>
      <c r="H927" s="733">
        <f>$H$6*$E$924</f>
        <v>0</v>
      </c>
      <c r="I927" s="733">
        <f>$I$6*$E$924</f>
        <v>0</v>
      </c>
      <c r="J927" s="733">
        <f>$J$6*$E$924</f>
        <v>0</v>
      </c>
      <c r="K927" s="733">
        <f>K$6*$E$924</f>
        <v>0</v>
      </c>
      <c r="L927" s="733">
        <f t="shared" ref="L927:O927" si="913">L$6*$E$924</f>
        <v>0</v>
      </c>
      <c r="M927" s="733">
        <f t="shared" si="913"/>
        <v>0</v>
      </c>
      <c r="N927" s="733">
        <f t="shared" si="913"/>
        <v>0</v>
      </c>
      <c r="O927" s="733">
        <f t="shared" si="913"/>
        <v>0</v>
      </c>
      <c r="P927" s="733">
        <f>$P$6*$E$924</f>
        <v>0</v>
      </c>
      <c r="Q927" s="734">
        <f t="shared" ref="Q927:Q938" si="914">SUM(F927:P927)</f>
        <v>0</v>
      </c>
      <c r="R927" s="733">
        <f>$R$6*$E$924</f>
        <v>0</v>
      </c>
      <c r="S927" s="733">
        <f>$S$6*$E$924</f>
        <v>0</v>
      </c>
      <c r="T927" s="733">
        <f ca="1">$T$6*$E$924</f>
        <v>0</v>
      </c>
      <c r="U927" s="733">
        <f ca="1">$U$6*$E$924</f>
        <v>0</v>
      </c>
    </row>
    <row r="928" spans="2:21" s="119" customFormat="1" ht="19.5" hidden="1" thickBot="1" x14ac:dyDescent="0.3">
      <c r="B928" s="301"/>
      <c r="C928" s="119">
        <f t="shared" si="912"/>
        <v>0</v>
      </c>
      <c r="D928" s="110" t="s">
        <v>92</v>
      </c>
      <c r="E928" s="76" t="s">
        <v>56</v>
      </c>
      <c r="F928" s="733">
        <f>$F$7*$E$924</f>
        <v>0</v>
      </c>
      <c r="G928" s="733">
        <f>$G$7*$E$924</f>
        <v>0</v>
      </c>
      <c r="H928" s="733">
        <f>$H$7*$E$924</f>
        <v>0</v>
      </c>
      <c r="I928" s="733">
        <f>$I$7*$E$924</f>
        <v>0</v>
      </c>
      <c r="J928" s="733">
        <f>$J$7*$E$924</f>
        <v>0</v>
      </c>
      <c r="K928" s="733">
        <f>K$7*$E$924</f>
        <v>0</v>
      </c>
      <c r="L928" s="733">
        <f t="shared" ref="L928:O928" si="915">L$7*$E$924</f>
        <v>0</v>
      </c>
      <c r="M928" s="733">
        <f t="shared" si="915"/>
        <v>0</v>
      </c>
      <c r="N928" s="733">
        <f t="shared" si="915"/>
        <v>0</v>
      </c>
      <c r="O928" s="733">
        <f t="shared" si="915"/>
        <v>0</v>
      </c>
      <c r="P928" s="733">
        <f>$P$7*$E$924</f>
        <v>0</v>
      </c>
      <c r="Q928" s="734">
        <f t="shared" si="914"/>
        <v>0</v>
      </c>
      <c r="R928" s="733">
        <f>$R$7*$E$924</f>
        <v>0</v>
      </c>
      <c r="S928" s="733">
        <f>$S$7*$E$924</f>
        <v>0</v>
      </c>
      <c r="T928" s="733">
        <f>$T$7*$E$924</f>
        <v>0</v>
      </c>
      <c r="U928" s="733">
        <f>$U$7*$E$924</f>
        <v>0</v>
      </c>
    </row>
    <row r="929" spans="2:21" s="119" customFormat="1" ht="19.5" hidden="1" thickBot="1" x14ac:dyDescent="0.3">
      <c r="B929" s="301"/>
      <c r="C929" s="119">
        <f t="shared" si="912"/>
        <v>0</v>
      </c>
      <c r="D929" s="110" t="s">
        <v>91</v>
      </c>
      <c r="E929" s="76" t="s">
        <v>55</v>
      </c>
      <c r="F929" s="733">
        <f>$F$8*$E$924</f>
        <v>0</v>
      </c>
      <c r="G929" s="733">
        <f>$G$8*$E$924</f>
        <v>0</v>
      </c>
      <c r="H929" s="733">
        <f>$H$8*$E$924</f>
        <v>0</v>
      </c>
      <c r="I929" s="733">
        <f>$I$8*$E$924</f>
        <v>0</v>
      </c>
      <c r="J929" s="733">
        <f>$J$8*$E$924</f>
        <v>0</v>
      </c>
      <c r="K929" s="733">
        <f>K$8*$E$924</f>
        <v>0</v>
      </c>
      <c r="L929" s="733">
        <f t="shared" ref="L929:O929" si="916">L$8*$E$924</f>
        <v>0</v>
      </c>
      <c r="M929" s="733">
        <f t="shared" si="916"/>
        <v>0</v>
      </c>
      <c r="N929" s="733">
        <f t="shared" si="916"/>
        <v>0</v>
      </c>
      <c r="O929" s="733">
        <f t="shared" si="916"/>
        <v>0</v>
      </c>
      <c r="P929" s="733">
        <f>$P$8*$E$924</f>
        <v>0</v>
      </c>
      <c r="Q929" s="734">
        <f t="shared" si="914"/>
        <v>0</v>
      </c>
      <c r="R929" s="733">
        <f>$R$8*$E$924</f>
        <v>0</v>
      </c>
      <c r="S929" s="733">
        <f>$S$8*$E$924</f>
        <v>0</v>
      </c>
      <c r="T929" s="733">
        <f ca="1">$T$8*$E$924</f>
        <v>0</v>
      </c>
      <c r="U929" s="733">
        <f ca="1">$U$8*$E$924</f>
        <v>0</v>
      </c>
    </row>
    <row r="930" spans="2:21" s="119" customFormat="1" ht="19.5" hidden="1" thickBot="1" x14ac:dyDescent="0.3">
      <c r="B930" s="301"/>
      <c r="C930" s="119">
        <f t="shared" si="912"/>
        <v>0</v>
      </c>
      <c r="D930" s="111" t="s">
        <v>117</v>
      </c>
      <c r="E930" s="76" t="s">
        <v>54</v>
      </c>
      <c r="F930" s="733">
        <f>$F$9*$E$924</f>
        <v>0</v>
      </c>
      <c r="G930" s="733">
        <f>$G$9*$E$924</f>
        <v>0</v>
      </c>
      <c r="H930" s="733">
        <f>$H$9*$E$924</f>
        <v>0</v>
      </c>
      <c r="I930" s="733">
        <f>$I$9*$E$924</f>
        <v>0</v>
      </c>
      <c r="J930" s="733">
        <f>$J$9*$E$924</f>
        <v>0</v>
      </c>
      <c r="K930" s="733">
        <f>K$9*$E$924</f>
        <v>0</v>
      </c>
      <c r="L930" s="733">
        <f t="shared" ref="L930:O930" si="917">L$9*$E$924</f>
        <v>0</v>
      </c>
      <c r="M930" s="733">
        <f t="shared" si="917"/>
        <v>0</v>
      </c>
      <c r="N930" s="733">
        <f t="shared" si="917"/>
        <v>0</v>
      </c>
      <c r="O930" s="733">
        <f t="shared" si="917"/>
        <v>0</v>
      </c>
      <c r="P930" s="733">
        <f>$P$9*$E$924</f>
        <v>0</v>
      </c>
      <c r="Q930" s="734">
        <f t="shared" si="914"/>
        <v>0</v>
      </c>
      <c r="R930" s="733">
        <f>$R$9*$E$924</f>
        <v>0</v>
      </c>
      <c r="S930" s="733">
        <f>$S$9*$E$924</f>
        <v>0</v>
      </c>
      <c r="T930" s="733">
        <f>$T$9*$E$924</f>
        <v>0</v>
      </c>
      <c r="U930" s="733">
        <f>$U$9*$E$924</f>
        <v>0</v>
      </c>
    </row>
    <row r="931" spans="2:21" s="119" customFormat="1" ht="19.5" hidden="1" thickBot="1" x14ac:dyDescent="0.35">
      <c r="B931" s="301"/>
      <c r="C931" s="119">
        <f t="shared" si="912"/>
        <v>0</v>
      </c>
      <c r="D931" s="112" t="s">
        <v>31</v>
      </c>
      <c r="E931" s="76"/>
      <c r="F931" s="750"/>
      <c r="G931" s="735"/>
      <c r="H931" s="736"/>
      <c r="I931" s="735"/>
      <c r="J931" s="735"/>
      <c r="K931" s="735"/>
      <c r="L931" s="735"/>
      <c r="M931" s="735"/>
      <c r="N931" s="735"/>
      <c r="O931" s="735"/>
      <c r="P931" s="738"/>
      <c r="Q931" s="734">
        <f t="shared" si="914"/>
        <v>0</v>
      </c>
      <c r="R931" s="739"/>
      <c r="S931" s="735"/>
      <c r="T931" s="740"/>
      <c r="U931" s="741"/>
    </row>
    <row r="932" spans="2:21" s="119" customFormat="1" ht="19.5" hidden="1" thickBot="1" x14ac:dyDescent="0.35">
      <c r="B932" s="301"/>
      <c r="C932" s="119">
        <f t="shared" si="912"/>
        <v>0</v>
      </c>
      <c r="D932" s="113" t="s">
        <v>118</v>
      </c>
      <c r="E932" s="76" t="s">
        <v>53</v>
      </c>
      <c r="F932" s="733">
        <f>$F$11*$E$924</f>
        <v>0</v>
      </c>
      <c r="G932" s="733">
        <f>$G$11*$E$924</f>
        <v>0</v>
      </c>
      <c r="H932" s="733">
        <f>$H$11*$E$924</f>
        <v>0</v>
      </c>
      <c r="I932" s="733">
        <f>$I$11*$E$924</f>
        <v>0</v>
      </c>
      <c r="J932" s="733">
        <f>$J$11*$E$924</f>
        <v>0</v>
      </c>
      <c r="K932" s="733">
        <f>K$11*$E$924</f>
        <v>0</v>
      </c>
      <c r="L932" s="733">
        <f t="shared" ref="L932:O932" si="918">L$11*$E$924</f>
        <v>0</v>
      </c>
      <c r="M932" s="733">
        <f t="shared" si="918"/>
        <v>0</v>
      </c>
      <c r="N932" s="733">
        <f t="shared" si="918"/>
        <v>0</v>
      </c>
      <c r="O932" s="733">
        <f t="shared" si="918"/>
        <v>0</v>
      </c>
      <c r="P932" s="733">
        <f>$P$11*$E$924</f>
        <v>0</v>
      </c>
      <c r="Q932" s="734">
        <f t="shared" si="914"/>
        <v>0</v>
      </c>
      <c r="R932" s="733">
        <f>$R$11*$E$924</f>
        <v>0</v>
      </c>
      <c r="S932" s="733">
        <f>$S$11*$E$924</f>
        <v>0</v>
      </c>
      <c r="T932" s="733">
        <f>$T$11*$E$924</f>
        <v>0</v>
      </c>
      <c r="U932" s="733">
        <f>$U$11*$E$924</f>
        <v>0</v>
      </c>
    </row>
    <row r="933" spans="2:21" s="119" customFormat="1" ht="19.5" hidden="1" thickBot="1" x14ac:dyDescent="0.35">
      <c r="B933" s="301"/>
      <c r="C933" s="119">
        <f t="shared" si="912"/>
        <v>0</v>
      </c>
      <c r="D933" s="113" t="s">
        <v>119</v>
      </c>
      <c r="E933" s="76" t="s">
        <v>52</v>
      </c>
      <c r="F933" s="733">
        <f>$F$12*$E$924</f>
        <v>0</v>
      </c>
      <c r="G933" s="733">
        <f>$G$12*$E$924</f>
        <v>0</v>
      </c>
      <c r="H933" s="733">
        <f>$H$12*$E$924</f>
        <v>0</v>
      </c>
      <c r="I933" s="733">
        <f>$I$12*$E$924</f>
        <v>0</v>
      </c>
      <c r="J933" s="733">
        <f>$J$12*$E$924</f>
        <v>0</v>
      </c>
      <c r="K933" s="733">
        <f>K$12*$E$924</f>
        <v>0</v>
      </c>
      <c r="L933" s="733">
        <f t="shared" ref="L933:O933" si="919">L$12*$E$924</f>
        <v>0</v>
      </c>
      <c r="M933" s="733">
        <f t="shared" si="919"/>
        <v>0</v>
      </c>
      <c r="N933" s="733">
        <f t="shared" si="919"/>
        <v>0</v>
      </c>
      <c r="O933" s="733">
        <f t="shared" si="919"/>
        <v>0</v>
      </c>
      <c r="P933" s="733">
        <f>$P$12*$E$924</f>
        <v>0</v>
      </c>
      <c r="Q933" s="734">
        <f t="shared" si="914"/>
        <v>0</v>
      </c>
      <c r="R933" s="733">
        <f>$R$12*$E$924</f>
        <v>0</v>
      </c>
      <c r="S933" s="733">
        <f>$S$12*$E$924</f>
        <v>0</v>
      </c>
      <c r="T933" s="733">
        <f>$T$12*$E$924</f>
        <v>0</v>
      </c>
      <c r="U933" s="733">
        <f>$U$12*$E$924</f>
        <v>0</v>
      </c>
    </row>
    <row r="934" spans="2:21" s="119" customFormat="1" ht="19.5" hidden="1" thickBot="1" x14ac:dyDescent="0.35">
      <c r="B934" s="301"/>
      <c r="C934" s="119">
        <f t="shared" si="912"/>
        <v>0</v>
      </c>
      <c r="D934" s="113" t="s">
        <v>120</v>
      </c>
      <c r="E934" s="76" t="s">
        <v>51</v>
      </c>
      <c r="F934" s="733">
        <f>$F$13*$E$924</f>
        <v>0</v>
      </c>
      <c r="G934" s="733">
        <f>$G$13*$E$924</f>
        <v>0</v>
      </c>
      <c r="H934" s="733">
        <f>$H$13*$E$924</f>
        <v>0</v>
      </c>
      <c r="I934" s="733">
        <f>$I$13*$E$924</f>
        <v>0</v>
      </c>
      <c r="J934" s="733">
        <f>$J$13*$E$924</f>
        <v>0</v>
      </c>
      <c r="K934" s="733">
        <f>K$13*$E$924</f>
        <v>0</v>
      </c>
      <c r="L934" s="733">
        <f t="shared" ref="L934:O934" si="920">L$13*$E$924</f>
        <v>0</v>
      </c>
      <c r="M934" s="733">
        <f t="shared" si="920"/>
        <v>0</v>
      </c>
      <c r="N934" s="733">
        <f t="shared" si="920"/>
        <v>0</v>
      </c>
      <c r="O934" s="733">
        <f t="shared" si="920"/>
        <v>0</v>
      </c>
      <c r="P934" s="733">
        <f>$P$13*$E$924</f>
        <v>0</v>
      </c>
      <c r="Q934" s="734">
        <f t="shared" si="914"/>
        <v>0</v>
      </c>
      <c r="R934" s="733">
        <f>$R$13*$E$924</f>
        <v>0</v>
      </c>
      <c r="S934" s="733">
        <f>$S$13*$E$924</f>
        <v>0</v>
      </c>
      <c r="T934" s="733">
        <f>$T$13*$E$924</f>
        <v>0</v>
      </c>
      <c r="U934" s="733">
        <f>$U$13*$E$924</f>
        <v>0</v>
      </c>
    </row>
    <row r="935" spans="2:21" s="119" customFormat="1" ht="19.5" hidden="1" thickBot="1" x14ac:dyDescent="0.35">
      <c r="B935" s="301"/>
      <c r="C935" s="119">
        <f t="shared" si="912"/>
        <v>0</v>
      </c>
      <c r="D935" s="113" t="s">
        <v>121</v>
      </c>
      <c r="E935" s="76" t="s">
        <v>50</v>
      </c>
      <c r="F935" s="733">
        <f>$F$14*$E$924</f>
        <v>0</v>
      </c>
      <c r="G935" s="733">
        <f>$G$14*$E$924</f>
        <v>0</v>
      </c>
      <c r="H935" s="733">
        <f>$H$14*$E$924</f>
        <v>0</v>
      </c>
      <c r="I935" s="733">
        <f>$I$14*$E$924</f>
        <v>0</v>
      </c>
      <c r="J935" s="733">
        <f>$J$14*$E$924</f>
        <v>0</v>
      </c>
      <c r="K935" s="733">
        <f>K$14*$E$924</f>
        <v>0</v>
      </c>
      <c r="L935" s="733">
        <f t="shared" ref="L935:O935" si="921">L$14*$E$924</f>
        <v>0</v>
      </c>
      <c r="M935" s="733">
        <f t="shared" si="921"/>
        <v>0</v>
      </c>
      <c r="N935" s="733">
        <f t="shared" si="921"/>
        <v>0</v>
      </c>
      <c r="O935" s="733">
        <f t="shared" si="921"/>
        <v>0</v>
      </c>
      <c r="P935" s="733">
        <f>$P$14*$E$924</f>
        <v>0</v>
      </c>
      <c r="Q935" s="734">
        <f t="shared" si="914"/>
        <v>0</v>
      </c>
      <c r="R935" s="733">
        <f>$R$14*$E$924</f>
        <v>0</v>
      </c>
      <c r="S935" s="733">
        <f>$S$14*$E$924</f>
        <v>0</v>
      </c>
      <c r="T935" s="733">
        <f>$T$14*$E$924</f>
        <v>0</v>
      </c>
      <c r="U935" s="733">
        <f>$U$14*$E$924</f>
        <v>0</v>
      </c>
    </row>
    <row r="936" spans="2:21" s="119" customFormat="1" ht="19.5" hidden="1" thickBot="1" x14ac:dyDescent="0.35">
      <c r="B936" s="301"/>
      <c r="C936" s="119">
        <f t="shared" si="912"/>
        <v>0</v>
      </c>
      <c r="D936" s="113" t="s">
        <v>122</v>
      </c>
      <c r="E936" s="76" t="s">
        <v>49</v>
      </c>
      <c r="F936" s="733">
        <f>$F$15*$E$924</f>
        <v>0</v>
      </c>
      <c r="G936" s="733">
        <f>$G$15*$E$924</f>
        <v>0</v>
      </c>
      <c r="H936" s="733">
        <f>$H$15*$E$924</f>
        <v>0</v>
      </c>
      <c r="I936" s="733">
        <f>$I$15*$E$924</f>
        <v>0</v>
      </c>
      <c r="J936" s="733">
        <f>$J$15*$E$924</f>
        <v>0</v>
      </c>
      <c r="K936" s="733">
        <f>K$15*$E$924</f>
        <v>0</v>
      </c>
      <c r="L936" s="733">
        <f t="shared" ref="L936:O936" si="922">L$15*$E$924</f>
        <v>0</v>
      </c>
      <c r="M936" s="733">
        <f t="shared" si="922"/>
        <v>0</v>
      </c>
      <c r="N936" s="733">
        <f t="shared" si="922"/>
        <v>0</v>
      </c>
      <c r="O936" s="733">
        <f t="shared" si="922"/>
        <v>0</v>
      </c>
      <c r="P936" s="733">
        <f>$P$15*$E$924</f>
        <v>0</v>
      </c>
      <c r="Q936" s="734">
        <f t="shared" si="914"/>
        <v>0</v>
      </c>
      <c r="R936" s="733">
        <f>$R$15*$E$924</f>
        <v>0</v>
      </c>
      <c r="S936" s="733">
        <f>$S$15*$E$924</f>
        <v>0</v>
      </c>
      <c r="T936" s="733">
        <f>$T$15*$E$924</f>
        <v>0</v>
      </c>
      <c r="U936" s="733">
        <f>$U$15*$E$924</f>
        <v>0</v>
      </c>
    </row>
    <row r="937" spans="2:21" s="119" customFormat="1" ht="19.5" hidden="1" thickBot="1" x14ac:dyDescent="0.35">
      <c r="B937" s="301"/>
      <c r="C937" s="119">
        <f t="shared" si="912"/>
        <v>0</v>
      </c>
      <c r="D937" s="113" t="s">
        <v>123</v>
      </c>
      <c r="E937" s="76" t="s">
        <v>47</v>
      </c>
      <c r="F937" s="733">
        <f>$F$16*$E$924</f>
        <v>0</v>
      </c>
      <c r="G937" s="733">
        <f>$G$16*$E$924</f>
        <v>0</v>
      </c>
      <c r="H937" s="733">
        <f>$H$16*$E$924</f>
        <v>0</v>
      </c>
      <c r="I937" s="733">
        <f>$I$16*$E$924</f>
        <v>0</v>
      </c>
      <c r="J937" s="733">
        <f>$J$16*$E$924</f>
        <v>0</v>
      </c>
      <c r="K937" s="733">
        <f>K$16*$E$924</f>
        <v>0</v>
      </c>
      <c r="L937" s="733">
        <f t="shared" ref="L937:O937" si="923">L$16*$E$924</f>
        <v>0</v>
      </c>
      <c r="M937" s="733">
        <f t="shared" si="923"/>
        <v>0</v>
      </c>
      <c r="N937" s="733">
        <f t="shared" si="923"/>
        <v>0</v>
      </c>
      <c r="O937" s="733">
        <f t="shared" si="923"/>
        <v>0</v>
      </c>
      <c r="P937" s="733">
        <f>$P$16*$E$924</f>
        <v>0</v>
      </c>
      <c r="Q937" s="734">
        <f t="shared" si="914"/>
        <v>0</v>
      </c>
      <c r="R937" s="733">
        <f>$R$16*$E$924</f>
        <v>0</v>
      </c>
      <c r="S937" s="733">
        <f>$S$16*$E$924</f>
        <v>0</v>
      </c>
      <c r="T937" s="733">
        <f>$T$16*$E$924</f>
        <v>0</v>
      </c>
      <c r="U937" s="733">
        <f>$U$16*$E$924</f>
        <v>0</v>
      </c>
    </row>
    <row r="938" spans="2:21" s="119" customFormat="1" ht="19.5" hidden="1" thickBot="1" x14ac:dyDescent="0.35">
      <c r="B938" s="301"/>
      <c r="C938" s="119">
        <f t="shared" si="912"/>
        <v>0</v>
      </c>
      <c r="D938" s="114" t="s">
        <v>16</v>
      </c>
      <c r="E938" s="70" t="s">
        <v>77</v>
      </c>
      <c r="F938" s="733">
        <f>$F$17*$E$924</f>
        <v>0</v>
      </c>
      <c r="G938" s="733">
        <f>$G$17*$E$924</f>
        <v>0</v>
      </c>
      <c r="H938" s="733">
        <f>$H$17*$E$924</f>
        <v>0</v>
      </c>
      <c r="I938" s="733">
        <f>$I$17*$E$924</f>
        <v>0</v>
      </c>
      <c r="J938" s="733">
        <f>$J$17*$E$924</f>
        <v>0</v>
      </c>
      <c r="K938" s="733">
        <f>K$17*$E$924</f>
        <v>0</v>
      </c>
      <c r="L938" s="733">
        <f t="shared" ref="L938:O938" si="924">L$17*$E$924</f>
        <v>0</v>
      </c>
      <c r="M938" s="733">
        <f t="shared" si="924"/>
        <v>0</v>
      </c>
      <c r="N938" s="733">
        <f t="shared" si="924"/>
        <v>0</v>
      </c>
      <c r="O938" s="733">
        <f t="shared" si="924"/>
        <v>0</v>
      </c>
      <c r="P938" s="733">
        <f>$P$17*$E$924</f>
        <v>0</v>
      </c>
      <c r="Q938" s="734">
        <f t="shared" si="914"/>
        <v>0</v>
      </c>
      <c r="R938" s="733">
        <f>$R$17*$E$924</f>
        <v>0</v>
      </c>
      <c r="S938" s="733">
        <f>$S$17*$E$924</f>
        <v>0</v>
      </c>
      <c r="T938" s="733">
        <f ca="1">$T$17*$E$924</f>
        <v>0</v>
      </c>
      <c r="U938" s="733">
        <f ca="1">$U$17*$E$924</f>
        <v>0</v>
      </c>
    </row>
    <row r="939" spans="2:21" s="119" customFormat="1" ht="19.5" hidden="1" thickBot="1" x14ac:dyDescent="0.35">
      <c r="B939" s="301"/>
      <c r="C939" s="119">
        <f t="shared" si="912"/>
        <v>0</v>
      </c>
      <c r="D939" s="115" t="s">
        <v>124</v>
      </c>
      <c r="E939" s="116" t="s">
        <v>78</v>
      </c>
      <c r="F939" s="742">
        <f t="shared" ref="F939:U939" si="925">SUBTOTAL(9,F927:F938)</f>
        <v>0</v>
      </c>
      <c r="G939" s="742">
        <f>SUBTOTAL(9,G927:G938)</f>
        <v>0</v>
      </c>
      <c r="H939" s="742">
        <f>SUBTOTAL(9,H927:H938)</f>
        <v>0</v>
      </c>
      <c r="I939" s="742">
        <f>SUBTOTAL(9,I927:I938)</f>
        <v>0</v>
      </c>
      <c r="J939" s="742">
        <f>SUBTOTAL(9,J927:J938)</f>
        <v>0</v>
      </c>
      <c r="K939" s="742">
        <f>SUBTOTAL(9,K927:K938)</f>
        <v>0</v>
      </c>
      <c r="L939" s="742">
        <f t="shared" ref="L939:O939" si="926">SUBTOTAL(9,L927:L938)</f>
        <v>0</v>
      </c>
      <c r="M939" s="742">
        <f t="shared" si="926"/>
        <v>0</v>
      </c>
      <c r="N939" s="742">
        <f t="shared" si="926"/>
        <v>0</v>
      </c>
      <c r="O939" s="742">
        <f t="shared" si="926"/>
        <v>0</v>
      </c>
      <c r="P939" s="742">
        <f t="shared" si="925"/>
        <v>0</v>
      </c>
      <c r="Q939" s="743">
        <f>SUBTOTAL(9,Q927:Q938)</f>
        <v>0</v>
      </c>
      <c r="R939" s="742">
        <f t="shared" si="925"/>
        <v>0</v>
      </c>
      <c r="S939" s="742">
        <f t="shared" si="925"/>
        <v>0</v>
      </c>
      <c r="T939" s="742">
        <f t="shared" si="925"/>
        <v>0</v>
      </c>
      <c r="U939" s="742">
        <f t="shared" si="925"/>
        <v>0</v>
      </c>
    </row>
    <row r="940" spans="2:21" s="119" customFormat="1" ht="19.5" hidden="1" thickBot="1" x14ac:dyDescent="0.3">
      <c r="B940" s="340"/>
      <c r="D940" s="117"/>
      <c r="E940" s="117"/>
      <c r="F940" s="118"/>
      <c r="G940" s="118"/>
      <c r="I940" s="118"/>
      <c r="J940" s="118"/>
      <c r="K940" s="118"/>
      <c r="L940" s="118"/>
      <c r="O940" s="118"/>
      <c r="Q940" s="120"/>
      <c r="R940" s="117"/>
      <c r="S940" s="118"/>
      <c r="U940" s="118"/>
    </row>
    <row r="941" spans="2:21" s="119" customFormat="1" ht="75.75" hidden="1" thickBot="1" x14ac:dyDescent="0.3">
      <c r="B941" s="301"/>
      <c r="C941" s="119">
        <f>IF($E941&gt;0,1,0)</f>
        <v>0</v>
      </c>
      <c r="D941" s="96" t="str">
        <f>A58</f>
        <v>Tompkins</v>
      </c>
      <c r="E941" s="166">
        <f>IFERROR(SUMIF(A:A,D941,B:B),0)</f>
        <v>0</v>
      </c>
      <c r="F941" s="98" t="s">
        <v>356</v>
      </c>
      <c r="G941" s="98" t="s">
        <v>373</v>
      </c>
      <c r="H941" s="98" t="s">
        <v>358</v>
      </c>
      <c r="I941" s="98" t="s">
        <v>109</v>
      </c>
      <c r="J941" s="98" t="s">
        <v>111</v>
      </c>
      <c r="K941" s="98" t="s">
        <v>469</v>
      </c>
      <c r="L941" s="98" t="s">
        <v>470</v>
      </c>
      <c r="M941" s="98" t="s">
        <v>357</v>
      </c>
      <c r="N941" s="509" t="s">
        <v>471</v>
      </c>
      <c r="O941" s="98" t="s">
        <v>472</v>
      </c>
      <c r="P941" s="98" t="s">
        <v>110</v>
      </c>
      <c r="Q941" s="99" t="s">
        <v>116</v>
      </c>
      <c r="R941" s="98" t="s">
        <v>112</v>
      </c>
      <c r="S941" s="98" t="s">
        <v>113</v>
      </c>
      <c r="T941" s="98" t="s">
        <v>114</v>
      </c>
      <c r="U941" s="98" t="s">
        <v>115</v>
      </c>
    </row>
    <row r="942" spans="2:21" s="119" customFormat="1" ht="19.5" hidden="1" thickBot="1" x14ac:dyDescent="0.3">
      <c r="B942" s="301"/>
      <c r="C942" s="119">
        <f>C941</f>
        <v>0</v>
      </c>
      <c r="D942" s="101"/>
      <c r="E942" s="102"/>
      <c r="F942" s="84" t="s">
        <v>57</v>
      </c>
      <c r="G942" s="84" t="s">
        <v>56</v>
      </c>
      <c r="H942" s="84" t="s">
        <v>55</v>
      </c>
      <c r="I942" s="84" t="s">
        <v>54</v>
      </c>
      <c r="J942" s="84" t="s">
        <v>53</v>
      </c>
      <c r="K942" s="84" t="s">
        <v>52</v>
      </c>
      <c r="L942" s="84" t="s">
        <v>51</v>
      </c>
      <c r="M942" s="84" t="s">
        <v>50</v>
      </c>
      <c r="N942" s="84" t="s">
        <v>49</v>
      </c>
      <c r="O942" s="84" t="s">
        <v>47</v>
      </c>
      <c r="P942" s="84" t="s">
        <v>77</v>
      </c>
      <c r="Q942" s="83" t="s">
        <v>78</v>
      </c>
      <c r="R942" s="84" t="s">
        <v>79</v>
      </c>
      <c r="S942" s="84" t="s">
        <v>81</v>
      </c>
      <c r="T942" s="84" t="s">
        <v>83</v>
      </c>
      <c r="U942" s="84" t="s">
        <v>85</v>
      </c>
    </row>
    <row r="943" spans="2:21" s="119" customFormat="1" ht="19.5" hidden="1" thickBot="1" x14ac:dyDescent="0.35">
      <c r="B943" s="301"/>
      <c r="C943" s="119">
        <f t="shared" ref="C943:C956" si="927">C942</f>
        <v>0</v>
      </c>
      <c r="D943" s="103" t="s">
        <v>26</v>
      </c>
      <c r="E943" s="104"/>
      <c r="F943" s="745"/>
      <c r="G943" s="745"/>
      <c r="H943" s="746"/>
      <c r="I943" s="745"/>
      <c r="J943" s="745"/>
      <c r="K943" s="745"/>
      <c r="L943" s="745"/>
      <c r="M943" s="746"/>
      <c r="N943" s="746"/>
      <c r="O943" s="745"/>
      <c r="P943" s="746"/>
      <c r="Q943" s="747"/>
      <c r="R943" s="748"/>
      <c r="S943" s="745"/>
      <c r="T943" s="746"/>
      <c r="U943" s="749"/>
    </row>
    <row r="944" spans="2:21" s="119" customFormat="1" ht="19.5" hidden="1" thickBot="1" x14ac:dyDescent="0.3">
      <c r="B944" s="301"/>
      <c r="C944" s="119">
        <f t="shared" si="927"/>
        <v>0</v>
      </c>
      <c r="D944" s="109" t="s">
        <v>93</v>
      </c>
      <c r="E944" s="76" t="s">
        <v>57</v>
      </c>
      <c r="F944" s="733">
        <f>$F$6*$E$941</f>
        <v>0</v>
      </c>
      <c r="G944" s="733">
        <f>$G$6*$E$941</f>
        <v>0</v>
      </c>
      <c r="H944" s="733">
        <f>$H$6*$E$941</f>
        <v>0</v>
      </c>
      <c r="I944" s="733">
        <f>$I$6*$E$941</f>
        <v>0</v>
      </c>
      <c r="J944" s="733">
        <f>$J$6*$E$941</f>
        <v>0</v>
      </c>
      <c r="K944" s="733">
        <f>K$6*$E$941</f>
        <v>0</v>
      </c>
      <c r="L944" s="733">
        <f t="shared" ref="L944:P944" si="928">L$6*$E$941</f>
        <v>0</v>
      </c>
      <c r="M944" s="733">
        <f t="shared" si="928"/>
        <v>0</v>
      </c>
      <c r="N944" s="733">
        <f t="shared" si="928"/>
        <v>0</v>
      </c>
      <c r="O944" s="733">
        <f t="shared" si="928"/>
        <v>0</v>
      </c>
      <c r="P944" s="733">
        <f t="shared" si="928"/>
        <v>0</v>
      </c>
      <c r="Q944" s="734">
        <f t="shared" ref="Q944:Q955" si="929">SUM(F944:P944)</f>
        <v>0</v>
      </c>
      <c r="R944" s="733">
        <f>$R$6*$E$941</f>
        <v>0</v>
      </c>
      <c r="S944" s="733">
        <f>$S$6*$E$941</f>
        <v>0</v>
      </c>
      <c r="T944" s="733">
        <f ca="1">$T$6*$E$941</f>
        <v>0</v>
      </c>
      <c r="U944" s="733">
        <f ca="1">$U$6*$E$941</f>
        <v>0</v>
      </c>
    </row>
    <row r="945" spans="2:21" s="119" customFormat="1" ht="19.5" hidden="1" thickBot="1" x14ac:dyDescent="0.3">
      <c r="B945" s="301"/>
      <c r="C945" s="119">
        <f t="shared" si="927"/>
        <v>0</v>
      </c>
      <c r="D945" s="110" t="s">
        <v>92</v>
      </c>
      <c r="E945" s="76" t="s">
        <v>56</v>
      </c>
      <c r="F945" s="733">
        <f>$F$7*$E$941</f>
        <v>0</v>
      </c>
      <c r="G945" s="733">
        <f>$G$7*$E$941</f>
        <v>0</v>
      </c>
      <c r="H945" s="733">
        <f>$H$7*$E$941</f>
        <v>0</v>
      </c>
      <c r="I945" s="733">
        <f>$I$7*$E$941</f>
        <v>0</v>
      </c>
      <c r="J945" s="733">
        <f>$J$7*$E$941</f>
        <v>0</v>
      </c>
      <c r="K945" s="733">
        <f>K$7*$E$941</f>
        <v>0</v>
      </c>
      <c r="L945" s="733">
        <f t="shared" ref="L945:P945" si="930">L$7*$E$941</f>
        <v>0</v>
      </c>
      <c r="M945" s="733">
        <f t="shared" si="930"/>
        <v>0</v>
      </c>
      <c r="N945" s="733">
        <f t="shared" si="930"/>
        <v>0</v>
      </c>
      <c r="O945" s="733">
        <f t="shared" si="930"/>
        <v>0</v>
      </c>
      <c r="P945" s="733">
        <f t="shared" si="930"/>
        <v>0</v>
      </c>
      <c r="Q945" s="734">
        <f t="shared" si="929"/>
        <v>0</v>
      </c>
      <c r="R945" s="733">
        <f>$R$7*$E$941</f>
        <v>0</v>
      </c>
      <c r="S945" s="733">
        <f>$S$7*$E$941</f>
        <v>0</v>
      </c>
      <c r="T945" s="733">
        <f>$T$7*$E$941</f>
        <v>0</v>
      </c>
      <c r="U945" s="733">
        <f>$U$7*$E$941</f>
        <v>0</v>
      </c>
    </row>
    <row r="946" spans="2:21" s="119" customFormat="1" ht="19.5" hidden="1" thickBot="1" x14ac:dyDescent="0.3">
      <c r="B946" s="301"/>
      <c r="C946" s="119">
        <f t="shared" si="927"/>
        <v>0</v>
      </c>
      <c r="D946" s="110" t="s">
        <v>91</v>
      </c>
      <c r="E946" s="76" t="s">
        <v>55</v>
      </c>
      <c r="F946" s="733">
        <f>$F$8*$E$941</f>
        <v>0</v>
      </c>
      <c r="G946" s="733">
        <f>$G$8*$E$941</f>
        <v>0</v>
      </c>
      <c r="H946" s="733">
        <f>$H$8*$E$941</f>
        <v>0</v>
      </c>
      <c r="I946" s="733">
        <f>$I$8*$E$941</f>
        <v>0</v>
      </c>
      <c r="J946" s="733">
        <f>$J$8*$E$941</f>
        <v>0</v>
      </c>
      <c r="K946" s="733">
        <f>K$8*$E$941</f>
        <v>0</v>
      </c>
      <c r="L946" s="733">
        <f t="shared" ref="L946:P946" si="931">L$8*$E$941</f>
        <v>0</v>
      </c>
      <c r="M946" s="733">
        <f t="shared" si="931"/>
        <v>0</v>
      </c>
      <c r="N946" s="733">
        <f t="shared" si="931"/>
        <v>0</v>
      </c>
      <c r="O946" s="733">
        <f t="shared" si="931"/>
        <v>0</v>
      </c>
      <c r="P946" s="733">
        <f t="shared" si="931"/>
        <v>0</v>
      </c>
      <c r="Q946" s="734">
        <f t="shared" si="929"/>
        <v>0</v>
      </c>
      <c r="R946" s="733">
        <f>$R$8*$E$941</f>
        <v>0</v>
      </c>
      <c r="S946" s="733">
        <f>$S$8*$E$941</f>
        <v>0</v>
      </c>
      <c r="T946" s="733">
        <f ca="1">$T$8*$E$941</f>
        <v>0</v>
      </c>
      <c r="U946" s="733">
        <f ca="1">$U$8*$E$941</f>
        <v>0</v>
      </c>
    </row>
    <row r="947" spans="2:21" s="119" customFormat="1" ht="19.5" hidden="1" thickBot="1" x14ac:dyDescent="0.3">
      <c r="B947" s="301"/>
      <c r="C947" s="119">
        <f t="shared" si="927"/>
        <v>0</v>
      </c>
      <c r="D947" s="111" t="s">
        <v>117</v>
      </c>
      <c r="E947" s="76" t="s">
        <v>54</v>
      </c>
      <c r="F947" s="733">
        <f>$F$9*$E$941</f>
        <v>0</v>
      </c>
      <c r="G947" s="733">
        <f>$G$9*$E$941</f>
        <v>0</v>
      </c>
      <c r="H947" s="733">
        <f>$H$9*$E$941</f>
        <v>0</v>
      </c>
      <c r="I947" s="733">
        <f>$I$9*$E$941</f>
        <v>0</v>
      </c>
      <c r="J947" s="733">
        <f>$J$9*$E$941</f>
        <v>0</v>
      </c>
      <c r="K947" s="733">
        <f>K$9*$E$941</f>
        <v>0</v>
      </c>
      <c r="L947" s="733">
        <f t="shared" ref="L947:P947" si="932">L$9*$E$941</f>
        <v>0</v>
      </c>
      <c r="M947" s="733">
        <f t="shared" si="932"/>
        <v>0</v>
      </c>
      <c r="N947" s="733">
        <f t="shared" si="932"/>
        <v>0</v>
      </c>
      <c r="O947" s="733">
        <f t="shared" si="932"/>
        <v>0</v>
      </c>
      <c r="P947" s="733">
        <f t="shared" si="932"/>
        <v>0</v>
      </c>
      <c r="Q947" s="734">
        <f t="shared" si="929"/>
        <v>0</v>
      </c>
      <c r="R947" s="733">
        <f>$R$9*$E$941</f>
        <v>0</v>
      </c>
      <c r="S947" s="733">
        <f>$S$9*$E$941</f>
        <v>0</v>
      </c>
      <c r="T947" s="733">
        <f>$T$9*$E$941</f>
        <v>0</v>
      </c>
      <c r="U947" s="733">
        <f>$U$9*$E$941</f>
        <v>0</v>
      </c>
    </row>
    <row r="948" spans="2:21" s="119" customFormat="1" ht="19.5" hidden="1" thickBot="1" x14ac:dyDescent="0.35">
      <c r="B948" s="301"/>
      <c r="C948" s="119">
        <f t="shared" si="927"/>
        <v>0</v>
      </c>
      <c r="D948" s="112" t="s">
        <v>31</v>
      </c>
      <c r="E948" s="76"/>
      <c r="F948" s="750"/>
      <c r="G948" s="735"/>
      <c r="H948" s="736"/>
      <c r="I948" s="735"/>
      <c r="J948" s="735"/>
      <c r="K948" s="735"/>
      <c r="L948" s="735"/>
      <c r="M948" s="735"/>
      <c r="N948" s="735"/>
      <c r="O948" s="735"/>
      <c r="P948" s="735"/>
      <c r="Q948" s="734">
        <f t="shared" si="929"/>
        <v>0</v>
      </c>
      <c r="R948" s="739"/>
      <c r="S948" s="735"/>
      <c r="T948" s="740"/>
      <c r="U948" s="741"/>
    </row>
    <row r="949" spans="2:21" s="119" customFormat="1" ht="19.5" hidden="1" thickBot="1" x14ac:dyDescent="0.35">
      <c r="B949" s="301"/>
      <c r="C949" s="119">
        <f t="shared" si="927"/>
        <v>0</v>
      </c>
      <c r="D949" s="113" t="s">
        <v>118</v>
      </c>
      <c r="E949" s="76" t="s">
        <v>53</v>
      </c>
      <c r="F949" s="733">
        <f>$F$11*$E$941</f>
        <v>0</v>
      </c>
      <c r="G949" s="733">
        <f>$G$11*$E$941</f>
        <v>0</v>
      </c>
      <c r="H949" s="733">
        <f>$H$11*$E$941</f>
        <v>0</v>
      </c>
      <c r="I949" s="733">
        <f>$I$11*$E$941</f>
        <v>0</v>
      </c>
      <c r="J949" s="733">
        <f>$J$11*$E$941</f>
        <v>0</v>
      </c>
      <c r="K949" s="733">
        <f>K$11*$E$941</f>
        <v>0</v>
      </c>
      <c r="L949" s="733">
        <f t="shared" ref="L949:P949" si="933">L$11*$E$941</f>
        <v>0</v>
      </c>
      <c r="M949" s="733">
        <f t="shared" si="933"/>
        <v>0</v>
      </c>
      <c r="N949" s="733">
        <f t="shared" si="933"/>
        <v>0</v>
      </c>
      <c r="O949" s="733">
        <f t="shared" si="933"/>
        <v>0</v>
      </c>
      <c r="P949" s="733">
        <f t="shared" si="933"/>
        <v>0</v>
      </c>
      <c r="Q949" s="734">
        <f t="shared" si="929"/>
        <v>0</v>
      </c>
      <c r="R949" s="733">
        <f>$R$11*$E$941</f>
        <v>0</v>
      </c>
      <c r="S949" s="733">
        <f>$S$11*$E$941</f>
        <v>0</v>
      </c>
      <c r="T949" s="733">
        <f>$T$11*$E$941</f>
        <v>0</v>
      </c>
      <c r="U949" s="733">
        <f>$U$11*$E$941</f>
        <v>0</v>
      </c>
    </row>
    <row r="950" spans="2:21" s="119" customFormat="1" ht="19.5" hidden="1" thickBot="1" x14ac:dyDescent="0.35">
      <c r="B950" s="301"/>
      <c r="C950" s="119">
        <f t="shared" si="927"/>
        <v>0</v>
      </c>
      <c r="D950" s="113" t="s">
        <v>119</v>
      </c>
      <c r="E950" s="76" t="s">
        <v>52</v>
      </c>
      <c r="F950" s="733">
        <f>$F$12*$E$941</f>
        <v>0</v>
      </c>
      <c r="G950" s="733">
        <f>$G$12*$E$941</f>
        <v>0</v>
      </c>
      <c r="H950" s="733">
        <f>$H$12*$E$941</f>
        <v>0</v>
      </c>
      <c r="I950" s="733">
        <f>$I$12*$E$941</f>
        <v>0</v>
      </c>
      <c r="J950" s="733">
        <f>$J$12*$E$941</f>
        <v>0</v>
      </c>
      <c r="K950" s="733">
        <f>K$12*$E$941</f>
        <v>0</v>
      </c>
      <c r="L950" s="733">
        <f t="shared" ref="L950:P950" si="934">L$12*$E$941</f>
        <v>0</v>
      </c>
      <c r="M950" s="733">
        <f t="shared" si="934"/>
        <v>0</v>
      </c>
      <c r="N950" s="733">
        <f t="shared" si="934"/>
        <v>0</v>
      </c>
      <c r="O950" s="733">
        <f t="shared" si="934"/>
        <v>0</v>
      </c>
      <c r="P950" s="733">
        <f t="shared" si="934"/>
        <v>0</v>
      </c>
      <c r="Q950" s="734">
        <f t="shared" si="929"/>
        <v>0</v>
      </c>
      <c r="R950" s="733">
        <f>$R$12*$E$941</f>
        <v>0</v>
      </c>
      <c r="S950" s="733">
        <f>$S$12*$E$941</f>
        <v>0</v>
      </c>
      <c r="T950" s="733">
        <f>$T$12*$E$941</f>
        <v>0</v>
      </c>
      <c r="U950" s="733">
        <f>$U$12*$E$941</f>
        <v>0</v>
      </c>
    </row>
    <row r="951" spans="2:21" s="119" customFormat="1" ht="19.5" hidden="1" thickBot="1" x14ac:dyDescent="0.35">
      <c r="B951" s="301"/>
      <c r="C951" s="119">
        <f t="shared" si="927"/>
        <v>0</v>
      </c>
      <c r="D951" s="113" t="s">
        <v>120</v>
      </c>
      <c r="E951" s="76" t="s">
        <v>51</v>
      </c>
      <c r="F951" s="733">
        <f>$F$13*$E$941</f>
        <v>0</v>
      </c>
      <c r="G951" s="733">
        <f>$G$13*$E$941</f>
        <v>0</v>
      </c>
      <c r="H951" s="733">
        <f>$H$13*$E$941</f>
        <v>0</v>
      </c>
      <c r="I951" s="733">
        <f>$I$13*$E$941</f>
        <v>0</v>
      </c>
      <c r="J951" s="733">
        <f>$J$13*$E$941</f>
        <v>0</v>
      </c>
      <c r="K951" s="733">
        <f>K$13*$E$941</f>
        <v>0</v>
      </c>
      <c r="L951" s="733">
        <f t="shared" ref="L951:P951" si="935">L$13*$E$941</f>
        <v>0</v>
      </c>
      <c r="M951" s="733">
        <f t="shared" si="935"/>
        <v>0</v>
      </c>
      <c r="N951" s="733">
        <f t="shared" si="935"/>
        <v>0</v>
      </c>
      <c r="O951" s="733">
        <f t="shared" si="935"/>
        <v>0</v>
      </c>
      <c r="P951" s="733">
        <f t="shared" si="935"/>
        <v>0</v>
      </c>
      <c r="Q951" s="734">
        <f t="shared" si="929"/>
        <v>0</v>
      </c>
      <c r="R951" s="733">
        <f>$R$13*$E$941</f>
        <v>0</v>
      </c>
      <c r="S951" s="733">
        <f>$S$13*$E$941</f>
        <v>0</v>
      </c>
      <c r="T951" s="733">
        <f>$T$13*$E$941</f>
        <v>0</v>
      </c>
      <c r="U951" s="733">
        <f>$U$13*$E$941</f>
        <v>0</v>
      </c>
    </row>
    <row r="952" spans="2:21" s="119" customFormat="1" ht="19.5" hidden="1" thickBot="1" x14ac:dyDescent="0.35">
      <c r="B952" s="301"/>
      <c r="C952" s="119">
        <f t="shared" si="927"/>
        <v>0</v>
      </c>
      <c r="D952" s="113" t="s">
        <v>121</v>
      </c>
      <c r="E952" s="76" t="s">
        <v>50</v>
      </c>
      <c r="F952" s="733">
        <f>$F$14*$E$941</f>
        <v>0</v>
      </c>
      <c r="G952" s="733">
        <f>$G$14*$E$941</f>
        <v>0</v>
      </c>
      <c r="H952" s="733">
        <f>$H$14*$E$941</f>
        <v>0</v>
      </c>
      <c r="I952" s="733">
        <f>$I$14*$E$941</f>
        <v>0</v>
      </c>
      <c r="J952" s="733">
        <f>$J$14*$E$941</f>
        <v>0</v>
      </c>
      <c r="K952" s="733">
        <f>K$14*$E$941</f>
        <v>0</v>
      </c>
      <c r="L952" s="733">
        <f t="shared" ref="L952:P952" si="936">L$14*$E$941</f>
        <v>0</v>
      </c>
      <c r="M952" s="733">
        <f t="shared" si="936"/>
        <v>0</v>
      </c>
      <c r="N952" s="733">
        <f t="shared" si="936"/>
        <v>0</v>
      </c>
      <c r="O952" s="733">
        <f t="shared" si="936"/>
        <v>0</v>
      </c>
      <c r="P952" s="733">
        <f t="shared" si="936"/>
        <v>0</v>
      </c>
      <c r="Q952" s="734">
        <f t="shared" si="929"/>
        <v>0</v>
      </c>
      <c r="R952" s="733">
        <f>$R$14*$E$941</f>
        <v>0</v>
      </c>
      <c r="S952" s="733">
        <f>$S$14*$E$941</f>
        <v>0</v>
      </c>
      <c r="T952" s="733">
        <f>$T$14*$E$941</f>
        <v>0</v>
      </c>
      <c r="U952" s="733">
        <f>$U$14*$E$941</f>
        <v>0</v>
      </c>
    </row>
    <row r="953" spans="2:21" s="119" customFormat="1" ht="19.5" hidden="1" thickBot="1" x14ac:dyDescent="0.35">
      <c r="B953" s="301"/>
      <c r="C953" s="119">
        <f t="shared" si="927"/>
        <v>0</v>
      </c>
      <c r="D953" s="113" t="s">
        <v>122</v>
      </c>
      <c r="E953" s="76" t="s">
        <v>49</v>
      </c>
      <c r="F953" s="733">
        <f>$F$15*$E$941</f>
        <v>0</v>
      </c>
      <c r="G953" s="733">
        <f>$G$15*$E$941</f>
        <v>0</v>
      </c>
      <c r="H953" s="733">
        <f>$H$15*$E$941</f>
        <v>0</v>
      </c>
      <c r="I953" s="733">
        <f>$I$15*$E$941</f>
        <v>0</v>
      </c>
      <c r="J953" s="733">
        <f>$J$15*$E$941</f>
        <v>0</v>
      </c>
      <c r="K953" s="733">
        <f>K$15*$E$941</f>
        <v>0</v>
      </c>
      <c r="L953" s="733">
        <f t="shared" ref="L953:P953" si="937">L$15*$E$941</f>
        <v>0</v>
      </c>
      <c r="M953" s="733">
        <f t="shared" si="937"/>
        <v>0</v>
      </c>
      <c r="N953" s="733">
        <f t="shared" si="937"/>
        <v>0</v>
      </c>
      <c r="O953" s="733">
        <f t="shared" si="937"/>
        <v>0</v>
      </c>
      <c r="P953" s="733">
        <f t="shared" si="937"/>
        <v>0</v>
      </c>
      <c r="Q953" s="734">
        <f t="shared" si="929"/>
        <v>0</v>
      </c>
      <c r="R953" s="733">
        <f>$R$15*$E$941</f>
        <v>0</v>
      </c>
      <c r="S953" s="733">
        <f>$S$15*$E$941</f>
        <v>0</v>
      </c>
      <c r="T953" s="733">
        <f>$T$15*$E$941</f>
        <v>0</v>
      </c>
      <c r="U953" s="733">
        <f>$U$15*$E$941</f>
        <v>0</v>
      </c>
    </row>
    <row r="954" spans="2:21" s="119" customFormat="1" ht="19.5" hidden="1" thickBot="1" x14ac:dyDescent="0.35">
      <c r="B954" s="301"/>
      <c r="C954" s="119">
        <f t="shared" si="927"/>
        <v>0</v>
      </c>
      <c r="D954" s="113" t="s">
        <v>123</v>
      </c>
      <c r="E954" s="76" t="s">
        <v>47</v>
      </c>
      <c r="F954" s="733">
        <f>$F$16*$E$941</f>
        <v>0</v>
      </c>
      <c r="G954" s="733">
        <f>$G$16*$E$941</f>
        <v>0</v>
      </c>
      <c r="H954" s="733">
        <f>$H$16*$E$941</f>
        <v>0</v>
      </c>
      <c r="I954" s="733">
        <f>$I$16*$E$941</f>
        <v>0</v>
      </c>
      <c r="J954" s="733">
        <f>$J$16*$E$941</f>
        <v>0</v>
      </c>
      <c r="K954" s="733">
        <f>K$16*$E$941</f>
        <v>0</v>
      </c>
      <c r="L954" s="733">
        <f t="shared" ref="L954:P954" si="938">L$16*$E$941</f>
        <v>0</v>
      </c>
      <c r="M954" s="733">
        <f t="shared" si="938"/>
        <v>0</v>
      </c>
      <c r="N954" s="733">
        <f t="shared" si="938"/>
        <v>0</v>
      </c>
      <c r="O954" s="733">
        <f t="shared" si="938"/>
        <v>0</v>
      </c>
      <c r="P954" s="733">
        <f t="shared" si="938"/>
        <v>0</v>
      </c>
      <c r="Q954" s="734">
        <f t="shared" si="929"/>
        <v>0</v>
      </c>
      <c r="R954" s="733">
        <f>$R$16*$E$941</f>
        <v>0</v>
      </c>
      <c r="S954" s="733">
        <f>$S$16*$E$941</f>
        <v>0</v>
      </c>
      <c r="T954" s="733">
        <f>$T$16*$E$941</f>
        <v>0</v>
      </c>
      <c r="U954" s="733">
        <f>$U$16*$E$941</f>
        <v>0</v>
      </c>
    </row>
    <row r="955" spans="2:21" s="119" customFormat="1" ht="19.5" hidden="1" thickBot="1" x14ac:dyDescent="0.35">
      <c r="B955" s="301"/>
      <c r="C955" s="119">
        <f t="shared" si="927"/>
        <v>0</v>
      </c>
      <c r="D955" s="114" t="s">
        <v>16</v>
      </c>
      <c r="E955" s="70" t="s">
        <v>77</v>
      </c>
      <c r="F955" s="733">
        <f>$F$17*$E$941</f>
        <v>0</v>
      </c>
      <c r="G955" s="733">
        <f>$G$17*$E$941</f>
        <v>0</v>
      </c>
      <c r="H955" s="733">
        <f>$H$17*$E$941</f>
        <v>0</v>
      </c>
      <c r="I955" s="733">
        <f>$I$17*$E$941</f>
        <v>0</v>
      </c>
      <c r="J955" s="733">
        <f>$J$17*$E$941</f>
        <v>0</v>
      </c>
      <c r="K955" s="733">
        <f>K$17*$E$941</f>
        <v>0</v>
      </c>
      <c r="L955" s="733">
        <f t="shared" ref="L955:P955" si="939">L$17*$E$941</f>
        <v>0</v>
      </c>
      <c r="M955" s="733">
        <f t="shared" si="939"/>
        <v>0</v>
      </c>
      <c r="N955" s="733">
        <f t="shared" si="939"/>
        <v>0</v>
      </c>
      <c r="O955" s="733">
        <f t="shared" si="939"/>
        <v>0</v>
      </c>
      <c r="P955" s="733">
        <f t="shared" si="939"/>
        <v>0</v>
      </c>
      <c r="Q955" s="734">
        <f t="shared" si="929"/>
        <v>0</v>
      </c>
      <c r="R955" s="733">
        <f>$R$17*$E$941</f>
        <v>0</v>
      </c>
      <c r="S955" s="733">
        <f>$S$17*$E$941</f>
        <v>0</v>
      </c>
      <c r="T955" s="733">
        <f ca="1">$T$17*$E$941</f>
        <v>0</v>
      </c>
      <c r="U955" s="733">
        <f ca="1">$U$17*$E$941</f>
        <v>0</v>
      </c>
    </row>
    <row r="956" spans="2:21" s="119" customFormat="1" ht="19.5" hidden="1" thickBot="1" x14ac:dyDescent="0.35">
      <c r="B956" s="301"/>
      <c r="C956" s="119">
        <f t="shared" si="927"/>
        <v>0</v>
      </c>
      <c r="D956" s="115" t="s">
        <v>124</v>
      </c>
      <c r="E956" s="116" t="s">
        <v>78</v>
      </c>
      <c r="F956" s="742">
        <f t="shared" ref="F956:U956" si="940">SUBTOTAL(9,F944:F955)</f>
        <v>0</v>
      </c>
      <c r="G956" s="742">
        <f>SUBTOTAL(9,G944:G955)</f>
        <v>0</v>
      </c>
      <c r="H956" s="742">
        <f>SUBTOTAL(9,H944:H955)</f>
        <v>0</v>
      </c>
      <c r="I956" s="742">
        <f>SUBTOTAL(9,I944:I955)</f>
        <v>0</v>
      </c>
      <c r="J956" s="742">
        <f>SUBTOTAL(9,J944:J955)</f>
        <v>0</v>
      </c>
      <c r="K956" s="742">
        <f>SUBTOTAL(9,K944:K955)</f>
        <v>0</v>
      </c>
      <c r="L956" s="742">
        <f t="shared" ref="L956:P956" si="941">SUBTOTAL(9,L944:L955)</f>
        <v>0</v>
      </c>
      <c r="M956" s="742">
        <f t="shared" si="941"/>
        <v>0</v>
      </c>
      <c r="N956" s="742">
        <f t="shared" si="941"/>
        <v>0</v>
      </c>
      <c r="O956" s="742">
        <f t="shared" si="941"/>
        <v>0</v>
      </c>
      <c r="P956" s="742">
        <f t="shared" si="941"/>
        <v>0</v>
      </c>
      <c r="Q956" s="743">
        <f>SUBTOTAL(9,Q944:Q955)</f>
        <v>0</v>
      </c>
      <c r="R956" s="742">
        <f t="shared" si="940"/>
        <v>0</v>
      </c>
      <c r="S956" s="742">
        <f t="shared" si="940"/>
        <v>0</v>
      </c>
      <c r="T956" s="742">
        <f t="shared" si="940"/>
        <v>0</v>
      </c>
      <c r="U956" s="742">
        <f t="shared" si="940"/>
        <v>0</v>
      </c>
    </row>
    <row r="957" spans="2:21" s="119" customFormat="1" ht="19.5" hidden="1" thickBot="1" x14ac:dyDescent="0.3">
      <c r="B957" s="340"/>
      <c r="D957" s="117"/>
      <c r="E957" s="117"/>
      <c r="F957" s="118"/>
      <c r="G957" s="118"/>
      <c r="I957" s="118"/>
      <c r="J957" s="118"/>
      <c r="K957" s="118"/>
      <c r="L957" s="118"/>
      <c r="O957" s="118"/>
      <c r="Q957" s="120"/>
      <c r="R957" s="117"/>
      <c r="S957" s="118"/>
      <c r="U957" s="118"/>
    </row>
    <row r="958" spans="2:21" s="119" customFormat="1" ht="75.75" hidden="1" thickBot="1" x14ac:dyDescent="0.3">
      <c r="B958" s="301"/>
      <c r="C958" s="119">
        <f>IF($E958&gt;0,1,0)</f>
        <v>0</v>
      </c>
      <c r="D958" s="96" t="str">
        <f>A59</f>
        <v>Ulster</v>
      </c>
      <c r="E958" s="166">
        <f>IFERROR(SUMIF(A:A,D958,B:B),0)</f>
        <v>0</v>
      </c>
      <c r="F958" s="98" t="s">
        <v>356</v>
      </c>
      <c r="G958" s="98" t="s">
        <v>373</v>
      </c>
      <c r="H958" s="98" t="s">
        <v>358</v>
      </c>
      <c r="I958" s="98" t="s">
        <v>109</v>
      </c>
      <c r="J958" s="98" t="s">
        <v>111</v>
      </c>
      <c r="K958" s="98" t="s">
        <v>469</v>
      </c>
      <c r="L958" s="98" t="s">
        <v>470</v>
      </c>
      <c r="M958" s="98" t="s">
        <v>357</v>
      </c>
      <c r="N958" s="509" t="s">
        <v>471</v>
      </c>
      <c r="O958" s="98" t="s">
        <v>472</v>
      </c>
      <c r="P958" s="98" t="s">
        <v>110</v>
      </c>
      <c r="Q958" s="99" t="s">
        <v>116</v>
      </c>
      <c r="R958" s="98" t="s">
        <v>112</v>
      </c>
      <c r="S958" s="98" t="s">
        <v>113</v>
      </c>
      <c r="T958" s="98" t="s">
        <v>114</v>
      </c>
      <c r="U958" s="98" t="s">
        <v>115</v>
      </c>
    </row>
    <row r="959" spans="2:21" s="119" customFormat="1" ht="19.5" hidden="1" thickBot="1" x14ac:dyDescent="0.3">
      <c r="B959" s="301"/>
      <c r="C959" s="119">
        <f>C958</f>
        <v>0</v>
      </c>
      <c r="D959" s="101"/>
      <c r="E959" s="102"/>
      <c r="F959" s="84" t="s">
        <v>57</v>
      </c>
      <c r="G959" s="84" t="s">
        <v>56</v>
      </c>
      <c r="H959" s="84" t="s">
        <v>55</v>
      </c>
      <c r="I959" s="84" t="s">
        <v>54</v>
      </c>
      <c r="J959" s="84" t="s">
        <v>53</v>
      </c>
      <c r="K959" s="84" t="s">
        <v>52</v>
      </c>
      <c r="L959" s="84" t="s">
        <v>51</v>
      </c>
      <c r="M959" s="84" t="s">
        <v>50</v>
      </c>
      <c r="N959" s="84" t="s">
        <v>49</v>
      </c>
      <c r="O959" s="84" t="s">
        <v>47</v>
      </c>
      <c r="P959" s="84" t="s">
        <v>77</v>
      </c>
      <c r="Q959" s="83" t="s">
        <v>78</v>
      </c>
      <c r="R959" s="84" t="s">
        <v>79</v>
      </c>
      <c r="S959" s="84" t="s">
        <v>81</v>
      </c>
      <c r="T959" s="84" t="s">
        <v>83</v>
      </c>
      <c r="U959" s="84" t="s">
        <v>85</v>
      </c>
    </row>
    <row r="960" spans="2:21" s="119" customFormat="1" ht="19.5" hidden="1" thickBot="1" x14ac:dyDescent="0.35">
      <c r="B960" s="301"/>
      <c r="C960" s="119">
        <f t="shared" ref="C960:C973" si="942">C959</f>
        <v>0</v>
      </c>
      <c r="D960" s="103" t="s">
        <v>26</v>
      </c>
      <c r="E960" s="104"/>
      <c r="F960" s="745"/>
      <c r="G960" s="745"/>
      <c r="H960" s="746"/>
      <c r="I960" s="745"/>
      <c r="J960" s="745"/>
      <c r="K960" s="745"/>
      <c r="L960" s="745"/>
      <c r="M960" s="746"/>
      <c r="N960" s="746"/>
      <c r="O960" s="745"/>
      <c r="P960" s="746"/>
      <c r="Q960" s="747"/>
      <c r="R960" s="748"/>
      <c r="S960" s="745"/>
      <c r="T960" s="746"/>
      <c r="U960" s="749"/>
    </row>
    <row r="961" spans="2:21" s="119" customFormat="1" ht="19.5" hidden="1" thickBot="1" x14ac:dyDescent="0.3">
      <c r="B961" s="301"/>
      <c r="C961" s="119">
        <f t="shared" si="942"/>
        <v>0</v>
      </c>
      <c r="D961" s="109" t="s">
        <v>93</v>
      </c>
      <c r="E961" s="76" t="s">
        <v>57</v>
      </c>
      <c r="F961" s="733">
        <f>$F$6*$E$958</f>
        <v>0</v>
      </c>
      <c r="G961" s="733">
        <f>$G$6*$E$958</f>
        <v>0</v>
      </c>
      <c r="H961" s="733">
        <f>$H$6*$E$958</f>
        <v>0</v>
      </c>
      <c r="I961" s="733">
        <f>$I$6*$E$958</f>
        <v>0</v>
      </c>
      <c r="J961" s="733">
        <f>$J$6*$E$958</f>
        <v>0</v>
      </c>
      <c r="K961" s="733">
        <f>K$6*$E$958</f>
        <v>0</v>
      </c>
      <c r="L961" s="733">
        <f t="shared" ref="L961:O961" si="943">L$6*$E$958</f>
        <v>0</v>
      </c>
      <c r="M961" s="733">
        <f t="shared" si="943"/>
        <v>0</v>
      </c>
      <c r="N961" s="733">
        <f t="shared" si="943"/>
        <v>0</v>
      </c>
      <c r="O961" s="733">
        <f t="shared" si="943"/>
        <v>0</v>
      </c>
      <c r="P961" s="733">
        <f>$P$6*$E$958</f>
        <v>0</v>
      </c>
      <c r="Q961" s="734">
        <f t="shared" ref="Q961:Q972" si="944">SUM(F961:P961)</f>
        <v>0</v>
      </c>
      <c r="R961" s="733">
        <f>$R$6*$E$958</f>
        <v>0</v>
      </c>
      <c r="S961" s="733">
        <f>$S$6*$E$958</f>
        <v>0</v>
      </c>
      <c r="T961" s="733">
        <f ca="1">$T$6*$E$958</f>
        <v>0</v>
      </c>
      <c r="U961" s="733">
        <f ca="1">$U$6*$E$958</f>
        <v>0</v>
      </c>
    </row>
    <row r="962" spans="2:21" s="119" customFormat="1" ht="19.5" hidden="1" thickBot="1" x14ac:dyDescent="0.3">
      <c r="B962" s="301"/>
      <c r="C962" s="119">
        <f t="shared" si="942"/>
        <v>0</v>
      </c>
      <c r="D962" s="110" t="s">
        <v>92</v>
      </c>
      <c r="E962" s="76" t="s">
        <v>56</v>
      </c>
      <c r="F962" s="733">
        <f>$F$7*$E$958</f>
        <v>0</v>
      </c>
      <c r="G962" s="733">
        <f>$G$7*$E$958</f>
        <v>0</v>
      </c>
      <c r="H962" s="733">
        <f>$H$7*$E$958</f>
        <v>0</v>
      </c>
      <c r="I962" s="733">
        <f>$I$7*$E$958</f>
        <v>0</v>
      </c>
      <c r="J962" s="733">
        <f>$J$7*$E$958</f>
        <v>0</v>
      </c>
      <c r="K962" s="733">
        <f>K$7*$E$958</f>
        <v>0</v>
      </c>
      <c r="L962" s="733">
        <f t="shared" ref="L962:O962" si="945">L$7*$E$958</f>
        <v>0</v>
      </c>
      <c r="M962" s="733">
        <f t="shared" si="945"/>
        <v>0</v>
      </c>
      <c r="N962" s="733">
        <f t="shared" si="945"/>
        <v>0</v>
      </c>
      <c r="O962" s="733">
        <f t="shared" si="945"/>
        <v>0</v>
      </c>
      <c r="P962" s="733">
        <f>$P$7*$E$958</f>
        <v>0</v>
      </c>
      <c r="Q962" s="734">
        <f t="shared" si="944"/>
        <v>0</v>
      </c>
      <c r="R962" s="733">
        <f>$R$7*$E$958</f>
        <v>0</v>
      </c>
      <c r="S962" s="733">
        <f>$S$7*$E$958</f>
        <v>0</v>
      </c>
      <c r="T962" s="733">
        <f>$T$7*$E$958</f>
        <v>0</v>
      </c>
      <c r="U962" s="733">
        <f>$U$7*$E$958</f>
        <v>0</v>
      </c>
    </row>
    <row r="963" spans="2:21" s="119" customFormat="1" ht="19.5" hidden="1" thickBot="1" x14ac:dyDescent="0.3">
      <c r="B963" s="301"/>
      <c r="C963" s="119">
        <f t="shared" si="942"/>
        <v>0</v>
      </c>
      <c r="D963" s="110" t="s">
        <v>91</v>
      </c>
      <c r="E963" s="76" t="s">
        <v>55</v>
      </c>
      <c r="F963" s="733">
        <f>$F$8*$E$958</f>
        <v>0</v>
      </c>
      <c r="G963" s="733">
        <f>$G$8*$E$958</f>
        <v>0</v>
      </c>
      <c r="H963" s="733">
        <f>$H$8*$E$958</f>
        <v>0</v>
      </c>
      <c r="I963" s="733">
        <f>$I$8*$E$958</f>
        <v>0</v>
      </c>
      <c r="J963" s="733">
        <f>$J$8*$E$958</f>
        <v>0</v>
      </c>
      <c r="K963" s="733">
        <f>K$8*$E$958</f>
        <v>0</v>
      </c>
      <c r="L963" s="733">
        <f t="shared" ref="L963:O963" si="946">L$8*$E$958</f>
        <v>0</v>
      </c>
      <c r="M963" s="733">
        <f t="shared" si="946"/>
        <v>0</v>
      </c>
      <c r="N963" s="733">
        <f t="shared" si="946"/>
        <v>0</v>
      </c>
      <c r="O963" s="733">
        <f t="shared" si="946"/>
        <v>0</v>
      </c>
      <c r="P963" s="733">
        <f>$P$8*$E$958</f>
        <v>0</v>
      </c>
      <c r="Q963" s="734">
        <f t="shared" si="944"/>
        <v>0</v>
      </c>
      <c r="R963" s="733">
        <f>$R$8*$E$958</f>
        <v>0</v>
      </c>
      <c r="S963" s="733">
        <f>$S$8*$E$958</f>
        <v>0</v>
      </c>
      <c r="T963" s="733">
        <f ca="1">$T$8*$E$958</f>
        <v>0</v>
      </c>
      <c r="U963" s="733">
        <f ca="1">$U$8*$E$958</f>
        <v>0</v>
      </c>
    </row>
    <row r="964" spans="2:21" s="119" customFormat="1" ht="19.5" hidden="1" thickBot="1" x14ac:dyDescent="0.3">
      <c r="B964" s="301"/>
      <c r="C964" s="119">
        <f t="shared" si="942"/>
        <v>0</v>
      </c>
      <c r="D964" s="111" t="s">
        <v>117</v>
      </c>
      <c r="E964" s="76" t="s">
        <v>54</v>
      </c>
      <c r="F964" s="733">
        <f>$F$9*$E$958</f>
        <v>0</v>
      </c>
      <c r="G964" s="733">
        <f>$G$9*$E$958</f>
        <v>0</v>
      </c>
      <c r="H964" s="733">
        <f>$H$9*$E$958</f>
        <v>0</v>
      </c>
      <c r="I964" s="733">
        <f>$I$9*$E$958</f>
        <v>0</v>
      </c>
      <c r="J964" s="733">
        <f>$J$9*$E$958</f>
        <v>0</v>
      </c>
      <c r="K964" s="733">
        <f>K$9*$E$958</f>
        <v>0</v>
      </c>
      <c r="L964" s="733">
        <f t="shared" ref="L964:O964" si="947">L$9*$E$958</f>
        <v>0</v>
      </c>
      <c r="M964" s="733">
        <f t="shared" si="947"/>
        <v>0</v>
      </c>
      <c r="N964" s="733">
        <f t="shared" si="947"/>
        <v>0</v>
      </c>
      <c r="O964" s="733">
        <f t="shared" si="947"/>
        <v>0</v>
      </c>
      <c r="P964" s="733">
        <f>$P$9*$E$958</f>
        <v>0</v>
      </c>
      <c r="Q964" s="734">
        <f t="shared" si="944"/>
        <v>0</v>
      </c>
      <c r="R964" s="733">
        <f>$R$9*$E$958</f>
        <v>0</v>
      </c>
      <c r="S964" s="733">
        <f>$S$9*$E$958</f>
        <v>0</v>
      </c>
      <c r="T964" s="733">
        <f>$T$9*$E$958</f>
        <v>0</v>
      </c>
      <c r="U964" s="733">
        <f>$U$9*$E$958</f>
        <v>0</v>
      </c>
    </row>
    <row r="965" spans="2:21" s="119" customFormat="1" ht="19.5" hidden="1" thickBot="1" x14ac:dyDescent="0.35">
      <c r="B965" s="301"/>
      <c r="C965" s="119">
        <f t="shared" si="942"/>
        <v>0</v>
      </c>
      <c r="D965" s="112" t="s">
        <v>31</v>
      </c>
      <c r="E965" s="76"/>
      <c r="F965" s="750"/>
      <c r="G965" s="735"/>
      <c r="H965" s="736"/>
      <c r="I965" s="735"/>
      <c r="J965" s="735"/>
      <c r="K965" s="735"/>
      <c r="L965" s="735"/>
      <c r="M965" s="735"/>
      <c r="N965" s="735"/>
      <c r="O965" s="735"/>
      <c r="P965" s="738"/>
      <c r="Q965" s="734">
        <f t="shared" si="944"/>
        <v>0</v>
      </c>
      <c r="R965" s="739"/>
      <c r="S965" s="735"/>
      <c r="T965" s="740"/>
      <c r="U965" s="741"/>
    </row>
    <row r="966" spans="2:21" s="119" customFormat="1" ht="19.5" hidden="1" thickBot="1" x14ac:dyDescent="0.35">
      <c r="B966" s="301"/>
      <c r="C966" s="119">
        <f t="shared" si="942"/>
        <v>0</v>
      </c>
      <c r="D966" s="113" t="s">
        <v>118</v>
      </c>
      <c r="E966" s="76" t="s">
        <v>53</v>
      </c>
      <c r="F966" s="733">
        <f>$F$11*$E$958</f>
        <v>0</v>
      </c>
      <c r="G966" s="733">
        <f>$G$11*$E$958</f>
        <v>0</v>
      </c>
      <c r="H966" s="733">
        <f>$H$11*$E$958</f>
        <v>0</v>
      </c>
      <c r="I966" s="733">
        <f>$I$11*$E$958</f>
        <v>0</v>
      </c>
      <c r="J966" s="733">
        <f>$J$11*$E$958</f>
        <v>0</v>
      </c>
      <c r="K966" s="733">
        <f>K$11*$E$958</f>
        <v>0</v>
      </c>
      <c r="L966" s="733">
        <f t="shared" ref="L966:O966" si="948">L$11*$E$958</f>
        <v>0</v>
      </c>
      <c r="M966" s="733">
        <f t="shared" si="948"/>
        <v>0</v>
      </c>
      <c r="N966" s="733">
        <f t="shared" si="948"/>
        <v>0</v>
      </c>
      <c r="O966" s="733">
        <f t="shared" si="948"/>
        <v>0</v>
      </c>
      <c r="P966" s="733">
        <f>$P$11*$E$958</f>
        <v>0</v>
      </c>
      <c r="Q966" s="734">
        <f t="shared" si="944"/>
        <v>0</v>
      </c>
      <c r="R966" s="733">
        <f>$R$11*$E$958</f>
        <v>0</v>
      </c>
      <c r="S966" s="733">
        <f>$S$11*$E$958</f>
        <v>0</v>
      </c>
      <c r="T966" s="733">
        <f>$T$11*$E$958</f>
        <v>0</v>
      </c>
      <c r="U966" s="733">
        <f>$U$11*$E$958</f>
        <v>0</v>
      </c>
    </row>
    <row r="967" spans="2:21" s="119" customFormat="1" ht="19.5" hidden="1" thickBot="1" x14ac:dyDescent="0.35">
      <c r="B967" s="301"/>
      <c r="C967" s="119">
        <f t="shared" si="942"/>
        <v>0</v>
      </c>
      <c r="D967" s="113" t="s">
        <v>119</v>
      </c>
      <c r="E967" s="76" t="s">
        <v>52</v>
      </c>
      <c r="F967" s="733">
        <f>$F$12*$E$958</f>
        <v>0</v>
      </c>
      <c r="G967" s="733">
        <f>$G$12*$E$958</f>
        <v>0</v>
      </c>
      <c r="H967" s="733">
        <f>$H$12*$E$958</f>
        <v>0</v>
      </c>
      <c r="I967" s="733">
        <f>$I$12*$E$958</f>
        <v>0</v>
      </c>
      <c r="J967" s="733">
        <f>$J$12*$E$958</f>
        <v>0</v>
      </c>
      <c r="K967" s="733">
        <f>K$12*$E$958</f>
        <v>0</v>
      </c>
      <c r="L967" s="733">
        <f t="shared" ref="L967:O967" si="949">L$12*$E$958</f>
        <v>0</v>
      </c>
      <c r="M967" s="733">
        <f t="shared" si="949"/>
        <v>0</v>
      </c>
      <c r="N967" s="733">
        <f t="shared" si="949"/>
        <v>0</v>
      </c>
      <c r="O967" s="733">
        <f t="shared" si="949"/>
        <v>0</v>
      </c>
      <c r="P967" s="733">
        <f>$P$12*$E$958</f>
        <v>0</v>
      </c>
      <c r="Q967" s="734">
        <f t="shared" si="944"/>
        <v>0</v>
      </c>
      <c r="R967" s="733">
        <f>$R$12*$E$958</f>
        <v>0</v>
      </c>
      <c r="S967" s="733">
        <f>$S$12*$E$958</f>
        <v>0</v>
      </c>
      <c r="T967" s="733">
        <f>$T$12*$E$958</f>
        <v>0</v>
      </c>
      <c r="U967" s="733">
        <f>$U$12*$E$958</f>
        <v>0</v>
      </c>
    </row>
    <row r="968" spans="2:21" s="119" customFormat="1" ht="19.5" hidden="1" thickBot="1" x14ac:dyDescent="0.35">
      <c r="B968" s="301"/>
      <c r="C968" s="119">
        <f t="shared" si="942"/>
        <v>0</v>
      </c>
      <c r="D968" s="113" t="s">
        <v>120</v>
      </c>
      <c r="E968" s="76" t="s">
        <v>51</v>
      </c>
      <c r="F968" s="733">
        <f>$F$13*$E$958</f>
        <v>0</v>
      </c>
      <c r="G968" s="733">
        <f>$G$13*$E$958</f>
        <v>0</v>
      </c>
      <c r="H968" s="733">
        <f>$H$13*$E$958</f>
        <v>0</v>
      </c>
      <c r="I968" s="733">
        <f>$I$13*$E$958</f>
        <v>0</v>
      </c>
      <c r="J968" s="733">
        <f>$J$13*$E$958</f>
        <v>0</v>
      </c>
      <c r="K968" s="733">
        <f>K$13*$E$958</f>
        <v>0</v>
      </c>
      <c r="L968" s="733">
        <f t="shared" ref="L968:O968" si="950">L$13*$E$958</f>
        <v>0</v>
      </c>
      <c r="M968" s="733">
        <f t="shared" si="950"/>
        <v>0</v>
      </c>
      <c r="N968" s="733">
        <f t="shared" si="950"/>
        <v>0</v>
      </c>
      <c r="O968" s="733">
        <f t="shared" si="950"/>
        <v>0</v>
      </c>
      <c r="P968" s="733">
        <f>$P$13*$E$958</f>
        <v>0</v>
      </c>
      <c r="Q968" s="734">
        <f t="shared" si="944"/>
        <v>0</v>
      </c>
      <c r="R968" s="733">
        <f>$R$13*$E$958</f>
        <v>0</v>
      </c>
      <c r="S968" s="733">
        <f>$S$13*$E$958</f>
        <v>0</v>
      </c>
      <c r="T968" s="733">
        <f>$T$13*$E$958</f>
        <v>0</v>
      </c>
      <c r="U968" s="733">
        <f>$U$13*$E$958</f>
        <v>0</v>
      </c>
    </row>
    <row r="969" spans="2:21" s="119" customFormat="1" ht="19.5" hidden="1" thickBot="1" x14ac:dyDescent="0.35">
      <c r="B969" s="301"/>
      <c r="C969" s="119">
        <f t="shared" si="942"/>
        <v>0</v>
      </c>
      <c r="D969" s="113" t="s">
        <v>121</v>
      </c>
      <c r="E969" s="76" t="s">
        <v>50</v>
      </c>
      <c r="F969" s="733">
        <f>$F$14*$E$958</f>
        <v>0</v>
      </c>
      <c r="G969" s="733">
        <f>$G$14*$E$958</f>
        <v>0</v>
      </c>
      <c r="H969" s="733">
        <f>$H$14*$E$958</f>
        <v>0</v>
      </c>
      <c r="I969" s="733">
        <f>$I$14*$E$958</f>
        <v>0</v>
      </c>
      <c r="J969" s="733">
        <f>$J$14*$E$958</f>
        <v>0</v>
      </c>
      <c r="K969" s="733">
        <f>K$14*$E$958</f>
        <v>0</v>
      </c>
      <c r="L969" s="733">
        <f t="shared" ref="L969:O969" si="951">L$14*$E$958</f>
        <v>0</v>
      </c>
      <c r="M969" s="733">
        <f t="shared" si="951"/>
        <v>0</v>
      </c>
      <c r="N969" s="733">
        <f t="shared" si="951"/>
        <v>0</v>
      </c>
      <c r="O969" s="733">
        <f t="shared" si="951"/>
        <v>0</v>
      </c>
      <c r="P969" s="733">
        <f>$P$14*$E$958</f>
        <v>0</v>
      </c>
      <c r="Q969" s="734">
        <f t="shared" si="944"/>
        <v>0</v>
      </c>
      <c r="R969" s="733">
        <f>$R$14*$E$958</f>
        <v>0</v>
      </c>
      <c r="S969" s="733">
        <f>$S$14*$E$958</f>
        <v>0</v>
      </c>
      <c r="T969" s="733">
        <f>$T$14*$E$958</f>
        <v>0</v>
      </c>
      <c r="U969" s="733">
        <f>$U$14*$E$958</f>
        <v>0</v>
      </c>
    </row>
    <row r="970" spans="2:21" s="119" customFormat="1" ht="19.5" hidden="1" thickBot="1" x14ac:dyDescent="0.35">
      <c r="B970" s="301"/>
      <c r="C970" s="119">
        <f t="shared" si="942"/>
        <v>0</v>
      </c>
      <c r="D970" s="113" t="s">
        <v>122</v>
      </c>
      <c r="E970" s="76" t="s">
        <v>49</v>
      </c>
      <c r="F970" s="733">
        <f>$F$15*$E$958</f>
        <v>0</v>
      </c>
      <c r="G970" s="733">
        <f>$G$15*$E$958</f>
        <v>0</v>
      </c>
      <c r="H970" s="733">
        <f>$H$15*$E$958</f>
        <v>0</v>
      </c>
      <c r="I970" s="733">
        <f>$I$15*$E$958</f>
        <v>0</v>
      </c>
      <c r="J970" s="733">
        <f>$J$15*$E$958</f>
        <v>0</v>
      </c>
      <c r="K970" s="733">
        <f>K$15*$E$958</f>
        <v>0</v>
      </c>
      <c r="L970" s="733">
        <f t="shared" ref="L970:O970" si="952">L$15*$E$958</f>
        <v>0</v>
      </c>
      <c r="M970" s="733">
        <f t="shared" si="952"/>
        <v>0</v>
      </c>
      <c r="N970" s="733">
        <f t="shared" si="952"/>
        <v>0</v>
      </c>
      <c r="O970" s="733">
        <f t="shared" si="952"/>
        <v>0</v>
      </c>
      <c r="P970" s="733">
        <f>$P$15*$E$958</f>
        <v>0</v>
      </c>
      <c r="Q970" s="734">
        <f t="shared" si="944"/>
        <v>0</v>
      </c>
      <c r="R970" s="733">
        <f>$R$15*$E$958</f>
        <v>0</v>
      </c>
      <c r="S970" s="733">
        <f>$S$15*$E$958</f>
        <v>0</v>
      </c>
      <c r="T970" s="733">
        <f>$T$15*$E$958</f>
        <v>0</v>
      </c>
      <c r="U970" s="733">
        <f>$U$15*$E$958</f>
        <v>0</v>
      </c>
    </row>
    <row r="971" spans="2:21" s="119" customFormat="1" ht="19.5" hidden="1" thickBot="1" x14ac:dyDescent="0.35">
      <c r="B971" s="301"/>
      <c r="C971" s="119">
        <f t="shared" si="942"/>
        <v>0</v>
      </c>
      <c r="D971" s="113" t="s">
        <v>123</v>
      </c>
      <c r="E971" s="76" t="s">
        <v>47</v>
      </c>
      <c r="F971" s="733">
        <f>$F$16*$E$958</f>
        <v>0</v>
      </c>
      <c r="G971" s="733">
        <f>$G$16*$E$958</f>
        <v>0</v>
      </c>
      <c r="H971" s="733">
        <f>$H$16*$E$958</f>
        <v>0</v>
      </c>
      <c r="I971" s="733">
        <f>$I$16*$E$958</f>
        <v>0</v>
      </c>
      <c r="J971" s="733">
        <f>$J$16*$E$958</f>
        <v>0</v>
      </c>
      <c r="K971" s="733">
        <f>K$16*$E$958</f>
        <v>0</v>
      </c>
      <c r="L971" s="733">
        <f t="shared" ref="L971:O971" si="953">L$16*$E$958</f>
        <v>0</v>
      </c>
      <c r="M971" s="733">
        <f t="shared" si="953"/>
        <v>0</v>
      </c>
      <c r="N971" s="733">
        <f t="shared" si="953"/>
        <v>0</v>
      </c>
      <c r="O971" s="733">
        <f t="shared" si="953"/>
        <v>0</v>
      </c>
      <c r="P971" s="733">
        <f>$P$16*$E$958</f>
        <v>0</v>
      </c>
      <c r="Q971" s="734">
        <f t="shared" si="944"/>
        <v>0</v>
      </c>
      <c r="R971" s="733">
        <f>$R$16*$E$958</f>
        <v>0</v>
      </c>
      <c r="S971" s="733">
        <f>$S$16*$E$958</f>
        <v>0</v>
      </c>
      <c r="T971" s="733">
        <f>$T$16*$E$958</f>
        <v>0</v>
      </c>
      <c r="U971" s="733">
        <f>$U$16*$E$958</f>
        <v>0</v>
      </c>
    </row>
    <row r="972" spans="2:21" s="119" customFormat="1" ht="19.5" hidden="1" thickBot="1" x14ac:dyDescent="0.35">
      <c r="B972" s="301"/>
      <c r="C972" s="119">
        <f t="shared" si="942"/>
        <v>0</v>
      </c>
      <c r="D972" s="114" t="s">
        <v>16</v>
      </c>
      <c r="E972" s="70" t="s">
        <v>77</v>
      </c>
      <c r="F972" s="733">
        <f>$F$17*$E$958</f>
        <v>0</v>
      </c>
      <c r="G972" s="733">
        <f>$G$17*$E$958</f>
        <v>0</v>
      </c>
      <c r="H972" s="733">
        <f>$H$17*$E$958</f>
        <v>0</v>
      </c>
      <c r="I972" s="733">
        <f>$I$17*$E$958</f>
        <v>0</v>
      </c>
      <c r="J972" s="733">
        <f>$J$17*$E$958</f>
        <v>0</v>
      </c>
      <c r="K972" s="733">
        <f>K$17*$E$958</f>
        <v>0</v>
      </c>
      <c r="L972" s="733">
        <f t="shared" ref="L972:O972" si="954">L$17*$E$958</f>
        <v>0</v>
      </c>
      <c r="M972" s="733">
        <f t="shared" si="954"/>
        <v>0</v>
      </c>
      <c r="N972" s="733">
        <f t="shared" si="954"/>
        <v>0</v>
      </c>
      <c r="O972" s="733">
        <f t="shared" si="954"/>
        <v>0</v>
      </c>
      <c r="P972" s="733">
        <f>$P$17*$E$958</f>
        <v>0</v>
      </c>
      <c r="Q972" s="734">
        <f t="shared" si="944"/>
        <v>0</v>
      </c>
      <c r="R972" s="733">
        <f>$R$17*$E$958</f>
        <v>0</v>
      </c>
      <c r="S972" s="733">
        <f>$S$17*$E$958</f>
        <v>0</v>
      </c>
      <c r="T972" s="733">
        <f ca="1">$T$17*$E$958</f>
        <v>0</v>
      </c>
      <c r="U972" s="733">
        <f ca="1">$U$17*$E$958</f>
        <v>0</v>
      </c>
    </row>
    <row r="973" spans="2:21" s="119" customFormat="1" ht="19.5" hidden="1" thickBot="1" x14ac:dyDescent="0.35">
      <c r="B973" s="301"/>
      <c r="C973" s="119">
        <f t="shared" si="942"/>
        <v>0</v>
      </c>
      <c r="D973" s="115" t="s">
        <v>124</v>
      </c>
      <c r="E973" s="116" t="s">
        <v>78</v>
      </c>
      <c r="F973" s="742">
        <f t="shared" ref="F973:U973" si="955">SUBTOTAL(9,F961:F972)</f>
        <v>0</v>
      </c>
      <c r="G973" s="742">
        <f>SUBTOTAL(9,G961:G972)</f>
        <v>0</v>
      </c>
      <c r="H973" s="742">
        <f>SUBTOTAL(9,H961:H972)</f>
        <v>0</v>
      </c>
      <c r="I973" s="742">
        <f>SUBTOTAL(9,I961:I972)</f>
        <v>0</v>
      </c>
      <c r="J973" s="742">
        <f>SUBTOTAL(9,J961:J972)</f>
        <v>0</v>
      </c>
      <c r="K973" s="742">
        <f>SUBTOTAL(9,K961:K972)</f>
        <v>0</v>
      </c>
      <c r="L973" s="742">
        <f t="shared" ref="L973:O973" si="956">SUBTOTAL(9,L961:L972)</f>
        <v>0</v>
      </c>
      <c r="M973" s="742">
        <f t="shared" si="956"/>
        <v>0</v>
      </c>
      <c r="N973" s="742">
        <f t="shared" si="956"/>
        <v>0</v>
      </c>
      <c r="O973" s="742">
        <f t="shared" si="956"/>
        <v>0</v>
      </c>
      <c r="P973" s="742">
        <f t="shared" si="955"/>
        <v>0</v>
      </c>
      <c r="Q973" s="743">
        <f>SUBTOTAL(9,Q961:Q972)</f>
        <v>0</v>
      </c>
      <c r="R973" s="742">
        <f t="shared" si="955"/>
        <v>0</v>
      </c>
      <c r="S973" s="742">
        <f t="shared" si="955"/>
        <v>0</v>
      </c>
      <c r="T973" s="742">
        <f t="shared" si="955"/>
        <v>0</v>
      </c>
      <c r="U973" s="742">
        <f t="shared" si="955"/>
        <v>0</v>
      </c>
    </row>
    <row r="974" spans="2:21" s="119" customFormat="1" ht="19.5" hidden="1" thickBot="1" x14ac:dyDescent="0.3">
      <c r="B974" s="340"/>
      <c r="D974" s="117"/>
      <c r="E974" s="117"/>
      <c r="F974" s="118"/>
      <c r="G974" s="118"/>
      <c r="I974" s="118"/>
      <c r="J974" s="118"/>
      <c r="K974" s="118"/>
      <c r="L974" s="118"/>
      <c r="O974" s="118"/>
      <c r="Q974" s="120"/>
      <c r="R974" s="117"/>
      <c r="S974" s="118"/>
      <c r="U974" s="118"/>
    </row>
    <row r="975" spans="2:21" s="119" customFormat="1" ht="75.75" hidden="1" thickBot="1" x14ac:dyDescent="0.3">
      <c r="B975" s="301"/>
      <c r="C975" s="119">
        <f>IF($E975&gt;0,1,0)</f>
        <v>0</v>
      </c>
      <c r="D975" s="96" t="str">
        <f>A60</f>
        <v>Warren</v>
      </c>
      <c r="E975" s="166">
        <f>IFERROR(SUMIF(A:A,D975,B:B),0)</f>
        <v>0</v>
      </c>
      <c r="F975" s="98" t="s">
        <v>356</v>
      </c>
      <c r="G975" s="98" t="s">
        <v>373</v>
      </c>
      <c r="H975" s="98" t="s">
        <v>358</v>
      </c>
      <c r="I975" s="98" t="s">
        <v>109</v>
      </c>
      <c r="J975" s="98" t="s">
        <v>111</v>
      </c>
      <c r="K975" s="98" t="s">
        <v>469</v>
      </c>
      <c r="L975" s="98" t="s">
        <v>470</v>
      </c>
      <c r="M975" s="98" t="s">
        <v>357</v>
      </c>
      <c r="N975" s="509" t="s">
        <v>471</v>
      </c>
      <c r="O975" s="98" t="s">
        <v>472</v>
      </c>
      <c r="P975" s="98" t="s">
        <v>110</v>
      </c>
      <c r="Q975" s="99" t="s">
        <v>116</v>
      </c>
      <c r="R975" s="98" t="s">
        <v>112</v>
      </c>
      <c r="S975" s="98" t="s">
        <v>113</v>
      </c>
      <c r="T975" s="98" t="s">
        <v>114</v>
      </c>
      <c r="U975" s="98" t="s">
        <v>115</v>
      </c>
    </row>
    <row r="976" spans="2:21" s="119" customFormat="1" ht="19.5" hidden="1" thickBot="1" x14ac:dyDescent="0.3">
      <c r="B976" s="301"/>
      <c r="C976" s="119">
        <f>C975</f>
        <v>0</v>
      </c>
      <c r="D976" s="101"/>
      <c r="E976" s="102"/>
      <c r="F976" s="84" t="s">
        <v>57</v>
      </c>
      <c r="G976" s="84" t="s">
        <v>56</v>
      </c>
      <c r="H976" s="84" t="s">
        <v>55</v>
      </c>
      <c r="I976" s="84" t="s">
        <v>54</v>
      </c>
      <c r="J976" s="84" t="s">
        <v>53</v>
      </c>
      <c r="K976" s="84" t="s">
        <v>52</v>
      </c>
      <c r="L976" s="84" t="s">
        <v>51</v>
      </c>
      <c r="M976" s="84" t="s">
        <v>50</v>
      </c>
      <c r="N976" s="84" t="s">
        <v>49</v>
      </c>
      <c r="O976" s="84" t="s">
        <v>47</v>
      </c>
      <c r="P976" s="84" t="s">
        <v>77</v>
      </c>
      <c r="Q976" s="83" t="s">
        <v>78</v>
      </c>
      <c r="R976" s="84" t="s">
        <v>79</v>
      </c>
      <c r="S976" s="84" t="s">
        <v>81</v>
      </c>
      <c r="T976" s="84" t="s">
        <v>83</v>
      </c>
      <c r="U976" s="84" t="s">
        <v>85</v>
      </c>
    </row>
    <row r="977" spans="2:21" s="119" customFormat="1" ht="19.5" hidden="1" thickBot="1" x14ac:dyDescent="0.35">
      <c r="B977" s="301"/>
      <c r="C977" s="119">
        <f t="shared" ref="C977:C990" si="957">C976</f>
        <v>0</v>
      </c>
      <c r="D977" s="103" t="s">
        <v>26</v>
      </c>
      <c r="E977" s="104"/>
      <c r="F977" s="745"/>
      <c r="G977" s="745"/>
      <c r="H977" s="746"/>
      <c r="I977" s="745"/>
      <c r="J977" s="745"/>
      <c r="K977" s="745"/>
      <c r="L977" s="745"/>
      <c r="M977" s="746"/>
      <c r="N977" s="746"/>
      <c r="O977" s="745"/>
      <c r="P977" s="746"/>
      <c r="Q977" s="747"/>
      <c r="R977" s="748"/>
      <c r="S977" s="745"/>
      <c r="T977" s="746"/>
      <c r="U977" s="749"/>
    </row>
    <row r="978" spans="2:21" s="119" customFormat="1" ht="19.5" hidden="1" thickBot="1" x14ac:dyDescent="0.3">
      <c r="B978" s="301"/>
      <c r="C978" s="119">
        <f t="shared" si="957"/>
        <v>0</v>
      </c>
      <c r="D978" s="109" t="s">
        <v>93</v>
      </c>
      <c r="E978" s="76" t="s">
        <v>57</v>
      </c>
      <c r="F978" s="733">
        <f>$F$6*$E$975</f>
        <v>0</v>
      </c>
      <c r="G978" s="733">
        <f>$G$6*$E$975</f>
        <v>0</v>
      </c>
      <c r="H978" s="733">
        <f>$H$6*$E$975</f>
        <v>0</v>
      </c>
      <c r="I978" s="733">
        <f>$I$6*$E$975</f>
        <v>0</v>
      </c>
      <c r="J978" s="733">
        <f>$J$6*$E$975</f>
        <v>0</v>
      </c>
      <c r="K978" s="733">
        <f>K$6*$E$975</f>
        <v>0</v>
      </c>
      <c r="L978" s="733">
        <f t="shared" ref="L978:O978" si="958">L$6*$E$975</f>
        <v>0</v>
      </c>
      <c r="M978" s="733">
        <f t="shared" si="958"/>
        <v>0</v>
      </c>
      <c r="N978" s="733">
        <f t="shared" si="958"/>
        <v>0</v>
      </c>
      <c r="O978" s="733">
        <f t="shared" si="958"/>
        <v>0</v>
      </c>
      <c r="P978" s="733">
        <f>$P$6*$E$975</f>
        <v>0</v>
      </c>
      <c r="Q978" s="734">
        <f t="shared" ref="Q978:Q989" si="959">SUM(F978:P978)</f>
        <v>0</v>
      </c>
      <c r="R978" s="733">
        <f>$R$6*$E$975</f>
        <v>0</v>
      </c>
      <c r="S978" s="733">
        <f>$S$6*$E$975</f>
        <v>0</v>
      </c>
      <c r="T978" s="733">
        <f ca="1">$T$6*$E$975</f>
        <v>0</v>
      </c>
      <c r="U978" s="733">
        <f ca="1">$U$6*$E$975</f>
        <v>0</v>
      </c>
    </row>
    <row r="979" spans="2:21" s="119" customFormat="1" ht="19.5" hidden="1" thickBot="1" x14ac:dyDescent="0.3">
      <c r="B979" s="301"/>
      <c r="C979" s="119">
        <f t="shared" si="957"/>
        <v>0</v>
      </c>
      <c r="D979" s="110" t="s">
        <v>92</v>
      </c>
      <c r="E979" s="76" t="s">
        <v>56</v>
      </c>
      <c r="F979" s="733">
        <f>$F$7*$E$975</f>
        <v>0</v>
      </c>
      <c r="G979" s="733">
        <f>$G$7*$E$975</f>
        <v>0</v>
      </c>
      <c r="H979" s="733">
        <f>$H$7*$E$975</f>
        <v>0</v>
      </c>
      <c r="I979" s="733">
        <f>$I$7*$E$975</f>
        <v>0</v>
      </c>
      <c r="J979" s="733">
        <f>$J$7*$E$975</f>
        <v>0</v>
      </c>
      <c r="K979" s="733">
        <f>K$7*$E$975</f>
        <v>0</v>
      </c>
      <c r="L979" s="733">
        <f t="shared" ref="L979:O979" si="960">L$7*$E$975</f>
        <v>0</v>
      </c>
      <c r="M979" s="733">
        <f t="shared" si="960"/>
        <v>0</v>
      </c>
      <c r="N979" s="733">
        <f t="shared" si="960"/>
        <v>0</v>
      </c>
      <c r="O979" s="733">
        <f t="shared" si="960"/>
        <v>0</v>
      </c>
      <c r="P979" s="733">
        <f>$P$7*$E$975</f>
        <v>0</v>
      </c>
      <c r="Q979" s="734">
        <f t="shared" si="959"/>
        <v>0</v>
      </c>
      <c r="R979" s="733">
        <f>$R$7*$E$975</f>
        <v>0</v>
      </c>
      <c r="S979" s="733">
        <f>$S$7*$E$975</f>
        <v>0</v>
      </c>
      <c r="T979" s="733">
        <f>$T$7*$E$975</f>
        <v>0</v>
      </c>
      <c r="U979" s="733">
        <f>$U$7*$E$975</f>
        <v>0</v>
      </c>
    </row>
    <row r="980" spans="2:21" s="119" customFormat="1" ht="19.5" hidden="1" thickBot="1" x14ac:dyDescent="0.3">
      <c r="B980" s="301"/>
      <c r="C980" s="119">
        <f t="shared" si="957"/>
        <v>0</v>
      </c>
      <c r="D980" s="110" t="s">
        <v>91</v>
      </c>
      <c r="E980" s="76" t="s">
        <v>55</v>
      </c>
      <c r="F980" s="733">
        <f>$F$8*$E$975</f>
        <v>0</v>
      </c>
      <c r="G980" s="733">
        <f>$G$8*$E$975</f>
        <v>0</v>
      </c>
      <c r="H980" s="733">
        <f>$H$8*$E$975</f>
        <v>0</v>
      </c>
      <c r="I980" s="733">
        <f>$I$8*$E$975</f>
        <v>0</v>
      </c>
      <c r="J980" s="733">
        <f>$J$8*$E$975</f>
        <v>0</v>
      </c>
      <c r="K980" s="733">
        <f>K$8*$E$975</f>
        <v>0</v>
      </c>
      <c r="L980" s="733">
        <f t="shared" ref="L980:O980" si="961">L$8*$E$975</f>
        <v>0</v>
      </c>
      <c r="M980" s="733">
        <f t="shared" si="961"/>
        <v>0</v>
      </c>
      <c r="N980" s="733">
        <f t="shared" si="961"/>
        <v>0</v>
      </c>
      <c r="O980" s="733">
        <f t="shared" si="961"/>
        <v>0</v>
      </c>
      <c r="P980" s="733">
        <f>$P$8*$E$975</f>
        <v>0</v>
      </c>
      <c r="Q980" s="734">
        <f t="shared" si="959"/>
        <v>0</v>
      </c>
      <c r="R980" s="733">
        <f>$R$8*$E$975</f>
        <v>0</v>
      </c>
      <c r="S980" s="733">
        <f>$S$8*$E$975</f>
        <v>0</v>
      </c>
      <c r="T980" s="733">
        <f ca="1">$T$8*$E$975</f>
        <v>0</v>
      </c>
      <c r="U980" s="733">
        <f ca="1">$U$8*$E$975</f>
        <v>0</v>
      </c>
    </row>
    <row r="981" spans="2:21" s="119" customFormat="1" ht="19.5" hidden="1" thickBot="1" x14ac:dyDescent="0.3">
      <c r="B981" s="301"/>
      <c r="C981" s="119">
        <f t="shared" si="957"/>
        <v>0</v>
      </c>
      <c r="D981" s="111" t="s">
        <v>117</v>
      </c>
      <c r="E981" s="76" t="s">
        <v>54</v>
      </c>
      <c r="F981" s="733">
        <f>$F$9*$E$975</f>
        <v>0</v>
      </c>
      <c r="G981" s="733">
        <f>$G$9*$E$975</f>
        <v>0</v>
      </c>
      <c r="H981" s="733">
        <f>$H$9*$E$975</f>
        <v>0</v>
      </c>
      <c r="I981" s="733">
        <f>$I$9*$E$975</f>
        <v>0</v>
      </c>
      <c r="J981" s="733">
        <f>$J$9*$E$975</f>
        <v>0</v>
      </c>
      <c r="K981" s="733">
        <f>K$9*$E$975</f>
        <v>0</v>
      </c>
      <c r="L981" s="733">
        <f t="shared" ref="L981:O981" si="962">L$9*$E$975</f>
        <v>0</v>
      </c>
      <c r="M981" s="733">
        <f t="shared" si="962"/>
        <v>0</v>
      </c>
      <c r="N981" s="733">
        <f t="shared" si="962"/>
        <v>0</v>
      </c>
      <c r="O981" s="733">
        <f t="shared" si="962"/>
        <v>0</v>
      </c>
      <c r="P981" s="733">
        <f>$P$9*$E$975</f>
        <v>0</v>
      </c>
      <c r="Q981" s="734">
        <f t="shared" si="959"/>
        <v>0</v>
      </c>
      <c r="R981" s="733">
        <f>$R$9*$E$975</f>
        <v>0</v>
      </c>
      <c r="S981" s="733">
        <f>$S$9*$E$975</f>
        <v>0</v>
      </c>
      <c r="T981" s="733">
        <f>$T$9*$E$975</f>
        <v>0</v>
      </c>
      <c r="U981" s="733">
        <f>$U$9*$E$975</f>
        <v>0</v>
      </c>
    </row>
    <row r="982" spans="2:21" s="119" customFormat="1" ht="19.5" hidden="1" thickBot="1" x14ac:dyDescent="0.35">
      <c r="B982" s="301"/>
      <c r="C982" s="119">
        <f t="shared" si="957"/>
        <v>0</v>
      </c>
      <c r="D982" s="112" t="s">
        <v>31</v>
      </c>
      <c r="E982" s="76"/>
      <c r="F982" s="750"/>
      <c r="G982" s="735"/>
      <c r="H982" s="736"/>
      <c r="I982" s="735"/>
      <c r="J982" s="735"/>
      <c r="K982" s="735"/>
      <c r="L982" s="735"/>
      <c r="M982" s="735"/>
      <c r="N982" s="735"/>
      <c r="O982" s="735"/>
      <c r="P982" s="738"/>
      <c r="Q982" s="734">
        <f t="shared" si="959"/>
        <v>0</v>
      </c>
      <c r="R982" s="739"/>
      <c r="S982" s="735"/>
      <c r="T982" s="740"/>
      <c r="U982" s="741"/>
    </row>
    <row r="983" spans="2:21" s="119" customFormat="1" ht="19.5" hidden="1" thickBot="1" x14ac:dyDescent="0.35">
      <c r="B983" s="301"/>
      <c r="C983" s="119">
        <f t="shared" si="957"/>
        <v>0</v>
      </c>
      <c r="D983" s="113" t="s">
        <v>118</v>
      </c>
      <c r="E983" s="76" t="s">
        <v>53</v>
      </c>
      <c r="F983" s="733">
        <f>$F$11*$E$975</f>
        <v>0</v>
      </c>
      <c r="G983" s="733">
        <f>$G$11*$E$975</f>
        <v>0</v>
      </c>
      <c r="H983" s="733">
        <f>$H$11*$E$975</f>
        <v>0</v>
      </c>
      <c r="I983" s="733">
        <f>$I$11*$E$975</f>
        <v>0</v>
      </c>
      <c r="J983" s="733">
        <f>$J$11*$E$975</f>
        <v>0</v>
      </c>
      <c r="K983" s="733">
        <f>K$11*$E$975</f>
        <v>0</v>
      </c>
      <c r="L983" s="733">
        <f t="shared" ref="L983:O983" si="963">L$11*$E$975</f>
        <v>0</v>
      </c>
      <c r="M983" s="733">
        <f t="shared" si="963"/>
        <v>0</v>
      </c>
      <c r="N983" s="733">
        <f t="shared" si="963"/>
        <v>0</v>
      </c>
      <c r="O983" s="733">
        <f t="shared" si="963"/>
        <v>0</v>
      </c>
      <c r="P983" s="733">
        <f>$P$11*$E$975</f>
        <v>0</v>
      </c>
      <c r="Q983" s="734">
        <f t="shared" si="959"/>
        <v>0</v>
      </c>
      <c r="R983" s="733">
        <f>$R$11*$E$975</f>
        <v>0</v>
      </c>
      <c r="S983" s="733">
        <f>$S$11*$E$975</f>
        <v>0</v>
      </c>
      <c r="T983" s="733">
        <f>$T$11*$E$975</f>
        <v>0</v>
      </c>
      <c r="U983" s="733">
        <f>$U$11*$E$975</f>
        <v>0</v>
      </c>
    </row>
    <row r="984" spans="2:21" s="119" customFormat="1" ht="19.5" hidden="1" thickBot="1" x14ac:dyDescent="0.35">
      <c r="B984" s="301"/>
      <c r="C984" s="119">
        <f t="shared" si="957"/>
        <v>0</v>
      </c>
      <c r="D984" s="113" t="s">
        <v>119</v>
      </c>
      <c r="E984" s="76" t="s">
        <v>52</v>
      </c>
      <c r="F984" s="733">
        <f>$F$12*$E$975</f>
        <v>0</v>
      </c>
      <c r="G984" s="733">
        <f>$G$12*$E$975</f>
        <v>0</v>
      </c>
      <c r="H984" s="733">
        <f>$H$12*$E$975</f>
        <v>0</v>
      </c>
      <c r="I984" s="733">
        <f>$I$12*$E$975</f>
        <v>0</v>
      </c>
      <c r="J984" s="733">
        <f>$J$12*$E$975</f>
        <v>0</v>
      </c>
      <c r="K984" s="733">
        <f>K$12*$E$975</f>
        <v>0</v>
      </c>
      <c r="L984" s="733">
        <f t="shared" ref="L984:O984" si="964">L$12*$E$975</f>
        <v>0</v>
      </c>
      <c r="M984" s="733">
        <f t="shared" si="964"/>
        <v>0</v>
      </c>
      <c r="N984" s="733">
        <f t="shared" si="964"/>
        <v>0</v>
      </c>
      <c r="O984" s="733">
        <f t="shared" si="964"/>
        <v>0</v>
      </c>
      <c r="P984" s="733">
        <f>$P$12*$E$975</f>
        <v>0</v>
      </c>
      <c r="Q984" s="734">
        <f t="shared" si="959"/>
        <v>0</v>
      </c>
      <c r="R984" s="733">
        <f>$R$12*$E$975</f>
        <v>0</v>
      </c>
      <c r="S984" s="733">
        <f>$S$12*$E$975</f>
        <v>0</v>
      </c>
      <c r="T984" s="733">
        <f>$T$12*$E$975</f>
        <v>0</v>
      </c>
      <c r="U984" s="733">
        <f>$U$12*$E$975</f>
        <v>0</v>
      </c>
    </row>
    <row r="985" spans="2:21" s="119" customFormat="1" ht="19.5" hidden="1" thickBot="1" x14ac:dyDescent="0.35">
      <c r="B985" s="301"/>
      <c r="C985" s="119">
        <f t="shared" si="957"/>
        <v>0</v>
      </c>
      <c r="D985" s="113" t="s">
        <v>120</v>
      </c>
      <c r="E985" s="76" t="s">
        <v>51</v>
      </c>
      <c r="F985" s="733">
        <f>$F$13*$E$975</f>
        <v>0</v>
      </c>
      <c r="G985" s="733">
        <f>$G$13*$E$975</f>
        <v>0</v>
      </c>
      <c r="H985" s="733">
        <f>$H$13*$E$975</f>
        <v>0</v>
      </c>
      <c r="I985" s="733">
        <f>$I$13*$E$975</f>
        <v>0</v>
      </c>
      <c r="J985" s="733">
        <f>$J$13*$E$975</f>
        <v>0</v>
      </c>
      <c r="K985" s="733">
        <f>K$13*$E$975</f>
        <v>0</v>
      </c>
      <c r="L985" s="733">
        <f t="shared" ref="L985:O985" si="965">L$13*$E$975</f>
        <v>0</v>
      </c>
      <c r="M985" s="733">
        <f t="shared" si="965"/>
        <v>0</v>
      </c>
      <c r="N985" s="733">
        <f t="shared" si="965"/>
        <v>0</v>
      </c>
      <c r="O985" s="733">
        <f t="shared" si="965"/>
        <v>0</v>
      </c>
      <c r="P985" s="733">
        <f>$P$13*$E$975</f>
        <v>0</v>
      </c>
      <c r="Q985" s="734">
        <f t="shared" si="959"/>
        <v>0</v>
      </c>
      <c r="R985" s="733">
        <f>$R$13*$E$975</f>
        <v>0</v>
      </c>
      <c r="S985" s="733">
        <f>$S$13*$E$975</f>
        <v>0</v>
      </c>
      <c r="T985" s="733">
        <f>$T$13*$E$975</f>
        <v>0</v>
      </c>
      <c r="U985" s="733">
        <f>$U$13*$E$975</f>
        <v>0</v>
      </c>
    </row>
    <row r="986" spans="2:21" s="119" customFormat="1" ht="19.5" hidden="1" thickBot="1" x14ac:dyDescent="0.35">
      <c r="B986" s="301"/>
      <c r="C986" s="119">
        <f t="shared" si="957"/>
        <v>0</v>
      </c>
      <c r="D986" s="113" t="s">
        <v>121</v>
      </c>
      <c r="E986" s="76" t="s">
        <v>50</v>
      </c>
      <c r="F986" s="733">
        <f>$F$14*$E$975</f>
        <v>0</v>
      </c>
      <c r="G986" s="733">
        <f>$G$14*$E$975</f>
        <v>0</v>
      </c>
      <c r="H986" s="733">
        <f>$H$14*$E$975</f>
        <v>0</v>
      </c>
      <c r="I986" s="733">
        <f>$I$14*$E$975</f>
        <v>0</v>
      </c>
      <c r="J986" s="733">
        <f>$J$14*$E$975</f>
        <v>0</v>
      </c>
      <c r="K986" s="733">
        <f>K$14*$E$975</f>
        <v>0</v>
      </c>
      <c r="L986" s="733">
        <f t="shared" ref="L986:O986" si="966">L$14*$E$975</f>
        <v>0</v>
      </c>
      <c r="M986" s="733">
        <f t="shared" si="966"/>
        <v>0</v>
      </c>
      <c r="N986" s="733">
        <f t="shared" si="966"/>
        <v>0</v>
      </c>
      <c r="O986" s="733">
        <f t="shared" si="966"/>
        <v>0</v>
      </c>
      <c r="P986" s="733">
        <f>$P$14*$E$975</f>
        <v>0</v>
      </c>
      <c r="Q986" s="734">
        <f t="shared" si="959"/>
        <v>0</v>
      </c>
      <c r="R986" s="733">
        <f>$R$14*$E$975</f>
        <v>0</v>
      </c>
      <c r="S986" s="733">
        <f>$S$14*$E$975</f>
        <v>0</v>
      </c>
      <c r="T986" s="733">
        <f>$T$14*$E$975</f>
        <v>0</v>
      </c>
      <c r="U986" s="733">
        <f>$U$14*$E$975</f>
        <v>0</v>
      </c>
    </row>
    <row r="987" spans="2:21" s="119" customFormat="1" ht="19.5" hidden="1" thickBot="1" x14ac:dyDescent="0.35">
      <c r="B987" s="301"/>
      <c r="C987" s="119">
        <f t="shared" si="957"/>
        <v>0</v>
      </c>
      <c r="D987" s="113" t="s">
        <v>122</v>
      </c>
      <c r="E987" s="76" t="s">
        <v>49</v>
      </c>
      <c r="F987" s="733">
        <f>$F$15*$E$975</f>
        <v>0</v>
      </c>
      <c r="G987" s="733">
        <f>$G$15*$E$975</f>
        <v>0</v>
      </c>
      <c r="H987" s="733">
        <f>$H$15*$E$975</f>
        <v>0</v>
      </c>
      <c r="I987" s="733">
        <f>$I$15*$E$975</f>
        <v>0</v>
      </c>
      <c r="J987" s="733">
        <f>$J$15*$E$975</f>
        <v>0</v>
      </c>
      <c r="K987" s="733">
        <f>K$15*$E$975</f>
        <v>0</v>
      </c>
      <c r="L987" s="733">
        <f t="shared" ref="L987:O987" si="967">L$15*$E$975</f>
        <v>0</v>
      </c>
      <c r="M987" s="733">
        <f t="shared" si="967"/>
        <v>0</v>
      </c>
      <c r="N987" s="733">
        <f t="shared" si="967"/>
        <v>0</v>
      </c>
      <c r="O987" s="733">
        <f t="shared" si="967"/>
        <v>0</v>
      </c>
      <c r="P987" s="733">
        <f>$P$15*$E$975</f>
        <v>0</v>
      </c>
      <c r="Q987" s="734">
        <f t="shared" si="959"/>
        <v>0</v>
      </c>
      <c r="R987" s="733">
        <f>$R$15*$E$975</f>
        <v>0</v>
      </c>
      <c r="S987" s="733">
        <f>$S$15*$E$975</f>
        <v>0</v>
      </c>
      <c r="T987" s="733">
        <f>$T$15*$E$975</f>
        <v>0</v>
      </c>
      <c r="U987" s="733">
        <f>$U$15*$E$975</f>
        <v>0</v>
      </c>
    </row>
    <row r="988" spans="2:21" s="119" customFormat="1" ht="19.5" hidden="1" thickBot="1" x14ac:dyDescent="0.35">
      <c r="B988" s="301"/>
      <c r="C988" s="119">
        <f t="shared" si="957"/>
        <v>0</v>
      </c>
      <c r="D988" s="113" t="s">
        <v>123</v>
      </c>
      <c r="E988" s="76" t="s">
        <v>47</v>
      </c>
      <c r="F988" s="733">
        <f>$F$16*$E$975</f>
        <v>0</v>
      </c>
      <c r="G988" s="733">
        <f>$G$16*$E$975</f>
        <v>0</v>
      </c>
      <c r="H988" s="733">
        <f>$H$16*$E$975</f>
        <v>0</v>
      </c>
      <c r="I988" s="733">
        <f>$I$16*$E$975</f>
        <v>0</v>
      </c>
      <c r="J988" s="733">
        <f>$J$16*$E$975</f>
        <v>0</v>
      </c>
      <c r="K988" s="733">
        <f>K$16*$E$975</f>
        <v>0</v>
      </c>
      <c r="L988" s="733">
        <f t="shared" ref="L988:O988" si="968">L$16*$E$975</f>
        <v>0</v>
      </c>
      <c r="M988" s="733">
        <f t="shared" si="968"/>
        <v>0</v>
      </c>
      <c r="N988" s="733">
        <f t="shared" si="968"/>
        <v>0</v>
      </c>
      <c r="O988" s="733">
        <f t="shared" si="968"/>
        <v>0</v>
      </c>
      <c r="P988" s="733">
        <f>$P$16*$E$975</f>
        <v>0</v>
      </c>
      <c r="Q988" s="734">
        <f t="shared" si="959"/>
        <v>0</v>
      </c>
      <c r="R988" s="733">
        <f>$R$16*$E$975</f>
        <v>0</v>
      </c>
      <c r="S988" s="733">
        <f>$S$16*$E$975</f>
        <v>0</v>
      </c>
      <c r="T988" s="733">
        <f>$T$16*$E$975</f>
        <v>0</v>
      </c>
      <c r="U988" s="733">
        <f>$U$16*$E$975</f>
        <v>0</v>
      </c>
    </row>
    <row r="989" spans="2:21" s="119" customFormat="1" ht="19.5" hidden="1" thickBot="1" x14ac:dyDescent="0.35">
      <c r="B989" s="301"/>
      <c r="C989" s="119">
        <f t="shared" si="957"/>
        <v>0</v>
      </c>
      <c r="D989" s="114" t="s">
        <v>16</v>
      </c>
      <c r="E989" s="70" t="s">
        <v>77</v>
      </c>
      <c r="F989" s="733">
        <f>$F$17*$E$975</f>
        <v>0</v>
      </c>
      <c r="G989" s="733">
        <f>$G$17*$E$975</f>
        <v>0</v>
      </c>
      <c r="H989" s="733">
        <f>$H$17*$E$975</f>
        <v>0</v>
      </c>
      <c r="I989" s="733">
        <f>$I$17*$E$975</f>
        <v>0</v>
      </c>
      <c r="J989" s="733">
        <f>$J$17*$E$975</f>
        <v>0</v>
      </c>
      <c r="K989" s="733">
        <f>K$17*$E$975</f>
        <v>0</v>
      </c>
      <c r="L989" s="733">
        <f t="shared" ref="L989:O989" si="969">L$17*$E$975</f>
        <v>0</v>
      </c>
      <c r="M989" s="733">
        <f t="shared" si="969"/>
        <v>0</v>
      </c>
      <c r="N989" s="733">
        <f t="shared" si="969"/>
        <v>0</v>
      </c>
      <c r="O989" s="733">
        <f t="shared" si="969"/>
        <v>0</v>
      </c>
      <c r="P989" s="733">
        <f>$P$17*$E$975</f>
        <v>0</v>
      </c>
      <c r="Q989" s="734">
        <f t="shared" si="959"/>
        <v>0</v>
      </c>
      <c r="R989" s="733">
        <f>$R$17*$E$975</f>
        <v>0</v>
      </c>
      <c r="S989" s="733">
        <f>$S$17*$E$975</f>
        <v>0</v>
      </c>
      <c r="T989" s="733">
        <f ca="1">$T$17*$E$975</f>
        <v>0</v>
      </c>
      <c r="U989" s="733">
        <f ca="1">$U$17*$E$975</f>
        <v>0</v>
      </c>
    </row>
    <row r="990" spans="2:21" s="119" customFormat="1" ht="19.5" hidden="1" thickBot="1" x14ac:dyDescent="0.35">
      <c r="B990" s="301"/>
      <c r="C990" s="119">
        <f t="shared" si="957"/>
        <v>0</v>
      </c>
      <c r="D990" s="115" t="s">
        <v>124</v>
      </c>
      <c r="E990" s="116" t="s">
        <v>78</v>
      </c>
      <c r="F990" s="742">
        <f t="shared" ref="F990:U990" si="970">SUBTOTAL(9,F978:F989)</f>
        <v>0</v>
      </c>
      <c r="G990" s="742">
        <f>SUBTOTAL(9,G978:G989)</f>
        <v>0</v>
      </c>
      <c r="H990" s="742">
        <f>SUBTOTAL(9,H978:H989)</f>
        <v>0</v>
      </c>
      <c r="I990" s="742">
        <f>SUBTOTAL(9,I978:I989)</f>
        <v>0</v>
      </c>
      <c r="J990" s="742">
        <f>SUBTOTAL(9,J978:J989)</f>
        <v>0</v>
      </c>
      <c r="K990" s="742">
        <f>SUBTOTAL(9,K978:K989)</f>
        <v>0</v>
      </c>
      <c r="L990" s="742">
        <f t="shared" ref="L990:O990" si="971">SUBTOTAL(9,L978:L989)</f>
        <v>0</v>
      </c>
      <c r="M990" s="742">
        <f t="shared" si="971"/>
        <v>0</v>
      </c>
      <c r="N990" s="742">
        <f t="shared" si="971"/>
        <v>0</v>
      </c>
      <c r="O990" s="742">
        <f t="shared" si="971"/>
        <v>0</v>
      </c>
      <c r="P990" s="742">
        <f t="shared" si="970"/>
        <v>0</v>
      </c>
      <c r="Q990" s="743">
        <f>SUBTOTAL(9,Q978:Q989)</f>
        <v>0</v>
      </c>
      <c r="R990" s="742">
        <f t="shared" si="970"/>
        <v>0</v>
      </c>
      <c r="S990" s="742">
        <f t="shared" si="970"/>
        <v>0</v>
      </c>
      <c r="T990" s="742">
        <f t="shared" si="970"/>
        <v>0</v>
      </c>
      <c r="U990" s="742">
        <f t="shared" si="970"/>
        <v>0</v>
      </c>
    </row>
    <row r="991" spans="2:21" s="119" customFormat="1" ht="19.5" hidden="1" thickBot="1" x14ac:dyDescent="0.3">
      <c r="B991" s="340"/>
      <c r="D991" s="117"/>
      <c r="E991" s="117"/>
      <c r="F991" s="118"/>
      <c r="G991" s="118"/>
      <c r="I991" s="118"/>
      <c r="J991" s="118"/>
      <c r="K991" s="118"/>
      <c r="L991" s="118"/>
      <c r="O991" s="118"/>
      <c r="Q991" s="120"/>
      <c r="R991" s="117"/>
      <c r="S991" s="118"/>
      <c r="U991" s="118"/>
    </row>
    <row r="992" spans="2:21" s="119" customFormat="1" ht="75.75" hidden="1" thickBot="1" x14ac:dyDescent="0.3">
      <c r="B992" s="301"/>
      <c r="C992" s="119">
        <f>IF($E992&gt;0,1,0)</f>
        <v>0</v>
      </c>
      <c r="D992" s="96" t="str">
        <f>A61</f>
        <v>Washington</v>
      </c>
      <c r="E992" s="166">
        <f>IFERROR(SUMIF(A:A,D992,B:B),0)</f>
        <v>0</v>
      </c>
      <c r="F992" s="98" t="s">
        <v>356</v>
      </c>
      <c r="G992" s="98" t="s">
        <v>373</v>
      </c>
      <c r="H992" s="98" t="s">
        <v>358</v>
      </c>
      <c r="I992" s="98" t="s">
        <v>109</v>
      </c>
      <c r="J992" s="98" t="s">
        <v>111</v>
      </c>
      <c r="K992" s="98" t="s">
        <v>469</v>
      </c>
      <c r="L992" s="98" t="s">
        <v>470</v>
      </c>
      <c r="M992" s="98" t="s">
        <v>357</v>
      </c>
      <c r="N992" s="509" t="s">
        <v>471</v>
      </c>
      <c r="O992" s="98" t="s">
        <v>472</v>
      </c>
      <c r="P992" s="98" t="s">
        <v>110</v>
      </c>
      <c r="Q992" s="99" t="s">
        <v>116</v>
      </c>
      <c r="R992" s="98" t="s">
        <v>112</v>
      </c>
      <c r="S992" s="98" t="s">
        <v>113</v>
      </c>
      <c r="T992" s="98" t="s">
        <v>114</v>
      </c>
      <c r="U992" s="98" t="s">
        <v>115</v>
      </c>
    </row>
    <row r="993" spans="2:21" s="119" customFormat="1" ht="19.5" hidden="1" thickBot="1" x14ac:dyDescent="0.3">
      <c r="B993" s="301"/>
      <c r="C993" s="119">
        <f>C992</f>
        <v>0</v>
      </c>
      <c r="D993" s="101"/>
      <c r="E993" s="102"/>
      <c r="F993" s="84" t="s">
        <v>57</v>
      </c>
      <c r="G993" s="84" t="s">
        <v>56</v>
      </c>
      <c r="H993" s="84" t="s">
        <v>55</v>
      </c>
      <c r="I993" s="84" t="s">
        <v>54</v>
      </c>
      <c r="J993" s="84" t="s">
        <v>53</v>
      </c>
      <c r="K993" s="84" t="s">
        <v>52</v>
      </c>
      <c r="L993" s="84" t="s">
        <v>51</v>
      </c>
      <c r="M993" s="84" t="s">
        <v>50</v>
      </c>
      <c r="N993" s="84" t="s">
        <v>49</v>
      </c>
      <c r="O993" s="84" t="s">
        <v>47</v>
      </c>
      <c r="P993" s="84" t="s">
        <v>77</v>
      </c>
      <c r="Q993" s="83" t="s">
        <v>78</v>
      </c>
      <c r="R993" s="84" t="s">
        <v>79</v>
      </c>
      <c r="S993" s="84" t="s">
        <v>81</v>
      </c>
      <c r="T993" s="84" t="s">
        <v>83</v>
      </c>
      <c r="U993" s="84" t="s">
        <v>85</v>
      </c>
    </row>
    <row r="994" spans="2:21" s="119" customFormat="1" ht="19.5" hidden="1" thickBot="1" x14ac:dyDescent="0.35">
      <c r="B994" s="301"/>
      <c r="C994" s="119">
        <f t="shared" ref="C994:C1007" si="972">C993</f>
        <v>0</v>
      </c>
      <c r="D994" s="103" t="s">
        <v>26</v>
      </c>
      <c r="E994" s="104"/>
      <c r="F994" s="745"/>
      <c r="G994" s="745"/>
      <c r="H994" s="746"/>
      <c r="I994" s="745"/>
      <c r="J994" s="745"/>
      <c r="K994" s="745"/>
      <c r="L994" s="745"/>
      <c r="M994" s="746"/>
      <c r="N994" s="746"/>
      <c r="O994" s="745"/>
      <c r="P994" s="746"/>
      <c r="Q994" s="747"/>
      <c r="R994" s="748"/>
      <c r="S994" s="745"/>
      <c r="T994" s="746"/>
      <c r="U994" s="749"/>
    </row>
    <row r="995" spans="2:21" s="119" customFormat="1" ht="19.5" hidden="1" thickBot="1" x14ac:dyDescent="0.3">
      <c r="B995" s="301"/>
      <c r="C995" s="119">
        <f t="shared" si="972"/>
        <v>0</v>
      </c>
      <c r="D995" s="109" t="s">
        <v>93</v>
      </c>
      <c r="E995" s="76" t="s">
        <v>57</v>
      </c>
      <c r="F995" s="733">
        <f>$F$6*$E$992</f>
        <v>0</v>
      </c>
      <c r="G995" s="733">
        <f>$G$6*$E$992</f>
        <v>0</v>
      </c>
      <c r="H995" s="733">
        <f>$H$6*$E$992</f>
        <v>0</v>
      </c>
      <c r="I995" s="733">
        <f>$I$6*$E$992</f>
        <v>0</v>
      </c>
      <c r="J995" s="733">
        <f>$J$6*$E$992</f>
        <v>0</v>
      </c>
      <c r="K995" s="733">
        <f>K$6*$E$992</f>
        <v>0</v>
      </c>
      <c r="L995" s="733">
        <f t="shared" ref="L995:O995" si="973">L$6*$E$992</f>
        <v>0</v>
      </c>
      <c r="M995" s="733">
        <f t="shared" si="973"/>
        <v>0</v>
      </c>
      <c r="N995" s="733">
        <f t="shared" si="973"/>
        <v>0</v>
      </c>
      <c r="O995" s="733">
        <f t="shared" si="973"/>
        <v>0</v>
      </c>
      <c r="P995" s="733">
        <f>$P$6*$E$992</f>
        <v>0</v>
      </c>
      <c r="Q995" s="734">
        <f t="shared" ref="Q995:Q1006" si="974">SUM(F995:P995)</f>
        <v>0</v>
      </c>
      <c r="R995" s="733">
        <f>$R$6*$E$992</f>
        <v>0</v>
      </c>
      <c r="S995" s="733">
        <f>$S$6*$E$992</f>
        <v>0</v>
      </c>
      <c r="T995" s="733">
        <f ca="1">$T$6*$E$992</f>
        <v>0</v>
      </c>
      <c r="U995" s="733">
        <f ca="1">$U$6*$E$992</f>
        <v>0</v>
      </c>
    </row>
    <row r="996" spans="2:21" s="119" customFormat="1" ht="19.5" hidden="1" thickBot="1" x14ac:dyDescent="0.3">
      <c r="B996" s="301"/>
      <c r="C996" s="119">
        <f t="shared" si="972"/>
        <v>0</v>
      </c>
      <c r="D996" s="110" t="s">
        <v>92</v>
      </c>
      <c r="E996" s="76" t="s">
        <v>56</v>
      </c>
      <c r="F996" s="733">
        <f>$F$7*$E$992</f>
        <v>0</v>
      </c>
      <c r="G996" s="733">
        <f>$G$7*$E$992</f>
        <v>0</v>
      </c>
      <c r="H996" s="733">
        <f>$H$7*$E$992</f>
        <v>0</v>
      </c>
      <c r="I996" s="733">
        <f>$I$7*$E$992</f>
        <v>0</v>
      </c>
      <c r="J996" s="733">
        <f>$J$7*$E$992</f>
        <v>0</v>
      </c>
      <c r="K996" s="733">
        <f>K$7*$E$992</f>
        <v>0</v>
      </c>
      <c r="L996" s="733">
        <f t="shared" ref="L996:O996" si="975">L$7*$E$992</f>
        <v>0</v>
      </c>
      <c r="M996" s="733">
        <f t="shared" si="975"/>
        <v>0</v>
      </c>
      <c r="N996" s="733">
        <f t="shared" si="975"/>
        <v>0</v>
      </c>
      <c r="O996" s="733">
        <f t="shared" si="975"/>
        <v>0</v>
      </c>
      <c r="P996" s="733">
        <f>$P$7*$E$992</f>
        <v>0</v>
      </c>
      <c r="Q996" s="734">
        <f t="shared" si="974"/>
        <v>0</v>
      </c>
      <c r="R996" s="733">
        <f>$R$7*$E$992</f>
        <v>0</v>
      </c>
      <c r="S996" s="733">
        <f>$S$7*$E$992</f>
        <v>0</v>
      </c>
      <c r="T996" s="733">
        <f>$T$7*$E$992</f>
        <v>0</v>
      </c>
      <c r="U996" s="733">
        <f>$U$7*$E$992</f>
        <v>0</v>
      </c>
    </row>
    <row r="997" spans="2:21" s="119" customFormat="1" ht="19.5" hidden="1" thickBot="1" x14ac:dyDescent="0.3">
      <c r="B997" s="301"/>
      <c r="C997" s="119">
        <f t="shared" si="972"/>
        <v>0</v>
      </c>
      <c r="D997" s="110" t="s">
        <v>91</v>
      </c>
      <c r="E997" s="76" t="s">
        <v>55</v>
      </c>
      <c r="F997" s="733">
        <f>$F$8*$E$992</f>
        <v>0</v>
      </c>
      <c r="G997" s="733">
        <f>$G$8*$E$992</f>
        <v>0</v>
      </c>
      <c r="H997" s="733">
        <f>$H$8*$E$992</f>
        <v>0</v>
      </c>
      <c r="I997" s="733">
        <f>$I$8*$E$992</f>
        <v>0</v>
      </c>
      <c r="J997" s="733">
        <f>$J$8*$E$992</f>
        <v>0</v>
      </c>
      <c r="K997" s="733">
        <f>K$8*$E$992</f>
        <v>0</v>
      </c>
      <c r="L997" s="733">
        <f t="shared" ref="L997:O997" si="976">L$8*$E$992</f>
        <v>0</v>
      </c>
      <c r="M997" s="733">
        <f t="shared" si="976"/>
        <v>0</v>
      </c>
      <c r="N997" s="733">
        <f t="shared" si="976"/>
        <v>0</v>
      </c>
      <c r="O997" s="733">
        <f t="shared" si="976"/>
        <v>0</v>
      </c>
      <c r="P997" s="733">
        <f>$P$8*$E$992</f>
        <v>0</v>
      </c>
      <c r="Q997" s="734">
        <f t="shared" si="974"/>
        <v>0</v>
      </c>
      <c r="R997" s="733">
        <f>$R$8*$E$992</f>
        <v>0</v>
      </c>
      <c r="S997" s="733">
        <f>$S$8*$E$992</f>
        <v>0</v>
      </c>
      <c r="T997" s="733">
        <f ca="1">$T$8*$E$992</f>
        <v>0</v>
      </c>
      <c r="U997" s="733">
        <f ca="1">$U$8*$E$992</f>
        <v>0</v>
      </c>
    </row>
    <row r="998" spans="2:21" s="119" customFormat="1" ht="19.5" hidden="1" thickBot="1" x14ac:dyDescent="0.3">
      <c r="B998" s="301"/>
      <c r="C998" s="119">
        <f t="shared" si="972"/>
        <v>0</v>
      </c>
      <c r="D998" s="111" t="s">
        <v>117</v>
      </c>
      <c r="E998" s="76" t="s">
        <v>54</v>
      </c>
      <c r="F998" s="733">
        <f>$F$9*$E$992</f>
        <v>0</v>
      </c>
      <c r="G998" s="733">
        <f>$G$9*$E$992</f>
        <v>0</v>
      </c>
      <c r="H998" s="733">
        <f>$H$9*$E$992</f>
        <v>0</v>
      </c>
      <c r="I998" s="733">
        <f>$I$9*$E$992</f>
        <v>0</v>
      </c>
      <c r="J998" s="733">
        <f>$J$9*$E$992</f>
        <v>0</v>
      </c>
      <c r="K998" s="733">
        <f>K$9*$E$992</f>
        <v>0</v>
      </c>
      <c r="L998" s="733">
        <f t="shared" ref="L998:O998" si="977">L$9*$E$992</f>
        <v>0</v>
      </c>
      <c r="M998" s="733">
        <f t="shared" si="977"/>
        <v>0</v>
      </c>
      <c r="N998" s="733">
        <f t="shared" si="977"/>
        <v>0</v>
      </c>
      <c r="O998" s="733">
        <f t="shared" si="977"/>
        <v>0</v>
      </c>
      <c r="P998" s="733">
        <f>$P$9*$E$992</f>
        <v>0</v>
      </c>
      <c r="Q998" s="734">
        <f t="shared" si="974"/>
        <v>0</v>
      </c>
      <c r="R998" s="733">
        <f>$R$9*$E$992</f>
        <v>0</v>
      </c>
      <c r="S998" s="733">
        <f>$S$9*$E$992</f>
        <v>0</v>
      </c>
      <c r="T998" s="733">
        <f>$T$9*$E$992</f>
        <v>0</v>
      </c>
      <c r="U998" s="733">
        <f>$U$9*$E$992</f>
        <v>0</v>
      </c>
    </row>
    <row r="999" spans="2:21" s="119" customFormat="1" ht="19.5" hidden="1" thickBot="1" x14ac:dyDescent="0.35">
      <c r="B999" s="301"/>
      <c r="C999" s="119">
        <f t="shared" si="972"/>
        <v>0</v>
      </c>
      <c r="D999" s="112" t="s">
        <v>31</v>
      </c>
      <c r="E999" s="76"/>
      <c r="F999" s="750"/>
      <c r="G999" s="735"/>
      <c r="H999" s="736"/>
      <c r="I999" s="735"/>
      <c r="J999" s="735"/>
      <c r="K999" s="735"/>
      <c r="L999" s="735"/>
      <c r="M999" s="735"/>
      <c r="N999" s="735"/>
      <c r="O999" s="735"/>
      <c r="P999" s="738"/>
      <c r="Q999" s="734">
        <f t="shared" si="974"/>
        <v>0</v>
      </c>
      <c r="R999" s="739"/>
      <c r="S999" s="735"/>
      <c r="T999" s="740"/>
      <c r="U999" s="741"/>
    </row>
    <row r="1000" spans="2:21" s="119" customFormat="1" ht="19.5" hidden="1" thickBot="1" x14ac:dyDescent="0.35">
      <c r="B1000" s="301"/>
      <c r="C1000" s="119">
        <f t="shared" si="972"/>
        <v>0</v>
      </c>
      <c r="D1000" s="113" t="s">
        <v>118</v>
      </c>
      <c r="E1000" s="76" t="s">
        <v>53</v>
      </c>
      <c r="F1000" s="733">
        <f>$F$11*$E$992</f>
        <v>0</v>
      </c>
      <c r="G1000" s="733">
        <f>$G$11*$E$992</f>
        <v>0</v>
      </c>
      <c r="H1000" s="733">
        <f>$H$11*$E$992</f>
        <v>0</v>
      </c>
      <c r="I1000" s="733">
        <f>$I$11*$E$992</f>
        <v>0</v>
      </c>
      <c r="J1000" s="733">
        <f>$J$11*$E$992</f>
        <v>0</v>
      </c>
      <c r="K1000" s="733">
        <f>K$11*$E$992</f>
        <v>0</v>
      </c>
      <c r="L1000" s="733">
        <f t="shared" ref="L1000:O1000" si="978">L$11*$E$992</f>
        <v>0</v>
      </c>
      <c r="M1000" s="733">
        <f t="shared" si="978"/>
        <v>0</v>
      </c>
      <c r="N1000" s="733">
        <f t="shared" si="978"/>
        <v>0</v>
      </c>
      <c r="O1000" s="733">
        <f t="shared" si="978"/>
        <v>0</v>
      </c>
      <c r="P1000" s="733">
        <f>$P$11*$E$992</f>
        <v>0</v>
      </c>
      <c r="Q1000" s="734">
        <f t="shared" si="974"/>
        <v>0</v>
      </c>
      <c r="R1000" s="733">
        <f>$R$11*$E$992</f>
        <v>0</v>
      </c>
      <c r="S1000" s="733">
        <f>$S$11*$E$992</f>
        <v>0</v>
      </c>
      <c r="T1000" s="733">
        <f>$T$11*$E$992</f>
        <v>0</v>
      </c>
      <c r="U1000" s="733">
        <f>$U$11*$E$992</f>
        <v>0</v>
      </c>
    </row>
    <row r="1001" spans="2:21" s="119" customFormat="1" ht="19.5" hidden="1" thickBot="1" x14ac:dyDescent="0.35">
      <c r="B1001" s="301"/>
      <c r="C1001" s="119">
        <f t="shared" si="972"/>
        <v>0</v>
      </c>
      <c r="D1001" s="113" t="s">
        <v>119</v>
      </c>
      <c r="E1001" s="76" t="s">
        <v>52</v>
      </c>
      <c r="F1001" s="733">
        <f>$F$12*$E$992</f>
        <v>0</v>
      </c>
      <c r="G1001" s="733">
        <f>$G$12*$E$992</f>
        <v>0</v>
      </c>
      <c r="H1001" s="733">
        <f>$H$12*$E$992</f>
        <v>0</v>
      </c>
      <c r="I1001" s="733">
        <f>$I$12*$E$992</f>
        <v>0</v>
      </c>
      <c r="J1001" s="733">
        <f>$J$12*$E$992</f>
        <v>0</v>
      </c>
      <c r="K1001" s="733">
        <f>K$12*$E$992</f>
        <v>0</v>
      </c>
      <c r="L1001" s="733">
        <f t="shared" ref="L1001:O1001" si="979">L$12*$E$992</f>
        <v>0</v>
      </c>
      <c r="M1001" s="733">
        <f t="shared" si="979"/>
        <v>0</v>
      </c>
      <c r="N1001" s="733">
        <f t="shared" si="979"/>
        <v>0</v>
      </c>
      <c r="O1001" s="733">
        <f t="shared" si="979"/>
        <v>0</v>
      </c>
      <c r="P1001" s="733">
        <f>$P$12*$E$992</f>
        <v>0</v>
      </c>
      <c r="Q1001" s="734">
        <f t="shared" si="974"/>
        <v>0</v>
      </c>
      <c r="R1001" s="733">
        <f>$R$12*$E$992</f>
        <v>0</v>
      </c>
      <c r="S1001" s="733">
        <f>$S$12*$E$992</f>
        <v>0</v>
      </c>
      <c r="T1001" s="733">
        <f>$T$12*$E$992</f>
        <v>0</v>
      </c>
      <c r="U1001" s="733">
        <f>$U$12*$E$992</f>
        <v>0</v>
      </c>
    </row>
    <row r="1002" spans="2:21" s="119" customFormat="1" ht="19.5" hidden="1" thickBot="1" x14ac:dyDescent="0.35">
      <c r="B1002" s="301"/>
      <c r="C1002" s="119">
        <f t="shared" si="972"/>
        <v>0</v>
      </c>
      <c r="D1002" s="113" t="s">
        <v>120</v>
      </c>
      <c r="E1002" s="76" t="s">
        <v>51</v>
      </c>
      <c r="F1002" s="733">
        <f>$F$13*$E$992</f>
        <v>0</v>
      </c>
      <c r="G1002" s="733">
        <f>$G$13*$E$992</f>
        <v>0</v>
      </c>
      <c r="H1002" s="733">
        <f>$H$13*$E$992</f>
        <v>0</v>
      </c>
      <c r="I1002" s="733">
        <f>$I$13*$E$992</f>
        <v>0</v>
      </c>
      <c r="J1002" s="733">
        <f>$J$13*$E$992</f>
        <v>0</v>
      </c>
      <c r="K1002" s="733">
        <f>K$13*$E$992</f>
        <v>0</v>
      </c>
      <c r="L1002" s="733">
        <f t="shared" ref="L1002:O1002" si="980">L$13*$E$992</f>
        <v>0</v>
      </c>
      <c r="M1002" s="733">
        <f t="shared" si="980"/>
        <v>0</v>
      </c>
      <c r="N1002" s="733">
        <f t="shared" si="980"/>
        <v>0</v>
      </c>
      <c r="O1002" s="733">
        <f t="shared" si="980"/>
        <v>0</v>
      </c>
      <c r="P1002" s="733">
        <f>$P$13*$E$992</f>
        <v>0</v>
      </c>
      <c r="Q1002" s="734">
        <f t="shared" si="974"/>
        <v>0</v>
      </c>
      <c r="R1002" s="733">
        <f>$R$13*$E$992</f>
        <v>0</v>
      </c>
      <c r="S1002" s="733">
        <f>$S$13*$E$992</f>
        <v>0</v>
      </c>
      <c r="T1002" s="733">
        <f>$T$13*$E$992</f>
        <v>0</v>
      </c>
      <c r="U1002" s="733">
        <f>$U$13*$E$992</f>
        <v>0</v>
      </c>
    </row>
    <row r="1003" spans="2:21" s="119" customFormat="1" ht="19.5" hidden="1" thickBot="1" x14ac:dyDescent="0.35">
      <c r="B1003" s="301"/>
      <c r="C1003" s="119">
        <f t="shared" si="972"/>
        <v>0</v>
      </c>
      <c r="D1003" s="113" t="s">
        <v>121</v>
      </c>
      <c r="E1003" s="76" t="s">
        <v>50</v>
      </c>
      <c r="F1003" s="733">
        <f>$F$14*$E$992</f>
        <v>0</v>
      </c>
      <c r="G1003" s="733">
        <f>$G$14*$E$992</f>
        <v>0</v>
      </c>
      <c r="H1003" s="733">
        <f>$H$14*$E$992</f>
        <v>0</v>
      </c>
      <c r="I1003" s="733">
        <f>$I$14*$E$992</f>
        <v>0</v>
      </c>
      <c r="J1003" s="733">
        <f>$J$14*$E$992</f>
        <v>0</v>
      </c>
      <c r="K1003" s="733">
        <f>K$14*$E$992</f>
        <v>0</v>
      </c>
      <c r="L1003" s="733">
        <f t="shared" ref="L1003:O1003" si="981">L$14*$E$992</f>
        <v>0</v>
      </c>
      <c r="M1003" s="733">
        <f t="shared" si="981"/>
        <v>0</v>
      </c>
      <c r="N1003" s="733">
        <f t="shared" si="981"/>
        <v>0</v>
      </c>
      <c r="O1003" s="733">
        <f t="shared" si="981"/>
        <v>0</v>
      </c>
      <c r="P1003" s="733">
        <f>$P$14*$E$992</f>
        <v>0</v>
      </c>
      <c r="Q1003" s="734">
        <f t="shared" si="974"/>
        <v>0</v>
      </c>
      <c r="R1003" s="733">
        <f>$R$14*$E$992</f>
        <v>0</v>
      </c>
      <c r="S1003" s="733">
        <f>$S$14*$E$992</f>
        <v>0</v>
      </c>
      <c r="T1003" s="733">
        <f>$T$14*$E$992</f>
        <v>0</v>
      </c>
      <c r="U1003" s="733">
        <f>$U$14*$E$992</f>
        <v>0</v>
      </c>
    </row>
    <row r="1004" spans="2:21" s="119" customFormat="1" ht="19.5" hidden="1" thickBot="1" x14ac:dyDescent="0.35">
      <c r="B1004" s="301"/>
      <c r="C1004" s="119">
        <f t="shared" si="972"/>
        <v>0</v>
      </c>
      <c r="D1004" s="113" t="s">
        <v>122</v>
      </c>
      <c r="E1004" s="76" t="s">
        <v>49</v>
      </c>
      <c r="F1004" s="733">
        <f>$F$15*$E$992</f>
        <v>0</v>
      </c>
      <c r="G1004" s="733">
        <f>$G$15*$E$992</f>
        <v>0</v>
      </c>
      <c r="H1004" s="733">
        <f>$H$15*$E$992</f>
        <v>0</v>
      </c>
      <c r="I1004" s="733">
        <f>$I$15*$E$992</f>
        <v>0</v>
      </c>
      <c r="J1004" s="733">
        <f>$J$15*$E$992</f>
        <v>0</v>
      </c>
      <c r="K1004" s="733">
        <f>K$15*$E$992</f>
        <v>0</v>
      </c>
      <c r="L1004" s="733">
        <f t="shared" ref="L1004:O1004" si="982">L$15*$E$992</f>
        <v>0</v>
      </c>
      <c r="M1004" s="733">
        <f t="shared" si="982"/>
        <v>0</v>
      </c>
      <c r="N1004" s="733">
        <f t="shared" si="982"/>
        <v>0</v>
      </c>
      <c r="O1004" s="733">
        <f t="shared" si="982"/>
        <v>0</v>
      </c>
      <c r="P1004" s="733">
        <f>$P$15*$E$992</f>
        <v>0</v>
      </c>
      <c r="Q1004" s="734">
        <f t="shared" si="974"/>
        <v>0</v>
      </c>
      <c r="R1004" s="733">
        <f>$R$15*$E$992</f>
        <v>0</v>
      </c>
      <c r="S1004" s="733">
        <f>$S$15*$E$992</f>
        <v>0</v>
      </c>
      <c r="T1004" s="733">
        <f>$T$15*$E$992</f>
        <v>0</v>
      </c>
      <c r="U1004" s="733">
        <f>$U$15*$E$992</f>
        <v>0</v>
      </c>
    </row>
    <row r="1005" spans="2:21" s="119" customFormat="1" ht="19.5" hidden="1" thickBot="1" x14ac:dyDescent="0.35">
      <c r="B1005" s="301"/>
      <c r="C1005" s="119">
        <f t="shared" si="972"/>
        <v>0</v>
      </c>
      <c r="D1005" s="113" t="s">
        <v>123</v>
      </c>
      <c r="E1005" s="76" t="s">
        <v>47</v>
      </c>
      <c r="F1005" s="733">
        <f>$F$16*$E$992</f>
        <v>0</v>
      </c>
      <c r="G1005" s="733">
        <f>$G$16*$E$992</f>
        <v>0</v>
      </c>
      <c r="H1005" s="733">
        <f>$H$16*$E$992</f>
        <v>0</v>
      </c>
      <c r="I1005" s="733">
        <f>$I$16*$E$992</f>
        <v>0</v>
      </c>
      <c r="J1005" s="733">
        <f>$J$16*$E$992</f>
        <v>0</v>
      </c>
      <c r="K1005" s="733">
        <f>K$16*$E$992</f>
        <v>0</v>
      </c>
      <c r="L1005" s="733">
        <f t="shared" ref="L1005:O1005" si="983">L$16*$E$992</f>
        <v>0</v>
      </c>
      <c r="M1005" s="733">
        <f t="shared" si="983"/>
        <v>0</v>
      </c>
      <c r="N1005" s="733">
        <f t="shared" si="983"/>
        <v>0</v>
      </c>
      <c r="O1005" s="733">
        <f t="shared" si="983"/>
        <v>0</v>
      </c>
      <c r="P1005" s="733">
        <f>$P$16*$E$992</f>
        <v>0</v>
      </c>
      <c r="Q1005" s="734">
        <f t="shared" si="974"/>
        <v>0</v>
      </c>
      <c r="R1005" s="733">
        <f>$R$16*$E$992</f>
        <v>0</v>
      </c>
      <c r="S1005" s="733">
        <f>$S$16*$E$992</f>
        <v>0</v>
      </c>
      <c r="T1005" s="733">
        <f>$T$16*$E$992</f>
        <v>0</v>
      </c>
      <c r="U1005" s="733">
        <f>$U$16*$E$992</f>
        <v>0</v>
      </c>
    </row>
    <row r="1006" spans="2:21" s="119" customFormat="1" ht="19.5" hidden="1" thickBot="1" x14ac:dyDescent="0.35">
      <c r="B1006" s="301"/>
      <c r="C1006" s="119">
        <f t="shared" si="972"/>
        <v>0</v>
      </c>
      <c r="D1006" s="114" t="s">
        <v>16</v>
      </c>
      <c r="E1006" s="70" t="s">
        <v>77</v>
      </c>
      <c r="F1006" s="733">
        <f>$F$17*$E$992</f>
        <v>0</v>
      </c>
      <c r="G1006" s="733">
        <f>$G$17*$E$992</f>
        <v>0</v>
      </c>
      <c r="H1006" s="733">
        <f>$H$17*$E$992</f>
        <v>0</v>
      </c>
      <c r="I1006" s="733">
        <f>$I$17*$E$992</f>
        <v>0</v>
      </c>
      <c r="J1006" s="733">
        <f>$J$17*$E$992</f>
        <v>0</v>
      </c>
      <c r="K1006" s="733">
        <f>K$17*$E$992</f>
        <v>0</v>
      </c>
      <c r="L1006" s="733">
        <f t="shared" ref="L1006:O1006" si="984">L$17*$E$992</f>
        <v>0</v>
      </c>
      <c r="M1006" s="733">
        <f t="shared" si="984"/>
        <v>0</v>
      </c>
      <c r="N1006" s="733">
        <f t="shared" si="984"/>
        <v>0</v>
      </c>
      <c r="O1006" s="733">
        <f t="shared" si="984"/>
        <v>0</v>
      </c>
      <c r="P1006" s="733">
        <f>$P$17*$E$992</f>
        <v>0</v>
      </c>
      <c r="Q1006" s="734">
        <f t="shared" si="974"/>
        <v>0</v>
      </c>
      <c r="R1006" s="733">
        <f>$R$17*$E$992</f>
        <v>0</v>
      </c>
      <c r="S1006" s="733">
        <f>$S$17*$E$992</f>
        <v>0</v>
      </c>
      <c r="T1006" s="733">
        <f ca="1">$T$17*$E$992</f>
        <v>0</v>
      </c>
      <c r="U1006" s="733">
        <f ca="1">$U$17*$E$992</f>
        <v>0</v>
      </c>
    </row>
    <row r="1007" spans="2:21" s="119" customFormat="1" ht="19.5" hidden="1" thickBot="1" x14ac:dyDescent="0.35">
      <c r="B1007" s="301"/>
      <c r="C1007" s="119">
        <f t="shared" si="972"/>
        <v>0</v>
      </c>
      <c r="D1007" s="115" t="s">
        <v>124</v>
      </c>
      <c r="E1007" s="116" t="s">
        <v>78</v>
      </c>
      <c r="F1007" s="742">
        <f t="shared" ref="F1007:U1007" si="985">SUBTOTAL(9,F995:F1006)</f>
        <v>0</v>
      </c>
      <c r="G1007" s="742">
        <f>SUBTOTAL(9,G995:G1006)</f>
        <v>0</v>
      </c>
      <c r="H1007" s="742">
        <f>SUBTOTAL(9,H995:H1006)</f>
        <v>0</v>
      </c>
      <c r="I1007" s="742">
        <f>SUBTOTAL(9,I995:I1006)</f>
        <v>0</v>
      </c>
      <c r="J1007" s="742">
        <f>SUBTOTAL(9,J995:J1006)</f>
        <v>0</v>
      </c>
      <c r="K1007" s="742">
        <f>SUBTOTAL(9,K995:K1006)</f>
        <v>0</v>
      </c>
      <c r="L1007" s="742">
        <f t="shared" ref="L1007:O1007" si="986">SUBTOTAL(9,L995:L1006)</f>
        <v>0</v>
      </c>
      <c r="M1007" s="742">
        <f t="shared" si="986"/>
        <v>0</v>
      </c>
      <c r="N1007" s="742">
        <f t="shared" si="986"/>
        <v>0</v>
      </c>
      <c r="O1007" s="742">
        <f t="shared" si="986"/>
        <v>0</v>
      </c>
      <c r="P1007" s="742">
        <f t="shared" si="985"/>
        <v>0</v>
      </c>
      <c r="Q1007" s="743">
        <f>SUBTOTAL(9,Q995:Q1006)</f>
        <v>0</v>
      </c>
      <c r="R1007" s="742">
        <f t="shared" si="985"/>
        <v>0</v>
      </c>
      <c r="S1007" s="742">
        <f t="shared" si="985"/>
        <v>0</v>
      </c>
      <c r="T1007" s="742">
        <f t="shared" si="985"/>
        <v>0</v>
      </c>
      <c r="U1007" s="742">
        <f t="shared" si="985"/>
        <v>0</v>
      </c>
    </row>
    <row r="1008" spans="2:21" s="119" customFormat="1" ht="19.5" hidden="1" thickBot="1" x14ac:dyDescent="0.3">
      <c r="B1008" s="340"/>
      <c r="D1008" s="117"/>
      <c r="E1008" s="117"/>
      <c r="F1008" s="118"/>
      <c r="G1008" s="118"/>
      <c r="I1008" s="118"/>
      <c r="J1008" s="118"/>
      <c r="K1008" s="118"/>
      <c r="L1008" s="118"/>
      <c r="O1008" s="118"/>
      <c r="Q1008" s="120"/>
      <c r="R1008" s="117"/>
      <c r="S1008" s="118"/>
      <c r="U1008" s="118"/>
    </row>
    <row r="1009" spans="2:21" s="119" customFormat="1" ht="75.75" hidden="1" thickBot="1" x14ac:dyDescent="0.3">
      <c r="B1009" s="301"/>
      <c r="C1009" s="119">
        <f>IF($E1009&gt;0,1,0)</f>
        <v>0</v>
      </c>
      <c r="D1009" s="96" t="str">
        <f>A62</f>
        <v>Wayne</v>
      </c>
      <c r="E1009" s="166">
        <f>IFERROR(SUMIF(A:A,D1009,B:B),0)</f>
        <v>0</v>
      </c>
      <c r="F1009" s="98" t="s">
        <v>356</v>
      </c>
      <c r="G1009" s="98" t="s">
        <v>373</v>
      </c>
      <c r="H1009" s="98" t="s">
        <v>358</v>
      </c>
      <c r="I1009" s="98" t="s">
        <v>109</v>
      </c>
      <c r="J1009" s="98" t="s">
        <v>111</v>
      </c>
      <c r="K1009" s="98" t="s">
        <v>469</v>
      </c>
      <c r="L1009" s="98" t="s">
        <v>470</v>
      </c>
      <c r="M1009" s="98" t="s">
        <v>357</v>
      </c>
      <c r="N1009" s="509" t="s">
        <v>471</v>
      </c>
      <c r="O1009" s="98" t="s">
        <v>472</v>
      </c>
      <c r="P1009" s="98" t="s">
        <v>110</v>
      </c>
      <c r="Q1009" s="99" t="s">
        <v>116</v>
      </c>
      <c r="R1009" s="98" t="s">
        <v>112</v>
      </c>
      <c r="S1009" s="98" t="s">
        <v>113</v>
      </c>
      <c r="T1009" s="98" t="s">
        <v>114</v>
      </c>
      <c r="U1009" s="98" t="s">
        <v>115</v>
      </c>
    </row>
    <row r="1010" spans="2:21" s="119" customFormat="1" ht="19.5" hidden="1" thickBot="1" x14ac:dyDescent="0.3">
      <c r="B1010" s="301"/>
      <c r="C1010" s="119">
        <f>C1009</f>
        <v>0</v>
      </c>
      <c r="D1010" s="101"/>
      <c r="E1010" s="102"/>
      <c r="F1010" s="84" t="s">
        <v>57</v>
      </c>
      <c r="G1010" s="84" t="s">
        <v>56</v>
      </c>
      <c r="H1010" s="84" t="s">
        <v>55</v>
      </c>
      <c r="I1010" s="84" t="s">
        <v>54</v>
      </c>
      <c r="J1010" s="84" t="s">
        <v>53</v>
      </c>
      <c r="K1010" s="84" t="s">
        <v>52</v>
      </c>
      <c r="L1010" s="84" t="s">
        <v>51</v>
      </c>
      <c r="M1010" s="84" t="s">
        <v>50</v>
      </c>
      <c r="N1010" s="84" t="s">
        <v>49</v>
      </c>
      <c r="O1010" s="84" t="s">
        <v>47</v>
      </c>
      <c r="P1010" s="84" t="s">
        <v>77</v>
      </c>
      <c r="Q1010" s="83" t="s">
        <v>78</v>
      </c>
      <c r="R1010" s="84" t="s">
        <v>79</v>
      </c>
      <c r="S1010" s="84" t="s">
        <v>81</v>
      </c>
      <c r="T1010" s="84" t="s">
        <v>83</v>
      </c>
      <c r="U1010" s="84" t="s">
        <v>85</v>
      </c>
    </row>
    <row r="1011" spans="2:21" s="119" customFormat="1" ht="19.5" hidden="1" thickBot="1" x14ac:dyDescent="0.35">
      <c r="B1011" s="301"/>
      <c r="C1011" s="119">
        <f t="shared" ref="C1011:C1024" si="987">C1010</f>
        <v>0</v>
      </c>
      <c r="D1011" s="103" t="s">
        <v>26</v>
      </c>
      <c r="E1011" s="104"/>
      <c r="F1011" s="745"/>
      <c r="G1011" s="745"/>
      <c r="H1011" s="746"/>
      <c r="I1011" s="745"/>
      <c r="J1011" s="745"/>
      <c r="K1011" s="745"/>
      <c r="L1011" s="745"/>
      <c r="M1011" s="746"/>
      <c r="N1011" s="746"/>
      <c r="O1011" s="745"/>
      <c r="P1011" s="746"/>
      <c r="Q1011" s="747"/>
      <c r="R1011" s="748"/>
      <c r="S1011" s="745"/>
      <c r="T1011" s="746"/>
      <c r="U1011" s="749"/>
    </row>
    <row r="1012" spans="2:21" s="119" customFormat="1" ht="19.5" hidden="1" thickBot="1" x14ac:dyDescent="0.3">
      <c r="B1012" s="301"/>
      <c r="C1012" s="119">
        <f t="shared" si="987"/>
        <v>0</v>
      </c>
      <c r="D1012" s="109" t="s">
        <v>93</v>
      </c>
      <c r="E1012" s="76" t="s">
        <v>57</v>
      </c>
      <c r="F1012" s="733">
        <f>$F$6*$E$1009</f>
        <v>0</v>
      </c>
      <c r="G1012" s="733">
        <f>$G$6*$E$1009</f>
        <v>0</v>
      </c>
      <c r="H1012" s="733">
        <f>$H$6*$E$1009</f>
        <v>0</v>
      </c>
      <c r="I1012" s="733">
        <f>$I$6*$E$1009</f>
        <v>0</v>
      </c>
      <c r="J1012" s="733">
        <f>$J$6*$E$1009</f>
        <v>0</v>
      </c>
      <c r="K1012" s="733">
        <f>K$6*$E$1009</f>
        <v>0</v>
      </c>
      <c r="L1012" s="733">
        <f t="shared" ref="L1012:O1012" si="988">L$6*$E$1009</f>
        <v>0</v>
      </c>
      <c r="M1012" s="733">
        <f t="shared" si="988"/>
        <v>0</v>
      </c>
      <c r="N1012" s="733">
        <f t="shared" si="988"/>
        <v>0</v>
      </c>
      <c r="O1012" s="733">
        <f t="shared" si="988"/>
        <v>0</v>
      </c>
      <c r="P1012" s="733">
        <f>$P$6*$E$1009</f>
        <v>0</v>
      </c>
      <c r="Q1012" s="734">
        <f t="shared" ref="Q1012:Q1023" si="989">SUM(F1012:P1012)</f>
        <v>0</v>
      </c>
      <c r="R1012" s="733">
        <f>$R$6*$E$1009</f>
        <v>0</v>
      </c>
      <c r="S1012" s="733">
        <f>$S$6*$E$1009</f>
        <v>0</v>
      </c>
      <c r="T1012" s="733">
        <f ca="1">$T$6*$E$1009</f>
        <v>0</v>
      </c>
      <c r="U1012" s="733">
        <f ca="1">$U$6*$E$1009</f>
        <v>0</v>
      </c>
    </row>
    <row r="1013" spans="2:21" s="119" customFormat="1" ht="19.5" hidden="1" thickBot="1" x14ac:dyDescent="0.3">
      <c r="B1013" s="301"/>
      <c r="C1013" s="119">
        <f t="shared" si="987"/>
        <v>0</v>
      </c>
      <c r="D1013" s="110" t="s">
        <v>92</v>
      </c>
      <c r="E1013" s="76" t="s">
        <v>56</v>
      </c>
      <c r="F1013" s="733">
        <f>$F$7*$E$1009</f>
        <v>0</v>
      </c>
      <c r="G1013" s="733">
        <f>$G$7*$E$1009</f>
        <v>0</v>
      </c>
      <c r="H1013" s="733">
        <f>$H$7*$E$1009</f>
        <v>0</v>
      </c>
      <c r="I1013" s="733">
        <f>$I$7*$E$1009</f>
        <v>0</v>
      </c>
      <c r="J1013" s="733">
        <f>$J$7*$E$1009</f>
        <v>0</v>
      </c>
      <c r="K1013" s="733">
        <f>K$7*$E$1009</f>
        <v>0</v>
      </c>
      <c r="L1013" s="733">
        <f t="shared" ref="L1013:O1013" si="990">L$7*$E$1009</f>
        <v>0</v>
      </c>
      <c r="M1013" s="733">
        <f t="shared" si="990"/>
        <v>0</v>
      </c>
      <c r="N1013" s="733">
        <f t="shared" si="990"/>
        <v>0</v>
      </c>
      <c r="O1013" s="733">
        <f t="shared" si="990"/>
        <v>0</v>
      </c>
      <c r="P1013" s="733">
        <f>$P$7*$E$1009</f>
        <v>0</v>
      </c>
      <c r="Q1013" s="734">
        <f t="shared" si="989"/>
        <v>0</v>
      </c>
      <c r="R1013" s="733">
        <f>$R$7*$E$1009</f>
        <v>0</v>
      </c>
      <c r="S1013" s="733">
        <f>$S$7*$E$1009</f>
        <v>0</v>
      </c>
      <c r="T1013" s="733">
        <f>$T$7*$E$1009</f>
        <v>0</v>
      </c>
      <c r="U1013" s="733">
        <f>$U$7*$E$1009</f>
        <v>0</v>
      </c>
    </row>
    <row r="1014" spans="2:21" s="119" customFormat="1" ht="19.5" hidden="1" thickBot="1" x14ac:dyDescent="0.3">
      <c r="B1014" s="301"/>
      <c r="C1014" s="119">
        <f t="shared" si="987"/>
        <v>0</v>
      </c>
      <c r="D1014" s="110" t="s">
        <v>91</v>
      </c>
      <c r="E1014" s="76" t="s">
        <v>55</v>
      </c>
      <c r="F1014" s="733">
        <f>$F$8*$E$1009</f>
        <v>0</v>
      </c>
      <c r="G1014" s="733">
        <f>$G$8*$E$1009</f>
        <v>0</v>
      </c>
      <c r="H1014" s="733">
        <f>$H$8*$E$1009</f>
        <v>0</v>
      </c>
      <c r="I1014" s="733">
        <f>$I$8*$E$1009</f>
        <v>0</v>
      </c>
      <c r="J1014" s="733">
        <f>$J$8*$E$1009</f>
        <v>0</v>
      </c>
      <c r="K1014" s="733">
        <f>K$8*$E$1009</f>
        <v>0</v>
      </c>
      <c r="L1014" s="733">
        <f t="shared" ref="L1014:O1014" si="991">L$8*$E$1009</f>
        <v>0</v>
      </c>
      <c r="M1014" s="733">
        <f t="shared" si="991"/>
        <v>0</v>
      </c>
      <c r="N1014" s="733">
        <f t="shared" si="991"/>
        <v>0</v>
      </c>
      <c r="O1014" s="733">
        <f t="shared" si="991"/>
        <v>0</v>
      </c>
      <c r="P1014" s="733">
        <f>$P$8*$E$1009</f>
        <v>0</v>
      </c>
      <c r="Q1014" s="734">
        <f t="shared" si="989"/>
        <v>0</v>
      </c>
      <c r="R1014" s="733">
        <f>$R$8*$E$1009</f>
        <v>0</v>
      </c>
      <c r="S1014" s="733">
        <f>$S$8*$E$1009</f>
        <v>0</v>
      </c>
      <c r="T1014" s="733">
        <f ca="1">$T$8*$E$1009</f>
        <v>0</v>
      </c>
      <c r="U1014" s="733">
        <f ca="1">$U$8*$E$1009</f>
        <v>0</v>
      </c>
    </row>
    <row r="1015" spans="2:21" s="119" customFormat="1" ht="19.5" hidden="1" thickBot="1" x14ac:dyDescent="0.3">
      <c r="B1015" s="301"/>
      <c r="C1015" s="119">
        <f t="shared" si="987"/>
        <v>0</v>
      </c>
      <c r="D1015" s="111" t="s">
        <v>117</v>
      </c>
      <c r="E1015" s="76" t="s">
        <v>54</v>
      </c>
      <c r="F1015" s="733">
        <f>$F$9*$E$1009</f>
        <v>0</v>
      </c>
      <c r="G1015" s="733">
        <f>$G$9*$E$1009</f>
        <v>0</v>
      </c>
      <c r="H1015" s="733">
        <f>$H$9*$E$1009</f>
        <v>0</v>
      </c>
      <c r="I1015" s="733">
        <f>$I$9*$E$1009</f>
        <v>0</v>
      </c>
      <c r="J1015" s="733">
        <f>$J$9*$E$1009</f>
        <v>0</v>
      </c>
      <c r="K1015" s="733">
        <f>K$9*$E$1009</f>
        <v>0</v>
      </c>
      <c r="L1015" s="733">
        <f t="shared" ref="L1015:O1015" si="992">L$9*$E$1009</f>
        <v>0</v>
      </c>
      <c r="M1015" s="733">
        <f t="shared" si="992"/>
        <v>0</v>
      </c>
      <c r="N1015" s="733">
        <f t="shared" si="992"/>
        <v>0</v>
      </c>
      <c r="O1015" s="733">
        <f t="shared" si="992"/>
        <v>0</v>
      </c>
      <c r="P1015" s="733">
        <f>$P$9*$E$1009</f>
        <v>0</v>
      </c>
      <c r="Q1015" s="734">
        <f t="shared" si="989"/>
        <v>0</v>
      </c>
      <c r="R1015" s="733">
        <f>$R$9*$E$1009</f>
        <v>0</v>
      </c>
      <c r="S1015" s="733">
        <f>$S$9*$E$1009</f>
        <v>0</v>
      </c>
      <c r="T1015" s="733">
        <f>$T$9*$E$1009</f>
        <v>0</v>
      </c>
      <c r="U1015" s="733">
        <f>$U$9*$E$1009</f>
        <v>0</v>
      </c>
    </row>
    <row r="1016" spans="2:21" s="119" customFormat="1" ht="19.5" hidden="1" thickBot="1" x14ac:dyDescent="0.35">
      <c r="B1016" s="301"/>
      <c r="C1016" s="119">
        <f t="shared" si="987"/>
        <v>0</v>
      </c>
      <c r="D1016" s="112" t="s">
        <v>31</v>
      </c>
      <c r="E1016" s="76"/>
      <c r="F1016" s="750"/>
      <c r="G1016" s="735"/>
      <c r="H1016" s="736"/>
      <c r="I1016" s="735"/>
      <c r="J1016" s="735"/>
      <c r="K1016" s="735"/>
      <c r="L1016" s="735"/>
      <c r="M1016" s="735"/>
      <c r="N1016" s="735"/>
      <c r="O1016" s="735"/>
      <c r="P1016" s="738"/>
      <c r="Q1016" s="734">
        <f t="shared" si="989"/>
        <v>0</v>
      </c>
      <c r="R1016" s="739"/>
      <c r="S1016" s="735"/>
      <c r="T1016" s="740"/>
      <c r="U1016" s="741"/>
    </row>
    <row r="1017" spans="2:21" s="119" customFormat="1" ht="19.5" hidden="1" thickBot="1" x14ac:dyDescent="0.35">
      <c r="B1017" s="301"/>
      <c r="C1017" s="119">
        <f t="shared" si="987"/>
        <v>0</v>
      </c>
      <c r="D1017" s="113" t="s">
        <v>118</v>
      </c>
      <c r="E1017" s="76" t="s">
        <v>53</v>
      </c>
      <c r="F1017" s="733">
        <f>$F$11*$E$1009</f>
        <v>0</v>
      </c>
      <c r="G1017" s="733">
        <f>$G$11*$E$1009</f>
        <v>0</v>
      </c>
      <c r="H1017" s="733">
        <f>$H$11*$E$1009</f>
        <v>0</v>
      </c>
      <c r="I1017" s="733">
        <f>$I$11*$E$1009</f>
        <v>0</v>
      </c>
      <c r="J1017" s="733">
        <f>$J$11*$E$1009</f>
        <v>0</v>
      </c>
      <c r="K1017" s="733">
        <f>K$11*$E$1009</f>
        <v>0</v>
      </c>
      <c r="L1017" s="733">
        <f t="shared" ref="L1017:O1017" si="993">L$11*$E$1009</f>
        <v>0</v>
      </c>
      <c r="M1017" s="733">
        <f t="shared" si="993"/>
        <v>0</v>
      </c>
      <c r="N1017" s="733">
        <f t="shared" si="993"/>
        <v>0</v>
      </c>
      <c r="O1017" s="733">
        <f t="shared" si="993"/>
        <v>0</v>
      </c>
      <c r="P1017" s="733">
        <f>$P$11*$E$1009</f>
        <v>0</v>
      </c>
      <c r="Q1017" s="734">
        <f t="shared" si="989"/>
        <v>0</v>
      </c>
      <c r="R1017" s="733">
        <f>$R$11*$E$1009</f>
        <v>0</v>
      </c>
      <c r="S1017" s="733">
        <f>$S$11*$E$1009</f>
        <v>0</v>
      </c>
      <c r="T1017" s="733">
        <f>$T$11*$E$1009</f>
        <v>0</v>
      </c>
      <c r="U1017" s="733">
        <f>$U$11*$E$1009</f>
        <v>0</v>
      </c>
    </row>
    <row r="1018" spans="2:21" s="119" customFormat="1" ht="19.5" hidden="1" thickBot="1" x14ac:dyDescent="0.35">
      <c r="B1018" s="301"/>
      <c r="C1018" s="119">
        <f t="shared" si="987"/>
        <v>0</v>
      </c>
      <c r="D1018" s="113" t="s">
        <v>119</v>
      </c>
      <c r="E1018" s="76" t="s">
        <v>52</v>
      </c>
      <c r="F1018" s="733">
        <f>$F$12*$E$1009</f>
        <v>0</v>
      </c>
      <c r="G1018" s="733">
        <f>$G$12*$E$1009</f>
        <v>0</v>
      </c>
      <c r="H1018" s="733">
        <f>$H$12*$E$1009</f>
        <v>0</v>
      </c>
      <c r="I1018" s="733">
        <f>$I$12*$E$1009</f>
        <v>0</v>
      </c>
      <c r="J1018" s="733">
        <f>$J$12*$E$1009</f>
        <v>0</v>
      </c>
      <c r="K1018" s="733">
        <f>K$12*$E$1009</f>
        <v>0</v>
      </c>
      <c r="L1018" s="733">
        <f t="shared" ref="L1018:O1018" si="994">L$12*$E$1009</f>
        <v>0</v>
      </c>
      <c r="M1018" s="733">
        <f t="shared" si="994"/>
        <v>0</v>
      </c>
      <c r="N1018" s="733">
        <f t="shared" si="994"/>
        <v>0</v>
      </c>
      <c r="O1018" s="733">
        <f t="shared" si="994"/>
        <v>0</v>
      </c>
      <c r="P1018" s="733">
        <f>$P$12*$E$1009</f>
        <v>0</v>
      </c>
      <c r="Q1018" s="734">
        <f t="shared" si="989"/>
        <v>0</v>
      </c>
      <c r="R1018" s="733">
        <f>$R$12*$E$1009</f>
        <v>0</v>
      </c>
      <c r="S1018" s="733">
        <f>$S$12*$E$1009</f>
        <v>0</v>
      </c>
      <c r="T1018" s="733">
        <f>$T$12*$E$1009</f>
        <v>0</v>
      </c>
      <c r="U1018" s="733">
        <f>$U$12*$E$1009</f>
        <v>0</v>
      </c>
    </row>
    <row r="1019" spans="2:21" s="119" customFormat="1" ht="19.5" hidden="1" thickBot="1" x14ac:dyDescent="0.35">
      <c r="B1019" s="301"/>
      <c r="C1019" s="119">
        <f t="shared" si="987"/>
        <v>0</v>
      </c>
      <c r="D1019" s="113" t="s">
        <v>120</v>
      </c>
      <c r="E1019" s="76" t="s">
        <v>51</v>
      </c>
      <c r="F1019" s="733">
        <f>$F$13*$E$1009</f>
        <v>0</v>
      </c>
      <c r="G1019" s="733">
        <f>$G$13*$E$1009</f>
        <v>0</v>
      </c>
      <c r="H1019" s="733">
        <f>$H$13*$E$1009</f>
        <v>0</v>
      </c>
      <c r="I1019" s="733">
        <f>$I$13*$E$1009</f>
        <v>0</v>
      </c>
      <c r="J1019" s="733">
        <f>$J$13*$E$1009</f>
        <v>0</v>
      </c>
      <c r="K1019" s="733">
        <f>K$13*$E$1009</f>
        <v>0</v>
      </c>
      <c r="L1019" s="733">
        <f t="shared" ref="L1019:O1019" si="995">L$13*$E$1009</f>
        <v>0</v>
      </c>
      <c r="M1019" s="733">
        <f t="shared" si="995"/>
        <v>0</v>
      </c>
      <c r="N1019" s="733">
        <f t="shared" si="995"/>
        <v>0</v>
      </c>
      <c r="O1019" s="733">
        <f t="shared" si="995"/>
        <v>0</v>
      </c>
      <c r="P1019" s="733">
        <f>$P$13*$E$1009</f>
        <v>0</v>
      </c>
      <c r="Q1019" s="734">
        <f t="shared" si="989"/>
        <v>0</v>
      </c>
      <c r="R1019" s="733">
        <f>$R$13*$E$1009</f>
        <v>0</v>
      </c>
      <c r="S1019" s="733">
        <f>$S$13*$E$1009</f>
        <v>0</v>
      </c>
      <c r="T1019" s="733">
        <f>$T$13*$E$1009</f>
        <v>0</v>
      </c>
      <c r="U1019" s="733">
        <f>$U$13*$E$1009</f>
        <v>0</v>
      </c>
    </row>
    <row r="1020" spans="2:21" s="119" customFormat="1" ht="19.5" hidden="1" thickBot="1" x14ac:dyDescent="0.35">
      <c r="B1020" s="301"/>
      <c r="C1020" s="119">
        <f t="shared" si="987"/>
        <v>0</v>
      </c>
      <c r="D1020" s="113" t="s">
        <v>121</v>
      </c>
      <c r="E1020" s="76" t="s">
        <v>50</v>
      </c>
      <c r="F1020" s="733">
        <f>$F$14*$E$1009</f>
        <v>0</v>
      </c>
      <c r="G1020" s="733">
        <f>$G$14*$E$1009</f>
        <v>0</v>
      </c>
      <c r="H1020" s="733">
        <f>$H$14*$E$1009</f>
        <v>0</v>
      </c>
      <c r="I1020" s="733">
        <f>$I$14*$E$1009</f>
        <v>0</v>
      </c>
      <c r="J1020" s="733">
        <f>$J$14*$E$1009</f>
        <v>0</v>
      </c>
      <c r="K1020" s="733">
        <f>K$14*$E$1009</f>
        <v>0</v>
      </c>
      <c r="L1020" s="733">
        <f t="shared" ref="L1020:O1020" si="996">L$14*$E$1009</f>
        <v>0</v>
      </c>
      <c r="M1020" s="733">
        <f t="shared" si="996"/>
        <v>0</v>
      </c>
      <c r="N1020" s="733">
        <f t="shared" si="996"/>
        <v>0</v>
      </c>
      <c r="O1020" s="733">
        <f t="shared" si="996"/>
        <v>0</v>
      </c>
      <c r="P1020" s="733">
        <f>$P$14*$E$1009</f>
        <v>0</v>
      </c>
      <c r="Q1020" s="734">
        <f t="shared" si="989"/>
        <v>0</v>
      </c>
      <c r="R1020" s="733">
        <f>$R$14*$E$1009</f>
        <v>0</v>
      </c>
      <c r="S1020" s="733">
        <f>$S$14*$E$1009</f>
        <v>0</v>
      </c>
      <c r="T1020" s="733">
        <f>$T$14*$E$1009</f>
        <v>0</v>
      </c>
      <c r="U1020" s="733">
        <f>$U$14*$E$1009</f>
        <v>0</v>
      </c>
    </row>
    <row r="1021" spans="2:21" s="119" customFormat="1" ht="19.5" hidden="1" thickBot="1" x14ac:dyDescent="0.35">
      <c r="B1021" s="301"/>
      <c r="C1021" s="119">
        <f t="shared" si="987"/>
        <v>0</v>
      </c>
      <c r="D1021" s="113" t="s">
        <v>122</v>
      </c>
      <c r="E1021" s="76" t="s">
        <v>49</v>
      </c>
      <c r="F1021" s="733">
        <f>$F$15*$E$1009</f>
        <v>0</v>
      </c>
      <c r="G1021" s="733">
        <f>$G$15*$E$1009</f>
        <v>0</v>
      </c>
      <c r="H1021" s="733">
        <f>$H$15*$E$1009</f>
        <v>0</v>
      </c>
      <c r="I1021" s="733">
        <f>$I$15*$E$1009</f>
        <v>0</v>
      </c>
      <c r="J1021" s="733">
        <f>$J$15*$E$1009</f>
        <v>0</v>
      </c>
      <c r="K1021" s="733">
        <f>K$15*$E$1009</f>
        <v>0</v>
      </c>
      <c r="L1021" s="733">
        <f t="shared" ref="L1021:O1021" si="997">L$15*$E$1009</f>
        <v>0</v>
      </c>
      <c r="M1021" s="733">
        <f t="shared" si="997"/>
        <v>0</v>
      </c>
      <c r="N1021" s="733">
        <f t="shared" si="997"/>
        <v>0</v>
      </c>
      <c r="O1021" s="733">
        <f t="shared" si="997"/>
        <v>0</v>
      </c>
      <c r="P1021" s="733">
        <f>$P$15*$E$1009</f>
        <v>0</v>
      </c>
      <c r="Q1021" s="734">
        <f t="shared" si="989"/>
        <v>0</v>
      </c>
      <c r="R1021" s="733">
        <f>$R$15*$E$1009</f>
        <v>0</v>
      </c>
      <c r="S1021" s="733">
        <f>$S$15*$E$1009</f>
        <v>0</v>
      </c>
      <c r="T1021" s="733">
        <f>$T$15*$E$1009</f>
        <v>0</v>
      </c>
      <c r="U1021" s="733">
        <f>$U$15*$E$1009</f>
        <v>0</v>
      </c>
    </row>
    <row r="1022" spans="2:21" s="119" customFormat="1" ht="19.5" hidden="1" thickBot="1" x14ac:dyDescent="0.35">
      <c r="B1022" s="301"/>
      <c r="C1022" s="119">
        <f t="shared" si="987"/>
        <v>0</v>
      </c>
      <c r="D1022" s="113" t="s">
        <v>123</v>
      </c>
      <c r="E1022" s="76" t="s">
        <v>47</v>
      </c>
      <c r="F1022" s="733">
        <f>$F$16*$E$1009</f>
        <v>0</v>
      </c>
      <c r="G1022" s="733">
        <f>$G$16*$E$1009</f>
        <v>0</v>
      </c>
      <c r="H1022" s="733">
        <f>$H$16*$E$1009</f>
        <v>0</v>
      </c>
      <c r="I1022" s="733">
        <f>$I$16*$E$1009</f>
        <v>0</v>
      </c>
      <c r="J1022" s="733">
        <f>$J$16*$E$1009</f>
        <v>0</v>
      </c>
      <c r="K1022" s="733">
        <f>K$16*$E$1009</f>
        <v>0</v>
      </c>
      <c r="L1022" s="733">
        <f t="shared" ref="L1022:O1022" si="998">L$16*$E$1009</f>
        <v>0</v>
      </c>
      <c r="M1022" s="733">
        <f t="shared" si="998"/>
        <v>0</v>
      </c>
      <c r="N1022" s="733">
        <f t="shared" si="998"/>
        <v>0</v>
      </c>
      <c r="O1022" s="733">
        <f t="shared" si="998"/>
        <v>0</v>
      </c>
      <c r="P1022" s="733">
        <f>$P$16*$E$1009</f>
        <v>0</v>
      </c>
      <c r="Q1022" s="734">
        <f t="shared" si="989"/>
        <v>0</v>
      </c>
      <c r="R1022" s="733">
        <f>$R$16*$E$1009</f>
        <v>0</v>
      </c>
      <c r="S1022" s="733">
        <f>$S$16*$E$1009</f>
        <v>0</v>
      </c>
      <c r="T1022" s="733">
        <f>$T$16*$E$1009</f>
        <v>0</v>
      </c>
      <c r="U1022" s="733">
        <f>$U$16*$E$1009</f>
        <v>0</v>
      </c>
    </row>
    <row r="1023" spans="2:21" s="119" customFormat="1" ht="19.5" hidden="1" thickBot="1" x14ac:dyDescent="0.35">
      <c r="B1023" s="301"/>
      <c r="C1023" s="119">
        <f t="shared" si="987"/>
        <v>0</v>
      </c>
      <c r="D1023" s="114" t="s">
        <v>16</v>
      </c>
      <c r="E1023" s="70" t="s">
        <v>77</v>
      </c>
      <c r="F1023" s="733">
        <f>$F$17*$E$1009</f>
        <v>0</v>
      </c>
      <c r="G1023" s="733">
        <f>$G$17*$E$1009</f>
        <v>0</v>
      </c>
      <c r="H1023" s="733">
        <f>$H$17*$E$1009</f>
        <v>0</v>
      </c>
      <c r="I1023" s="733">
        <f>$I$17*$E$1009</f>
        <v>0</v>
      </c>
      <c r="J1023" s="733">
        <f>$J$17*$E$1009</f>
        <v>0</v>
      </c>
      <c r="K1023" s="733">
        <f>K$17*$E$1009</f>
        <v>0</v>
      </c>
      <c r="L1023" s="733">
        <f t="shared" ref="L1023:O1023" si="999">L$17*$E$1009</f>
        <v>0</v>
      </c>
      <c r="M1023" s="733">
        <f t="shared" si="999"/>
        <v>0</v>
      </c>
      <c r="N1023" s="733">
        <f t="shared" si="999"/>
        <v>0</v>
      </c>
      <c r="O1023" s="733">
        <f t="shared" si="999"/>
        <v>0</v>
      </c>
      <c r="P1023" s="733">
        <f>$P$17*$E$1009</f>
        <v>0</v>
      </c>
      <c r="Q1023" s="734">
        <f t="shared" si="989"/>
        <v>0</v>
      </c>
      <c r="R1023" s="733">
        <f>$R$17*$E$1009</f>
        <v>0</v>
      </c>
      <c r="S1023" s="733">
        <f>$S$17*$E$1009</f>
        <v>0</v>
      </c>
      <c r="T1023" s="733">
        <f ca="1">$T$17*$E$1009</f>
        <v>0</v>
      </c>
      <c r="U1023" s="733">
        <f ca="1">$U$17*$E$1009</f>
        <v>0</v>
      </c>
    </row>
    <row r="1024" spans="2:21" s="119" customFormat="1" ht="19.5" hidden="1" thickBot="1" x14ac:dyDescent="0.35">
      <c r="B1024" s="301"/>
      <c r="C1024" s="119">
        <f t="shared" si="987"/>
        <v>0</v>
      </c>
      <c r="D1024" s="115" t="s">
        <v>124</v>
      </c>
      <c r="E1024" s="116" t="s">
        <v>78</v>
      </c>
      <c r="F1024" s="742">
        <f t="shared" ref="F1024:U1024" si="1000">SUBTOTAL(9,F1012:F1023)</f>
        <v>0</v>
      </c>
      <c r="G1024" s="742">
        <f>SUBTOTAL(9,G1012:G1023)</f>
        <v>0</v>
      </c>
      <c r="H1024" s="742">
        <f>SUBTOTAL(9,H1012:H1023)</f>
        <v>0</v>
      </c>
      <c r="I1024" s="742">
        <f>SUBTOTAL(9,I1012:I1023)</f>
        <v>0</v>
      </c>
      <c r="J1024" s="742">
        <f>SUBTOTAL(9,J1012:J1023)</f>
        <v>0</v>
      </c>
      <c r="K1024" s="742">
        <f>SUBTOTAL(9,K1012:K1023)</f>
        <v>0</v>
      </c>
      <c r="L1024" s="742">
        <f t="shared" ref="L1024:O1024" si="1001">SUBTOTAL(9,L1012:L1023)</f>
        <v>0</v>
      </c>
      <c r="M1024" s="742">
        <f t="shared" si="1001"/>
        <v>0</v>
      </c>
      <c r="N1024" s="742">
        <f t="shared" si="1001"/>
        <v>0</v>
      </c>
      <c r="O1024" s="742">
        <f t="shared" si="1001"/>
        <v>0</v>
      </c>
      <c r="P1024" s="742">
        <f t="shared" si="1000"/>
        <v>0</v>
      </c>
      <c r="Q1024" s="743">
        <f>SUBTOTAL(9,Q1012:Q1023)</f>
        <v>0</v>
      </c>
      <c r="R1024" s="742">
        <f t="shared" si="1000"/>
        <v>0</v>
      </c>
      <c r="S1024" s="742">
        <f t="shared" si="1000"/>
        <v>0</v>
      </c>
      <c r="T1024" s="742">
        <f t="shared" si="1000"/>
        <v>0</v>
      </c>
      <c r="U1024" s="742">
        <f t="shared" si="1000"/>
        <v>0</v>
      </c>
    </row>
    <row r="1025" spans="2:21" s="119" customFormat="1" ht="19.5" hidden="1" thickBot="1" x14ac:dyDescent="0.3">
      <c r="B1025" s="340"/>
      <c r="D1025" s="117"/>
      <c r="E1025" s="117"/>
      <c r="F1025" s="118"/>
      <c r="G1025" s="118"/>
      <c r="I1025" s="118"/>
      <c r="J1025" s="118"/>
      <c r="K1025" s="118"/>
      <c r="L1025" s="118"/>
      <c r="O1025" s="118"/>
      <c r="Q1025" s="120"/>
      <c r="R1025" s="117"/>
      <c r="S1025" s="118"/>
      <c r="U1025" s="118"/>
    </row>
    <row r="1026" spans="2:21" ht="75" x14ac:dyDescent="0.25">
      <c r="B1026" s="790"/>
      <c r="C1026" s="117">
        <f>IF($E1026&gt;0,1,0)</f>
        <v>1</v>
      </c>
      <c r="D1026" s="96" t="str">
        <f>A63</f>
        <v>Westchester</v>
      </c>
      <c r="E1026" s="166">
        <f>IFERROR(SUMIF(A:A,D1026,B:B),0)</f>
        <v>3.234950600513449E-2</v>
      </c>
      <c r="F1026" s="98" t="s">
        <v>356</v>
      </c>
      <c r="G1026" s="98" t="s">
        <v>373</v>
      </c>
      <c r="H1026" s="98" t="s">
        <v>358</v>
      </c>
      <c r="I1026" s="98" t="s">
        <v>109</v>
      </c>
      <c r="J1026" s="98" t="s">
        <v>111</v>
      </c>
      <c r="K1026" s="98" t="s">
        <v>469</v>
      </c>
      <c r="L1026" s="98" t="s">
        <v>470</v>
      </c>
      <c r="M1026" s="98" t="s">
        <v>357</v>
      </c>
      <c r="N1026" s="509" t="s">
        <v>471</v>
      </c>
      <c r="O1026" s="98" t="s">
        <v>472</v>
      </c>
      <c r="P1026" s="98" t="s">
        <v>110</v>
      </c>
      <c r="Q1026" s="99" t="s">
        <v>116</v>
      </c>
      <c r="R1026" s="98" t="s">
        <v>112</v>
      </c>
      <c r="S1026" s="98" t="s">
        <v>113</v>
      </c>
      <c r="T1026" s="98" t="s">
        <v>114</v>
      </c>
      <c r="U1026" s="98" t="s">
        <v>115</v>
      </c>
    </row>
    <row r="1027" spans="2:21" ht="18.75" x14ac:dyDescent="0.25">
      <c r="B1027" s="790"/>
      <c r="C1027" s="117">
        <f>C1026</f>
        <v>1</v>
      </c>
      <c r="D1027" s="101"/>
      <c r="E1027" s="102"/>
      <c r="F1027" s="84" t="s">
        <v>57</v>
      </c>
      <c r="G1027" s="84" t="s">
        <v>56</v>
      </c>
      <c r="H1027" s="84" t="s">
        <v>55</v>
      </c>
      <c r="I1027" s="84" t="s">
        <v>54</v>
      </c>
      <c r="J1027" s="84" t="s">
        <v>53</v>
      </c>
      <c r="K1027" s="84" t="s">
        <v>52</v>
      </c>
      <c r="L1027" s="84" t="s">
        <v>51</v>
      </c>
      <c r="M1027" s="84" t="s">
        <v>50</v>
      </c>
      <c r="N1027" s="84" t="s">
        <v>49</v>
      </c>
      <c r="O1027" s="84" t="s">
        <v>47</v>
      </c>
      <c r="P1027" s="84" t="s">
        <v>77</v>
      </c>
      <c r="Q1027" s="83" t="s">
        <v>78</v>
      </c>
      <c r="R1027" s="84" t="s">
        <v>79</v>
      </c>
      <c r="S1027" s="84" t="s">
        <v>81</v>
      </c>
      <c r="T1027" s="84" t="s">
        <v>83</v>
      </c>
      <c r="U1027" s="84" t="s">
        <v>85</v>
      </c>
    </row>
    <row r="1028" spans="2:21" ht="18.75" x14ac:dyDescent="0.25">
      <c r="B1028" s="790"/>
      <c r="C1028" s="117">
        <f t="shared" ref="C1028:C1041" si="1002">C1027</f>
        <v>1</v>
      </c>
      <c r="D1028" s="103" t="s">
        <v>26</v>
      </c>
      <c r="E1028" s="104"/>
      <c r="F1028" s="745"/>
      <c r="G1028" s="745"/>
      <c r="H1028" s="784"/>
      <c r="I1028" s="745"/>
      <c r="J1028" s="745"/>
      <c r="K1028" s="745"/>
      <c r="L1028" s="745"/>
      <c r="M1028" s="784"/>
      <c r="N1028" s="784"/>
      <c r="O1028" s="745"/>
      <c r="P1028" s="784"/>
      <c r="Q1028" s="747"/>
      <c r="R1028" s="748"/>
      <c r="S1028" s="745"/>
      <c r="T1028" s="784"/>
      <c r="U1028" s="749"/>
    </row>
    <row r="1029" spans="2:21" ht="18.75" x14ac:dyDescent="0.25">
      <c r="B1029" s="790"/>
      <c r="C1029" s="117">
        <f t="shared" si="1002"/>
        <v>1</v>
      </c>
      <c r="D1029" s="763" t="s">
        <v>93</v>
      </c>
      <c r="E1029" s="84" t="s">
        <v>57</v>
      </c>
      <c r="F1029" s="733">
        <f>$F$6*$E$1026</f>
        <v>4083593.8863256616</v>
      </c>
      <c r="G1029" s="733">
        <f>$G$6*$E$1026</f>
        <v>282833.20905182022</v>
      </c>
      <c r="H1029" s="733">
        <f>$H$6*$E$1026</f>
        <v>634.14283728781072</v>
      </c>
      <c r="I1029" s="733">
        <f>$I$6*$E$1026</f>
        <v>101600.13362371334</v>
      </c>
      <c r="J1029" s="733">
        <f>$J$6*$E$1026</f>
        <v>74124.092991064652</v>
      </c>
      <c r="K1029" s="733">
        <f>K$6*$E$1026</f>
        <v>3987.8403869696067</v>
      </c>
      <c r="L1029" s="733">
        <f t="shared" ref="L1029:P1029" si="1003">L$6*$E$1026</f>
        <v>0</v>
      </c>
      <c r="M1029" s="733">
        <f t="shared" si="1003"/>
        <v>2896.7429851309689</v>
      </c>
      <c r="N1029" s="733">
        <f t="shared" si="1003"/>
        <v>0</v>
      </c>
      <c r="O1029" s="733">
        <f t="shared" si="1003"/>
        <v>18919.791685306896</v>
      </c>
      <c r="P1029" s="733">
        <f t="shared" si="1003"/>
        <v>0</v>
      </c>
      <c r="Q1029" s="734">
        <f t="shared" ref="Q1029:Q1040" si="1004">SUM(F1029:P1029)</f>
        <v>4568589.839886955</v>
      </c>
      <c r="R1029" s="733">
        <f>$R$6*$E$1026</f>
        <v>0</v>
      </c>
      <c r="S1029" s="733">
        <f>$S$6*$E$1026</f>
        <v>348899.80419233767</v>
      </c>
      <c r="T1029" s="733">
        <f ca="1">$T$6*$E$1026</f>
        <v>143835.88363306667</v>
      </c>
      <c r="U1029" s="733">
        <f ca="1">$U$6*$E$1026</f>
        <v>107739.57823312462</v>
      </c>
    </row>
    <row r="1030" spans="2:21" ht="18.75" x14ac:dyDescent="0.25">
      <c r="B1030" s="790"/>
      <c r="C1030" s="117">
        <f t="shared" si="1002"/>
        <v>1</v>
      </c>
      <c r="D1030" s="765" t="s">
        <v>92</v>
      </c>
      <c r="E1030" s="84" t="s">
        <v>56</v>
      </c>
      <c r="F1030" s="733">
        <f>$F$7*$E$1026</f>
        <v>0</v>
      </c>
      <c r="G1030" s="733">
        <f>$G$7*$E$1026</f>
        <v>0</v>
      </c>
      <c r="H1030" s="733">
        <f>$H$7*$E$1026</f>
        <v>0</v>
      </c>
      <c r="I1030" s="733">
        <f>$I$7*$E$1026</f>
        <v>0</v>
      </c>
      <c r="J1030" s="733">
        <f>$J$7*$E$1026</f>
        <v>0</v>
      </c>
      <c r="K1030" s="733">
        <f>K$7*$E$1026</f>
        <v>0</v>
      </c>
      <c r="L1030" s="733">
        <f t="shared" ref="L1030:P1030" si="1005">L$7*$E$1026</f>
        <v>0</v>
      </c>
      <c r="M1030" s="733">
        <f t="shared" si="1005"/>
        <v>0</v>
      </c>
      <c r="N1030" s="733">
        <f t="shared" si="1005"/>
        <v>0</v>
      </c>
      <c r="O1030" s="733">
        <f t="shared" si="1005"/>
        <v>0</v>
      </c>
      <c r="P1030" s="733">
        <f t="shared" si="1005"/>
        <v>0</v>
      </c>
      <c r="Q1030" s="734">
        <f t="shared" si="1004"/>
        <v>0</v>
      </c>
      <c r="R1030" s="733">
        <f>$R$7*$E$1026</f>
        <v>0</v>
      </c>
      <c r="S1030" s="733">
        <f>$S$7*$E$1026</f>
        <v>0</v>
      </c>
      <c r="T1030" s="733">
        <f>$T$7*$E$1026</f>
        <v>0</v>
      </c>
      <c r="U1030" s="733">
        <f>$U$7*$E$1026</f>
        <v>0</v>
      </c>
    </row>
    <row r="1031" spans="2:21" ht="18.75" x14ac:dyDescent="0.25">
      <c r="B1031" s="790"/>
      <c r="C1031" s="117">
        <f t="shared" si="1002"/>
        <v>1</v>
      </c>
      <c r="D1031" s="765" t="s">
        <v>91</v>
      </c>
      <c r="E1031" s="84" t="s">
        <v>55</v>
      </c>
      <c r="F1031" s="733">
        <f>$F$8*$E$1026</f>
        <v>36347.581452309059</v>
      </c>
      <c r="G1031" s="733">
        <f>$G$8*$E$1026</f>
        <v>0</v>
      </c>
      <c r="H1031" s="733">
        <f>$H$8*$E$1026</f>
        <v>0</v>
      </c>
      <c r="I1031" s="733">
        <f>$I$8*$E$1026</f>
        <v>607.36197524640011</v>
      </c>
      <c r="J1031" s="733">
        <f>$J$8*$E$1026</f>
        <v>0</v>
      </c>
      <c r="K1031" s="733">
        <f>K$8*$E$1026</f>
        <v>0</v>
      </c>
      <c r="L1031" s="733">
        <f t="shared" ref="L1031:P1031" si="1006">L$8*$E$1026</f>
        <v>0</v>
      </c>
      <c r="M1031" s="733">
        <f t="shared" si="1006"/>
        <v>0</v>
      </c>
      <c r="N1031" s="733">
        <f t="shared" si="1006"/>
        <v>0</v>
      </c>
      <c r="O1031" s="733">
        <f t="shared" si="1006"/>
        <v>1090.8253424931349</v>
      </c>
      <c r="P1031" s="733">
        <f t="shared" si="1006"/>
        <v>0</v>
      </c>
      <c r="Q1031" s="734">
        <f t="shared" si="1004"/>
        <v>38045.768770048591</v>
      </c>
      <c r="R1031" s="733">
        <f>$R$8*$E$1026</f>
        <v>0</v>
      </c>
      <c r="S1031" s="733">
        <f>$S$8*$E$1026</f>
        <v>1098.3233109950049</v>
      </c>
      <c r="T1031" s="733">
        <f ca="1">$T$8*$E$1026</f>
        <v>449.44445813195449</v>
      </c>
      <c r="U1031" s="733">
        <f ca="1">$U$8*$E$1026</f>
        <v>44.836280247964645</v>
      </c>
    </row>
    <row r="1032" spans="2:21" ht="18.75" x14ac:dyDescent="0.25">
      <c r="B1032" s="790"/>
      <c r="C1032" s="117">
        <f t="shared" si="1002"/>
        <v>1</v>
      </c>
      <c r="D1032" s="766" t="s">
        <v>117</v>
      </c>
      <c r="E1032" s="84" t="s">
        <v>54</v>
      </c>
      <c r="F1032" s="733">
        <f>$F$9*$E$1026</f>
        <v>0</v>
      </c>
      <c r="G1032" s="733">
        <f>$G$9*$E$1026</f>
        <v>0</v>
      </c>
      <c r="H1032" s="733">
        <f>$H$9*$E$1026</f>
        <v>0</v>
      </c>
      <c r="I1032" s="733">
        <f>$I$9*$E$1026</f>
        <v>0</v>
      </c>
      <c r="J1032" s="733">
        <f>$J$9*$E$1026</f>
        <v>0</v>
      </c>
      <c r="K1032" s="733">
        <f>K$9*$E$1026</f>
        <v>0</v>
      </c>
      <c r="L1032" s="733">
        <f t="shared" ref="L1032:P1032" si="1007">L$9*$E$1026</f>
        <v>0</v>
      </c>
      <c r="M1032" s="733">
        <f t="shared" si="1007"/>
        <v>0</v>
      </c>
      <c r="N1032" s="733">
        <f t="shared" si="1007"/>
        <v>0</v>
      </c>
      <c r="O1032" s="733">
        <f t="shared" si="1007"/>
        <v>0</v>
      </c>
      <c r="P1032" s="733">
        <f t="shared" si="1007"/>
        <v>0</v>
      </c>
      <c r="Q1032" s="734">
        <f t="shared" si="1004"/>
        <v>0</v>
      </c>
      <c r="R1032" s="733">
        <f>$R$9*$E$1026</f>
        <v>0</v>
      </c>
      <c r="S1032" s="733">
        <f>$S$9*$E$1026</f>
        <v>0</v>
      </c>
      <c r="T1032" s="733">
        <f>$T$9*$E$1026</f>
        <v>0</v>
      </c>
      <c r="U1032" s="733">
        <f>$U$9*$E$1026</f>
        <v>0</v>
      </c>
    </row>
    <row r="1033" spans="2:21" ht="18.75" x14ac:dyDescent="0.25">
      <c r="B1033" s="790"/>
      <c r="C1033" s="117">
        <f t="shared" si="1002"/>
        <v>1</v>
      </c>
      <c r="D1033" s="112" t="s">
        <v>31</v>
      </c>
      <c r="E1033" s="84"/>
      <c r="F1033" s="767"/>
      <c r="G1033" s="768"/>
      <c r="H1033" s="769"/>
      <c r="I1033" s="768"/>
      <c r="J1033" s="768"/>
      <c r="K1033" s="768"/>
      <c r="L1033" s="768"/>
      <c r="M1033" s="768"/>
      <c r="N1033" s="768"/>
      <c r="O1033" s="768"/>
      <c r="P1033" s="768"/>
      <c r="Q1033" s="734">
        <f t="shared" si="1004"/>
        <v>0</v>
      </c>
      <c r="R1033" s="772"/>
      <c r="S1033" s="768"/>
      <c r="T1033" s="773"/>
      <c r="U1033" s="774"/>
    </row>
    <row r="1034" spans="2:21" ht="18.75" x14ac:dyDescent="0.25">
      <c r="B1034" s="790"/>
      <c r="C1034" s="117">
        <f t="shared" si="1002"/>
        <v>1</v>
      </c>
      <c r="D1034" s="775" t="s">
        <v>118</v>
      </c>
      <c r="E1034" s="84" t="s">
        <v>53</v>
      </c>
      <c r="F1034" s="733">
        <f>$F$11*$E$1026</f>
        <v>0</v>
      </c>
      <c r="G1034" s="733">
        <f>$G$11*$E$1026</f>
        <v>0</v>
      </c>
      <c r="H1034" s="733">
        <f>$H$11*$E$1026</f>
        <v>0</v>
      </c>
      <c r="I1034" s="733">
        <f>$I$11*$E$1026</f>
        <v>0</v>
      </c>
      <c r="J1034" s="733">
        <f>$J$11*$E$1026</f>
        <v>0</v>
      </c>
      <c r="K1034" s="733">
        <f>K$11*$E$1026</f>
        <v>0</v>
      </c>
      <c r="L1034" s="733">
        <f t="shared" ref="L1034:P1034" si="1008">L$11*$E$1026</f>
        <v>0</v>
      </c>
      <c r="M1034" s="733">
        <f t="shared" si="1008"/>
        <v>0</v>
      </c>
      <c r="N1034" s="733">
        <f t="shared" si="1008"/>
        <v>0</v>
      </c>
      <c r="O1034" s="733">
        <f t="shared" si="1008"/>
        <v>0</v>
      </c>
      <c r="P1034" s="733">
        <f t="shared" si="1008"/>
        <v>0</v>
      </c>
      <c r="Q1034" s="734">
        <f t="shared" si="1004"/>
        <v>0</v>
      </c>
      <c r="R1034" s="733">
        <f>$R$11*$E$1026</f>
        <v>0</v>
      </c>
      <c r="S1034" s="733">
        <f>$S$11*$E$1026</f>
        <v>0</v>
      </c>
      <c r="T1034" s="733">
        <f>$T$11*$E$1026</f>
        <v>0</v>
      </c>
      <c r="U1034" s="733">
        <f>$U$11*$E$1026</f>
        <v>0</v>
      </c>
    </row>
    <row r="1035" spans="2:21" ht="18.75" x14ac:dyDescent="0.25">
      <c r="B1035" s="790"/>
      <c r="C1035" s="117">
        <f t="shared" si="1002"/>
        <v>1</v>
      </c>
      <c r="D1035" s="775" t="s">
        <v>119</v>
      </c>
      <c r="E1035" s="84" t="s">
        <v>52</v>
      </c>
      <c r="F1035" s="733">
        <f>$F$12*$E$1026</f>
        <v>0</v>
      </c>
      <c r="G1035" s="733">
        <f>$G$12*$E$1026</f>
        <v>0</v>
      </c>
      <c r="H1035" s="733">
        <f>$H$12*$E$1026</f>
        <v>0</v>
      </c>
      <c r="I1035" s="733">
        <f>$I$12*$E$1026</f>
        <v>0</v>
      </c>
      <c r="J1035" s="733">
        <f>$J$12*$E$1026</f>
        <v>0</v>
      </c>
      <c r="K1035" s="733">
        <f>K$12*$E$1026</f>
        <v>0</v>
      </c>
      <c r="L1035" s="733">
        <f t="shared" ref="L1035:P1035" si="1009">L$12*$E$1026</f>
        <v>0</v>
      </c>
      <c r="M1035" s="733">
        <f t="shared" si="1009"/>
        <v>0</v>
      </c>
      <c r="N1035" s="733">
        <f t="shared" si="1009"/>
        <v>0</v>
      </c>
      <c r="O1035" s="733">
        <f t="shared" si="1009"/>
        <v>0</v>
      </c>
      <c r="P1035" s="733">
        <f t="shared" si="1009"/>
        <v>0</v>
      </c>
      <c r="Q1035" s="734">
        <f t="shared" si="1004"/>
        <v>0</v>
      </c>
      <c r="R1035" s="733">
        <f>$R$12*$E$1026</f>
        <v>0</v>
      </c>
      <c r="S1035" s="733">
        <f>$S$12*$E$1026</f>
        <v>0</v>
      </c>
      <c r="T1035" s="733">
        <f>$T$12*$E$1026</f>
        <v>0</v>
      </c>
      <c r="U1035" s="733">
        <f>$U$12*$E$1026</f>
        <v>0</v>
      </c>
    </row>
    <row r="1036" spans="2:21" ht="18.75" x14ac:dyDescent="0.25">
      <c r="B1036" s="790"/>
      <c r="C1036" s="117">
        <f t="shared" si="1002"/>
        <v>1</v>
      </c>
      <c r="D1036" s="775" t="s">
        <v>120</v>
      </c>
      <c r="E1036" s="84" t="s">
        <v>51</v>
      </c>
      <c r="F1036" s="733">
        <f>$F$13*$E$1026</f>
        <v>0</v>
      </c>
      <c r="G1036" s="733">
        <f>$G$13*$E$1026</f>
        <v>0</v>
      </c>
      <c r="H1036" s="733">
        <f>$H$13*$E$1026</f>
        <v>0</v>
      </c>
      <c r="I1036" s="733">
        <f>$I$13*$E$1026</f>
        <v>0</v>
      </c>
      <c r="J1036" s="733">
        <f>$J$13*$E$1026</f>
        <v>0</v>
      </c>
      <c r="K1036" s="733">
        <f>K$13*$E$1026</f>
        <v>0</v>
      </c>
      <c r="L1036" s="733">
        <f t="shared" ref="L1036:P1036" si="1010">L$13*$E$1026</f>
        <v>0</v>
      </c>
      <c r="M1036" s="733">
        <f t="shared" si="1010"/>
        <v>0</v>
      </c>
      <c r="N1036" s="733">
        <f t="shared" si="1010"/>
        <v>0</v>
      </c>
      <c r="O1036" s="733">
        <f t="shared" si="1010"/>
        <v>0</v>
      </c>
      <c r="P1036" s="733">
        <f t="shared" si="1010"/>
        <v>0</v>
      </c>
      <c r="Q1036" s="734">
        <f t="shared" si="1004"/>
        <v>0</v>
      </c>
      <c r="R1036" s="733">
        <f>$R$13*$E$1026</f>
        <v>0</v>
      </c>
      <c r="S1036" s="733">
        <f>$S$13*$E$1026</f>
        <v>0</v>
      </c>
      <c r="T1036" s="733">
        <f>$T$13*$E$1026</f>
        <v>0</v>
      </c>
      <c r="U1036" s="733">
        <f>$U$13*$E$1026</f>
        <v>0</v>
      </c>
    </row>
    <row r="1037" spans="2:21" ht="18.75" x14ac:dyDescent="0.25">
      <c r="B1037" s="790"/>
      <c r="C1037" s="117">
        <f t="shared" si="1002"/>
        <v>1</v>
      </c>
      <c r="D1037" s="775" t="s">
        <v>121</v>
      </c>
      <c r="E1037" s="84" t="s">
        <v>50</v>
      </c>
      <c r="F1037" s="733">
        <f>$F$14*$E$1026</f>
        <v>0</v>
      </c>
      <c r="G1037" s="733">
        <f>$G$14*$E$1026</f>
        <v>0</v>
      </c>
      <c r="H1037" s="733">
        <f>$H$14*$E$1026</f>
        <v>0</v>
      </c>
      <c r="I1037" s="733">
        <f>$I$14*$E$1026</f>
        <v>0</v>
      </c>
      <c r="J1037" s="733">
        <f>$J$14*$E$1026</f>
        <v>0</v>
      </c>
      <c r="K1037" s="733">
        <f>K$14*$E$1026</f>
        <v>0</v>
      </c>
      <c r="L1037" s="733">
        <f t="shared" ref="L1037:P1037" si="1011">L$14*$E$1026</f>
        <v>0</v>
      </c>
      <c r="M1037" s="733">
        <f t="shared" si="1011"/>
        <v>0</v>
      </c>
      <c r="N1037" s="733">
        <f t="shared" si="1011"/>
        <v>0</v>
      </c>
      <c r="O1037" s="733">
        <f t="shared" si="1011"/>
        <v>0</v>
      </c>
      <c r="P1037" s="733">
        <f t="shared" si="1011"/>
        <v>0</v>
      </c>
      <c r="Q1037" s="734">
        <f t="shared" si="1004"/>
        <v>0</v>
      </c>
      <c r="R1037" s="733">
        <f>$R$14*$E$1026</f>
        <v>0</v>
      </c>
      <c r="S1037" s="733">
        <f>$S$14*$E$1026</f>
        <v>0</v>
      </c>
      <c r="T1037" s="733">
        <f>$T$14*$E$1026</f>
        <v>0</v>
      </c>
      <c r="U1037" s="733">
        <f>$U$14*$E$1026</f>
        <v>0</v>
      </c>
    </row>
    <row r="1038" spans="2:21" ht="18.75" x14ac:dyDescent="0.25">
      <c r="B1038" s="790"/>
      <c r="C1038" s="117">
        <f t="shared" si="1002"/>
        <v>1</v>
      </c>
      <c r="D1038" s="775" t="s">
        <v>122</v>
      </c>
      <c r="E1038" s="84" t="s">
        <v>49</v>
      </c>
      <c r="F1038" s="733">
        <f>$F$15*$E$1026</f>
        <v>0</v>
      </c>
      <c r="G1038" s="733">
        <f>$G$15*$E$1026</f>
        <v>0</v>
      </c>
      <c r="H1038" s="733">
        <f>$H$15*$E$1026</f>
        <v>0</v>
      </c>
      <c r="I1038" s="733">
        <f>$I$15*$E$1026</f>
        <v>0</v>
      </c>
      <c r="J1038" s="733">
        <f>$J$15*$E$1026</f>
        <v>0</v>
      </c>
      <c r="K1038" s="733">
        <f>K$15*$E$1026</f>
        <v>0</v>
      </c>
      <c r="L1038" s="733">
        <f t="shared" ref="L1038:P1038" si="1012">L$15*$E$1026</f>
        <v>0</v>
      </c>
      <c r="M1038" s="733">
        <f t="shared" si="1012"/>
        <v>0</v>
      </c>
      <c r="N1038" s="733">
        <f t="shared" si="1012"/>
        <v>0</v>
      </c>
      <c r="O1038" s="733">
        <f t="shared" si="1012"/>
        <v>0</v>
      </c>
      <c r="P1038" s="733">
        <f t="shared" si="1012"/>
        <v>0</v>
      </c>
      <c r="Q1038" s="734">
        <f t="shared" si="1004"/>
        <v>0</v>
      </c>
      <c r="R1038" s="733">
        <f>$R$15*$E$1026</f>
        <v>0</v>
      </c>
      <c r="S1038" s="733">
        <f>$S$15*$E$1026</f>
        <v>0</v>
      </c>
      <c r="T1038" s="733">
        <f>$T$15*$E$1026</f>
        <v>0</v>
      </c>
      <c r="U1038" s="733">
        <f>$U$15*$E$1026</f>
        <v>0</v>
      </c>
    </row>
    <row r="1039" spans="2:21" ht="18.75" x14ac:dyDescent="0.25">
      <c r="B1039" s="790"/>
      <c r="C1039" s="117">
        <f t="shared" si="1002"/>
        <v>1</v>
      </c>
      <c r="D1039" s="775" t="s">
        <v>123</v>
      </c>
      <c r="E1039" s="84" t="s">
        <v>47</v>
      </c>
      <c r="F1039" s="733">
        <f>$F$16*$E$1026</f>
        <v>0</v>
      </c>
      <c r="G1039" s="733">
        <f>$G$16*$E$1026</f>
        <v>0</v>
      </c>
      <c r="H1039" s="733">
        <f>$H$16*$E$1026</f>
        <v>0</v>
      </c>
      <c r="I1039" s="733">
        <f>$I$16*$E$1026</f>
        <v>0</v>
      </c>
      <c r="J1039" s="733">
        <f>$J$16*$E$1026</f>
        <v>0</v>
      </c>
      <c r="K1039" s="733">
        <f>K$16*$E$1026</f>
        <v>0</v>
      </c>
      <c r="L1039" s="733">
        <f t="shared" ref="L1039:P1039" si="1013">L$16*$E$1026</f>
        <v>0</v>
      </c>
      <c r="M1039" s="733">
        <f t="shared" si="1013"/>
        <v>0</v>
      </c>
      <c r="N1039" s="733">
        <f t="shared" si="1013"/>
        <v>0</v>
      </c>
      <c r="O1039" s="733">
        <f t="shared" si="1013"/>
        <v>0</v>
      </c>
      <c r="P1039" s="733">
        <f t="shared" si="1013"/>
        <v>0</v>
      </c>
      <c r="Q1039" s="734">
        <f t="shared" si="1004"/>
        <v>0</v>
      </c>
      <c r="R1039" s="733">
        <f>$R$16*$E$1026</f>
        <v>0</v>
      </c>
      <c r="S1039" s="733">
        <f>$S$16*$E$1026</f>
        <v>0</v>
      </c>
      <c r="T1039" s="733">
        <f>$T$16*$E$1026</f>
        <v>0</v>
      </c>
      <c r="U1039" s="733">
        <f>$U$16*$E$1026</f>
        <v>0</v>
      </c>
    </row>
    <row r="1040" spans="2:21" ht="19.5" thickBot="1" x14ac:dyDescent="0.3">
      <c r="B1040" s="790"/>
      <c r="C1040" s="117">
        <f t="shared" si="1002"/>
        <v>1</v>
      </c>
      <c r="D1040" s="776" t="s">
        <v>16</v>
      </c>
      <c r="E1040" s="777" t="s">
        <v>77</v>
      </c>
      <c r="F1040" s="733">
        <f>$F$17*$E$1026</f>
        <v>451511.20063067536</v>
      </c>
      <c r="G1040" s="733">
        <f>$G$17*$E$1026</f>
        <v>8969.1983476022342</v>
      </c>
      <c r="H1040" s="733">
        <f>$H$17*$E$1026</f>
        <v>0</v>
      </c>
      <c r="I1040" s="733">
        <f>$I$17*$E$1026</f>
        <v>0</v>
      </c>
      <c r="J1040" s="733">
        <f>$J$17*$E$1026</f>
        <v>19148.697601012325</v>
      </c>
      <c r="K1040" s="733">
        <f>K$17*$E$1026</f>
        <v>78.83602036019839</v>
      </c>
      <c r="L1040" s="733">
        <f t="shared" ref="L1040:P1040" si="1014">L$17*$E$1026</f>
        <v>11.094490458217104</v>
      </c>
      <c r="M1040" s="733">
        <f t="shared" si="1014"/>
        <v>0</v>
      </c>
      <c r="N1040" s="733">
        <f t="shared" si="1014"/>
        <v>0</v>
      </c>
      <c r="O1040" s="733">
        <f t="shared" si="1014"/>
        <v>5738.2469682471756</v>
      </c>
      <c r="P1040" s="733">
        <f t="shared" si="1014"/>
        <v>97731.758325690258</v>
      </c>
      <c r="Q1040" s="734">
        <f t="shared" si="1004"/>
        <v>583189.03238404565</v>
      </c>
      <c r="R1040" s="733">
        <f>$R$17*$E$1026</f>
        <v>0</v>
      </c>
      <c r="S1040" s="733">
        <f>$S$17*$E$1026</f>
        <v>40551.084186909146</v>
      </c>
      <c r="T1040" s="733">
        <f ca="1">$T$17*$E$1026</f>
        <v>11760.904681593693</v>
      </c>
      <c r="U1040" s="733">
        <f ca="1">$U$17*$E$1026</f>
        <v>670.17378500215807</v>
      </c>
    </row>
    <row r="1041" spans="2:21" ht="19.5" thickBot="1" x14ac:dyDescent="0.3">
      <c r="B1041" s="790"/>
      <c r="C1041" s="117">
        <f t="shared" si="1002"/>
        <v>1</v>
      </c>
      <c r="D1041" s="115" t="s">
        <v>124</v>
      </c>
      <c r="E1041" s="778" t="s">
        <v>78</v>
      </c>
      <c r="F1041" s="779">
        <f t="shared" ref="F1041:U1041" si="1015">SUBTOTAL(9,F1029:F1040)</f>
        <v>4571452.6684086462</v>
      </c>
      <c r="G1041" s="779">
        <f>SUBTOTAL(9,G1029:G1040)</f>
        <v>291802.40739942243</v>
      </c>
      <c r="H1041" s="779">
        <f>SUBTOTAL(9,H1029:H1040)</f>
        <v>634.14283728781072</v>
      </c>
      <c r="I1041" s="779">
        <f>SUBTOTAL(9,I1029:I1040)</f>
        <v>102207.49559895974</v>
      </c>
      <c r="J1041" s="779">
        <f>SUBTOTAL(9,J1029:J1040)</f>
        <v>93272.790592076984</v>
      </c>
      <c r="K1041" s="779">
        <f>SUBTOTAL(9,K1029:K1040)</f>
        <v>4066.676407329805</v>
      </c>
      <c r="L1041" s="779">
        <f t="shared" ref="L1041:P1041" si="1016">SUBTOTAL(9,L1029:L1040)</f>
        <v>11.094490458217104</v>
      </c>
      <c r="M1041" s="779">
        <f t="shared" si="1016"/>
        <v>2896.7429851309689</v>
      </c>
      <c r="N1041" s="779">
        <f t="shared" si="1016"/>
        <v>0</v>
      </c>
      <c r="O1041" s="779">
        <f t="shared" si="1016"/>
        <v>25748.863996047206</v>
      </c>
      <c r="P1041" s="779">
        <f t="shared" si="1016"/>
        <v>97731.758325690258</v>
      </c>
      <c r="Q1041" s="780">
        <f>SUBTOTAL(9,Q1029:Q1040)</f>
        <v>5189824.6410410488</v>
      </c>
      <c r="R1041" s="779">
        <f t="shared" si="1015"/>
        <v>0</v>
      </c>
      <c r="S1041" s="779">
        <f t="shared" si="1015"/>
        <v>390549.21169024182</v>
      </c>
      <c r="T1041" s="779">
        <f t="shared" ca="1" si="1015"/>
        <v>156046.23277279231</v>
      </c>
      <c r="U1041" s="779">
        <f t="shared" ca="1" si="1015"/>
        <v>108454.58829837474</v>
      </c>
    </row>
    <row r="1042" spans="2:21" s="119" customFormat="1" ht="18.75" hidden="1" x14ac:dyDescent="0.25">
      <c r="B1042" s="340"/>
      <c r="D1042" s="117"/>
      <c r="E1042" s="117"/>
      <c r="F1042" s="118"/>
      <c r="G1042" s="118"/>
      <c r="I1042" s="118"/>
      <c r="J1042" s="118"/>
      <c r="K1042" s="118"/>
      <c r="L1042" s="118"/>
      <c r="O1042" s="118"/>
      <c r="Q1042" s="120"/>
      <c r="R1042" s="117"/>
      <c r="S1042" s="118"/>
      <c r="U1042" s="118"/>
    </row>
    <row r="1043" spans="2:21" s="119" customFormat="1" ht="75" hidden="1" x14ac:dyDescent="0.25">
      <c r="B1043" s="301"/>
      <c r="C1043" s="119">
        <f>IF($E1043&gt;0,1,0)</f>
        <v>0</v>
      </c>
      <c r="D1043" s="96" t="str">
        <f>A64</f>
        <v>Wyoming</v>
      </c>
      <c r="E1043" s="166">
        <f>IFERROR(SUMIF(A:A,D1043,B:B),0)</f>
        <v>0</v>
      </c>
      <c r="F1043" s="98" t="s">
        <v>356</v>
      </c>
      <c r="G1043" s="98" t="s">
        <v>373</v>
      </c>
      <c r="H1043" s="98" t="s">
        <v>358</v>
      </c>
      <c r="I1043" s="98" t="s">
        <v>109</v>
      </c>
      <c r="J1043" s="98" t="s">
        <v>111</v>
      </c>
      <c r="K1043" s="98" t="s">
        <v>469</v>
      </c>
      <c r="L1043" s="98" t="s">
        <v>470</v>
      </c>
      <c r="M1043" s="98" t="s">
        <v>357</v>
      </c>
      <c r="N1043" s="509" t="s">
        <v>471</v>
      </c>
      <c r="O1043" s="98" t="s">
        <v>472</v>
      </c>
      <c r="P1043" s="98" t="s">
        <v>110</v>
      </c>
      <c r="Q1043" s="99" t="s">
        <v>116</v>
      </c>
      <c r="R1043" s="98" t="s">
        <v>112</v>
      </c>
      <c r="S1043" s="98" t="s">
        <v>113</v>
      </c>
      <c r="T1043" s="98" t="s">
        <v>114</v>
      </c>
      <c r="U1043" s="98" t="s">
        <v>115</v>
      </c>
    </row>
    <row r="1044" spans="2:21" s="119" customFormat="1" ht="18.75" hidden="1" x14ac:dyDescent="0.25">
      <c r="B1044" s="301"/>
      <c r="C1044" s="119">
        <f>C1043</f>
        <v>0</v>
      </c>
      <c r="D1044" s="101"/>
      <c r="E1044" s="102"/>
      <c r="F1044" s="84" t="s">
        <v>57</v>
      </c>
      <c r="G1044" s="84" t="s">
        <v>56</v>
      </c>
      <c r="H1044" s="84" t="s">
        <v>55</v>
      </c>
      <c r="I1044" s="84" t="s">
        <v>54</v>
      </c>
      <c r="J1044" s="84" t="s">
        <v>53</v>
      </c>
      <c r="K1044" s="84" t="s">
        <v>52</v>
      </c>
      <c r="L1044" s="84" t="s">
        <v>51</v>
      </c>
      <c r="M1044" s="84" t="s">
        <v>50</v>
      </c>
      <c r="N1044" s="84" t="s">
        <v>49</v>
      </c>
      <c r="O1044" s="84" t="s">
        <v>47</v>
      </c>
      <c r="P1044" s="84" t="s">
        <v>77</v>
      </c>
      <c r="Q1044" s="83" t="s">
        <v>78</v>
      </c>
      <c r="R1044" s="84" t="s">
        <v>79</v>
      </c>
      <c r="S1044" s="84" t="s">
        <v>81</v>
      </c>
      <c r="T1044" s="84" t="s">
        <v>83</v>
      </c>
      <c r="U1044" s="84" t="s">
        <v>85</v>
      </c>
    </row>
    <row r="1045" spans="2:21" s="119" customFormat="1" ht="18.75" hidden="1" x14ac:dyDescent="0.3">
      <c r="B1045" s="301"/>
      <c r="C1045" s="119">
        <f t="shared" ref="C1045:C1058" si="1017">C1044</f>
        <v>0</v>
      </c>
      <c r="D1045" s="103" t="s">
        <v>26</v>
      </c>
      <c r="E1045" s="104"/>
      <c r="F1045" s="745"/>
      <c r="G1045" s="745"/>
      <c r="H1045" s="746"/>
      <c r="I1045" s="745"/>
      <c r="J1045" s="745"/>
      <c r="K1045" s="745"/>
      <c r="L1045" s="745"/>
      <c r="M1045" s="746"/>
      <c r="N1045" s="746"/>
      <c r="O1045" s="745"/>
      <c r="P1045" s="746"/>
      <c r="Q1045" s="747"/>
      <c r="R1045" s="748"/>
      <c r="S1045" s="745"/>
      <c r="T1045" s="746"/>
      <c r="U1045" s="749"/>
    </row>
    <row r="1046" spans="2:21" s="119" customFormat="1" ht="18.75" hidden="1" x14ac:dyDescent="0.25">
      <c r="B1046" s="301"/>
      <c r="C1046" s="119">
        <f t="shared" si="1017"/>
        <v>0</v>
      </c>
      <c r="D1046" s="109" t="s">
        <v>93</v>
      </c>
      <c r="E1046" s="76" t="s">
        <v>57</v>
      </c>
      <c r="F1046" s="733">
        <f>$F$6*$E$1043</f>
        <v>0</v>
      </c>
      <c r="G1046" s="733">
        <f>$G$6*$E$1043</f>
        <v>0</v>
      </c>
      <c r="H1046" s="733">
        <f>$H$6*$E$1043</f>
        <v>0</v>
      </c>
      <c r="I1046" s="733">
        <f>$I$6*$E$1043</f>
        <v>0</v>
      </c>
      <c r="J1046" s="733">
        <f>$J$6*$E$1043</f>
        <v>0</v>
      </c>
      <c r="K1046" s="733">
        <f>K$6*$E$1043</f>
        <v>0</v>
      </c>
      <c r="L1046" s="733">
        <f t="shared" ref="L1046:O1046" si="1018">L$6*$E$1043</f>
        <v>0</v>
      </c>
      <c r="M1046" s="733">
        <f t="shared" si="1018"/>
        <v>0</v>
      </c>
      <c r="N1046" s="733">
        <f t="shared" si="1018"/>
        <v>0</v>
      </c>
      <c r="O1046" s="733">
        <f t="shared" si="1018"/>
        <v>0</v>
      </c>
      <c r="P1046" s="733">
        <f>$P$6*$E$1043</f>
        <v>0</v>
      </c>
      <c r="Q1046" s="734">
        <f t="shared" ref="Q1046:Q1057" si="1019">SUM(F1046:P1046)</f>
        <v>0</v>
      </c>
      <c r="R1046" s="733">
        <f>$R$6*$E$1043</f>
        <v>0</v>
      </c>
      <c r="S1046" s="733">
        <f>$S$6*$E$1043</f>
        <v>0</v>
      </c>
      <c r="T1046" s="733">
        <f ca="1">$T$6*$E$1043</f>
        <v>0</v>
      </c>
      <c r="U1046" s="733">
        <f ca="1">$U$6*$E$1043</f>
        <v>0</v>
      </c>
    </row>
    <row r="1047" spans="2:21" s="119" customFormat="1" ht="18.75" hidden="1" x14ac:dyDescent="0.25">
      <c r="B1047" s="301"/>
      <c r="C1047" s="119">
        <f t="shared" si="1017"/>
        <v>0</v>
      </c>
      <c r="D1047" s="110" t="s">
        <v>92</v>
      </c>
      <c r="E1047" s="76" t="s">
        <v>56</v>
      </c>
      <c r="F1047" s="733">
        <f>$F$7*$E$1043</f>
        <v>0</v>
      </c>
      <c r="G1047" s="733">
        <f>$G$7*$E$1043</f>
        <v>0</v>
      </c>
      <c r="H1047" s="733">
        <f>$H$7*$E$1043</f>
        <v>0</v>
      </c>
      <c r="I1047" s="733">
        <f>$I$7*$E$1043</f>
        <v>0</v>
      </c>
      <c r="J1047" s="733">
        <f>$J$7*$E$1043</f>
        <v>0</v>
      </c>
      <c r="K1047" s="733">
        <f>K$7*$E$1043</f>
        <v>0</v>
      </c>
      <c r="L1047" s="733">
        <f t="shared" ref="L1047:O1047" si="1020">L$7*$E$1043</f>
        <v>0</v>
      </c>
      <c r="M1047" s="733">
        <f t="shared" si="1020"/>
        <v>0</v>
      </c>
      <c r="N1047" s="733">
        <f t="shared" si="1020"/>
        <v>0</v>
      </c>
      <c r="O1047" s="733">
        <f t="shared" si="1020"/>
        <v>0</v>
      </c>
      <c r="P1047" s="733">
        <f>$P$7*$E$1043</f>
        <v>0</v>
      </c>
      <c r="Q1047" s="734">
        <f t="shared" si="1019"/>
        <v>0</v>
      </c>
      <c r="R1047" s="733">
        <f>$R$7*$E$1043</f>
        <v>0</v>
      </c>
      <c r="S1047" s="733">
        <f>$S$7*$E$1043</f>
        <v>0</v>
      </c>
      <c r="T1047" s="733">
        <f>$T$7*$E$1043</f>
        <v>0</v>
      </c>
      <c r="U1047" s="733">
        <f>$U$7*$E$1043</f>
        <v>0</v>
      </c>
    </row>
    <row r="1048" spans="2:21" s="119" customFormat="1" ht="18.75" hidden="1" x14ac:dyDescent="0.25">
      <c r="B1048" s="301"/>
      <c r="C1048" s="119">
        <f t="shared" si="1017"/>
        <v>0</v>
      </c>
      <c r="D1048" s="110" t="s">
        <v>91</v>
      </c>
      <c r="E1048" s="76" t="s">
        <v>55</v>
      </c>
      <c r="F1048" s="733">
        <f>$F$8*$E$1043</f>
        <v>0</v>
      </c>
      <c r="G1048" s="733">
        <f>$G$8*$E$1043</f>
        <v>0</v>
      </c>
      <c r="H1048" s="733">
        <f>$H$8*$E$1043</f>
        <v>0</v>
      </c>
      <c r="I1048" s="733">
        <f>$I$8*$E$1043</f>
        <v>0</v>
      </c>
      <c r="J1048" s="733">
        <f>$J$8*$E$1043</f>
        <v>0</v>
      </c>
      <c r="K1048" s="733">
        <f>K$8*$E$1043</f>
        <v>0</v>
      </c>
      <c r="L1048" s="733">
        <f t="shared" ref="L1048:O1048" si="1021">L$8*$E$1043</f>
        <v>0</v>
      </c>
      <c r="M1048" s="733">
        <f t="shared" si="1021"/>
        <v>0</v>
      </c>
      <c r="N1048" s="733">
        <f t="shared" si="1021"/>
        <v>0</v>
      </c>
      <c r="O1048" s="733">
        <f t="shared" si="1021"/>
        <v>0</v>
      </c>
      <c r="P1048" s="733">
        <f>$P$8*$E$1043</f>
        <v>0</v>
      </c>
      <c r="Q1048" s="734">
        <f t="shared" si="1019"/>
        <v>0</v>
      </c>
      <c r="R1048" s="733">
        <f>$R$8*$E$1043</f>
        <v>0</v>
      </c>
      <c r="S1048" s="733">
        <f>$S$8*$E$1043</f>
        <v>0</v>
      </c>
      <c r="T1048" s="733">
        <f ca="1">$T$8*$E$1043</f>
        <v>0</v>
      </c>
      <c r="U1048" s="733">
        <f ca="1">$U$8*$E$1043</f>
        <v>0</v>
      </c>
    </row>
    <row r="1049" spans="2:21" s="119" customFormat="1" ht="18.75" hidden="1" x14ac:dyDescent="0.25">
      <c r="B1049" s="301"/>
      <c r="C1049" s="119">
        <f t="shared" si="1017"/>
        <v>0</v>
      </c>
      <c r="D1049" s="111" t="s">
        <v>117</v>
      </c>
      <c r="E1049" s="76" t="s">
        <v>54</v>
      </c>
      <c r="F1049" s="733">
        <f>$F$9*$E$1043</f>
        <v>0</v>
      </c>
      <c r="G1049" s="733">
        <f>$G$9*$E$1043</f>
        <v>0</v>
      </c>
      <c r="H1049" s="733">
        <f>$H$9*$E$1043</f>
        <v>0</v>
      </c>
      <c r="I1049" s="733">
        <f>$I$9*$E$1043</f>
        <v>0</v>
      </c>
      <c r="J1049" s="733">
        <f>$J$9*$E$1043</f>
        <v>0</v>
      </c>
      <c r="K1049" s="733">
        <f>K$9*$E$1043</f>
        <v>0</v>
      </c>
      <c r="L1049" s="733">
        <f t="shared" ref="L1049:O1049" si="1022">L$9*$E$1043</f>
        <v>0</v>
      </c>
      <c r="M1049" s="733">
        <f t="shared" si="1022"/>
        <v>0</v>
      </c>
      <c r="N1049" s="733">
        <f t="shared" si="1022"/>
        <v>0</v>
      </c>
      <c r="O1049" s="733">
        <f t="shared" si="1022"/>
        <v>0</v>
      </c>
      <c r="P1049" s="733">
        <f>$P$9*$E$1043</f>
        <v>0</v>
      </c>
      <c r="Q1049" s="734">
        <f t="shared" si="1019"/>
        <v>0</v>
      </c>
      <c r="R1049" s="733">
        <f>$R$9*$E$1043</f>
        <v>0</v>
      </c>
      <c r="S1049" s="733">
        <f>$S$9*$E$1043</f>
        <v>0</v>
      </c>
      <c r="T1049" s="733">
        <f>$T$9*$E$1043</f>
        <v>0</v>
      </c>
      <c r="U1049" s="733">
        <f>$U$9*$E$1043</f>
        <v>0</v>
      </c>
    </row>
    <row r="1050" spans="2:21" s="119" customFormat="1" ht="18.75" hidden="1" x14ac:dyDescent="0.3">
      <c r="B1050" s="301"/>
      <c r="C1050" s="119">
        <f t="shared" si="1017"/>
        <v>0</v>
      </c>
      <c r="D1050" s="112" t="s">
        <v>31</v>
      </c>
      <c r="E1050" s="76"/>
      <c r="F1050" s="750"/>
      <c r="G1050" s="735"/>
      <c r="H1050" s="736"/>
      <c r="I1050" s="735"/>
      <c r="J1050" s="735"/>
      <c r="K1050" s="735"/>
      <c r="L1050" s="735"/>
      <c r="M1050" s="735"/>
      <c r="N1050" s="735"/>
      <c r="O1050" s="735"/>
      <c r="P1050" s="738"/>
      <c r="Q1050" s="734">
        <f t="shared" si="1019"/>
        <v>0</v>
      </c>
      <c r="R1050" s="739"/>
      <c r="S1050" s="735"/>
      <c r="T1050" s="740"/>
      <c r="U1050" s="741"/>
    </row>
    <row r="1051" spans="2:21" s="119" customFormat="1" ht="18.75" hidden="1" x14ac:dyDescent="0.3">
      <c r="B1051" s="301"/>
      <c r="C1051" s="119">
        <f t="shared" si="1017"/>
        <v>0</v>
      </c>
      <c r="D1051" s="113" t="s">
        <v>118</v>
      </c>
      <c r="E1051" s="76" t="s">
        <v>53</v>
      </c>
      <c r="F1051" s="733">
        <f>$F$11*$E$1043</f>
        <v>0</v>
      </c>
      <c r="G1051" s="733">
        <f>$G$11*$E$1043</f>
        <v>0</v>
      </c>
      <c r="H1051" s="733">
        <f>$H$11*$E$1043</f>
        <v>0</v>
      </c>
      <c r="I1051" s="733">
        <f>$I$11*$E$1043</f>
        <v>0</v>
      </c>
      <c r="J1051" s="733">
        <f>$J$11*$E$1043</f>
        <v>0</v>
      </c>
      <c r="K1051" s="733">
        <f>K$11*$E$1043</f>
        <v>0</v>
      </c>
      <c r="L1051" s="733">
        <f t="shared" ref="L1051:O1051" si="1023">L$11*$E$1043</f>
        <v>0</v>
      </c>
      <c r="M1051" s="733">
        <f t="shared" si="1023"/>
        <v>0</v>
      </c>
      <c r="N1051" s="733">
        <f t="shared" si="1023"/>
        <v>0</v>
      </c>
      <c r="O1051" s="733">
        <f t="shared" si="1023"/>
        <v>0</v>
      </c>
      <c r="P1051" s="733">
        <f>$P$11*$E$1043</f>
        <v>0</v>
      </c>
      <c r="Q1051" s="734">
        <f t="shared" si="1019"/>
        <v>0</v>
      </c>
      <c r="R1051" s="733">
        <f>$R$11*$E$1043</f>
        <v>0</v>
      </c>
      <c r="S1051" s="733">
        <f>$S$11*$E$1043</f>
        <v>0</v>
      </c>
      <c r="T1051" s="733">
        <f>$T$11*$E$1043</f>
        <v>0</v>
      </c>
      <c r="U1051" s="733">
        <f>$U$11*$E$1043</f>
        <v>0</v>
      </c>
    </row>
    <row r="1052" spans="2:21" s="119" customFormat="1" ht="18.75" hidden="1" x14ac:dyDescent="0.3">
      <c r="B1052" s="301"/>
      <c r="C1052" s="119">
        <f t="shared" si="1017"/>
        <v>0</v>
      </c>
      <c r="D1052" s="113" t="s">
        <v>119</v>
      </c>
      <c r="E1052" s="76" t="s">
        <v>52</v>
      </c>
      <c r="F1052" s="733">
        <f>$F$12*$E$1043</f>
        <v>0</v>
      </c>
      <c r="G1052" s="733">
        <f>$G$12*$E$1043</f>
        <v>0</v>
      </c>
      <c r="H1052" s="733">
        <f>$H$12*$E$1043</f>
        <v>0</v>
      </c>
      <c r="I1052" s="733">
        <f>$I$12*$E$1043</f>
        <v>0</v>
      </c>
      <c r="J1052" s="733">
        <f>$J$12*$E$1043</f>
        <v>0</v>
      </c>
      <c r="K1052" s="733">
        <f>K$12*$E$1043</f>
        <v>0</v>
      </c>
      <c r="L1052" s="733">
        <f t="shared" ref="L1052:O1052" si="1024">L$12*$E$1043</f>
        <v>0</v>
      </c>
      <c r="M1052" s="733">
        <f t="shared" si="1024"/>
        <v>0</v>
      </c>
      <c r="N1052" s="733">
        <f t="shared" si="1024"/>
        <v>0</v>
      </c>
      <c r="O1052" s="733">
        <f t="shared" si="1024"/>
        <v>0</v>
      </c>
      <c r="P1052" s="733">
        <f>$P$12*$E$1043</f>
        <v>0</v>
      </c>
      <c r="Q1052" s="734">
        <f t="shared" si="1019"/>
        <v>0</v>
      </c>
      <c r="R1052" s="733">
        <f>$R$12*$E$1043</f>
        <v>0</v>
      </c>
      <c r="S1052" s="733">
        <f>$S$12*$E$1043</f>
        <v>0</v>
      </c>
      <c r="T1052" s="733">
        <f>$T$12*$E$1043</f>
        <v>0</v>
      </c>
      <c r="U1052" s="733">
        <f>$U$12*$E$1043</f>
        <v>0</v>
      </c>
    </row>
    <row r="1053" spans="2:21" s="119" customFormat="1" ht="18.75" hidden="1" x14ac:dyDescent="0.3">
      <c r="B1053" s="301"/>
      <c r="C1053" s="119">
        <f t="shared" si="1017"/>
        <v>0</v>
      </c>
      <c r="D1053" s="113" t="s">
        <v>120</v>
      </c>
      <c r="E1053" s="76" t="s">
        <v>51</v>
      </c>
      <c r="F1053" s="733">
        <f>$F$13*$E$1043</f>
        <v>0</v>
      </c>
      <c r="G1053" s="733">
        <f>$G$13*$E$1043</f>
        <v>0</v>
      </c>
      <c r="H1053" s="733">
        <f>$H$13*$E$1043</f>
        <v>0</v>
      </c>
      <c r="I1053" s="733">
        <f>$I$13*$E$1043</f>
        <v>0</v>
      </c>
      <c r="J1053" s="733">
        <f>$J$13*$E$1043</f>
        <v>0</v>
      </c>
      <c r="K1053" s="733">
        <f>K$13*$E$1043</f>
        <v>0</v>
      </c>
      <c r="L1053" s="733">
        <f t="shared" ref="L1053:O1053" si="1025">L$13*$E$1043</f>
        <v>0</v>
      </c>
      <c r="M1053" s="733">
        <f t="shared" si="1025"/>
        <v>0</v>
      </c>
      <c r="N1053" s="733">
        <f t="shared" si="1025"/>
        <v>0</v>
      </c>
      <c r="O1053" s="733">
        <f t="shared" si="1025"/>
        <v>0</v>
      </c>
      <c r="P1053" s="733">
        <f>$P$13*$E$1043</f>
        <v>0</v>
      </c>
      <c r="Q1053" s="734">
        <f t="shared" si="1019"/>
        <v>0</v>
      </c>
      <c r="R1053" s="733">
        <f>$R$13*$E$1043</f>
        <v>0</v>
      </c>
      <c r="S1053" s="733">
        <f>$S$13*$E$1043</f>
        <v>0</v>
      </c>
      <c r="T1053" s="733">
        <f>$T$13*$E$1043</f>
        <v>0</v>
      </c>
      <c r="U1053" s="733">
        <f>$U$13*$E$1043</f>
        <v>0</v>
      </c>
    </row>
    <row r="1054" spans="2:21" s="119" customFormat="1" ht="18.75" hidden="1" x14ac:dyDescent="0.3">
      <c r="B1054" s="301"/>
      <c r="C1054" s="119">
        <f t="shared" si="1017"/>
        <v>0</v>
      </c>
      <c r="D1054" s="113" t="s">
        <v>121</v>
      </c>
      <c r="E1054" s="76" t="s">
        <v>50</v>
      </c>
      <c r="F1054" s="733">
        <f>$F$14*$E$1043</f>
        <v>0</v>
      </c>
      <c r="G1054" s="733">
        <f>$G$14*$E$1043</f>
        <v>0</v>
      </c>
      <c r="H1054" s="733">
        <f>$H$14*$E$1043</f>
        <v>0</v>
      </c>
      <c r="I1054" s="733">
        <f>$I$14*$E$1043</f>
        <v>0</v>
      </c>
      <c r="J1054" s="733">
        <f>$J$14*$E$1043</f>
        <v>0</v>
      </c>
      <c r="K1054" s="733">
        <f>K$14*$E$1043</f>
        <v>0</v>
      </c>
      <c r="L1054" s="733">
        <f t="shared" ref="L1054:O1054" si="1026">L$14*$E$1043</f>
        <v>0</v>
      </c>
      <c r="M1054" s="733">
        <f t="shared" si="1026"/>
        <v>0</v>
      </c>
      <c r="N1054" s="733">
        <f t="shared" si="1026"/>
        <v>0</v>
      </c>
      <c r="O1054" s="733">
        <f t="shared" si="1026"/>
        <v>0</v>
      </c>
      <c r="P1054" s="733">
        <f>$P$14*$E$1043</f>
        <v>0</v>
      </c>
      <c r="Q1054" s="734">
        <f t="shared" si="1019"/>
        <v>0</v>
      </c>
      <c r="R1054" s="733">
        <f>$R$14*$E$1043</f>
        <v>0</v>
      </c>
      <c r="S1054" s="733">
        <f>$S$14*$E$1043</f>
        <v>0</v>
      </c>
      <c r="T1054" s="733">
        <f>$T$14*$E$1043</f>
        <v>0</v>
      </c>
      <c r="U1054" s="733">
        <f>$U$14*$E$1043</f>
        <v>0</v>
      </c>
    </row>
    <row r="1055" spans="2:21" s="119" customFormat="1" ht="18.75" hidden="1" x14ac:dyDescent="0.3">
      <c r="B1055" s="301"/>
      <c r="C1055" s="119">
        <f t="shared" si="1017"/>
        <v>0</v>
      </c>
      <c r="D1055" s="113" t="s">
        <v>122</v>
      </c>
      <c r="E1055" s="76" t="s">
        <v>49</v>
      </c>
      <c r="F1055" s="733">
        <f>$F$15*$E$1043</f>
        <v>0</v>
      </c>
      <c r="G1055" s="733">
        <f>$G$15*$E$1043</f>
        <v>0</v>
      </c>
      <c r="H1055" s="733">
        <f>$H$15*$E$1043</f>
        <v>0</v>
      </c>
      <c r="I1055" s="733">
        <f>$I$15*$E$1043</f>
        <v>0</v>
      </c>
      <c r="J1055" s="733">
        <f>$J$15*$E$1043</f>
        <v>0</v>
      </c>
      <c r="K1055" s="733">
        <f>K$15*$E$1043</f>
        <v>0</v>
      </c>
      <c r="L1055" s="733">
        <f t="shared" ref="L1055:O1055" si="1027">L$15*$E$1043</f>
        <v>0</v>
      </c>
      <c r="M1055" s="733">
        <f t="shared" si="1027"/>
        <v>0</v>
      </c>
      <c r="N1055" s="733">
        <f t="shared" si="1027"/>
        <v>0</v>
      </c>
      <c r="O1055" s="733">
        <f t="shared" si="1027"/>
        <v>0</v>
      </c>
      <c r="P1055" s="733">
        <f>$P$15*$E$1043</f>
        <v>0</v>
      </c>
      <c r="Q1055" s="734">
        <f t="shared" si="1019"/>
        <v>0</v>
      </c>
      <c r="R1055" s="733">
        <f>$R$15*$E$1043</f>
        <v>0</v>
      </c>
      <c r="S1055" s="733">
        <f>$S$15*$E$1043</f>
        <v>0</v>
      </c>
      <c r="T1055" s="733">
        <f>$T$15*$E$1043</f>
        <v>0</v>
      </c>
      <c r="U1055" s="733">
        <f>$U$15*$E$1043</f>
        <v>0</v>
      </c>
    </row>
    <row r="1056" spans="2:21" s="119" customFormat="1" ht="18.75" hidden="1" x14ac:dyDescent="0.3">
      <c r="B1056" s="301"/>
      <c r="C1056" s="119">
        <f t="shared" si="1017"/>
        <v>0</v>
      </c>
      <c r="D1056" s="113" t="s">
        <v>123</v>
      </c>
      <c r="E1056" s="76" t="s">
        <v>47</v>
      </c>
      <c r="F1056" s="733">
        <f>$F$16*$E$1043</f>
        <v>0</v>
      </c>
      <c r="G1056" s="733">
        <f>$G$16*$E$1043</f>
        <v>0</v>
      </c>
      <c r="H1056" s="733">
        <f>$H$16*$E$1043</f>
        <v>0</v>
      </c>
      <c r="I1056" s="733">
        <f>$I$16*$E$1043</f>
        <v>0</v>
      </c>
      <c r="J1056" s="733">
        <f>$J$16*$E$1043</f>
        <v>0</v>
      </c>
      <c r="K1056" s="733">
        <f>K$16*$E$1043</f>
        <v>0</v>
      </c>
      <c r="L1056" s="733">
        <f t="shared" ref="L1056:O1056" si="1028">L$16*$E$1043</f>
        <v>0</v>
      </c>
      <c r="M1056" s="733">
        <f t="shared" si="1028"/>
        <v>0</v>
      </c>
      <c r="N1056" s="733">
        <f t="shared" si="1028"/>
        <v>0</v>
      </c>
      <c r="O1056" s="733">
        <f t="shared" si="1028"/>
        <v>0</v>
      </c>
      <c r="P1056" s="733">
        <f>$P$16*$E$1043</f>
        <v>0</v>
      </c>
      <c r="Q1056" s="734">
        <f t="shared" si="1019"/>
        <v>0</v>
      </c>
      <c r="R1056" s="733">
        <f>$R$16*$E$1043</f>
        <v>0</v>
      </c>
      <c r="S1056" s="733">
        <f>$S$16*$E$1043</f>
        <v>0</v>
      </c>
      <c r="T1056" s="733">
        <f>$T$16*$E$1043</f>
        <v>0</v>
      </c>
      <c r="U1056" s="733">
        <f>$U$16*$E$1043</f>
        <v>0</v>
      </c>
    </row>
    <row r="1057" spans="2:21" s="119" customFormat="1" ht="19.5" hidden="1" thickBot="1" x14ac:dyDescent="0.35">
      <c r="B1057" s="301"/>
      <c r="C1057" s="119">
        <f t="shared" si="1017"/>
        <v>0</v>
      </c>
      <c r="D1057" s="114" t="s">
        <v>16</v>
      </c>
      <c r="E1057" s="70" t="s">
        <v>77</v>
      </c>
      <c r="F1057" s="733">
        <f>$F$17*$E$1043</f>
        <v>0</v>
      </c>
      <c r="G1057" s="733">
        <f>$G$17*$E$1043</f>
        <v>0</v>
      </c>
      <c r="H1057" s="733">
        <f>$H$17*$E$1043</f>
        <v>0</v>
      </c>
      <c r="I1057" s="733">
        <f>$I$17*$E$1043</f>
        <v>0</v>
      </c>
      <c r="J1057" s="733">
        <f>$J$17*$E$1043</f>
        <v>0</v>
      </c>
      <c r="K1057" s="733">
        <f>K$17*$E$1043</f>
        <v>0</v>
      </c>
      <c r="L1057" s="733">
        <f t="shared" ref="L1057:O1057" si="1029">L$17*$E$1043</f>
        <v>0</v>
      </c>
      <c r="M1057" s="733">
        <f t="shared" si="1029"/>
        <v>0</v>
      </c>
      <c r="N1057" s="733">
        <f t="shared" si="1029"/>
        <v>0</v>
      </c>
      <c r="O1057" s="733">
        <f t="shared" si="1029"/>
        <v>0</v>
      </c>
      <c r="P1057" s="733">
        <f>$P$17*$E$1043</f>
        <v>0</v>
      </c>
      <c r="Q1057" s="734">
        <f t="shared" si="1019"/>
        <v>0</v>
      </c>
      <c r="R1057" s="733">
        <f>$R$17*$E$1043</f>
        <v>0</v>
      </c>
      <c r="S1057" s="733">
        <f>$S$17*$E$1043</f>
        <v>0</v>
      </c>
      <c r="T1057" s="733">
        <f ca="1">$T$17*$E$1043</f>
        <v>0</v>
      </c>
      <c r="U1057" s="733">
        <f ca="1">$U$17*$E$1043</f>
        <v>0</v>
      </c>
    </row>
    <row r="1058" spans="2:21" s="119" customFormat="1" ht="19.5" hidden="1" thickBot="1" x14ac:dyDescent="0.35">
      <c r="B1058" s="301"/>
      <c r="C1058" s="119">
        <f t="shared" si="1017"/>
        <v>0</v>
      </c>
      <c r="D1058" s="115" t="s">
        <v>124</v>
      </c>
      <c r="E1058" s="116" t="s">
        <v>78</v>
      </c>
      <c r="F1058" s="742">
        <f t="shared" ref="F1058:U1058" si="1030">SUBTOTAL(9,F1046:F1057)</f>
        <v>0</v>
      </c>
      <c r="G1058" s="742">
        <f>SUBTOTAL(9,G1046:G1057)</f>
        <v>0</v>
      </c>
      <c r="H1058" s="742">
        <f>SUBTOTAL(9,H1046:H1057)</f>
        <v>0</v>
      </c>
      <c r="I1058" s="742">
        <f>SUBTOTAL(9,I1046:I1057)</f>
        <v>0</v>
      </c>
      <c r="J1058" s="742">
        <f>SUBTOTAL(9,J1046:J1057)</f>
        <v>0</v>
      </c>
      <c r="K1058" s="742">
        <f>SUBTOTAL(9,K1046:K1057)</f>
        <v>0</v>
      </c>
      <c r="L1058" s="742">
        <f t="shared" ref="L1058:O1058" si="1031">SUBTOTAL(9,L1046:L1057)</f>
        <v>0</v>
      </c>
      <c r="M1058" s="742">
        <f t="shared" si="1031"/>
        <v>0</v>
      </c>
      <c r="N1058" s="742">
        <f t="shared" si="1031"/>
        <v>0</v>
      </c>
      <c r="O1058" s="742">
        <f t="shared" si="1031"/>
        <v>0</v>
      </c>
      <c r="P1058" s="742">
        <f t="shared" si="1030"/>
        <v>0</v>
      </c>
      <c r="Q1058" s="743">
        <f>SUBTOTAL(9,Q1046:Q1057)</f>
        <v>0</v>
      </c>
      <c r="R1058" s="742">
        <f t="shared" si="1030"/>
        <v>0</v>
      </c>
      <c r="S1058" s="742">
        <f t="shared" si="1030"/>
        <v>0</v>
      </c>
      <c r="T1058" s="742">
        <f t="shared" si="1030"/>
        <v>0</v>
      </c>
      <c r="U1058" s="742">
        <f t="shared" si="1030"/>
        <v>0</v>
      </c>
    </row>
    <row r="1059" spans="2:21" s="119" customFormat="1" ht="18.75" hidden="1" x14ac:dyDescent="0.25">
      <c r="B1059" s="340"/>
      <c r="D1059" s="117"/>
      <c r="E1059" s="117"/>
      <c r="F1059" s="118"/>
      <c r="G1059" s="118"/>
      <c r="I1059" s="118"/>
      <c r="J1059" s="118"/>
      <c r="K1059" s="118"/>
      <c r="L1059" s="118"/>
      <c r="O1059" s="118"/>
      <c r="Q1059" s="120"/>
      <c r="R1059" s="117"/>
      <c r="S1059" s="118"/>
      <c r="U1059" s="118"/>
    </row>
    <row r="1060" spans="2:21" s="119" customFormat="1" ht="75" hidden="1" x14ac:dyDescent="0.25">
      <c r="B1060" s="301"/>
      <c r="C1060" s="119">
        <f>IF($E1060&gt;0,1,0)</f>
        <v>0</v>
      </c>
      <c r="D1060" s="96" t="str">
        <f>A65</f>
        <v>Yates</v>
      </c>
      <c r="E1060" s="166">
        <f>IFERROR(SUMIF(A:A,D1060,B:B),0)</f>
        <v>0</v>
      </c>
      <c r="F1060" s="98" t="s">
        <v>356</v>
      </c>
      <c r="G1060" s="98" t="s">
        <v>373</v>
      </c>
      <c r="H1060" s="98" t="s">
        <v>358</v>
      </c>
      <c r="I1060" s="98" t="s">
        <v>109</v>
      </c>
      <c r="J1060" s="98" t="s">
        <v>111</v>
      </c>
      <c r="K1060" s="98" t="s">
        <v>469</v>
      </c>
      <c r="L1060" s="98" t="s">
        <v>470</v>
      </c>
      <c r="M1060" s="98" t="s">
        <v>357</v>
      </c>
      <c r="N1060" s="509" t="s">
        <v>471</v>
      </c>
      <c r="O1060" s="98" t="s">
        <v>472</v>
      </c>
      <c r="P1060" s="98" t="s">
        <v>110</v>
      </c>
      <c r="Q1060" s="99" t="s">
        <v>116</v>
      </c>
      <c r="R1060" s="98" t="s">
        <v>112</v>
      </c>
      <c r="S1060" s="98" t="s">
        <v>113</v>
      </c>
      <c r="T1060" s="98" t="s">
        <v>114</v>
      </c>
      <c r="U1060" s="98" t="s">
        <v>115</v>
      </c>
    </row>
    <row r="1061" spans="2:21" s="119" customFormat="1" ht="18.75" hidden="1" x14ac:dyDescent="0.25">
      <c r="B1061" s="301"/>
      <c r="C1061" s="119">
        <f>C1060</f>
        <v>0</v>
      </c>
      <c r="D1061" s="101"/>
      <c r="E1061" s="102"/>
      <c r="F1061" s="84" t="s">
        <v>57</v>
      </c>
      <c r="G1061" s="84" t="s">
        <v>56</v>
      </c>
      <c r="H1061" s="84" t="s">
        <v>55</v>
      </c>
      <c r="I1061" s="84" t="s">
        <v>54</v>
      </c>
      <c r="J1061" s="84" t="s">
        <v>53</v>
      </c>
      <c r="K1061" s="84" t="s">
        <v>52</v>
      </c>
      <c r="L1061" s="84" t="s">
        <v>51</v>
      </c>
      <c r="M1061" s="84" t="s">
        <v>50</v>
      </c>
      <c r="N1061" s="84" t="s">
        <v>49</v>
      </c>
      <c r="O1061" s="84" t="s">
        <v>47</v>
      </c>
      <c r="P1061" s="84" t="s">
        <v>77</v>
      </c>
      <c r="Q1061" s="83" t="s">
        <v>78</v>
      </c>
      <c r="R1061" s="84" t="s">
        <v>79</v>
      </c>
      <c r="S1061" s="84" t="s">
        <v>81</v>
      </c>
      <c r="T1061" s="84" t="s">
        <v>83</v>
      </c>
      <c r="U1061" s="84" t="s">
        <v>85</v>
      </c>
    </row>
    <row r="1062" spans="2:21" s="119" customFormat="1" ht="18.75" hidden="1" x14ac:dyDescent="0.3">
      <c r="B1062" s="301"/>
      <c r="C1062" s="119">
        <f t="shared" ref="C1062:C1075" si="1032">C1061</f>
        <v>0</v>
      </c>
      <c r="D1062" s="103" t="s">
        <v>26</v>
      </c>
      <c r="E1062" s="104"/>
      <c r="F1062" s="745"/>
      <c r="G1062" s="745"/>
      <c r="H1062" s="746"/>
      <c r="I1062" s="745"/>
      <c r="J1062" s="745"/>
      <c r="K1062" s="745"/>
      <c r="L1062" s="745"/>
      <c r="M1062" s="746"/>
      <c r="N1062" s="746"/>
      <c r="O1062" s="745"/>
      <c r="P1062" s="746"/>
      <c r="Q1062" s="747"/>
      <c r="R1062" s="748"/>
      <c r="S1062" s="745"/>
      <c r="T1062" s="746"/>
      <c r="U1062" s="749"/>
    </row>
    <row r="1063" spans="2:21" s="119" customFormat="1" ht="18.75" hidden="1" x14ac:dyDescent="0.25">
      <c r="B1063" s="301"/>
      <c r="C1063" s="119">
        <f t="shared" si="1032"/>
        <v>0</v>
      </c>
      <c r="D1063" s="109" t="s">
        <v>93</v>
      </c>
      <c r="E1063" s="76" t="s">
        <v>57</v>
      </c>
      <c r="F1063" s="733">
        <f>$F$6*$E$1060</f>
        <v>0</v>
      </c>
      <c r="G1063" s="733">
        <f>$G$6*$E$1060</f>
        <v>0</v>
      </c>
      <c r="H1063" s="733">
        <f>$H$6*$E$1060</f>
        <v>0</v>
      </c>
      <c r="I1063" s="733">
        <f>$I$6*$E$1060</f>
        <v>0</v>
      </c>
      <c r="J1063" s="733">
        <f>$J$6*$E$1060</f>
        <v>0</v>
      </c>
      <c r="K1063" s="733">
        <f>K$6*$E$1060</f>
        <v>0</v>
      </c>
      <c r="L1063" s="733">
        <f t="shared" ref="L1063:O1063" si="1033">L$6*$E$1060</f>
        <v>0</v>
      </c>
      <c r="M1063" s="733">
        <f t="shared" si="1033"/>
        <v>0</v>
      </c>
      <c r="N1063" s="733">
        <f t="shared" si="1033"/>
        <v>0</v>
      </c>
      <c r="O1063" s="733">
        <f t="shared" si="1033"/>
        <v>0</v>
      </c>
      <c r="P1063" s="733">
        <f>$P$6*$E$1060</f>
        <v>0</v>
      </c>
      <c r="Q1063" s="734">
        <f t="shared" ref="Q1063:Q1074" si="1034">SUM(F1063:P1063)</f>
        <v>0</v>
      </c>
      <c r="R1063" s="733">
        <f>$R$6*$E$1060</f>
        <v>0</v>
      </c>
      <c r="S1063" s="733">
        <f>$S$6*$E$1060</f>
        <v>0</v>
      </c>
      <c r="T1063" s="733">
        <f ca="1">$T$6*$E$1060</f>
        <v>0</v>
      </c>
      <c r="U1063" s="733">
        <f ca="1">$U$6*$E$1060</f>
        <v>0</v>
      </c>
    </row>
    <row r="1064" spans="2:21" s="119" customFormat="1" ht="18.75" hidden="1" x14ac:dyDescent="0.25">
      <c r="B1064" s="301"/>
      <c r="C1064" s="119">
        <f t="shared" si="1032"/>
        <v>0</v>
      </c>
      <c r="D1064" s="110" t="s">
        <v>92</v>
      </c>
      <c r="E1064" s="76" t="s">
        <v>56</v>
      </c>
      <c r="F1064" s="733">
        <f>$F$7*$E$1060</f>
        <v>0</v>
      </c>
      <c r="G1064" s="733">
        <f>$G$7*$E$1060</f>
        <v>0</v>
      </c>
      <c r="H1064" s="733">
        <f>$H$7*$E$1060</f>
        <v>0</v>
      </c>
      <c r="I1064" s="733">
        <f>$I$7*$E$1060</f>
        <v>0</v>
      </c>
      <c r="J1064" s="733">
        <f>$J$7*$E$1060</f>
        <v>0</v>
      </c>
      <c r="K1064" s="733">
        <f>K$7*$E$1060</f>
        <v>0</v>
      </c>
      <c r="L1064" s="733">
        <f t="shared" ref="L1064:O1064" si="1035">L$7*$E$1060</f>
        <v>0</v>
      </c>
      <c r="M1064" s="733">
        <f t="shared" si="1035"/>
        <v>0</v>
      </c>
      <c r="N1064" s="733">
        <f t="shared" si="1035"/>
        <v>0</v>
      </c>
      <c r="O1064" s="733">
        <f t="shared" si="1035"/>
        <v>0</v>
      </c>
      <c r="P1064" s="733">
        <f>$P$7*$E$1060</f>
        <v>0</v>
      </c>
      <c r="Q1064" s="734">
        <f t="shared" si="1034"/>
        <v>0</v>
      </c>
      <c r="R1064" s="733">
        <f>$R$7*$E$1060</f>
        <v>0</v>
      </c>
      <c r="S1064" s="733">
        <f>$S$7*$E$1060</f>
        <v>0</v>
      </c>
      <c r="T1064" s="733">
        <f>$T$7*$E$1060</f>
        <v>0</v>
      </c>
      <c r="U1064" s="733">
        <f>$U$7*$E$1060</f>
        <v>0</v>
      </c>
    </row>
    <row r="1065" spans="2:21" s="119" customFormat="1" ht="18.75" hidden="1" x14ac:dyDescent="0.25">
      <c r="B1065" s="301"/>
      <c r="C1065" s="119">
        <f t="shared" si="1032"/>
        <v>0</v>
      </c>
      <c r="D1065" s="110" t="s">
        <v>91</v>
      </c>
      <c r="E1065" s="76" t="s">
        <v>55</v>
      </c>
      <c r="F1065" s="733">
        <f>$F$8*$E$1060</f>
        <v>0</v>
      </c>
      <c r="G1065" s="733">
        <f>$G$8*$E$1060</f>
        <v>0</v>
      </c>
      <c r="H1065" s="733">
        <f>$H$8*$E$1060</f>
        <v>0</v>
      </c>
      <c r="I1065" s="733">
        <f>$I$8*$E$1060</f>
        <v>0</v>
      </c>
      <c r="J1065" s="733">
        <f>$J$8*$E$1060</f>
        <v>0</v>
      </c>
      <c r="K1065" s="733">
        <f>K$8*$E$1060</f>
        <v>0</v>
      </c>
      <c r="L1065" s="733">
        <f t="shared" ref="L1065:O1065" si="1036">L$8*$E$1060</f>
        <v>0</v>
      </c>
      <c r="M1065" s="733">
        <f t="shared" si="1036"/>
        <v>0</v>
      </c>
      <c r="N1065" s="733">
        <f t="shared" si="1036"/>
        <v>0</v>
      </c>
      <c r="O1065" s="733">
        <f t="shared" si="1036"/>
        <v>0</v>
      </c>
      <c r="P1065" s="733">
        <f>$P$8*$E$1060</f>
        <v>0</v>
      </c>
      <c r="Q1065" s="734">
        <f t="shared" si="1034"/>
        <v>0</v>
      </c>
      <c r="R1065" s="733">
        <f>$R$8*$E$1060</f>
        <v>0</v>
      </c>
      <c r="S1065" s="733">
        <f>$S$8*$E$1060</f>
        <v>0</v>
      </c>
      <c r="T1065" s="733">
        <f ca="1">$T$8*$E$1060</f>
        <v>0</v>
      </c>
      <c r="U1065" s="733">
        <f ca="1">$U$8*$E$1060</f>
        <v>0</v>
      </c>
    </row>
    <row r="1066" spans="2:21" s="119" customFormat="1" ht="18.75" hidden="1" x14ac:dyDescent="0.25">
      <c r="B1066" s="301"/>
      <c r="C1066" s="119">
        <f t="shared" si="1032"/>
        <v>0</v>
      </c>
      <c r="D1066" s="111" t="s">
        <v>117</v>
      </c>
      <c r="E1066" s="76" t="s">
        <v>54</v>
      </c>
      <c r="F1066" s="733">
        <f>$F$9*$E$1060</f>
        <v>0</v>
      </c>
      <c r="G1066" s="733">
        <f>$G$9*$E$1060</f>
        <v>0</v>
      </c>
      <c r="H1066" s="733">
        <f>$H$9*$E$1060</f>
        <v>0</v>
      </c>
      <c r="I1066" s="733">
        <f>$I$9*$E$1060</f>
        <v>0</v>
      </c>
      <c r="J1066" s="733">
        <f>$J$9*$E$1060</f>
        <v>0</v>
      </c>
      <c r="K1066" s="733">
        <f>K$9*$E$1060</f>
        <v>0</v>
      </c>
      <c r="L1066" s="733">
        <f t="shared" ref="L1066:O1066" si="1037">L$9*$E$1060</f>
        <v>0</v>
      </c>
      <c r="M1066" s="733">
        <f t="shared" si="1037"/>
        <v>0</v>
      </c>
      <c r="N1066" s="733">
        <f t="shared" si="1037"/>
        <v>0</v>
      </c>
      <c r="O1066" s="733">
        <f t="shared" si="1037"/>
        <v>0</v>
      </c>
      <c r="P1066" s="733">
        <f>$P$9*$E$1060</f>
        <v>0</v>
      </c>
      <c r="Q1066" s="734">
        <f t="shared" si="1034"/>
        <v>0</v>
      </c>
      <c r="R1066" s="733">
        <f>$R$9*$E$1060</f>
        <v>0</v>
      </c>
      <c r="S1066" s="733">
        <f>$S$9*$E$1060</f>
        <v>0</v>
      </c>
      <c r="T1066" s="733">
        <f>$T$9*$E$1060</f>
        <v>0</v>
      </c>
      <c r="U1066" s="733">
        <f>$U$9*$E$1060</f>
        <v>0</v>
      </c>
    </row>
    <row r="1067" spans="2:21" s="119" customFormat="1" ht="18.75" hidden="1" x14ac:dyDescent="0.3">
      <c r="B1067" s="301"/>
      <c r="C1067" s="119">
        <f t="shared" si="1032"/>
        <v>0</v>
      </c>
      <c r="D1067" s="112" t="s">
        <v>31</v>
      </c>
      <c r="E1067" s="76"/>
      <c r="F1067" s="750"/>
      <c r="G1067" s="735"/>
      <c r="H1067" s="736"/>
      <c r="I1067" s="735"/>
      <c r="J1067" s="735"/>
      <c r="K1067" s="735"/>
      <c r="L1067" s="735"/>
      <c r="M1067" s="735"/>
      <c r="N1067" s="735"/>
      <c r="O1067" s="735"/>
      <c r="P1067" s="738"/>
      <c r="Q1067" s="734">
        <f t="shared" si="1034"/>
        <v>0</v>
      </c>
      <c r="R1067" s="739"/>
      <c r="S1067" s="735"/>
      <c r="T1067" s="740"/>
      <c r="U1067" s="741"/>
    </row>
    <row r="1068" spans="2:21" s="119" customFormat="1" ht="18.75" hidden="1" x14ac:dyDescent="0.3">
      <c r="B1068" s="301"/>
      <c r="C1068" s="119">
        <f t="shared" si="1032"/>
        <v>0</v>
      </c>
      <c r="D1068" s="113" t="s">
        <v>118</v>
      </c>
      <c r="E1068" s="76" t="s">
        <v>53</v>
      </c>
      <c r="F1068" s="733">
        <f>$F$11*$E$1060</f>
        <v>0</v>
      </c>
      <c r="G1068" s="733">
        <f>$G$11*$E$1060</f>
        <v>0</v>
      </c>
      <c r="H1068" s="733">
        <f>$H$11*$E$1060</f>
        <v>0</v>
      </c>
      <c r="I1068" s="733">
        <f>$I$11*$E$1060</f>
        <v>0</v>
      </c>
      <c r="J1068" s="733">
        <f>$J$11*$E$1060</f>
        <v>0</v>
      </c>
      <c r="K1068" s="733">
        <f>K$11*$E$1060</f>
        <v>0</v>
      </c>
      <c r="L1068" s="733">
        <f t="shared" ref="L1068:O1068" si="1038">L$11*$E$1060</f>
        <v>0</v>
      </c>
      <c r="M1068" s="733">
        <f t="shared" si="1038"/>
        <v>0</v>
      </c>
      <c r="N1068" s="733">
        <f t="shared" si="1038"/>
        <v>0</v>
      </c>
      <c r="O1068" s="733">
        <f t="shared" si="1038"/>
        <v>0</v>
      </c>
      <c r="P1068" s="733">
        <f>$P$11*$E$1060</f>
        <v>0</v>
      </c>
      <c r="Q1068" s="734">
        <f t="shared" si="1034"/>
        <v>0</v>
      </c>
      <c r="R1068" s="733">
        <f>$R$11*$E$1060</f>
        <v>0</v>
      </c>
      <c r="S1068" s="733">
        <f>$S$11*$E$1060</f>
        <v>0</v>
      </c>
      <c r="T1068" s="733">
        <f>$T$11*$E$1060</f>
        <v>0</v>
      </c>
      <c r="U1068" s="733">
        <f>$U$11*$E$1060</f>
        <v>0</v>
      </c>
    </row>
    <row r="1069" spans="2:21" s="119" customFormat="1" ht="18.75" hidden="1" x14ac:dyDescent="0.3">
      <c r="B1069" s="301"/>
      <c r="C1069" s="119">
        <f t="shared" si="1032"/>
        <v>0</v>
      </c>
      <c r="D1069" s="113" t="s">
        <v>119</v>
      </c>
      <c r="E1069" s="76" t="s">
        <v>52</v>
      </c>
      <c r="F1069" s="733">
        <f>$F$12*$E$1060</f>
        <v>0</v>
      </c>
      <c r="G1069" s="733">
        <f>$G$12*$E$1060</f>
        <v>0</v>
      </c>
      <c r="H1069" s="733">
        <f>$H$12*$E$1060</f>
        <v>0</v>
      </c>
      <c r="I1069" s="733">
        <f>$I$12*$E$1060</f>
        <v>0</v>
      </c>
      <c r="J1069" s="733">
        <f>$J$12*$E$1060</f>
        <v>0</v>
      </c>
      <c r="K1069" s="733">
        <f>K$12*$E$1060</f>
        <v>0</v>
      </c>
      <c r="L1069" s="733">
        <f t="shared" ref="L1069:O1069" si="1039">L$12*$E$1060</f>
        <v>0</v>
      </c>
      <c r="M1069" s="733">
        <f t="shared" si="1039"/>
        <v>0</v>
      </c>
      <c r="N1069" s="733">
        <f t="shared" si="1039"/>
        <v>0</v>
      </c>
      <c r="O1069" s="733">
        <f t="shared" si="1039"/>
        <v>0</v>
      </c>
      <c r="P1069" s="733">
        <f>$P$12*$E$1060</f>
        <v>0</v>
      </c>
      <c r="Q1069" s="734">
        <f t="shared" si="1034"/>
        <v>0</v>
      </c>
      <c r="R1069" s="733">
        <f>$R$12*$E$1060</f>
        <v>0</v>
      </c>
      <c r="S1069" s="733">
        <f>$S$12*$E$1060</f>
        <v>0</v>
      </c>
      <c r="T1069" s="733">
        <f>$T$12*$E$1060</f>
        <v>0</v>
      </c>
      <c r="U1069" s="733">
        <f>$U$12*$E$1060</f>
        <v>0</v>
      </c>
    </row>
    <row r="1070" spans="2:21" s="119" customFormat="1" ht="18.75" hidden="1" x14ac:dyDescent="0.3">
      <c r="B1070" s="301"/>
      <c r="C1070" s="119">
        <f t="shared" si="1032"/>
        <v>0</v>
      </c>
      <c r="D1070" s="113" t="s">
        <v>120</v>
      </c>
      <c r="E1070" s="76" t="s">
        <v>51</v>
      </c>
      <c r="F1070" s="733">
        <f>$F$13*$E$1060</f>
        <v>0</v>
      </c>
      <c r="G1070" s="733">
        <f>$G$13*$E$1060</f>
        <v>0</v>
      </c>
      <c r="H1070" s="733">
        <f>$H$13*$E$1060</f>
        <v>0</v>
      </c>
      <c r="I1070" s="733">
        <f>$I$13*$E$1060</f>
        <v>0</v>
      </c>
      <c r="J1070" s="733">
        <f>$J$13*$E$1060</f>
        <v>0</v>
      </c>
      <c r="K1070" s="733">
        <f>K$13*$E$1060</f>
        <v>0</v>
      </c>
      <c r="L1070" s="733">
        <f t="shared" ref="L1070:O1070" si="1040">L$13*$E$1060</f>
        <v>0</v>
      </c>
      <c r="M1070" s="733">
        <f t="shared" si="1040"/>
        <v>0</v>
      </c>
      <c r="N1070" s="733">
        <f t="shared" si="1040"/>
        <v>0</v>
      </c>
      <c r="O1070" s="733">
        <f t="shared" si="1040"/>
        <v>0</v>
      </c>
      <c r="P1070" s="733">
        <f>$P$13*$E$1060</f>
        <v>0</v>
      </c>
      <c r="Q1070" s="734">
        <f t="shared" si="1034"/>
        <v>0</v>
      </c>
      <c r="R1070" s="733">
        <f>$R$13*$E$1060</f>
        <v>0</v>
      </c>
      <c r="S1070" s="733">
        <f>$S$13*$E$1060</f>
        <v>0</v>
      </c>
      <c r="T1070" s="733">
        <f>$T$13*$E$1060</f>
        <v>0</v>
      </c>
      <c r="U1070" s="733">
        <f>$U$13*$E$1060</f>
        <v>0</v>
      </c>
    </row>
    <row r="1071" spans="2:21" s="119" customFormat="1" ht="18.75" hidden="1" x14ac:dyDescent="0.3">
      <c r="B1071" s="301"/>
      <c r="C1071" s="119">
        <f t="shared" si="1032"/>
        <v>0</v>
      </c>
      <c r="D1071" s="113" t="s">
        <v>121</v>
      </c>
      <c r="E1071" s="76" t="s">
        <v>50</v>
      </c>
      <c r="F1071" s="733">
        <f>$F$14*$E$1060</f>
        <v>0</v>
      </c>
      <c r="G1071" s="733">
        <f>$G$14*$E$1060</f>
        <v>0</v>
      </c>
      <c r="H1071" s="733">
        <f>$H$14*$E$1060</f>
        <v>0</v>
      </c>
      <c r="I1071" s="733">
        <f>$I$14*$E$1060</f>
        <v>0</v>
      </c>
      <c r="J1071" s="733">
        <f>$J$14*$E$1060</f>
        <v>0</v>
      </c>
      <c r="K1071" s="733">
        <f>K$14*$E$1060</f>
        <v>0</v>
      </c>
      <c r="L1071" s="733">
        <f t="shared" ref="L1071:O1071" si="1041">L$14*$E$1060</f>
        <v>0</v>
      </c>
      <c r="M1071" s="733">
        <f t="shared" si="1041"/>
        <v>0</v>
      </c>
      <c r="N1071" s="733">
        <f t="shared" si="1041"/>
        <v>0</v>
      </c>
      <c r="O1071" s="733">
        <f t="shared" si="1041"/>
        <v>0</v>
      </c>
      <c r="P1071" s="733">
        <f>$P$14*$E$1060</f>
        <v>0</v>
      </c>
      <c r="Q1071" s="734">
        <f t="shared" si="1034"/>
        <v>0</v>
      </c>
      <c r="R1071" s="733">
        <f>$R$14*$E$1060</f>
        <v>0</v>
      </c>
      <c r="S1071" s="733">
        <f>$S$14*$E$1060</f>
        <v>0</v>
      </c>
      <c r="T1071" s="733">
        <f>$T$14*$E$1060</f>
        <v>0</v>
      </c>
      <c r="U1071" s="733">
        <f>$U$14*$E$1060</f>
        <v>0</v>
      </c>
    </row>
    <row r="1072" spans="2:21" s="119" customFormat="1" ht="18.75" hidden="1" x14ac:dyDescent="0.3">
      <c r="B1072" s="301"/>
      <c r="C1072" s="119">
        <f t="shared" si="1032"/>
        <v>0</v>
      </c>
      <c r="D1072" s="113" t="s">
        <v>122</v>
      </c>
      <c r="E1072" s="76" t="s">
        <v>49</v>
      </c>
      <c r="F1072" s="733">
        <f>$F$15*$E$1060</f>
        <v>0</v>
      </c>
      <c r="G1072" s="733">
        <f>$G$15*$E$1060</f>
        <v>0</v>
      </c>
      <c r="H1072" s="733">
        <f>$H$15*$E$1060</f>
        <v>0</v>
      </c>
      <c r="I1072" s="733">
        <f>$I$15*$E$1060</f>
        <v>0</v>
      </c>
      <c r="J1072" s="733">
        <f>$J$15*$E$1060</f>
        <v>0</v>
      </c>
      <c r="K1072" s="733">
        <f>K$15*$E$1060</f>
        <v>0</v>
      </c>
      <c r="L1072" s="733">
        <f t="shared" ref="L1072:O1072" si="1042">L$15*$E$1060</f>
        <v>0</v>
      </c>
      <c r="M1072" s="733">
        <f t="shared" si="1042"/>
        <v>0</v>
      </c>
      <c r="N1072" s="733">
        <f t="shared" si="1042"/>
        <v>0</v>
      </c>
      <c r="O1072" s="733">
        <f t="shared" si="1042"/>
        <v>0</v>
      </c>
      <c r="P1072" s="733">
        <f>$P$15*$E$1060</f>
        <v>0</v>
      </c>
      <c r="Q1072" s="734">
        <f t="shared" si="1034"/>
        <v>0</v>
      </c>
      <c r="R1072" s="733">
        <f>$R$15*$E$1060</f>
        <v>0</v>
      </c>
      <c r="S1072" s="733">
        <f>$S$15*$E$1060</f>
        <v>0</v>
      </c>
      <c r="T1072" s="733">
        <f>$T$15*$E$1060</f>
        <v>0</v>
      </c>
      <c r="U1072" s="733">
        <f>$U$15*$E$1060</f>
        <v>0</v>
      </c>
    </row>
    <row r="1073" spans="2:21" s="119" customFormat="1" ht="18.75" hidden="1" x14ac:dyDescent="0.3">
      <c r="B1073" s="301"/>
      <c r="C1073" s="119">
        <f t="shared" si="1032"/>
        <v>0</v>
      </c>
      <c r="D1073" s="113" t="s">
        <v>123</v>
      </c>
      <c r="E1073" s="76" t="s">
        <v>47</v>
      </c>
      <c r="F1073" s="733">
        <f>$F$16*$E$1060</f>
        <v>0</v>
      </c>
      <c r="G1073" s="733">
        <f>$G$16*$E$1060</f>
        <v>0</v>
      </c>
      <c r="H1073" s="733">
        <f>$H$16*$E$1060</f>
        <v>0</v>
      </c>
      <c r="I1073" s="733">
        <f>$I$16*$E$1060</f>
        <v>0</v>
      </c>
      <c r="J1073" s="733">
        <f>$J$16*$E$1060</f>
        <v>0</v>
      </c>
      <c r="K1073" s="733">
        <f>K$16*$E$1060</f>
        <v>0</v>
      </c>
      <c r="L1073" s="733">
        <f t="shared" ref="L1073:O1073" si="1043">L$16*$E$1060</f>
        <v>0</v>
      </c>
      <c r="M1073" s="733">
        <f t="shared" si="1043"/>
        <v>0</v>
      </c>
      <c r="N1073" s="733">
        <f t="shared" si="1043"/>
        <v>0</v>
      </c>
      <c r="O1073" s="733">
        <f t="shared" si="1043"/>
        <v>0</v>
      </c>
      <c r="P1073" s="733">
        <f>$P$16*$E$1060</f>
        <v>0</v>
      </c>
      <c r="Q1073" s="734">
        <f t="shared" si="1034"/>
        <v>0</v>
      </c>
      <c r="R1073" s="733">
        <f>$R$16*$E$1060</f>
        <v>0</v>
      </c>
      <c r="S1073" s="733">
        <f>$S$16*$E$1060</f>
        <v>0</v>
      </c>
      <c r="T1073" s="733">
        <f>$T$16*$E$1060</f>
        <v>0</v>
      </c>
      <c r="U1073" s="733">
        <f>$U$16*$E$1060</f>
        <v>0</v>
      </c>
    </row>
    <row r="1074" spans="2:21" s="119" customFormat="1" ht="19.5" hidden="1" thickBot="1" x14ac:dyDescent="0.35">
      <c r="B1074" s="301"/>
      <c r="C1074" s="119">
        <f t="shared" si="1032"/>
        <v>0</v>
      </c>
      <c r="D1074" s="114" t="s">
        <v>16</v>
      </c>
      <c r="E1074" s="70" t="s">
        <v>77</v>
      </c>
      <c r="F1074" s="733">
        <f>$F$17*$E$1060</f>
        <v>0</v>
      </c>
      <c r="G1074" s="733">
        <f>$G$17*$E$1060</f>
        <v>0</v>
      </c>
      <c r="H1074" s="733">
        <f>$H$17*$E$1060</f>
        <v>0</v>
      </c>
      <c r="I1074" s="733">
        <f>$I$17*$E$1060</f>
        <v>0</v>
      </c>
      <c r="J1074" s="733">
        <f>$J$17*$E$1060</f>
        <v>0</v>
      </c>
      <c r="K1074" s="733">
        <f>K$17*$E$1060</f>
        <v>0</v>
      </c>
      <c r="L1074" s="733">
        <f t="shared" ref="L1074:O1074" si="1044">L$17*$E$1060</f>
        <v>0</v>
      </c>
      <c r="M1074" s="733">
        <f t="shared" si="1044"/>
        <v>0</v>
      </c>
      <c r="N1074" s="733">
        <f t="shared" si="1044"/>
        <v>0</v>
      </c>
      <c r="O1074" s="733">
        <f t="shared" si="1044"/>
        <v>0</v>
      </c>
      <c r="P1074" s="733">
        <f>$P$17*$E$1060</f>
        <v>0</v>
      </c>
      <c r="Q1074" s="734">
        <f t="shared" si="1034"/>
        <v>0</v>
      </c>
      <c r="R1074" s="733">
        <f>$R$17*$E$1060</f>
        <v>0</v>
      </c>
      <c r="S1074" s="733">
        <f>$S$17*$E$1060</f>
        <v>0</v>
      </c>
      <c r="T1074" s="733">
        <f ca="1">$T$17*$E$1060</f>
        <v>0</v>
      </c>
      <c r="U1074" s="733">
        <f ca="1">$U$17*$E$1060</f>
        <v>0</v>
      </c>
    </row>
    <row r="1075" spans="2:21" s="119" customFormat="1" ht="19.5" hidden="1" thickBot="1" x14ac:dyDescent="0.35">
      <c r="B1075" s="301"/>
      <c r="C1075" s="119">
        <f t="shared" si="1032"/>
        <v>0</v>
      </c>
      <c r="D1075" s="115" t="s">
        <v>124</v>
      </c>
      <c r="E1075" s="116" t="s">
        <v>78</v>
      </c>
      <c r="F1075" s="742">
        <f t="shared" ref="F1075:U1075" si="1045">SUBTOTAL(9,F1063:F1074)</f>
        <v>0</v>
      </c>
      <c r="G1075" s="742">
        <f>SUBTOTAL(9,G1063:G1074)</f>
        <v>0</v>
      </c>
      <c r="H1075" s="742">
        <f>SUBTOTAL(9,H1063:H1074)</f>
        <v>0</v>
      </c>
      <c r="I1075" s="742">
        <f>SUBTOTAL(9,I1063:I1074)</f>
        <v>0</v>
      </c>
      <c r="J1075" s="742">
        <f>SUBTOTAL(9,J1063:J1074)</f>
        <v>0</v>
      </c>
      <c r="K1075" s="742">
        <f>SUBTOTAL(9,K1063:K1074)</f>
        <v>0</v>
      </c>
      <c r="L1075" s="742">
        <f t="shared" ref="L1075:O1075" si="1046">SUBTOTAL(9,L1063:L1074)</f>
        <v>0</v>
      </c>
      <c r="M1075" s="742">
        <f t="shared" si="1046"/>
        <v>0</v>
      </c>
      <c r="N1075" s="742">
        <f t="shared" si="1046"/>
        <v>0</v>
      </c>
      <c r="O1075" s="742">
        <f t="shared" si="1046"/>
        <v>0</v>
      </c>
      <c r="P1075" s="742">
        <f t="shared" si="1045"/>
        <v>0</v>
      </c>
      <c r="Q1075" s="743">
        <f>SUBTOTAL(9,Q1063:Q1074)</f>
        <v>0</v>
      </c>
      <c r="R1075" s="742">
        <f t="shared" si="1045"/>
        <v>0</v>
      </c>
      <c r="S1075" s="742">
        <f t="shared" si="1045"/>
        <v>0</v>
      </c>
      <c r="T1075" s="742">
        <f t="shared" si="1045"/>
        <v>0</v>
      </c>
      <c r="U1075" s="742">
        <f t="shared" si="1045"/>
        <v>0</v>
      </c>
    </row>
    <row r="1076" spans="2:21" ht="19.5" thickBot="1" x14ac:dyDescent="0.3">
      <c r="C1076" s="117">
        <v>1</v>
      </c>
      <c r="F1076" s="751"/>
      <c r="G1076" s="751"/>
      <c r="H1076" s="781"/>
      <c r="I1076" s="751"/>
      <c r="J1076" s="751"/>
      <c r="K1076" s="751"/>
      <c r="L1076" s="751"/>
      <c r="M1076" s="781"/>
      <c r="N1076" s="781"/>
      <c r="O1076" s="751"/>
      <c r="P1076" s="781"/>
      <c r="Q1076" s="751"/>
      <c r="R1076" s="752"/>
      <c r="S1076" s="751"/>
      <c r="T1076" s="781"/>
      <c r="U1076" s="751"/>
    </row>
    <row r="1077" spans="2:21" ht="19.5" thickBot="1" x14ac:dyDescent="0.3">
      <c r="C1077" s="117">
        <v>1</v>
      </c>
      <c r="D1077" s="304" t="s">
        <v>368</v>
      </c>
      <c r="E1077" s="305">
        <f>SUM(E1:E1076)</f>
        <v>1</v>
      </c>
      <c r="F1077" s="751"/>
      <c r="G1077" s="751"/>
      <c r="H1077" s="781"/>
      <c r="I1077" s="751"/>
      <c r="J1077" s="751"/>
      <c r="K1077" s="751"/>
      <c r="L1077" s="751"/>
      <c r="M1077" s="781"/>
      <c r="N1077" s="781"/>
      <c r="O1077" s="751"/>
      <c r="P1077" s="781"/>
      <c r="Q1077" s="751"/>
      <c r="R1077" s="752"/>
      <c r="S1077" s="751"/>
      <c r="T1077" s="781"/>
      <c r="U1077" s="751"/>
    </row>
    <row r="1078" spans="2:21" ht="18.75" x14ac:dyDescent="0.25">
      <c r="C1078" s="117">
        <v>1</v>
      </c>
      <c r="F1078" s="751"/>
      <c r="G1078" s="751"/>
      <c r="H1078" s="781"/>
      <c r="I1078" s="751"/>
      <c r="J1078" s="751"/>
      <c r="K1078" s="751"/>
      <c r="L1078" s="751"/>
      <c r="M1078" s="781"/>
      <c r="N1078" s="781"/>
      <c r="O1078" s="751"/>
      <c r="P1078" s="781"/>
      <c r="Q1078" s="751"/>
      <c r="R1078" s="752"/>
      <c r="S1078" s="751"/>
      <c r="T1078" s="781"/>
      <c r="U1078" s="751"/>
    </row>
    <row r="1079" spans="2:21" ht="18.75" x14ac:dyDescent="0.25">
      <c r="C1079" s="117">
        <v>1</v>
      </c>
      <c r="E1079" s="117" t="s">
        <v>68</v>
      </c>
      <c r="F1079" s="791">
        <f t="shared" ref="F1079:U1079" si="1047">SUBTOTAL(9,F26:F1077)</f>
        <v>141314450.60345179</v>
      </c>
      <c r="G1079" s="791">
        <f>SUBTOTAL(9,G26:G1077)</f>
        <v>9020304.8959420808</v>
      </c>
      <c r="H1079" s="791">
        <f>SUBTOTAL(9,H26:H1077)</f>
        <v>19602.859999999997</v>
      </c>
      <c r="I1079" s="791">
        <f>SUBTOTAL(9,I26:I1077)</f>
        <v>3159476.2399999993</v>
      </c>
      <c r="J1079" s="791">
        <f>SUBTOTAL(9,J26:J1077)</f>
        <v>2883283.3050765218</v>
      </c>
      <c r="K1079" s="791">
        <f t="shared" ref="K1079:Q1079" si="1048">SUBTOTAL(9,K26:K1077)</f>
        <v>125710.61847696666</v>
      </c>
      <c r="L1079" s="791">
        <f t="shared" si="1048"/>
        <v>342.95702866239122</v>
      </c>
      <c r="M1079" s="791">
        <f t="shared" si="1048"/>
        <v>89545.2</v>
      </c>
      <c r="N1079" s="791">
        <f t="shared" si="1048"/>
        <v>0</v>
      </c>
      <c r="O1079" s="791">
        <f t="shared" si="1048"/>
        <v>795958.4913587356</v>
      </c>
      <c r="P1079" s="791">
        <f t="shared" si="1048"/>
        <v>3021120.5794047778</v>
      </c>
      <c r="Q1079" s="791">
        <f t="shared" si="1048"/>
        <v>160429795.75073954</v>
      </c>
      <c r="R1079" s="791">
        <f t="shared" si="1047"/>
        <v>0</v>
      </c>
      <c r="S1079" s="791">
        <f t="shared" si="1047"/>
        <v>12072802.954958703</v>
      </c>
      <c r="T1079" s="791">
        <f t="shared" ca="1" si="1047"/>
        <v>4823759.3720295085</v>
      </c>
      <c r="U1079" s="791">
        <f t="shared" ca="1" si="1047"/>
        <v>3352588.7004630272</v>
      </c>
    </row>
    <row r="1080" spans="2:21" ht="18.75" x14ac:dyDescent="0.25">
      <c r="C1080" s="117">
        <v>1</v>
      </c>
      <c r="E1080" s="117" t="s">
        <v>69</v>
      </c>
      <c r="F1080" s="792">
        <f t="shared" ref="F1080:U1080" si="1049">+F1079-F18</f>
        <v>0</v>
      </c>
      <c r="G1080" s="792">
        <f>+G1079-G18</f>
        <v>0</v>
      </c>
      <c r="H1080" s="792">
        <f>+H1079-H18</f>
        <v>0</v>
      </c>
      <c r="I1080" s="792">
        <f>+I1079-I18</f>
        <v>0</v>
      </c>
      <c r="J1080" s="792">
        <f>+J1079-J18</f>
        <v>0</v>
      </c>
      <c r="K1080" s="792"/>
      <c r="L1080" s="792"/>
      <c r="M1080" s="792">
        <f t="shared" si="1049"/>
        <v>0</v>
      </c>
      <c r="N1080" s="792"/>
      <c r="O1080" s="792"/>
      <c r="P1080" s="792">
        <f t="shared" si="1049"/>
        <v>0</v>
      </c>
      <c r="Q1080" s="792">
        <f>+Q1079-Q18</f>
        <v>0</v>
      </c>
      <c r="R1080" s="792">
        <f t="shared" si="1049"/>
        <v>0</v>
      </c>
      <c r="S1080" s="792">
        <f t="shared" si="1049"/>
        <v>0</v>
      </c>
      <c r="T1080" s="792">
        <f t="shared" ca="1" si="1049"/>
        <v>0</v>
      </c>
      <c r="U1080" s="792">
        <f t="shared" ca="1" si="1049"/>
        <v>0</v>
      </c>
    </row>
    <row r="1081" spans="2:21" s="119" customFormat="1" hidden="1" x14ac:dyDescent="0.25">
      <c r="B1081" s="340"/>
      <c r="D1081" s="117"/>
      <c r="E1081" s="117"/>
      <c r="F1081" s="311">
        <f>-F1080/F1079</f>
        <v>0</v>
      </c>
      <c r="G1081" s="118"/>
      <c r="I1081" s="118"/>
      <c r="J1081" s="118"/>
      <c r="K1081" s="118"/>
      <c r="L1081" s="118"/>
      <c r="O1081" s="118"/>
      <c r="Q1081" s="118"/>
      <c r="R1081" s="117"/>
      <c r="S1081" s="118"/>
      <c r="U1081" s="118"/>
    </row>
  </sheetData>
  <autoFilter ref="A1:X1081" xr:uid="{00000000-0009-0000-0000-000015000000}">
    <filterColumn colId="2">
      <filters>
        <filter val="1"/>
      </filters>
    </filterColumn>
    <filterColumn colId="4" showButton="0"/>
    <filterColumn colId="5" showButton="0"/>
    <filterColumn colId="6" hiddenButton="1" showButton="0"/>
    <filterColumn colId="12" showButton="0"/>
  </autoFilter>
  <customSheetViews>
    <customSheetView guid="{DE5AAEC6-B417-4CB5-A2E1-8776196B56AA}" scale="58" showPageBreaks="1" fitToPage="1" printArea="1">
      <selection activeCell="A4" sqref="A4:B13"/>
      <pageMargins left="0.7" right="0.7" top="0.75" bottom="0.75" header="0.3" footer="0.3"/>
      <pageSetup paperSize="17" scale="50" orientation="landscape" r:id="rId1"/>
    </customSheetView>
    <customSheetView guid="{3ACE1F12-3844-4D90-9B24-992DA32A7B7A}" scale="58" fitToPage="1">
      <selection activeCell="A4" sqref="A4:B13"/>
      <pageMargins left="0.7" right="0.7" top="0.75" bottom="0.75" header="0.3" footer="0.3"/>
      <pageSetup paperSize="17" scale="50" orientation="landscape" r:id="rId2"/>
    </customSheetView>
  </customSheetViews>
  <conditionalFormatting sqref="E1077">
    <cfRule type="cellIs" dxfId="477" priority="10" operator="lessThan">
      <formula>1</formula>
    </cfRule>
    <cfRule type="cellIs" dxfId="476" priority="11" operator="equal">
      <formula>1</formula>
    </cfRule>
  </conditionalFormatting>
  <conditionalFormatting sqref="F1080:U1080">
    <cfRule type="cellIs" dxfId="475" priority="7" operator="lessThan">
      <formula>0</formula>
    </cfRule>
    <cfRule type="cellIs" dxfId="474" priority="8" operator="greaterThan">
      <formula>0</formula>
    </cfRule>
    <cfRule type="cellIs" dxfId="473" priority="9" operator="equal">
      <formula>0</formula>
    </cfRule>
  </conditionalFormatting>
  <conditionalFormatting sqref="V6">
    <cfRule type="containsText" dxfId="472" priority="5" operator="containsText" text="TRUE">
      <formula>NOT(ISERROR(SEARCH("TRUE",V6)))</formula>
    </cfRule>
    <cfRule type="containsText" dxfId="471" priority="6" operator="containsText" text="FALSE">
      <formula>NOT(ISERROR(SEARCH("FALSE",V6)))</formula>
    </cfRule>
  </conditionalFormatting>
  <conditionalFormatting sqref="V8">
    <cfRule type="containsText" dxfId="470" priority="3" operator="containsText" text="TRUE">
      <formula>NOT(ISERROR(SEARCH("TRUE",V8)))</formula>
    </cfRule>
    <cfRule type="containsText" dxfId="469" priority="4" operator="containsText" text="FALSE">
      <formula>NOT(ISERROR(SEARCH("FALSE",V8)))</formula>
    </cfRule>
  </conditionalFormatting>
  <conditionalFormatting sqref="V17">
    <cfRule type="containsText" dxfId="468" priority="1" operator="containsText" text="TRUE">
      <formula>NOT(ISERROR(SEARCH("TRUE",V17)))</formula>
    </cfRule>
    <cfRule type="containsText" dxfId="467" priority="2" operator="containsText" text="FALSE">
      <formula>NOT(ISERROR(SEARCH("FALSE",V17)))</formula>
    </cfRule>
  </conditionalFormatting>
  <pageMargins left="0.7" right="0.7" top="0.75" bottom="0.75" header="0.3" footer="0.3"/>
  <pageSetup paperSize="17" scale="18" orientation="landscape"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5" filterMode="1">
    <tabColor rgb="FF92D050"/>
    <pageSetUpPr fitToPage="1"/>
  </sheetPr>
  <dimension ref="A1:X891"/>
  <sheetViews>
    <sheetView zoomScale="85" zoomScaleNormal="85" workbookViewId="0"/>
  </sheetViews>
  <sheetFormatPr defaultColWidth="7.28515625" defaultRowHeight="15" x14ac:dyDescent="0.25"/>
  <cols>
    <col min="1" max="1" width="16.28515625" style="119" bestFit="1" customWidth="1"/>
    <col min="2" max="2" width="13.28515625" style="119" customWidth="1"/>
    <col min="3" max="3" width="11.7109375" style="294" customWidth="1"/>
    <col min="4" max="4" width="56.42578125" style="117" bestFit="1" customWidth="1"/>
    <col min="5" max="5" width="19.42578125" style="117" bestFit="1" customWidth="1"/>
    <col min="6" max="7" width="22.7109375" style="117" customWidth="1"/>
    <col min="8" max="12" width="22.7109375" style="118" customWidth="1"/>
    <col min="13" max="13" width="22.7109375" style="117" customWidth="1"/>
    <col min="14" max="16" width="22.7109375" style="118" customWidth="1"/>
    <col min="17" max="17" width="19" style="118" customWidth="1"/>
    <col min="18" max="20" width="22.7109375" style="118" customWidth="1"/>
    <col min="21" max="21" width="22" style="118" customWidth="1"/>
    <col min="22" max="22" width="8.42578125" style="119" bestFit="1" customWidth="1"/>
    <col min="23" max="23" width="14.7109375" style="119" bestFit="1" customWidth="1"/>
    <col min="24" max="24" width="12.42578125" style="119" bestFit="1" customWidth="1"/>
    <col min="25" max="16384" width="7.28515625" style="119"/>
  </cols>
  <sheetData>
    <row r="1" spans="1:24" s="62" customFormat="1" ht="18.75" x14ac:dyDescent="0.25">
      <c r="A1" s="289" t="s">
        <v>15</v>
      </c>
      <c r="C1" s="291">
        <v>1</v>
      </c>
      <c r="D1" s="94" t="s">
        <v>65</v>
      </c>
      <c r="E1" s="546"/>
      <c r="F1" s="547"/>
      <c r="G1" s="90"/>
      <c r="H1" s="548"/>
      <c r="J1" s="90"/>
      <c r="K1" s="90"/>
      <c r="L1" s="90"/>
      <c r="M1" s="547"/>
      <c r="N1" s="90"/>
      <c r="O1" s="90"/>
      <c r="R1" s="90"/>
    </row>
    <row r="2" spans="1:24" s="62" customFormat="1" ht="19.5" thickBot="1" x14ac:dyDescent="0.3">
      <c r="C2" s="291">
        <v>1</v>
      </c>
      <c r="D2" s="95" t="s">
        <v>66</v>
      </c>
      <c r="E2" s="549"/>
      <c r="F2" s="550"/>
      <c r="G2" s="90"/>
      <c r="H2" s="551"/>
      <c r="J2" s="90"/>
      <c r="K2" s="90"/>
      <c r="L2" s="90"/>
      <c r="M2" s="550"/>
      <c r="N2" s="90"/>
      <c r="O2" s="90"/>
      <c r="R2" s="90"/>
    </row>
    <row r="3" spans="1:24" s="121" customFormat="1" ht="93.75" x14ac:dyDescent="0.25">
      <c r="C3" s="292">
        <v>1</v>
      </c>
      <c r="D3" s="96" t="s">
        <v>125</v>
      </c>
      <c r="E3" s="97"/>
      <c r="F3" s="98" t="s">
        <v>356</v>
      </c>
      <c r="G3" s="98" t="s">
        <v>373</v>
      </c>
      <c r="H3" s="98" t="s">
        <v>358</v>
      </c>
      <c r="I3" s="98" t="s">
        <v>109</v>
      </c>
      <c r="J3" s="98" t="s">
        <v>111</v>
      </c>
      <c r="K3" s="98" t="s">
        <v>469</v>
      </c>
      <c r="L3" s="98" t="s">
        <v>470</v>
      </c>
      <c r="M3" s="98" t="s">
        <v>357</v>
      </c>
      <c r="N3" s="557" t="s">
        <v>471</v>
      </c>
      <c r="O3" s="557" t="s">
        <v>473</v>
      </c>
      <c r="P3" s="98" t="s">
        <v>110</v>
      </c>
      <c r="Q3" s="99" t="s">
        <v>116</v>
      </c>
      <c r="R3" s="98" t="s">
        <v>112</v>
      </c>
      <c r="S3" s="98" t="s">
        <v>113</v>
      </c>
      <c r="T3" s="98" t="s">
        <v>114</v>
      </c>
      <c r="U3" s="98" t="s">
        <v>115</v>
      </c>
    </row>
    <row r="4" spans="1:24" s="121" customFormat="1" ht="18.75" x14ac:dyDescent="0.25">
      <c r="A4" s="60" t="s">
        <v>303</v>
      </c>
      <c r="B4" s="24">
        <f>IFERROR(+GETPIVOTDATA("Unique Billed Hours",'County allocation'!$A$3,"County",A4,"HHA/CDPAP","CDPAP"),0)</f>
        <v>2.8863005701790602E-2</v>
      </c>
      <c r="C4" s="292">
        <v>1</v>
      </c>
      <c r="D4" s="101"/>
      <c r="E4" s="102"/>
      <c r="F4" s="84" t="s">
        <v>57</v>
      </c>
      <c r="G4" s="84" t="s">
        <v>56</v>
      </c>
      <c r="H4" s="84" t="s">
        <v>55</v>
      </c>
      <c r="I4" s="84" t="s">
        <v>54</v>
      </c>
      <c r="J4" s="84" t="s">
        <v>53</v>
      </c>
      <c r="K4" s="84" t="s">
        <v>52</v>
      </c>
      <c r="L4" s="84" t="s">
        <v>51</v>
      </c>
      <c r="M4" s="84" t="s">
        <v>50</v>
      </c>
      <c r="N4" s="84" t="s">
        <v>49</v>
      </c>
      <c r="O4" s="84" t="s">
        <v>47</v>
      </c>
      <c r="P4" s="84" t="s">
        <v>77</v>
      </c>
      <c r="Q4" s="84" t="s">
        <v>78</v>
      </c>
      <c r="R4" s="84" t="s">
        <v>79</v>
      </c>
      <c r="S4" s="84" t="s">
        <v>81</v>
      </c>
      <c r="T4" s="84" t="s">
        <v>83</v>
      </c>
      <c r="U4" s="84" t="s">
        <v>85</v>
      </c>
    </row>
    <row r="5" spans="1:24" s="100" customFormat="1" ht="18.75" x14ac:dyDescent="0.25">
      <c r="A5" s="60" t="s">
        <v>304</v>
      </c>
      <c r="B5" s="24">
        <f>IFERROR(+GETPIVOTDATA("Unique Billed Hours",'County allocation'!$A$3,"County",A5,"HHA/CDPAP","CDPAP"),0)</f>
        <v>6.0503815062404201E-4</v>
      </c>
      <c r="C5" s="293">
        <v>1</v>
      </c>
      <c r="D5" s="103" t="s">
        <v>26</v>
      </c>
      <c r="E5" s="122"/>
      <c r="F5" s="123"/>
      <c r="G5" s="123"/>
      <c r="H5" s="107"/>
      <c r="I5" s="107"/>
      <c r="J5" s="107"/>
      <c r="K5" s="107"/>
      <c r="L5" s="107"/>
      <c r="M5" s="123"/>
      <c r="N5" s="107"/>
      <c r="O5" s="107"/>
      <c r="P5" s="107"/>
      <c r="Q5" s="108"/>
      <c r="R5" s="107"/>
      <c r="S5" s="107"/>
      <c r="T5" s="107"/>
      <c r="U5" s="107"/>
    </row>
    <row r="6" spans="1:24" s="100" customFormat="1" ht="18.75" x14ac:dyDescent="0.25">
      <c r="A6" s="60" t="s">
        <v>305</v>
      </c>
      <c r="B6" s="24">
        <f>IFERROR(+GETPIVOTDATA("Unique Billed Hours",'County allocation'!$A$3,"County",A6,"HHA/CDPAP","CDPAP"),0)</f>
        <v>0.10098052035465671</v>
      </c>
      <c r="C6" s="293">
        <v>1</v>
      </c>
      <c r="D6" s="124" t="s">
        <v>105</v>
      </c>
      <c r="E6" s="76" t="s">
        <v>57</v>
      </c>
      <c r="F6" s="176">
        <f>'Payroll Reports Input'!V6</f>
        <v>70530391.739999995</v>
      </c>
      <c r="G6" s="176">
        <f>'Payroll Reports Input'!W6</f>
        <v>1586034.14</v>
      </c>
      <c r="H6" s="176">
        <f>'Payroll Reports Input'!X6</f>
        <v>0</v>
      </c>
      <c r="I6" s="176">
        <f>'Payroll Reports Input'!Y6</f>
        <v>2021422.6</v>
      </c>
      <c r="J6" s="176">
        <f>'Payroll Reports Input'!Z6</f>
        <v>231745.75</v>
      </c>
      <c r="K6" s="176">
        <f>'Payroll Reports Input'!AA6</f>
        <v>70336.03</v>
      </c>
      <c r="L6" s="176">
        <f>'Payroll Reports Input'!AB6</f>
        <v>0</v>
      </c>
      <c r="M6" s="176">
        <f>'Payroll Reports Input'!AC6</f>
        <v>0</v>
      </c>
      <c r="N6" s="176">
        <f>'Payroll Reports Input'!AD6</f>
        <v>0</v>
      </c>
      <c r="O6" s="176">
        <f>'Payroll Reports Input'!AE6</f>
        <v>1980</v>
      </c>
      <c r="P6" s="176">
        <f>'Payroll Reports Input'!AF6</f>
        <v>0</v>
      </c>
      <c r="Q6" s="175">
        <f>SUM(F6:P6)</f>
        <v>74441910.25999999</v>
      </c>
      <c r="R6" s="176">
        <f>'Payroll Reports Input'!AH6</f>
        <v>0</v>
      </c>
      <c r="S6" s="176">
        <f>'Payroll Reports Input'!AI6</f>
        <v>5680760.9699999997</v>
      </c>
      <c r="T6" s="176">
        <f ca="1">'Payroll Reports Input'!AJ6</f>
        <v>2417944.7313704686</v>
      </c>
      <c r="U6" s="176">
        <f ca="1">'Payroll Reports Input'!AK6</f>
        <v>1796968.6631396641</v>
      </c>
      <c r="V6" s="100" t="b">
        <f ca="1">'Payroll Reports Input'!AL6='Schedule 11c'!W6</f>
        <v>1</v>
      </c>
      <c r="W6" s="283">
        <f ca="1">SUM(Q6:U6)</f>
        <v>84337584.624510124</v>
      </c>
      <c r="X6" s="283">
        <f ca="1">SUM(R6:U6)</f>
        <v>9895674.364510132</v>
      </c>
    </row>
    <row r="7" spans="1:24" s="100" customFormat="1" ht="18.75" x14ac:dyDescent="0.25">
      <c r="A7" s="60" t="s">
        <v>306</v>
      </c>
      <c r="B7" s="24">
        <f>IFERROR(+GETPIVOTDATA("Unique Billed Hours",'County allocation'!$A$3,"County",A7,"HHA/CDPAP","CDPAP"),0)</f>
        <v>1.3044882123262387E-2</v>
      </c>
      <c r="C7" s="293">
        <v>1</v>
      </c>
      <c r="D7" s="112" t="s">
        <v>31</v>
      </c>
      <c r="E7" s="76"/>
      <c r="F7" s="177"/>
      <c r="G7" s="177"/>
      <c r="H7" s="178"/>
      <c r="I7" s="178"/>
      <c r="J7" s="178"/>
      <c r="K7" s="178"/>
      <c r="L7" s="178"/>
      <c r="M7" s="177"/>
      <c r="N7" s="178"/>
      <c r="O7" s="178"/>
      <c r="P7" s="178"/>
      <c r="Q7" s="179"/>
      <c r="R7" s="178"/>
      <c r="S7" s="178"/>
      <c r="T7" s="178"/>
      <c r="U7" s="178"/>
    </row>
    <row r="8" spans="1:24" s="100" customFormat="1" ht="18.75" x14ac:dyDescent="0.3">
      <c r="A8" s="60" t="s">
        <v>307</v>
      </c>
      <c r="B8" s="24">
        <f>IFERROR(+GETPIVOTDATA("Unique Billed Hours",'County allocation'!$A$3,"County",A8,"HHA/CDPAP","CDPAP"),0)</f>
        <v>2.4245220368889499E-3</v>
      </c>
      <c r="C8" s="293">
        <v>1</v>
      </c>
      <c r="D8" s="113" t="s">
        <v>118</v>
      </c>
      <c r="E8" s="76" t="s">
        <v>56</v>
      </c>
      <c r="F8" s="180"/>
      <c r="G8" s="180"/>
      <c r="H8" s="181"/>
      <c r="I8" s="180"/>
      <c r="J8" s="180"/>
      <c r="K8" s="181"/>
      <c r="L8" s="181"/>
      <c r="M8" s="180"/>
      <c r="N8" s="181"/>
      <c r="O8" s="181"/>
      <c r="P8" s="181"/>
      <c r="Q8" s="175">
        <f t="shared" ref="Q8:Q14" si="0">SUM(F8:P8)</f>
        <v>0</v>
      </c>
      <c r="R8" s="180"/>
      <c r="S8" s="181"/>
      <c r="T8" s="180"/>
      <c r="U8" s="181"/>
    </row>
    <row r="9" spans="1:24" s="100" customFormat="1" ht="18.75" x14ac:dyDescent="0.3">
      <c r="A9" s="60" t="s">
        <v>308</v>
      </c>
      <c r="B9" s="24">
        <f>IFERROR(+GETPIVOTDATA("Unique Billed Hours",'County allocation'!$A$3,"County",A9,"HHA/CDPAP","CDPAP"),0)</f>
        <v>2.2764753186393966E-3</v>
      </c>
      <c r="C9" s="293">
        <v>1</v>
      </c>
      <c r="D9" s="113" t="s">
        <v>119</v>
      </c>
      <c r="E9" s="76" t="s">
        <v>55</v>
      </c>
      <c r="F9" s="180"/>
      <c r="G9" s="180"/>
      <c r="H9" s="181"/>
      <c r="I9" s="180"/>
      <c r="J9" s="180"/>
      <c r="K9" s="181"/>
      <c r="L9" s="181"/>
      <c r="M9" s="180"/>
      <c r="N9" s="181"/>
      <c r="O9" s="181"/>
      <c r="P9" s="181"/>
      <c r="Q9" s="175">
        <f t="shared" si="0"/>
        <v>0</v>
      </c>
      <c r="R9" s="180"/>
      <c r="S9" s="181"/>
      <c r="T9" s="180"/>
      <c r="U9" s="181"/>
    </row>
    <row r="10" spans="1:24" s="100" customFormat="1" ht="18.75" x14ac:dyDescent="0.3">
      <c r="A10" s="60" t="s">
        <v>309</v>
      </c>
      <c r="B10" s="24">
        <f>IFERROR(+GETPIVOTDATA("Unique Billed Hours",'County allocation'!$A$3,"County",A10,"HHA/CDPAP","CDPAP"),0)</f>
        <v>4.8428754605175017E-3</v>
      </c>
      <c r="C10" s="293">
        <v>1</v>
      </c>
      <c r="D10" s="113" t="s">
        <v>120</v>
      </c>
      <c r="E10" s="76" t="s">
        <v>54</v>
      </c>
      <c r="F10" s="180"/>
      <c r="G10" s="180"/>
      <c r="H10" s="181"/>
      <c r="I10" s="180"/>
      <c r="J10" s="180"/>
      <c r="K10" s="181"/>
      <c r="L10" s="181"/>
      <c r="M10" s="180"/>
      <c r="N10" s="181"/>
      <c r="O10" s="181"/>
      <c r="P10" s="181"/>
      <c r="Q10" s="175">
        <f t="shared" si="0"/>
        <v>0</v>
      </c>
      <c r="R10" s="180"/>
      <c r="S10" s="181"/>
      <c r="T10" s="180"/>
      <c r="U10" s="181"/>
    </row>
    <row r="11" spans="1:24" s="100" customFormat="1" ht="18.75" x14ac:dyDescent="0.3">
      <c r="A11" s="60" t="s">
        <v>310</v>
      </c>
      <c r="B11" s="24">
        <f>IFERROR(+GETPIVOTDATA("Unique Billed Hours",'County allocation'!$A$3,"County",A11,"HHA/CDPAP","CDPAP"),0)</f>
        <v>4.5517940222924687E-3</v>
      </c>
      <c r="C11" s="293">
        <v>1</v>
      </c>
      <c r="D11" s="113" t="s">
        <v>121</v>
      </c>
      <c r="E11" s="76" t="s">
        <v>53</v>
      </c>
      <c r="F11" s="180"/>
      <c r="G11" s="180"/>
      <c r="H11" s="181"/>
      <c r="I11" s="180"/>
      <c r="J11" s="180"/>
      <c r="K11" s="181"/>
      <c r="L11" s="181"/>
      <c r="M11" s="180"/>
      <c r="N11" s="181"/>
      <c r="O11" s="181"/>
      <c r="P11" s="181"/>
      <c r="Q11" s="175">
        <f t="shared" si="0"/>
        <v>0</v>
      </c>
      <c r="R11" s="180"/>
      <c r="S11" s="181"/>
      <c r="T11" s="180"/>
      <c r="U11" s="181"/>
    </row>
    <row r="12" spans="1:24" s="100" customFormat="1" ht="18.75" x14ac:dyDescent="0.3">
      <c r="A12" s="60" t="s">
        <v>360</v>
      </c>
      <c r="B12" s="24">
        <f>IFERROR(+GETPIVOTDATA("Unique Billed Hours",'County allocation'!$A$3,"County",A12,"HHA/CDPAP","CDPAP"),0)</f>
        <v>2.3404746812160262E-3</v>
      </c>
      <c r="C12" s="293">
        <v>1</v>
      </c>
      <c r="D12" s="113" t="s">
        <v>122</v>
      </c>
      <c r="E12" s="76" t="s">
        <v>52</v>
      </c>
      <c r="F12" s="180"/>
      <c r="G12" s="180"/>
      <c r="H12" s="181"/>
      <c r="I12" s="180"/>
      <c r="J12" s="180"/>
      <c r="K12" s="181"/>
      <c r="L12" s="181"/>
      <c r="M12" s="180"/>
      <c r="N12" s="181"/>
      <c r="O12" s="181"/>
      <c r="P12" s="181"/>
      <c r="Q12" s="175">
        <f t="shared" si="0"/>
        <v>0</v>
      </c>
      <c r="R12" s="180"/>
      <c r="S12" s="181"/>
      <c r="T12" s="180"/>
      <c r="U12" s="181"/>
    </row>
    <row r="13" spans="1:24" s="126" customFormat="1" ht="18.75" x14ac:dyDescent="0.3">
      <c r="A13" s="60" t="s">
        <v>311</v>
      </c>
      <c r="B13" s="24">
        <f>IFERROR(+GETPIVOTDATA("Unique Billed Hours",'County allocation'!$A$3,"County",A13,"HHA/CDPAP","CDPAP"),0)</f>
        <v>1.9496030722264293E-3</v>
      </c>
      <c r="C13" s="300">
        <v>1</v>
      </c>
      <c r="D13" s="125" t="s">
        <v>123</v>
      </c>
      <c r="E13" s="76" t="s">
        <v>51</v>
      </c>
      <c r="F13" s="180"/>
      <c r="G13" s="180"/>
      <c r="H13" s="181"/>
      <c r="I13" s="180"/>
      <c r="J13" s="180"/>
      <c r="K13" s="181"/>
      <c r="L13" s="181"/>
      <c r="M13" s="180"/>
      <c r="N13" s="181"/>
      <c r="O13" s="181"/>
      <c r="P13" s="181"/>
      <c r="Q13" s="175">
        <f t="shared" si="0"/>
        <v>0</v>
      </c>
      <c r="R13" s="180"/>
      <c r="S13" s="181"/>
      <c r="T13" s="180"/>
      <c r="U13" s="181"/>
    </row>
    <row r="14" spans="1:24" ht="19.5" thickBot="1" x14ac:dyDescent="0.35">
      <c r="A14" s="60" t="s">
        <v>312</v>
      </c>
      <c r="B14" s="24">
        <f>IFERROR(+GETPIVOTDATA("Unique Billed Hours",'County allocation'!$A$3,"County",A14,"HHA/CDPAP","CDPAP"),0)</f>
        <v>5.0344880099186158E-4</v>
      </c>
      <c r="C14" s="299">
        <v>1</v>
      </c>
      <c r="D14" s="114" t="s">
        <v>16</v>
      </c>
      <c r="E14" s="70" t="s">
        <v>50</v>
      </c>
      <c r="F14" s="180">
        <f>'Payroll Reports Input'!V10</f>
        <v>7530672.4965481507</v>
      </c>
      <c r="G14" s="180">
        <f>'Payroll Reports Input'!W10</f>
        <v>149595.61405791706</v>
      </c>
      <c r="H14" s="180">
        <f>'Payroll Reports Input'!X10</f>
        <v>0</v>
      </c>
      <c r="I14" s="180">
        <f>'Payroll Reports Input'!Y10</f>
        <v>0</v>
      </c>
      <c r="J14" s="180">
        <f>'Payroll Reports Input'!Z10</f>
        <v>319377.61492347805</v>
      </c>
      <c r="K14" s="180">
        <f>'Payroll Reports Input'!AA10</f>
        <v>1314.8915230332857</v>
      </c>
      <c r="L14" s="180">
        <f>'Payroll Reports Input'!AB10</f>
        <v>185.04297133760889</v>
      </c>
      <c r="M14" s="180">
        <f>'Payroll Reports Input'!AC10</f>
        <v>0</v>
      </c>
      <c r="N14" s="180">
        <f>'Payroll Reports Input'!AD10</f>
        <v>0</v>
      </c>
      <c r="O14" s="180">
        <f>'Payroll Reports Input'!AE10</f>
        <v>95707.168641264419</v>
      </c>
      <c r="P14" s="180">
        <f>'Payroll Reports Input'!AF10</f>
        <v>1630050.070595223</v>
      </c>
      <c r="Q14" s="175">
        <f t="shared" si="0"/>
        <v>9726902.8992604036</v>
      </c>
      <c r="R14" s="180">
        <f>'Payroll Reports Input'!AH10</f>
        <v>0</v>
      </c>
      <c r="S14" s="180">
        <f>'Payroll Reports Input'!AI10</f>
        <v>676344.09504130087</v>
      </c>
      <c r="T14" s="180">
        <f ca="1">'Payroll Reports Input'!AJ10</f>
        <v>196157.97193179259</v>
      </c>
      <c r="U14" s="180">
        <f ca="1">'Payroll Reports Input'!AK10</f>
        <v>11177.705632936286</v>
      </c>
      <c r="V14" s="100" t="b">
        <f ca="1">'Payroll Reports Input'!AL10='Schedule 11c'!W14</f>
        <v>1</v>
      </c>
      <c r="W14" s="283">
        <f ca="1">SUM(Q14:U14)</f>
        <v>10610582.671866434</v>
      </c>
    </row>
    <row r="15" spans="1:24" ht="19.5" thickBot="1" x14ac:dyDescent="0.3">
      <c r="A15" s="60" t="s">
        <v>313</v>
      </c>
      <c r="B15" s="24">
        <f>IFERROR(+GETPIVOTDATA("Unique Billed Hours",'County allocation'!$A$3,"County",A15,"HHA/CDPAP","CDPAP"),0)</f>
        <v>1.1321975588355585E-3</v>
      </c>
      <c r="C15" s="294">
        <v>1</v>
      </c>
      <c r="D15" s="115" t="s">
        <v>124</v>
      </c>
      <c r="E15" s="116" t="s">
        <v>49</v>
      </c>
      <c r="F15" s="182">
        <f t="shared" ref="F15:L15" si="1">SUBTOTAL(9,F6:F14)</f>
        <v>78061064.236548141</v>
      </c>
      <c r="G15" s="182">
        <f t="shared" si="1"/>
        <v>1735629.754057917</v>
      </c>
      <c r="H15" s="182">
        <f t="shared" si="1"/>
        <v>0</v>
      </c>
      <c r="I15" s="182">
        <f t="shared" si="1"/>
        <v>2021422.6</v>
      </c>
      <c r="J15" s="182">
        <f t="shared" si="1"/>
        <v>551123.3649234781</v>
      </c>
      <c r="K15" s="182">
        <f t="shared" si="1"/>
        <v>71650.921523033277</v>
      </c>
      <c r="L15" s="182">
        <f t="shared" si="1"/>
        <v>185.04297133760889</v>
      </c>
      <c r="M15" s="182">
        <f t="shared" ref="M15:U15" si="2">SUBTOTAL(9,M6:M14)</f>
        <v>0</v>
      </c>
      <c r="N15" s="182">
        <f t="shared" si="2"/>
        <v>0</v>
      </c>
      <c r="O15" s="182">
        <f t="shared" si="2"/>
        <v>97687.168641264419</v>
      </c>
      <c r="P15" s="182">
        <f t="shared" si="2"/>
        <v>1630050.070595223</v>
      </c>
      <c r="Q15" s="175">
        <f>SUBTOTAL(9,Q6:Q14)</f>
        <v>84168813.159260392</v>
      </c>
      <c r="R15" s="182">
        <f t="shared" si="2"/>
        <v>0</v>
      </c>
      <c r="S15" s="182">
        <f t="shared" si="2"/>
        <v>6357105.0650413008</v>
      </c>
      <c r="T15" s="182">
        <f t="shared" ca="1" si="2"/>
        <v>2614102.7033022614</v>
      </c>
      <c r="U15" s="182">
        <f t="shared" ca="1" si="2"/>
        <v>1808146.3687726003</v>
      </c>
      <c r="V15" s="119" t="b">
        <f>Q15='Payroll Reports Input'!AG6+'Payroll Reports Input'!AG10</f>
        <v>1</v>
      </c>
    </row>
    <row r="16" spans="1:24" ht="19.5" thickBot="1" x14ac:dyDescent="0.3">
      <c r="A16" s="60" t="s">
        <v>314</v>
      </c>
      <c r="B16" s="24">
        <f>IFERROR(+GETPIVOTDATA("Unique Billed Hours",'County allocation'!$A$3,"County",A16,"HHA/CDPAP","CDPAP"),0)</f>
        <v>1.0651138896287298E-3</v>
      </c>
      <c r="C16" s="294">
        <v>1</v>
      </c>
      <c r="Q16" s="120"/>
      <c r="U16" s="120"/>
    </row>
    <row r="17" spans="1:21" ht="15.75" hidden="1" thickBot="1" x14ac:dyDescent="0.3">
      <c r="A17" s="60" t="s">
        <v>315</v>
      </c>
      <c r="B17" s="24">
        <f>IFERROR(+GETPIVOTDATA("Unique Billed Hours",'County allocation'!$A$3,"County",A17,"HHA/CDPAP","CDPAP"),0)</f>
        <v>8.4414902213022138E-3</v>
      </c>
    </row>
    <row r="18" spans="1:21" ht="15.75" hidden="1" thickBot="1" x14ac:dyDescent="0.3">
      <c r="A18" s="60" t="s">
        <v>316</v>
      </c>
      <c r="B18" s="24">
        <f>IFERROR(+GETPIVOTDATA("Unique Billed Hours",'County allocation'!$A$3,"County",A18,"HHA/CDPAP","CDPAP"),0)</f>
        <v>2.6305537197862446E-2</v>
      </c>
    </row>
    <row r="19" spans="1:21" ht="15.75" hidden="1" thickBot="1" x14ac:dyDescent="0.3">
      <c r="A19" s="60" t="s">
        <v>317</v>
      </c>
      <c r="B19" s="24">
        <f>IFERROR(+GETPIVOTDATA("Unique Billed Hours",'County allocation'!$A$3,"County",A19,"HHA/CDPAP","CDPAP"),0)</f>
        <v>2.022791098305527E-4</v>
      </c>
    </row>
    <row r="20" spans="1:21" ht="93.75" x14ac:dyDescent="0.25">
      <c r="A20" s="60" t="s">
        <v>318</v>
      </c>
      <c r="B20" s="24">
        <f>IFERROR(+GETPIVOTDATA("Unique Billed Hours",'County allocation'!$A$3,"County",A20,"HHA/CDPAP","CDPAP"),0)</f>
        <v>9.3602280587727475E-4</v>
      </c>
      <c r="C20" s="294">
        <f>IF($E$20&gt;0,1,0)</f>
        <v>1</v>
      </c>
      <c r="D20" s="96" t="str">
        <f>A4</f>
        <v>Albany</v>
      </c>
      <c r="E20" s="166">
        <f>IFERROR(SUMIF(A:A,D20,B:B),0)</f>
        <v>2.8863005701790602E-2</v>
      </c>
      <c r="F20" s="98" t="s">
        <v>356</v>
      </c>
      <c r="G20" s="98" t="s">
        <v>373</v>
      </c>
      <c r="H20" s="98" t="s">
        <v>358</v>
      </c>
      <c r="I20" s="98" t="s">
        <v>109</v>
      </c>
      <c r="J20" s="98" t="s">
        <v>111</v>
      </c>
      <c r="K20" s="98" t="s">
        <v>469</v>
      </c>
      <c r="L20" s="98" t="s">
        <v>470</v>
      </c>
      <c r="M20" s="98" t="s">
        <v>357</v>
      </c>
      <c r="N20" s="557" t="s">
        <v>471</v>
      </c>
      <c r="O20" s="557" t="s">
        <v>473</v>
      </c>
      <c r="P20" s="98" t="s">
        <v>110</v>
      </c>
      <c r="Q20" s="99" t="s">
        <v>116</v>
      </c>
      <c r="R20" s="98" t="s">
        <v>112</v>
      </c>
      <c r="S20" s="98" t="s">
        <v>113</v>
      </c>
      <c r="T20" s="98" t="s">
        <v>114</v>
      </c>
      <c r="U20" s="98" t="s">
        <v>115</v>
      </c>
    </row>
    <row r="21" spans="1:21" ht="18.75" x14ac:dyDescent="0.25">
      <c r="A21" s="119" t="s">
        <v>319</v>
      </c>
      <c r="B21" s="24">
        <f>IFERROR(+GETPIVOTDATA("Unique Billed Hours",'County allocation'!$A$3,"County",A21,"HHA/CDPAP","CDPAP"),0)</f>
        <v>4.1658701551888161E-3</v>
      </c>
      <c r="C21" s="294">
        <f t="shared" ref="C21:C32" si="3">IF($E$20&gt;0,1,0)</f>
        <v>1</v>
      </c>
      <c r="D21" s="101"/>
      <c r="E21" s="102"/>
      <c r="F21" s="84" t="s">
        <v>57</v>
      </c>
      <c r="G21" s="84" t="s">
        <v>56</v>
      </c>
      <c r="H21" s="84" t="s">
        <v>55</v>
      </c>
      <c r="I21" s="84" t="s">
        <v>54</v>
      </c>
      <c r="J21" s="84" t="s">
        <v>53</v>
      </c>
      <c r="K21" s="84" t="s">
        <v>52</v>
      </c>
      <c r="L21" s="84" t="s">
        <v>51</v>
      </c>
      <c r="M21" s="84" t="s">
        <v>50</v>
      </c>
      <c r="N21" s="84" t="s">
        <v>49</v>
      </c>
      <c r="O21" s="84" t="s">
        <v>47</v>
      </c>
      <c r="P21" s="84" t="s">
        <v>77</v>
      </c>
      <c r="Q21" s="84" t="s">
        <v>78</v>
      </c>
      <c r="R21" s="84" t="s">
        <v>79</v>
      </c>
      <c r="S21" s="84" t="s">
        <v>81</v>
      </c>
      <c r="T21" s="84" t="s">
        <v>83</v>
      </c>
      <c r="U21" s="84" t="s">
        <v>85</v>
      </c>
    </row>
    <row r="22" spans="1:21" ht="18.75" x14ac:dyDescent="0.25">
      <c r="A22" s="119" t="s">
        <v>320</v>
      </c>
      <c r="B22" s="24">
        <f>IFERROR(+GETPIVOTDATA("Unique Billed Hours",'County allocation'!$A$3,"County",A22,"HHA/CDPAP","CDPAP"),0)</f>
        <v>1.7283040715096493E-3</v>
      </c>
      <c r="C22" s="294">
        <f t="shared" si="3"/>
        <v>1</v>
      </c>
      <c r="D22" s="103" t="s">
        <v>26</v>
      </c>
      <c r="E22" s="122"/>
      <c r="F22" s="123"/>
      <c r="G22" s="123"/>
      <c r="H22" s="107"/>
      <c r="I22" s="107"/>
      <c r="J22" s="107"/>
      <c r="K22" s="107"/>
      <c r="L22" s="107"/>
      <c r="M22" s="123"/>
      <c r="N22" s="107"/>
      <c r="O22" s="107"/>
      <c r="P22" s="107"/>
      <c r="Q22" s="108"/>
      <c r="R22" s="107"/>
      <c r="S22" s="107"/>
      <c r="T22" s="107"/>
      <c r="U22" s="107"/>
    </row>
    <row r="23" spans="1:21" ht="18.75" x14ac:dyDescent="0.25">
      <c r="A23" s="119" t="s">
        <v>321</v>
      </c>
      <c r="B23" s="24">
        <f>IFERROR(+GETPIVOTDATA("Unique Billed Hours",'County allocation'!$A$3,"County",A23,"HHA/CDPAP","CDPAP"),0)</f>
        <v>1.8330419841601578E-3</v>
      </c>
      <c r="C23" s="294">
        <f t="shared" si="3"/>
        <v>1</v>
      </c>
      <c r="D23" s="124" t="s">
        <v>105</v>
      </c>
      <c r="E23" s="76" t="s">
        <v>57</v>
      </c>
      <c r="F23" s="176">
        <f t="shared" ref="F23:L23" si="4">F6*$E$20</f>
        <v>2035719.0989411445</v>
      </c>
      <c r="G23" s="176">
        <f t="shared" si="4"/>
        <v>45777.712426054553</v>
      </c>
      <c r="H23" s="176">
        <f t="shared" si="4"/>
        <v>0</v>
      </c>
      <c r="I23" s="176">
        <f t="shared" si="4"/>
        <v>58344.332029528385</v>
      </c>
      <c r="J23" s="176">
        <f t="shared" si="4"/>
        <v>6688.8789036157395</v>
      </c>
      <c r="K23" s="176">
        <f t="shared" si="4"/>
        <v>2030.1092349313149</v>
      </c>
      <c r="L23" s="176">
        <f t="shared" si="4"/>
        <v>0</v>
      </c>
      <c r="M23" s="176">
        <f t="shared" ref="M23:U23" si="5">M6*$E$20</f>
        <v>0</v>
      </c>
      <c r="N23" s="176">
        <f t="shared" si="5"/>
        <v>0</v>
      </c>
      <c r="O23" s="176">
        <f t="shared" ref="O23" si="6">O6*$E$20</f>
        <v>57.148751289545395</v>
      </c>
      <c r="P23" s="176">
        <f t="shared" si="5"/>
        <v>0</v>
      </c>
      <c r="Q23" s="175">
        <f>SUM(F23:P23)</f>
        <v>2148617.280286564</v>
      </c>
      <c r="R23" s="176">
        <f t="shared" si="5"/>
        <v>0</v>
      </c>
      <c r="S23" s="176">
        <f t="shared" si="5"/>
        <v>163963.83626761951</v>
      </c>
      <c r="T23" s="176">
        <f t="shared" ca="1" si="5"/>
        <v>69789.152568160382</v>
      </c>
      <c r="U23" s="176">
        <f t="shared" ca="1" si="5"/>
        <v>51865.916770139163</v>
      </c>
    </row>
    <row r="24" spans="1:21" ht="18.75" x14ac:dyDescent="0.25">
      <c r="A24" s="119" t="s">
        <v>322</v>
      </c>
      <c r="B24" s="24">
        <f>IFERROR(+GETPIVOTDATA("Unique Billed Hours",'County allocation'!$A$3,"County",A24,"HHA/CDPAP","CDPAP"),0)</f>
        <v>1.0782221928070756E-4</v>
      </c>
      <c r="C24" s="294">
        <f t="shared" si="3"/>
        <v>1</v>
      </c>
      <c r="D24" s="112" t="s">
        <v>31</v>
      </c>
      <c r="E24" s="76"/>
      <c r="F24" s="177"/>
      <c r="G24" s="177"/>
      <c r="H24" s="178"/>
      <c r="I24" s="178"/>
      <c r="J24" s="178"/>
      <c r="K24" s="178"/>
      <c r="L24" s="178"/>
      <c r="M24" s="177"/>
      <c r="N24" s="178"/>
      <c r="O24" s="178"/>
      <c r="P24" s="178"/>
      <c r="Q24" s="179"/>
      <c r="R24" s="178"/>
      <c r="S24" s="178"/>
      <c r="T24" s="178"/>
      <c r="U24" s="178"/>
    </row>
    <row r="25" spans="1:21" ht="18.75" x14ac:dyDescent="0.3">
      <c r="A25" s="119" t="s">
        <v>323</v>
      </c>
      <c r="B25" s="24">
        <f>IFERROR(+GETPIVOTDATA("Unique Billed Hours",'County allocation'!$A$3,"County",A25,"HHA/CDPAP","CDPAP"),0)</f>
        <v>1.6613489150790787E-3</v>
      </c>
      <c r="C25" s="294">
        <f t="shared" si="3"/>
        <v>1</v>
      </c>
      <c r="D25" s="113" t="s">
        <v>118</v>
      </c>
      <c r="E25" s="76" t="s">
        <v>56</v>
      </c>
      <c r="F25" s="176">
        <f t="shared" ref="F25:U31" si="7">F8*$E$20</f>
        <v>0</v>
      </c>
      <c r="G25" s="176">
        <f t="shared" ref="G25:L31" si="8">G8*$E$20</f>
        <v>0</v>
      </c>
      <c r="H25" s="176">
        <f t="shared" si="8"/>
        <v>0</v>
      </c>
      <c r="I25" s="176">
        <f t="shared" si="8"/>
        <v>0</v>
      </c>
      <c r="J25" s="176">
        <f t="shared" si="8"/>
        <v>0</v>
      </c>
      <c r="K25" s="176">
        <f t="shared" si="8"/>
        <v>0</v>
      </c>
      <c r="L25" s="176">
        <f t="shared" si="8"/>
        <v>0</v>
      </c>
      <c r="M25" s="176">
        <f t="shared" si="7"/>
        <v>0</v>
      </c>
      <c r="N25" s="176">
        <f t="shared" si="7"/>
        <v>0</v>
      </c>
      <c r="O25" s="176">
        <f t="shared" ref="O25" si="9">O8*$E$20</f>
        <v>0</v>
      </c>
      <c r="P25" s="176">
        <f t="shared" si="7"/>
        <v>0</v>
      </c>
      <c r="Q25" s="175">
        <f t="shared" ref="Q25:Q31" si="10">SUM(F25:P25)</f>
        <v>0</v>
      </c>
      <c r="R25" s="176">
        <f t="shared" si="7"/>
        <v>0</v>
      </c>
      <c r="S25" s="176">
        <f t="shared" si="7"/>
        <v>0</v>
      </c>
      <c r="T25" s="176">
        <f t="shared" si="7"/>
        <v>0</v>
      </c>
      <c r="U25" s="176">
        <f t="shared" si="7"/>
        <v>0</v>
      </c>
    </row>
    <row r="26" spans="1:21" ht="18.75" x14ac:dyDescent="0.3">
      <c r="A26" s="119" t="s">
        <v>324</v>
      </c>
      <c r="B26" s="24">
        <f>IFERROR(+GETPIVOTDATA("Unique Billed Hours",'County allocation'!$A$3,"County",A26,"HHA/CDPAP","CDPAP"),0)</f>
        <v>6.5581997416250632E-3</v>
      </c>
      <c r="C26" s="294">
        <f t="shared" si="3"/>
        <v>1</v>
      </c>
      <c r="D26" s="113" t="s">
        <v>119</v>
      </c>
      <c r="E26" s="76" t="s">
        <v>55</v>
      </c>
      <c r="F26" s="176">
        <f t="shared" si="7"/>
        <v>0</v>
      </c>
      <c r="G26" s="176">
        <f t="shared" si="8"/>
        <v>0</v>
      </c>
      <c r="H26" s="176">
        <f t="shared" si="8"/>
        <v>0</v>
      </c>
      <c r="I26" s="176">
        <f t="shared" si="8"/>
        <v>0</v>
      </c>
      <c r="J26" s="176">
        <f t="shared" si="8"/>
        <v>0</v>
      </c>
      <c r="K26" s="176">
        <f t="shared" si="8"/>
        <v>0</v>
      </c>
      <c r="L26" s="176">
        <f t="shared" si="8"/>
        <v>0</v>
      </c>
      <c r="M26" s="176">
        <f t="shared" si="7"/>
        <v>0</v>
      </c>
      <c r="N26" s="176">
        <f t="shared" si="7"/>
        <v>0</v>
      </c>
      <c r="O26" s="176">
        <f t="shared" ref="O26" si="11">O9*$E$20</f>
        <v>0</v>
      </c>
      <c r="P26" s="176">
        <f t="shared" si="7"/>
        <v>0</v>
      </c>
      <c r="Q26" s="175">
        <f t="shared" si="10"/>
        <v>0</v>
      </c>
      <c r="R26" s="176">
        <f t="shared" si="7"/>
        <v>0</v>
      </c>
      <c r="S26" s="176">
        <f t="shared" si="7"/>
        <v>0</v>
      </c>
      <c r="T26" s="176">
        <f t="shared" si="7"/>
        <v>0</v>
      </c>
      <c r="U26" s="176">
        <f t="shared" si="7"/>
        <v>0</v>
      </c>
    </row>
    <row r="27" spans="1:21" ht="18.75" x14ac:dyDescent="0.3">
      <c r="A27" s="302" t="s">
        <v>365</v>
      </c>
      <c r="B27" s="24">
        <f>IFERROR(+GETPIVOTDATA("Unique Billed Hours",'County allocation'!$A$3,"County",A27,"HHA/CDPAP","CDPAP"),0)</f>
        <v>0.19849003913535318</v>
      </c>
      <c r="C27" s="294">
        <f t="shared" si="3"/>
        <v>1</v>
      </c>
      <c r="D27" s="113" t="s">
        <v>120</v>
      </c>
      <c r="E27" s="76" t="s">
        <v>54</v>
      </c>
      <c r="F27" s="176">
        <f t="shared" si="7"/>
        <v>0</v>
      </c>
      <c r="G27" s="176">
        <f t="shared" si="8"/>
        <v>0</v>
      </c>
      <c r="H27" s="176">
        <f t="shared" si="8"/>
        <v>0</v>
      </c>
      <c r="I27" s="176">
        <f t="shared" si="8"/>
        <v>0</v>
      </c>
      <c r="J27" s="176">
        <f t="shared" si="8"/>
        <v>0</v>
      </c>
      <c r="K27" s="176">
        <f t="shared" si="8"/>
        <v>0</v>
      </c>
      <c r="L27" s="176">
        <f t="shared" si="8"/>
        <v>0</v>
      </c>
      <c r="M27" s="176">
        <f t="shared" si="7"/>
        <v>0</v>
      </c>
      <c r="N27" s="176">
        <f t="shared" si="7"/>
        <v>0</v>
      </c>
      <c r="O27" s="176">
        <f t="shared" ref="O27" si="12">O10*$E$20</f>
        <v>0</v>
      </c>
      <c r="P27" s="176">
        <f t="shared" si="7"/>
        <v>0</v>
      </c>
      <c r="Q27" s="175">
        <f t="shared" si="10"/>
        <v>0</v>
      </c>
      <c r="R27" s="176">
        <f t="shared" si="7"/>
        <v>0</v>
      </c>
      <c r="S27" s="176">
        <f t="shared" si="7"/>
        <v>0</v>
      </c>
      <c r="T27" s="176">
        <f t="shared" si="7"/>
        <v>0</v>
      </c>
      <c r="U27" s="176">
        <f t="shared" si="7"/>
        <v>0</v>
      </c>
    </row>
    <row r="28" spans="1:21" ht="18.75" x14ac:dyDescent="0.3">
      <c r="A28" s="119" t="s">
        <v>325</v>
      </c>
      <c r="B28" s="24">
        <f>IFERROR(+GETPIVOTDATA("Unique Billed Hours",'County allocation'!$A$3,"County",A28,"HHA/CDPAP","CDPAP"),0)</f>
        <v>1.5695907928306577E-3</v>
      </c>
      <c r="C28" s="294">
        <f t="shared" si="3"/>
        <v>1</v>
      </c>
      <c r="D28" s="113" t="s">
        <v>121</v>
      </c>
      <c r="E28" s="76" t="s">
        <v>53</v>
      </c>
      <c r="F28" s="176">
        <f t="shared" si="7"/>
        <v>0</v>
      </c>
      <c r="G28" s="176">
        <f t="shared" si="8"/>
        <v>0</v>
      </c>
      <c r="H28" s="176">
        <f t="shared" si="8"/>
        <v>0</v>
      </c>
      <c r="I28" s="176">
        <f t="shared" si="8"/>
        <v>0</v>
      </c>
      <c r="J28" s="176">
        <f t="shared" si="8"/>
        <v>0</v>
      </c>
      <c r="K28" s="176">
        <f t="shared" si="8"/>
        <v>0</v>
      </c>
      <c r="L28" s="176">
        <f t="shared" si="8"/>
        <v>0</v>
      </c>
      <c r="M28" s="176">
        <f t="shared" si="7"/>
        <v>0</v>
      </c>
      <c r="N28" s="176">
        <f t="shared" si="7"/>
        <v>0</v>
      </c>
      <c r="O28" s="176">
        <f t="shared" ref="O28" si="13">O11*$E$20</f>
        <v>0</v>
      </c>
      <c r="P28" s="176">
        <f t="shared" si="7"/>
        <v>0</v>
      </c>
      <c r="Q28" s="175">
        <f t="shared" si="10"/>
        <v>0</v>
      </c>
      <c r="R28" s="176">
        <f t="shared" si="7"/>
        <v>0</v>
      </c>
      <c r="S28" s="176">
        <f t="shared" si="7"/>
        <v>0</v>
      </c>
      <c r="T28" s="176">
        <f t="shared" si="7"/>
        <v>0</v>
      </c>
      <c r="U28" s="176">
        <f t="shared" si="7"/>
        <v>0</v>
      </c>
    </row>
    <row r="29" spans="1:21" ht="18.75" x14ac:dyDescent="0.3">
      <c r="A29" s="119" t="s">
        <v>326</v>
      </c>
      <c r="B29" s="24">
        <f>IFERROR(+GETPIVOTDATA("Unique Billed Hours",'County allocation'!$A$3,"County",A29,"HHA/CDPAP","CDPAP"),0)</f>
        <v>1.1180611534471463E-3</v>
      </c>
      <c r="C29" s="294">
        <f t="shared" si="3"/>
        <v>1</v>
      </c>
      <c r="D29" s="113" t="s">
        <v>122</v>
      </c>
      <c r="E29" s="76" t="s">
        <v>52</v>
      </c>
      <c r="F29" s="176">
        <f t="shared" si="7"/>
        <v>0</v>
      </c>
      <c r="G29" s="176">
        <f t="shared" si="8"/>
        <v>0</v>
      </c>
      <c r="H29" s="176">
        <f t="shared" si="8"/>
        <v>0</v>
      </c>
      <c r="I29" s="176">
        <f t="shared" si="8"/>
        <v>0</v>
      </c>
      <c r="J29" s="176">
        <f t="shared" si="8"/>
        <v>0</v>
      </c>
      <c r="K29" s="176">
        <f t="shared" si="8"/>
        <v>0</v>
      </c>
      <c r="L29" s="176">
        <f t="shared" si="8"/>
        <v>0</v>
      </c>
      <c r="M29" s="176">
        <f t="shared" si="7"/>
        <v>0</v>
      </c>
      <c r="N29" s="176">
        <f t="shared" si="7"/>
        <v>0</v>
      </c>
      <c r="O29" s="176">
        <f t="shared" ref="O29" si="14">O12*$E$20</f>
        <v>0</v>
      </c>
      <c r="P29" s="176">
        <f t="shared" si="7"/>
        <v>0</v>
      </c>
      <c r="Q29" s="175">
        <f t="shared" si="10"/>
        <v>0</v>
      </c>
      <c r="R29" s="176">
        <f t="shared" si="7"/>
        <v>0</v>
      </c>
      <c r="S29" s="176">
        <f t="shared" si="7"/>
        <v>0</v>
      </c>
      <c r="T29" s="176">
        <f t="shared" si="7"/>
        <v>0</v>
      </c>
      <c r="U29" s="176">
        <f t="shared" si="7"/>
        <v>0</v>
      </c>
    </row>
    <row r="30" spans="1:21" ht="18.75" x14ac:dyDescent="0.3">
      <c r="A30" s="119" t="s">
        <v>327</v>
      </c>
      <c r="B30" s="24">
        <f>IFERROR(+GETPIVOTDATA("Unique Billed Hours",'County allocation'!$A$3,"County",A30,"HHA/CDPAP","CDPAP"),0)</f>
        <v>1.9127199054402991E-3</v>
      </c>
      <c r="C30" s="294">
        <f t="shared" si="3"/>
        <v>1</v>
      </c>
      <c r="D30" s="125" t="s">
        <v>123</v>
      </c>
      <c r="E30" s="76" t="s">
        <v>51</v>
      </c>
      <c r="F30" s="176">
        <f t="shared" si="7"/>
        <v>0</v>
      </c>
      <c r="G30" s="176">
        <f t="shared" si="8"/>
        <v>0</v>
      </c>
      <c r="H30" s="176">
        <f t="shared" si="8"/>
        <v>0</v>
      </c>
      <c r="I30" s="176">
        <f t="shared" si="8"/>
        <v>0</v>
      </c>
      <c r="J30" s="176">
        <f t="shared" si="8"/>
        <v>0</v>
      </c>
      <c r="K30" s="176">
        <f t="shared" si="8"/>
        <v>0</v>
      </c>
      <c r="L30" s="176">
        <f t="shared" si="8"/>
        <v>0</v>
      </c>
      <c r="M30" s="176">
        <f t="shared" si="7"/>
        <v>0</v>
      </c>
      <c r="N30" s="176">
        <f t="shared" si="7"/>
        <v>0</v>
      </c>
      <c r="O30" s="176">
        <f t="shared" ref="O30" si="15">O13*$E$20</f>
        <v>0</v>
      </c>
      <c r="P30" s="176">
        <f t="shared" si="7"/>
        <v>0</v>
      </c>
      <c r="Q30" s="175">
        <f t="shared" si="10"/>
        <v>0</v>
      </c>
      <c r="R30" s="176">
        <f t="shared" si="7"/>
        <v>0</v>
      </c>
      <c r="S30" s="176">
        <f t="shared" si="7"/>
        <v>0</v>
      </c>
      <c r="T30" s="176">
        <f t="shared" si="7"/>
        <v>0</v>
      </c>
      <c r="U30" s="176">
        <f t="shared" si="7"/>
        <v>0</v>
      </c>
    </row>
    <row r="31" spans="1:21" ht="19.5" thickBot="1" x14ac:dyDescent="0.35">
      <c r="A31" s="119" t="s">
        <v>285</v>
      </c>
      <c r="B31" s="24">
        <f>IFERROR(+GETPIVOTDATA("Unique Billed Hours",'County allocation'!$A$3,"County",A31,"HHA/CDPAP","CDPAP"),0)</f>
        <v>3.1956436739103963E-2</v>
      </c>
      <c r="C31" s="294">
        <f t="shared" si="3"/>
        <v>1</v>
      </c>
      <c r="D31" s="114" t="s">
        <v>16</v>
      </c>
      <c r="E31" s="70" t="s">
        <v>50</v>
      </c>
      <c r="F31" s="176">
        <f t="shared" si="7"/>
        <v>217357.84320618695</v>
      </c>
      <c r="G31" s="176">
        <f t="shared" si="8"/>
        <v>4317.7790615165268</v>
      </c>
      <c r="H31" s="176">
        <f t="shared" si="8"/>
        <v>0</v>
      </c>
      <c r="I31" s="176">
        <f t="shared" si="8"/>
        <v>0</v>
      </c>
      <c r="J31" s="176">
        <f t="shared" si="8"/>
        <v>9218.1979205606294</v>
      </c>
      <c r="K31" s="176">
        <f t="shared" si="8"/>
        <v>37.951721526545853</v>
      </c>
      <c r="L31" s="176">
        <f t="shared" si="8"/>
        <v>5.3408963367936799</v>
      </c>
      <c r="M31" s="176">
        <f t="shared" si="7"/>
        <v>0</v>
      </c>
      <c r="N31" s="176">
        <f t="shared" si="7"/>
        <v>0</v>
      </c>
      <c r="O31" s="176">
        <f t="shared" ref="O31" si="16">O14*$E$20</f>
        <v>2762.3965541950497</v>
      </c>
      <c r="P31" s="176">
        <f t="shared" si="7"/>
        <v>47048.144481794094</v>
      </c>
      <c r="Q31" s="175">
        <f t="shared" si="10"/>
        <v>280747.65384211659</v>
      </c>
      <c r="R31" s="176">
        <f t="shared" si="7"/>
        <v>0</v>
      </c>
      <c r="S31" s="176">
        <f t="shared" si="7"/>
        <v>19521.323471549473</v>
      </c>
      <c r="T31" s="176">
        <f t="shared" ca="1" si="7"/>
        <v>5661.7086623190107</v>
      </c>
      <c r="U31" s="176">
        <f t="shared" ca="1" si="7"/>
        <v>322.62218141637697</v>
      </c>
    </row>
    <row r="32" spans="1:21" ht="19.5" thickBot="1" x14ac:dyDescent="0.3">
      <c r="A32" s="119" t="s">
        <v>328</v>
      </c>
      <c r="B32" s="24">
        <f>IFERROR(+GETPIVOTDATA("Unique Billed Hours",'County allocation'!$A$3,"County",A32,"HHA/CDPAP","CDPAP"),0)</f>
        <v>5.4683471425666123E-3</v>
      </c>
      <c r="C32" s="294">
        <f t="shared" si="3"/>
        <v>1</v>
      </c>
      <c r="D32" s="115" t="s">
        <v>124</v>
      </c>
      <c r="E32" s="116" t="s">
        <v>49</v>
      </c>
      <c r="F32" s="269">
        <f t="shared" ref="F32:L32" si="17">SUBTOTAL(9,F23:F31)</f>
        <v>2253076.9421473313</v>
      </c>
      <c r="G32" s="269">
        <f t="shared" si="17"/>
        <v>50095.491487571082</v>
      </c>
      <c r="H32" s="269">
        <f t="shared" si="17"/>
        <v>0</v>
      </c>
      <c r="I32" s="269">
        <f t="shared" si="17"/>
        <v>58344.332029528385</v>
      </c>
      <c r="J32" s="269">
        <f t="shared" si="17"/>
        <v>15907.076824176369</v>
      </c>
      <c r="K32" s="269">
        <f t="shared" si="17"/>
        <v>2068.0609564578608</v>
      </c>
      <c r="L32" s="269">
        <f t="shared" si="17"/>
        <v>5.3408963367936799</v>
      </c>
      <c r="M32" s="269">
        <f t="shared" ref="M32:U32" si="18">SUBTOTAL(9,M23:M31)</f>
        <v>0</v>
      </c>
      <c r="N32" s="269">
        <f t="shared" si="18"/>
        <v>0</v>
      </c>
      <c r="O32" s="269">
        <f t="shared" ref="O32" si="19">SUBTOTAL(9,O23:O31)</f>
        <v>2819.5453054845952</v>
      </c>
      <c r="P32" s="269">
        <f t="shared" si="18"/>
        <v>47048.144481794094</v>
      </c>
      <c r="Q32" s="183">
        <f>SUBTOTAL(9,Q23:Q31)</f>
        <v>2429364.9341286807</v>
      </c>
      <c r="R32" s="269">
        <f t="shared" si="18"/>
        <v>0</v>
      </c>
      <c r="S32" s="269">
        <f t="shared" si="18"/>
        <v>183485.15973916897</v>
      </c>
      <c r="T32" s="269">
        <f t="shared" ca="1" si="18"/>
        <v>75450.861230479393</v>
      </c>
      <c r="U32" s="269">
        <f t="shared" ca="1" si="18"/>
        <v>52188.538951555543</v>
      </c>
    </row>
    <row r="33" spans="1:21" ht="15.75" hidden="1" thickBot="1" x14ac:dyDescent="0.3">
      <c r="A33" s="119" t="s">
        <v>329</v>
      </c>
      <c r="B33" s="24">
        <f>IFERROR(+GETPIVOTDATA("Unique Billed Hours",'County allocation'!$A$3,"County",A33,"HHA/CDPAP","CDPAP"),0)</f>
        <v>5.1693236147688171E-2</v>
      </c>
    </row>
    <row r="34" spans="1:21" ht="93.75" x14ac:dyDescent="0.25">
      <c r="A34" s="302" t="s">
        <v>366</v>
      </c>
      <c r="B34" s="24">
        <f>IFERROR(+GETPIVOTDATA("Unique Billed Hours",'County allocation'!$A$3,"County",A34,"HHA/CDPAP","CDPAP"),0)</f>
        <v>6.8695669215824678E-2</v>
      </c>
      <c r="C34" s="294">
        <f>IF($E$34&gt;0,1,0)</f>
        <v>1</v>
      </c>
      <c r="D34" s="96" t="str">
        <f>A5</f>
        <v>Allegany</v>
      </c>
      <c r="E34" s="166">
        <f>IFERROR(SUMIF(A:A,D34,B:B),0)</f>
        <v>6.0503815062404201E-4</v>
      </c>
      <c r="F34" s="98" t="s">
        <v>356</v>
      </c>
      <c r="G34" s="98" t="s">
        <v>373</v>
      </c>
      <c r="H34" s="98" t="s">
        <v>358</v>
      </c>
      <c r="I34" s="98" t="s">
        <v>109</v>
      </c>
      <c r="J34" s="98" t="s">
        <v>111</v>
      </c>
      <c r="K34" s="98" t="s">
        <v>469</v>
      </c>
      <c r="L34" s="98" t="s">
        <v>470</v>
      </c>
      <c r="M34" s="98" t="s">
        <v>357</v>
      </c>
      <c r="N34" s="557" t="s">
        <v>471</v>
      </c>
      <c r="O34" s="557" t="s">
        <v>473</v>
      </c>
      <c r="P34" s="98" t="s">
        <v>110</v>
      </c>
      <c r="Q34" s="99" t="s">
        <v>116</v>
      </c>
      <c r="R34" s="98" t="s">
        <v>112</v>
      </c>
      <c r="S34" s="98" t="s">
        <v>113</v>
      </c>
      <c r="T34" s="98" t="s">
        <v>114</v>
      </c>
      <c r="U34" s="98" t="s">
        <v>115</v>
      </c>
    </row>
    <row r="35" spans="1:21" ht="18.75" x14ac:dyDescent="0.25">
      <c r="A35" s="119" t="s">
        <v>330</v>
      </c>
      <c r="B35" s="24">
        <f>IFERROR(+GETPIVOTDATA("Unique Billed Hours",'County allocation'!$A$3,"County",A35,"HHA/CDPAP","CDPAP"),0)</f>
        <v>5.8328093760351305E-3</v>
      </c>
      <c r="C35" s="294">
        <f t="shared" ref="C35:C46" si="20">IF($E$34&gt;0,1,0)</f>
        <v>1</v>
      </c>
      <c r="D35" s="101"/>
      <c r="E35" s="102"/>
      <c r="F35" s="84" t="s">
        <v>57</v>
      </c>
      <c r="G35" s="84" t="s">
        <v>56</v>
      </c>
      <c r="H35" s="84" t="s">
        <v>55</v>
      </c>
      <c r="I35" s="84" t="s">
        <v>54</v>
      </c>
      <c r="J35" s="84" t="s">
        <v>53</v>
      </c>
      <c r="K35" s="84" t="s">
        <v>52</v>
      </c>
      <c r="L35" s="84" t="s">
        <v>51</v>
      </c>
      <c r="M35" s="84" t="s">
        <v>50</v>
      </c>
      <c r="N35" s="84" t="s">
        <v>49</v>
      </c>
      <c r="O35" s="84" t="s">
        <v>47</v>
      </c>
      <c r="P35" s="84" t="s">
        <v>77</v>
      </c>
      <c r="Q35" s="84" t="s">
        <v>78</v>
      </c>
      <c r="R35" s="84" t="s">
        <v>79</v>
      </c>
      <c r="S35" s="84" t="s">
        <v>81</v>
      </c>
      <c r="T35" s="84" t="s">
        <v>83</v>
      </c>
      <c r="U35" s="84" t="s">
        <v>85</v>
      </c>
    </row>
    <row r="36" spans="1:21" ht="18.75" x14ac:dyDescent="0.25">
      <c r="A36" s="119" t="s">
        <v>331</v>
      </c>
      <c r="B36" s="24">
        <f>IFERROR(+GETPIVOTDATA("Unique Billed Hours",'County allocation'!$A$3,"County",A36,"HHA/CDPAP","CDPAP"),0)</f>
        <v>7.1008449393757042E-3</v>
      </c>
      <c r="C36" s="294">
        <f t="shared" si="20"/>
        <v>1</v>
      </c>
      <c r="D36" s="103" t="s">
        <v>26</v>
      </c>
      <c r="E36" s="122"/>
      <c r="F36" s="123"/>
      <c r="G36" s="123"/>
      <c r="H36" s="107"/>
      <c r="I36" s="107"/>
      <c r="J36" s="107"/>
      <c r="K36" s="107"/>
      <c r="L36" s="107"/>
      <c r="M36" s="123"/>
      <c r="N36" s="107"/>
      <c r="O36" s="107"/>
      <c r="P36" s="107"/>
      <c r="Q36" s="108"/>
      <c r="R36" s="107"/>
      <c r="S36" s="107"/>
      <c r="T36" s="107"/>
      <c r="U36" s="107"/>
    </row>
    <row r="37" spans="1:21" ht="18.75" x14ac:dyDescent="0.25">
      <c r="A37" s="119" t="s">
        <v>332</v>
      </c>
      <c r="B37" s="24">
        <f>IFERROR(+GETPIVOTDATA("Unique Billed Hours",'County allocation'!$A$3,"County",A37,"HHA/CDPAP","CDPAP"),0)</f>
        <v>2.2146992270920353E-2</v>
      </c>
      <c r="C37" s="294">
        <f t="shared" si="20"/>
        <v>1</v>
      </c>
      <c r="D37" s="124" t="s">
        <v>105</v>
      </c>
      <c r="E37" s="76" t="s">
        <v>57</v>
      </c>
      <c r="F37" s="176">
        <f t="shared" ref="F37:L37" si="21">F6*$E$34</f>
        <v>42673.577781158805</v>
      </c>
      <c r="G37" s="176">
        <f t="shared" si="21"/>
        <v>959.61116289219285</v>
      </c>
      <c r="H37" s="176">
        <f t="shared" si="21"/>
        <v>0</v>
      </c>
      <c r="I37" s="176">
        <f t="shared" si="21"/>
        <v>1223.0377915336426</v>
      </c>
      <c r="J37" s="176">
        <f t="shared" si="21"/>
        <v>140.21501999498159</v>
      </c>
      <c r="K37" s="176">
        <f t="shared" si="21"/>
        <v>42.555981513437139</v>
      </c>
      <c r="L37" s="176">
        <f t="shared" si="21"/>
        <v>0</v>
      </c>
      <c r="M37" s="176">
        <f t="shared" ref="M37:U37" si="22">M6*$E$34</f>
        <v>0</v>
      </c>
      <c r="N37" s="176">
        <f t="shared" si="22"/>
        <v>0</v>
      </c>
      <c r="O37" s="176">
        <f>O6*$E$34</f>
        <v>1.1979755382356032</v>
      </c>
      <c r="P37" s="176">
        <f t="shared" si="22"/>
        <v>0</v>
      </c>
      <c r="Q37" s="175">
        <f>SUM(F37:P37)</f>
        <v>45040.195712631299</v>
      </c>
      <c r="R37" s="176">
        <f t="shared" si="22"/>
        <v>0</v>
      </c>
      <c r="S37" s="176">
        <f t="shared" si="22"/>
        <v>3437.0771114260388</v>
      </c>
      <c r="T37" s="176">
        <f t="shared" ca="1" si="22"/>
        <v>1462.9488085795344</v>
      </c>
      <c r="U37" s="176">
        <f t="shared" ca="1" si="22"/>
        <v>1087.2345966753794</v>
      </c>
    </row>
    <row r="38" spans="1:21" ht="18.75" x14ac:dyDescent="0.25">
      <c r="A38" s="119" t="s">
        <v>333</v>
      </c>
      <c r="B38" s="24">
        <f>IFERROR(+GETPIVOTDATA("Unique Billed Hours",'County allocation'!$A$3,"County",A38,"HHA/CDPAP","CDPAP"),0)</f>
        <v>3.0558410502578128E-3</v>
      </c>
      <c r="C38" s="294">
        <f t="shared" si="20"/>
        <v>1</v>
      </c>
      <c r="D38" s="112" t="s">
        <v>31</v>
      </c>
      <c r="E38" s="76"/>
      <c r="F38" s="177"/>
      <c r="G38" s="177"/>
      <c r="H38" s="178"/>
      <c r="I38" s="178"/>
      <c r="J38" s="178"/>
      <c r="K38" s="178"/>
      <c r="L38" s="178"/>
      <c r="M38" s="177"/>
      <c r="N38" s="178"/>
      <c r="O38" s="178"/>
      <c r="P38" s="178"/>
      <c r="Q38" s="179"/>
      <c r="R38" s="178"/>
      <c r="S38" s="178"/>
      <c r="T38" s="178"/>
      <c r="U38" s="178"/>
    </row>
    <row r="39" spans="1:21" ht="18.75" x14ac:dyDescent="0.3">
      <c r="A39" s="119" t="s">
        <v>334</v>
      </c>
      <c r="B39" s="24">
        <f>IFERROR(+GETPIVOTDATA("Unique Billed Hours",'County allocation'!$A$3,"County",A39,"HHA/CDPAP","CDPAP"),0)</f>
        <v>1.2293981971585183E-2</v>
      </c>
      <c r="C39" s="294">
        <f t="shared" si="20"/>
        <v>1</v>
      </c>
      <c r="D39" s="113" t="s">
        <v>118</v>
      </c>
      <c r="E39" s="76" t="s">
        <v>56</v>
      </c>
      <c r="F39" s="176">
        <f t="shared" ref="F39:U45" si="23">F8*$E$34</f>
        <v>0</v>
      </c>
      <c r="G39" s="176">
        <f t="shared" ref="G39:L45" si="24">G8*$E$34</f>
        <v>0</v>
      </c>
      <c r="H39" s="176">
        <f t="shared" si="24"/>
        <v>0</v>
      </c>
      <c r="I39" s="176">
        <f t="shared" si="24"/>
        <v>0</v>
      </c>
      <c r="J39" s="176">
        <f t="shared" si="24"/>
        <v>0</v>
      </c>
      <c r="K39" s="176">
        <f t="shared" si="24"/>
        <v>0</v>
      </c>
      <c r="L39" s="176">
        <f t="shared" si="24"/>
        <v>0</v>
      </c>
      <c r="M39" s="176">
        <f t="shared" si="23"/>
        <v>0</v>
      </c>
      <c r="N39" s="176">
        <f t="shared" si="23"/>
        <v>0</v>
      </c>
      <c r="O39" s="176">
        <f t="shared" ref="O39:O45" si="25">O8*$E$34</f>
        <v>0</v>
      </c>
      <c r="P39" s="176">
        <f t="shared" si="23"/>
        <v>0</v>
      </c>
      <c r="Q39" s="175">
        <f t="shared" ref="Q39:Q45" si="26">SUM(F39:P39)</f>
        <v>0</v>
      </c>
      <c r="R39" s="176">
        <f t="shared" si="23"/>
        <v>0</v>
      </c>
      <c r="S39" s="176">
        <f t="shared" si="23"/>
        <v>0</v>
      </c>
      <c r="T39" s="176">
        <f t="shared" si="23"/>
        <v>0</v>
      </c>
      <c r="U39" s="176">
        <f t="shared" si="23"/>
        <v>0</v>
      </c>
    </row>
    <row r="40" spans="1:21" ht="18.75" x14ac:dyDescent="0.3">
      <c r="A40" s="119" t="s">
        <v>335</v>
      </c>
      <c r="B40" s="24">
        <f>IFERROR(+GETPIVOTDATA("Unique Billed Hours",'County allocation'!$A$3,"County",A40,"HHA/CDPAP","CDPAP"),0)</f>
        <v>1.1805826190968058E-3</v>
      </c>
      <c r="C40" s="294">
        <f t="shared" si="20"/>
        <v>1</v>
      </c>
      <c r="D40" s="113" t="s">
        <v>119</v>
      </c>
      <c r="E40" s="76" t="s">
        <v>55</v>
      </c>
      <c r="F40" s="176">
        <f t="shared" si="23"/>
        <v>0</v>
      </c>
      <c r="G40" s="176">
        <f t="shared" si="24"/>
        <v>0</v>
      </c>
      <c r="H40" s="176">
        <f t="shared" si="24"/>
        <v>0</v>
      </c>
      <c r="I40" s="176">
        <f t="shared" si="24"/>
        <v>0</v>
      </c>
      <c r="J40" s="176">
        <f t="shared" si="24"/>
        <v>0</v>
      </c>
      <c r="K40" s="176">
        <f t="shared" si="24"/>
        <v>0</v>
      </c>
      <c r="L40" s="176">
        <f t="shared" si="24"/>
        <v>0</v>
      </c>
      <c r="M40" s="176">
        <f t="shared" si="23"/>
        <v>0</v>
      </c>
      <c r="N40" s="176">
        <f t="shared" si="23"/>
        <v>0</v>
      </c>
      <c r="O40" s="176">
        <f t="shared" si="25"/>
        <v>0</v>
      </c>
      <c r="P40" s="176">
        <f t="shared" si="23"/>
        <v>0</v>
      </c>
      <c r="Q40" s="175">
        <f t="shared" si="26"/>
        <v>0</v>
      </c>
      <c r="R40" s="176">
        <f t="shared" si="23"/>
        <v>0</v>
      </c>
      <c r="S40" s="176">
        <f t="shared" si="23"/>
        <v>0</v>
      </c>
      <c r="T40" s="176">
        <f t="shared" si="23"/>
        <v>0</v>
      </c>
      <c r="U40" s="176">
        <f t="shared" si="23"/>
        <v>0</v>
      </c>
    </row>
    <row r="41" spans="1:21" ht="18.75" x14ac:dyDescent="0.3">
      <c r="A41" s="119" t="s">
        <v>336</v>
      </c>
      <c r="B41" s="24">
        <f>IFERROR(+GETPIVOTDATA("Unique Billed Hours",'County allocation'!$A$3,"County",A41,"HHA/CDPAP","CDPAP"),0)</f>
        <v>3.9130855242887541E-3</v>
      </c>
      <c r="C41" s="294">
        <f t="shared" si="20"/>
        <v>1</v>
      </c>
      <c r="D41" s="113" t="s">
        <v>120</v>
      </c>
      <c r="E41" s="76" t="s">
        <v>54</v>
      </c>
      <c r="F41" s="176">
        <f t="shared" si="23"/>
        <v>0</v>
      </c>
      <c r="G41" s="176">
        <f t="shared" si="24"/>
        <v>0</v>
      </c>
      <c r="H41" s="176">
        <f t="shared" si="24"/>
        <v>0</v>
      </c>
      <c r="I41" s="176">
        <f t="shared" si="24"/>
        <v>0</v>
      </c>
      <c r="J41" s="176">
        <f t="shared" si="24"/>
        <v>0</v>
      </c>
      <c r="K41" s="176">
        <f t="shared" si="24"/>
        <v>0</v>
      </c>
      <c r="L41" s="176">
        <f t="shared" si="24"/>
        <v>0</v>
      </c>
      <c r="M41" s="176">
        <f t="shared" si="23"/>
        <v>0</v>
      </c>
      <c r="N41" s="176">
        <f t="shared" si="23"/>
        <v>0</v>
      </c>
      <c r="O41" s="176">
        <f t="shared" si="25"/>
        <v>0</v>
      </c>
      <c r="P41" s="176">
        <f t="shared" si="23"/>
        <v>0</v>
      </c>
      <c r="Q41" s="175">
        <f t="shared" si="26"/>
        <v>0</v>
      </c>
      <c r="R41" s="176">
        <f t="shared" si="23"/>
        <v>0</v>
      </c>
      <c r="S41" s="176">
        <f t="shared" si="23"/>
        <v>0</v>
      </c>
      <c r="T41" s="176">
        <f t="shared" si="23"/>
        <v>0</v>
      </c>
      <c r="U41" s="176">
        <f t="shared" si="23"/>
        <v>0</v>
      </c>
    </row>
    <row r="42" spans="1:21" ht="18.75" x14ac:dyDescent="0.3">
      <c r="A42" s="119" t="s">
        <v>337</v>
      </c>
      <c r="B42" s="24">
        <f>IFERROR(+GETPIVOTDATA("Unique Billed Hours",'County allocation'!$A$3,"County",A42,"HHA/CDPAP","CDPAP"),0)</f>
        <v>1.6648187600380527E-3</v>
      </c>
      <c r="C42" s="294">
        <f t="shared" si="20"/>
        <v>1</v>
      </c>
      <c r="D42" s="113" t="s">
        <v>121</v>
      </c>
      <c r="E42" s="76" t="s">
        <v>53</v>
      </c>
      <c r="F42" s="176">
        <f t="shared" si="23"/>
        <v>0</v>
      </c>
      <c r="G42" s="176">
        <f t="shared" si="24"/>
        <v>0</v>
      </c>
      <c r="H42" s="176">
        <f t="shared" si="24"/>
        <v>0</v>
      </c>
      <c r="I42" s="176">
        <f t="shared" si="24"/>
        <v>0</v>
      </c>
      <c r="J42" s="176">
        <f t="shared" si="24"/>
        <v>0</v>
      </c>
      <c r="K42" s="176">
        <f t="shared" si="24"/>
        <v>0</v>
      </c>
      <c r="L42" s="176">
        <f t="shared" si="24"/>
        <v>0</v>
      </c>
      <c r="M42" s="176">
        <f t="shared" si="23"/>
        <v>0</v>
      </c>
      <c r="N42" s="176">
        <f t="shared" si="23"/>
        <v>0</v>
      </c>
      <c r="O42" s="176">
        <f t="shared" si="25"/>
        <v>0</v>
      </c>
      <c r="P42" s="176">
        <f t="shared" si="23"/>
        <v>0</v>
      </c>
      <c r="Q42" s="175">
        <f t="shared" si="26"/>
        <v>0</v>
      </c>
      <c r="R42" s="176">
        <f t="shared" si="23"/>
        <v>0</v>
      </c>
      <c r="S42" s="176">
        <f t="shared" si="23"/>
        <v>0</v>
      </c>
      <c r="T42" s="176">
        <f t="shared" si="23"/>
        <v>0</v>
      </c>
      <c r="U42" s="176">
        <f t="shared" si="23"/>
        <v>0</v>
      </c>
    </row>
    <row r="43" spans="1:21" ht="18.75" x14ac:dyDescent="0.3">
      <c r="A43" s="119" t="s">
        <v>338</v>
      </c>
      <c r="B43" s="24">
        <f>IFERROR(+GETPIVOTDATA("Unique Billed Hours",'County allocation'!$A$3,"County",A43,"HHA/CDPAP","CDPAP"),0)</f>
        <v>6.9943078478575799E-4</v>
      </c>
      <c r="C43" s="294">
        <f t="shared" si="20"/>
        <v>1</v>
      </c>
      <c r="D43" s="113" t="s">
        <v>122</v>
      </c>
      <c r="E43" s="76" t="s">
        <v>52</v>
      </c>
      <c r="F43" s="176">
        <f t="shared" si="23"/>
        <v>0</v>
      </c>
      <c r="G43" s="176">
        <f t="shared" si="24"/>
        <v>0</v>
      </c>
      <c r="H43" s="176">
        <f t="shared" si="24"/>
        <v>0</v>
      </c>
      <c r="I43" s="176">
        <f t="shared" si="24"/>
        <v>0</v>
      </c>
      <c r="J43" s="176">
        <f t="shared" si="24"/>
        <v>0</v>
      </c>
      <c r="K43" s="176">
        <f t="shared" si="24"/>
        <v>0</v>
      </c>
      <c r="L43" s="176">
        <f t="shared" si="24"/>
        <v>0</v>
      </c>
      <c r="M43" s="176">
        <f t="shared" si="23"/>
        <v>0</v>
      </c>
      <c r="N43" s="176">
        <f t="shared" si="23"/>
        <v>0</v>
      </c>
      <c r="O43" s="176">
        <f t="shared" si="25"/>
        <v>0</v>
      </c>
      <c r="P43" s="176">
        <f t="shared" si="23"/>
        <v>0</v>
      </c>
      <c r="Q43" s="175">
        <f t="shared" si="26"/>
        <v>0</v>
      </c>
      <c r="R43" s="176">
        <f t="shared" si="23"/>
        <v>0</v>
      </c>
      <c r="S43" s="176">
        <f t="shared" si="23"/>
        <v>0</v>
      </c>
      <c r="T43" s="176">
        <f t="shared" si="23"/>
        <v>0</v>
      </c>
      <c r="U43" s="176">
        <f t="shared" si="23"/>
        <v>0</v>
      </c>
    </row>
    <row r="44" spans="1:21" ht="18.75" x14ac:dyDescent="0.3">
      <c r="A44" s="119" t="s">
        <v>339</v>
      </c>
      <c r="B44" s="24">
        <f>IFERROR(+GETPIVOTDATA("Unique Billed Hours",'County allocation'!$A$3,"County",A44,"HHA/CDPAP","CDPAP"),0)</f>
        <v>0.13455152735828174</v>
      </c>
      <c r="C44" s="294">
        <f t="shared" si="20"/>
        <v>1</v>
      </c>
      <c r="D44" s="125" t="s">
        <v>123</v>
      </c>
      <c r="E44" s="76" t="s">
        <v>51</v>
      </c>
      <c r="F44" s="176">
        <f t="shared" si="23"/>
        <v>0</v>
      </c>
      <c r="G44" s="176">
        <f t="shared" si="24"/>
        <v>0</v>
      </c>
      <c r="H44" s="176">
        <f t="shared" si="24"/>
        <v>0</v>
      </c>
      <c r="I44" s="176">
        <f t="shared" si="24"/>
        <v>0</v>
      </c>
      <c r="J44" s="176">
        <f t="shared" si="24"/>
        <v>0</v>
      </c>
      <c r="K44" s="176">
        <f t="shared" si="24"/>
        <v>0</v>
      </c>
      <c r="L44" s="176">
        <f t="shared" si="24"/>
        <v>0</v>
      </c>
      <c r="M44" s="176">
        <f t="shared" si="23"/>
        <v>0</v>
      </c>
      <c r="N44" s="176">
        <f t="shared" si="23"/>
        <v>0</v>
      </c>
      <c r="O44" s="176">
        <f t="shared" si="25"/>
        <v>0</v>
      </c>
      <c r="P44" s="176">
        <f t="shared" si="23"/>
        <v>0</v>
      </c>
      <c r="Q44" s="175">
        <f t="shared" si="26"/>
        <v>0</v>
      </c>
      <c r="R44" s="176">
        <f t="shared" si="23"/>
        <v>0</v>
      </c>
      <c r="S44" s="176">
        <f t="shared" si="23"/>
        <v>0</v>
      </c>
      <c r="T44" s="176">
        <f t="shared" si="23"/>
        <v>0</v>
      </c>
      <c r="U44" s="176">
        <f t="shared" si="23"/>
        <v>0</v>
      </c>
    </row>
    <row r="45" spans="1:21" ht="19.5" thickBot="1" x14ac:dyDescent="0.35">
      <c r="A45" s="119" t="s">
        <v>340</v>
      </c>
      <c r="B45" s="24">
        <f>IFERROR(+GETPIVOTDATA("Unique Billed Hours",'County allocation'!$A$3,"County",A45,"HHA/CDPAP","CDPAP"),0)</f>
        <v>1.1879078473435285E-2</v>
      </c>
      <c r="C45" s="294">
        <f t="shared" si="20"/>
        <v>1</v>
      </c>
      <c r="D45" s="114" t="s">
        <v>16</v>
      </c>
      <c r="E45" s="70" t="s">
        <v>50</v>
      </c>
      <c r="F45" s="176">
        <f t="shared" si="23"/>
        <v>4556.3441602668308</v>
      </c>
      <c r="G45" s="176">
        <f t="shared" si="24"/>
        <v>90.511053671070073</v>
      </c>
      <c r="H45" s="176">
        <f t="shared" si="24"/>
        <v>0</v>
      </c>
      <c r="I45" s="176">
        <f t="shared" si="24"/>
        <v>0</v>
      </c>
      <c r="J45" s="176">
        <f t="shared" si="24"/>
        <v>193.2356414840186</v>
      </c>
      <c r="K45" s="176">
        <f t="shared" si="24"/>
        <v>0.79555953536728907</v>
      </c>
      <c r="L45" s="176">
        <f t="shared" si="24"/>
        <v>0.1119580571640845</v>
      </c>
      <c r="M45" s="176">
        <f t="shared" si="23"/>
        <v>0</v>
      </c>
      <c r="N45" s="176">
        <f t="shared" si="23"/>
        <v>0</v>
      </c>
      <c r="O45" s="176">
        <f t="shared" si="25"/>
        <v>57.906488316173935</v>
      </c>
      <c r="P45" s="176">
        <f t="shared" si="23"/>
        <v>986.24248013752288</v>
      </c>
      <c r="Q45" s="175">
        <f t="shared" si="26"/>
        <v>5885.1473414681468</v>
      </c>
      <c r="R45" s="176">
        <f t="shared" si="23"/>
        <v>0</v>
      </c>
      <c r="S45" s="176">
        <f t="shared" si="23"/>
        <v>409.21398044927997</v>
      </c>
      <c r="T45" s="176">
        <f t="shared" ca="1" si="23"/>
        <v>118.68305656777453</v>
      </c>
      <c r="U45" s="176">
        <f t="shared" ca="1" si="23"/>
        <v>6.7629383443717073</v>
      </c>
    </row>
    <row r="46" spans="1:21" ht="19.5" thickBot="1" x14ac:dyDescent="0.3">
      <c r="A46" s="302" t="s">
        <v>367</v>
      </c>
      <c r="B46" s="24">
        <f>IFERROR(+GETPIVOTDATA("Unique Billed Hours",'County allocation'!$A$3,"County",A46,"HHA/CDPAP","CDPAP"),0)</f>
        <v>6.7007910925224526E-2</v>
      </c>
      <c r="C46" s="294">
        <f t="shared" si="20"/>
        <v>1</v>
      </c>
      <c r="D46" s="115" t="s">
        <v>124</v>
      </c>
      <c r="E46" s="116" t="s">
        <v>49</v>
      </c>
      <c r="F46" s="269">
        <f t="shared" ref="F46:U46" si="27">SUBTOTAL(9,F37:F45)</f>
        <v>47229.921941425637</v>
      </c>
      <c r="G46" s="269">
        <f t="shared" ref="G46:L46" si="28">SUBTOTAL(9,G37:G45)</f>
        <v>1050.122216563263</v>
      </c>
      <c r="H46" s="269">
        <f t="shared" si="28"/>
        <v>0</v>
      </c>
      <c r="I46" s="269">
        <f t="shared" si="28"/>
        <v>1223.0377915336426</v>
      </c>
      <c r="J46" s="269">
        <f t="shared" si="28"/>
        <v>333.45066147900019</v>
      </c>
      <c r="K46" s="269">
        <f t="shared" si="28"/>
        <v>43.351541048804428</v>
      </c>
      <c r="L46" s="269">
        <f t="shared" si="28"/>
        <v>0.1119580571640845</v>
      </c>
      <c r="M46" s="269">
        <f t="shared" si="27"/>
        <v>0</v>
      </c>
      <c r="N46" s="269">
        <f t="shared" si="27"/>
        <v>0</v>
      </c>
      <c r="O46" s="269">
        <f>SUBTOTAL(9,O37:O45)</f>
        <v>59.104463854409538</v>
      </c>
      <c r="P46" s="269">
        <f t="shared" si="27"/>
        <v>986.24248013752288</v>
      </c>
      <c r="Q46" s="183">
        <f>SUBTOTAL(9,Q37:Q45)</f>
        <v>50925.343054099445</v>
      </c>
      <c r="R46" s="269">
        <f t="shared" si="27"/>
        <v>0</v>
      </c>
      <c r="S46" s="269">
        <f t="shared" si="27"/>
        <v>3846.2910918753187</v>
      </c>
      <c r="T46" s="269">
        <f t="shared" ca="1" si="27"/>
        <v>1581.6318651473089</v>
      </c>
      <c r="U46" s="269">
        <f t="shared" ca="1" si="27"/>
        <v>1093.997535019751</v>
      </c>
    </row>
    <row r="47" spans="1:21" ht="15.75" hidden="1" thickBot="1" x14ac:dyDescent="0.3">
      <c r="A47" s="119" t="s">
        <v>341</v>
      </c>
      <c r="B47" s="24">
        <f>IFERROR(+GETPIVOTDATA("Unique Billed Hours",'County allocation'!$A$3,"County",A47,"HHA/CDPAP","CDPAP"),0)</f>
        <v>8.6451829716716073E-3</v>
      </c>
    </row>
    <row r="48" spans="1:21" ht="93.75" x14ac:dyDescent="0.25">
      <c r="A48" s="119" t="s">
        <v>342</v>
      </c>
      <c r="B48" s="24">
        <f>IFERROR(+GETPIVOTDATA("Unique Billed Hours",'County allocation'!$A$3,"County",A48,"HHA/CDPAP","CDPAP"),0)</f>
        <v>2.5221917468452523E-3</v>
      </c>
      <c r="C48" s="294">
        <f>IF($E$48&gt;0,1,0)</f>
        <v>1</v>
      </c>
      <c r="D48" s="96" t="str">
        <f>A6</f>
        <v>Bronx</v>
      </c>
      <c r="E48" s="166">
        <f>IFERROR(SUMIF(A:A,D48,B:B),0)</f>
        <v>0.10098052035465671</v>
      </c>
      <c r="F48" s="98" t="s">
        <v>356</v>
      </c>
      <c r="G48" s="98" t="s">
        <v>373</v>
      </c>
      <c r="H48" s="98" t="s">
        <v>358</v>
      </c>
      <c r="I48" s="98" t="s">
        <v>109</v>
      </c>
      <c r="J48" s="98" t="s">
        <v>111</v>
      </c>
      <c r="K48" s="98" t="s">
        <v>469</v>
      </c>
      <c r="L48" s="98" t="s">
        <v>470</v>
      </c>
      <c r="M48" s="98" t="s">
        <v>357</v>
      </c>
      <c r="N48" s="557" t="s">
        <v>471</v>
      </c>
      <c r="O48" s="557" t="s">
        <v>473</v>
      </c>
      <c r="P48" s="98" t="s">
        <v>110</v>
      </c>
      <c r="Q48" s="99" t="s">
        <v>116</v>
      </c>
      <c r="R48" s="98" t="s">
        <v>112</v>
      </c>
      <c r="S48" s="98" t="s">
        <v>113</v>
      </c>
      <c r="T48" s="98" t="s">
        <v>114</v>
      </c>
      <c r="U48" s="98" t="s">
        <v>115</v>
      </c>
    </row>
    <row r="49" spans="1:21" ht="18.75" x14ac:dyDescent="0.25">
      <c r="A49" s="119" t="s">
        <v>343</v>
      </c>
      <c r="B49" s="24">
        <f>IFERROR(+GETPIVOTDATA("Unique Billed Hours",'County allocation'!$A$3,"County",A49,"HHA/CDPAP","CDPAP"),0)</f>
        <v>6.3457038660819764E-3</v>
      </c>
      <c r="C49" s="294">
        <f t="shared" ref="C49:C60" si="29">IF($E$48&gt;0,1,0)</f>
        <v>1</v>
      </c>
      <c r="D49" s="101"/>
      <c r="E49" s="102"/>
      <c r="F49" s="84" t="s">
        <v>57</v>
      </c>
      <c r="G49" s="84" t="s">
        <v>56</v>
      </c>
      <c r="H49" s="84" t="s">
        <v>55</v>
      </c>
      <c r="I49" s="84" t="s">
        <v>54</v>
      </c>
      <c r="J49" s="84" t="s">
        <v>53</v>
      </c>
      <c r="K49" s="84" t="s">
        <v>52</v>
      </c>
      <c r="L49" s="84" t="s">
        <v>51</v>
      </c>
      <c r="M49" s="84" t="s">
        <v>50</v>
      </c>
      <c r="N49" s="84" t="s">
        <v>49</v>
      </c>
      <c r="O49" s="84" t="s">
        <v>47</v>
      </c>
      <c r="P49" s="84" t="s">
        <v>77</v>
      </c>
      <c r="Q49" s="84" t="s">
        <v>78</v>
      </c>
      <c r="R49" s="84" t="s">
        <v>79</v>
      </c>
      <c r="S49" s="84" t="s">
        <v>81</v>
      </c>
      <c r="T49" s="84" t="s">
        <v>83</v>
      </c>
      <c r="U49" s="84" t="s">
        <v>85</v>
      </c>
    </row>
    <row r="50" spans="1:21" ht="18.75" x14ac:dyDescent="0.25">
      <c r="A50" s="119" t="s">
        <v>344</v>
      </c>
      <c r="B50" s="24">
        <f>IFERROR(+GETPIVOTDATA("Unique Billed Hours",'County allocation'!$A$3,"County",A50,"HHA/CDPAP","CDPAP"),0)</f>
        <v>3.6612583135718163E-2</v>
      </c>
      <c r="C50" s="294">
        <f t="shared" si="29"/>
        <v>1</v>
      </c>
      <c r="D50" s="103" t="s">
        <v>26</v>
      </c>
      <c r="E50" s="122"/>
      <c r="F50" s="123"/>
      <c r="G50" s="123"/>
      <c r="H50" s="107"/>
      <c r="I50" s="107"/>
      <c r="J50" s="107"/>
      <c r="K50" s="107"/>
      <c r="L50" s="107"/>
      <c r="M50" s="123"/>
      <c r="N50" s="107"/>
      <c r="O50" s="107"/>
      <c r="P50" s="107"/>
      <c r="Q50" s="108"/>
      <c r="R50" s="107"/>
      <c r="S50" s="107"/>
      <c r="T50" s="107"/>
      <c r="U50" s="107"/>
    </row>
    <row r="51" spans="1:21" ht="18.75" x14ac:dyDescent="0.25">
      <c r="A51" s="119" t="s">
        <v>345</v>
      </c>
      <c r="B51" s="24">
        <f>IFERROR(+GETPIVOTDATA("Unique Billed Hours",'County allocation'!$A$3,"County",A51,"HHA/CDPAP","CDPAP"),0)</f>
        <v>2.3823698462762297E-3</v>
      </c>
      <c r="C51" s="294">
        <f t="shared" si="29"/>
        <v>1</v>
      </c>
      <c r="D51" s="124" t="s">
        <v>105</v>
      </c>
      <c r="E51" s="76" t="s">
        <v>57</v>
      </c>
      <c r="F51" s="176">
        <f t="shared" ref="F51:L51" si="30">F6*$E$48</f>
        <v>7122195.6587229809</v>
      </c>
      <c r="G51" s="176">
        <f t="shared" si="30"/>
        <v>160158.55275745044</v>
      </c>
      <c r="H51" s="176">
        <f t="shared" si="30"/>
        <v>0</v>
      </c>
      <c r="I51" s="176">
        <f t="shared" si="30"/>
        <v>204124.30600466311</v>
      </c>
      <c r="J51" s="176">
        <f t="shared" si="30"/>
        <v>23401.806424980186</v>
      </c>
      <c r="K51" s="176">
        <f t="shared" si="30"/>
        <v>7102.5689090807446</v>
      </c>
      <c r="L51" s="176">
        <f t="shared" si="30"/>
        <v>0</v>
      </c>
      <c r="M51" s="176">
        <f t="shared" ref="M51:T51" si="31">M6*$E$48</f>
        <v>0</v>
      </c>
      <c r="N51" s="176">
        <f t="shared" si="31"/>
        <v>0</v>
      </c>
      <c r="O51" s="176">
        <f>O6*$E$48</f>
        <v>199.94143030222028</v>
      </c>
      <c r="P51" s="176">
        <f t="shared" si="31"/>
        <v>0</v>
      </c>
      <c r="Q51" s="175">
        <f>SUM(F51:P51)</f>
        <v>7517182.8342494573</v>
      </c>
      <c r="R51" s="176">
        <f t="shared" si="31"/>
        <v>0</v>
      </c>
      <c r="S51" s="176">
        <f t="shared" si="31"/>
        <v>573646.1987610244</v>
      </c>
      <c r="T51" s="176">
        <f t="shared" ca="1" si="31"/>
        <v>244165.31716259057</v>
      </c>
      <c r="U51" s="176">
        <f ca="1">U6*$E$48</f>
        <v>181458.83066485511</v>
      </c>
    </row>
    <row r="52" spans="1:21" ht="18.75" x14ac:dyDescent="0.25">
      <c r="A52" s="119" t="s">
        <v>346</v>
      </c>
      <c r="B52" s="24">
        <f>IFERROR(+GETPIVOTDATA("Unique Billed Hours",'County allocation'!$A$3,"County",A52,"HHA/CDPAP","CDPAP"),0)</f>
        <v>6.2373675956962351E-4</v>
      </c>
      <c r="C52" s="294">
        <f t="shared" si="29"/>
        <v>1</v>
      </c>
      <c r="D52" s="112" t="s">
        <v>31</v>
      </c>
      <c r="E52" s="76"/>
      <c r="F52" s="177"/>
      <c r="G52" s="177"/>
      <c r="H52" s="178"/>
      <c r="I52" s="178"/>
      <c r="J52" s="178"/>
      <c r="K52" s="178"/>
      <c r="L52" s="178"/>
      <c r="M52" s="177"/>
      <c r="N52" s="178"/>
      <c r="O52" s="178"/>
      <c r="P52" s="178"/>
      <c r="Q52" s="179"/>
      <c r="R52" s="178"/>
      <c r="S52" s="178"/>
      <c r="T52" s="178"/>
      <c r="U52" s="178"/>
    </row>
    <row r="53" spans="1:21" ht="18.75" x14ac:dyDescent="0.3">
      <c r="A53" s="119" t="s">
        <v>347</v>
      </c>
      <c r="B53" s="24">
        <f>IFERROR(+GETPIVOTDATA("Unique Billed Hours",'County allocation'!$A$3,"County",A53,"HHA/CDPAP","CDPAP"),0)</f>
        <v>5.0916761953535567E-4</v>
      </c>
      <c r="C53" s="294">
        <f t="shared" si="29"/>
        <v>1</v>
      </c>
      <c r="D53" s="113" t="s">
        <v>118</v>
      </c>
      <c r="E53" s="76" t="s">
        <v>56</v>
      </c>
      <c r="F53" s="176">
        <f t="shared" ref="F53:U59" si="32">F8*$E$48</f>
        <v>0</v>
      </c>
      <c r="G53" s="176">
        <f t="shared" ref="G53:L59" si="33">G8*$E$48</f>
        <v>0</v>
      </c>
      <c r="H53" s="176">
        <f t="shared" si="33"/>
        <v>0</v>
      </c>
      <c r="I53" s="176">
        <f t="shared" si="33"/>
        <v>0</v>
      </c>
      <c r="J53" s="176">
        <f t="shared" si="33"/>
        <v>0</v>
      </c>
      <c r="K53" s="176">
        <f t="shared" si="33"/>
        <v>0</v>
      </c>
      <c r="L53" s="176">
        <f t="shared" si="33"/>
        <v>0</v>
      </c>
      <c r="M53" s="176">
        <f t="shared" si="32"/>
        <v>0</v>
      </c>
      <c r="N53" s="176">
        <f t="shared" si="32"/>
        <v>0</v>
      </c>
      <c r="O53" s="176">
        <f t="shared" ref="O53:O59" si="34">O8*$E$48</f>
        <v>0</v>
      </c>
      <c r="P53" s="176">
        <f t="shared" si="32"/>
        <v>0</v>
      </c>
      <c r="Q53" s="175">
        <f t="shared" ref="Q53:Q59" si="35">SUM(F53:P53)</f>
        <v>0</v>
      </c>
      <c r="R53" s="176">
        <f t="shared" si="32"/>
        <v>0</v>
      </c>
      <c r="S53" s="176">
        <f t="shared" si="32"/>
        <v>0</v>
      </c>
      <c r="T53" s="176">
        <f t="shared" si="32"/>
        <v>0</v>
      </c>
      <c r="U53" s="176">
        <f t="shared" si="32"/>
        <v>0</v>
      </c>
    </row>
    <row r="54" spans="1:21" ht="18.75" x14ac:dyDescent="0.3">
      <c r="A54" s="119" t="s">
        <v>348</v>
      </c>
      <c r="B54" s="24">
        <f>IFERROR(+GETPIVOTDATA("Unique Billed Hours",'County allocation'!$A$3,"County",A54,"HHA/CDPAP","CDPAP"),0)</f>
        <v>2.7722133530557608E-3</v>
      </c>
      <c r="C54" s="294">
        <f t="shared" si="29"/>
        <v>1</v>
      </c>
      <c r="D54" s="113" t="s">
        <v>119</v>
      </c>
      <c r="E54" s="76" t="s">
        <v>55</v>
      </c>
      <c r="F54" s="176">
        <f t="shared" si="32"/>
        <v>0</v>
      </c>
      <c r="G54" s="176">
        <f t="shared" si="33"/>
        <v>0</v>
      </c>
      <c r="H54" s="176">
        <f t="shared" si="33"/>
        <v>0</v>
      </c>
      <c r="I54" s="176">
        <f t="shared" si="33"/>
        <v>0</v>
      </c>
      <c r="J54" s="176">
        <f t="shared" si="33"/>
        <v>0</v>
      </c>
      <c r="K54" s="176">
        <f t="shared" si="33"/>
        <v>0</v>
      </c>
      <c r="L54" s="176">
        <f t="shared" si="33"/>
        <v>0</v>
      </c>
      <c r="M54" s="176">
        <f t="shared" si="32"/>
        <v>0</v>
      </c>
      <c r="N54" s="176">
        <f t="shared" si="32"/>
        <v>0</v>
      </c>
      <c r="O54" s="176">
        <f t="shared" si="34"/>
        <v>0</v>
      </c>
      <c r="P54" s="176">
        <f t="shared" si="32"/>
        <v>0</v>
      </c>
      <c r="Q54" s="175">
        <f t="shared" si="35"/>
        <v>0</v>
      </c>
      <c r="R54" s="176">
        <f t="shared" si="32"/>
        <v>0</v>
      </c>
      <c r="S54" s="176">
        <f t="shared" si="32"/>
        <v>0</v>
      </c>
      <c r="T54" s="176">
        <f t="shared" si="32"/>
        <v>0</v>
      </c>
      <c r="U54" s="176">
        <f t="shared" si="32"/>
        <v>0</v>
      </c>
    </row>
    <row r="55" spans="1:21" ht="18.75" x14ac:dyDescent="0.3">
      <c r="A55" s="119" t="s">
        <v>349</v>
      </c>
      <c r="B55" s="24">
        <f>IFERROR(+GETPIVOTDATA("Unique Billed Hours",'County allocation'!$A$3,"County",A55,"HHA/CDPAP","CDPAP"),0)</f>
        <v>4.7178453804958088E-2</v>
      </c>
      <c r="C55" s="294">
        <f t="shared" si="29"/>
        <v>1</v>
      </c>
      <c r="D55" s="113" t="s">
        <v>120</v>
      </c>
      <c r="E55" s="76" t="s">
        <v>54</v>
      </c>
      <c r="F55" s="176">
        <f t="shared" si="32"/>
        <v>0</v>
      </c>
      <c r="G55" s="176">
        <f t="shared" si="33"/>
        <v>0</v>
      </c>
      <c r="H55" s="176">
        <f t="shared" si="33"/>
        <v>0</v>
      </c>
      <c r="I55" s="176">
        <f t="shared" si="33"/>
        <v>0</v>
      </c>
      <c r="J55" s="176">
        <f t="shared" si="33"/>
        <v>0</v>
      </c>
      <c r="K55" s="176">
        <f t="shared" si="33"/>
        <v>0</v>
      </c>
      <c r="L55" s="176">
        <f t="shared" si="33"/>
        <v>0</v>
      </c>
      <c r="M55" s="176">
        <f t="shared" si="32"/>
        <v>0</v>
      </c>
      <c r="N55" s="176">
        <f t="shared" si="32"/>
        <v>0</v>
      </c>
      <c r="O55" s="176">
        <f t="shared" si="34"/>
        <v>0</v>
      </c>
      <c r="P55" s="176">
        <f t="shared" si="32"/>
        <v>0</v>
      </c>
      <c r="Q55" s="175">
        <f t="shared" si="35"/>
        <v>0</v>
      </c>
      <c r="R55" s="176">
        <f t="shared" si="32"/>
        <v>0</v>
      </c>
      <c r="S55" s="176">
        <f t="shared" si="32"/>
        <v>0</v>
      </c>
      <c r="T55" s="176">
        <f t="shared" si="32"/>
        <v>0</v>
      </c>
      <c r="U55" s="176">
        <f t="shared" si="32"/>
        <v>0</v>
      </c>
    </row>
    <row r="56" spans="1:21" ht="18.75" x14ac:dyDescent="0.3">
      <c r="A56" s="119" t="s">
        <v>350</v>
      </c>
      <c r="B56" s="24">
        <f>IFERROR(+GETPIVOTDATA("Unique Billed Hours",'County allocation'!$A$3,"County",A56,"HHA/CDPAP","CDPAP"),0)</f>
        <v>2.5908175693671806E-3</v>
      </c>
      <c r="C56" s="294">
        <f t="shared" si="29"/>
        <v>1</v>
      </c>
      <c r="D56" s="113" t="s">
        <v>121</v>
      </c>
      <c r="E56" s="76" t="s">
        <v>53</v>
      </c>
      <c r="F56" s="176">
        <f t="shared" si="32"/>
        <v>0</v>
      </c>
      <c r="G56" s="176">
        <f t="shared" si="33"/>
        <v>0</v>
      </c>
      <c r="H56" s="176">
        <f t="shared" si="33"/>
        <v>0</v>
      </c>
      <c r="I56" s="176">
        <f t="shared" si="33"/>
        <v>0</v>
      </c>
      <c r="J56" s="176">
        <f t="shared" si="33"/>
        <v>0</v>
      </c>
      <c r="K56" s="176">
        <f t="shared" si="33"/>
        <v>0</v>
      </c>
      <c r="L56" s="176">
        <f t="shared" si="33"/>
        <v>0</v>
      </c>
      <c r="M56" s="176">
        <f t="shared" si="32"/>
        <v>0</v>
      </c>
      <c r="N56" s="176">
        <f t="shared" si="32"/>
        <v>0</v>
      </c>
      <c r="O56" s="176">
        <f t="shared" si="34"/>
        <v>0</v>
      </c>
      <c r="P56" s="176">
        <f t="shared" si="32"/>
        <v>0</v>
      </c>
      <c r="Q56" s="175">
        <f t="shared" si="35"/>
        <v>0</v>
      </c>
      <c r="R56" s="176">
        <f t="shared" si="32"/>
        <v>0</v>
      </c>
      <c r="S56" s="176">
        <f t="shared" si="32"/>
        <v>0</v>
      </c>
      <c r="T56" s="176">
        <f t="shared" si="32"/>
        <v>0</v>
      </c>
      <c r="U56" s="176">
        <f t="shared" si="32"/>
        <v>0</v>
      </c>
    </row>
    <row r="57" spans="1:21" ht="18.75" x14ac:dyDescent="0.3">
      <c r="A57" s="119" t="s">
        <v>351</v>
      </c>
      <c r="B57" s="24">
        <f>IFERROR(+GETPIVOTDATA("Unique Billed Hours",'County allocation'!$A$3,"County",A57,"HHA/CDPAP","CDPAP"),0)</f>
        <v>1.4345881213713213E-3</v>
      </c>
      <c r="C57" s="294">
        <f t="shared" si="29"/>
        <v>1</v>
      </c>
      <c r="D57" s="113" t="s">
        <v>122</v>
      </c>
      <c r="E57" s="76" t="s">
        <v>52</v>
      </c>
      <c r="F57" s="176">
        <f t="shared" si="32"/>
        <v>0</v>
      </c>
      <c r="G57" s="176">
        <f t="shared" si="33"/>
        <v>0</v>
      </c>
      <c r="H57" s="176">
        <f t="shared" si="33"/>
        <v>0</v>
      </c>
      <c r="I57" s="176">
        <f t="shared" si="33"/>
        <v>0</v>
      </c>
      <c r="J57" s="176">
        <f t="shared" si="33"/>
        <v>0</v>
      </c>
      <c r="K57" s="176">
        <f t="shared" si="33"/>
        <v>0</v>
      </c>
      <c r="L57" s="176">
        <f t="shared" si="33"/>
        <v>0</v>
      </c>
      <c r="M57" s="176">
        <f t="shared" si="32"/>
        <v>0</v>
      </c>
      <c r="N57" s="176">
        <f t="shared" si="32"/>
        <v>0</v>
      </c>
      <c r="O57" s="176">
        <f t="shared" si="34"/>
        <v>0</v>
      </c>
      <c r="P57" s="176">
        <f t="shared" si="32"/>
        <v>0</v>
      </c>
      <c r="Q57" s="175">
        <f t="shared" si="35"/>
        <v>0</v>
      </c>
      <c r="R57" s="176">
        <f t="shared" si="32"/>
        <v>0</v>
      </c>
      <c r="S57" s="176">
        <f t="shared" si="32"/>
        <v>0</v>
      </c>
      <c r="T57" s="176">
        <f t="shared" si="32"/>
        <v>0</v>
      </c>
      <c r="U57" s="176">
        <f t="shared" si="32"/>
        <v>0</v>
      </c>
    </row>
    <row r="58" spans="1:21" ht="18.75" x14ac:dyDescent="0.3">
      <c r="A58" s="119" t="s">
        <v>352</v>
      </c>
      <c r="B58" s="24">
        <f>IFERROR(+GETPIVOTDATA("Unique Billed Hours",'County allocation'!$A$3,"County",A58,"HHA/CDPAP","CDPAP"),0)</f>
        <v>1.0364555405231305E-3</v>
      </c>
      <c r="C58" s="294">
        <f t="shared" si="29"/>
        <v>1</v>
      </c>
      <c r="D58" s="125" t="s">
        <v>123</v>
      </c>
      <c r="E58" s="76" t="s">
        <v>51</v>
      </c>
      <c r="F58" s="176">
        <f t="shared" si="32"/>
        <v>0</v>
      </c>
      <c r="G58" s="176">
        <f t="shared" si="33"/>
        <v>0</v>
      </c>
      <c r="H58" s="176">
        <f t="shared" si="33"/>
        <v>0</v>
      </c>
      <c r="I58" s="176">
        <f t="shared" si="33"/>
        <v>0</v>
      </c>
      <c r="J58" s="176">
        <f t="shared" si="33"/>
        <v>0</v>
      </c>
      <c r="K58" s="176">
        <f t="shared" si="33"/>
        <v>0</v>
      </c>
      <c r="L58" s="176">
        <f t="shared" si="33"/>
        <v>0</v>
      </c>
      <c r="M58" s="176">
        <f t="shared" si="32"/>
        <v>0</v>
      </c>
      <c r="N58" s="176">
        <f t="shared" si="32"/>
        <v>0</v>
      </c>
      <c r="O58" s="176">
        <f t="shared" si="34"/>
        <v>0</v>
      </c>
      <c r="P58" s="176">
        <f t="shared" si="32"/>
        <v>0</v>
      </c>
      <c r="Q58" s="175">
        <f t="shared" si="35"/>
        <v>0</v>
      </c>
      <c r="R58" s="176">
        <f t="shared" si="32"/>
        <v>0</v>
      </c>
      <c r="S58" s="176">
        <f t="shared" si="32"/>
        <v>0</v>
      </c>
      <c r="T58" s="176">
        <f t="shared" si="32"/>
        <v>0</v>
      </c>
      <c r="U58" s="176">
        <f t="shared" si="32"/>
        <v>0</v>
      </c>
    </row>
    <row r="59" spans="1:21" ht="19.5" thickBot="1" x14ac:dyDescent="0.35">
      <c r="A59" s="119" t="s">
        <v>353</v>
      </c>
      <c r="B59" s="24">
        <f>IFERROR(+GETPIVOTDATA("Unique Billed Hours",'County allocation'!$A$3,"County",A59,"HHA/CDPAP","CDPAP"),0)</f>
        <v>8.5279793197240439E-3</v>
      </c>
      <c r="C59" s="294">
        <f t="shared" si="29"/>
        <v>1</v>
      </c>
      <c r="D59" s="114" t="s">
        <v>16</v>
      </c>
      <c r="E59" s="70" t="s">
        <v>50</v>
      </c>
      <c r="F59" s="176">
        <f t="shared" si="32"/>
        <v>760451.22732193395</v>
      </c>
      <c r="G59" s="176">
        <f t="shared" si="33"/>
        <v>15106.242950342863</v>
      </c>
      <c r="H59" s="176">
        <f t="shared" si="33"/>
        <v>0</v>
      </c>
      <c r="I59" s="176">
        <f t="shared" si="33"/>
        <v>0</v>
      </c>
      <c r="J59" s="176">
        <f t="shared" si="33"/>
        <v>32250.917744601989</v>
      </c>
      <c r="K59" s="176">
        <f t="shared" si="33"/>
        <v>132.77843020582827</v>
      </c>
      <c r="L59" s="176">
        <f t="shared" si="33"/>
        <v>18.685735533643573</v>
      </c>
      <c r="M59" s="176">
        <f t="shared" si="32"/>
        <v>0</v>
      </c>
      <c r="N59" s="176">
        <f t="shared" si="32"/>
        <v>0</v>
      </c>
      <c r="O59" s="176">
        <f t="shared" si="34"/>
        <v>9664.5596910657641</v>
      </c>
      <c r="P59" s="176">
        <f t="shared" si="32"/>
        <v>164603.30433285053</v>
      </c>
      <c r="Q59" s="175">
        <f t="shared" si="35"/>
        <v>982227.71620653453</v>
      </c>
      <c r="R59" s="176">
        <f t="shared" si="32"/>
        <v>0</v>
      </c>
      <c r="S59" s="176">
        <f t="shared" si="32"/>
        <v>68297.578656069949</v>
      </c>
      <c r="T59" s="176">
        <f t="shared" ca="1" si="32"/>
        <v>19808.134077386563</v>
      </c>
      <c r="U59" s="176">
        <f t="shared" ca="1" si="32"/>
        <v>1128.7305311850837</v>
      </c>
    </row>
    <row r="60" spans="1:21" ht="19.5" thickBot="1" x14ac:dyDescent="0.3">
      <c r="A60" s="119" t="s">
        <v>354</v>
      </c>
      <c r="B60" s="24">
        <f>IFERROR(+GETPIVOTDATA("Unique Billed Hours",'County allocation'!$A$3,"County",A60,"HHA/CDPAP","CDPAP"),0)</f>
        <v>1.4283552517227942E-3</v>
      </c>
      <c r="C60" s="294">
        <f t="shared" si="29"/>
        <v>1</v>
      </c>
      <c r="D60" s="115" t="s">
        <v>124</v>
      </c>
      <c r="E60" s="116" t="s">
        <v>49</v>
      </c>
      <c r="F60" s="269">
        <f t="shared" ref="F60:U60" si="36">SUBTOTAL(9,F51:F59)</f>
        <v>7882646.8860449148</v>
      </c>
      <c r="G60" s="269">
        <f t="shared" ref="G60:L60" si="37">SUBTOTAL(9,G51:G59)</f>
        <v>175264.7957077933</v>
      </c>
      <c r="H60" s="269">
        <f t="shared" si="37"/>
        <v>0</v>
      </c>
      <c r="I60" s="269">
        <f t="shared" si="37"/>
        <v>204124.30600466311</v>
      </c>
      <c r="J60" s="269">
        <f t="shared" si="37"/>
        <v>55652.724169582172</v>
      </c>
      <c r="K60" s="269">
        <f t="shared" si="37"/>
        <v>7235.3473392865726</v>
      </c>
      <c r="L60" s="269">
        <f t="shared" si="37"/>
        <v>18.685735533643573</v>
      </c>
      <c r="M60" s="269">
        <f t="shared" si="36"/>
        <v>0</v>
      </c>
      <c r="N60" s="269">
        <f t="shared" si="36"/>
        <v>0</v>
      </c>
      <c r="O60" s="269">
        <f>SUBTOTAL(9,O51:O59)</f>
        <v>9864.5011213679845</v>
      </c>
      <c r="P60" s="269">
        <f t="shared" si="36"/>
        <v>164603.30433285053</v>
      </c>
      <c r="Q60" s="183">
        <f>SUBTOTAL(9,Q51:Q59)</f>
        <v>8499410.5504559912</v>
      </c>
      <c r="R60" s="269">
        <f t="shared" si="36"/>
        <v>0</v>
      </c>
      <c r="S60" s="269">
        <f t="shared" si="36"/>
        <v>641943.77741709433</v>
      </c>
      <c r="T60" s="269">
        <f t="shared" ca="1" si="36"/>
        <v>263973.45123997715</v>
      </c>
      <c r="U60" s="269">
        <f t="shared" ca="1" si="36"/>
        <v>182587.56119604019</v>
      </c>
    </row>
    <row r="61" spans="1:21" ht="15.75" hidden="1" thickBot="1" x14ac:dyDescent="0.3">
      <c r="A61" s="119" t="s">
        <v>355</v>
      </c>
      <c r="B61" s="24">
        <f>IFERROR(+GETPIVOTDATA("Unique Billed Hours",'County allocation'!$A$3,"County",A61,"HHA/CDPAP","CDPAP"),0)</f>
        <v>2.2537928136298082E-3</v>
      </c>
    </row>
    <row r="62" spans="1:21" ht="93.75" x14ac:dyDescent="0.25">
      <c r="A62" s="119" t="s">
        <v>361</v>
      </c>
      <c r="B62" s="301">
        <f>IFERROR(+GETPIVOTDATA("Unique Billed Hours",'County allocation'!$A$3,"County",A62,"HHA/CDPAP","CDPAP"),0)</f>
        <v>8.7420816049703603E-4</v>
      </c>
      <c r="C62" s="294">
        <f>IF($E$62&gt;0,1,0)</f>
        <v>1</v>
      </c>
      <c r="D62" s="96" t="str">
        <f>A7</f>
        <v>Broome</v>
      </c>
      <c r="E62" s="166">
        <f>IFERROR(SUMIF(A:A,D62,B:B),0)</f>
        <v>1.3044882123262387E-2</v>
      </c>
      <c r="F62" s="98" t="s">
        <v>356</v>
      </c>
      <c r="G62" s="98" t="s">
        <v>373</v>
      </c>
      <c r="H62" s="98" t="s">
        <v>358</v>
      </c>
      <c r="I62" s="98" t="s">
        <v>109</v>
      </c>
      <c r="J62" s="98" t="s">
        <v>111</v>
      </c>
      <c r="K62" s="98" t="s">
        <v>469</v>
      </c>
      <c r="L62" s="98" t="s">
        <v>470</v>
      </c>
      <c r="M62" s="98" t="s">
        <v>357</v>
      </c>
      <c r="N62" s="557" t="s">
        <v>471</v>
      </c>
      <c r="O62" s="557" t="s">
        <v>473</v>
      </c>
      <c r="P62" s="98" t="s">
        <v>110</v>
      </c>
      <c r="Q62" s="99" t="s">
        <v>116</v>
      </c>
      <c r="R62" s="98" t="s">
        <v>112</v>
      </c>
      <c r="S62" s="98" t="s">
        <v>113</v>
      </c>
      <c r="T62" s="98" t="s">
        <v>114</v>
      </c>
      <c r="U62" s="98" t="s">
        <v>115</v>
      </c>
    </row>
    <row r="63" spans="1:21" ht="18.75" x14ac:dyDescent="0.25">
      <c r="A63" s="119" t="s">
        <v>362</v>
      </c>
      <c r="B63" s="301">
        <f>IFERROR(+GETPIVOTDATA("Unique Billed Hours",'County allocation'!$A$3,"County",A63,"HHA/CDPAP","CDPAP"),0)</f>
        <v>2.408470791134289E-2</v>
      </c>
      <c r="C63" s="294">
        <f t="shared" ref="C63:C74" si="38">IF($E$62&gt;0,1,0)</f>
        <v>1</v>
      </c>
      <c r="D63" s="101"/>
      <c r="E63" s="102"/>
      <c r="F63" s="84" t="s">
        <v>57</v>
      </c>
      <c r="G63" s="84" t="s">
        <v>56</v>
      </c>
      <c r="H63" s="84" t="s">
        <v>55</v>
      </c>
      <c r="I63" s="84" t="s">
        <v>54</v>
      </c>
      <c r="J63" s="84" t="s">
        <v>53</v>
      </c>
      <c r="K63" s="84" t="s">
        <v>52</v>
      </c>
      <c r="L63" s="84" t="s">
        <v>51</v>
      </c>
      <c r="M63" s="84" t="s">
        <v>50</v>
      </c>
      <c r="N63" s="84" t="s">
        <v>49</v>
      </c>
      <c r="O63" s="84" t="s">
        <v>47</v>
      </c>
      <c r="P63" s="84" t="s">
        <v>77</v>
      </c>
      <c r="Q63" s="84" t="s">
        <v>78</v>
      </c>
      <c r="R63" s="84" t="s">
        <v>79</v>
      </c>
      <c r="S63" s="84" t="s">
        <v>81</v>
      </c>
      <c r="T63" s="84" t="s">
        <v>83</v>
      </c>
      <c r="U63" s="84" t="s">
        <v>85</v>
      </c>
    </row>
    <row r="64" spans="1:21" ht="18.75" x14ac:dyDescent="0.25">
      <c r="A64" s="119" t="s">
        <v>363</v>
      </c>
      <c r="B64" s="301">
        <f>IFERROR(+GETPIVOTDATA("Unique Billed Hours",'County allocation'!$A$3,"County",A64,"HHA/CDPAP","CDPAP"),0)</f>
        <v>6.0201810038197211E-4</v>
      </c>
      <c r="C64" s="294">
        <f t="shared" si="38"/>
        <v>1</v>
      </c>
      <c r="D64" s="103" t="s">
        <v>26</v>
      </c>
      <c r="E64" s="122"/>
      <c r="F64" s="123"/>
      <c r="G64" s="123"/>
      <c r="H64" s="107"/>
      <c r="I64" s="107"/>
      <c r="J64" s="107"/>
      <c r="K64" s="107"/>
      <c r="L64" s="107"/>
      <c r="M64" s="123"/>
      <c r="N64" s="107"/>
      <c r="O64" s="107"/>
      <c r="P64" s="107"/>
      <c r="Q64" s="108"/>
      <c r="R64" s="107"/>
      <c r="S64" s="107"/>
      <c r="T64" s="107"/>
      <c r="U64" s="107"/>
    </row>
    <row r="65" spans="1:21" ht="18.75" x14ac:dyDescent="0.25">
      <c r="A65" s="119" t="s">
        <v>364</v>
      </c>
      <c r="B65" s="301">
        <f>IFERROR(+GETPIVOTDATA("Unique Billed Hours",'County allocation'!$A$3,"County",A65,"HHA/CDPAP","CDPAP"),0)</f>
        <v>8.2460222886133507E-4</v>
      </c>
      <c r="C65" s="294">
        <f t="shared" si="38"/>
        <v>1</v>
      </c>
      <c r="D65" s="124" t="s">
        <v>105</v>
      </c>
      <c r="E65" s="76" t="s">
        <v>57</v>
      </c>
      <c r="F65" s="176">
        <f t="shared" ref="F65:L65" si="39">F6*$E$62</f>
        <v>920060.64635581907</v>
      </c>
      <c r="G65" s="176">
        <f t="shared" si="39"/>
        <v>20689.628399769834</v>
      </c>
      <c r="H65" s="176">
        <f t="shared" si="39"/>
        <v>0</v>
      </c>
      <c r="I65" s="176">
        <f t="shared" si="39"/>
        <v>26369.219538298577</v>
      </c>
      <c r="J65" s="176">
        <f t="shared" si="39"/>
        <v>3023.0959913170345</v>
      </c>
      <c r="K65" s="176">
        <f t="shared" si="39"/>
        <v>917.52522036824689</v>
      </c>
      <c r="L65" s="176">
        <f t="shared" si="39"/>
        <v>0</v>
      </c>
      <c r="M65" s="176">
        <f t="shared" ref="M65:U65" si="40">M6*$E$62</f>
        <v>0</v>
      </c>
      <c r="N65" s="176">
        <f t="shared" si="40"/>
        <v>0</v>
      </c>
      <c r="O65" s="176">
        <f>O6*$E$62</f>
        <v>25.828866604059527</v>
      </c>
      <c r="P65" s="176">
        <f t="shared" si="40"/>
        <v>0</v>
      </c>
      <c r="Q65" s="175">
        <f>SUM(F65:P65)</f>
        <v>971085.94437217689</v>
      </c>
      <c r="R65" s="176">
        <f t="shared" si="40"/>
        <v>0</v>
      </c>
      <c r="S65" s="176">
        <f t="shared" si="40"/>
        <v>74104.857224079693</v>
      </c>
      <c r="T65" s="176">
        <f t="shared" ca="1" si="40"/>
        <v>31541.804001291101</v>
      </c>
      <c r="U65" s="176">
        <f t="shared" ca="1" si="40"/>
        <v>23441.244389853313</v>
      </c>
    </row>
    <row r="66" spans="1:21" ht="18.75" x14ac:dyDescent="0.25">
      <c r="C66" s="294">
        <f t="shared" si="38"/>
        <v>1</v>
      </c>
      <c r="D66" s="112" t="s">
        <v>31</v>
      </c>
      <c r="E66" s="76"/>
      <c r="F66" s="177"/>
      <c r="G66" s="177"/>
      <c r="H66" s="178"/>
      <c r="I66" s="178"/>
      <c r="J66" s="178"/>
      <c r="K66" s="178"/>
      <c r="L66" s="178"/>
      <c r="M66" s="177"/>
      <c r="N66" s="178"/>
      <c r="O66" s="178"/>
      <c r="P66" s="178"/>
      <c r="Q66" s="179"/>
      <c r="R66" s="178"/>
      <c r="S66" s="178"/>
      <c r="T66" s="178"/>
      <c r="U66" s="178"/>
    </row>
    <row r="67" spans="1:21" ht="18.75" x14ac:dyDescent="0.3">
      <c r="C67" s="294">
        <f t="shared" si="38"/>
        <v>1</v>
      </c>
      <c r="D67" s="113" t="s">
        <v>118</v>
      </c>
      <c r="E67" s="76" t="s">
        <v>56</v>
      </c>
      <c r="F67" s="176">
        <f t="shared" ref="F67:U73" si="41">F8*$E$62</f>
        <v>0</v>
      </c>
      <c r="G67" s="176">
        <f t="shared" ref="G67:L73" si="42">G8*$E$62</f>
        <v>0</v>
      </c>
      <c r="H67" s="176">
        <f t="shared" si="42"/>
        <v>0</v>
      </c>
      <c r="I67" s="176">
        <f t="shared" si="42"/>
        <v>0</v>
      </c>
      <c r="J67" s="176">
        <f t="shared" si="42"/>
        <v>0</v>
      </c>
      <c r="K67" s="176">
        <f t="shared" si="42"/>
        <v>0</v>
      </c>
      <c r="L67" s="176">
        <f t="shared" si="42"/>
        <v>0</v>
      </c>
      <c r="M67" s="176">
        <f t="shared" si="41"/>
        <v>0</v>
      </c>
      <c r="N67" s="176">
        <f t="shared" si="41"/>
        <v>0</v>
      </c>
      <c r="O67" s="176">
        <f t="shared" ref="O67:O73" si="43">O8*$E$62</f>
        <v>0</v>
      </c>
      <c r="P67" s="176">
        <f t="shared" si="41"/>
        <v>0</v>
      </c>
      <c r="Q67" s="175">
        <f t="shared" ref="Q67:Q73" si="44">SUM(F67:P67)</f>
        <v>0</v>
      </c>
      <c r="R67" s="176">
        <f t="shared" si="41"/>
        <v>0</v>
      </c>
      <c r="S67" s="176">
        <f t="shared" si="41"/>
        <v>0</v>
      </c>
      <c r="T67" s="176">
        <f t="shared" si="41"/>
        <v>0</v>
      </c>
      <c r="U67" s="176">
        <f t="shared" si="41"/>
        <v>0</v>
      </c>
    </row>
    <row r="68" spans="1:21" ht="18.75" x14ac:dyDescent="0.3">
      <c r="C68" s="294">
        <f t="shared" si="38"/>
        <v>1</v>
      </c>
      <c r="D68" s="113" t="s">
        <v>119</v>
      </c>
      <c r="E68" s="76" t="s">
        <v>55</v>
      </c>
      <c r="F68" s="176">
        <f t="shared" si="41"/>
        <v>0</v>
      </c>
      <c r="G68" s="176">
        <f t="shared" si="42"/>
        <v>0</v>
      </c>
      <c r="H68" s="176">
        <f t="shared" si="42"/>
        <v>0</v>
      </c>
      <c r="I68" s="176">
        <f t="shared" si="42"/>
        <v>0</v>
      </c>
      <c r="J68" s="176">
        <f t="shared" si="42"/>
        <v>0</v>
      </c>
      <c r="K68" s="176">
        <f t="shared" si="42"/>
        <v>0</v>
      </c>
      <c r="L68" s="176">
        <f t="shared" si="42"/>
        <v>0</v>
      </c>
      <c r="M68" s="176">
        <f t="shared" si="41"/>
        <v>0</v>
      </c>
      <c r="N68" s="176">
        <f t="shared" si="41"/>
        <v>0</v>
      </c>
      <c r="O68" s="176">
        <f t="shared" si="43"/>
        <v>0</v>
      </c>
      <c r="P68" s="176">
        <f t="shared" si="41"/>
        <v>0</v>
      </c>
      <c r="Q68" s="175">
        <f t="shared" si="44"/>
        <v>0</v>
      </c>
      <c r="R68" s="176">
        <f t="shared" si="41"/>
        <v>0</v>
      </c>
      <c r="S68" s="176">
        <f t="shared" si="41"/>
        <v>0</v>
      </c>
      <c r="T68" s="176">
        <f t="shared" si="41"/>
        <v>0</v>
      </c>
      <c r="U68" s="176">
        <f t="shared" si="41"/>
        <v>0</v>
      </c>
    </row>
    <row r="69" spans="1:21" ht="18.75" x14ac:dyDescent="0.3">
      <c r="C69" s="294">
        <f t="shared" si="38"/>
        <v>1</v>
      </c>
      <c r="D69" s="113" t="s">
        <v>120</v>
      </c>
      <c r="E69" s="76" t="s">
        <v>54</v>
      </c>
      <c r="F69" s="176">
        <f t="shared" si="41"/>
        <v>0</v>
      </c>
      <c r="G69" s="176">
        <f t="shared" si="42"/>
        <v>0</v>
      </c>
      <c r="H69" s="176">
        <f t="shared" si="42"/>
        <v>0</v>
      </c>
      <c r="I69" s="176">
        <f t="shared" si="42"/>
        <v>0</v>
      </c>
      <c r="J69" s="176">
        <f t="shared" si="42"/>
        <v>0</v>
      </c>
      <c r="K69" s="176">
        <f t="shared" si="42"/>
        <v>0</v>
      </c>
      <c r="L69" s="176">
        <f t="shared" si="42"/>
        <v>0</v>
      </c>
      <c r="M69" s="176">
        <f t="shared" si="41"/>
        <v>0</v>
      </c>
      <c r="N69" s="176">
        <f t="shared" si="41"/>
        <v>0</v>
      </c>
      <c r="O69" s="176">
        <f t="shared" si="43"/>
        <v>0</v>
      </c>
      <c r="P69" s="176">
        <f t="shared" si="41"/>
        <v>0</v>
      </c>
      <c r="Q69" s="175">
        <f t="shared" si="44"/>
        <v>0</v>
      </c>
      <c r="R69" s="176">
        <f t="shared" si="41"/>
        <v>0</v>
      </c>
      <c r="S69" s="176">
        <f t="shared" si="41"/>
        <v>0</v>
      </c>
      <c r="T69" s="176">
        <f t="shared" si="41"/>
        <v>0</v>
      </c>
      <c r="U69" s="176">
        <f t="shared" si="41"/>
        <v>0</v>
      </c>
    </row>
    <row r="70" spans="1:21" ht="18.75" x14ac:dyDescent="0.3">
      <c r="C70" s="294">
        <f t="shared" si="38"/>
        <v>1</v>
      </c>
      <c r="D70" s="113" t="s">
        <v>121</v>
      </c>
      <c r="E70" s="76" t="s">
        <v>53</v>
      </c>
      <c r="F70" s="176">
        <f t="shared" si="41"/>
        <v>0</v>
      </c>
      <c r="G70" s="176">
        <f t="shared" si="42"/>
        <v>0</v>
      </c>
      <c r="H70" s="176">
        <f t="shared" si="42"/>
        <v>0</v>
      </c>
      <c r="I70" s="176">
        <f t="shared" si="42"/>
        <v>0</v>
      </c>
      <c r="J70" s="176">
        <f t="shared" si="42"/>
        <v>0</v>
      </c>
      <c r="K70" s="176">
        <f t="shared" si="42"/>
        <v>0</v>
      </c>
      <c r="L70" s="176">
        <f t="shared" si="42"/>
        <v>0</v>
      </c>
      <c r="M70" s="176">
        <f t="shared" si="41"/>
        <v>0</v>
      </c>
      <c r="N70" s="176">
        <f t="shared" si="41"/>
        <v>0</v>
      </c>
      <c r="O70" s="176">
        <f t="shared" si="43"/>
        <v>0</v>
      </c>
      <c r="P70" s="176">
        <f t="shared" si="41"/>
        <v>0</v>
      </c>
      <c r="Q70" s="175">
        <f t="shared" si="44"/>
        <v>0</v>
      </c>
      <c r="R70" s="176">
        <f t="shared" si="41"/>
        <v>0</v>
      </c>
      <c r="S70" s="176">
        <f t="shared" si="41"/>
        <v>0</v>
      </c>
      <c r="T70" s="176">
        <f t="shared" si="41"/>
        <v>0</v>
      </c>
      <c r="U70" s="176">
        <f t="shared" si="41"/>
        <v>0</v>
      </c>
    </row>
    <row r="71" spans="1:21" ht="18.75" x14ac:dyDescent="0.3">
      <c r="C71" s="294">
        <f t="shared" si="38"/>
        <v>1</v>
      </c>
      <c r="D71" s="113" t="s">
        <v>122</v>
      </c>
      <c r="E71" s="76" t="s">
        <v>52</v>
      </c>
      <c r="F71" s="176">
        <f t="shared" si="41"/>
        <v>0</v>
      </c>
      <c r="G71" s="176">
        <f t="shared" si="42"/>
        <v>0</v>
      </c>
      <c r="H71" s="176">
        <f t="shared" si="42"/>
        <v>0</v>
      </c>
      <c r="I71" s="176">
        <f t="shared" si="42"/>
        <v>0</v>
      </c>
      <c r="J71" s="176">
        <f t="shared" si="42"/>
        <v>0</v>
      </c>
      <c r="K71" s="176">
        <f t="shared" si="42"/>
        <v>0</v>
      </c>
      <c r="L71" s="176">
        <f t="shared" si="42"/>
        <v>0</v>
      </c>
      <c r="M71" s="176">
        <f t="shared" si="41"/>
        <v>0</v>
      </c>
      <c r="N71" s="176">
        <f t="shared" si="41"/>
        <v>0</v>
      </c>
      <c r="O71" s="176">
        <f t="shared" si="43"/>
        <v>0</v>
      </c>
      <c r="P71" s="176">
        <f t="shared" si="41"/>
        <v>0</v>
      </c>
      <c r="Q71" s="175">
        <f t="shared" si="44"/>
        <v>0</v>
      </c>
      <c r="R71" s="176">
        <f t="shared" si="41"/>
        <v>0</v>
      </c>
      <c r="S71" s="176">
        <f t="shared" si="41"/>
        <v>0</v>
      </c>
      <c r="T71" s="176">
        <f t="shared" si="41"/>
        <v>0</v>
      </c>
      <c r="U71" s="176">
        <f t="shared" si="41"/>
        <v>0</v>
      </c>
    </row>
    <row r="72" spans="1:21" ht="18.75" x14ac:dyDescent="0.3">
      <c r="C72" s="294">
        <f t="shared" si="38"/>
        <v>1</v>
      </c>
      <c r="D72" s="125" t="s">
        <v>123</v>
      </c>
      <c r="E72" s="76" t="s">
        <v>51</v>
      </c>
      <c r="F72" s="176">
        <f t="shared" si="41"/>
        <v>0</v>
      </c>
      <c r="G72" s="176">
        <f t="shared" si="42"/>
        <v>0</v>
      </c>
      <c r="H72" s="176">
        <f t="shared" si="42"/>
        <v>0</v>
      </c>
      <c r="I72" s="176">
        <f t="shared" si="42"/>
        <v>0</v>
      </c>
      <c r="J72" s="176">
        <f t="shared" si="42"/>
        <v>0</v>
      </c>
      <c r="K72" s="176">
        <f t="shared" si="42"/>
        <v>0</v>
      </c>
      <c r="L72" s="176">
        <f t="shared" si="42"/>
        <v>0</v>
      </c>
      <c r="M72" s="176">
        <f t="shared" si="41"/>
        <v>0</v>
      </c>
      <c r="N72" s="176">
        <f t="shared" si="41"/>
        <v>0</v>
      </c>
      <c r="O72" s="176">
        <f t="shared" si="43"/>
        <v>0</v>
      </c>
      <c r="P72" s="176">
        <f t="shared" si="41"/>
        <v>0</v>
      </c>
      <c r="Q72" s="175">
        <f t="shared" si="44"/>
        <v>0</v>
      </c>
      <c r="R72" s="176">
        <f t="shared" si="41"/>
        <v>0</v>
      </c>
      <c r="S72" s="176">
        <f t="shared" si="41"/>
        <v>0</v>
      </c>
      <c r="T72" s="176">
        <f t="shared" si="41"/>
        <v>0</v>
      </c>
      <c r="U72" s="176">
        <f t="shared" si="41"/>
        <v>0</v>
      </c>
    </row>
    <row r="73" spans="1:21" ht="19.5" thickBot="1" x14ac:dyDescent="0.35">
      <c r="C73" s="294">
        <f t="shared" si="38"/>
        <v>1</v>
      </c>
      <c r="D73" s="114" t="s">
        <v>16</v>
      </c>
      <c r="E73" s="70" t="s">
        <v>50</v>
      </c>
      <c r="F73" s="176">
        <f t="shared" si="41"/>
        <v>98236.735026364695</v>
      </c>
      <c r="G73" s="176">
        <f t="shared" si="42"/>
        <v>1951.4571515425816</v>
      </c>
      <c r="H73" s="176">
        <f t="shared" si="42"/>
        <v>0</v>
      </c>
      <c r="I73" s="176">
        <f t="shared" si="42"/>
        <v>0</v>
      </c>
      <c r="J73" s="176">
        <f t="shared" si="42"/>
        <v>4166.243339485457</v>
      </c>
      <c r="K73" s="176">
        <f t="shared" si="42"/>
        <v>17.152604922846162</v>
      </c>
      <c r="L73" s="176">
        <f t="shared" si="42"/>
        <v>2.4138637488373287</v>
      </c>
      <c r="M73" s="176">
        <f t="shared" si="41"/>
        <v>0</v>
      </c>
      <c r="N73" s="176">
        <f t="shared" si="41"/>
        <v>0</v>
      </c>
      <c r="O73" s="176">
        <f t="shared" si="43"/>
        <v>1248.4887332764888</v>
      </c>
      <c r="P73" s="176">
        <f t="shared" si="41"/>
        <v>21263.811025930216</v>
      </c>
      <c r="Q73" s="175">
        <f t="shared" si="44"/>
        <v>126886.30174527112</v>
      </c>
      <c r="R73" s="176">
        <f t="shared" si="41"/>
        <v>0</v>
      </c>
      <c r="S73" s="176">
        <f t="shared" si="41"/>
        <v>8822.8289945783417</v>
      </c>
      <c r="T73" s="176">
        <f t="shared" ca="1" si="41"/>
        <v>2558.8576213884462</v>
      </c>
      <c r="U73" s="176">
        <f t="shared" ca="1" si="41"/>
        <v>145.81185239017984</v>
      </c>
    </row>
    <row r="74" spans="1:21" ht="19.5" thickBot="1" x14ac:dyDescent="0.3">
      <c r="C74" s="294">
        <f t="shared" si="38"/>
        <v>1</v>
      </c>
      <c r="D74" s="115" t="s">
        <v>124</v>
      </c>
      <c r="E74" s="116" t="s">
        <v>49</v>
      </c>
      <c r="F74" s="269">
        <f t="shared" ref="F74:U74" si="45">SUBTOTAL(9,F65:F73)</f>
        <v>1018297.3813821838</v>
      </c>
      <c r="G74" s="269">
        <f t="shared" ref="G74:L74" si="46">SUBTOTAL(9,G65:G73)</f>
        <v>22641.085551312415</v>
      </c>
      <c r="H74" s="269">
        <f t="shared" si="46"/>
        <v>0</v>
      </c>
      <c r="I74" s="269">
        <f t="shared" si="46"/>
        <v>26369.219538298577</v>
      </c>
      <c r="J74" s="269">
        <f t="shared" si="46"/>
        <v>7189.3393308024915</v>
      </c>
      <c r="K74" s="269">
        <f t="shared" si="46"/>
        <v>934.67782529109309</v>
      </c>
      <c r="L74" s="269">
        <f t="shared" si="46"/>
        <v>2.4138637488373287</v>
      </c>
      <c r="M74" s="269">
        <f t="shared" si="45"/>
        <v>0</v>
      </c>
      <c r="N74" s="269">
        <f t="shared" si="45"/>
        <v>0</v>
      </c>
      <c r="O74" s="269">
        <f>SUBTOTAL(9,O65:O73)</f>
        <v>1274.3175998805484</v>
      </c>
      <c r="P74" s="269">
        <f t="shared" si="45"/>
        <v>21263.811025930216</v>
      </c>
      <c r="Q74" s="183">
        <f>SUBTOTAL(9,Q65:Q73)</f>
        <v>1097972.246117448</v>
      </c>
      <c r="R74" s="269">
        <f t="shared" si="45"/>
        <v>0</v>
      </c>
      <c r="S74" s="269">
        <f t="shared" si="45"/>
        <v>82927.68621865804</v>
      </c>
      <c r="T74" s="269">
        <f t="shared" ca="1" si="45"/>
        <v>34100.661622679545</v>
      </c>
      <c r="U74" s="269">
        <f t="shared" ca="1" si="45"/>
        <v>23587.056242243492</v>
      </c>
    </row>
    <row r="75" spans="1:21" ht="15.75" hidden="1" thickBot="1" x14ac:dyDescent="0.3"/>
    <row r="76" spans="1:21" ht="93.75" x14ac:dyDescent="0.25">
      <c r="C76" s="294">
        <f>IF($E$76&gt;0,1,0)</f>
        <v>1</v>
      </c>
      <c r="D76" s="96" t="str">
        <f>A8</f>
        <v>Cattaraugus</v>
      </c>
      <c r="E76" s="166">
        <f>IFERROR(SUMIF(A:A,D76,B:B),0)</f>
        <v>2.4245220368889499E-3</v>
      </c>
      <c r="F76" s="98" t="s">
        <v>356</v>
      </c>
      <c r="G76" s="98" t="s">
        <v>373</v>
      </c>
      <c r="H76" s="98" t="s">
        <v>358</v>
      </c>
      <c r="I76" s="98" t="s">
        <v>109</v>
      </c>
      <c r="J76" s="98" t="s">
        <v>111</v>
      </c>
      <c r="K76" s="98" t="s">
        <v>469</v>
      </c>
      <c r="L76" s="98" t="s">
        <v>470</v>
      </c>
      <c r="M76" s="98" t="s">
        <v>357</v>
      </c>
      <c r="N76" s="557" t="s">
        <v>471</v>
      </c>
      <c r="O76" s="557" t="s">
        <v>473</v>
      </c>
      <c r="P76" s="98" t="s">
        <v>110</v>
      </c>
      <c r="Q76" s="99" t="s">
        <v>116</v>
      </c>
      <c r="R76" s="98" t="s">
        <v>112</v>
      </c>
      <c r="S76" s="98" t="s">
        <v>113</v>
      </c>
      <c r="T76" s="98" t="s">
        <v>114</v>
      </c>
      <c r="U76" s="98" t="s">
        <v>115</v>
      </c>
    </row>
    <row r="77" spans="1:21" ht="18.75" x14ac:dyDescent="0.25">
      <c r="C77" s="294">
        <f t="shared" ref="C77:C88" si="47">IF($E$76&gt;0,1,0)</f>
        <v>1</v>
      </c>
      <c r="D77" s="101"/>
      <c r="E77" s="102"/>
      <c r="F77" s="84" t="s">
        <v>57</v>
      </c>
      <c r="G77" s="84" t="s">
        <v>56</v>
      </c>
      <c r="H77" s="84" t="s">
        <v>55</v>
      </c>
      <c r="I77" s="84" t="s">
        <v>54</v>
      </c>
      <c r="J77" s="84" t="s">
        <v>53</v>
      </c>
      <c r="K77" s="84" t="s">
        <v>52</v>
      </c>
      <c r="L77" s="84" t="s">
        <v>51</v>
      </c>
      <c r="M77" s="84" t="s">
        <v>50</v>
      </c>
      <c r="N77" s="84" t="s">
        <v>49</v>
      </c>
      <c r="O77" s="84" t="s">
        <v>47</v>
      </c>
      <c r="P77" s="84" t="s">
        <v>77</v>
      </c>
      <c r="Q77" s="84" t="s">
        <v>78</v>
      </c>
      <c r="R77" s="84" t="s">
        <v>79</v>
      </c>
      <c r="S77" s="84" t="s">
        <v>81</v>
      </c>
      <c r="T77" s="84" t="s">
        <v>83</v>
      </c>
      <c r="U77" s="84" t="s">
        <v>85</v>
      </c>
    </row>
    <row r="78" spans="1:21" ht="18.75" x14ac:dyDescent="0.25">
      <c r="C78" s="294">
        <f t="shared" si="47"/>
        <v>1</v>
      </c>
      <c r="D78" s="103" t="s">
        <v>26</v>
      </c>
      <c r="E78" s="122"/>
      <c r="F78" s="123"/>
      <c r="G78" s="123"/>
      <c r="H78" s="107"/>
      <c r="I78" s="107"/>
      <c r="J78" s="107"/>
      <c r="K78" s="107"/>
      <c r="L78" s="107"/>
      <c r="M78" s="123"/>
      <c r="N78" s="107"/>
      <c r="O78" s="107"/>
      <c r="P78" s="107"/>
      <c r="Q78" s="108"/>
      <c r="R78" s="107"/>
      <c r="S78" s="107"/>
      <c r="T78" s="107"/>
      <c r="U78" s="107"/>
    </row>
    <row r="79" spans="1:21" ht="18.75" x14ac:dyDescent="0.25">
      <c r="C79" s="294">
        <f t="shared" si="47"/>
        <v>1</v>
      </c>
      <c r="D79" s="124" t="s">
        <v>105</v>
      </c>
      <c r="E79" s="76" t="s">
        <v>57</v>
      </c>
      <c r="F79" s="176">
        <f t="shared" ref="F79:L79" si="48">F6*$E$76</f>
        <v>171002.48904404035</v>
      </c>
      <c r="G79" s="176">
        <f t="shared" si="48"/>
        <v>3845.3747236882136</v>
      </c>
      <c r="H79" s="176">
        <f t="shared" si="48"/>
        <v>0</v>
      </c>
      <c r="I79" s="176">
        <f t="shared" si="48"/>
        <v>4900.9836395653574</v>
      </c>
      <c r="J79" s="176">
        <f t="shared" si="48"/>
        <v>561.87267783035736</v>
      </c>
      <c r="K79" s="176">
        <f t="shared" si="48"/>
        <v>170.53125472228228</v>
      </c>
      <c r="L79" s="176">
        <f t="shared" si="48"/>
        <v>0</v>
      </c>
      <c r="M79" s="176">
        <f t="shared" ref="M79:T79" si="49">M6*$E$76</f>
        <v>0</v>
      </c>
      <c r="N79" s="176">
        <f t="shared" si="49"/>
        <v>0</v>
      </c>
      <c r="O79" s="176">
        <f>O6*$E$76</f>
        <v>4.8005536330401206</v>
      </c>
      <c r="P79" s="176">
        <f t="shared" si="49"/>
        <v>0</v>
      </c>
      <c r="Q79" s="175">
        <f>SUM(F79:P79)</f>
        <v>180486.0518934796</v>
      </c>
      <c r="R79" s="176">
        <f t="shared" si="49"/>
        <v>0</v>
      </c>
      <c r="S79" s="176">
        <f t="shared" si="49"/>
        <v>13773.130158063646</v>
      </c>
      <c r="T79" s="176">
        <f t="shared" ca="1" si="49"/>
        <v>5862.3602851872338</v>
      </c>
      <c r="U79" s="176">
        <f t="shared" ref="U79" ca="1" si="50">U6*$E$76</f>
        <v>4356.7901233809916</v>
      </c>
    </row>
    <row r="80" spans="1:21" ht="18.75" x14ac:dyDescent="0.25">
      <c r="C80" s="294">
        <f t="shared" si="47"/>
        <v>1</v>
      </c>
      <c r="D80" s="112" t="s">
        <v>31</v>
      </c>
      <c r="E80" s="76"/>
      <c r="F80" s="177"/>
      <c r="G80" s="177"/>
      <c r="H80" s="178"/>
      <c r="I80" s="178"/>
      <c r="J80" s="178"/>
      <c r="K80" s="178"/>
      <c r="L80" s="178"/>
      <c r="M80" s="177"/>
      <c r="N80" s="178"/>
      <c r="O80" s="178"/>
      <c r="P80" s="178"/>
      <c r="Q80" s="179"/>
      <c r="R80" s="178"/>
      <c r="S80" s="178"/>
      <c r="T80" s="178"/>
      <c r="U80" s="178"/>
    </row>
    <row r="81" spans="3:21" ht="18.75" x14ac:dyDescent="0.3">
      <c r="C81" s="294">
        <f t="shared" si="47"/>
        <v>1</v>
      </c>
      <c r="D81" s="113" t="s">
        <v>118</v>
      </c>
      <c r="E81" s="76" t="s">
        <v>56</v>
      </c>
      <c r="F81" s="176">
        <f t="shared" ref="F81:U87" si="51">F8*$E$76</f>
        <v>0</v>
      </c>
      <c r="G81" s="176">
        <f t="shared" ref="G81:L87" si="52">G8*$E$76</f>
        <v>0</v>
      </c>
      <c r="H81" s="176">
        <f t="shared" si="52"/>
        <v>0</v>
      </c>
      <c r="I81" s="176">
        <f t="shared" si="52"/>
        <v>0</v>
      </c>
      <c r="J81" s="176">
        <f t="shared" si="52"/>
        <v>0</v>
      </c>
      <c r="K81" s="176">
        <f t="shared" si="52"/>
        <v>0</v>
      </c>
      <c r="L81" s="176">
        <f t="shared" si="52"/>
        <v>0</v>
      </c>
      <c r="M81" s="176">
        <f t="shared" si="51"/>
        <v>0</v>
      </c>
      <c r="N81" s="176">
        <f t="shared" si="51"/>
        <v>0</v>
      </c>
      <c r="O81" s="176">
        <f t="shared" ref="O81:O87" si="53">O8*$E$76</f>
        <v>0</v>
      </c>
      <c r="P81" s="176">
        <f t="shared" si="51"/>
        <v>0</v>
      </c>
      <c r="Q81" s="175">
        <f t="shared" ref="Q81:Q87" si="54">SUM(F81:P81)</f>
        <v>0</v>
      </c>
      <c r="R81" s="176">
        <f t="shared" si="51"/>
        <v>0</v>
      </c>
      <c r="S81" s="176">
        <f t="shared" si="51"/>
        <v>0</v>
      </c>
      <c r="T81" s="176">
        <f t="shared" si="51"/>
        <v>0</v>
      </c>
      <c r="U81" s="176">
        <f t="shared" si="51"/>
        <v>0</v>
      </c>
    </row>
    <row r="82" spans="3:21" ht="18.75" x14ac:dyDescent="0.3">
      <c r="C82" s="294">
        <f t="shared" si="47"/>
        <v>1</v>
      </c>
      <c r="D82" s="113" t="s">
        <v>119</v>
      </c>
      <c r="E82" s="76" t="s">
        <v>55</v>
      </c>
      <c r="F82" s="176">
        <f t="shared" si="51"/>
        <v>0</v>
      </c>
      <c r="G82" s="176">
        <f t="shared" si="52"/>
        <v>0</v>
      </c>
      <c r="H82" s="176">
        <f t="shared" si="52"/>
        <v>0</v>
      </c>
      <c r="I82" s="176">
        <f t="shared" si="52"/>
        <v>0</v>
      </c>
      <c r="J82" s="176">
        <f t="shared" si="52"/>
        <v>0</v>
      </c>
      <c r="K82" s="176">
        <f t="shared" si="52"/>
        <v>0</v>
      </c>
      <c r="L82" s="176">
        <f t="shared" si="52"/>
        <v>0</v>
      </c>
      <c r="M82" s="176">
        <f t="shared" si="51"/>
        <v>0</v>
      </c>
      <c r="N82" s="176">
        <f t="shared" si="51"/>
        <v>0</v>
      </c>
      <c r="O82" s="176">
        <f t="shared" si="53"/>
        <v>0</v>
      </c>
      <c r="P82" s="176">
        <f t="shared" si="51"/>
        <v>0</v>
      </c>
      <c r="Q82" s="175">
        <f t="shared" si="54"/>
        <v>0</v>
      </c>
      <c r="R82" s="176">
        <f t="shared" si="51"/>
        <v>0</v>
      </c>
      <c r="S82" s="176">
        <f t="shared" si="51"/>
        <v>0</v>
      </c>
      <c r="T82" s="176">
        <f t="shared" si="51"/>
        <v>0</v>
      </c>
      <c r="U82" s="176">
        <f t="shared" si="51"/>
        <v>0</v>
      </c>
    </row>
    <row r="83" spans="3:21" ht="18.75" x14ac:dyDescent="0.3">
      <c r="C83" s="294">
        <f t="shared" si="47"/>
        <v>1</v>
      </c>
      <c r="D83" s="113" t="s">
        <v>120</v>
      </c>
      <c r="E83" s="76" t="s">
        <v>54</v>
      </c>
      <c r="F83" s="176">
        <f t="shared" si="51"/>
        <v>0</v>
      </c>
      <c r="G83" s="176">
        <f t="shared" si="52"/>
        <v>0</v>
      </c>
      <c r="H83" s="176">
        <f t="shared" si="52"/>
        <v>0</v>
      </c>
      <c r="I83" s="176">
        <f t="shared" si="52"/>
        <v>0</v>
      </c>
      <c r="J83" s="176">
        <f t="shared" si="52"/>
        <v>0</v>
      </c>
      <c r="K83" s="176">
        <f t="shared" si="52"/>
        <v>0</v>
      </c>
      <c r="L83" s="176">
        <f t="shared" si="52"/>
        <v>0</v>
      </c>
      <c r="M83" s="176">
        <f t="shared" si="51"/>
        <v>0</v>
      </c>
      <c r="N83" s="176">
        <f t="shared" si="51"/>
        <v>0</v>
      </c>
      <c r="O83" s="176">
        <f t="shared" si="53"/>
        <v>0</v>
      </c>
      <c r="P83" s="176">
        <f t="shared" si="51"/>
        <v>0</v>
      </c>
      <c r="Q83" s="175">
        <f t="shared" si="54"/>
        <v>0</v>
      </c>
      <c r="R83" s="176">
        <f t="shared" si="51"/>
        <v>0</v>
      </c>
      <c r="S83" s="176">
        <f t="shared" si="51"/>
        <v>0</v>
      </c>
      <c r="T83" s="176">
        <f t="shared" si="51"/>
        <v>0</v>
      </c>
      <c r="U83" s="176">
        <f t="shared" si="51"/>
        <v>0</v>
      </c>
    </row>
    <row r="84" spans="3:21" ht="18.75" x14ac:dyDescent="0.3">
      <c r="C84" s="294">
        <f t="shared" si="47"/>
        <v>1</v>
      </c>
      <c r="D84" s="113" t="s">
        <v>121</v>
      </c>
      <c r="E84" s="76" t="s">
        <v>53</v>
      </c>
      <c r="F84" s="176">
        <f t="shared" si="51"/>
        <v>0</v>
      </c>
      <c r="G84" s="176">
        <f t="shared" si="52"/>
        <v>0</v>
      </c>
      <c r="H84" s="176">
        <f t="shared" si="52"/>
        <v>0</v>
      </c>
      <c r="I84" s="176">
        <f t="shared" si="52"/>
        <v>0</v>
      </c>
      <c r="J84" s="176">
        <f t="shared" si="52"/>
        <v>0</v>
      </c>
      <c r="K84" s="176">
        <f t="shared" si="52"/>
        <v>0</v>
      </c>
      <c r="L84" s="176">
        <f t="shared" si="52"/>
        <v>0</v>
      </c>
      <c r="M84" s="176">
        <f t="shared" si="51"/>
        <v>0</v>
      </c>
      <c r="N84" s="176">
        <f t="shared" si="51"/>
        <v>0</v>
      </c>
      <c r="O84" s="176">
        <f t="shared" si="53"/>
        <v>0</v>
      </c>
      <c r="P84" s="176">
        <f t="shared" si="51"/>
        <v>0</v>
      </c>
      <c r="Q84" s="175">
        <f t="shared" si="54"/>
        <v>0</v>
      </c>
      <c r="R84" s="176">
        <f t="shared" si="51"/>
        <v>0</v>
      </c>
      <c r="S84" s="176">
        <f t="shared" si="51"/>
        <v>0</v>
      </c>
      <c r="T84" s="176">
        <f t="shared" si="51"/>
        <v>0</v>
      </c>
      <c r="U84" s="176">
        <f t="shared" si="51"/>
        <v>0</v>
      </c>
    </row>
    <row r="85" spans="3:21" ht="18.75" x14ac:dyDescent="0.3">
      <c r="C85" s="294">
        <f t="shared" si="47"/>
        <v>1</v>
      </c>
      <c r="D85" s="113" t="s">
        <v>122</v>
      </c>
      <c r="E85" s="76" t="s">
        <v>52</v>
      </c>
      <c r="F85" s="176">
        <f t="shared" si="51"/>
        <v>0</v>
      </c>
      <c r="G85" s="176">
        <f t="shared" si="52"/>
        <v>0</v>
      </c>
      <c r="H85" s="176">
        <f t="shared" si="52"/>
        <v>0</v>
      </c>
      <c r="I85" s="176">
        <f t="shared" si="52"/>
        <v>0</v>
      </c>
      <c r="J85" s="176">
        <f t="shared" si="52"/>
        <v>0</v>
      </c>
      <c r="K85" s="176">
        <f t="shared" si="52"/>
        <v>0</v>
      </c>
      <c r="L85" s="176">
        <f t="shared" si="52"/>
        <v>0</v>
      </c>
      <c r="M85" s="176">
        <f t="shared" si="51"/>
        <v>0</v>
      </c>
      <c r="N85" s="176">
        <f t="shared" si="51"/>
        <v>0</v>
      </c>
      <c r="O85" s="176">
        <f t="shared" si="53"/>
        <v>0</v>
      </c>
      <c r="P85" s="176">
        <f t="shared" si="51"/>
        <v>0</v>
      </c>
      <c r="Q85" s="175">
        <f t="shared" si="54"/>
        <v>0</v>
      </c>
      <c r="R85" s="176">
        <f t="shared" si="51"/>
        <v>0</v>
      </c>
      <c r="S85" s="176">
        <f t="shared" si="51"/>
        <v>0</v>
      </c>
      <c r="T85" s="176">
        <f t="shared" si="51"/>
        <v>0</v>
      </c>
      <c r="U85" s="176">
        <f t="shared" si="51"/>
        <v>0</v>
      </c>
    </row>
    <row r="86" spans="3:21" ht="18.75" x14ac:dyDescent="0.3">
      <c r="C86" s="294">
        <f t="shared" si="47"/>
        <v>1</v>
      </c>
      <c r="D86" s="125" t="s">
        <v>123</v>
      </c>
      <c r="E86" s="76" t="s">
        <v>51</v>
      </c>
      <c r="F86" s="176">
        <f t="shared" si="51"/>
        <v>0</v>
      </c>
      <c r="G86" s="176">
        <f t="shared" si="52"/>
        <v>0</v>
      </c>
      <c r="H86" s="176">
        <f t="shared" si="52"/>
        <v>0</v>
      </c>
      <c r="I86" s="176">
        <f t="shared" si="52"/>
        <v>0</v>
      </c>
      <c r="J86" s="176">
        <f t="shared" si="52"/>
        <v>0</v>
      </c>
      <c r="K86" s="176">
        <f t="shared" si="52"/>
        <v>0</v>
      </c>
      <c r="L86" s="176">
        <f t="shared" si="52"/>
        <v>0</v>
      </c>
      <c r="M86" s="176">
        <f t="shared" si="51"/>
        <v>0</v>
      </c>
      <c r="N86" s="176">
        <f t="shared" si="51"/>
        <v>0</v>
      </c>
      <c r="O86" s="176">
        <f t="shared" si="53"/>
        <v>0</v>
      </c>
      <c r="P86" s="176">
        <f t="shared" si="51"/>
        <v>0</v>
      </c>
      <c r="Q86" s="175">
        <f t="shared" si="54"/>
        <v>0</v>
      </c>
      <c r="R86" s="176">
        <f t="shared" si="51"/>
        <v>0</v>
      </c>
      <c r="S86" s="176">
        <f t="shared" si="51"/>
        <v>0</v>
      </c>
      <c r="T86" s="176">
        <f t="shared" si="51"/>
        <v>0</v>
      </c>
      <c r="U86" s="176">
        <f t="shared" si="51"/>
        <v>0</v>
      </c>
    </row>
    <row r="87" spans="3:21" ht="19.5" thickBot="1" x14ac:dyDescent="0.35">
      <c r="C87" s="294">
        <f t="shared" si="47"/>
        <v>1</v>
      </c>
      <c r="D87" s="114" t="s">
        <v>16</v>
      </c>
      <c r="E87" s="70" t="s">
        <v>50</v>
      </c>
      <c r="F87" s="176">
        <f t="shared" si="51"/>
        <v>18258.281420474515</v>
      </c>
      <c r="G87" s="176">
        <f t="shared" si="52"/>
        <v>362.69786290535433</v>
      </c>
      <c r="H87" s="176">
        <f t="shared" si="52"/>
        <v>0</v>
      </c>
      <c r="I87" s="176">
        <f t="shared" si="52"/>
        <v>0</v>
      </c>
      <c r="J87" s="176">
        <f t="shared" si="52"/>
        <v>774.33806547100573</v>
      </c>
      <c r="K87" s="176">
        <f t="shared" si="52"/>
        <v>3.1879834737126753</v>
      </c>
      <c r="L87" s="176">
        <f t="shared" si="52"/>
        <v>0.44864076177944306</v>
      </c>
      <c r="M87" s="176">
        <f t="shared" si="51"/>
        <v>0</v>
      </c>
      <c r="N87" s="176">
        <f t="shared" si="51"/>
        <v>0</v>
      </c>
      <c r="O87" s="176">
        <f t="shared" si="53"/>
        <v>232.04413945899265</v>
      </c>
      <c r="P87" s="176">
        <f t="shared" si="51"/>
        <v>3952.0923173905067</v>
      </c>
      <c r="Q87" s="175">
        <f t="shared" si="54"/>
        <v>23583.09042993587</v>
      </c>
      <c r="R87" s="176">
        <f t="shared" si="51"/>
        <v>0</v>
      </c>
      <c r="S87" s="176">
        <f t="shared" si="51"/>
        <v>1639.8111629473483</v>
      </c>
      <c r="T87" s="176">
        <f t="shared" ca="1" si="51"/>
        <v>475.58932566007525</v>
      </c>
      <c r="U87" s="176">
        <f t="shared" ca="1" si="51"/>
        <v>27.100593628911774</v>
      </c>
    </row>
    <row r="88" spans="3:21" ht="19.5" thickBot="1" x14ac:dyDescent="0.3">
      <c r="C88" s="294">
        <f t="shared" si="47"/>
        <v>1</v>
      </c>
      <c r="D88" s="115" t="s">
        <v>124</v>
      </c>
      <c r="E88" s="116" t="s">
        <v>49</v>
      </c>
      <c r="F88" s="269">
        <f t="shared" ref="F88:U88" si="55">SUBTOTAL(9,F79:F87)</f>
        <v>189260.77046451488</v>
      </c>
      <c r="G88" s="269">
        <f t="shared" ref="G88:L88" si="56">SUBTOTAL(9,G79:G87)</f>
        <v>4208.0725865935683</v>
      </c>
      <c r="H88" s="269">
        <f t="shared" si="56"/>
        <v>0</v>
      </c>
      <c r="I88" s="269">
        <f t="shared" si="56"/>
        <v>4900.9836395653574</v>
      </c>
      <c r="J88" s="269">
        <f t="shared" si="56"/>
        <v>1336.210743301363</v>
      </c>
      <c r="K88" s="269">
        <f t="shared" si="56"/>
        <v>173.71923819599496</v>
      </c>
      <c r="L88" s="269">
        <f t="shared" si="56"/>
        <v>0.44864076177944306</v>
      </c>
      <c r="M88" s="269">
        <f t="shared" si="55"/>
        <v>0</v>
      </c>
      <c r="N88" s="269">
        <f t="shared" si="55"/>
        <v>0</v>
      </c>
      <c r="O88" s="269">
        <f>SUBTOTAL(9,O79:O87)</f>
        <v>236.84469309203277</v>
      </c>
      <c r="P88" s="269">
        <f t="shared" si="55"/>
        <v>3952.0923173905067</v>
      </c>
      <c r="Q88" s="183">
        <f>SUBTOTAL(9,Q79:Q87)</f>
        <v>204069.14232341546</v>
      </c>
      <c r="R88" s="269">
        <f t="shared" si="55"/>
        <v>0</v>
      </c>
      <c r="S88" s="269">
        <f t="shared" si="55"/>
        <v>15412.941321010994</v>
      </c>
      <c r="T88" s="269">
        <f t="shared" ca="1" si="55"/>
        <v>6337.9496108473086</v>
      </c>
      <c r="U88" s="269">
        <f t="shared" ca="1" si="55"/>
        <v>4383.8907170099037</v>
      </c>
    </row>
    <row r="89" spans="3:21" ht="15.75" hidden="1" thickBot="1" x14ac:dyDescent="0.3"/>
    <row r="90" spans="3:21" ht="93.75" x14ac:dyDescent="0.25">
      <c r="C90" s="294">
        <f>IF($E$90&gt;0,1,0)</f>
        <v>1</v>
      </c>
      <c r="D90" s="96" t="str">
        <f>A9</f>
        <v>Cayuga</v>
      </c>
      <c r="E90" s="166">
        <f>IFERROR(SUMIF(A:A,D90,B:B),0)</f>
        <v>2.2764753186393966E-3</v>
      </c>
      <c r="F90" s="98" t="s">
        <v>356</v>
      </c>
      <c r="G90" s="98" t="s">
        <v>373</v>
      </c>
      <c r="H90" s="98" t="s">
        <v>358</v>
      </c>
      <c r="I90" s="98" t="s">
        <v>109</v>
      </c>
      <c r="J90" s="98" t="s">
        <v>111</v>
      </c>
      <c r="K90" s="98" t="s">
        <v>469</v>
      </c>
      <c r="L90" s="98" t="s">
        <v>470</v>
      </c>
      <c r="M90" s="98" t="s">
        <v>357</v>
      </c>
      <c r="N90" s="557" t="s">
        <v>471</v>
      </c>
      <c r="O90" s="557" t="s">
        <v>473</v>
      </c>
      <c r="P90" s="98" t="s">
        <v>110</v>
      </c>
      <c r="Q90" s="99" t="s">
        <v>116</v>
      </c>
      <c r="R90" s="98" t="s">
        <v>112</v>
      </c>
      <c r="S90" s="98" t="s">
        <v>113</v>
      </c>
      <c r="T90" s="98" t="s">
        <v>114</v>
      </c>
      <c r="U90" s="98" t="s">
        <v>115</v>
      </c>
    </row>
    <row r="91" spans="3:21" ht="18.75" x14ac:dyDescent="0.25">
      <c r="C91" s="294">
        <f t="shared" ref="C91:C102" si="57">IF($E$90&gt;0,1,0)</f>
        <v>1</v>
      </c>
      <c r="D91" s="101"/>
      <c r="E91" s="102"/>
      <c r="F91" s="84" t="s">
        <v>57</v>
      </c>
      <c r="G91" s="84" t="s">
        <v>56</v>
      </c>
      <c r="H91" s="84" t="s">
        <v>55</v>
      </c>
      <c r="I91" s="84" t="s">
        <v>54</v>
      </c>
      <c r="J91" s="84" t="s">
        <v>53</v>
      </c>
      <c r="K91" s="84" t="s">
        <v>52</v>
      </c>
      <c r="L91" s="84" t="s">
        <v>51</v>
      </c>
      <c r="M91" s="84" t="s">
        <v>50</v>
      </c>
      <c r="N91" s="84" t="s">
        <v>49</v>
      </c>
      <c r="O91" s="84" t="s">
        <v>47</v>
      </c>
      <c r="P91" s="84" t="s">
        <v>77</v>
      </c>
      <c r="Q91" s="84" t="s">
        <v>78</v>
      </c>
      <c r="R91" s="84" t="s">
        <v>79</v>
      </c>
      <c r="S91" s="84" t="s">
        <v>81</v>
      </c>
      <c r="T91" s="84" t="s">
        <v>83</v>
      </c>
      <c r="U91" s="84" t="s">
        <v>85</v>
      </c>
    </row>
    <row r="92" spans="3:21" ht="18.75" x14ac:dyDescent="0.25">
      <c r="C92" s="294">
        <f t="shared" si="57"/>
        <v>1</v>
      </c>
      <c r="D92" s="103" t="s">
        <v>26</v>
      </c>
      <c r="E92" s="122"/>
      <c r="F92" s="123"/>
      <c r="G92" s="123"/>
      <c r="H92" s="107"/>
      <c r="I92" s="107"/>
      <c r="J92" s="107"/>
      <c r="K92" s="107"/>
      <c r="L92" s="107"/>
      <c r="M92" s="123"/>
      <c r="N92" s="107"/>
      <c r="O92" s="107"/>
      <c r="P92" s="107"/>
      <c r="Q92" s="108"/>
      <c r="R92" s="107"/>
      <c r="S92" s="107"/>
      <c r="T92" s="107"/>
      <c r="U92" s="107"/>
    </row>
    <row r="93" spans="3:21" ht="18.75" x14ac:dyDescent="0.25">
      <c r="C93" s="294">
        <f t="shared" si="57"/>
        <v>1</v>
      </c>
      <c r="D93" s="124" t="s">
        <v>105</v>
      </c>
      <c r="E93" s="76" t="s">
        <v>57</v>
      </c>
      <c r="F93" s="176">
        <f t="shared" ref="F93:M93" si="58">F6*$E$90</f>
        <v>160560.69601007795</v>
      </c>
      <c r="G93" s="176">
        <f t="shared" si="58"/>
        <v>3610.5675742294611</v>
      </c>
      <c r="H93" s="176">
        <f t="shared" si="58"/>
        <v>0</v>
      </c>
      <c r="I93" s="176">
        <f t="shared" si="58"/>
        <v>4601.7186574398775</v>
      </c>
      <c r="J93" s="176">
        <f t="shared" si="58"/>
        <v>527.56348007457598</v>
      </c>
      <c r="K93" s="176">
        <f t="shared" si="58"/>
        <v>160.11823630608015</v>
      </c>
      <c r="L93" s="176">
        <f t="shared" si="58"/>
        <v>0</v>
      </c>
      <c r="M93" s="176">
        <f t="shared" si="58"/>
        <v>0</v>
      </c>
      <c r="N93" s="176">
        <f t="shared" ref="N93:U93" si="59">N6*$E$90</f>
        <v>0</v>
      </c>
      <c r="O93" s="176">
        <f>O6*$E$90</f>
        <v>4.507421130906005</v>
      </c>
      <c r="P93" s="176">
        <f t="shared" si="59"/>
        <v>0</v>
      </c>
      <c r="Q93" s="175">
        <f>SUM(F93:P93)</f>
        <v>169465.17137925886</v>
      </c>
      <c r="R93" s="176">
        <f t="shared" si="59"/>
        <v>0</v>
      </c>
      <c r="S93" s="176">
        <f t="shared" si="59"/>
        <v>12932.112139294997</v>
      </c>
      <c r="T93" s="176">
        <f t="shared" ca="1" si="59"/>
        <v>5504.3915027990379</v>
      </c>
      <c r="U93" s="176">
        <f t="shared" ca="1" si="59"/>
        <v>4090.7548100058775</v>
      </c>
    </row>
    <row r="94" spans="3:21" ht="18.75" x14ac:dyDescent="0.25">
      <c r="C94" s="294">
        <f t="shared" si="57"/>
        <v>1</v>
      </c>
      <c r="D94" s="112" t="s">
        <v>31</v>
      </c>
      <c r="E94" s="76"/>
      <c r="F94" s="177"/>
      <c r="G94" s="177"/>
      <c r="H94" s="178"/>
      <c r="I94" s="178"/>
      <c r="J94" s="178"/>
      <c r="K94" s="178"/>
      <c r="L94" s="178"/>
      <c r="M94" s="177"/>
      <c r="N94" s="178"/>
      <c r="O94" s="178"/>
      <c r="P94" s="178"/>
      <c r="Q94" s="179"/>
      <c r="R94" s="178"/>
      <c r="S94" s="178"/>
      <c r="T94" s="178"/>
      <c r="U94" s="178"/>
    </row>
    <row r="95" spans="3:21" ht="18.75" x14ac:dyDescent="0.3">
      <c r="C95" s="294">
        <f t="shared" si="57"/>
        <v>1</v>
      </c>
      <c r="D95" s="113" t="s">
        <v>118</v>
      </c>
      <c r="E95" s="76" t="s">
        <v>56</v>
      </c>
      <c r="F95" s="176">
        <f t="shared" ref="F95:U101" si="60">F8*$E$90</f>
        <v>0</v>
      </c>
      <c r="G95" s="176">
        <f t="shared" ref="G95:L101" si="61">G8*$E$90</f>
        <v>0</v>
      </c>
      <c r="H95" s="176">
        <f t="shared" si="61"/>
        <v>0</v>
      </c>
      <c r="I95" s="176">
        <f t="shared" si="61"/>
        <v>0</v>
      </c>
      <c r="J95" s="176">
        <f t="shared" si="61"/>
        <v>0</v>
      </c>
      <c r="K95" s="176">
        <f t="shared" si="61"/>
        <v>0</v>
      </c>
      <c r="L95" s="176">
        <f t="shared" si="61"/>
        <v>0</v>
      </c>
      <c r="M95" s="176">
        <f t="shared" si="60"/>
        <v>0</v>
      </c>
      <c r="N95" s="176">
        <f t="shared" si="60"/>
        <v>0</v>
      </c>
      <c r="O95" s="176">
        <f t="shared" ref="O95:O101" si="62">O8*$E$90</f>
        <v>0</v>
      </c>
      <c r="P95" s="176">
        <f t="shared" si="60"/>
        <v>0</v>
      </c>
      <c r="Q95" s="175">
        <f t="shared" ref="Q95:Q101" si="63">SUM(F95:P95)</f>
        <v>0</v>
      </c>
      <c r="R95" s="176">
        <f t="shared" si="60"/>
        <v>0</v>
      </c>
      <c r="S95" s="176">
        <f t="shared" si="60"/>
        <v>0</v>
      </c>
      <c r="T95" s="176">
        <f t="shared" si="60"/>
        <v>0</v>
      </c>
      <c r="U95" s="176">
        <f t="shared" si="60"/>
        <v>0</v>
      </c>
    </row>
    <row r="96" spans="3:21" ht="18.75" x14ac:dyDescent="0.3">
      <c r="C96" s="294">
        <f t="shared" si="57"/>
        <v>1</v>
      </c>
      <c r="D96" s="113" t="s">
        <v>119</v>
      </c>
      <c r="E96" s="76" t="s">
        <v>55</v>
      </c>
      <c r="F96" s="176">
        <f t="shared" si="60"/>
        <v>0</v>
      </c>
      <c r="G96" s="176">
        <f t="shared" si="61"/>
        <v>0</v>
      </c>
      <c r="H96" s="176">
        <f t="shared" si="61"/>
        <v>0</v>
      </c>
      <c r="I96" s="176">
        <f t="shared" si="61"/>
        <v>0</v>
      </c>
      <c r="J96" s="176">
        <f t="shared" si="61"/>
        <v>0</v>
      </c>
      <c r="K96" s="176">
        <f t="shared" si="61"/>
        <v>0</v>
      </c>
      <c r="L96" s="176">
        <f t="shared" si="61"/>
        <v>0</v>
      </c>
      <c r="M96" s="176">
        <f t="shared" si="60"/>
        <v>0</v>
      </c>
      <c r="N96" s="176">
        <f t="shared" si="60"/>
        <v>0</v>
      </c>
      <c r="O96" s="176">
        <f t="shared" si="62"/>
        <v>0</v>
      </c>
      <c r="P96" s="176">
        <f t="shared" si="60"/>
        <v>0</v>
      </c>
      <c r="Q96" s="175">
        <f t="shared" si="63"/>
        <v>0</v>
      </c>
      <c r="R96" s="176">
        <f t="shared" si="60"/>
        <v>0</v>
      </c>
      <c r="S96" s="176">
        <f t="shared" si="60"/>
        <v>0</v>
      </c>
      <c r="T96" s="176">
        <f t="shared" si="60"/>
        <v>0</v>
      </c>
      <c r="U96" s="176">
        <f t="shared" si="60"/>
        <v>0</v>
      </c>
    </row>
    <row r="97" spans="3:21" ht="18.75" x14ac:dyDescent="0.3">
      <c r="C97" s="294">
        <f t="shared" si="57"/>
        <v>1</v>
      </c>
      <c r="D97" s="113" t="s">
        <v>120</v>
      </c>
      <c r="E97" s="76" t="s">
        <v>54</v>
      </c>
      <c r="F97" s="176">
        <f t="shared" si="60"/>
        <v>0</v>
      </c>
      <c r="G97" s="176">
        <f t="shared" si="61"/>
        <v>0</v>
      </c>
      <c r="H97" s="176">
        <f t="shared" si="61"/>
        <v>0</v>
      </c>
      <c r="I97" s="176">
        <f t="shared" si="61"/>
        <v>0</v>
      </c>
      <c r="J97" s="176">
        <f t="shared" si="61"/>
        <v>0</v>
      </c>
      <c r="K97" s="176">
        <f t="shared" si="61"/>
        <v>0</v>
      </c>
      <c r="L97" s="176">
        <f t="shared" si="61"/>
        <v>0</v>
      </c>
      <c r="M97" s="176">
        <f t="shared" si="60"/>
        <v>0</v>
      </c>
      <c r="N97" s="176">
        <f t="shared" si="60"/>
        <v>0</v>
      </c>
      <c r="O97" s="176">
        <f t="shared" si="62"/>
        <v>0</v>
      </c>
      <c r="P97" s="176">
        <f t="shared" si="60"/>
        <v>0</v>
      </c>
      <c r="Q97" s="175">
        <f t="shared" si="63"/>
        <v>0</v>
      </c>
      <c r="R97" s="176">
        <f t="shared" si="60"/>
        <v>0</v>
      </c>
      <c r="S97" s="176">
        <f t="shared" si="60"/>
        <v>0</v>
      </c>
      <c r="T97" s="176">
        <f t="shared" si="60"/>
        <v>0</v>
      </c>
      <c r="U97" s="176">
        <f t="shared" si="60"/>
        <v>0</v>
      </c>
    </row>
    <row r="98" spans="3:21" ht="18.75" x14ac:dyDescent="0.3">
      <c r="C98" s="294">
        <f t="shared" si="57"/>
        <v>1</v>
      </c>
      <c r="D98" s="113" t="s">
        <v>121</v>
      </c>
      <c r="E98" s="76" t="s">
        <v>53</v>
      </c>
      <c r="F98" s="176">
        <f t="shared" si="60"/>
        <v>0</v>
      </c>
      <c r="G98" s="176">
        <f t="shared" si="61"/>
        <v>0</v>
      </c>
      <c r="H98" s="176">
        <f t="shared" si="61"/>
        <v>0</v>
      </c>
      <c r="I98" s="176">
        <f t="shared" si="61"/>
        <v>0</v>
      </c>
      <c r="J98" s="176">
        <f t="shared" si="61"/>
        <v>0</v>
      </c>
      <c r="K98" s="176">
        <f t="shared" si="61"/>
        <v>0</v>
      </c>
      <c r="L98" s="176">
        <f t="shared" si="61"/>
        <v>0</v>
      </c>
      <c r="M98" s="176">
        <f t="shared" si="60"/>
        <v>0</v>
      </c>
      <c r="N98" s="176">
        <f t="shared" si="60"/>
        <v>0</v>
      </c>
      <c r="O98" s="176">
        <f t="shared" si="62"/>
        <v>0</v>
      </c>
      <c r="P98" s="176">
        <f t="shared" si="60"/>
        <v>0</v>
      </c>
      <c r="Q98" s="175">
        <f t="shared" si="63"/>
        <v>0</v>
      </c>
      <c r="R98" s="176">
        <f t="shared" si="60"/>
        <v>0</v>
      </c>
      <c r="S98" s="176">
        <f t="shared" si="60"/>
        <v>0</v>
      </c>
      <c r="T98" s="176">
        <f t="shared" si="60"/>
        <v>0</v>
      </c>
      <c r="U98" s="176">
        <f t="shared" si="60"/>
        <v>0</v>
      </c>
    </row>
    <row r="99" spans="3:21" ht="18.75" x14ac:dyDescent="0.3">
      <c r="C99" s="294">
        <f t="shared" si="57"/>
        <v>1</v>
      </c>
      <c r="D99" s="113" t="s">
        <v>122</v>
      </c>
      <c r="E99" s="76" t="s">
        <v>52</v>
      </c>
      <c r="F99" s="176">
        <f t="shared" si="60"/>
        <v>0</v>
      </c>
      <c r="G99" s="176">
        <f t="shared" si="61"/>
        <v>0</v>
      </c>
      <c r="H99" s="176">
        <f t="shared" si="61"/>
        <v>0</v>
      </c>
      <c r="I99" s="176">
        <f t="shared" si="61"/>
        <v>0</v>
      </c>
      <c r="J99" s="176">
        <f t="shared" si="61"/>
        <v>0</v>
      </c>
      <c r="K99" s="176">
        <f t="shared" si="61"/>
        <v>0</v>
      </c>
      <c r="L99" s="176">
        <f t="shared" si="61"/>
        <v>0</v>
      </c>
      <c r="M99" s="176">
        <f t="shared" si="60"/>
        <v>0</v>
      </c>
      <c r="N99" s="176">
        <f t="shared" si="60"/>
        <v>0</v>
      </c>
      <c r="O99" s="176">
        <f t="shared" si="62"/>
        <v>0</v>
      </c>
      <c r="P99" s="176">
        <f t="shared" si="60"/>
        <v>0</v>
      </c>
      <c r="Q99" s="175">
        <f t="shared" si="63"/>
        <v>0</v>
      </c>
      <c r="R99" s="176">
        <f t="shared" si="60"/>
        <v>0</v>
      </c>
      <c r="S99" s="176">
        <f t="shared" si="60"/>
        <v>0</v>
      </c>
      <c r="T99" s="176">
        <f t="shared" si="60"/>
        <v>0</v>
      </c>
      <c r="U99" s="176">
        <f t="shared" si="60"/>
        <v>0</v>
      </c>
    </row>
    <row r="100" spans="3:21" ht="18.75" x14ac:dyDescent="0.3">
      <c r="C100" s="294">
        <f t="shared" si="57"/>
        <v>1</v>
      </c>
      <c r="D100" s="125" t="s">
        <v>123</v>
      </c>
      <c r="E100" s="76" t="s">
        <v>51</v>
      </c>
      <c r="F100" s="176">
        <f t="shared" si="60"/>
        <v>0</v>
      </c>
      <c r="G100" s="176">
        <f t="shared" si="61"/>
        <v>0</v>
      </c>
      <c r="H100" s="176">
        <f t="shared" si="61"/>
        <v>0</v>
      </c>
      <c r="I100" s="176">
        <f t="shared" si="61"/>
        <v>0</v>
      </c>
      <c r="J100" s="176">
        <f t="shared" si="61"/>
        <v>0</v>
      </c>
      <c r="K100" s="176">
        <f t="shared" si="61"/>
        <v>0</v>
      </c>
      <c r="L100" s="176">
        <f t="shared" si="61"/>
        <v>0</v>
      </c>
      <c r="M100" s="176">
        <f t="shared" si="60"/>
        <v>0</v>
      </c>
      <c r="N100" s="176">
        <f t="shared" si="60"/>
        <v>0</v>
      </c>
      <c r="O100" s="176">
        <f t="shared" si="62"/>
        <v>0</v>
      </c>
      <c r="P100" s="176">
        <f t="shared" si="60"/>
        <v>0</v>
      </c>
      <c r="Q100" s="175">
        <f t="shared" si="63"/>
        <v>0</v>
      </c>
      <c r="R100" s="176">
        <f t="shared" si="60"/>
        <v>0</v>
      </c>
      <c r="S100" s="176">
        <f t="shared" si="60"/>
        <v>0</v>
      </c>
      <c r="T100" s="176">
        <f t="shared" si="60"/>
        <v>0</v>
      </c>
      <c r="U100" s="176">
        <f t="shared" si="60"/>
        <v>0</v>
      </c>
    </row>
    <row r="101" spans="3:21" ht="19.5" thickBot="1" x14ac:dyDescent="0.35">
      <c r="C101" s="294">
        <f t="shared" si="57"/>
        <v>1</v>
      </c>
      <c r="D101" s="114" t="s">
        <v>16</v>
      </c>
      <c r="E101" s="70" t="s">
        <v>50</v>
      </c>
      <c r="F101" s="176">
        <f t="shared" si="60"/>
        <v>17143.390071148391</v>
      </c>
      <c r="G101" s="176">
        <f t="shared" si="61"/>
        <v>340.55072317955296</v>
      </c>
      <c r="H101" s="176">
        <f t="shared" si="61"/>
        <v>0</v>
      </c>
      <c r="I101" s="176">
        <f t="shared" si="61"/>
        <v>0</v>
      </c>
      <c r="J101" s="176">
        <f t="shared" si="61"/>
        <v>727.05525769921519</v>
      </c>
      <c r="K101" s="176">
        <f t="shared" si="61"/>
        <v>2.9933180988734405</v>
      </c>
      <c r="L101" s="176">
        <f t="shared" si="61"/>
        <v>0.42124575713776391</v>
      </c>
      <c r="M101" s="176">
        <f t="shared" si="60"/>
        <v>0</v>
      </c>
      <c r="N101" s="176">
        <f t="shared" si="60"/>
        <v>0</v>
      </c>
      <c r="O101" s="176">
        <f t="shared" si="62"/>
        <v>217.87500722869689</v>
      </c>
      <c r="P101" s="176">
        <f t="shared" si="60"/>
        <v>3710.768753856431</v>
      </c>
      <c r="Q101" s="175">
        <f t="shared" si="63"/>
        <v>22143.054376968299</v>
      </c>
      <c r="R101" s="176">
        <f t="shared" si="60"/>
        <v>0</v>
      </c>
      <c r="S101" s="176">
        <f t="shared" si="60"/>
        <v>1539.6806392690198</v>
      </c>
      <c r="T101" s="176">
        <f t="shared" ca="1" si="60"/>
        <v>446.54878165708533</v>
      </c>
      <c r="U101" s="176">
        <f t="shared" ca="1" si="60"/>
        <v>25.44577099239601</v>
      </c>
    </row>
    <row r="102" spans="3:21" ht="19.5" thickBot="1" x14ac:dyDescent="0.3">
      <c r="C102" s="294">
        <f t="shared" si="57"/>
        <v>1</v>
      </c>
      <c r="D102" s="115" t="s">
        <v>124</v>
      </c>
      <c r="E102" s="116" t="s">
        <v>49</v>
      </c>
      <c r="F102" s="269">
        <f t="shared" ref="F102:U102" si="64">SUBTOTAL(9,F93:F101)</f>
        <v>177704.08608122636</v>
      </c>
      <c r="G102" s="269">
        <f t="shared" ref="G102:L102" si="65">SUBTOTAL(9,G93:G101)</f>
        <v>3951.1182974090143</v>
      </c>
      <c r="H102" s="269">
        <f t="shared" si="65"/>
        <v>0</v>
      </c>
      <c r="I102" s="269">
        <f t="shared" si="65"/>
        <v>4601.7186574398775</v>
      </c>
      <c r="J102" s="269">
        <f t="shared" si="65"/>
        <v>1254.6187377737911</v>
      </c>
      <c r="K102" s="269">
        <f t="shared" si="65"/>
        <v>163.11155440495358</v>
      </c>
      <c r="L102" s="269">
        <f t="shared" si="65"/>
        <v>0.42124575713776391</v>
      </c>
      <c r="M102" s="269">
        <f t="shared" si="64"/>
        <v>0</v>
      </c>
      <c r="N102" s="269">
        <f t="shared" si="64"/>
        <v>0</v>
      </c>
      <c r="O102" s="269">
        <f>SUBTOTAL(9,O93:O101)</f>
        <v>222.3824283596029</v>
      </c>
      <c r="P102" s="269">
        <f t="shared" si="64"/>
        <v>3710.768753856431</v>
      </c>
      <c r="Q102" s="183">
        <f>SUBTOTAL(9,Q93:Q101)</f>
        <v>191608.22575622716</v>
      </c>
      <c r="R102" s="269">
        <f t="shared" si="64"/>
        <v>0</v>
      </c>
      <c r="S102" s="269">
        <f t="shared" si="64"/>
        <v>14471.792778564017</v>
      </c>
      <c r="T102" s="269">
        <f t="shared" ca="1" si="64"/>
        <v>5950.9402844561228</v>
      </c>
      <c r="U102" s="269">
        <f t="shared" ca="1" si="64"/>
        <v>4116.2005809982738</v>
      </c>
    </row>
    <row r="103" spans="3:21" ht="15.75" hidden="1" thickBot="1" x14ac:dyDescent="0.3"/>
    <row r="104" spans="3:21" ht="93.75" x14ac:dyDescent="0.25">
      <c r="C104" s="294">
        <f>IF($E$104&gt;0,1,0)</f>
        <v>1</v>
      </c>
      <c r="D104" s="96" t="str">
        <f>A10</f>
        <v>Chautauqua</v>
      </c>
      <c r="E104" s="166">
        <f>IFERROR(SUMIF(A:A,D104,B:B),0)</f>
        <v>4.8428754605175017E-3</v>
      </c>
      <c r="F104" s="98" t="s">
        <v>356</v>
      </c>
      <c r="G104" s="98" t="s">
        <v>373</v>
      </c>
      <c r="H104" s="98" t="s">
        <v>358</v>
      </c>
      <c r="I104" s="98" t="s">
        <v>109</v>
      </c>
      <c r="J104" s="98" t="s">
        <v>111</v>
      </c>
      <c r="K104" s="98" t="s">
        <v>469</v>
      </c>
      <c r="L104" s="98" t="s">
        <v>470</v>
      </c>
      <c r="M104" s="98" t="s">
        <v>357</v>
      </c>
      <c r="N104" s="557" t="s">
        <v>471</v>
      </c>
      <c r="O104" s="557" t="s">
        <v>473</v>
      </c>
      <c r="P104" s="98" t="s">
        <v>110</v>
      </c>
      <c r="Q104" s="99" t="s">
        <v>116</v>
      </c>
      <c r="R104" s="98" t="s">
        <v>112</v>
      </c>
      <c r="S104" s="98" t="s">
        <v>113</v>
      </c>
      <c r="T104" s="98" t="s">
        <v>114</v>
      </c>
      <c r="U104" s="98" t="s">
        <v>115</v>
      </c>
    </row>
    <row r="105" spans="3:21" ht="18.75" x14ac:dyDescent="0.25">
      <c r="C105" s="294">
        <f t="shared" ref="C105:C116" si="66">IF($E$104&gt;0,1,0)</f>
        <v>1</v>
      </c>
      <c r="D105" s="101"/>
      <c r="E105" s="102"/>
      <c r="F105" s="84" t="s">
        <v>57</v>
      </c>
      <c r="G105" s="84" t="s">
        <v>56</v>
      </c>
      <c r="H105" s="84" t="s">
        <v>55</v>
      </c>
      <c r="I105" s="84" t="s">
        <v>54</v>
      </c>
      <c r="J105" s="84" t="s">
        <v>53</v>
      </c>
      <c r="K105" s="84" t="s">
        <v>52</v>
      </c>
      <c r="L105" s="84" t="s">
        <v>51</v>
      </c>
      <c r="M105" s="84" t="s">
        <v>50</v>
      </c>
      <c r="N105" s="84" t="s">
        <v>49</v>
      </c>
      <c r="O105" s="84" t="s">
        <v>47</v>
      </c>
      <c r="P105" s="84" t="s">
        <v>77</v>
      </c>
      <c r="Q105" s="84" t="s">
        <v>78</v>
      </c>
      <c r="R105" s="84" t="s">
        <v>79</v>
      </c>
      <c r="S105" s="84" t="s">
        <v>81</v>
      </c>
      <c r="T105" s="84" t="s">
        <v>83</v>
      </c>
      <c r="U105" s="84" t="s">
        <v>85</v>
      </c>
    </row>
    <row r="106" spans="3:21" ht="18.75" x14ac:dyDescent="0.25">
      <c r="C106" s="294">
        <f t="shared" si="66"/>
        <v>1</v>
      </c>
      <c r="D106" s="103" t="s">
        <v>26</v>
      </c>
      <c r="E106" s="122"/>
      <c r="F106" s="123"/>
      <c r="G106" s="123"/>
      <c r="H106" s="107"/>
      <c r="I106" s="107"/>
      <c r="J106" s="107"/>
      <c r="K106" s="107"/>
      <c r="L106" s="107"/>
      <c r="M106" s="123"/>
      <c r="N106" s="107"/>
      <c r="O106" s="107"/>
      <c r="P106" s="107"/>
      <c r="Q106" s="108"/>
      <c r="R106" s="107"/>
      <c r="S106" s="107"/>
      <c r="T106" s="107"/>
      <c r="U106" s="107"/>
    </row>
    <row r="107" spans="3:21" ht="18.75" x14ac:dyDescent="0.25">
      <c r="C107" s="294">
        <f t="shared" si="66"/>
        <v>1</v>
      </c>
      <c r="D107" s="124" t="s">
        <v>105</v>
      </c>
      <c r="E107" s="76" t="s">
        <v>57</v>
      </c>
      <c r="F107" s="176">
        <f t="shared" ref="F107:M107" si="67">F6*$E$104</f>
        <v>341569.90337833227</v>
      </c>
      <c r="G107" s="176">
        <f t="shared" si="67"/>
        <v>7680.9658161489797</v>
      </c>
      <c r="H107" s="176">
        <f t="shared" si="67"/>
        <v>0</v>
      </c>
      <c r="I107" s="176">
        <f t="shared" si="67"/>
        <v>9789.4979048754867</v>
      </c>
      <c r="J107" s="176">
        <f t="shared" si="67"/>
        <v>1122.3158057542239</v>
      </c>
      <c r="K107" s="176">
        <f t="shared" si="67"/>
        <v>340.62863367722281</v>
      </c>
      <c r="L107" s="176">
        <f t="shared" si="67"/>
        <v>0</v>
      </c>
      <c r="M107" s="176">
        <f t="shared" si="67"/>
        <v>0</v>
      </c>
      <c r="N107" s="176">
        <f t="shared" ref="N107:U107" si="68">N6*$E$104</f>
        <v>0</v>
      </c>
      <c r="O107" s="176">
        <f>O6*$E$104</f>
        <v>9.5888934118246532</v>
      </c>
      <c r="P107" s="176">
        <f t="shared" si="68"/>
        <v>0</v>
      </c>
      <c r="Q107" s="175">
        <f>SUM(F107:P107)</f>
        <v>360512.90043219994</v>
      </c>
      <c r="R107" s="176">
        <f t="shared" si="68"/>
        <v>0</v>
      </c>
      <c r="S107" s="176">
        <f t="shared" si="68"/>
        <v>27511.217898678598</v>
      </c>
      <c r="T107" s="176">
        <f t="shared" ca="1" si="68"/>
        <v>11709.805204441625</v>
      </c>
      <c r="U107" s="176">
        <f t="shared" ca="1" si="68"/>
        <v>8702.49544203802</v>
      </c>
    </row>
    <row r="108" spans="3:21" ht="18.75" x14ac:dyDescent="0.25">
      <c r="C108" s="294">
        <f t="shared" si="66"/>
        <v>1</v>
      </c>
      <c r="D108" s="112" t="s">
        <v>31</v>
      </c>
      <c r="E108" s="76"/>
      <c r="F108" s="177"/>
      <c r="G108" s="177"/>
      <c r="H108" s="178"/>
      <c r="I108" s="178"/>
      <c r="J108" s="178"/>
      <c r="K108" s="178"/>
      <c r="L108" s="178"/>
      <c r="M108" s="177"/>
      <c r="N108" s="178"/>
      <c r="O108" s="178"/>
      <c r="P108" s="178"/>
      <c r="Q108" s="179"/>
      <c r="R108" s="178"/>
      <c r="S108" s="178"/>
      <c r="T108" s="178"/>
      <c r="U108" s="178"/>
    </row>
    <row r="109" spans="3:21" ht="18.75" x14ac:dyDescent="0.3">
      <c r="C109" s="294">
        <f t="shared" si="66"/>
        <v>1</v>
      </c>
      <c r="D109" s="113" t="s">
        <v>118</v>
      </c>
      <c r="E109" s="76" t="s">
        <v>56</v>
      </c>
      <c r="F109" s="176">
        <f t="shared" ref="F109:U115" si="69">F8*$E$104</f>
        <v>0</v>
      </c>
      <c r="G109" s="176">
        <f t="shared" ref="G109:L115" si="70">G8*$E$104</f>
        <v>0</v>
      </c>
      <c r="H109" s="176">
        <f t="shared" si="70"/>
        <v>0</v>
      </c>
      <c r="I109" s="176">
        <f t="shared" si="70"/>
        <v>0</v>
      </c>
      <c r="J109" s="176">
        <f t="shared" si="70"/>
        <v>0</v>
      </c>
      <c r="K109" s="176">
        <f t="shared" si="70"/>
        <v>0</v>
      </c>
      <c r="L109" s="176">
        <f t="shared" si="70"/>
        <v>0</v>
      </c>
      <c r="M109" s="176">
        <f t="shared" si="69"/>
        <v>0</v>
      </c>
      <c r="N109" s="176">
        <f t="shared" si="69"/>
        <v>0</v>
      </c>
      <c r="O109" s="176">
        <f t="shared" ref="O109:O115" si="71">O8*$E$104</f>
        <v>0</v>
      </c>
      <c r="P109" s="176">
        <f t="shared" si="69"/>
        <v>0</v>
      </c>
      <c r="Q109" s="175">
        <f t="shared" ref="Q109:Q115" si="72">SUM(F109:P109)</f>
        <v>0</v>
      </c>
      <c r="R109" s="176">
        <f t="shared" si="69"/>
        <v>0</v>
      </c>
      <c r="S109" s="176">
        <f t="shared" si="69"/>
        <v>0</v>
      </c>
      <c r="T109" s="176">
        <f t="shared" si="69"/>
        <v>0</v>
      </c>
      <c r="U109" s="176">
        <f t="shared" si="69"/>
        <v>0</v>
      </c>
    </row>
    <row r="110" spans="3:21" ht="18.75" x14ac:dyDescent="0.3">
      <c r="C110" s="294">
        <f t="shared" si="66"/>
        <v>1</v>
      </c>
      <c r="D110" s="113" t="s">
        <v>119</v>
      </c>
      <c r="E110" s="76" t="s">
        <v>55</v>
      </c>
      <c r="F110" s="176">
        <f t="shared" si="69"/>
        <v>0</v>
      </c>
      <c r="G110" s="176">
        <f t="shared" si="70"/>
        <v>0</v>
      </c>
      <c r="H110" s="176">
        <f t="shared" si="70"/>
        <v>0</v>
      </c>
      <c r="I110" s="176">
        <f t="shared" si="70"/>
        <v>0</v>
      </c>
      <c r="J110" s="176">
        <f t="shared" si="70"/>
        <v>0</v>
      </c>
      <c r="K110" s="176">
        <f t="shared" si="70"/>
        <v>0</v>
      </c>
      <c r="L110" s="176">
        <f t="shared" si="70"/>
        <v>0</v>
      </c>
      <c r="M110" s="176">
        <f t="shared" si="69"/>
        <v>0</v>
      </c>
      <c r="N110" s="176">
        <f t="shared" si="69"/>
        <v>0</v>
      </c>
      <c r="O110" s="176">
        <f t="shared" si="71"/>
        <v>0</v>
      </c>
      <c r="P110" s="176">
        <f t="shared" si="69"/>
        <v>0</v>
      </c>
      <c r="Q110" s="175">
        <f t="shared" si="72"/>
        <v>0</v>
      </c>
      <c r="R110" s="176">
        <f t="shared" si="69"/>
        <v>0</v>
      </c>
      <c r="S110" s="176">
        <f t="shared" si="69"/>
        <v>0</v>
      </c>
      <c r="T110" s="176">
        <f t="shared" si="69"/>
        <v>0</v>
      </c>
      <c r="U110" s="176">
        <f t="shared" si="69"/>
        <v>0</v>
      </c>
    </row>
    <row r="111" spans="3:21" ht="18.75" x14ac:dyDescent="0.3">
      <c r="C111" s="294">
        <f t="shared" si="66"/>
        <v>1</v>
      </c>
      <c r="D111" s="113" t="s">
        <v>120</v>
      </c>
      <c r="E111" s="76" t="s">
        <v>54</v>
      </c>
      <c r="F111" s="176">
        <f t="shared" si="69"/>
        <v>0</v>
      </c>
      <c r="G111" s="176">
        <f t="shared" si="70"/>
        <v>0</v>
      </c>
      <c r="H111" s="176">
        <f t="shared" si="70"/>
        <v>0</v>
      </c>
      <c r="I111" s="176">
        <f t="shared" si="70"/>
        <v>0</v>
      </c>
      <c r="J111" s="176">
        <f t="shared" si="70"/>
        <v>0</v>
      </c>
      <c r="K111" s="176">
        <f t="shared" si="70"/>
        <v>0</v>
      </c>
      <c r="L111" s="176">
        <f t="shared" si="70"/>
        <v>0</v>
      </c>
      <c r="M111" s="176">
        <f t="shared" si="69"/>
        <v>0</v>
      </c>
      <c r="N111" s="176">
        <f t="shared" si="69"/>
        <v>0</v>
      </c>
      <c r="O111" s="176">
        <f t="shared" si="71"/>
        <v>0</v>
      </c>
      <c r="P111" s="176">
        <f t="shared" si="69"/>
        <v>0</v>
      </c>
      <c r="Q111" s="175">
        <f t="shared" si="72"/>
        <v>0</v>
      </c>
      <c r="R111" s="176">
        <f t="shared" si="69"/>
        <v>0</v>
      </c>
      <c r="S111" s="176">
        <f t="shared" si="69"/>
        <v>0</v>
      </c>
      <c r="T111" s="176">
        <f t="shared" si="69"/>
        <v>0</v>
      </c>
      <c r="U111" s="176">
        <f t="shared" si="69"/>
        <v>0</v>
      </c>
    </row>
    <row r="112" spans="3:21" ht="18.75" x14ac:dyDescent="0.3">
      <c r="C112" s="294">
        <f t="shared" si="66"/>
        <v>1</v>
      </c>
      <c r="D112" s="113" t="s">
        <v>121</v>
      </c>
      <c r="E112" s="76" t="s">
        <v>53</v>
      </c>
      <c r="F112" s="176">
        <f t="shared" si="69"/>
        <v>0</v>
      </c>
      <c r="G112" s="176">
        <f t="shared" si="70"/>
        <v>0</v>
      </c>
      <c r="H112" s="176">
        <f t="shared" si="70"/>
        <v>0</v>
      </c>
      <c r="I112" s="176">
        <f t="shared" si="70"/>
        <v>0</v>
      </c>
      <c r="J112" s="176">
        <f t="shared" si="70"/>
        <v>0</v>
      </c>
      <c r="K112" s="176">
        <f t="shared" si="70"/>
        <v>0</v>
      </c>
      <c r="L112" s="176">
        <f t="shared" si="70"/>
        <v>0</v>
      </c>
      <c r="M112" s="176">
        <f t="shared" si="69"/>
        <v>0</v>
      </c>
      <c r="N112" s="176">
        <f t="shared" si="69"/>
        <v>0</v>
      </c>
      <c r="O112" s="176">
        <f t="shared" si="71"/>
        <v>0</v>
      </c>
      <c r="P112" s="176">
        <f t="shared" si="69"/>
        <v>0</v>
      </c>
      <c r="Q112" s="175">
        <f t="shared" si="72"/>
        <v>0</v>
      </c>
      <c r="R112" s="176">
        <f t="shared" si="69"/>
        <v>0</v>
      </c>
      <c r="S112" s="176">
        <f t="shared" si="69"/>
        <v>0</v>
      </c>
      <c r="T112" s="176">
        <f t="shared" si="69"/>
        <v>0</v>
      </c>
      <c r="U112" s="176">
        <f t="shared" si="69"/>
        <v>0</v>
      </c>
    </row>
    <row r="113" spans="3:21" ht="18.75" x14ac:dyDescent="0.3">
      <c r="C113" s="294">
        <f t="shared" si="66"/>
        <v>1</v>
      </c>
      <c r="D113" s="113" t="s">
        <v>122</v>
      </c>
      <c r="E113" s="76" t="s">
        <v>52</v>
      </c>
      <c r="F113" s="176">
        <f t="shared" si="69"/>
        <v>0</v>
      </c>
      <c r="G113" s="176">
        <f t="shared" si="70"/>
        <v>0</v>
      </c>
      <c r="H113" s="176">
        <f t="shared" si="70"/>
        <v>0</v>
      </c>
      <c r="I113" s="176">
        <f t="shared" si="70"/>
        <v>0</v>
      </c>
      <c r="J113" s="176">
        <f t="shared" si="70"/>
        <v>0</v>
      </c>
      <c r="K113" s="176">
        <f t="shared" si="70"/>
        <v>0</v>
      </c>
      <c r="L113" s="176">
        <f t="shared" si="70"/>
        <v>0</v>
      </c>
      <c r="M113" s="176">
        <f t="shared" si="69"/>
        <v>0</v>
      </c>
      <c r="N113" s="176">
        <f t="shared" si="69"/>
        <v>0</v>
      </c>
      <c r="O113" s="176">
        <f t="shared" si="71"/>
        <v>0</v>
      </c>
      <c r="P113" s="176">
        <f t="shared" si="69"/>
        <v>0</v>
      </c>
      <c r="Q113" s="175">
        <f t="shared" si="72"/>
        <v>0</v>
      </c>
      <c r="R113" s="176">
        <f t="shared" si="69"/>
        <v>0</v>
      </c>
      <c r="S113" s="176">
        <f t="shared" si="69"/>
        <v>0</v>
      </c>
      <c r="T113" s="176">
        <f t="shared" si="69"/>
        <v>0</v>
      </c>
      <c r="U113" s="176">
        <f t="shared" si="69"/>
        <v>0</v>
      </c>
    </row>
    <row r="114" spans="3:21" ht="18.75" x14ac:dyDescent="0.3">
      <c r="C114" s="294">
        <f t="shared" si="66"/>
        <v>1</v>
      </c>
      <c r="D114" s="125" t="s">
        <v>123</v>
      </c>
      <c r="E114" s="76" t="s">
        <v>51</v>
      </c>
      <c r="F114" s="176">
        <f t="shared" si="69"/>
        <v>0</v>
      </c>
      <c r="G114" s="176">
        <f t="shared" si="70"/>
        <v>0</v>
      </c>
      <c r="H114" s="176">
        <f t="shared" si="70"/>
        <v>0</v>
      </c>
      <c r="I114" s="176">
        <f t="shared" si="70"/>
        <v>0</v>
      </c>
      <c r="J114" s="176">
        <f t="shared" si="70"/>
        <v>0</v>
      </c>
      <c r="K114" s="176">
        <f t="shared" si="70"/>
        <v>0</v>
      </c>
      <c r="L114" s="176">
        <f t="shared" si="70"/>
        <v>0</v>
      </c>
      <c r="M114" s="176">
        <f t="shared" si="69"/>
        <v>0</v>
      </c>
      <c r="N114" s="176">
        <f t="shared" si="69"/>
        <v>0</v>
      </c>
      <c r="O114" s="176">
        <f t="shared" si="71"/>
        <v>0</v>
      </c>
      <c r="P114" s="176">
        <f t="shared" si="69"/>
        <v>0</v>
      </c>
      <c r="Q114" s="175">
        <f t="shared" si="72"/>
        <v>0</v>
      </c>
      <c r="R114" s="176">
        <f t="shared" si="69"/>
        <v>0</v>
      </c>
      <c r="S114" s="176">
        <f t="shared" si="69"/>
        <v>0</v>
      </c>
      <c r="T114" s="176">
        <f t="shared" si="69"/>
        <v>0</v>
      </c>
      <c r="U114" s="176">
        <f t="shared" si="69"/>
        <v>0</v>
      </c>
    </row>
    <row r="115" spans="3:21" ht="19.5" thickBot="1" x14ac:dyDescent="0.35">
      <c r="C115" s="294">
        <f t="shared" si="66"/>
        <v>1</v>
      </c>
      <c r="D115" s="114" t="s">
        <v>16</v>
      </c>
      <c r="E115" s="70" t="s">
        <v>50</v>
      </c>
      <c r="F115" s="176">
        <f t="shared" si="69"/>
        <v>36470.109034727109</v>
      </c>
      <c r="G115" s="176">
        <f t="shared" si="70"/>
        <v>724.4729283221335</v>
      </c>
      <c r="H115" s="176">
        <f t="shared" si="70"/>
        <v>0</v>
      </c>
      <c r="I115" s="176">
        <f t="shared" si="70"/>
        <v>0</v>
      </c>
      <c r="J115" s="176">
        <f t="shared" si="70"/>
        <v>1546.7060139515202</v>
      </c>
      <c r="K115" s="176">
        <f t="shared" si="70"/>
        <v>6.3678558901403823</v>
      </c>
      <c r="L115" s="176">
        <f t="shared" si="70"/>
        <v>0.89614006503214949</v>
      </c>
      <c r="M115" s="176">
        <f t="shared" si="69"/>
        <v>0</v>
      </c>
      <c r="N115" s="176">
        <f t="shared" si="69"/>
        <v>0</v>
      </c>
      <c r="O115" s="176">
        <f t="shared" si="71"/>
        <v>463.49789840838963</v>
      </c>
      <c r="P115" s="176">
        <f t="shared" si="69"/>
        <v>7894.1294863004268</v>
      </c>
      <c r="Q115" s="175">
        <f t="shared" si="72"/>
        <v>47106.179357664747</v>
      </c>
      <c r="R115" s="176">
        <f t="shared" si="69"/>
        <v>0</v>
      </c>
      <c r="S115" s="176">
        <f t="shared" si="69"/>
        <v>3275.450220741433</v>
      </c>
      <c r="T115" s="176">
        <f t="shared" ca="1" si="69"/>
        <v>949.96862865335925</v>
      </c>
      <c r="U115" s="176">
        <f t="shared" ca="1" si="69"/>
        <v>54.132236314635385</v>
      </c>
    </row>
    <row r="116" spans="3:21" ht="19.5" thickBot="1" x14ac:dyDescent="0.3">
      <c r="C116" s="294">
        <f t="shared" si="66"/>
        <v>1</v>
      </c>
      <c r="D116" s="115" t="s">
        <v>124</v>
      </c>
      <c r="E116" s="116" t="s">
        <v>49</v>
      </c>
      <c r="F116" s="269">
        <f t="shared" ref="F116:U116" si="73">SUBTOTAL(9,F107:F115)</f>
        <v>378040.01241305936</v>
      </c>
      <c r="G116" s="269">
        <f t="shared" ref="G116:L116" si="74">SUBTOTAL(9,G107:G115)</f>
        <v>8405.4387444711138</v>
      </c>
      <c r="H116" s="269">
        <f t="shared" si="74"/>
        <v>0</v>
      </c>
      <c r="I116" s="269">
        <f t="shared" si="74"/>
        <v>9789.4979048754867</v>
      </c>
      <c r="J116" s="269">
        <f t="shared" si="74"/>
        <v>2669.0218197057438</v>
      </c>
      <c r="K116" s="269">
        <f t="shared" si="74"/>
        <v>346.9964895673632</v>
      </c>
      <c r="L116" s="269">
        <f t="shared" si="74"/>
        <v>0.89614006503214949</v>
      </c>
      <c r="M116" s="269">
        <f t="shared" si="73"/>
        <v>0</v>
      </c>
      <c r="N116" s="269">
        <f t="shared" si="73"/>
        <v>0</v>
      </c>
      <c r="O116" s="269">
        <f>SUBTOTAL(9,O107:O115)</f>
        <v>473.08679182021427</v>
      </c>
      <c r="P116" s="269">
        <f t="shared" si="73"/>
        <v>7894.1294863004268</v>
      </c>
      <c r="Q116" s="183">
        <f>SUBTOTAL(9,Q107:Q115)</f>
        <v>407619.07978986471</v>
      </c>
      <c r="R116" s="269">
        <f t="shared" si="73"/>
        <v>0</v>
      </c>
      <c r="S116" s="269">
        <f t="shared" si="73"/>
        <v>30786.668119420032</v>
      </c>
      <c r="T116" s="269">
        <f t="shared" ca="1" si="73"/>
        <v>12659.773833094985</v>
      </c>
      <c r="U116" s="269">
        <f t="shared" ca="1" si="73"/>
        <v>8756.6276783526555</v>
      </c>
    </row>
    <row r="117" spans="3:21" ht="15.75" hidden="1" thickBot="1" x14ac:dyDescent="0.3"/>
    <row r="118" spans="3:21" ht="93.75" x14ac:dyDescent="0.25">
      <c r="C118" s="294">
        <f>IF($E$118&gt;0,1,0)</f>
        <v>1</v>
      </c>
      <c r="D118" s="96" t="str">
        <f>A11</f>
        <v>Chemung</v>
      </c>
      <c r="E118" s="166">
        <f>IFERROR(SUMIF(A:A,D118,B:B),0)</f>
        <v>4.5517940222924687E-3</v>
      </c>
      <c r="F118" s="98" t="s">
        <v>356</v>
      </c>
      <c r="G118" s="98" t="s">
        <v>373</v>
      </c>
      <c r="H118" s="98" t="s">
        <v>358</v>
      </c>
      <c r="I118" s="98" t="s">
        <v>109</v>
      </c>
      <c r="J118" s="98" t="s">
        <v>111</v>
      </c>
      <c r="K118" s="98" t="s">
        <v>469</v>
      </c>
      <c r="L118" s="98" t="s">
        <v>470</v>
      </c>
      <c r="M118" s="98" t="s">
        <v>357</v>
      </c>
      <c r="N118" s="557" t="s">
        <v>471</v>
      </c>
      <c r="O118" s="557" t="s">
        <v>473</v>
      </c>
      <c r="P118" s="98" t="s">
        <v>110</v>
      </c>
      <c r="Q118" s="99" t="s">
        <v>116</v>
      </c>
      <c r="R118" s="98" t="s">
        <v>112</v>
      </c>
      <c r="S118" s="98" t="s">
        <v>113</v>
      </c>
      <c r="T118" s="98" t="s">
        <v>114</v>
      </c>
      <c r="U118" s="98" t="s">
        <v>115</v>
      </c>
    </row>
    <row r="119" spans="3:21" ht="18.75" x14ac:dyDescent="0.25">
      <c r="C119" s="294">
        <f t="shared" ref="C119:C130" si="75">IF($E$118&gt;0,1,0)</f>
        <v>1</v>
      </c>
      <c r="D119" s="101"/>
      <c r="E119" s="102"/>
      <c r="F119" s="84" t="s">
        <v>57</v>
      </c>
      <c r="G119" s="84" t="s">
        <v>56</v>
      </c>
      <c r="H119" s="84" t="s">
        <v>55</v>
      </c>
      <c r="I119" s="84" t="s">
        <v>54</v>
      </c>
      <c r="J119" s="84" t="s">
        <v>53</v>
      </c>
      <c r="K119" s="84" t="s">
        <v>52</v>
      </c>
      <c r="L119" s="84" t="s">
        <v>51</v>
      </c>
      <c r="M119" s="84" t="s">
        <v>50</v>
      </c>
      <c r="N119" s="84" t="s">
        <v>49</v>
      </c>
      <c r="O119" s="84" t="s">
        <v>47</v>
      </c>
      <c r="P119" s="84" t="s">
        <v>77</v>
      </c>
      <c r="Q119" s="84" t="s">
        <v>78</v>
      </c>
      <c r="R119" s="84" t="s">
        <v>79</v>
      </c>
      <c r="S119" s="84" t="s">
        <v>81</v>
      </c>
      <c r="T119" s="84" t="s">
        <v>83</v>
      </c>
      <c r="U119" s="84" t="s">
        <v>85</v>
      </c>
    </row>
    <row r="120" spans="3:21" ht="18.75" x14ac:dyDescent="0.25">
      <c r="C120" s="294">
        <f t="shared" si="75"/>
        <v>1</v>
      </c>
      <c r="D120" s="103" t="s">
        <v>26</v>
      </c>
      <c r="E120" s="122"/>
      <c r="F120" s="123"/>
      <c r="G120" s="123"/>
      <c r="H120" s="107"/>
      <c r="I120" s="107"/>
      <c r="J120" s="107"/>
      <c r="K120" s="107"/>
      <c r="L120" s="107"/>
      <c r="M120" s="123"/>
      <c r="N120" s="107"/>
      <c r="O120" s="107"/>
      <c r="P120" s="107"/>
      <c r="Q120" s="108"/>
      <c r="R120" s="107"/>
      <c r="S120" s="107"/>
      <c r="T120" s="107"/>
      <c r="U120" s="107"/>
    </row>
    <row r="121" spans="3:21" ht="18.75" x14ac:dyDescent="0.25">
      <c r="C121" s="294">
        <f t="shared" si="75"/>
        <v>1</v>
      </c>
      <c r="D121" s="124" t="s">
        <v>105</v>
      </c>
      <c r="E121" s="76" t="s">
        <v>57</v>
      </c>
      <c r="F121" s="176">
        <f t="shared" ref="F121:M121" si="76">F6*$E$118</f>
        <v>321039.81551207812</v>
      </c>
      <c r="G121" s="176">
        <f t="shared" si="76"/>
        <v>7219.3007176037763</v>
      </c>
      <c r="H121" s="176">
        <f t="shared" si="76"/>
        <v>0</v>
      </c>
      <c r="I121" s="176">
        <f t="shared" si="76"/>
        <v>9201.0993072069014</v>
      </c>
      <c r="J121" s="176">
        <f t="shared" si="76"/>
        <v>1054.8589195416848</v>
      </c>
      <c r="K121" s="176">
        <f t="shared" si="76"/>
        <v>320.15512090578375</v>
      </c>
      <c r="L121" s="176">
        <f t="shared" si="76"/>
        <v>0</v>
      </c>
      <c r="M121" s="176">
        <f t="shared" si="76"/>
        <v>0</v>
      </c>
      <c r="N121" s="176">
        <f t="shared" ref="N121:U121" si="77">N6*$E$118</f>
        <v>0</v>
      </c>
      <c r="O121" s="176">
        <f>O6*$E$118</f>
        <v>9.0125521641390876</v>
      </c>
      <c r="P121" s="176">
        <f t="shared" si="77"/>
        <v>0</v>
      </c>
      <c r="Q121" s="175">
        <f>SUM(F121:P121)</f>
        <v>338844.24212950043</v>
      </c>
      <c r="R121" s="176">
        <f t="shared" si="77"/>
        <v>0</v>
      </c>
      <c r="S121" s="176">
        <f t="shared" si="77"/>
        <v>25857.653825318364</v>
      </c>
      <c r="T121" s="176">
        <f t="shared" ca="1" si="77"/>
        <v>11005.986374485668</v>
      </c>
      <c r="U121" s="176">
        <f t="shared" ca="1" si="77"/>
        <v>8179.4312191260124</v>
      </c>
    </row>
    <row r="122" spans="3:21" ht="18.75" x14ac:dyDescent="0.25">
      <c r="C122" s="294">
        <f t="shared" si="75"/>
        <v>1</v>
      </c>
      <c r="D122" s="112" t="s">
        <v>31</v>
      </c>
      <c r="E122" s="76"/>
      <c r="F122" s="177"/>
      <c r="G122" s="177"/>
      <c r="H122" s="178"/>
      <c r="I122" s="178"/>
      <c r="J122" s="178"/>
      <c r="K122" s="178"/>
      <c r="L122" s="178"/>
      <c r="M122" s="177"/>
      <c r="N122" s="178"/>
      <c r="O122" s="178"/>
      <c r="P122" s="178"/>
      <c r="Q122" s="179"/>
      <c r="R122" s="178"/>
      <c r="S122" s="178"/>
      <c r="T122" s="178"/>
      <c r="U122" s="178"/>
    </row>
    <row r="123" spans="3:21" ht="18.75" x14ac:dyDescent="0.3">
      <c r="C123" s="294">
        <f t="shared" si="75"/>
        <v>1</v>
      </c>
      <c r="D123" s="113" t="s">
        <v>118</v>
      </c>
      <c r="E123" s="76" t="s">
        <v>56</v>
      </c>
      <c r="F123" s="176">
        <f t="shared" ref="F123:U129" si="78">F8*$E$118</f>
        <v>0</v>
      </c>
      <c r="G123" s="176">
        <f t="shared" ref="G123:L129" si="79">G8*$E$118</f>
        <v>0</v>
      </c>
      <c r="H123" s="176">
        <f t="shared" si="79"/>
        <v>0</v>
      </c>
      <c r="I123" s="176">
        <f t="shared" si="79"/>
        <v>0</v>
      </c>
      <c r="J123" s="176">
        <f t="shared" si="79"/>
        <v>0</v>
      </c>
      <c r="K123" s="176">
        <f t="shared" si="79"/>
        <v>0</v>
      </c>
      <c r="L123" s="176">
        <f t="shared" si="79"/>
        <v>0</v>
      </c>
      <c r="M123" s="176">
        <f t="shared" si="78"/>
        <v>0</v>
      </c>
      <c r="N123" s="176">
        <f t="shared" si="78"/>
        <v>0</v>
      </c>
      <c r="O123" s="176">
        <f t="shared" ref="O123:O129" si="80">O8*$E$118</f>
        <v>0</v>
      </c>
      <c r="P123" s="176">
        <f t="shared" si="78"/>
        <v>0</v>
      </c>
      <c r="Q123" s="175">
        <f t="shared" ref="Q123:Q129" si="81">SUM(F123:P123)</f>
        <v>0</v>
      </c>
      <c r="R123" s="176">
        <f t="shared" si="78"/>
        <v>0</v>
      </c>
      <c r="S123" s="176">
        <f t="shared" si="78"/>
        <v>0</v>
      </c>
      <c r="T123" s="176">
        <f t="shared" si="78"/>
        <v>0</v>
      </c>
      <c r="U123" s="176">
        <f t="shared" si="78"/>
        <v>0</v>
      </c>
    </row>
    <row r="124" spans="3:21" ht="18.75" x14ac:dyDescent="0.3">
      <c r="C124" s="294">
        <f t="shared" si="75"/>
        <v>1</v>
      </c>
      <c r="D124" s="113" t="s">
        <v>119</v>
      </c>
      <c r="E124" s="76" t="s">
        <v>55</v>
      </c>
      <c r="F124" s="176">
        <f t="shared" si="78"/>
        <v>0</v>
      </c>
      <c r="G124" s="176">
        <f t="shared" si="79"/>
        <v>0</v>
      </c>
      <c r="H124" s="176">
        <f t="shared" si="79"/>
        <v>0</v>
      </c>
      <c r="I124" s="176">
        <f t="shared" si="79"/>
        <v>0</v>
      </c>
      <c r="J124" s="176">
        <f t="shared" si="79"/>
        <v>0</v>
      </c>
      <c r="K124" s="176">
        <f t="shared" si="79"/>
        <v>0</v>
      </c>
      <c r="L124" s="176">
        <f t="shared" si="79"/>
        <v>0</v>
      </c>
      <c r="M124" s="176">
        <f t="shared" si="78"/>
        <v>0</v>
      </c>
      <c r="N124" s="176">
        <f t="shared" si="78"/>
        <v>0</v>
      </c>
      <c r="O124" s="176">
        <f t="shared" si="80"/>
        <v>0</v>
      </c>
      <c r="P124" s="176">
        <f t="shared" si="78"/>
        <v>0</v>
      </c>
      <c r="Q124" s="175">
        <f t="shared" si="81"/>
        <v>0</v>
      </c>
      <c r="R124" s="176">
        <f t="shared" si="78"/>
        <v>0</v>
      </c>
      <c r="S124" s="176">
        <f t="shared" si="78"/>
        <v>0</v>
      </c>
      <c r="T124" s="176">
        <f t="shared" si="78"/>
        <v>0</v>
      </c>
      <c r="U124" s="176">
        <f t="shared" si="78"/>
        <v>0</v>
      </c>
    </row>
    <row r="125" spans="3:21" ht="18.75" x14ac:dyDescent="0.3">
      <c r="C125" s="294">
        <f t="shared" si="75"/>
        <v>1</v>
      </c>
      <c r="D125" s="113" t="s">
        <v>120</v>
      </c>
      <c r="E125" s="76" t="s">
        <v>54</v>
      </c>
      <c r="F125" s="176">
        <f t="shared" si="78"/>
        <v>0</v>
      </c>
      <c r="G125" s="176">
        <f t="shared" si="79"/>
        <v>0</v>
      </c>
      <c r="H125" s="176">
        <f t="shared" si="79"/>
        <v>0</v>
      </c>
      <c r="I125" s="176">
        <f t="shared" si="79"/>
        <v>0</v>
      </c>
      <c r="J125" s="176">
        <f t="shared" si="79"/>
        <v>0</v>
      </c>
      <c r="K125" s="176">
        <f t="shared" si="79"/>
        <v>0</v>
      </c>
      <c r="L125" s="176">
        <f t="shared" si="79"/>
        <v>0</v>
      </c>
      <c r="M125" s="176">
        <f t="shared" si="78"/>
        <v>0</v>
      </c>
      <c r="N125" s="176">
        <f t="shared" si="78"/>
        <v>0</v>
      </c>
      <c r="O125" s="176">
        <f t="shared" si="80"/>
        <v>0</v>
      </c>
      <c r="P125" s="176">
        <f t="shared" si="78"/>
        <v>0</v>
      </c>
      <c r="Q125" s="175">
        <f t="shared" si="81"/>
        <v>0</v>
      </c>
      <c r="R125" s="176">
        <f t="shared" si="78"/>
        <v>0</v>
      </c>
      <c r="S125" s="176">
        <f t="shared" si="78"/>
        <v>0</v>
      </c>
      <c r="T125" s="176">
        <f t="shared" si="78"/>
        <v>0</v>
      </c>
      <c r="U125" s="176">
        <f t="shared" si="78"/>
        <v>0</v>
      </c>
    </row>
    <row r="126" spans="3:21" ht="18.75" x14ac:dyDescent="0.3">
      <c r="C126" s="294">
        <f t="shared" si="75"/>
        <v>1</v>
      </c>
      <c r="D126" s="113" t="s">
        <v>121</v>
      </c>
      <c r="E126" s="76" t="s">
        <v>53</v>
      </c>
      <c r="F126" s="176">
        <f t="shared" si="78"/>
        <v>0</v>
      </c>
      <c r="G126" s="176">
        <f t="shared" si="79"/>
        <v>0</v>
      </c>
      <c r="H126" s="176">
        <f t="shared" si="79"/>
        <v>0</v>
      </c>
      <c r="I126" s="176">
        <f t="shared" si="79"/>
        <v>0</v>
      </c>
      <c r="J126" s="176">
        <f t="shared" si="79"/>
        <v>0</v>
      </c>
      <c r="K126" s="176">
        <f t="shared" si="79"/>
        <v>0</v>
      </c>
      <c r="L126" s="176">
        <f t="shared" si="79"/>
        <v>0</v>
      </c>
      <c r="M126" s="176">
        <f t="shared" si="78"/>
        <v>0</v>
      </c>
      <c r="N126" s="176">
        <f t="shared" si="78"/>
        <v>0</v>
      </c>
      <c r="O126" s="176">
        <f t="shared" si="80"/>
        <v>0</v>
      </c>
      <c r="P126" s="176">
        <f t="shared" si="78"/>
        <v>0</v>
      </c>
      <c r="Q126" s="175">
        <f t="shared" si="81"/>
        <v>0</v>
      </c>
      <c r="R126" s="176">
        <f t="shared" si="78"/>
        <v>0</v>
      </c>
      <c r="S126" s="176">
        <f t="shared" si="78"/>
        <v>0</v>
      </c>
      <c r="T126" s="176">
        <f t="shared" si="78"/>
        <v>0</v>
      </c>
      <c r="U126" s="176">
        <f t="shared" si="78"/>
        <v>0</v>
      </c>
    </row>
    <row r="127" spans="3:21" ht="18.75" x14ac:dyDescent="0.3">
      <c r="C127" s="294">
        <f t="shared" si="75"/>
        <v>1</v>
      </c>
      <c r="D127" s="113" t="s">
        <v>122</v>
      </c>
      <c r="E127" s="76" t="s">
        <v>52</v>
      </c>
      <c r="F127" s="176">
        <f t="shared" si="78"/>
        <v>0</v>
      </c>
      <c r="G127" s="176">
        <f t="shared" si="79"/>
        <v>0</v>
      </c>
      <c r="H127" s="176">
        <f t="shared" si="79"/>
        <v>0</v>
      </c>
      <c r="I127" s="176">
        <f t="shared" si="79"/>
        <v>0</v>
      </c>
      <c r="J127" s="176">
        <f t="shared" si="79"/>
        <v>0</v>
      </c>
      <c r="K127" s="176">
        <f t="shared" si="79"/>
        <v>0</v>
      </c>
      <c r="L127" s="176">
        <f t="shared" si="79"/>
        <v>0</v>
      </c>
      <c r="M127" s="176">
        <f t="shared" si="78"/>
        <v>0</v>
      </c>
      <c r="N127" s="176">
        <f t="shared" si="78"/>
        <v>0</v>
      </c>
      <c r="O127" s="176">
        <f t="shared" si="80"/>
        <v>0</v>
      </c>
      <c r="P127" s="176">
        <f t="shared" si="78"/>
        <v>0</v>
      </c>
      <c r="Q127" s="175">
        <f t="shared" si="81"/>
        <v>0</v>
      </c>
      <c r="R127" s="176">
        <f t="shared" si="78"/>
        <v>0</v>
      </c>
      <c r="S127" s="176">
        <f t="shared" si="78"/>
        <v>0</v>
      </c>
      <c r="T127" s="176">
        <f t="shared" si="78"/>
        <v>0</v>
      </c>
      <c r="U127" s="176">
        <f t="shared" si="78"/>
        <v>0</v>
      </c>
    </row>
    <row r="128" spans="3:21" ht="18.75" x14ac:dyDescent="0.3">
      <c r="C128" s="294">
        <f t="shared" si="75"/>
        <v>1</v>
      </c>
      <c r="D128" s="125" t="s">
        <v>123</v>
      </c>
      <c r="E128" s="76" t="s">
        <v>51</v>
      </c>
      <c r="F128" s="176">
        <f t="shared" si="78"/>
        <v>0</v>
      </c>
      <c r="G128" s="176">
        <f t="shared" si="79"/>
        <v>0</v>
      </c>
      <c r="H128" s="176">
        <f t="shared" si="79"/>
        <v>0</v>
      </c>
      <c r="I128" s="176">
        <f t="shared" si="79"/>
        <v>0</v>
      </c>
      <c r="J128" s="176">
        <f t="shared" si="79"/>
        <v>0</v>
      </c>
      <c r="K128" s="176">
        <f t="shared" si="79"/>
        <v>0</v>
      </c>
      <c r="L128" s="176">
        <f t="shared" si="79"/>
        <v>0</v>
      </c>
      <c r="M128" s="176">
        <f t="shared" si="78"/>
        <v>0</v>
      </c>
      <c r="N128" s="176">
        <f t="shared" si="78"/>
        <v>0</v>
      </c>
      <c r="O128" s="176">
        <f t="shared" si="80"/>
        <v>0</v>
      </c>
      <c r="P128" s="176">
        <f t="shared" si="78"/>
        <v>0</v>
      </c>
      <c r="Q128" s="175">
        <f t="shared" si="81"/>
        <v>0</v>
      </c>
      <c r="R128" s="176">
        <f t="shared" si="78"/>
        <v>0</v>
      </c>
      <c r="S128" s="176">
        <f t="shared" si="78"/>
        <v>0</v>
      </c>
      <c r="T128" s="176">
        <f t="shared" si="78"/>
        <v>0</v>
      </c>
      <c r="U128" s="176">
        <f t="shared" si="78"/>
        <v>0</v>
      </c>
    </row>
    <row r="129" spans="3:21" ht="19.5" thickBot="1" x14ac:dyDescent="0.35">
      <c r="C129" s="294">
        <f t="shared" si="75"/>
        <v>1</v>
      </c>
      <c r="D129" s="114" t="s">
        <v>16</v>
      </c>
      <c r="E129" s="70" t="s">
        <v>50</v>
      </c>
      <c r="F129" s="176">
        <f t="shared" si="78"/>
        <v>34278.070053630174</v>
      </c>
      <c r="G129" s="176">
        <f t="shared" si="79"/>
        <v>680.92842182999811</v>
      </c>
      <c r="H129" s="176">
        <f t="shared" si="79"/>
        <v>0</v>
      </c>
      <c r="I129" s="176">
        <f t="shared" si="79"/>
        <v>0</v>
      </c>
      <c r="J129" s="176">
        <f t="shared" si="79"/>
        <v>1453.7411184627133</v>
      </c>
      <c r="K129" s="176">
        <f t="shared" si="79"/>
        <v>5.9851153745059493</v>
      </c>
      <c r="L129" s="176">
        <f t="shared" si="79"/>
        <v>0.84227749080176473</v>
      </c>
      <c r="M129" s="176">
        <f t="shared" si="78"/>
        <v>0</v>
      </c>
      <c r="N129" s="176">
        <f t="shared" si="78"/>
        <v>0</v>
      </c>
      <c r="O129" s="176">
        <f t="shared" si="80"/>
        <v>435.6393181118446</v>
      </c>
      <c r="P129" s="176">
        <f t="shared" si="78"/>
        <v>7419.652167372753</v>
      </c>
      <c r="Q129" s="175">
        <f t="shared" si="81"/>
        <v>44274.858472272797</v>
      </c>
      <c r="R129" s="176">
        <f t="shared" si="78"/>
        <v>0</v>
      </c>
      <c r="S129" s="176">
        <f t="shared" si="78"/>
        <v>3078.5790088218027</v>
      </c>
      <c r="T129" s="176">
        <f t="shared" ca="1" si="78"/>
        <v>892.87068406414733</v>
      </c>
      <c r="U129" s="176">
        <f t="shared" ca="1" si="78"/>
        <v>50.878613682944241</v>
      </c>
    </row>
    <row r="130" spans="3:21" ht="19.5" thickBot="1" x14ac:dyDescent="0.3">
      <c r="C130" s="294">
        <f t="shared" si="75"/>
        <v>1</v>
      </c>
      <c r="D130" s="115" t="s">
        <v>124</v>
      </c>
      <c r="E130" s="116" t="s">
        <v>49</v>
      </c>
      <c r="F130" s="269">
        <f t="shared" ref="F130:U130" si="82">SUBTOTAL(9,F121:F129)</f>
        <v>355317.88556570827</v>
      </c>
      <c r="G130" s="269">
        <f t="shared" ref="G130:L130" si="83">SUBTOTAL(9,G121:G129)</f>
        <v>7900.2291394337744</v>
      </c>
      <c r="H130" s="269">
        <f t="shared" si="83"/>
        <v>0</v>
      </c>
      <c r="I130" s="269">
        <f t="shared" si="83"/>
        <v>9201.0993072069014</v>
      </c>
      <c r="J130" s="269">
        <f t="shared" si="83"/>
        <v>2508.6000380043979</v>
      </c>
      <c r="K130" s="269">
        <f t="shared" si="83"/>
        <v>326.14023628028968</v>
      </c>
      <c r="L130" s="269">
        <f t="shared" si="83"/>
        <v>0.84227749080176473</v>
      </c>
      <c r="M130" s="269">
        <f t="shared" si="82"/>
        <v>0</v>
      </c>
      <c r="N130" s="269">
        <f t="shared" si="82"/>
        <v>0</v>
      </c>
      <c r="O130" s="269">
        <f>SUBTOTAL(9,O121:O129)</f>
        <v>444.6518702759837</v>
      </c>
      <c r="P130" s="269">
        <f t="shared" si="82"/>
        <v>7419.652167372753</v>
      </c>
      <c r="Q130" s="183">
        <f>SUBTOTAL(9,Q121:Q129)</f>
        <v>383119.10060177324</v>
      </c>
      <c r="R130" s="269">
        <f t="shared" si="82"/>
        <v>0</v>
      </c>
      <c r="S130" s="269">
        <f t="shared" si="82"/>
        <v>28936.232834140166</v>
      </c>
      <c r="T130" s="269">
        <f t="shared" ca="1" si="82"/>
        <v>11898.857058549816</v>
      </c>
      <c r="U130" s="269">
        <f t="shared" ca="1" si="82"/>
        <v>8230.3098328089563</v>
      </c>
    </row>
    <row r="131" spans="3:21" ht="15.75" hidden="1" thickBot="1" x14ac:dyDescent="0.3"/>
    <row r="132" spans="3:21" ht="93.75" x14ac:dyDescent="0.25">
      <c r="C132" s="294">
        <f>IF($E$132&gt;0,1,0)</f>
        <v>1</v>
      </c>
      <c r="D132" s="96" t="str">
        <f>A12</f>
        <v>Chenango</v>
      </c>
      <c r="E132" s="166">
        <f>IFERROR(SUMIF(A:A,D132,B:B),0)</f>
        <v>2.3404746812160262E-3</v>
      </c>
      <c r="F132" s="98" t="s">
        <v>356</v>
      </c>
      <c r="G132" s="98" t="s">
        <v>373</v>
      </c>
      <c r="H132" s="98" t="s">
        <v>358</v>
      </c>
      <c r="I132" s="98" t="s">
        <v>109</v>
      </c>
      <c r="J132" s="98" t="s">
        <v>111</v>
      </c>
      <c r="K132" s="98" t="s">
        <v>469</v>
      </c>
      <c r="L132" s="98" t="s">
        <v>470</v>
      </c>
      <c r="M132" s="98" t="s">
        <v>357</v>
      </c>
      <c r="N132" s="557" t="s">
        <v>471</v>
      </c>
      <c r="O132" s="557" t="s">
        <v>473</v>
      </c>
      <c r="P132" s="98" t="s">
        <v>110</v>
      </c>
      <c r="Q132" s="99" t="s">
        <v>116</v>
      </c>
      <c r="R132" s="98" t="s">
        <v>112</v>
      </c>
      <c r="S132" s="98" t="s">
        <v>113</v>
      </c>
      <c r="T132" s="98" t="s">
        <v>114</v>
      </c>
      <c r="U132" s="98" t="s">
        <v>115</v>
      </c>
    </row>
    <row r="133" spans="3:21" ht="18.75" x14ac:dyDescent="0.25">
      <c r="C133" s="294">
        <f t="shared" ref="C133:C144" si="84">IF($E$132&gt;0,1,0)</f>
        <v>1</v>
      </c>
      <c r="D133" s="101"/>
      <c r="E133" s="102"/>
      <c r="F133" s="84" t="s">
        <v>57</v>
      </c>
      <c r="G133" s="84" t="s">
        <v>56</v>
      </c>
      <c r="H133" s="84" t="s">
        <v>55</v>
      </c>
      <c r="I133" s="84" t="s">
        <v>54</v>
      </c>
      <c r="J133" s="84" t="s">
        <v>53</v>
      </c>
      <c r="K133" s="84" t="s">
        <v>52</v>
      </c>
      <c r="L133" s="84" t="s">
        <v>51</v>
      </c>
      <c r="M133" s="84" t="s">
        <v>50</v>
      </c>
      <c r="N133" s="84" t="s">
        <v>49</v>
      </c>
      <c r="O133" s="84" t="s">
        <v>47</v>
      </c>
      <c r="P133" s="84" t="s">
        <v>77</v>
      </c>
      <c r="Q133" s="84" t="s">
        <v>78</v>
      </c>
      <c r="R133" s="84" t="s">
        <v>79</v>
      </c>
      <c r="S133" s="84" t="s">
        <v>81</v>
      </c>
      <c r="T133" s="84" t="s">
        <v>83</v>
      </c>
      <c r="U133" s="84" t="s">
        <v>85</v>
      </c>
    </row>
    <row r="134" spans="3:21" ht="18.75" x14ac:dyDescent="0.25">
      <c r="C134" s="294">
        <f t="shared" si="84"/>
        <v>1</v>
      </c>
      <c r="D134" s="103" t="s">
        <v>26</v>
      </c>
      <c r="E134" s="122"/>
      <c r="F134" s="123"/>
      <c r="G134" s="123"/>
      <c r="H134" s="107"/>
      <c r="I134" s="107"/>
      <c r="J134" s="107"/>
      <c r="K134" s="107"/>
      <c r="L134" s="107"/>
      <c r="M134" s="123"/>
      <c r="N134" s="107"/>
      <c r="O134" s="107"/>
      <c r="P134" s="107"/>
      <c r="Q134" s="108"/>
      <c r="R134" s="107"/>
      <c r="S134" s="107"/>
      <c r="T134" s="107"/>
      <c r="U134" s="107"/>
    </row>
    <row r="135" spans="3:21" ht="18.75" x14ac:dyDescent="0.25">
      <c r="C135" s="294">
        <f t="shared" si="84"/>
        <v>1</v>
      </c>
      <c r="D135" s="124" t="s">
        <v>105</v>
      </c>
      <c r="E135" s="76" t="s">
        <v>57</v>
      </c>
      <c r="F135" s="176">
        <f t="shared" ref="F135:M135" si="85">F6*$E$132</f>
        <v>165074.59612371793</v>
      </c>
      <c r="G135" s="176">
        <f t="shared" si="85"/>
        <v>3712.0727482142343</v>
      </c>
      <c r="H135" s="176">
        <f t="shared" si="85"/>
        <v>0</v>
      </c>
      <c r="I135" s="176">
        <f t="shared" si="85"/>
        <v>4731.0884153378711</v>
      </c>
      <c r="J135" s="176">
        <f t="shared" si="85"/>
        <v>542.39506035441889</v>
      </c>
      <c r="K135" s="176">
        <f t="shared" si="85"/>
        <v>164.61969739225086</v>
      </c>
      <c r="L135" s="176">
        <f t="shared" si="85"/>
        <v>0</v>
      </c>
      <c r="M135" s="176">
        <f t="shared" si="85"/>
        <v>0</v>
      </c>
      <c r="N135" s="176">
        <f t="shared" ref="N135:U135" si="86">N6*$E$132</f>
        <v>0</v>
      </c>
      <c r="O135" s="176">
        <f>O6*$E$132</f>
        <v>4.6341398688077318</v>
      </c>
      <c r="P135" s="176">
        <f t="shared" si="86"/>
        <v>0</v>
      </c>
      <c r="Q135" s="175">
        <f>SUM(F135:P135)</f>
        <v>174229.40618488551</v>
      </c>
      <c r="R135" s="176">
        <f t="shared" si="86"/>
        <v>0</v>
      </c>
      <c r="S135" s="176">
        <f t="shared" si="86"/>
        <v>13295.677220325193</v>
      </c>
      <c r="T135" s="176">
        <f t="shared" ca="1" si="86"/>
        <v>5659.138424352268</v>
      </c>
      <c r="U135" s="176">
        <f t="shared" ca="1" si="86"/>
        <v>4205.7596590169942</v>
      </c>
    </row>
    <row r="136" spans="3:21" ht="18.75" x14ac:dyDescent="0.25">
      <c r="C136" s="294">
        <f t="shared" si="84"/>
        <v>1</v>
      </c>
      <c r="D136" s="112" t="s">
        <v>31</v>
      </c>
      <c r="E136" s="76"/>
      <c r="F136" s="177"/>
      <c r="G136" s="177"/>
      <c r="H136" s="178"/>
      <c r="I136" s="178"/>
      <c r="J136" s="178"/>
      <c r="K136" s="178"/>
      <c r="L136" s="178"/>
      <c r="M136" s="177"/>
      <c r="N136" s="178"/>
      <c r="O136" s="178"/>
      <c r="P136" s="178"/>
      <c r="Q136" s="179"/>
      <c r="R136" s="178"/>
      <c r="S136" s="178"/>
      <c r="T136" s="178"/>
      <c r="U136" s="178"/>
    </row>
    <row r="137" spans="3:21" ht="18.75" x14ac:dyDescent="0.3">
      <c r="C137" s="294">
        <f t="shared" si="84"/>
        <v>1</v>
      </c>
      <c r="D137" s="113" t="s">
        <v>118</v>
      </c>
      <c r="E137" s="76" t="s">
        <v>56</v>
      </c>
      <c r="F137" s="176">
        <f t="shared" ref="F137:U143" si="87">F8*$E$132</f>
        <v>0</v>
      </c>
      <c r="G137" s="176">
        <f t="shared" ref="G137:L143" si="88">G8*$E$132</f>
        <v>0</v>
      </c>
      <c r="H137" s="176">
        <f t="shared" si="88"/>
        <v>0</v>
      </c>
      <c r="I137" s="176">
        <f t="shared" si="88"/>
        <v>0</v>
      </c>
      <c r="J137" s="176">
        <f t="shared" si="88"/>
        <v>0</v>
      </c>
      <c r="K137" s="176">
        <f t="shared" si="88"/>
        <v>0</v>
      </c>
      <c r="L137" s="176">
        <f t="shared" si="88"/>
        <v>0</v>
      </c>
      <c r="M137" s="176">
        <f t="shared" si="87"/>
        <v>0</v>
      </c>
      <c r="N137" s="176">
        <f t="shared" si="87"/>
        <v>0</v>
      </c>
      <c r="O137" s="176">
        <f t="shared" ref="O137:O143" si="89">O8*$E$132</f>
        <v>0</v>
      </c>
      <c r="P137" s="176">
        <f t="shared" si="87"/>
        <v>0</v>
      </c>
      <c r="Q137" s="175">
        <f t="shared" ref="Q137:Q143" si="90">SUM(F137:P137)</f>
        <v>0</v>
      </c>
      <c r="R137" s="176">
        <f t="shared" si="87"/>
        <v>0</v>
      </c>
      <c r="S137" s="176">
        <f t="shared" si="87"/>
        <v>0</v>
      </c>
      <c r="T137" s="176">
        <f t="shared" si="87"/>
        <v>0</v>
      </c>
      <c r="U137" s="176">
        <f t="shared" si="87"/>
        <v>0</v>
      </c>
    </row>
    <row r="138" spans="3:21" ht="18.75" x14ac:dyDescent="0.3">
      <c r="C138" s="294">
        <f t="shared" si="84"/>
        <v>1</v>
      </c>
      <c r="D138" s="113" t="s">
        <v>119</v>
      </c>
      <c r="E138" s="76" t="s">
        <v>55</v>
      </c>
      <c r="F138" s="176">
        <f t="shared" si="87"/>
        <v>0</v>
      </c>
      <c r="G138" s="176">
        <f t="shared" si="88"/>
        <v>0</v>
      </c>
      <c r="H138" s="176">
        <f t="shared" si="88"/>
        <v>0</v>
      </c>
      <c r="I138" s="176">
        <f t="shared" si="88"/>
        <v>0</v>
      </c>
      <c r="J138" s="176">
        <f t="shared" si="88"/>
        <v>0</v>
      </c>
      <c r="K138" s="176">
        <f t="shared" si="88"/>
        <v>0</v>
      </c>
      <c r="L138" s="176">
        <f t="shared" si="88"/>
        <v>0</v>
      </c>
      <c r="M138" s="176">
        <f t="shared" si="87"/>
        <v>0</v>
      </c>
      <c r="N138" s="176">
        <f t="shared" si="87"/>
        <v>0</v>
      </c>
      <c r="O138" s="176">
        <f t="shared" si="89"/>
        <v>0</v>
      </c>
      <c r="P138" s="176">
        <f t="shared" si="87"/>
        <v>0</v>
      </c>
      <c r="Q138" s="175">
        <f t="shared" si="90"/>
        <v>0</v>
      </c>
      <c r="R138" s="176">
        <f t="shared" si="87"/>
        <v>0</v>
      </c>
      <c r="S138" s="176">
        <f t="shared" si="87"/>
        <v>0</v>
      </c>
      <c r="T138" s="176">
        <f t="shared" si="87"/>
        <v>0</v>
      </c>
      <c r="U138" s="176">
        <f t="shared" si="87"/>
        <v>0</v>
      </c>
    </row>
    <row r="139" spans="3:21" ht="18.75" x14ac:dyDescent="0.3">
      <c r="C139" s="294">
        <f t="shared" si="84"/>
        <v>1</v>
      </c>
      <c r="D139" s="113" t="s">
        <v>120</v>
      </c>
      <c r="E139" s="76" t="s">
        <v>54</v>
      </c>
      <c r="F139" s="176">
        <f t="shared" si="87"/>
        <v>0</v>
      </c>
      <c r="G139" s="176">
        <f t="shared" si="88"/>
        <v>0</v>
      </c>
      <c r="H139" s="176">
        <f t="shared" si="88"/>
        <v>0</v>
      </c>
      <c r="I139" s="176">
        <f t="shared" si="88"/>
        <v>0</v>
      </c>
      <c r="J139" s="176">
        <f t="shared" si="88"/>
        <v>0</v>
      </c>
      <c r="K139" s="176">
        <f t="shared" si="88"/>
        <v>0</v>
      </c>
      <c r="L139" s="176">
        <f t="shared" si="88"/>
        <v>0</v>
      </c>
      <c r="M139" s="176">
        <f t="shared" si="87"/>
        <v>0</v>
      </c>
      <c r="N139" s="176">
        <f t="shared" si="87"/>
        <v>0</v>
      </c>
      <c r="O139" s="176">
        <f t="shared" si="89"/>
        <v>0</v>
      </c>
      <c r="P139" s="176">
        <f t="shared" si="87"/>
        <v>0</v>
      </c>
      <c r="Q139" s="175">
        <f t="shared" si="90"/>
        <v>0</v>
      </c>
      <c r="R139" s="176">
        <f t="shared" si="87"/>
        <v>0</v>
      </c>
      <c r="S139" s="176">
        <f t="shared" si="87"/>
        <v>0</v>
      </c>
      <c r="T139" s="176">
        <f t="shared" si="87"/>
        <v>0</v>
      </c>
      <c r="U139" s="176">
        <f t="shared" si="87"/>
        <v>0</v>
      </c>
    </row>
    <row r="140" spans="3:21" ht="18.75" x14ac:dyDescent="0.3">
      <c r="C140" s="294">
        <f t="shared" si="84"/>
        <v>1</v>
      </c>
      <c r="D140" s="113" t="s">
        <v>121</v>
      </c>
      <c r="E140" s="76" t="s">
        <v>53</v>
      </c>
      <c r="F140" s="176">
        <f t="shared" si="87"/>
        <v>0</v>
      </c>
      <c r="G140" s="176">
        <f t="shared" si="88"/>
        <v>0</v>
      </c>
      <c r="H140" s="176">
        <f t="shared" si="88"/>
        <v>0</v>
      </c>
      <c r="I140" s="176">
        <f t="shared" si="88"/>
        <v>0</v>
      </c>
      <c r="J140" s="176">
        <f t="shared" si="88"/>
        <v>0</v>
      </c>
      <c r="K140" s="176">
        <f t="shared" si="88"/>
        <v>0</v>
      </c>
      <c r="L140" s="176">
        <f t="shared" si="88"/>
        <v>0</v>
      </c>
      <c r="M140" s="176">
        <f t="shared" si="87"/>
        <v>0</v>
      </c>
      <c r="N140" s="176">
        <f t="shared" si="87"/>
        <v>0</v>
      </c>
      <c r="O140" s="176">
        <f t="shared" si="89"/>
        <v>0</v>
      </c>
      <c r="P140" s="176">
        <f t="shared" si="87"/>
        <v>0</v>
      </c>
      <c r="Q140" s="175">
        <f t="shared" si="90"/>
        <v>0</v>
      </c>
      <c r="R140" s="176">
        <f t="shared" si="87"/>
        <v>0</v>
      </c>
      <c r="S140" s="176">
        <f t="shared" si="87"/>
        <v>0</v>
      </c>
      <c r="T140" s="176">
        <f t="shared" si="87"/>
        <v>0</v>
      </c>
      <c r="U140" s="176">
        <f t="shared" si="87"/>
        <v>0</v>
      </c>
    </row>
    <row r="141" spans="3:21" ht="18.75" x14ac:dyDescent="0.3">
      <c r="C141" s="294">
        <f t="shared" si="84"/>
        <v>1</v>
      </c>
      <c r="D141" s="113" t="s">
        <v>122</v>
      </c>
      <c r="E141" s="76" t="s">
        <v>52</v>
      </c>
      <c r="F141" s="176">
        <f t="shared" si="87"/>
        <v>0</v>
      </c>
      <c r="G141" s="176">
        <f t="shared" si="88"/>
        <v>0</v>
      </c>
      <c r="H141" s="176">
        <f t="shared" si="88"/>
        <v>0</v>
      </c>
      <c r="I141" s="176">
        <f t="shared" si="88"/>
        <v>0</v>
      </c>
      <c r="J141" s="176">
        <f t="shared" si="88"/>
        <v>0</v>
      </c>
      <c r="K141" s="176">
        <f t="shared" si="88"/>
        <v>0</v>
      </c>
      <c r="L141" s="176">
        <f t="shared" si="88"/>
        <v>0</v>
      </c>
      <c r="M141" s="176">
        <f t="shared" si="87"/>
        <v>0</v>
      </c>
      <c r="N141" s="176">
        <f t="shared" si="87"/>
        <v>0</v>
      </c>
      <c r="O141" s="176">
        <f t="shared" si="89"/>
        <v>0</v>
      </c>
      <c r="P141" s="176">
        <f t="shared" si="87"/>
        <v>0</v>
      </c>
      <c r="Q141" s="175">
        <f t="shared" si="90"/>
        <v>0</v>
      </c>
      <c r="R141" s="176">
        <f t="shared" si="87"/>
        <v>0</v>
      </c>
      <c r="S141" s="176">
        <f t="shared" si="87"/>
        <v>0</v>
      </c>
      <c r="T141" s="176">
        <f t="shared" si="87"/>
        <v>0</v>
      </c>
      <c r="U141" s="176">
        <f t="shared" si="87"/>
        <v>0</v>
      </c>
    </row>
    <row r="142" spans="3:21" ht="18.75" x14ac:dyDescent="0.3">
      <c r="C142" s="294">
        <f t="shared" si="84"/>
        <v>1</v>
      </c>
      <c r="D142" s="125" t="s">
        <v>123</v>
      </c>
      <c r="E142" s="76" t="s">
        <v>51</v>
      </c>
      <c r="F142" s="176">
        <f t="shared" si="87"/>
        <v>0</v>
      </c>
      <c r="G142" s="176">
        <f t="shared" si="88"/>
        <v>0</v>
      </c>
      <c r="H142" s="176">
        <f t="shared" si="88"/>
        <v>0</v>
      </c>
      <c r="I142" s="176">
        <f t="shared" si="88"/>
        <v>0</v>
      </c>
      <c r="J142" s="176">
        <f t="shared" si="88"/>
        <v>0</v>
      </c>
      <c r="K142" s="176">
        <f t="shared" si="88"/>
        <v>0</v>
      </c>
      <c r="L142" s="176">
        <f t="shared" si="88"/>
        <v>0</v>
      </c>
      <c r="M142" s="176">
        <f t="shared" si="87"/>
        <v>0</v>
      </c>
      <c r="N142" s="176">
        <f t="shared" si="87"/>
        <v>0</v>
      </c>
      <c r="O142" s="176">
        <f t="shared" si="89"/>
        <v>0</v>
      </c>
      <c r="P142" s="176">
        <f t="shared" si="87"/>
        <v>0</v>
      </c>
      <c r="Q142" s="175">
        <f t="shared" si="90"/>
        <v>0</v>
      </c>
      <c r="R142" s="176">
        <f t="shared" si="87"/>
        <v>0</v>
      </c>
      <c r="S142" s="176">
        <f t="shared" si="87"/>
        <v>0</v>
      </c>
      <c r="T142" s="176">
        <f t="shared" si="87"/>
        <v>0</v>
      </c>
      <c r="U142" s="176">
        <f t="shared" si="87"/>
        <v>0</v>
      </c>
    </row>
    <row r="143" spans="3:21" ht="19.5" thickBot="1" x14ac:dyDescent="0.35">
      <c r="C143" s="294">
        <f t="shared" si="84"/>
        <v>1</v>
      </c>
      <c r="D143" s="114" t="s">
        <v>16</v>
      </c>
      <c r="E143" s="70" t="s">
        <v>50</v>
      </c>
      <c r="F143" s="176">
        <f t="shared" si="87"/>
        <v>17625.348310700829</v>
      </c>
      <c r="G143" s="176">
        <f t="shared" si="88"/>
        <v>350.12474712351911</v>
      </c>
      <c r="H143" s="176">
        <f t="shared" si="88"/>
        <v>0</v>
      </c>
      <c r="I143" s="176">
        <f t="shared" si="88"/>
        <v>0</v>
      </c>
      <c r="J143" s="176">
        <f t="shared" si="88"/>
        <v>747.49522147556206</v>
      </c>
      <c r="K143" s="176">
        <f t="shared" si="88"/>
        <v>3.0774703182049845</v>
      </c>
      <c r="L143" s="176">
        <f t="shared" si="88"/>
        <v>0.43308838935265642</v>
      </c>
      <c r="M143" s="176">
        <f t="shared" si="87"/>
        <v>0</v>
      </c>
      <c r="N143" s="176">
        <f t="shared" si="87"/>
        <v>0</v>
      </c>
      <c r="O143" s="176">
        <f t="shared" si="89"/>
        <v>224.00020501575182</v>
      </c>
      <c r="P143" s="176">
        <f t="shared" si="87"/>
        <v>3815.0909193425155</v>
      </c>
      <c r="Q143" s="175">
        <f t="shared" si="90"/>
        <v>22765.569962365731</v>
      </c>
      <c r="R143" s="176">
        <f t="shared" si="87"/>
        <v>0</v>
      </c>
      <c r="S143" s="176">
        <f t="shared" si="87"/>
        <v>1582.9662302341303</v>
      </c>
      <c r="T143" s="176">
        <f t="shared" ca="1" si="87"/>
        <v>459.10276682504451</v>
      </c>
      <c r="U143" s="176">
        <f t="shared" ca="1" si="87"/>
        <v>26.161137027973133</v>
      </c>
    </row>
    <row r="144" spans="3:21" ht="19.5" thickBot="1" x14ac:dyDescent="0.3">
      <c r="C144" s="294">
        <f t="shared" si="84"/>
        <v>1</v>
      </c>
      <c r="D144" s="115" t="s">
        <v>124</v>
      </c>
      <c r="E144" s="116" t="s">
        <v>49</v>
      </c>
      <c r="F144" s="269">
        <f t="shared" ref="F144:U144" si="91">SUBTOTAL(9,F135:F143)</f>
        <v>182699.94443441875</v>
      </c>
      <c r="G144" s="269">
        <f t="shared" ref="G144:L144" si="92">SUBTOTAL(9,G135:G143)</f>
        <v>4062.1974953377535</v>
      </c>
      <c r="H144" s="269">
        <f t="shared" si="92"/>
        <v>0</v>
      </c>
      <c r="I144" s="269">
        <f t="shared" si="92"/>
        <v>4731.0884153378711</v>
      </c>
      <c r="J144" s="269">
        <f t="shared" si="92"/>
        <v>1289.8902818299809</v>
      </c>
      <c r="K144" s="269">
        <f t="shared" si="92"/>
        <v>167.69716771045583</v>
      </c>
      <c r="L144" s="269">
        <f t="shared" si="92"/>
        <v>0.43308838935265642</v>
      </c>
      <c r="M144" s="269">
        <f t="shared" si="91"/>
        <v>0</v>
      </c>
      <c r="N144" s="269">
        <f t="shared" si="91"/>
        <v>0</v>
      </c>
      <c r="O144" s="269">
        <f>SUBTOTAL(9,O135:O143)</f>
        <v>228.63434488455954</v>
      </c>
      <c r="P144" s="269">
        <f t="shared" si="91"/>
        <v>3815.0909193425155</v>
      </c>
      <c r="Q144" s="183">
        <f>SUBTOTAL(9,Q135:Q143)</f>
        <v>196994.97614725123</v>
      </c>
      <c r="R144" s="269">
        <f t="shared" si="91"/>
        <v>0</v>
      </c>
      <c r="S144" s="269">
        <f t="shared" si="91"/>
        <v>14878.643450559324</v>
      </c>
      <c r="T144" s="269">
        <f t="shared" ca="1" si="91"/>
        <v>6118.2411911773124</v>
      </c>
      <c r="U144" s="269">
        <f t="shared" ca="1" si="91"/>
        <v>4231.9207960449676</v>
      </c>
    </row>
    <row r="145" spans="3:21" ht="15.75" hidden="1" thickBot="1" x14ac:dyDescent="0.3"/>
    <row r="146" spans="3:21" ht="93.75" x14ac:dyDescent="0.25">
      <c r="C146" s="294">
        <f>IF($E$146&gt;0,1,0)</f>
        <v>1</v>
      </c>
      <c r="D146" s="96" t="str">
        <f>A13</f>
        <v>Clinton</v>
      </c>
      <c r="E146" s="166">
        <f>IFERROR(SUMIF(A:A,D146,B:B),0)</f>
        <v>1.9496030722264293E-3</v>
      </c>
      <c r="F146" s="98" t="s">
        <v>356</v>
      </c>
      <c r="G146" s="98" t="s">
        <v>373</v>
      </c>
      <c r="H146" s="98" t="s">
        <v>358</v>
      </c>
      <c r="I146" s="98" t="s">
        <v>109</v>
      </c>
      <c r="J146" s="98" t="s">
        <v>111</v>
      </c>
      <c r="K146" s="98" t="s">
        <v>469</v>
      </c>
      <c r="L146" s="98" t="s">
        <v>470</v>
      </c>
      <c r="M146" s="98" t="s">
        <v>357</v>
      </c>
      <c r="N146" s="557" t="s">
        <v>471</v>
      </c>
      <c r="O146" s="557" t="s">
        <v>473</v>
      </c>
      <c r="P146" s="98" t="s">
        <v>110</v>
      </c>
      <c r="Q146" s="99" t="s">
        <v>116</v>
      </c>
      <c r="R146" s="98" t="s">
        <v>112</v>
      </c>
      <c r="S146" s="98" t="s">
        <v>113</v>
      </c>
      <c r="T146" s="98" t="s">
        <v>114</v>
      </c>
      <c r="U146" s="98" t="s">
        <v>115</v>
      </c>
    </row>
    <row r="147" spans="3:21" ht="18.75" x14ac:dyDescent="0.25">
      <c r="C147" s="294">
        <f t="shared" ref="C147:C158" si="93">IF($E$146&gt;0,1,0)</f>
        <v>1</v>
      </c>
      <c r="D147" s="101"/>
      <c r="E147" s="102"/>
      <c r="F147" s="84" t="s">
        <v>57</v>
      </c>
      <c r="G147" s="84" t="s">
        <v>56</v>
      </c>
      <c r="H147" s="84" t="s">
        <v>55</v>
      </c>
      <c r="I147" s="84" t="s">
        <v>54</v>
      </c>
      <c r="J147" s="84" t="s">
        <v>53</v>
      </c>
      <c r="K147" s="84" t="s">
        <v>52</v>
      </c>
      <c r="L147" s="84" t="s">
        <v>51</v>
      </c>
      <c r="M147" s="84" t="s">
        <v>50</v>
      </c>
      <c r="N147" s="84" t="s">
        <v>49</v>
      </c>
      <c r="O147" s="84" t="s">
        <v>47</v>
      </c>
      <c r="P147" s="84" t="s">
        <v>77</v>
      </c>
      <c r="Q147" s="84" t="s">
        <v>78</v>
      </c>
      <c r="R147" s="84" t="s">
        <v>79</v>
      </c>
      <c r="S147" s="84" t="s">
        <v>81</v>
      </c>
      <c r="T147" s="84" t="s">
        <v>83</v>
      </c>
      <c r="U147" s="84" t="s">
        <v>85</v>
      </c>
    </row>
    <row r="148" spans="3:21" ht="18.75" x14ac:dyDescent="0.25">
      <c r="C148" s="294">
        <f t="shared" si="93"/>
        <v>1</v>
      </c>
      <c r="D148" s="103" t="s">
        <v>26</v>
      </c>
      <c r="E148" s="122"/>
      <c r="F148" s="123"/>
      <c r="G148" s="123"/>
      <c r="H148" s="107"/>
      <c r="I148" s="107"/>
      <c r="J148" s="107"/>
      <c r="K148" s="107"/>
      <c r="L148" s="107"/>
      <c r="M148" s="123"/>
      <c r="N148" s="107"/>
      <c r="O148" s="107"/>
      <c r="P148" s="107"/>
      <c r="Q148" s="108"/>
      <c r="R148" s="107"/>
      <c r="S148" s="107"/>
      <c r="T148" s="107"/>
      <c r="U148" s="107"/>
    </row>
    <row r="149" spans="3:21" ht="18.75" x14ac:dyDescent="0.25">
      <c r="C149" s="294">
        <f t="shared" si="93"/>
        <v>1</v>
      </c>
      <c r="D149" s="124" t="s">
        <v>105</v>
      </c>
      <c r="E149" s="76" t="s">
        <v>57</v>
      </c>
      <c r="F149" s="176">
        <f t="shared" ref="F149:M149" si="94">F6*$E$146</f>
        <v>137506.26842163756</v>
      </c>
      <c r="G149" s="176">
        <f t="shared" si="94"/>
        <v>3092.1370320000024</v>
      </c>
      <c r="H149" s="176">
        <f t="shared" si="94"/>
        <v>0</v>
      </c>
      <c r="I149" s="176">
        <f t="shared" si="94"/>
        <v>3940.9717112279368</v>
      </c>
      <c r="J149" s="176">
        <f t="shared" si="94"/>
        <v>451.812226175418</v>
      </c>
      <c r="K149" s="176">
        <f t="shared" si="94"/>
        <v>137.12734017621031</v>
      </c>
      <c r="L149" s="176">
        <f t="shared" si="94"/>
        <v>0</v>
      </c>
      <c r="M149" s="176">
        <f t="shared" si="94"/>
        <v>0</v>
      </c>
      <c r="N149" s="176">
        <f t="shared" ref="N149:U149" si="95">N6*$E$146</f>
        <v>0</v>
      </c>
      <c r="O149" s="176">
        <f>O6*$E$146</f>
        <v>3.86021408300833</v>
      </c>
      <c r="P149" s="176">
        <f t="shared" si="95"/>
        <v>0</v>
      </c>
      <c r="Q149" s="175">
        <f>SUM(F149:P149)</f>
        <v>145132.17694530013</v>
      </c>
      <c r="R149" s="176">
        <f t="shared" si="95"/>
        <v>0</v>
      </c>
      <c r="S149" s="176">
        <f t="shared" si="95"/>
        <v>11075.229039695991</v>
      </c>
      <c r="T149" s="176">
        <f t="shared" ca="1" si="95"/>
        <v>4714.032476753574</v>
      </c>
      <c r="U149" s="176">
        <f t="shared" ca="1" si="95"/>
        <v>3503.3756263517089</v>
      </c>
    </row>
    <row r="150" spans="3:21" ht="18.75" x14ac:dyDescent="0.25">
      <c r="C150" s="294">
        <f t="shared" si="93"/>
        <v>1</v>
      </c>
      <c r="D150" s="112" t="s">
        <v>31</v>
      </c>
      <c r="E150" s="76"/>
      <c r="F150" s="177"/>
      <c r="G150" s="177"/>
      <c r="H150" s="178"/>
      <c r="I150" s="178"/>
      <c r="J150" s="178"/>
      <c r="K150" s="178"/>
      <c r="L150" s="178"/>
      <c r="M150" s="177"/>
      <c r="N150" s="178"/>
      <c r="O150" s="178"/>
      <c r="P150" s="178"/>
      <c r="Q150" s="179"/>
      <c r="R150" s="178"/>
      <c r="S150" s="178"/>
      <c r="T150" s="178"/>
      <c r="U150" s="178"/>
    </row>
    <row r="151" spans="3:21" ht="18.75" x14ac:dyDescent="0.3">
      <c r="C151" s="294">
        <f t="shared" si="93"/>
        <v>1</v>
      </c>
      <c r="D151" s="113" t="s">
        <v>118</v>
      </c>
      <c r="E151" s="76" t="s">
        <v>56</v>
      </c>
      <c r="F151" s="176">
        <f t="shared" ref="F151:U157" si="96">F8*$E$146</f>
        <v>0</v>
      </c>
      <c r="G151" s="176">
        <f t="shared" ref="G151:L157" si="97">G8*$E$146</f>
        <v>0</v>
      </c>
      <c r="H151" s="176">
        <f t="shared" si="97"/>
        <v>0</v>
      </c>
      <c r="I151" s="176">
        <f t="shared" si="97"/>
        <v>0</v>
      </c>
      <c r="J151" s="176">
        <f t="shared" si="97"/>
        <v>0</v>
      </c>
      <c r="K151" s="176">
        <f t="shared" si="97"/>
        <v>0</v>
      </c>
      <c r="L151" s="176">
        <f t="shared" si="97"/>
        <v>0</v>
      </c>
      <c r="M151" s="176">
        <f t="shared" si="96"/>
        <v>0</v>
      </c>
      <c r="N151" s="176">
        <f t="shared" si="96"/>
        <v>0</v>
      </c>
      <c r="O151" s="176">
        <f t="shared" ref="O151:O157" si="98">O8*$E$146</f>
        <v>0</v>
      </c>
      <c r="P151" s="176">
        <f t="shared" si="96"/>
        <v>0</v>
      </c>
      <c r="Q151" s="175">
        <f t="shared" ref="Q151:Q157" si="99">SUM(F151:P151)</f>
        <v>0</v>
      </c>
      <c r="R151" s="176">
        <f t="shared" si="96"/>
        <v>0</v>
      </c>
      <c r="S151" s="176">
        <f t="shared" si="96"/>
        <v>0</v>
      </c>
      <c r="T151" s="176">
        <f t="shared" si="96"/>
        <v>0</v>
      </c>
      <c r="U151" s="176">
        <f t="shared" si="96"/>
        <v>0</v>
      </c>
    </row>
    <row r="152" spans="3:21" ht="18.75" x14ac:dyDescent="0.3">
      <c r="C152" s="294">
        <f t="shared" si="93"/>
        <v>1</v>
      </c>
      <c r="D152" s="113" t="s">
        <v>119</v>
      </c>
      <c r="E152" s="76" t="s">
        <v>55</v>
      </c>
      <c r="F152" s="176">
        <f t="shared" si="96"/>
        <v>0</v>
      </c>
      <c r="G152" s="176">
        <f t="shared" si="97"/>
        <v>0</v>
      </c>
      <c r="H152" s="176">
        <f t="shared" si="97"/>
        <v>0</v>
      </c>
      <c r="I152" s="176">
        <f t="shared" si="97"/>
        <v>0</v>
      </c>
      <c r="J152" s="176">
        <f t="shared" si="97"/>
        <v>0</v>
      </c>
      <c r="K152" s="176">
        <f t="shared" si="97"/>
        <v>0</v>
      </c>
      <c r="L152" s="176">
        <f t="shared" si="97"/>
        <v>0</v>
      </c>
      <c r="M152" s="176">
        <f t="shared" si="96"/>
        <v>0</v>
      </c>
      <c r="N152" s="176">
        <f t="shared" si="96"/>
        <v>0</v>
      </c>
      <c r="O152" s="176">
        <f t="shared" si="98"/>
        <v>0</v>
      </c>
      <c r="P152" s="176">
        <f t="shared" si="96"/>
        <v>0</v>
      </c>
      <c r="Q152" s="175">
        <f t="shared" si="99"/>
        <v>0</v>
      </c>
      <c r="R152" s="176">
        <f t="shared" si="96"/>
        <v>0</v>
      </c>
      <c r="S152" s="176">
        <f t="shared" si="96"/>
        <v>0</v>
      </c>
      <c r="T152" s="176">
        <f t="shared" si="96"/>
        <v>0</v>
      </c>
      <c r="U152" s="176">
        <f t="shared" si="96"/>
        <v>0</v>
      </c>
    </row>
    <row r="153" spans="3:21" ht="18.75" x14ac:dyDescent="0.3">
      <c r="C153" s="294">
        <f t="shared" si="93"/>
        <v>1</v>
      </c>
      <c r="D153" s="113" t="s">
        <v>120</v>
      </c>
      <c r="E153" s="76" t="s">
        <v>54</v>
      </c>
      <c r="F153" s="176">
        <f t="shared" si="96"/>
        <v>0</v>
      </c>
      <c r="G153" s="176">
        <f t="shared" si="97"/>
        <v>0</v>
      </c>
      <c r="H153" s="176">
        <f t="shared" si="97"/>
        <v>0</v>
      </c>
      <c r="I153" s="176">
        <f t="shared" si="97"/>
        <v>0</v>
      </c>
      <c r="J153" s="176">
        <f t="shared" si="97"/>
        <v>0</v>
      </c>
      <c r="K153" s="176">
        <f t="shared" si="97"/>
        <v>0</v>
      </c>
      <c r="L153" s="176">
        <f t="shared" si="97"/>
        <v>0</v>
      </c>
      <c r="M153" s="176">
        <f t="shared" si="96"/>
        <v>0</v>
      </c>
      <c r="N153" s="176">
        <f t="shared" si="96"/>
        <v>0</v>
      </c>
      <c r="O153" s="176">
        <f t="shared" si="98"/>
        <v>0</v>
      </c>
      <c r="P153" s="176">
        <f t="shared" si="96"/>
        <v>0</v>
      </c>
      <c r="Q153" s="175">
        <f t="shared" si="99"/>
        <v>0</v>
      </c>
      <c r="R153" s="176">
        <f t="shared" si="96"/>
        <v>0</v>
      </c>
      <c r="S153" s="176">
        <f t="shared" si="96"/>
        <v>0</v>
      </c>
      <c r="T153" s="176">
        <f t="shared" si="96"/>
        <v>0</v>
      </c>
      <c r="U153" s="176">
        <f t="shared" si="96"/>
        <v>0</v>
      </c>
    </row>
    <row r="154" spans="3:21" ht="18.75" x14ac:dyDescent="0.3">
      <c r="C154" s="294">
        <f t="shared" si="93"/>
        <v>1</v>
      </c>
      <c r="D154" s="113" t="s">
        <v>121</v>
      </c>
      <c r="E154" s="76" t="s">
        <v>53</v>
      </c>
      <c r="F154" s="176">
        <f t="shared" si="96"/>
        <v>0</v>
      </c>
      <c r="G154" s="176">
        <f t="shared" si="97"/>
        <v>0</v>
      </c>
      <c r="H154" s="176">
        <f t="shared" si="97"/>
        <v>0</v>
      </c>
      <c r="I154" s="176">
        <f t="shared" si="97"/>
        <v>0</v>
      </c>
      <c r="J154" s="176">
        <f t="shared" si="97"/>
        <v>0</v>
      </c>
      <c r="K154" s="176">
        <f t="shared" si="97"/>
        <v>0</v>
      </c>
      <c r="L154" s="176">
        <f t="shared" si="97"/>
        <v>0</v>
      </c>
      <c r="M154" s="176">
        <f t="shared" si="96"/>
        <v>0</v>
      </c>
      <c r="N154" s="176">
        <f t="shared" si="96"/>
        <v>0</v>
      </c>
      <c r="O154" s="176">
        <f t="shared" si="98"/>
        <v>0</v>
      </c>
      <c r="P154" s="176">
        <f t="shared" si="96"/>
        <v>0</v>
      </c>
      <c r="Q154" s="175">
        <f t="shared" si="99"/>
        <v>0</v>
      </c>
      <c r="R154" s="176">
        <f t="shared" si="96"/>
        <v>0</v>
      </c>
      <c r="S154" s="176">
        <f t="shared" si="96"/>
        <v>0</v>
      </c>
      <c r="T154" s="176">
        <f t="shared" si="96"/>
        <v>0</v>
      </c>
      <c r="U154" s="176">
        <f t="shared" si="96"/>
        <v>0</v>
      </c>
    </row>
    <row r="155" spans="3:21" ht="18.75" x14ac:dyDescent="0.3">
      <c r="C155" s="294">
        <f t="shared" si="93"/>
        <v>1</v>
      </c>
      <c r="D155" s="113" t="s">
        <v>122</v>
      </c>
      <c r="E155" s="76" t="s">
        <v>52</v>
      </c>
      <c r="F155" s="176">
        <f t="shared" si="96"/>
        <v>0</v>
      </c>
      <c r="G155" s="176">
        <f t="shared" si="97"/>
        <v>0</v>
      </c>
      <c r="H155" s="176">
        <f t="shared" si="97"/>
        <v>0</v>
      </c>
      <c r="I155" s="176">
        <f t="shared" si="97"/>
        <v>0</v>
      </c>
      <c r="J155" s="176">
        <f t="shared" si="97"/>
        <v>0</v>
      </c>
      <c r="K155" s="176">
        <f t="shared" si="97"/>
        <v>0</v>
      </c>
      <c r="L155" s="176">
        <f t="shared" si="97"/>
        <v>0</v>
      </c>
      <c r="M155" s="176">
        <f t="shared" si="96"/>
        <v>0</v>
      </c>
      <c r="N155" s="176">
        <f t="shared" si="96"/>
        <v>0</v>
      </c>
      <c r="O155" s="176">
        <f t="shared" si="98"/>
        <v>0</v>
      </c>
      <c r="P155" s="176">
        <f t="shared" si="96"/>
        <v>0</v>
      </c>
      <c r="Q155" s="175">
        <f t="shared" si="99"/>
        <v>0</v>
      </c>
      <c r="R155" s="176">
        <f t="shared" si="96"/>
        <v>0</v>
      </c>
      <c r="S155" s="176">
        <f t="shared" si="96"/>
        <v>0</v>
      </c>
      <c r="T155" s="176">
        <f t="shared" si="96"/>
        <v>0</v>
      </c>
      <c r="U155" s="176">
        <f t="shared" si="96"/>
        <v>0</v>
      </c>
    </row>
    <row r="156" spans="3:21" ht="18.75" x14ac:dyDescent="0.3">
      <c r="C156" s="294">
        <f t="shared" si="93"/>
        <v>1</v>
      </c>
      <c r="D156" s="125" t="s">
        <v>123</v>
      </c>
      <c r="E156" s="76" t="s">
        <v>51</v>
      </c>
      <c r="F156" s="176">
        <f t="shared" si="96"/>
        <v>0</v>
      </c>
      <c r="G156" s="176">
        <f t="shared" si="97"/>
        <v>0</v>
      </c>
      <c r="H156" s="176">
        <f t="shared" si="97"/>
        <v>0</v>
      </c>
      <c r="I156" s="176">
        <f t="shared" si="97"/>
        <v>0</v>
      </c>
      <c r="J156" s="176">
        <f t="shared" si="97"/>
        <v>0</v>
      </c>
      <c r="K156" s="176">
        <f t="shared" si="97"/>
        <v>0</v>
      </c>
      <c r="L156" s="176">
        <f t="shared" si="97"/>
        <v>0</v>
      </c>
      <c r="M156" s="176">
        <f t="shared" si="96"/>
        <v>0</v>
      </c>
      <c r="N156" s="176">
        <f t="shared" si="96"/>
        <v>0</v>
      </c>
      <c r="O156" s="176">
        <f t="shared" si="98"/>
        <v>0</v>
      </c>
      <c r="P156" s="176">
        <f t="shared" si="96"/>
        <v>0</v>
      </c>
      <c r="Q156" s="175">
        <f t="shared" si="99"/>
        <v>0</v>
      </c>
      <c r="R156" s="176">
        <f t="shared" si="96"/>
        <v>0</v>
      </c>
      <c r="S156" s="176">
        <f t="shared" si="96"/>
        <v>0</v>
      </c>
      <c r="T156" s="176">
        <f t="shared" si="96"/>
        <v>0</v>
      </c>
      <c r="U156" s="176">
        <f t="shared" si="96"/>
        <v>0</v>
      </c>
    </row>
    <row r="157" spans="3:21" ht="19.5" thickBot="1" x14ac:dyDescent="0.35">
      <c r="C157" s="294">
        <f t="shared" si="93"/>
        <v>1</v>
      </c>
      <c r="D157" s="114" t="s">
        <v>16</v>
      </c>
      <c r="E157" s="70" t="s">
        <v>50</v>
      </c>
      <c r="F157" s="176">
        <f t="shared" si="96"/>
        <v>14681.822235201349</v>
      </c>
      <c r="G157" s="176">
        <f t="shared" si="97"/>
        <v>291.65206875891431</v>
      </c>
      <c r="H157" s="176">
        <f t="shared" si="97"/>
        <v>0</v>
      </c>
      <c r="I157" s="176">
        <f t="shared" si="97"/>
        <v>0</v>
      </c>
      <c r="J157" s="176">
        <f t="shared" si="97"/>
        <v>622.65957925516227</v>
      </c>
      <c r="K157" s="176">
        <f t="shared" si="97"/>
        <v>2.5635165529501824</v>
      </c>
      <c r="L157" s="176">
        <f t="shared" si="97"/>
        <v>0.36076034541370938</v>
      </c>
      <c r="M157" s="176">
        <f t="shared" si="96"/>
        <v>0</v>
      </c>
      <c r="N157" s="176">
        <f t="shared" si="96"/>
        <v>0</v>
      </c>
      <c r="O157" s="176">
        <f t="shared" si="98"/>
        <v>186.59099001710209</v>
      </c>
      <c r="P157" s="176">
        <f t="shared" si="96"/>
        <v>3177.9506255153547</v>
      </c>
      <c r="Q157" s="175">
        <f t="shared" si="99"/>
        <v>18963.599775646246</v>
      </c>
      <c r="R157" s="176">
        <f t="shared" si="96"/>
        <v>0</v>
      </c>
      <c r="S157" s="176">
        <f t="shared" si="96"/>
        <v>1318.6025255747243</v>
      </c>
      <c r="T157" s="176">
        <f t="shared" ca="1" si="96"/>
        <v>382.43018471992855</v>
      </c>
      <c r="U157" s="176">
        <f t="shared" ca="1" si="96"/>
        <v>21.792089242415248</v>
      </c>
    </row>
    <row r="158" spans="3:21" ht="19.5" thickBot="1" x14ac:dyDescent="0.3">
      <c r="C158" s="294">
        <f t="shared" si="93"/>
        <v>1</v>
      </c>
      <c r="D158" s="115" t="s">
        <v>124</v>
      </c>
      <c r="E158" s="116" t="s">
        <v>49</v>
      </c>
      <c r="F158" s="269">
        <f t="shared" ref="F158:U158" si="100">SUBTOTAL(9,F149:F157)</f>
        <v>152188.0906568389</v>
      </c>
      <c r="G158" s="269">
        <f t="shared" ref="G158:L158" si="101">SUBTOTAL(9,G149:G157)</f>
        <v>3383.7891007589169</v>
      </c>
      <c r="H158" s="269">
        <f t="shared" si="101"/>
        <v>0</v>
      </c>
      <c r="I158" s="269">
        <f t="shared" si="101"/>
        <v>3940.9717112279368</v>
      </c>
      <c r="J158" s="269">
        <f t="shared" si="101"/>
        <v>1074.4718054305804</v>
      </c>
      <c r="K158" s="269">
        <f t="shared" si="101"/>
        <v>139.69085672916049</v>
      </c>
      <c r="L158" s="269">
        <f t="shared" si="101"/>
        <v>0.36076034541370938</v>
      </c>
      <c r="M158" s="269">
        <f t="shared" si="100"/>
        <v>0</v>
      </c>
      <c r="N158" s="269">
        <f t="shared" si="100"/>
        <v>0</v>
      </c>
      <c r="O158" s="269">
        <f>SUBTOTAL(9,O149:O157)</f>
        <v>190.45120410011043</v>
      </c>
      <c r="P158" s="269">
        <f t="shared" si="100"/>
        <v>3177.9506255153547</v>
      </c>
      <c r="Q158" s="183">
        <f>SUBTOTAL(9,Q149:Q157)</f>
        <v>164095.77672094636</v>
      </c>
      <c r="R158" s="269">
        <f t="shared" si="100"/>
        <v>0</v>
      </c>
      <c r="S158" s="269">
        <f t="shared" si="100"/>
        <v>12393.831565270715</v>
      </c>
      <c r="T158" s="269">
        <f t="shared" ca="1" si="100"/>
        <v>5096.4626614735025</v>
      </c>
      <c r="U158" s="269">
        <f t="shared" ca="1" si="100"/>
        <v>3525.1677155941243</v>
      </c>
    </row>
    <row r="159" spans="3:21" ht="15.75" hidden="1" thickBot="1" x14ac:dyDescent="0.3"/>
    <row r="160" spans="3:21" ht="93.75" x14ac:dyDescent="0.25">
      <c r="C160" s="294">
        <f>IF($E$160&gt;0,1,0)</f>
        <v>1</v>
      </c>
      <c r="D160" s="96" t="str">
        <f>A14</f>
        <v>Columbia</v>
      </c>
      <c r="E160" s="166">
        <f>IFERROR(SUMIF(A:A,D160,B:B),0)</f>
        <v>5.0344880099186158E-4</v>
      </c>
      <c r="F160" s="98" t="s">
        <v>356</v>
      </c>
      <c r="G160" s="98" t="s">
        <v>373</v>
      </c>
      <c r="H160" s="98" t="s">
        <v>358</v>
      </c>
      <c r="I160" s="98" t="s">
        <v>109</v>
      </c>
      <c r="J160" s="98" t="s">
        <v>111</v>
      </c>
      <c r="K160" s="98" t="s">
        <v>469</v>
      </c>
      <c r="L160" s="98" t="s">
        <v>470</v>
      </c>
      <c r="M160" s="98" t="s">
        <v>357</v>
      </c>
      <c r="N160" s="557" t="s">
        <v>471</v>
      </c>
      <c r="O160" s="557" t="s">
        <v>473</v>
      </c>
      <c r="P160" s="98" t="s">
        <v>110</v>
      </c>
      <c r="Q160" s="99" t="s">
        <v>116</v>
      </c>
      <c r="R160" s="98" t="s">
        <v>112</v>
      </c>
      <c r="S160" s="98" t="s">
        <v>113</v>
      </c>
      <c r="T160" s="98" t="s">
        <v>114</v>
      </c>
      <c r="U160" s="98" t="s">
        <v>115</v>
      </c>
    </row>
    <row r="161" spans="3:21" ht="18.75" x14ac:dyDescent="0.25">
      <c r="C161" s="294">
        <f t="shared" ref="C161:C172" si="102">IF($E$160&gt;0,1,0)</f>
        <v>1</v>
      </c>
      <c r="D161" s="101"/>
      <c r="E161" s="102"/>
      <c r="F161" s="84" t="s">
        <v>57</v>
      </c>
      <c r="G161" s="84" t="s">
        <v>56</v>
      </c>
      <c r="H161" s="84" t="s">
        <v>55</v>
      </c>
      <c r="I161" s="84" t="s">
        <v>54</v>
      </c>
      <c r="J161" s="84" t="s">
        <v>53</v>
      </c>
      <c r="K161" s="84" t="s">
        <v>52</v>
      </c>
      <c r="L161" s="84" t="s">
        <v>51</v>
      </c>
      <c r="M161" s="84" t="s">
        <v>50</v>
      </c>
      <c r="N161" s="84" t="s">
        <v>49</v>
      </c>
      <c r="O161" s="84" t="s">
        <v>47</v>
      </c>
      <c r="P161" s="84" t="s">
        <v>77</v>
      </c>
      <c r="Q161" s="84" t="s">
        <v>78</v>
      </c>
      <c r="R161" s="84" t="s">
        <v>79</v>
      </c>
      <c r="S161" s="84" t="s">
        <v>81</v>
      </c>
      <c r="T161" s="84" t="s">
        <v>83</v>
      </c>
      <c r="U161" s="84" t="s">
        <v>85</v>
      </c>
    </row>
    <row r="162" spans="3:21" ht="18.75" x14ac:dyDescent="0.25">
      <c r="C162" s="294">
        <f t="shared" si="102"/>
        <v>1</v>
      </c>
      <c r="D162" s="103" t="s">
        <v>26</v>
      </c>
      <c r="E162" s="122"/>
      <c r="F162" s="123"/>
      <c r="G162" s="123"/>
      <c r="H162" s="107"/>
      <c r="I162" s="107"/>
      <c r="J162" s="107"/>
      <c r="K162" s="107"/>
      <c r="L162" s="107"/>
      <c r="M162" s="123"/>
      <c r="N162" s="107"/>
      <c r="O162" s="107"/>
      <c r="P162" s="107"/>
      <c r="Q162" s="108"/>
      <c r="R162" s="107"/>
      <c r="S162" s="107"/>
      <c r="T162" s="107"/>
      <c r="U162" s="107"/>
    </row>
    <row r="163" spans="3:21" ht="18.75" x14ac:dyDescent="0.25">
      <c r="C163" s="294">
        <f t="shared" si="102"/>
        <v>1</v>
      </c>
      <c r="D163" s="124" t="s">
        <v>105</v>
      </c>
      <c r="E163" s="76" t="s">
        <v>57</v>
      </c>
      <c r="F163" s="176">
        <f t="shared" ref="F163:M163" si="103">F6*$E$160</f>
        <v>35508.441154989298</v>
      </c>
      <c r="G163" s="176">
        <f t="shared" si="103"/>
        <v>798.48698611515829</v>
      </c>
      <c r="H163" s="176">
        <f t="shared" si="103"/>
        <v>0</v>
      </c>
      <c r="I163" s="176">
        <f t="shared" si="103"/>
        <v>1017.6827842678515</v>
      </c>
      <c r="J163" s="176">
        <f t="shared" si="103"/>
        <v>116.67211997245971</v>
      </c>
      <c r="K163" s="176">
        <f t="shared" si="103"/>
        <v>35.410589970027608</v>
      </c>
      <c r="L163" s="176">
        <f t="shared" si="103"/>
        <v>0</v>
      </c>
      <c r="M163" s="176">
        <f t="shared" si="103"/>
        <v>0</v>
      </c>
      <c r="N163" s="176">
        <f t="shared" ref="N163:U163" si="104">N6*$E$160</f>
        <v>0</v>
      </c>
      <c r="O163" s="176">
        <f>O6*$E$160</f>
        <v>0.99682862596388588</v>
      </c>
      <c r="P163" s="176">
        <f t="shared" si="104"/>
        <v>0</v>
      </c>
      <c r="Q163" s="175">
        <f>SUM(F163:P163)</f>
        <v>37477.690463940758</v>
      </c>
      <c r="R163" s="176">
        <f t="shared" si="104"/>
        <v>0</v>
      </c>
      <c r="S163" s="176">
        <f t="shared" si="104"/>
        <v>2859.9722990678642</v>
      </c>
      <c r="T163" s="176">
        <f t="shared" ca="1" si="104"/>
        <v>1217.3113758730512</v>
      </c>
      <c r="U163" s="176">
        <f t="shared" ca="1" si="104"/>
        <v>904.6817188776123</v>
      </c>
    </row>
    <row r="164" spans="3:21" ht="18.75" x14ac:dyDescent="0.25">
      <c r="C164" s="294">
        <f t="shared" si="102"/>
        <v>1</v>
      </c>
      <c r="D164" s="112" t="s">
        <v>31</v>
      </c>
      <c r="E164" s="76"/>
      <c r="F164" s="177"/>
      <c r="G164" s="177"/>
      <c r="H164" s="178"/>
      <c r="I164" s="178"/>
      <c r="J164" s="178"/>
      <c r="K164" s="178"/>
      <c r="L164" s="178"/>
      <c r="M164" s="177"/>
      <c r="N164" s="178"/>
      <c r="O164" s="178"/>
      <c r="P164" s="178"/>
      <c r="Q164" s="179"/>
      <c r="R164" s="178"/>
      <c r="S164" s="178"/>
      <c r="T164" s="178"/>
      <c r="U164" s="178"/>
    </row>
    <row r="165" spans="3:21" ht="18.75" x14ac:dyDescent="0.3">
      <c r="C165" s="294">
        <f t="shared" si="102"/>
        <v>1</v>
      </c>
      <c r="D165" s="113" t="s">
        <v>118</v>
      </c>
      <c r="E165" s="76" t="s">
        <v>56</v>
      </c>
      <c r="F165" s="176">
        <f t="shared" ref="F165:U171" si="105">F8*$E$160</f>
        <v>0</v>
      </c>
      <c r="G165" s="176">
        <f t="shared" ref="G165:L171" si="106">G8*$E$160</f>
        <v>0</v>
      </c>
      <c r="H165" s="176">
        <f t="shared" si="106"/>
        <v>0</v>
      </c>
      <c r="I165" s="176">
        <f t="shared" si="106"/>
        <v>0</v>
      </c>
      <c r="J165" s="176">
        <f t="shared" si="106"/>
        <v>0</v>
      </c>
      <c r="K165" s="176">
        <f t="shared" si="106"/>
        <v>0</v>
      </c>
      <c r="L165" s="176">
        <f t="shared" si="106"/>
        <v>0</v>
      </c>
      <c r="M165" s="176">
        <f t="shared" si="105"/>
        <v>0</v>
      </c>
      <c r="N165" s="176">
        <f t="shared" si="105"/>
        <v>0</v>
      </c>
      <c r="O165" s="176">
        <f t="shared" ref="O165:O171" si="107">O8*$E$160</f>
        <v>0</v>
      </c>
      <c r="P165" s="176">
        <f t="shared" si="105"/>
        <v>0</v>
      </c>
      <c r="Q165" s="175">
        <f t="shared" ref="Q165:Q171" si="108">SUM(F165:P165)</f>
        <v>0</v>
      </c>
      <c r="R165" s="176">
        <f t="shared" si="105"/>
        <v>0</v>
      </c>
      <c r="S165" s="176">
        <f t="shared" si="105"/>
        <v>0</v>
      </c>
      <c r="T165" s="176">
        <f t="shared" si="105"/>
        <v>0</v>
      </c>
      <c r="U165" s="176">
        <f t="shared" si="105"/>
        <v>0</v>
      </c>
    </row>
    <row r="166" spans="3:21" ht="18.75" x14ac:dyDescent="0.3">
      <c r="C166" s="294">
        <f t="shared" si="102"/>
        <v>1</v>
      </c>
      <c r="D166" s="113" t="s">
        <v>119</v>
      </c>
      <c r="E166" s="76" t="s">
        <v>55</v>
      </c>
      <c r="F166" s="176">
        <f t="shared" si="105"/>
        <v>0</v>
      </c>
      <c r="G166" s="176">
        <f t="shared" si="106"/>
        <v>0</v>
      </c>
      <c r="H166" s="176">
        <f t="shared" si="106"/>
        <v>0</v>
      </c>
      <c r="I166" s="176">
        <f t="shared" si="106"/>
        <v>0</v>
      </c>
      <c r="J166" s="176">
        <f t="shared" si="106"/>
        <v>0</v>
      </c>
      <c r="K166" s="176">
        <f t="shared" si="106"/>
        <v>0</v>
      </c>
      <c r="L166" s="176">
        <f t="shared" si="106"/>
        <v>0</v>
      </c>
      <c r="M166" s="176">
        <f t="shared" si="105"/>
        <v>0</v>
      </c>
      <c r="N166" s="176">
        <f t="shared" si="105"/>
        <v>0</v>
      </c>
      <c r="O166" s="176">
        <f t="shared" si="107"/>
        <v>0</v>
      </c>
      <c r="P166" s="176">
        <f t="shared" si="105"/>
        <v>0</v>
      </c>
      <c r="Q166" s="175">
        <f t="shared" si="108"/>
        <v>0</v>
      </c>
      <c r="R166" s="176">
        <f t="shared" si="105"/>
        <v>0</v>
      </c>
      <c r="S166" s="176">
        <f t="shared" si="105"/>
        <v>0</v>
      </c>
      <c r="T166" s="176">
        <f t="shared" si="105"/>
        <v>0</v>
      </c>
      <c r="U166" s="176">
        <f t="shared" si="105"/>
        <v>0</v>
      </c>
    </row>
    <row r="167" spans="3:21" ht="18.75" x14ac:dyDescent="0.3">
      <c r="C167" s="294">
        <f t="shared" si="102"/>
        <v>1</v>
      </c>
      <c r="D167" s="113" t="s">
        <v>120</v>
      </c>
      <c r="E167" s="76" t="s">
        <v>54</v>
      </c>
      <c r="F167" s="176">
        <f t="shared" si="105"/>
        <v>0</v>
      </c>
      <c r="G167" s="176">
        <f t="shared" si="106"/>
        <v>0</v>
      </c>
      <c r="H167" s="176">
        <f t="shared" si="106"/>
        <v>0</v>
      </c>
      <c r="I167" s="176">
        <f t="shared" si="106"/>
        <v>0</v>
      </c>
      <c r="J167" s="176">
        <f t="shared" si="106"/>
        <v>0</v>
      </c>
      <c r="K167" s="176">
        <f t="shared" si="106"/>
        <v>0</v>
      </c>
      <c r="L167" s="176">
        <f t="shared" si="106"/>
        <v>0</v>
      </c>
      <c r="M167" s="176">
        <f t="shared" si="105"/>
        <v>0</v>
      </c>
      <c r="N167" s="176">
        <f t="shared" si="105"/>
        <v>0</v>
      </c>
      <c r="O167" s="176">
        <f t="shared" si="107"/>
        <v>0</v>
      </c>
      <c r="P167" s="176">
        <f t="shared" si="105"/>
        <v>0</v>
      </c>
      <c r="Q167" s="175">
        <f t="shared" si="108"/>
        <v>0</v>
      </c>
      <c r="R167" s="176">
        <f t="shared" si="105"/>
        <v>0</v>
      </c>
      <c r="S167" s="176">
        <f t="shared" si="105"/>
        <v>0</v>
      </c>
      <c r="T167" s="176">
        <f t="shared" si="105"/>
        <v>0</v>
      </c>
      <c r="U167" s="176">
        <f t="shared" si="105"/>
        <v>0</v>
      </c>
    </row>
    <row r="168" spans="3:21" ht="18.75" x14ac:dyDescent="0.3">
      <c r="C168" s="294">
        <f t="shared" si="102"/>
        <v>1</v>
      </c>
      <c r="D168" s="113" t="s">
        <v>121</v>
      </c>
      <c r="E168" s="76" t="s">
        <v>53</v>
      </c>
      <c r="F168" s="176">
        <f t="shared" si="105"/>
        <v>0</v>
      </c>
      <c r="G168" s="176">
        <f t="shared" si="106"/>
        <v>0</v>
      </c>
      <c r="H168" s="176">
        <f t="shared" si="106"/>
        <v>0</v>
      </c>
      <c r="I168" s="176">
        <f t="shared" si="106"/>
        <v>0</v>
      </c>
      <c r="J168" s="176">
        <f t="shared" si="106"/>
        <v>0</v>
      </c>
      <c r="K168" s="176">
        <f t="shared" si="106"/>
        <v>0</v>
      </c>
      <c r="L168" s="176">
        <f t="shared" si="106"/>
        <v>0</v>
      </c>
      <c r="M168" s="176">
        <f t="shared" si="105"/>
        <v>0</v>
      </c>
      <c r="N168" s="176">
        <f t="shared" si="105"/>
        <v>0</v>
      </c>
      <c r="O168" s="176">
        <f t="shared" si="107"/>
        <v>0</v>
      </c>
      <c r="P168" s="176">
        <f t="shared" si="105"/>
        <v>0</v>
      </c>
      <c r="Q168" s="175">
        <f t="shared" si="108"/>
        <v>0</v>
      </c>
      <c r="R168" s="176">
        <f t="shared" si="105"/>
        <v>0</v>
      </c>
      <c r="S168" s="176">
        <f t="shared" si="105"/>
        <v>0</v>
      </c>
      <c r="T168" s="176">
        <f t="shared" si="105"/>
        <v>0</v>
      </c>
      <c r="U168" s="176">
        <f t="shared" si="105"/>
        <v>0</v>
      </c>
    </row>
    <row r="169" spans="3:21" ht="18.75" x14ac:dyDescent="0.3">
      <c r="C169" s="294">
        <f t="shared" si="102"/>
        <v>1</v>
      </c>
      <c r="D169" s="113" t="s">
        <v>122</v>
      </c>
      <c r="E169" s="76" t="s">
        <v>52</v>
      </c>
      <c r="F169" s="176">
        <f t="shared" si="105"/>
        <v>0</v>
      </c>
      <c r="G169" s="176">
        <f t="shared" si="106"/>
        <v>0</v>
      </c>
      <c r="H169" s="176">
        <f t="shared" si="106"/>
        <v>0</v>
      </c>
      <c r="I169" s="176">
        <f t="shared" si="106"/>
        <v>0</v>
      </c>
      <c r="J169" s="176">
        <f t="shared" si="106"/>
        <v>0</v>
      </c>
      <c r="K169" s="176">
        <f t="shared" si="106"/>
        <v>0</v>
      </c>
      <c r="L169" s="176">
        <f t="shared" si="106"/>
        <v>0</v>
      </c>
      <c r="M169" s="176">
        <f t="shared" si="105"/>
        <v>0</v>
      </c>
      <c r="N169" s="176">
        <f t="shared" si="105"/>
        <v>0</v>
      </c>
      <c r="O169" s="176">
        <f t="shared" si="107"/>
        <v>0</v>
      </c>
      <c r="P169" s="176">
        <f t="shared" si="105"/>
        <v>0</v>
      </c>
      <c r="Q169" s="175">
        <f t="shared" si="108"/>
        <v>0</v>
      </c>
      <c r="R169" s="176">
        <f t="shared" si="105"/>
        <v>0</v>
      </c>
      <c r="S169" s="176">
        <f t="shared" si="105"/>
        <v>0</v>
      </c>
      <c r="T169" s="176">
        <f t="shared" si="105"/>
        <v>0</v>
      </c>
      <c r="U169" s="176">
        <f t="shared" si="105"/>
        <v>0</v>
      </c>
    </row>
    <row r="170" spans="3:21" ht="18.75" x14ac:dyDescent="0.3">
      <c r="C170" s="294">
        <f t="shared" si="102"/>
        <v>1</v>
      </c>
      <c r="D170" s="125" t="s">
        <v>123</v>
      </c>
      <c r="E170" s="76" t="s">
        <v>51</v>
      </c>
      <c r="F170" s="176">
        <f t="shared" si="105"/>
        <v>0</v>
      </c>
      <c r="G170" s="176">
        <f t="shared" si="106"/>
        <v>0</v>
      </c>
      <c r="H170" s="176">
        <f t="shared" si="106"/>
        <v>0</v>
      </c>
      <c r="I170" s="176">
        <f t="shared" si="106"/>
        <v>0</v>
      </c>
      <c r="J170" s="176">
        <f t="shared" si="106"/>
        <v>0</v>
      </c>
      <c r="K170" s="176">
        <f t="shared" si="106"/>
        <v>0</v>
      </c>
      <c r="L170" s="176">
        <f t="shared" si="106"/>
        <v>0</v>
      </c>
      <c r="M170" s="176">
        <f t="shared" si="105"/>
        <v>0</v>
      </c>
      <c r="N170" s="176">
        <f t="shared" si="105"/>
        <v>0</v>
      </c>
      <c r="O170" s="176">
        <f t="shared" si="107"/>
        <v>0</v>
      </c>
      <c r="P170" s="176">
        <f t="shared" si="105"/>
        <v>0</v>
      </c>
      <c r="Q170" s="175">
        <f t="shared" si="108"/>
        <v>0</v>
      </c>
      <c r="R170" s="176">
        <f t="shared" si="105"/>
        <v>0</v>
      </c>
      <c r="S170" s="176">
        <f t="shared" si="105"/>
        <v>0</v>
      </c>
      <c r="T170" s="176">
        <f t="shared" si="105"/>
        <v>0</v>
      </c>
      <c r="U170" s="176">
        <f t="shared" si="105"/>
        <v>0</v>
      </c>
    </row>
    <row r="171" spans="3:21" ht="19.5" thickBot="1" x14ac:dyDescent="0.35">
      <c r="C171" s="294">
        <f t="shared" si="102"/>
        <v>1</v>
      </c>
      <c r="D171" s="114" t="s">
        <v>16</v>
      </c>
      <c r="E171" s="70" t="s">
        <v>50</v>
      </c>
      <c r="F171" s="176">
        <f t="shared" si="105"/>
        <v>3791.3080390495552</v>
      </c>
      <c r="G171" s="176">
        <f t="shared" si="106"/>
        <v>75.313732531099618</v>
      </c>
      <c r="H171" s="176">
        <f t="shared" si="106"/>
        <v>0</v>
      </c>
      <c r="I171" s="176">
        <f t="shared" si="106"/>
        <v>0</v>
      </c>
      <c r="J171" s="176">
        <f t="shared" si="106"/>
        <v>160.7902772968655</v>
      </c>
      <c r="K171" s="176">
        <f t="shared" si="106"/>
        <v>0.6619805607054704</v>
      </c>
      <c r="L171" s="176">
        <f t="shared" si="106"/>
        <v>9.3159662051890607E-2</v>
      </c>
      <c r="M171" s="176">
        <f t="shared" si="105"/>
        <v>0</v>
      </c>
      <c r="N171" s="176">
        <f t="shared" si="105"/>
        <v>0</v>
      </c>
      <c r="O171" s="176">
        <f t="shared" si="107"/>
        <v>48.183659298770465</v>
      </c>
      <c r="P171" s="176">
        <f t="shared" si="105"/>
        <v>820.64675359786429</v>
      </c>
      <c r="Q171" s="175">
        <f t="shared" si="108"/>
        <v>4896.9976019969126</v>
      </c>
      <c r="R171" s="176">
        <f t="shared" si="105"/>
        <v>0</v>
      </c>
      <c r="S171" s="176">
        <f t="shared" si="105"/>
        <v>340.50462370646858</v>
      </c>
      <c r="T171" s="176">
        <f t="shared" ca="1" si="105"/>
        <v>98.755495774056214</v>
      </c>
      <c r="U171" s="176">
        <f t="shared" ca="1" si="105"/>
        <v>5.6274024987417501</v>
      </c>
    </row>
    <row r="172" spans="3:21" ht="19.5" thickBot="1" x14ac:dyDescent="0.3">
      <c r="C172" s="294">
        <f t="shared" si="102"/>
        <v>1</v>
      </c>
      <c r="D172" s="115" t="s">
        <v>124</v>
      </c>
      <c r="E172" s="116" t="s">
        <v>49</v>
      </c>
      <c r="F172" s="269">
        <f t="shared" ref="F172:U172" si="109">SUBTOTAL(9,F163:F171)</f>
        <v>39299.74919403885</v>
      </c>
      <c r="G172" s="269">
        <f t="shared" ref="G172:L172" si="110">SUBTOTAL(9,G163:G171)</f>
        <v>873.80071864625791</v>
      </c>
      <c r="H172" s="269">
        <f t="shared" si="110"/>
        <v>0</v>
      </c>
      <c r="I172" s="269">
        <f t="shared" si="110"/>
        <v>1017.6827842678515</v>
      </c>
      <c r="J172" s="269">
        <f t="shared" si="110"/>
        <v>277.46239726932521</v>
      </c>
      <c r="K172" s="269">
        <f t="shared" si="110"/>
        <v>36.072570530733081</v>
      </c>
      <c r="L172" s="269">
        <f t="shared" si="110"/>
        <v>9.3159662051890607E-2</v>
      </c>
      <c r="M172" s="269">
        <f t="shared" si="109"/>
        <v>0</v>
      </c>
      <c r="N172" s="269">
        <f t="shared" si="109"/>
        <v>0</v>
      </c>
      <c r="O172" s="269">
        <f>SUBTOTAL(9,O163:O171)</f>
        <v>49.180487924734351</v>
      </c>
      <c r="P172" s="269">
        <f t="shared" si="109"/>
        <v>820.64675359786429</v>
      </c>
      <c r="Q172" s="183">
        <f>SUBTOTAL(9,Q163:Q171)</f>
        <v>42374.688065937669</v>
      </c>
      <c r="R172" s="269">
        <f t="shared" si="109"/>
        <v>0</v>
      </c>
      <c r="S172" s="269">
        <f t="shared" si="109"/>
        <v>3200.4769227743327</v>
      </c>
      <c r="T172" s="269">
        <f t="shared" ca="1" si="109"/>
        <v>1316.0668716471075</v>
      </c>
      <c r="U172" s="269">
        <f t="shared" ca="1" si="109"/>
        <v>910.30912137635403</v>
      </c>
    </row>
    <row r="173" spans="3:21" ht="15.75" hidden="1" thickBot="1" x14ac:dyDescent="0.3"/>
    <row r="174" spans="3:21" ht="93.75" x14ac:dyDescent="0.25">
      <c r="C174" s="294">
        <f>IF($E$174&gt;0,1,0)</f>
        <v>1</v>
      </c>
      <c r="D174" s="96" t="str">
        <f>A15</f>
        <v>Cortland</v>
      </c>
      <c r="E174" s="166">
        <f>IFERROR(SUMIF(A:A,D174,B:B),0)</f>
        <v>1.1321975588355585E-3</v>
      </c>
      <c r="F174" s="98" t="s">
        <v>356</v>
      </c>
      <c r="G174" s="98" t="s">
        <v>373</v>
      </c>
      <c r="H174" s="98" t="s">
        <v>358</v>
      </c>
      <c r="I174" s="98" t="s">
        <v>109</v>
      </c>
      <c r="J174" s="98" t="s">
        <v>111</v>
      </c>
      <c r="K174" s="98" t="s">
        <v>469</v>
      </c>
      <c r="L174" s="98" t="s">
        <v>470</v>
      </c>
      <c r="M174" s="98" t="s">
        <v>357</v>
      </c>
      <c r="N174" s="557" t="s">
        <v>471</v>
      </c>
      <c r="O174" s="557" t="s">
        <v>473</v>
      </c>
      <c r="P174" s="98" t="s">
        <v>110</v>
      </c>
      <c r="Q174" s="99" t="s">
        <v>116</v>
      </c>
      <c r="R174" s="98" t="s">
        <v>112</v>
      </c>
      <c r="S174" s="98" t="s">
        <v>113</v>
      </c>
      <c r="T174" s="98" t="s">
        <v>114</v>
      </c>
      <c r="U174" s="98" t="s">
        <v>115</v>
      </c>
    </row>
    <row r="175" spans="3:21" ht="18.75" x14ac:dyDescent="0.25">
      <c r="C175" s="294">
        <f t="shared" ref="C175:C186" si="111">IF($E$174&gt;0,1,0)</f>
        <v>1</v>
      </c>
      <c r="D175" s="101"/>
      <c r="E175" s="102"/>
      <c r="F175" s="84" t="s">
        <v>57</v>
      </c>
      <c r="G175" s="84" t="s">
        <v>56</v>
      </c>
      <c r="H175" s="84" t="s">
        <v>55</v>
      </c>
      <c r="I175" s="84" t="s">
        <v>54</v>
      </c>
      <c r="J175" s="84" t="s">
        <v>53</v>
      </c>
      <c r="K175" s="84" t="s">
        <v>52</v>
      </c>
      <c r="L175" s="84" t="s">
        <v>51</v>
      </c>
      <c r="M175" s="84" t="s">
        <v>50</v>
      </c>
      <c r="N175" s="84" t="s">
        <v>49</v>
      </c>
      <c r="O175" s="84" t="s">
        <v>47</v>
      </c>
      <c r="P175" s="84" t="s">
        <v>77</v>
      </c>
      <c r="Q175" s="84" t="s">
        <v>78</v>
      </c>
      <c r="R175" s="84" t="s">
        <v>79</v>
      </c>
      <c r="S175" s="84" t="s">
        <v>81</v>
      </c>
      <c r="T175" s="84" t="s">
        <v>83</v>
      </c>
      <c r="U175" s="84" t="s">
        <v>85</v>
      </c>
    </row>
    <row r="176" spans="3:21" ht="18.75" x14ac:dyDescent="0.25">
      <c r="C176" s="294">
        <f t="shared" si="111"/>
        <v>1</v>
      </c>
      <c r="D176" s="103" t="s">
        <v>26</v>
      </c>
      <c r="E176" s="122"/>
      <c r="F176" s="123"/>
      <c r="G176" s="123"/>
      <c r="H176" s="107"/>
      <c r="I176" s="107"/>
      <c r="J176" s="107"/>
      <c r="K176" s="107"/>
      <c r="L176" s="107"/>
      <c r="M176" s="123"/>
      <c r="N176" s="107"/>
      <c r="O176" s="107"/>
      <c r="P176" s="107"/>
      <c r="Q176" s="108"/>
      <c r="R176" s="107"/>
      <c r="S176" s="107"/>
      <c r="T176" s="107"/>
      <c r="U176" s="107"/>
    </row>
    <row r="177" spans="3:21" ht="18.75" x14ac:dyDescent="0.25">
      <c r="C177" s="294">
        <f t="shared" si="111"/>
        <v>1</v>
      </c>
      <c r="D177" s="124" t="s">
        <v>105</v>
      </c>
      <c r="E177" s="76" t="s">
        <v>57</v>
      </c>
      <c r="F177" s="176">
        <f t="shared" ref="F177:M177" si="112">F6*$E$174</f>
        <v>79854.337351743627</v>
      </c>
      <c r="G177" s="176">
        <f t="shared" si="112"/>
        <v>1795.7039815378544</v>
      </c>
      <c r="H177" s="176">
        <f t="shared" si="112"/>
        <v>0</v>
      </c>
      <c r="I177" s="176">
        <f t="shared" si="112"/>
        <v>2288.6497330950278</v>
      </c>
      <c r="J177" s="176">
        <f t="shared" si="112"/>
        <v>262.38197242051564</v>
      </c>
      <c r="K177" s="176">
        <f t="shared" si="112"/>
        <v>79.63428146418461</v>
      </c>
      <c r="L177" s="176">
        <f t="shared" si="112"/>
        <v>0</v>
      </c>
      <c r="M177" s="176">
        <f t="shared" si="112"/>
        <v>0</v>
      </c>
      <c r="N177" s="176">
        <f t="shared" ref="N177:U177" si="113">N6*$E$174</f>
        <v>0</v>
      </c>
      <c r="O177" s="176">
        <f>O6*$E$174</f>
        <v>2.2417511664944056</v>
      </c>
      <c r="P177" s="176">
        <f t="shared" si="113"/>
        <v>0</v>
      </c>
      <c r="Q177" s="175">
        <f>SUM(F177:P177)</f>
        <v>84282.949071427691</v>
      </c>
      <c r="R177" s="176">
        <f t="shared" si="113"/>
        <v>0</v>
      </c>
      <c r="S177" s="176">
        <f t="shared" si="113"/>
        <v>6431.7437025623194</v>
      </c>
      <c r="T177" s="176">
        <f t="shared" ca="1" si="113"/>
        <v>2737.5911222569448</v>
      </c>
      <c r="U177" s="176">
        <f t="shared" ca="1" si="113"/>
        <v>2034.5235337107247</v>
      </c>
    </row>
    <row r="178" spans="3:21" ht="18.75" x14ac:dyDescent="0.25">
      <c r="C178" s="294">
        <f t="shared" si="111"/>
        <v>1</v>
      </c>
      <c r="D178" s="112" t="s">
        <v>31</v>
      </c>
      <c r="E178" s="76"/>
      <c r="F178" s="177"/>
      <c r="G178" s="177"/>
      <c r="H178" s="178"/>
      <c r="I178" s="178"/>
      <c r="J178" s="178"/>
      <c r="K178" s="178"/>
      <c r="L178" s="178"/>
      <c r="M178" s="177"/>
      <c r="N178" s="178"/>
      <c r="O178" s="178"/>
      <c r="P178" s="178"/>
      <c r="Q178" s="179"/>
      <c r="R178" s="178"/>
      <c r="S178" s="178"/>
      <c r="T178" s="178"/>
      <c r="U178" s="178"/>
    </row>
    <row r="179" spans="3:21" ht="18.75" x14ac:dyDescent="0.3">
      <c r="C179" s="294">
        <f t="shared" si="111"/>
        <v>1</v>
      </c>
      <c r="D179" s="113" t="s">
        <v>118</v>
      </c>
      <c r="E179" s="76" t="s">
        <v>56</v>
      </c>
      <c r="F179" s="176">
        <f t="shared" ref="F179:U185" si="114">F8*$E$174</f>
        <v>0</v>
      </c>
      <c r="G179" s="176">
        <f t="shared" ref="G179:L185" si="115">G8*$E$174</f>
        <v>0</v>
      </c>
      <c r="H179" s="176">
        <f t="shared" si="115"/>
        <v>0</v>
      </c>
      <c r="I179" s="176">
        <f t="shared" si="115"/>
        <v>0</v>
      </c>
      <c r="J179" s="176">
        <f t="shared" si="115"/>
        <v>0</v>
      </c>
      <c r="K179" s="176">
        <f t="shared" si="115"/>
        <v>0</v>
      </c>
      <c r="L179" s="176">
        <f t="shared" si="115"/>
        <v>0</v>
      </c>
      <c r="M179" s="176">
        <f t="shared" si="114"/>
        <v>0</v>
      </c>
      <c r="N179" s="176">
        <f t="shared" si="114"/>
        <v>0</v>
      </c>
      <c r="O179" s="176">
        <f t="shared" ref="O179:O185" si="116">O8*$E$174</f>
        <v>0</v>
      </c>
      <c r="P179" s="176">
        <f t="shared" si="114"/>
        <v>0</v>
      </c>
      <c r="Q179" s="175">
        <f t="shared" ref="Q179:Q185" si="117">SUM(F179:P179)</f>
        <v>0</v>
      </c>
      <c r="R179" s="176">
        <f t="shared" si="114"/>
        <v>0</v>
      </c>
      <c r="S179" s="176">
        <f t="shared" si="114"/>
        <v>0</v>
      </c>
      <c r="T179" s="176">
        <f t="shared" si="114"/>
        <v>0</v>
      </c>
      <c r="U179" s="176">
        <f t="shared" si="114"/>
        <v>0</v>
      </c>
    </row>
    <row r="180" spans="3:21" ht="18.75" x14ac:dyDescent="0.3">
      <c r="C180" s="294">
        <f t="shared" si="111"/>
        <v>1</v>
      </c>
      <c r="D180" s="113" t="s">
        <v>119</v>
      </c>
      <c r="E180" s="76" t="s">
        <v>55</v>
      </c>
      <c r="F180" s="176">
        <f t="shared" si="114"/>
        <v>0</v>
      </c>
      <c r="G180" s="176">
        <f t="shared" si="115"/>
        <v>0</v>
      </c>
      <c r="H180" s="176">
        <f t="shared" si="115"/>
        <v>0</v>
      </c>
      <c r="I180" s="176">
        <f t="shared" si="115"/>
        <v>0</v>
      </c>
      <c r="J180" s="176">
        <f t="shared" si="115"/>
        <v>0</v>
      </c>
      <c r="K180" s="176">
        <f t="shared" si="115"/>
        <v>0</v>
      </c>
      <c r="L180" s="176">
        <f t="shared" si="115"/>
        <v>0</v>
      </c>
      <c r="M180" s="176">
        <f t="shared" si="114"/>
        <v>0</v>
      </c>
      <c r="N180" s="176">
        <f t="shared" si="114"/>
        <v>0</v>
      </c>
      <c r="O180" s="176">
        <f t="shared" si="116"/>
        <v>0</v>
      </c>
      <c r="P180" s="176">
        <f t="shared" si="114"/>
        <v>0</v>
      </c>
      <c r="Q180" s="175">
        <f t="shared" si="117"/>
        <v>0</v>
      </c>
      <c r="R180" s="176">
        <f t="shared" si="114"/>
        <v>0</v>
      </c>
      <c r="S180" s="176">
        <f t="shared" si="114"/>
        <v>0</v>
      </c>
      <c r="T180" s="176">
        <f t="shared" si="114"/>
        <v>0</v>
      </c>
      <c r="U180" s="176">
        <f t="shared" si="114"/>
        <v>0</v>
      </c>
    </row>
    <row r="181" spans="3:21" ht="18.75" x14ac:dyDescent="0.3">
      <c r="C181" s="294">
        <f t="shared" si="111"/>
        <v>1</v>
      </c>
      <c r="D181" s="113" t="s">
        <v>120</v>
      </c>
      <c r="E181" s="76" t="s">
        <v>54</v>
      </c>
      <c r="F181" s="176">
        <f t="shared" si="114"/>
        <v>0</v>
      </c>
      <c r="G181" s="176">
        <f t="shared" si="115"/>
        <v>0</v>
      </c>
      <c r="H181" s="176">
        <f t="shared" si="115"/>
        <v>0</v>
      </c>
      <c r="I181" s="176">
        <f t="shared" si="115"/>
        <v>0</v>
      </c>
      <c r="J181" s="176">
        <f t="shared" si="115"/>
        <v>0</v>
      </c>
      <c r="K181" s="176">
        <f t="shared" si="115"/>
        <v>0</v>
      </c>
      <c r="L181" s="176">
        <f t="shared" si="115"/>
        <v>0</v>
      </c>
      <c r="M181" s="176">
        <f t="shared" si="114"/>
        <v>0</v>
      </c>
      <c r="N181" s="176">
        <f t="shared" si="114"/>
        <v>0</v>
      </c>
      <c r="O181" s="176">
        <f t="shared" si="116"/>
        <v>0</v>
      </c>
      <c r="P181" s="176">
        <f t="shared" si="114"/>
        <v>0</v>
      </c>
      <c r="Q181" s="175">
        <f t="shared" si="117"/>
        <v>0</v>
      </c>
      <c r="R181" s="176">
        <f t="shared" si="114"/>
        <v>0</v>
      </c>
      <c r="S181" s="176">
        <f t="shared" si="114"/>
        <v>0</v>
      </c>
      <c r="T181" s="176">
        <f t="shared" si="114"/>
        <v>0</v>
      </c>
      <c r="U181" s="176">
        <f t="shared" si="114"/>
        <v>0</v>
      </c>
    </row>
    <row r="182" spans="3:21" ht="18.75" x14ac:dyDescent="0.3">
      <c r="C182" s="294">
        <f t="shared" si="111"/>
        <v>1</v>
      </c>
      <c r="D182" s="113" t="s">
        <v>121</v>
      </c>
      <c r="E182" s="76" t="s">
        <v>53</v>
      </c>
      <c r="F182" s="176">
        <f t="shared" si="114"/>
        <v>0</v>
      </c>
      <c r="G182" s="176">
        <f t="shared" si="115"/>
        <v>0</v>
      </c>
      <c r="H182" s="176">
        <f t="shared" si="115"/>
        <v>0</v>
      </c>
      <c r="I182" s="176">
        <f t="shared" si="115"/>
        <v>0</v>
      </c>
      <c r="J182" s="176">
        <f t="shared" si="115"/>
        <v>0</v>
      </c>
      <c r="K182" s="176">
        <f t="shared" si="115"/>
        <v>0</v>
      </c>
      <c r="L182" s="176">
        <f t="shared" si="115"/>
        <v>0</v>
      </c>
      <c r="M182" s="176">
        <f t="shared" si="114"/>
        <v>0</v>
      </c>
      <c r="N182" s="176">
        <f t="shared" si="114"/>
        <v>0</v>
      </c>
      <c r="O182" s="176">
        <f t="shared" si="116"/>
        <v>0</v>
      </c>
      <c r="P182" s="176">
        <f t="shared" si="114"/>
        <v>0</v>
      </c>
      <c r="Q182" s="175">
        <f t="shared" si="117"/>
        <v>0</v>
      </c>
      <c r="R182" s="176">
        <f t="shared" si="114"/>
        <v>0</v>
      </c>
      <c r="S182" s="176">
        <f t="shared" si="114"/>
        <v>0</v>
      </c>
      <c r="T182" s="176">
        <f t="shared" si="114"/>
        <v>0</v>
      </c>
      <c r="U182" s="176">
        <f t="shared" si="114"/>
        <v>0</v>
      </c>
    </row>
    <row r="183" spans="3:21" ht="18.75" x14ac:dyDescent="0.3">
      <c r="C183" s="294">
        <f t="shared" si="111"/>
        <v>1</v>
      </c>
      <c r="D183" s="113" t="s">
        <v>122</v>
      </c>
      <c r="E183" s="76" t="s">
        <v>52</v>
      </c>
      <c r="F183" s="176">
        <f t="shared" si="114"/>
        <v>0</v>
      </c>
      <c r="G183" s="176">
        <f t="shared" si="115"/>
        <v>0</v>
      </c>
      <c r="H183" s="176">
        <f t="shared" si="115"/>
        <v>0</v>
      </c>
      <c r="I183" s="176">
        <f t="shared" si="115"/>
        <v>0</v>
      </c>
      <c r="J183" s="176">
        <f t="shared" si="115"/>
        <v>0</v>
      </c>
      <c r="K183" s="176">
        <f t="shared" si="115"/>
        <v>0</v>
      </c>
      <c r="L183" s="176">
        <f t="shared" si="115"/>
        <v>0</v>
      </c>
      <c r="M183" s="176">
        <f t="shared" si="114"/>
        <v>0</v>
      </c>
      <c r="N183" s="176">
        <f t="shared" si="114"/>
        <v>0</v>
      </c>
      <c r="O183" s="176">
        <f t="shared" si="116"/>
        <v>0</v>
      </c>
      <c r="P183" s="176">
        <f t="shared" si="114"/>
        <v>0</v>
      </c>
      <c r="Q183" s="175">
        <f t="shared" si="117"/>
        <v>0</v>
      </c>
      <c r="R183" s="176">
        <f t="shared" si="114"/>
        <v>0</v>
      </c>
      <c r="S183" s="176">
        <f t="shared" si="114"/>
        <v>0</v>
      </c>
      <c r="T183" s="176">
        <f t="shared" si="114"/>
        <v>0</v>
      </c>
      <c r="U183" s="176">
        <f t="shared" si="114"/>
        <v>0</v>
      </c>
    </row>
    <row r="184" spans="3:21" ht="18.75" x14ac:dyDescent="0.3">
      <c r="C184" s="294">
        <f t="shared" si="111"/>
        <v>1</v>
      </c>
      <c r="D184" s="125" t="s">
        <v>123</v>
      </c>
      <c r="E184" s="76" t="s">
        <v>51</v>
      </c>
      <c r="F184" s="176">
        <f t="shared" si="114"/>
        <v>0</v>
      </c>
      <c r="G184" s="176">
        <f t="shared" si="115"/>
        <v>0</v>
      </c>
      <c r="H184" s="176">
        <f t="shared" si="115"/>
        <v>0</v>
      </c>
      <c r="I184" s="176">
        <f t="shared" si="115"/>
        <v>0</v>
      </c>
      <c r="J184" s="176">
        <f t="shared" si="115"/>
        <v>0</v>
      </c>
      <c r="K184" s="176">
        <f t="shared" si="115"/>
        <v>0</v>
      </c>
      <c r="L184" s="176">
        <f t="shared" si="115"/>
        <v>0</v>
      </c>
      <c r="M184" s="176">
        <f t="shared" si="114"/>
        <v>0</v>
      </c>
      <c r="N184" s="176">
        <f t="shared" si="114"/>
        <v>0</v>
      </c>
      <c r="O184" s="176">
        <f t="shared" si="116"/>
        <v>0</v>
      </c>
      <c r="P184" s="176">
        <f t="shared" si="114"/>
        <v>0</v>
      </c>
      <c r="Q184" s="175">
        <f t="shared" si="117"/>
        <v>0</v>
      </c>
      <c r="R184" s="176">
        <f t="shared" si="114"/>
        <v>0</v>
      </c>
      <c r="S184" s="176">
        <f t="shared" si="114"/>
        <v>0</v>
      </c>
      <c r="T184" s="176">
        <f t="shared" si="114"/>
        <v>0</v>
      </c>
      <c r="U184" s="176">
        <f t="shared" si="114"/>
        <v>0</v>
      </c>
    </row>
    <row r="185" spans="3:21" ht="19.5" thickBot="1" x14ac:dyDescent="0.35">
      <c r="C185" s="294">
        <f t="shared" si="111"/>
        <v>1</v>
      </c>
      <c r="D185" s="114" t="s">
        <v>16</v>
      </c>
      <c r="E185" s="70" t="s">
        <v>50</v>
      </c>
      <c r="F185" s="176">
        <f t="shared" si="114"/>
        <v>8526.2090169818966</v>
      </c>
      <c r="G185" s="176">
        <f t="shared" si="115"/>
        <v>169.37178904888006</v>
      </c>
      <c r="H185" s="176">
        <f t="shared" si="115"/>
        <v>0</v>
      </c>
      <c r="I185" s="176">
        <f t="shared" si="115"/>
        <v>0</v>
      </c>
      <c r="J185" s="176">
        <f t="shared" si="115"/>
        <v>361.59855596308489</v>
      </c>
      <c r="K185" s="176">
        <f t="shared" si="115"/>
        <v>1.4887169725118556</v>
      </c>
      <c r="L185" s="176">
        <f t="shared" si="115"/>
        <v>0.20950520042811901</v>
      </c>
      <c r="M185" s="176">
        <f t="shared" si="114"/>
        <v>0</v>
      </c>
      <c r="N185" s="176">
        <f t="shared" si="114"/>
        <v>0</v>
      </c>
      <c r="O185" s="176">
        <f t="shared" si="116"/>
        <v>108.35942269870269</v>
      </c>
      <c r="P185" s="176">
        <f t="shared" si="114"/>
        <v>1845.5387107076413</v>
      </c>
      <c r="Q185" s="175">
        <f t="shared" si="117"/>
        <v>11012.775717573146</v>
      </c>
      <c r="R185" s="176">
        <f t="shared" si="114"/>
        <v>0</v>
      </c>
      <c r="S185" s="176">
        <f t="shared" si="114"/>
        <v>765.75513333860579</v>
      </c>
      <c r="T185" s="176">
        <f t="shared" ca="1" si="114"/>
        <v>222.08957696730957</v>
      </c>
      <c r="U185" s="176">
        <f t="shared" ca="1" si="114"/>
        <v>12.655371030992933</v>
      </c>
    </row>
    <row r="186" spans="3:21" ht="19.5" thickBot="1" x14ac:dyDescent="0.3">
      <c r="C186" s="294">
        <f t="shared" si="111"/>
        <v>1</v>
      </c>
      <c r="D186" s="115" t="s">
        <v>124</v>
      </c>
      <c r="E186" s="116" t="s">
        <v>49</v>
      </c>
      <c r="F186" s="269">
        <f t="shared" ref="F186:U186" si="118">SUBTOTAL(9,F177:F185)</f>
        <v>88380.546368725525</v>
      </c>
      <c r="G186" s="269">
        <f t="shared" ref="G186:L186" si="119">SUBTOTAL(9,G177:G185)</f>
        <v>1965.0757705867345</v>
      </c>
      <c r="H186" s="269">
        <f t="shared" si="119"/>
        <v>0</v>
      </c>
      <c r="I186" s="269">
        <f t="shared" si="119"/>
        <v>2288.6497330950278</v>
      </c>
      <c r="J186" s="269">
        <f t="shared" si="119"/>
        <v>623.98052838360059</v>
      </c>
      <c r="K186" s="269">
        <f t="shared" si="119"/>
        <v>81.122998436696463</v>
      </c>
      <c r="L186" s="269">
        <f t="shared" si="119"/>
        <v>0.20950520042811901</v>
      </c>
      <c r="M186" s="269">
        <f t="shared" si="118"/>
        <v>0</v>
      </c>
      <c r="N186" s="269">
        <f t="shared" si="118"/>
        <v>0</v>
      </c>
      <c r="O186" s="269">
        <f>SUBTOTAL(9,O177:O185)</f>
        <v>110.6011738651971</v>
      </c>
      <c r="P186" s="269">
        <f t="shared" si="118"/>
        <v>1845.5387107076413</v>
      </c>
      <c r="Q186" s="183">
        <f>SUBTOTAL(9,Q177:Q185)</f>
        <v>95295.724789000844</v>
      </c>
      <c r="R186" s="269">
        <f t="shared" si="118"/>
        <v>0</v>
      </c>
      <c r="S186" s="269">
        <f t="shared" si="118"/>
        <v>7197.4988359009249</v>
      </c>
      <c r="T186" s="269">
        <f t="shared" ca="1" si="118"/>
        <v>2959.6806992242546</v>
      </c>
      <c r="U186" s="269">
        <f t="shared" ca="1" si="118"/>
        <v>2047.1789047417176</v>
      </c>
    </row>
    <row r="187" spans="3:21" ht="15.75" hidden="1" thickBot="1" x14ac:dyDescent="0.3"/>
    <row r="188" spans="3:21" ht="93.75" x14ac:dyDescent="0.25">
      <c r="C188" s="294">
        <f>IF($E$188&gt;0,1,0)</f>
        <v>1</v>
      </c>
      <c r="D188" s="96" t="str">
        <f>A16</f>
        <v>Delaware</v>
      </c>
      <c r="E188" s="166">
        <f>IFERROR(SUMIF(A:A,D188,B:B),0)</f>
        <v>1.0651138896287298E-3</v>
      </c>
      <c r="F188" s="98" t="s">
        <v>356</v>
      </c>
      <c r="G188" s="98" t="s">
        <v>373</v>
      </c>
      <c r="H188" s="98" t="s">
        <v>358</v>
      </c>
      <c r="I188" s="98" t="s">
        <v>109</v>
      </c>
      <c r="J188" s="98" t="s">
        <v>111</v>
      </c>
      <c r="K188" s="98" t="s">
        <v>469</v>
      </c>
      <c r="L188" s="98" t="s">
        <v>470</v>
      </c>
      <c r="M188" s="98" t="s">
        <v>357</v>
      </c>
      <c r="N188" s="557" t="s">
        <v>471</v>
      </c>
      <c r="O188" s="557" t="s">
        <v>473</v>
      </c>
      <c r="P188" s="98" t="s">
        <v>110</v>
      </c>
      <c r="Q188" s="99" t="s">
        <v>116</v>
      </c>
      <c r="R188" s="98" t="s">
        <v>112</v>
      </c>
      <c r="S188" s="98" t="s">
        <v>113</v>
      </c>
      <c r="T188" s="98" t="s">
        <v>114</v>
      </c>
      <c r="U188" s="98" t="s">
        <v>115</v>
      </c>
    </row>
    <row r="189" spans="3:21" ht="18.75" x14ac:dyDescent="0.25">
      <c r="C189" s="294">
        <f t="shared" ref="C189:C200" si="120">IF($E$188&gt;0,1,0)</f>
        <v>1</v>
      </c>
      <c r="D189" s="101"/>
      <c r="E189" s="102"/>
      <c r="F189" s="84" t="s">
        <v>57</v>
      </c>
      <c r="G189" s="84" t="s">
        <v>56</v>
      </c>
      <c r="H189" s="84" t="s">
        <v>55</v>
      </c>
      <c r="I189" s="84" t="s">
        <v>54</v>
      </c>
      <c r="J189" s="84" t="s">
        <v>53</v>
      </c>
      <c r="K189" s="84" t="s">
        <v>52</v>
      </c>
      <c r="L189" s="84" t="s">
        <v>51</v>
      </c>
      <c r="M189" s="84" t="s">
        <v>50</v>
      </c>
      <c r="N189" s="84" t="s">
        <v>49</v>
      </c>
      <c r="O189" s="84" t="s">
        <v>47</v>
      </c>
      <c r="P189" s="84" t="s">
        <v>77</v>
      </c>
      <c r="Q189" s="84" t="s">
        <v>78</v>
      </c>
      <c r="R189" s="84" t="s">
        <v>79</v>
      </c>
      <c r="S189" s="84" t="s">
        <v>81</v>
      </c>
      <c r="T189" s="84" t="s">
        <v>83</v>
      </c>
      <c r="U189" s="84" t="s">
        <v>85</v>
      </c>
    </row>
    <row r="190" spans="3:21" ht="18.75" x14ac:dyDescent="0.25">
      <c r="C190" s="294">
        <f t="shared" si="120"/>
        <v>1</v>
      </c>
      <c r="D190" s="103" t="s">
        <v>26</v>
      </c>
      <c r="E190" s="122"/>
      <c r="F190" s="123"/>
      <c r="G190" s="123"/>
      <c r="H190" s="107"/>
      <c r="I190" s="107"/>
      <c r="J190" s="107"/>
      <c r="K190" s="107"/>
      <c r="L190" s="107"/>
      <c r="M190" s="123"/>
      <c r="N190" s="107"/>
      <c r="O190" s="107"/>
      <c r="P190" s="107"/>
      <c r="Q190" s="108"/>
      <c r="R190" s="107"/>
      <c r="S190" s="107"/>
      <c r="T190" s="107"/>
      <c r="U190" s="107"/>
    </row>
    <row r="191" spans="3:21" ht="18.75" x14ac:dyDescent="0.25">
      <c r="C191" s="294">
        <f t="shared" si="120"/>
        <v>1</v>
      </c>
      <c r="D191" s="124" t="s">
        <v>105</v>
      </c>
      <c r="E191" s="76" t="s">
        <v>57</v>
      </c>
      <c r="F191" s="176">
        <f t="shared" ref="F191:M191" si="121">F6*$E$188</f>
        <v>75122.899883229431</v>
      </c>
      <c r="G191" s="176">
        <f t="shared" si="121"/>
        <v>1689.3069919393572</v>
      </c>
      <c r="H191" s="176">
        <f t="shared" si="121"/>
        <v>0</v>
      </c>
      <c r="I191" s="176">
        <f t="shared" si="121"/>
        <v>2153.0452880694202</v>
      </c>
      <c r="J191" s="176">
        <f t="shared" si="121"/>
        <v>246.8356171874272</v>
      </c>
      <c r="K191" s="176">
        <f t="shared" si="121"/>
        <v>74.915882494343023</v>
      </c>
      <c r="L191" s="176">
        <f t="shared" si="121"/>
        <v>0</v>
      </c>
      <c r="M191" s="176">
        <f t="shared" si="121"/>
        <v>0</v>
      </c>
      <c r="N191" s="176">
        <f t="shared" ref="N191:U191" si="122">N6*$E$188</f>
        <v>0</v>
      </c>
      <c r="O191" s="176">
        <f>O6*$E$188</f>
        <v>2.1089255014648849</v>
      </c>
      <c r="P191" s="176">
        <f t="shared" si="122"/>
        <v>0</v>
      </c>
      <c r="Q191" s="175">
        <f>SUM(F191:P191)</f>
        <v>79289.112588421456</v>
      </c>
      <c r="R191" s="176">
        <f t="shared" si="122"/>
        <v>0</v>
      </c>
      <c r="S191" s="176">
        <f t="shared" si="122"/>
        <v>6050.6574128077755</v>
      </c>
      <c r="T191" s="176">
        <f t="shared" ca="1" si="122"/>
        <v>2575.3865177372941</v>
      </c>
      <c r="U191" s="176">
        <f t="shared" ca="1" si="122"/>
        <v>1913.9762823376263</v>
      </c>
    </row>
    <row r="192" spans="3:21" ht="18.75" x14ac:dyDescent="0.25">
      <c r="C192" s="294">
        <f t="shared" si="120"/>
        <v>1</v>
      </c>
      <c r="D192" s="112" t="s">
        <v>31</v>
      </c>
      <c r="E192" s="76"/>
      <c r="F192" s="177"/>
      <c r="G192" s="177"/>
      <c r="H192" s="178"/>
      <c r="I192" s="178"/>
      <c r="J192" s="178"/>
      <c r="K192" s="178"/>
      <c r="L192" s="178"/>
      <c r="M192" s="177"/>
      <c r="N192" s="178"/>
      <c r="O192" s="178"/>
      <c r="P192" s="178"/>
      <c r="Q192" s="179"/>
      <c r="R192" s="178"/>
      <c r="S192" s="178"/>
      <c r="T192" s="178"/>
      <c r="U192" s="178"/>
    </row>
    <row r="193" spans="3:21" ht="18.75" x14ac:dyDescent="0.3">
      <c r="C193" s="294">
        <f t="shared" si="120"/>
        <v>1</v>
      </c>
      <c r="D193" s="113" t="s">
        <v>118</v>
      </c>
      <c r="E193" s="76" t="s">
        <v>56</v>
      </c>
      <c r="F193" s="176">
        <f t="shared" ref="F193:U199" si="123">F8*$E$188</f>
        <v>0</v>
      </c>
      <c r="G193" s="176">
        <f t="shared" ref="G193:L199" si="124">G8*$E$188</f>
        <v>0</v>
      </c>
      <c r="H193" s="176">
        <f t="shared" si="124"/>
        <v>0</v>
      </c>
      <c r="I193" s="176">
        <f t="shared" si="124"/>
        <v>0</v>
      </c>
      <c r="J193" s="176">
        <f t="shared" si="124"/>
        <v>0</v>
      </c>
      <c r="K193" s="176">
        <f t="shared" si="124"/>
        <v>0</v>
      </c>
      <c r="L193" s="176">
        <f t="shared" si="124"/>
        <v>0</v>
      </c>
      <c r="M193" s="176">
        <f t="shared" si="123"/>
        <v>0</v>
      </c>
      <c r="N193" s="176">
        <f t="shared" si="123"/>
        <v>0</v>
      </c>
      <c r="O193" s="176">
        <f t="shared" ref="O193:O199" si="125">O8*$E$188</f>
        <v>0</v>
      </c>
      <c r="P193" s="176">
        <f t="shared" si="123"/>
        <v>0</v>
      </c>
      <c r="Q193" s="175">
        <f t="shared" ref="Q193:Q199" si="126">SUM(F193:P193)</f>
        <v>0</v>
      </c>
      <c r="R193" s="176">
        <f t="shared" si="123"/>
        <v>0</v>
      </c>
      <c r="S193" s="176">
        <f t="shared" si="123"/>
        <v>0</v>
      </c>
      <c r="T193" s="176">
        <f t="shared" si="123"/>
        <v>0</v>
      </c>
      <c r="U193" s="176">
        <f t="shared" si="123"/>
        <v>0</v>
      </c>
    </row>
    <row r="194" spans="3:21" ht="18.75" x14ac:dyDescent="0.3">
      <c r="C194" s="294">
        <f t="shared" si="120"/>
        <v>1</v>
      </c>
      <c r="D194" s="113" t="s">
        <v>119</v>
      </c>
      <c r="E194" s="76" t="s">
        <v>55</v>
      </c>
      <c r="F194" s="176">
        <f t="shared" si="123"/>
        <v>0</v>
      </c>
      <c r="G194" s="176">
        <f t="shared" si="124"/>
        <v>0</v>
      </c>
      <c r="H194" s="176">
        <f t="shared" si="124"/>
        <v>0</v>
      </c>
      <c r="I194" s="176">
        <f t="shared" si="124"/>
        <v>0</v>
      </c>
      <c r="J194" s="176">
        <f t="shared" si="124"/>
        <v>0</v>
      </c>
      <c r="K194" s="176">
        <f t="shared" si="124"/>
        <v>0</v>
      </c>
      <c r="L194" s="176">
        <f t="shared" si="124"/>
        <v>0</v>
      </c>
      <c r="M194" s="176">
        <f t="shared" si="123"/>
        <v>0</v>
      </c>
      <c r="N194" s="176">
        <f t="shared" si="123"/>
        <v>0</v>
      </c>
      <c r="O194" s="176">
        <f t="shared" si="125"/>
        <v>0</v>
      </c>
      <c r="P194" s="176">
        <f t="shared" si="123"/>
        <v>0</v>
      </c>
      <c r="Q194" s="175">
        <f t="shared" si="126"/>
        <v>0</v>
      </c>
      <c r="R194" s="176">
        <f t="shared" si="123"/>
        <v>0</v>
      </c>
      <c r="S194" s="176">
        <f t="shared" si="123"/>
        <v>0</v>
      </c>
      <c r="T194" s="176">
        <f t="shared" si="123"/>
        <v>0</v>
      </c>
      <c r="U194" s="176">
        <f t="shared" si="123"/>
        <v>0</v>
      </c>
    </row>
    <row r="195" spans="3:21" ht="18.75" x14ac:dyDescent="0.3">
      <c r="C195" s="294">
        <f t="shared" si="120"/>
        <v>1</v>
      </c>
      <c r="D195" s="113" t="s">
        <v>120</v>
      </c>
      <c r="E195" s="76" t="s">
        <v>54</v>
      </c>
      <c r="F195" s="176">
        <f t="shared" si="123"/>
        <v>0</v>
      </c>
      <c r="G195" s="176">
        <f t="shared" si="124"/>
        <v>0</v>
      </c>
      <c r="H195" s="176">
        <f t="shared" si="124"/>
        <v>0</v>
      </c>
      <c r="I195" s="176">
        <f t="shared" si="124"/>
        <v>0</v>
      </c>
      <c r="J195" s="176">
        <f t="shared" si="124"/>
        <v>0</v>
      </c>
      <c r="K195" s="176">
        <f t="shared" si="124"/>
        <v>0</v>
      </c>
      <c r="L195" s="176">
        <f t="shared" si="124"/>
        <v>0</v>
      </c>
      <c r="M195" s="176">
        <f t="shared" si="123"/>
        <v>0</v>
      </c>
      <c r="N195" s="176">
        <f t="shared" si="123"/>
        <v>0</v>
      </c>
      <c r="O195" s="176">
        <f t="shared" si="125"/>
        <v>0</v>
      </c>
      <c r="P195" s="176">
        <f t="shared" si="123"/>
        <v>0</v>
      </c>
      <c r="Q195" s="175">
        <f t="shared" si="126"/>
        <v>0</v>
      </c>
      <c r="R195" s="176">
        <f t="shared" si="123"/>
        <v>0</v>
      </c>
      <c r="S195" s="176">
        <f t="shared" si="123"/>
        <v>0</v>
      </c>
      <c r="T195" s="176">
        <f t="shared" si="123"/>
        <v>0</v>
      </c>
      <c r="U195" s="176">
        <f t="shared" si="123"/>
        <v>0</v>
      </c>
    </row>
    <row r="196" spans="3:21" ht="18.75" x14ac:dyDescent="0.3">
      <c r="C196" s="294">
        <f t="shared" si="120"/>
        <v>1</v>
      </c>
      <c r="D196" s="113" t="s">
        <v>121</v>
      </c>
      <c r="E196" s="76" t="s">
        <v>53</v>
      </c>
      <c r="F196" s="176">
        <f t="shared" si="123"/>
        <v>0</v>
      </c>
      <c r="G196" s="176">
        <f t="shared" si="124"/>
        <v>0</v>
      </c>
      <c r="H196" s="176">
        <f t="shared" si="124"/>
        <v>0</v>
      </c>
      <c r="I196" s="176">
        <f t="shared" si="124"/>
        <v>0</v>
      </c>
      <c r="J196" s="176">
        <f t="shared" si="124"/>
        <v>0</v>
      </c>
      <c r="K196" s="176">
        <f t="shared" si="124"/>
        <v>0</v>
      </c>
      <c r="L196" s="176">
        <f t="shared" si="124"/>
        <v>0</v>
      </c>
      <c r="M196" s="176">
        <f t="shared" si="123"/>
        <v>0</v>
      </c>
      <c r="N196" s="176">
        <f t="shared" si="123"/>
        <v>0</v>
      </c>
      <c r="O196" s="176">
        <f t="shared" si="125"/>
        <v>0</v>
      </c>
      <c r="P196" s="176">
        <f t="shared" si="123"/>
        <v>0</v>
      </c>
      <c r="Q196" s="175">
        <f t="shared" si="126"/>
        <v>0</v>
      </c>
      <c r="R196" s="176">
        <f t="shared" si="123"/>
        <v>0</v>
      </c>
      <c r="S196" s="176">
        <f t="shared" si="123"/>
        <v>0</v>
      </c>
      <c r="T196" s="176">
        <f t="shared" si="123"/>
        <v>0</v>
      </c>
      <c r="U196" s="176">
        <f t="shared" si="123"/>
        <v>0</v>
      </c>
    </row>
    <row r="197" spans="3:21" ht="18.75" x14ac:dyDescent="0.3">
      <c r="C197" s="294">
        <f t="shared" si="120"/>
        <v>1</v>
      </c>
      <c r="D197" s="113" t="s">
        <v>122</v>
      </c>
      <c r="E197" s="76" t="s">
        <v>52</v>
      </c>
      <c r="F197" s="176">
        <f t="shared" si="123"/>
        <v>0</v>
      </c>
      <c r="G197" s="176">
        <f t="shared" si="124"/>
        <v>0</v>
      </c>
      <c r="H197" s="176">
        <f t="shared" si="124"/>
        <v>0</v>
      </c>
      <c r="I197" s="176">
        <f t="shared" si="124"/>
        <v>0</v>
      </c>
      <c r="J197" s="176">
        <f t="shared" si="124"/>
        <v>0</v>
      </c>
      <c r="K197" s="176">
        <f t="shared" si="124"/>
        <v>0</v>
      </c>
      <c r="L197" s="176">
        <f t="shared" si="124"/>
        <v>0</v>
      </c>
      <c r="M197" s="176">
        <f t="shared" si="123"/>
        <v>0</v>
      </c>
      <c r="N197" s="176">
        <f t="shared" si="123"/>
        <v>0</v>
      </c>
      <c r="O197" s="176">
        <f t="shared" si="125"/>
        <v>0</v>
      </c>
      <c r="P197" s="176">
        <f t="shared" si="123"/>
        <v>0</v>
      </c>
      <c r="Q197" s="175">
        <f t="shared" si="126"/>
        <v>0</v>
      </c>
      <c r="R197" s="176">
        <f t="shared" si="123"/>
        <v>0</v>
      </c>
      <c r="S197" s="176">
        <f t="shared" si="123"/>
        <v>0</v>
      </c>
      <c r="T197" s="176">
        <f t="shared" si="123"/>
        <v>0</v>
      </c>
      <c r="U197" s="176">
        <f t="shared" si="123"/>
        <v>0</v>
      </c>
    </row>
    <row r="198" spans="3:21" ht="18.75" x14ac:dyDescent="0.3">
      <c r="C198" s="294">
        <f t="shared" si="120"/>
        <v>1</v>
      </c>
      <c r="D198" s="125" t="s">
        <v>123</v>
      </c>
      <c r="E198" s="76" t="s">
        <v>51</v>
      </c>
      <c r="F198" s="176">
        <f t="shared" si="123"/>
        <v>0</v>
      </c>
      <c r="G198" s="176">
        <f t="shared" si="124"/>
        <v>0</v>
      </c>
      <c r="H198" s="176">
        <f t="shared" si="124"/>
        <v>0</v>
      </c>
      <c r="I198" s="176">
        <f t="shared" si="124"/>
        <v>0</v>
      </c>
      <c r="J198" s="176">
        <f t="shared" si="124"/>
        <v>0</v>
      </c>
      <c r="K198" s="176">
        <f t="shared" si="124"/>
        <v>0</v>
      </c>
      <c r="L198" s="176">
        <f t="shared" si="124"/>
        <v>0</v>
      </c>
      <c r="M198" s="176">
        <f t="shared" si="123"/>
        <v>0</v>
      </c>
      <c r="N198" s="176">
        <f t="shared" si="123"/>
        <v>0</v>
      </c>
      <c r="O198" s="176">
        <f t="shared" si="125"/>
        <v>0</v>
      </c>
      <c r="P198" s="176">
        <f t="shared" si="123"/>
        <v>0</v>
      </c>
      <c r="Q198" s="175">
        <f t="shared" si="126"/>
        <v>0</v>
      </c>
      <c r="R198" s="176">
        <f t="shared" si="123"/>
        <v>0</v>
      </c>
      <c r="S198" s="176">
        <f t="shared" si="123"/>
        <v>0</v>
      </c>
      <c r="T198" s="176">
        <f t="shared" si="123"/>
        <v>0</v>
      </c>
      <c r="U198" s="176">
        <f t="shared" si="123"/>
        <v>0</v>
      </c>
    </row>
    <row r="199" spans="3:21" ht="19.5" thickBot="1" x14ac:dyDescent="0.35">
      <c r="C199" s="294">
        <f t="shared" si="120"/>
        <v>1</v>
      </c>
      <c r="D199" s="114" t="s">
        <v>16</v>
      </c>
      <c r="E199" s="70" t="s">
        <v>50</v>
      </c>
      <c r="F199" s="176">
        <f t="shared" si="123"/>
        <v>8021.0238743184973</v>
      </c>
      <c r="G199" s="176">
        <f t="shared" si="124"/>
        <v>159.33636636062633</v>
      </c>
      <c r="H199" s="176">
        <f t="shared" si="124"/>
        <v>0</v>
      </c>
      <c r="I199" s="176">
        <f t="shared" si="124"/>
        <v>0</v>
      </c>
      <c r="J199" s="176">
        <f t="shared" si="124"/>
        <v>340.17353369149237</v>
      </c>
      <c r="K199" s="176">
        <f t="shared" si="124"/>
        <v>1.4005092245378274</v>
      </c>
      <c r="L199" s="176">
        <f t="shared" si="124"/>
        <v>0.19709183894985816</v>
      </c>
      <c r="M199" s="176">
        <f t="shared" si="123"/>
        <v>0</v>
      </c>
      <c r="N199" s="176">
        <f t="shared" si="123"/>
        <v>0</v>
      </c>
      <c r="O199" s="176">
        <f t="shared" si="125"/>
        <v>101.93903465684994</v>
      </c>
      <c r="P199" s="176">
        <f t="shared" si="123"/>
        <v>1736.1889709812635</v>
      </c>
      <c r="Q199" s="175">
        <f t="shared" si="126"/>
        <v>10360.259381072217</v>
      </c>
      <c r="R199" s="176">
        <f t="shared" si="123"/>
        <v>0</v>
      </c>
      <c r="S199" s="176">
        <f t="shared" si="123"/>
        <v>720.38348979686327</v>
      </c>
      <c r="T199" s="176">
        <f t="shared" ca="1" si="123"/>
        <v>208.93058046595479</v>
      </c>
      <c r="U199" s="176">
        <f t="shared" ca="1" si="123"/>
        <v>11.90552952382173</v>
      </c>
    </row>
    <row r="200" spans="3:21" ht="19.5" thickBot="1" x14ac:dyDescent="0.3">
      <c r="C200" s="294">
        <f t="shared" si="120"/>
        <v>1</v>
      </c>
      <c r="D200" s="115" t="s">
        <v>124</v>
      </c>
      <c r="E200" s="116" t="s">
        <v>49</v>
      </c>
      <c r="F200" s="269">
        <f t="shared" ref="F200:U200" si="127">SUBTOTAL(9,F191:F199)</f>
        <v>83143.923757547935</v>
      </c>
      <c r="G200" s="269">
        <f t="shared" ref="G200:L200" si="128">SUBTOTAL(9,G191:G199)</f>
        <v>1848.6433582999834</v>
      </c>
      <c r="H200" s="269">
        <f t="shared" si="128"/>
        <v>0</v>
      </c>
      <c r="I200" s="269">
        <f t="shared" si="128"/>
        <v>2153.0452880694202</v>
      </c>
      <c r="J200" s="269">
        <f t="shared" si="128"/>
        <v>587.00915087891963</v>
      </c>
      <c r="K200" s="269">
        <f t="shared" si="128"/>
        <v>76.316391718880851</v>
      </c>
      <c r="L200" s="269">
        <f t="shared" si="128"/>
        <v>0.19709183894985816</v>
      </c>
      <c r="M200" s="269">
        <f t="shared" si="127"/>
        <v>0</v>
      </c>
      <c r="N200" s="269">
        <f t="shared" si="127"/>
        <v>0</v>
      </c>
      <c r="O200" s="269">
        <f>SUBTOTAL(9,O191:O199)</f>
        <v>104.04796015831482</v>
      </c>
      <c r="P200" s="269">
        <f t="shared" si="127"/>
        <v>1736.1889709812635</v>
      </c>
      <c r="Q200" s="183">
        <f>SUBTOTAL(9,Q191:Q199)</f>
        <v>89649.371969493674</v>
      </c>
      <c r="R200" s="269">
        <f t="shared" si="127"/>
        <v>0</v>
      </c>
      <c r="S200" s="269">
        <f t="shared" si="127"/>
        <v>6771.0409026046391</v>
      </c>
      <c r="T200" s="269">
        <f t="shared" ca="1" si="127"/>
        <v>2784.3170982032489</v>
      </c>
      <c r="U200" s="269">
        <f t="shared" ca="1" si="127"/>
        <v>1925.8818118614481</v>
      </c>
    </row>
    <row r="201" spans="3:21" ht="15.75" hidden="1" thickBot="1" x14ac:dyDescent="0.3"/>
    <row r="202" spans="3:21" ht="93.75" x14ac:dyDescent="0.25">
      <c r="C202" s="294">
        <f>IF($E$202&gt;0,1,0)</f>
        <v>1</v>
      </c>
      <c r="D202" s="96" t="str">
        <f>A17</f>
        <v>Dutchess</v>
      </c>
      <c r="E202" s="166">
        <f>IFERROR(SUMIF(A:A,D202,B:B),0)</f>
        <v>8.4414902213022138E-3</v>
      </c>
      <c r="F202" s="98" t="s">
        <v>356</v>
      </c>
      <c r="G202" s="98" t="s">
        <v>373</v>
      </c>
      <c r="H202" s="98" t="s">
        <v>358</v>
      </c>
      <c r="I202" s="98" t="s">
        <v>109</v>
      </c>
      <c r="J202" s="98" t="s">
        <v>111</v>
      </c>
      <c r="K202" s="98" t="s">
        <v>469</v>
      </c>
      <c r="L202" s="98" t="s">
        <v>470</v>
      </c>
      <c r="M202" s="98" t="s">
        <v>357</v>
      </c>
      <c r="N202" s="557" t="s">
        <v>471</v>
      </c>
      <c r="O202" s="557" t="s">
        <v>473</v>
      </c>
      <c r="P202" s="98" t="s">
        <v>110</v>
      </c>
      <c r="Q202" s="99" t="s">
        <v>116</v>
      </c>
      <c r="R202" s="98" t="s">
        <v>112</v>
      </c>
      <c r="S202" s="98" t="s">
        <v>113</v>
      </c>
      <c r="T202" s="98" t="s">
        <v>114</v>
      </c>
      <c r="U202" s="98" t="s">
        <v>115</v>
      </c>
    </row>
    <row r="203" spans="3:21" ht="18.75" x14ac:dyDescent="0.25">
      <c r="C203" s="294">
        <f t="shared" ref="C203:C214" si="129">IF($E$202&gt;0,1,0)</f>
        <v>1</v>
      </c>
      <c r="D203" s="101"/>
      <c r="E203" s="102"/>
      <c r="F203" s="84" t="s">
        <v>57</v>
      </c>
      <c r="G203" s="84" t="s">
        <v>56</v>
      </c>
      <c r="H203" s="84" t="s">
        <v>55</v>
      </c>
      <c r="I203" s="84" t="s">
        <v>54</v>
      </c>
      <c r="J203" s="84" t="s">
        <v>53</v>
      </c>
      <c r="K203" s="84" t="s">
        <v>52</v>
      </c>
      <c r="L203" s="84" t="s">
        <v>51</v>
      </c>
      <c r="M203" s="84" t="s">
        <v>50</v>
      </c>
      <c r="N203" s="84" t="s">
        <v>49</v>
      </c>
      <c r="O203" s="84" t="s">
        <v>47</v>
      </c>
      <c r="P203" s="84" t="s">
        <v>77</v>
      </c>
      <c r="Q203" s="84" t="s">
        <v>78</v>
      </c>
      <c r="R203" s="84" t="s">
        <v>79</v>
      </c>
      <c r="S203" s="84" t="s">
        <v>81</v>
      </c>
      <c r="T203" s="84" t="s">
        <v>83</v>
      </c>
      <c r="U203" s="84" t="s">
        <v>85</v>
      </c>
    </row>
    <row r="204" spans="3:21" ht="18.75" x14ac:dyDescent="0.25">
      <c r="C204" s="294">
        <f t="shared" si="129"/>
        <v>1</v>
      </c>
      <c r="D204" s="103" t="s">
        <v>26</v>
      </c>
      <c r="E204" s="122"/>
      <c r="F204" s="123"/>
      <c r="G204" s="123"/>
      <c r="H204" s="107"/>
      <c r="I204" s="107"/>
      <c r="J204" s="107"/>
      <c r="K204" s="107"/>
      <c r="L204" s="107"/>
      <c r="M204" s="123"/>
      <c r="N204" s="107"/>
      <c r="O204" s="107"/>
      <c r="P204" s="107"/>
      <c r="Q204" s="108"/>
      <c r="R204" s="107"/>
      <c r="S204" s="107"/>
      <c r="T204" s="107"/>
      <c r="U204" s="107"/>
    </row>
    <row r="205" spans="3:21" ht="18.75" x14ac:dyDescent="0.25">
      <c r="C205" s="294">
        <f t="shared" si="129"/>
        <v>1</v>
      </c>
      <c r="D205" s="124" t="s">
        <v>105</v>
      </c>
      <c r="E205" s="76" t="s">
        <v>57</v>
      </c>
      <c r="F205" s="176">
        <f t="shared" ref="F205:M205" si="130">F6*$E$202</f>
        <v>595381.61217782437</v>
      </c>
      <c r="G205" s="176">
        <f t="shared" si="130"/>
        <v>13388.491683461465</v>
      </c>
      <c r="H205" s="176">
        <f t="shared" si="130"/>
        <v>0</v>
      </c>
      <c r="I205" s="176">
        <f t="shared" si="130"/>
        <v>17063.819111019297</v>
      </c>
      <c r="J205" s="176">
        <f t="shared" si="130"/>
        <v>1956.2794824533476</v>
      </c>
      <c r="K205" s="176">
        <f t="shared" si="130"/>
        <v>593.74090945021919</v>
      </c>
      <c r="L205" s="176">
        <f t="shared" si="130"/>
        <v>0</v>
      </c>
      <c r="M205" s="176">
        <f t="shared" si="130"/>
        <v>0</v>
      </c>
      <c r="N205" s="176">
        <f t="shared" ref="N205:U205" si="131">N6*$E$202</f>
        <v>0</v>
      </c>
      <c r="O205" s="176">
        <f>O6*$E$202</f>
        <v>16.714150638178385</v>
      </c>
      <c r="P205" s="176">
        <f t="shared" si="131"/>
        <v>0</v>
      </c>
      <c r="Q205" s="175">
        <f>SUM(F205:P205)</f>
        <v>628400.65751484688</v>
      </c>
      <c r="R205" s="176">
        <f t="shared" si="131"/>
        <v>0</v>
      </c>
      <c r="S205" s="176">
        <f t="shared" si="131"/>
        <v>47954.088177810278</v>
      </c>
      <c r="T205" s="176">
        <f t="shared" ca="1" si="131"/>
        <v>20411.056805513021</v>
      </c>
      <c r="U205" s="176">
        <f t="shared" ca="1" si="131"/>
        <v>15169.093397879986</v>
      </c>
    </row>
    <row r="206" spans="3:21" ht="18.75" x14ac:dyDescent="0.25">
      <c r="C206" s="294">
        <f t="shared" si="129"/>
        <v>1</v>
      </c>
      <c r="D206" s="112" t="s">
        <v>31</v>
      </c>
      <c r="E206" s="76"/>
      <c r="F206" s="177"/>
      <c r="G206" s="177"/>
      <c r="H206" s="178"/>
      <c r="I206" s="178"/>
      <c r="J206" s="178"/>
      <c r="K206" s="178"/>
      <c r="L206" s="178"/>
      <c r="M206" s="177"/>
      <c r="N206" s="178"/>
      <c r="O206" s="178"/>
      <c r="P206" s="178"/>
      <c r="Q206" s="179"/>
      <c r="R206" s="178"/>
      <c r="S206" s="178"/>
      <c r="T206" s="178"/>
      <c r="U206" s="178"/>
    </row>
    <row r="207" spans="3:21" ht="18.75" x14ac:dyDescent="0.3">
      <c r="C207" s="294">
        <f t="shared" si="129"/>
        <v>1</v>
      </c>
      <c r="D207" s="113" t="s">
        <v>118</v>
      </c>
      <c r="E207" s="76" t="s">
        <v>56</v>
      </c>
      <c r="F207" s="176">
        <f t="shared" ref="F207:U213" si="132">F8*$E$202</f>
        <v>0</v>
      </c>
      <c r="G207" s="176">
        <f t="shared" ref="G207:L213" si="133">G8*$E$202</f>
        <v>0</v>
      </c>
      <c r="H207" s="176">
        <f t="shared" si="133"/>
        <v>0</v>
      </c>
      <c r="I207" s="176">
        <f t="shared" si="133"/>
        <v>0</v>
      </c>
      <c r="J207" s="176">
        <f t="shared" si="133"/>
        <v>0</v>
      </c>
      <c r="K207" s="176">
        <f t="shared" si="133"/>
        <v>0</v>
      </c>
      <c r="L207" s="176">
        <f t="shared" si="133"/>
        <v>0</v>
      </c>
      <c r="M207" s="176">
        <f t="shared" si="132"/>
        <v>0</v>
      </c>
      <c r="N207" s="176">
        <f t="shared" si="132"/>
        <v>0</v>
      </c>
      <c r="O207" s="176">
        <f t="shared" ref="O207:O213" si="134">O8*$E$202</f>
        <v>0</v>
      </c>
      <c r="P207" s="176">
        <f t="shared" si="132"/>
        <v>0</v>
      </c>
      <c r="Q207" s="175">
        <f t="shared" ref="Q207:Q213" si="135">SUM(F207:P207)</f>
        <v>0</v>
      </c>
      <c r="R207" s="176">
        <f t="shared" si="132"/>
        <v>0</v>
      </c>
      <c r="S207" s="176">
        <f t="shared" si="132"/>
        <v>0</v>
      </c>
      <c r="T207" s="176">
        <f t="shared" si="132"/>
        <v>0</v>
      </c>
      <c r="U207" s="176">
        <f t="shared" si="132"/>
        <v>0</v>
      </c>
    </row>
    <row r="208" spans="3:21" ht="18.75" x14ac:dyDescent="0.3">
      <c r="C208" s="294">
        <f t="shared" si="129"/>
        <v>1</v>
      </c>
      <c r="D208" s="113" t="s">
        <v>119</v>
      </c>
      <c r="E208" s="76" t="s">
        <v>55</v>
      </c>
      <c r="F208" s="176">
        <f t="shared" si="132"/>
        <v>0</v>
      </c>
      <c r="G208" s="176">
        <f t="shared" si="133"/>
        <v>0</v>
      </c>
      <c r="H208" s="176">
        <f t="shared" si="133"/>
        <v>0</v>
      </c>
      <c r="I208" s="176">
        <f t="shared" si="133"/>
        <v>0</v>
      </c>
      <c r="J208" s="176">
        <f t="shared" si="133"/>
        <v>0</v>
      </c>
      <c r="K208" s="176">
        <f t="shared" si="133"/>
        <v>0</v>
      </c>
      <c r="L208" s="176">
        <f t="shared" si="133"/>
        <v>0</v>
      </c>
      <c r="M208" s="176">
        <f t="shared" si="132"/>
        <v>0</v>
      </c>
      <c r="N208" s="176">
        <f t="shared" si="132"/>
        <v>0</v>
      </c>
      <c r="O208" s="176">
        <f t="shared" si="134"/>
        <v>0</v>
      </c>
      <c r="P208" s="176">
        <f t="shared" si="132"/>
        <v>0</v>
      </c>
      <c r="Q208" s="175">
        <f t="shared" si="135"/>
        <v>0</v>
      </c>
      <c r="R208" s="176">
        <f t="shared" si="132"/>
        <v>0</v>
      </c>
      <c r="S208" s="176">
        <f t="shared" si="132"/>
        <v>0</v>
      </c>
      <c r="T208" s="176">
        <f t="shared" si="132"/>
        <v>0</v>
      </c>
      <c r="U208" s="176">
        <f t="shared" si="132"/>
        <v>0</v>
      </c>
    </row>
    <row r="209" spans="3:21" ht="18.75" x14ac:dyDescent="0.3">
      <c r="C209" s="294">
        <f t="shared" si="129"/>
        <v>1</v>
      </c>
      <c r="D209" s="113" t="s">
        <v>120</v>
      </c>
      <c r="E209" s="76" t="s">
        <v>54</v>
      </c>
      <c r="F209" s="176">
        <f t="shared" si="132"/>
        <v>0</v>
      </c>
      <c r="G209" s="176">
        <f t="shared" si="133"/>
        <v>0</v>
      </c>
      <c r="H209" s="176">
        <f t="shared" si="133"/>
        <v>0</v>
      </c>
      <c r="I209" s="176">
        <f t="shared" si="133"/>
        <v>0</v>
      </c>
      <c r="J209" s="176">
        <f t="shared" si="133"/>
        <v>0</v>
      </c>
      <c r="K209" s="176">
        <f t="shared" si="133"/>
        <v>0</v>
      </c>
      <c r="L209" s="176">
        <f t="shared" si="133"/>
        <v>0</v>
      </c>
      <c r="M209" s="176">
        <f t="shared" si="132"/>
        <v>0</v>
      </c>
      <c r="N209" s="176">
        <f t="shared" si="132"/>
        <v>0</v>
      </c>
      <c r="O209" s="176">
        <f t="shared" si="134"/>
        <v>0</v>
      </c>
      <c r="P209" s="176">
        <f t="shared" si="132"/>
        <v>0</v>
      </c>
      <c r="Q209" s="175">
        <f t="shared" si="135"/>
        <v>0</v>
      </c>
      <c r="R209" s="176">
        <f t="shared" si="132"/>
        <v>0</v>
      </c>
      <c r="S209" s="176">
        <f t="shared" si="132"/>
        <v>0</v>
      </c>
      <c r="T209" s="176">
        <f t="shared" si="132"/>
        <v>0</v>
      </c>
      <c r="U209" s="176">
        <f t="shared" si="132"/>
        <v>0</v>
      </c>
    </row>
    <row r="210" spans="3:21" ht="18.75" x14ac:dyDescent="0.3">
      <c r="C210" s="294">
        <f t="shared" si="129"/>
        <v>1</v>
      </c>
      <c r="D210" s="113" t="s">
        <v>121</v>
      </c>
      <c r="E210" s="76" t="s">
        <v>53</v>
      </c>
      <c r="F210" s="176">
        <f t="shared" si="132"/>
        <v>0</v>
      </c>
      <c r="G210" s="176">
        <f t="shared" si="133"/>
        <v>0</v>
      </c>
      <c r="H210" s="176">
        <f t="shared" si="133"/>
        <v>0</v>
      </c>
      <c r="I210" s="176">
        <f t="shared" si="133"/>
        <v>0</v>
      </c>
      <c r="J210" s="176">
        <f t="shared" si="133"/>
        <v>0</v>
      </c>
      <c r="K210" s="176">
        <f t="shared" si="133"/>
        <v>0</v>
      </c>
      <c r="L210" s="176">
        <f t="shared" si="133"/>
        <v>0</v>
      </c>
      <c r="M210" s="176">
        <f t="shared" si="132"/>
        <v>0</v>
      </c>
      <c r="N210" s="176">
        <f t="shared" si="132"/>
        <v>0</v>
      </c>
      <c r="O210" s="176">
        <f t="shared" si="134"/>
        <v>0</v>
      </c>
      <c r="P210" s="176">
        <f t="shared" si="132"/>
        <v>0</v>
      </c>
      <c r="Q210" s="175">
        <f t="shared" si="135"/>
        <v>0</v>
      </c>
      <c r="R210" s="176">
        <f t="shared" si="132"/>
        <v>0</v>
      </c>
      <c r="S210" s="176">
        <f t="shared" si="132"/>
        <v>0</v>
      </c>
      <c r="T210" s="176">
        <f t="shared" si="132"/>
        <v>0</v>
      </c>
      <c r="U210" s="176">
        <f t="shared" si="132"/>
        <v>0</v>
      </c>
    </row>
    <row r="211" spans="3:21" ht="18.75" x14ac:dyDescent="0.3">
      <c r="C211" s="294">
        <f t="shared" si="129"/>
        <v>1</v>
      </c>
      <c r="D211" s="113" t="s">
        <v>122</v>
      </c>
      <c r="E211" s="76" t="s">
        <v>52</v>
      </c>
      <c r="F211" s="176">
        <f t="shared" si="132"/>
        <v>0</v>
      </c>
      <c r="G211" s="176">
        <f t="shared" si="133"/>
        <v>0</v>
      </c>
      <c r="H211" s="176">
        <f t="shared" si="133"/>
        <v>0</v>
      </c>
      <c r="I211" s="176">
        <f t="shared" si="133"/>
        <v>0</v>
      </c>
      <c r="J211" s="176">
        <f t="shared" si="133"/>
        <v>0</v>
      </c>
      <c r="K211" s="176">
        <f t="shared" si="133"/>
        <v>0</v>
      </c>
      <c r="L211" s="176">
        <f t="shared" si="133"/>
        <v>0</v>
      </c>
      <c r="M211" s="176">
        <f t="shared" si="132"/>
        <v>0</v>
      </c>
      <c r="N211" s="176">
        <f t="shared" si="132"/>
        <v>0</v>
      </c>
      <c r="O211" s="176">
        <f t="shared" si="134"/>
        <v>0</v>
      </c>
      <c r="P211" s="176">
        <f t="shared" si="132"/>
        <v>0</v>
      </c>
      <c r="Q211" s="175">
        <f t="shared" si="135"/>
        <v>0</v>
      </c>
      <c r="R211" s="176">
        <f t="shared" si="132"/>
        <v>0</v>
      </c>
      <c r="S211" s="176">
        <f t="shared" si="132"/>
        <v>0</v>
      </c>
      <c r="T211" s="176">
        <f t="shared" si="132"/>
        <v>0</v>
      </c>
      <c r="U211" s="176">
        <f t="shared" si="132"/>
        <v>0</v>
      </c>
    </row>
    <row r="212" spans="3:21" ht="18.75" x14ac:dyDescent="0.3">
      <c r="C212" s="294">
        <f t="shared" si="129"/>
        <v>1</v>
      </c>
      <c r="D212" s="125" t="s">
        <v>123</v>
      </c>
      <c r="E212" s="76" t="s">
        <v>51</v>
      </c>
      <c r="F212" s="176">
        <f t="shared" si="132"/>
        <v>0</v>
      </c>
      <c r="G212" s="176">
        <f t="shared" si="133"/>
        <v>0</v>
      </c>
      <c r="H212" s="176">
        <f t="shared" si="133"/>
        <v>0</v>
      </c>
      <c r="I212" s="176">
        <f t="shared" si="133"/>
        <v>0</v>
      </c>
      <c r="J212" s="176">
        <f t="shared" si="133"/>
        <v>0</v>
      </c>
      <c r="K212" s="176">
        <f t="shared" si="133"/>
        <v>0</v>
      </c>
      <c r="L212" s="176">
        <f t="shared" si="133"/>
        <v>0</v>
      </c>
      <c r="M212" s="176">
        <f t="shared" si="132"/>
        <v>0</v>
      </c>
      <c r="N212" s="176">
        <f t="shared" si="132"/>
        <v>0</v>
      </c>
      <c r="O212" s="176">
        <f t="shared" si="134"/>
        <v>0</v>
      </c>
      <c r="P212" s="176">
        <f t="shared" si="132"/>
        <v>0</v>
      </c>
      <c r="Q212" s="175">
        <f t="shared" si="135"/>
        <v>0</v>
      </c>
      <c r="R212" s="176">
        <f t="shared" si="132"/>
        <v>0</v>
      </c>
      <c r="S212" s="176">
        <f t="shared" si="132"/>
        <v>0</v>
      </c>
      <c r="T212" s="176">
        <f t="shared" si="132"/>
        <v>0</v>
      </c>
      <c r="U212" s="176">
        <f t="shared" si="132"/>
        <v>0</v>
      </c>
    </row>
    <row r="213" spans="3:21" ht="19.5" thickBot="1" x14ac:dyDescent="0.35">
      <c r="C213" s="294">
        <f t="shared" si="129"/>
        <v>1</v>
      </c>
      <c r="D213" s="114" t="s">
        <v>16</v>
      </c>
      <c r="E213" s="70" t="s">
        <v>50</v>
      </c>
      <c r="F213" s="176">
        <f t="shared" si="132"/>
        <v>63570.09823944074</v>
      </c>
      <c r="G213" s="176">
        <f t="shared" si="133"/>
        <v>1262.8099132196069</v>
      </c>
      <c r="H213" s="176">
        <f t="shared" si="133"/>
        <v>0</v>
      </c>
      <c r="I213" s="176">
        <f t="shared" si="133"/>
        <v>0</v>
      </c>
      <c r="J213" s="176">
        <f t="shared" si="133"/>
        <v>2696.023013279364</v>
      </c>
      <c r="K213" s="176">
        <f t="shared" si="133"/>
        <v>11.099643933758657</v>
      </c>
      <c r="L213" s="176">
        <f t="shared" si="133"/>
        <v>1.5620384330671313</v>
      </c>
      <c r="M213" s="176">
        <f t="shared" si="132"/>
        <v>0</v>
      </c>
      <c r="N213" s="176">
        <f t="shared" si="132"/>
        <v>0</v>
      </c>
      <c r="O213" s="176">
        <f t="shared" si="134"/>
        <v>807.91112819375553</v>
      </c>
      <c r="P213" s="176">
        <f t="shared" si="132"/>
        <v>13760.051731162559</v>
      </c>
      <c r="Q213" s="175">
        <f t="shared" si="135"/>
        <v>82109.555707662847</v>
      </c>
      <c r="R213" s="176">
        <f t="shared" si="132"/>
        <v>0</v>
      </c>
      <c r="S213" s="176">
        <f t="shared" si="132"/>
        <v>5709.3520645266362</v>
      </c>
      <c r="T213" s="176">
        <f t="shared" ca="1" si="132"/>
        <v>1655.8656018927013</v>
      </c>
      <c r="U213" s="176">
        <f t="shared" ca="1" si="132"/>
        <v>94.356492797026334</v>
      </c>
    </row>
    <row r="214" spans="3:21" ht="19.5" thickBot="1" x14ac:dyDescent="0.3">
      <c r="C214" s="294">
        <f t="shared" si="129"/>
        <v>1</v>
      </c>
      <c r="D214" s="115" t="s">
        <v>124</v>
      </c>
      <c r="E214" s="116" t="s">
        <v>49</v>
      </c>
      <c r="F214" s="269">
        <f t="shared" ref="F214:U214" si="136">SUBTOTAL(9,F205:F213)</f>
        <v>658951.71041726507</v>
      </c>
      <c r="G214" s="269">
        <f t="shared" ref="G214:L214" si="137">SUBTOTAL(9,G205:G213)</f>
        <v>14651.301596681073</v>
      </c>
      <c r="H214" s="269">
        <f t="shared" si="137"/>
        <v>0</v>
      </c>
      <c r="I214" s="269">
        <f t="shared" si="137"/>
        <v>17063.819111019297</v>
      </c>
      <c r="J214" s="269">
        <f t="shared" si="137"/>
        <v>4652.3024957327116</v>
      </c>
      <c r="K214" s="269">
        <f t="shared" si="137"/>
        <v>604.84055338397786</v>
      </c>
      <c r="L214" s="269">
        <f t="shared" si="137"/>
        <v>1.5620384330671313</v>
      </c>
      <c r="M214" s="269">
        <f t="shared" si="136"/>
        <v>0</v>
      </c>
      <c r="N214" s="269">
        <f t="shared" si="136"/>
        <v>0</v>
      </c>
      <c r="O214" s="269">
        <f>SUBTOTAL(9,O205:O213)</f>
        <v>824.62527883193388</v>
      </c>
      <c r="P214" s="269">
        <f t="shared" si="136"/>
        <v>13760.051731162559</v>
      </c>
      <c r="Q214" s="183">
        <f>SUBTOTAL(9,Q205:Q213)</f>
        <v>710510.21322250972</v>
      </c>
      <c r="R214" s="269">
        <f t="shared" si="136"/>
        <v>0</v>
      </c>
      <c r="S214" s="269">
        <f t="shared" si="136"/>
        <v>53663.440242336917</v>
      </c>
      <c r="T214" s="269">
        <f t="shared" ca="1" si="136"/>
        <v>22066.92240740572</v>
      </c>
      <c r="U214" s="269">
        <f t="shared" ca="1" si="136"/>
        <v>15263.449890677011</v>
      </c>
    </row>
    <row r="215" spans="3:21" ht="15.75" hidden="1" thickBot="1" x14ac:dyDescent="0.3"/>
    <row r="216" spans="3:21" ht="93.75" x14ac:dyDescent="0.25">
      <c r="C216" s="294">
        <f>IF($E$216&gt;0,1,0)</f>
        <v>1</v>
      </c>
      <c r="D216" s="96" t="str">
        <f>A18</f>
        <v>Erie</v>
      </c>
      <c r="E216" s="166">
        <f>IFERROR(SUMIF(A:A,D216,B:B),0)</f>
        <v>2.6305537197862446E-2</v>
      </c>
      <c r="F216" s="98" t="s">
        <v>356</v>
      </c>
      <c r="G216" s="98" t="s">
        <v>373</v>
      </c>
      <c r="H216" s="98" t="s">
        <v>358</v>
      </c>
      <c r="I216" s="98" t="s">
        <v>109</v>
      </c>
      <c r="J216" s="98" t="s">
        <v>111</v>
      </c>
      <c r="K216" s="98" t="s">
        <v>469</v>
      </c>
      <c r="L216" s="98" t="s">
        <v>470</v>
      </c>
      <c r="M216" s="98" t="s">
        <v>357</v>
      </c>
      <c r="N216" s="557" t="s">
        <v>471</v>
      </c>
      <c r="O216" s="557" t="s">
        <v>473</v>
      </c>
      <c r="P216" s="98" t="s">
        <v>110</v>
      </c>
      <c r="Q216" s="99" t="s">
        <v>116</v>
      </c>
      <c r="R216" s="98" t="s">
        <v>112</v>
      </c>
      <c r="S216" s="98" t="s">
        <v>113</v>
      </c>
      <c r="T216" s="98" t="s">
        <v>114</v>
      </c>
      <c r="U216" s="98" t="s">
        <v>115</v>
      </c>
    </row>
    <row r="217" spans="3:21" ht="18.75" x14ac:dyDescent="0.25">
      <c r="C217" s="294">
        <f t="shared" ref="C217:C228" si="138">IF($E$216&gt;0,1,0)</f>
        <v>1</v>
      </c>
      <c r="D217" s="101"/>
      <c r="E217" s="102"/>
      <c r="F217" s="84" t="s">
        <v>57</v>
      </c>
      <c r="G217" s="84" t="s">
        <v>56</v>
      </c>
      <c r="H217" s="84" t="s">
        <v>55</v>
      </c>
      <c r="I217" s="84" t="s">
        <v>54</v>
      </c>
      <c r="J217" s="84" t="s">
        <v>53</v>
      </c>
      <c r="K217" s="84" t="s">
        <v>52</v>
      </c>
      <c r="L217" s="84" t="s">
        <v>51</v>
      </c>
      <c r="M217" s="84" t="s">
        <v>50</v>
      </c>
      <c r="N217" s="84" t="s">
        <v>49</v>
      </c>
      <c r="O217" s="84" t="s">
        <v>47</v>
      </c>
      <c r="P217" s="84" t="s">
        <v>77</v>
      </c>
      <c r="Q217" s="84" t="s">
        <v>78</v>
      </c>
      <c r="R217" s="84" t="s">
        <v>79</v>
      </c>
      <c r="S217" s="84" t="s">
        <v>81</v>
      </c>
      <c r="T217" s="84" t="s">
        <v>83</v>
      </c>
      <c r="U217" s="84" t="s">
        <v>85</v>
      </c>
    </row>
    <row r="218" spans="3:21" ht="18.75" x14ac:dyDescent="0.25">
      <c r="C218" s="294">
        <f t="shared" si="138"/>
        <v>1</v>
      </c>
      <c r="D218" s="103" t="s">
        <v>26</v>
      </c>
      <c r="E218" s="122"/>
      <c r="F218" s="123"/>
      <c r="G218" s="123"/>
      <c r="H218" s="107"/>
      <c r="I218" s="107"/>
      <c r="J218" s="107"/>
      <c r="K218" s="107"/>
      <c r="L218" s="107"/>
      <c r="M218" s="123"/>
      <c r="N218" s="107"/>
      <c r="O218" s="107"/>
      <c r="P218" s="107"/>
      <c r="Q218" s="108"/>
      <c r="R218" s="107"/>
      <c r="S218" s="107"/>
      <c r="T218" s="107"/>
      <c r="U218" s="107"/>
    </row>
    <row r="219" spans="3:21" ht="18.75" x14ac:dyDescent="0.25">
      <c r="C219" s="294">
        <f t="shared" si="138"/>
        <v>1</v>
      </c>
      <c r="D219" s="124" t="s">
        <v>105</v>
      </c>
      <c r="E219" s="76" t="s">
        <v>57</v>
      </c>
      <c r="F219" s="176">
        <f t="shared" ref="F219:M219" si="139">F6*$E$216</f>
        <v>1855339.8434963801</v>
      </c>
      <c r="G219" s="176">
        <f t="shared" si="139"/>
        <v>41721.48006684977</v>
      </c>
      <c r="H219" s="176">
        <f t="shared" si="139"/>
        <v>0</v>
      </c>
      <c r="I219" s="176">
        <f t="shared" si="139"/>
        <v>53174.607396899824</v>
      </c>
      <c r="J219" s="176">
        <f t="shared" si="139"/>
        <v>6096.1964470715311</v>
      </c>
      <c r="K219" s="176">
        <f t="shared" si="139"/>
        <v>1850.2270535149689</v>
      </c>
      <c r="L219" s="176">
        <f t="shared" si="139"/>
        <v>0</v>
      </c>
      <c r="M219" s="176">
        <f t="shared" si="139"/>
        <v>0</v>
      </c>
      <c r="N219" s="176">
        <f t="shared" ref="N219:U219" si="140">N6*$E$216</f>
        <v>0</v>
      </c>
      <c r="O219" s="176">
        <f>O6*$E$216</f>
        <v>52.084963651767644</v>
      </c>
      <c r="P219" s="176">
        <f t="shared" si="140"/>
        <v>0</v>
      </c>
      <c r="Q219" s="175">
        <f>SUM(F219:P219)</f>
        <v>1958234.4394243681</v>
      </c>
      <c r="R219" s="176">
        <f t="shared" si="140"/>
        <v>0</v>
      </c>
      <c r="S219" s="176">
        <f t="shared" si="140"/>
        <v>149435.46900850013</v>
      </c>
      <c r="T219" s="176">
        <f t="shared" ca="1" si="140"/>
        <v>63605.335073441383</v>
      </c>
      <c r="U219" s="176">
        <f t="shared" ca="1" si="140"/>
        <v>47270.226011613588</v>
      </c>
    </row>
    <row r="220" spans="3:21" ht="18.75" x14ac:dyDescent="0.25">
      <c r="C220" s="294">
        <f t="shared" si="138"/>
        <v>1</v>
      </c>
      <c r="D220" s="112" t="s">
        <v>31</v>
      </c>
      <c r="E220" s="76"/>
      <c r="F220" s="177"/>
      <c r="G220" s="177"/>
      <c r="H220" s="178"/>
      <c r="I220" s="178"/>
      <c r="J220" s="178"/>
      <c r="K220" s="178"/>
      <c r="L220" s="178"/>
      <c r="M220" s="177"/>
      <c r="N220" s="178"/>
      <c r="O220" s="178"/>
      <c r="P220" s="178"/>
      <c r="Q220" s="179"/>
      <c r="R220" s="178"/>
      <c r="S220" s="178"/>
      <c r="T220" s="178"/>
      <c r="U220" s="178"/>
    </row>
    <row r="221" spans="3:21" ht="18.75" x14ac:dyDescent="0.3">
      <c r="C221" s="294">
        <f t="shared" si="138"/>
        <v>1</v>
      </c>
      <c r="D221" s="113" t="s">
        <v>118</v>
      </c>
      <c r="E221" s="76" t="s">
        <v>56</v>
      </c>
      <c r="F221" s="176">
        <f t="shared" ref="F221:U227" si="141">F8*$E$216</f>
        <v>0</v>
      </c>
      <c r="G221" s="176">
        <f t="shared" ref="G221:L227" si="142">G8*$E$216</f>
        <v>0</v>
      </c>
      <c r="H221" s="176">
        <f t="shared" si="142"/>
        <v>0</v>
      </c>
      <c r="I221" s="176">
        <f t="shared" si="142"/>
        <v>0</v>
      </c>
      <c r="J221" s="176">
        <f t="shared" si="142"/>
        <v>0</v>
      </c>
      <c r="K221" s="176">
        <f t="shared" si="142"/>
        <v>0</v>
      </c>
      <c r="L221" s="176">
        <f t="shared" si="142"/>
        <v>0</v>
      </c>
      <c r="M221" s="176">
        <f t="shared" si="141"/>
        <v>0</v>
      </c>
      <c r="N221" s="176">
        <f t="shared" si="141"/>
        <v>0</v>
      </c>
      <c r="O221" s="176">
        <f t="shared" ref="O221:O227" si="143">O8*$E$216</f>
        <v>0</v>
      </c>
      <c r="P221" s="176">
        <f t="shared" si="141"/>
        <v>0</v>
      </c>
      <c r="Q221" s="175">
        <f t="shared" ref="Q221:Q227" si="144">SUM(F221:P221)</f>
        <v>0</v>
      </c>
      <c r="R221" s="176">
        <f t="shared" si="141"/>
        <v>0</v>
      </c>
      <c r="S221" s="176">
        <f t="shared" si="141"/>
        <v>0</v>
      </c>
      <c r="T221" s="176">
        <f t="shared" si="141"/>
        <v>0</v>
      </c>
      <c r="U221" s="176">
        <f t="shared" si="141"/>
        <v>0</v>
      </c>
    </row>
    <row r="222" spans="3:21" ht="18.75" x14ac:dyDescent="0.3">
      <c r="C222" s="294">
        <f t="shared" si="138"/>
        <v>1</v>
      </c>
      <c r="D222" s="113" t="s">
        <v>119</v>
      </c>
      <c r="E222" s="76" t="s">
        <v>55</v>
      </c>
      <c r="F222" s="176">
        <f t="shared" si="141"/>
        <v>0</v>
      </c>
      <c r="G222" s="176">
        <f t="shared" si="142"/>
        <v>0</v>
      </c>
      <c r="H222" s="176">
        <f t="shared" si="142"/>
        <v>0</v>
      </c>
      <c r="I222" s="176">
        <f t="shared" si="142"/>
        <v>0</v>
      </c>
      <c r="J222" s="176">
        <f t="shared" si="142"/>
        <v>0</v>
      </c>
      <c r="K222" s="176">
        <f t="shared" si="142"/>
        <v>0</v>
      </c>
      <c r="L222" s="176">
        <f t="shared" si="142"/>
        <v>0</v>
      </c>
      <c r="M222" s="176">
        <f t="shared" si="141"/>
        <v>0</v>
      </c>
      <c r="N222" s="176">
        <f t="shared" si="141"/>
        <v>0</v>
      </c>
      <c r="O222" s="176">
        <f t="shared" si="143"/>
        <v>0</v>
      </c>
      <c r="P222" s="176">
        <f t="shared" si="141"/>
        <v>0</v>
      </c>
      <c r="Q222" s="175">
        <f t="shared" si="144"/>
        <v>0</v>
      </c>
      <c r="R222" s="176">
        <f t="shared" si="141"/>
        <v>0</v>
      </c>
      <c r="S222" s="176">
        <f t="shared" si="141"/>
        <v>0</v>
      </c>
      <c r="T222" s="176">
        <f t="shared" si="141"/>
        <v>0</v>
      </c>
      <c r="U222" s="176">
        <f t="shared" si="141"/>
        <v>0</v>
      </c>
    </row>
    <row r="223" spans="3:21" ht="18.75" x14ac:dyDescent="0.3">
      <c r="C223" s="294">
        <f t="shared" si="138"/>
        <v>1</v>
      </c>
      <c r="D223" s="113" t="s">
        <v>120</v>
      </c>
      <c r="E223" s="76" t="s">
        <v>54</v>
      </c>
      <c r="F223" s="176">
        <f t="shared" si="141"/>
        <v>0</v>
      </c>
      <c r="G223" s="176">
        <f t="shared" si="142"/>
        <v>0</v>
      </c>
      <c r="H223" s="176">
        <f t="shared" si="142"/>
        <v>0</v>
      </c>
      <c r="I223" s="176">
        <f t="shared" si="142"/>
        <v>0</v>
      </c>
      <c r="J223" s="176">
        <f t="shared" si="142"/>
        <v>0</v>
      </c>
      <c r="K223" s="176">
        <f t="shared" si="142"/>
        <v>0</v>
      </c>
      <c r="L223" s="176">
        <f t="shared" si="142"/>
        <v>0</v>
      </c>
      <c r="M223" s="176">
        <f t="shared" si="141"/>
        <v>0</v>
      </c>
      <c r="N223" s="176">
        <f t="shared" si="141"/>
        <v>0</v>
      </c>
      <c r="O223" s="176">
        <f t="shared" si="143"/>
        <v>0</v>
      </c>
      <c r="P223" s="176">
        <f t="shared" si="141"/>
        <v>0</v>
      </c>
      <c r="Q223" s="175">
        <f t="shared" si="144"/>
        <v>0</v>
      </c>
      <c r="R223" s="176">
        <f t="shared" si="141"/>
        <v>0</v>
      </c>
      <c r="S223" s="176">
        <f t="shared" si="141"/>
        <v>0</v>
      </c>
      <c r="T223" s="176">
        <f t="shared" si="141"/>
        <v>0</v>
      </c>
      <c r="U223" s="176">
        <f t="shared" si="141"/>
        <v>0</v>
      </c>
    </row>
    <row r="224" spans="3:21" ht="18.75" x14ac:dyDescent="0.3">
      <c r="C224" s="294">
        <f t="shared" si="138"/>
        <v>1</v>
      </c>
      <c r="D224" s="113" t="s">
        <v>121</v>
      </c>
      <c r="E224" s="76" t="s">
        <v>53</v>
      </c>
      <c r="F224" s="176">
        <f t="shared" si="141"/>
        <v>0</v>
      </c>
      <c r="G224" s="176">
        <f t="shared" si="142"/>
        <v>0</v>
      </c>
      <c r="H224" s="176">
        <f t="shared" si="142"/>
        <v>0</v>
      </c>
      <c r="I224" s="176">
        <f t="shared" si="142"/>
        <v>0</v>
      </c>
      <c r="J224" s="176">
        <f t="shared" si="142"/>
        <v>0</v>
      </c>
      <c r="K224" s="176">
        <f t="shared" si="142"/>
        <v>0</v>
      </c>
      <c r="L224" s="176">
        <f t="shared" si="142"/>
        <v>0</v>
      </c>
      <c r="M224" s="176">
        <f t="shared" si="141"/>
        <v>0</v>
      </c>
      <c r="N224" s="176">
        <f t="shared" si="141"/>
        <v>0</v>
      </c>
      <c r="O224" s="176">
        <f t="shared" si="143"/>
        <v>0</v>
      </c>
      <c r="P224" s="176">
        <f t="shared" si="141"/>
        <v>0</v>
      </c>
      <c r="Q224" s="175">
        <f t="shared" si="144"/>
        <v>0</v>
      </c>
      <c r="R224" s="176">
        <f t="shared" si="141"/>
        <v>0</v>
      </c>
      <c r="S224" s="176">
        <f t="shared" si="141"/>
        <v>0</v>
      </c>
      <c r="T224" s="176">
        <f t="shared" si="141"/>
        <v>0</v>
      </c>
      <c r="U224" s="176">
        <f t="shared" si="141"/>
        <v>0</v>
      </c>
    </row>
    <row r="225" spans="3:21" ht="18.75" x14ac:dyDescent="0.3">
      <c r="C225" s="294">
        <f t="shared" si="138"/>
        <v>1</v>
      </c>
      <c r="D225" s="113" t="s">
        <v>122</v>
      </c>
      <c r="E225" s="76" t="s">
        <v>52</v>
      </c>
      <c r="F225" s="176">
        <f t="shared" si="141"/>
        <v>0</v>
      </c>
      <c r="G225" s="176">
        <f t="shared" si="142"/>
        <v>0</v>
      </c>
      <c r="H225" s="176">
        <f t="shared" si="142"/>
        <v>0</v>
      </c>
      <c r="I225" s="176">
        <f t="shared" si="142"/>
        <v>0</v>
      </c>
      <c r="J225" s="176">
        <f t="shared" si="142"/>
        <v>0</v>
      </c>
      <c r="K225" s="176">
        <f t="shared" si="142"/>
        <v>0</v>
      </c>
      <c r="L225" s="176">
        <f t="shared" si="142"/>
        <v>0</v>
      </c>
      <c r="M225" s="176">
        <f t="shared" si="141"/>
        <v>0</v>
      </c>
      <c r="N225" s="176">
        <f t="shared" si="141"/>
        <v>0</v>
      </c>
      <c r="O225" s="176">
        <f t="shared" si="143"/>
        <v>0</v>
      </c>
      <c r="P225" s="176">
        <f t="shared" si="141"/>
        <v>0</v>
      </c>
      <c r="Q225" s="175">
        <f t="shared" si="144"/>
        <v>0</v>
      </c>
      <c r="R225" s="176">
        <f t="shared" si="141"/>
        <v>0</v>
      </c>
      <c r="S225" s="176">
        <f t="shared" si="141"/>
        <v>0</v>
      </c>
      <c r="T225" s="176">
        <f t="shared" si="141"/>
        <v>0</v>
      </c>
      <c r="U225" s="176">
        <f t="shared" si="141"/>
        <v>0</v>
      </c>
    </row>
    <row r="226" spans="3:21" ht="18.75" x14ac:dyDescent="0.3">
      <c r="C226" s="294">
        <f t="shared" si="138"/>
        <v>1</v>
      </c>
      <c r="D226" s="125" t="s">
        <v>123</v>
      </c>
      <c r="E226" s="76" t="s">
        <v>51</v>
      </c>
      <c r="F226" s="176">
        <f t="shared" si="141"/>
        <v>0</v>
      </c>
      <c r="G226" s="176">
        <f t="shared" si="142"/>
        <v>0</v>
      </c>
      <c r="H226" s="176">
        <f t="shared" si="142"/>
        <v>0</v>
      </c>
      <c r="I226" s="176">
        <f t="shared" si="142"/>
        <v>0</v>
      </c>
      <c r="J226" s="176">
        <f t="shared" si="142"/>
        <v>0</v>
      </c>
      <c r="K226" s="176">
        <f t="shared" si="142"/>
        <v>0</v>
      </c>
      <c r="L226" s="176">
        <f t="shared" si="142"/>
        <v>0</v>
      </c>
      <c r="M226" s="176">
        <f t="shared" si="141"/>
        <v>0</v>
      </c>
      <c r="N226" s="176">
        <f t="shared" si="141"/>
        <v>0</v>
      </c>
      <c r="O226" s="176">
        <f t="shared" si="143"/>
        <v>0</v>
      </c>
      <c r="P226" s="176">
        <f t="shared" si="141"/>
        <v>0</v>
      </c>
      <c r="Q226" s="175">
        <f t="shared" si="144"/>
        <v>0</v>
      </c>
      <c r="R226" s="176">
        <f t="shared" si="141"/>
        <v>0</v>
      </c>
      <c r="S226" s="176">
        <f t="shared" si="141"/>
        <v>0</v>
      </c>
      <c r="T226" s="176">
        <f t="shared" si="141"/>
        <v>0</v>
      </c>
      <c r="U226" s="176">
        <f t="shared" si="141"/>
        <v>0</v>
      </c>
    </row>
    <row r="227" spans="3:21" ht="19.5" thickBot="1" x14ac:dyDescent="0.35">
      <c r="C227" s="294">
        <f t="shared" si="138"/>
        <v>1</v>
      </c>
      <c r="D227" s="114" t="s">
        <v>16</v>
      </c>
      <c r="E227" s="70" t="s">
        <v>50</v>
      </c>
      <c r="F227" s="176">
        <f t="shared" si="141"/>
        <v>198098.38548286702</v>
      </c>
      <c r="G227" s="176">
        <f t="shared" si="142"/>
        <v>3935.1929902376114</v>
      </c>
      <c r="H227" s="176">
        <f t="shared" si="142"/>
        <v>0</v>
      </c>
      <c r="I227" s="176">
        <f t="shared" si="142"/>
        <v>0</v>
      </c>
      <c r="J227" s="176">
        <f t="shared" si="142"/>
        <v>8401.3997295341396</v>
      </c>
      <c r="K227" s="176">
        <f t="shared" si="142"/>
        <v>34.588927870306101</v>
      </c>
      <c r="L227" s="176">
        <f t="shared" si="142"/>
        <v>4.8676547657244651</v>
      </c>
      <c r="M227" s="176">
        <f t="shared" si="141"/>
        <v>0</v>
      </c>
      <c r="N227" s="176">
        <f t="shared" si="141"/>
        <v>0</v>
      </c>
      <c r="O227" s="176">
        <f t="shared" si="143"/>
        <v>2517.6284847948755</v>
      </c>
      <c r="P227" s="176">
        <f t="shared" si="141"/>
        <v>42879.342766420945</v>
      </c>
      <c r="Q227" s="175">
        <f t="shared" si="144"/>
        <v>255871.4060364906</v>
      </c>
      <c r="R227" s="176">
        <f t="shared" si="141"/>
        <v>0</v>
      </c>
      <c r="S227" s="176">
        <f t="shared" si="141"/>
        <v>17791.594750663553</v>
      </c>
      <c r="T227" s="176">
        <f t="shared" ca="1" si="141"/>
        <v>5160.0408273090279</v>
      </c>
      <c r="U227" s="176">
        <f t="shared" ca="1" si="141"/>
        <v>294.03555131396206</v>
      </c>
    </row>
    <row r="228" spans="3:21" ht="19.5" thickBot="1" x14ac:dyDescent="0.3">
      <c r="C228" s="294">
        <f t="shared" si="138"/>
        <v>1</v>
      </c>
      <c r="D228" s="115" t="s">
        <v>124</v>
      </c>
      <c r="E228" s="116" t="s">
        <v>49</v>
      </c>
      <c r="F228" s="269">
        <f t="shared" ref="F228:U228" si="145">SUBTOTAL(9,F219:F227)</f>
        <v>2053438.2289792472</v>
      </c>
      <c r="G228" s="269">
        <f t="shared" ref="G228:L228" si="146">SUBTOTAL(9,G219:G227)</f>
        <v>45656.673057087384</v>
      </c>
      <c r="H228" s="269">
        <f t="shared" si="146"/>
        <v>0</v>
      </c>
      <c r="I228" s="269">
        <f t="shared" si="146"/>
        <v>53174.607396899824</v>
      </c>
      <c r="J228" s="269">
        <f t="shared" si="146"/>
        <v>14497.596176605672</v>
      </c>
      <c r="K228" s="269">
        <f t="shared" si="146"/>
        <v>1884.8159813852751</v>
      </c>
      <c r="L228" s="269">
        <f t="shared" si="146"/>
        <v>4.8676547657244651</v>
      </c>
      <c r="M228" s="269">
        <f t="shared" si="145"/>
        <v>0</v>
      </c>
      <c r="N228" s="269">
        <f t="shared" si="145"/>
        <v>0</v>
      </c>
      <c r="O228" s="269">
        <f>SUBTOTAL(9,O219:O227)</f>
        <v>2569.7134484466433</v>
      </c>
      <c r="P228" s="269">
        <f t="shared" si="145"/>
        <v>42879.342766420945</v>
      </c>
      <c r="Q228" s="183">
        <f>SUBTOTAL(9,Q219:Q227)</f>
        <v>2214105.8454608587</v>
      </c>
      <c r="R228" s="269">
        <f t="shared" si="145"/>
        <v>0</v>
      </c>
      <c r="S228" s="269">
        <f t="shared" si="145"/>
        <v>167227.06375916369</v>
      </c>
      <c r="T228" s="269">
        <f t="shared" ca="1" si="145"/>
        <v>68765.375900750412</v>
      </c>
      <c r="U228" s="269">
        <f t="shared" ca="1" si="145"/>
        <v>47564.261562927553</v>
      </c>
    </row>
    <row r="229" spans="3:21" ht="15.75" hidden="1" thickBot="1" x14ac:dyDescent="0.3"/>
    <row r="230" spans="3:21" ht="93.75" x14ac:dyDescent="0.25">
      <c r="C230" s="294">
        <f>IF($E$230&gt;0,1,0)</f>
        <v>1</v>
      </c>
      <c r="D230" s="96" t="str">
        <f>A19</f>
        <v>Essex</v>
      </c>
      <c r="E230" s="166">
        <f>IFERROR(SUMIF(A:A,D230,B:B),0)</f>
        <v>2.022791098305527E-4</v>
      </c>
      <c r="F230" s="98" t="s">
        <v>356</v>
      </c>
      <c r="G230" s="98" t="s">
        <v>373</v>
      </c>
      <c r="H230" s="98" t="s">
        <v>358</v>
      </c>
      <c r="I230" s="98" t="s">
        <v>109</v>
      </c>
      <c r="J230" s="98" t="s">
        <v>111</v>
      </c>
      <c r="K230" s="98" t="s">
        <v>469</v>
      </c>
      <c r="L230" s="98" t="s">
        <v>470</v>
      </c>
      <c r="M230" s="98" t="s">
        <v>357</v>
      </c>
      <c r="N230" s="557" t="s">
        <v>471</v>
      </c>
      <c r="O230" s="557" t="s">
        <v>473</v>
      </c>
      <c r="P230" s="98" t="s">
        <v>110</v>
      </c>
      <c r="Q230" s="99" t="s">
        <v>116</v>
      </c>
      <c r="R230" s="98" t="s">
        <v>112</v>
      </c>
      <c r="S230" s="98" t="s">
        <v>113</v>
      </c>
      <c r="T230" s="98" t="s">
        <v>114</v>
      </c>
      <c r="U230" s="98" t="s">
        <v>115</v>
      </c>
    </row>
    <row r="231" spans="3:21" ht="18.75" x14ac:dyDescent="0.25">
      <c r="C231" s="294">
        <f t="shared" ref="C231:C242" si="147">IF($E$230&gt;0,1,0)</f>
        <v>1</v>
      </c>
      <c r="D231" s="101"/>
      <c r="E231" s="102"/>
      <c r="F231" s="84" t="s">
        <v>57</v>
      </c>
      <c r="G231" s="84" t="s">
        <v>56</v>
      </c>
      <c r="H231" s="84" t="s">
        <v>55</v>
      </c>
      <c r="I231" s="84" t="s">
        <v>54</v>
      </c>
      <c r="J231" s="84" t="s">
        <v>53</v>
      </c>
      <c r="K231" s="84" t="s">
        <v>52</v>
      </c>
      <c r="L231" s="84" t="s">
        <v>51</v>
      </c>
      <c r="M231" s="84" t="s">
        <v>50</v>
      </c>
      <c r="N231" s="84" t="s">
        <v>49</v>
      </c>
      <c r="O231" s="84" t="s">
        <v>47</v>
      </c>
      <c r="P231" s="84" t="s">
        <v>77</v>
      </c>
      <c r="Q231" s="84" t="s">
        <v>78</v>
      </c>
      <c r="R231" s="84" t="s">
        <v>79</v>
      </c>
      <c r="S231" s="84" t="s">
        <v>81</v>
      </c>
      <c r="T231" s="84" t="s">
        <v>83</v>
      </c>
      <c r="U231" s="84" t="s">
        <v>85</v>
      </c>
    </row>
    <row r="232" spans="3:21" ht="18.75" x14ac:dyDescent="0.25">
      <c r="C232" s="294">
        <f t="shared" si="147"/>
        <v>1</v>
      </c>
      <c r="D232" s="103" t="s">
        <v>26</v>
      </c>
      <c r="E232" s="122"/>
      <c r="F232" s="123"/>
      <c r="G232" s="123"/>
      <c r="H232" s="107"/>
      <c r="I232" s="107"/>
      <c r="J232" s="107"/>
      <c r="K232" s="107"/>
      <c r="L232" s="107"/>
      <c r="M232" s="123"/>
      <c r="N232" s="107"/>
      <c r="O232" s="107"/>
      <c r="P232" s="107"/>
      <c r="Q232" s="108"/>
      <c r="R232" s="107"/>
      <c r="S232" s="107"/>
      <c r="T232" s="107"/>
      <c r="U232" s="107"/>
    </row>
    <row r="233" spans="3:21" ht="18.75" x14ac:dyDescent="0.25">
      <c r="C233" s="294">
        <f t="shared" si="147"/>
        <v>1</v>
      </c>
      <c r="D233" s="124" t="s">
        <v>105</v>
      </c>
      <c r="E233" s="76" t="s">
        <v>57</v>
      </c>
      <c r="F233" s="176">
        <f t="shared" ref="F233:M233" si="148">F6*$E$230</f>
        <v>14266.824857167367</v>
      </c>
      <c r="G233" s="176">
        <f t="shared" si="148"/>
        <v>320.82157400006616</v>
      </c>
      <c r="H233" s="176">
        <f t="shared" si="148"/>
        <v>0</v>
      </c>
      <c r="I233" s="176">
        <f t="shared" si="148"/>
        <v>408.89156411936142</v>
      </c>
      <c r="J233" s="176">
        <f t="shared" si="148"/>
        <v>46.877324017013805</v>
      </c>
      <c r="K233" s="176">
        <f t="shared" si="148"/>
        <v>14.227509537415049</v>
      </c>
      <c r="L233" s="176">
        <f t="shared" si="148"/>
        <v>0</v>
      </c>
      <c r="M233" s="176">
        <f t="shared" si="148"/>
        <v>0</v>
      </c>
      <c r="N233" s="176">
        <f t="shared" ref="N233:U233" si="149">N6*$E$230</f>
        <v>0</v>
      </c>
      <c r="O233" s="176">
        <f>O6*$E$230</f>
        <v>0.40051263746449434</v>
      </c>
      <c r="P233" s="176">
        <f t="shared" si="149"/>
        <v>0</v>
      </c>
      <c r="Q233" s="175">
        <f>SUM(F233:P233)</f>
        <v>15058.043341478689</v>
      </c>
      <c r="R233" s="176">
        <f t="shared" si="149"/>
        <v>0</v>
      </c>
      <c r="S233" s="176">
        <f t="shared" si="149"/>
        <v>1149.0992721717471</v>
      </c>
      <c r="T233" s="176">
        <f t="shared" ca="1" si="149"/>
        <v>489.09970788109325</v>
      </c>
      <c r="U233" s="176">
        <f t="shared" ca="1" si="149"/>
        <v>363.48922157328957</v>
      </c>
    </row>
    <row r="234" spans="3:21" ht="18.75" x14ac:dyDescent="0.25">
      <c r="C234" s="294">
        <f t="shared" si="147"/>
        <v>1</v>
      </c>
      <c r="D234" s="112" t="s">
        <v>31</v>
      </c>
      <c r="E234" s="76"/>
      <c r="F234" s="177"/>
      <c r="G234" s="177"/>
      <c r="H234" s="178"/>
      <c r="I234" s="178"/>
      <c r="J234" s="178"/>
      <c r="K234" s="178"/>
      <c r="L234" s="178"/>
      <c r="M234" s="177"/>
      <c r="N234" s="178"/>
      <c r="O234" s="178"/>
      <c r="P234" s="178"/>
      <c r="Q234" s="179"/>
      <c r="R234" s="178"/>
      <c r="S234" s="178"/>
      <c r="T234" s="178"/>
      <c r="U234" s="178"/>
    </row>
    <row r="235" spans="3:21" ht="18.75" x14ac:dyDescent="0.3">
      <c r="C235" s="294">
        <f t="shared" si="147"/>
        <v>1</v>
      </c>
      <c r="D235" s="113" t="s">
        <v>118</v>
      </c>
      <c r="E235" s="76" t="s">
        <v>56</v>
      </c>
      <c r="F235" s="176">
        <f t="shared" ref="F235:U241" si="150">F8*$E$230</f>
        <v>0</v>
      </c>
      <c r="G235" s="176">
        <f t="shared" ref="G235:L241" si="151">G8*$E$230</f>
        <v>0</v>
      </c>
      <c r="H235" s="176">
        <f t="shared" si="151"/>
        <v>0</v>
      </c>
      <c r="I235" s="176">
        <f t="shared" si="151"/>
        <v>0</v>
      </c>
      <c r="J235" s="176">
        <f t="shared" si="151"/>
        <v>0</v>
      </c>
      <c r="K235" s="176">
        <f t="shared" si="151"/>
        <v>0</v>
      </c>
      <c r="L235" s="176">
        <f t="shared" si="151"/>
        <v>0</v>
      </c>
      <c r="M235" s="176">
        <f t="shared" si="150"/>
        <v>0</v>
      </c>
      <c r="N235" s="176">
        <f t="shared" si="150"/>
        <v>0</v>
      </c>
      <c r="O235" s="176">
        <f t="shared" ref="O235:O241" si="152">O8*$E$230</f>
        <v>0</v>
      </c>
      <c r="P235" s="176">
        <f t="shared" si="150"/>
        <v>0</v>
      </c>
      <c r="Q235" s="175">
        <f t="shared" ref="Q235:Q241" si="153">SUM(F235:P235)</f>
        <v>0</v>
      </c>
      <c r="R235" s="176">
        <f t="shared" si="150"/>
        <v>0</v>
      </c>
      <c r="S235" s="176">
        <f t="shared" si="150"/>
        <v>0</v>
      </c>
      <c r="T235" s="176">
        <f t="shared" si="150"/>
        <v>0</v>
      </c>
      <c r="U235" s="176">
        <f t="shared" si="150"/>
        <v>0</v>
      </c>
    </row>
    <row r="236" spans="3:21" ht="18.75" x14ac:dyDescent="0.3">
      <c r="C236" s="294">
        <f t="shared" si="147"/>
        <v>1</v>
      </c>
      <c r="D236" s="113" t="s">
        <v>119</v>
      </c>
      <c r="E236" s="76" t="s">
        <v>55</v>
      </c>
      <c r="F236" s="176">
        <f t="shared" si="150"/>
        <v>0</v>
      </c>
      <c r="G236" s="176">
        <f t="shared" si="151"/>
        <v>0</v>
      </c>
      <c r="H236" s="176">
        <f t="shared" si="151"/>
        <v>0</v>
      </c>
      <c r="I236" s="176">
        <f t="shared" si="151"/>
        <v>0</v>
      </c>
      <c r="J236" s="176">
        <f t="shared" si="151"/>
        <v>0</v>
      </c>
      <c r="K236" s="176">
        <f t="shared" si="151"/>
        <v>0</v>
      </c>
      <c r="L236" s="176">
        <f t="shared" si="151"/>
        <v>0</v>
      </c>
      <c r="M236" s="176">
        <f t="shared" si="150"/>
        <v>0</v>
      </c>
      <c r="N236" s="176">
        <f t="shared" si="150"/>
        <v>0</v>
      </c>
      <c r="O236" s="176">
        <f t="shared" si="152"/>
        <v>0</v>
      </c>
      <c r="P236" s="176">
        <f t="shared" si="150"/>
        <v>0</v>
      </c>
      <c r="Q236" s="175">
        <f t="shared" si="153"/>
        <v>0</v>
      </c>
      <c r="R236" s="176">
        <f t="shared" si="150"/>
        <v>0</v>
      </c>
      <c r="S236" s="176">
        <f t="shared" si="150"/>
        <v>0</v>
      </c>
      <c r="T236" s="176">
        <f t="shared" si="150"/>
        <v>0</v>
      </c>
      <c r="U236" s="176">
        <f t="shared" si="150"/>
        <v>0</v>
      </c>
    </row>
    <row r="237" spans="3:21" ht="18.75" x14ac:dyDescent="0.3">
      <c r="C237" s="294">
        <f t="shared" si="147"/>
        <v>1</v>
      </c>
      <c r="D237" s="113" t="s">
        <v>120</v>
      </c>
      <c r="E237" s="76" t="s">
        <v>54</v>
      </c>
      <c r="F237" s="176">
        <f t="shared" si="150"/>
        <v>0</v>
      </c>
      <c r="G237" s="176">
        <f t="shared" si="151"/>
        <v>0</v>
      </c>
      <c r="H237" s="176">
        <f t="shared" si="151"/>
        <v>0</v>
      </c>
      <c r="I237" s="176">
        <f t="shared" si="151"/>
        <v>0</v>
      </c>
      <c r="J237" s="176">
        <f t="shared" si="151"/>
        <v>0</v>
      </c>
      <c r="K237" s="176">
        <f t="shared" si="151"/>
        <v>0</v>
      </c>
      <c r="L237" s="176">
        <f t="shared" si="151"/>
        <v>0</v>
      </c>
      <c r="M237" s="176">
        <f t="shared" si="150"/>
        <v>0</v>
      </c>
      <c r="N237" s="176">
        <f t="shared" si="150"/>
        <v>0</v>
      </c>
      <c r="O237" s="176">
        <f t="shared" si="152"/>
        <v>0</v>
      </c>
      <c r="P237" s="176">
        <f t="shared" si="150"/>
        <v>0</v>
      </c>
      <c r="Q237" s="175">
        <f t="shared" si="153"/>
        <v>0</v>
      </c>
      <c r="R237" s="176">
        <f t="shared" si="150"/>
        <v>0</v>
      </c>
      <c r="S237" s="176">
        <f t="shared" si="150"/>
        <v>0</v>
      </c>
      <c r="T237" s="176">
        <f t="shared" si="150"/>
        <v>0</v>
      </c>
      <c r="U237" s="176">
        <f t="shared" si="150"/>
        <v>0</v>
      </c>
    </row>
    <row r="238" spans="3:21" ht="18.75" x14ac:dyDescent="0.3">
      <c r="C238" s="294">
        <f t="shared" si="147"/>
        <v>1</v>
      </c>
      <c r="D238" s="113" t="s">
        <v>121</v>
      </c>
      <c r="E238" s="76" t="s">
        <v>53</v>
      </c>
      <c r="F238" s="176">
        <f t="shared" si="150"/>
        <v>0</v>
      </c>
      <c r="G238" s="176">
        <f t="shared" si="151"/>
        <v>0</v>
      </c>
      <c r="H238" s="176">
        <f t="shared" si="151"/>
        <v>0</v>
      </c>
      <c r="I238" s="176">
        <f t="shared" si="151"/>
        <v>0</v>
      </c>
      <c r="J238" s="176">
        <f t="shared" si="151"/>
        <v>0</v>
      </c>
      <c r="K238" s="176">
        <f t="shared" si="151"/>
        <v>0</v>
      </c>
      <c r="L238" s="176">
        <f t="shared" si="151"/>
        <v>0</v>
      </c>
      <c r="M238" s="176">
        <f t="shared" si="150"/>
        <v>0</v>
      </c>
      <c r="N238" s="176">
        <f t="shared" si="150"/>
        <v>0</v>
      </c>
      <c r="O238" s="176">
        <f t="shared" si="152"/>
        <v>0</v>
      </c>
      <c r="P238" s="176">
        <f t="shared" si="150"/>
        <v>0</v>
      </c>
      <c r="Q238" s="175">
        <f t="shared" si="153"/>
        <v>0</v>
      </c>
      <c r="R238" s="176">
        <f t="shared" si="150"/>
        <v>0</v>
      </c>
      <c r="S238" s="176">
        <f t="shared" si="150"/>
        <v>0</v>
      </c>
      <c r="T238" s="176">
        <f t="shared" si="150"/>
        <v>0</v>
      </c>
      <c r="U238" s="176">
        <f t="shared" si="150"/>
        <v>0</v>
      </c>
    </row>
    <row r="239" spans="3:21" ht="18.75" x14ac:dyDescent="0.3">
      <c r="C239" s="294">
        <f t="shared" si="147"/>
        <v>1</v>
      </c>
      <c r="D239" s="113" t="s">
        <v>122</v>
      </c>
      <c r="E239" s="76" t="s">
        <v>52</v>
      </c>
      <c r="F239" s="176">
        <f t="shared" si="150"/>
        <v>0</v>
      </c>
      <c r="G239" s="176">
        <f t="shared" si="151"/>
        <v>0</v>
      </c>
      <c r="H239" s="176">
        <f t="shared" si="151"/>
        <v>0</v>
      </c>
      <c r="I239" s="176">
        <f t="shared" si="151"/>
        <v>0</v>
      </c>
      <c r="J239" s="176">
        <f t="shared" si="151"/>
        <v>0</v>
      </c>
      <c r="K239" s="176">
        <f t="shared" si="151"/>
        <v>0</v>
      </c>
      <c r="L239" s="176">
        <f t="shared" si="151"/>
        <v>0</v>
      </c>
      <c r="M239" s="176">
        <f t="shared" si="150"/>
        <v>0</v>
      </c>
      <c r="N239" s="176">
        <f t="shared" si="150"/>
        <v>0</v>
      </c>
      <c r="O239" s="176">
        <f t="shared" si="152"/>
        <v>0</v>
      </c>
      <c r="P239" s="176">
        <f t="shared" si="150"/>
        <v>0</v>
      </c>
      <c r="Q239" s="175">
        <f t="shared" si="153"/>
        <v>0</v>
      </c>
      <c r="R239" s="176">
        <f t="shared" si="150"/>
        <v>0</v>
      </c>
      <c r="S239" s="176">
        <f t="shared" si="150"/>
        <v>0</v>
      </c>
      <c r="T239" s="176">
        <f t="shared" si="150"/>
        <v>0</v>
      </c>
      <c r="U239" s="176">
        <f t="shared" si="150"/>
        <v>0</v>
      </c>
    </row>
    <row r="240" spans="3:21" ht="18.75" x14ac:dyDescent="0.3">
      <c r="C240" s="294">
        <f t="shared" si="147"/>
        <v>1</v>
      </c>
      <c r="D240" s="125" t="s">
        <v>123</v>
      </c>
      <c r="E240" s="76" t="s">
        <v>51</v>
      </c>
      <c r="F240" s="176">
        <f t="shared" si="150"/>
        <v>0</v>
      </c>
      <c r="G240" s="176">
        <f t="shared" si="151"/>
        <v>0</v>
      </c>
      <c r="H240" s="176">
        <f t="shared" si="151"/>
        <v>0</v>
      </c>
      <c r="I240" s="176">
        <f t="shared" si="151"/>
        <v>0</v>
      </c>
      <c r="J240" s="176">
        <f t="shared" si="151"/>
        <v>0</v>
      </c>
      <c r="K240" s="176">
        <f t="shared" si="151"/>
        <v>0</v>
      </c>
      <c r="L240" s="176">
        <f t="shared" si="151"/>
        <v>0</v>
      </c>
      <c r="M240" s="176">
        <f t="shared" si="150"/>
        <v>0</v>
      </c>
      <c r="N240" s="176">
        <f t="shared" si="150"/>
        <v>0</v>
      </c>
      <c r="O240" s="176">
        <f t="shared" si="152"/>
        <v>0</v>
      </c>
      <c r="P240" s="176">
        <f t="shared" si="150"/>
        <v>0</v>
      </c>
      <c r="Q240" s="175">
        <f t="shared" si="153"/>
        <v>0</v>
      </c>
      <c r="R240" s="176">
        <f t="shared" si="150"/>
        <v>0</v>
      </c>
      <c r="S240" s="176">
        <f t="shared" si="150"/>
        <v>0</v>
      </c>
      <c r="T240" s="176">
        <f t="shared" si="150"/>
        <v>0</v>
      </c>
      <c r="U240" s="176">
        <f t="shared" si="150"/>
        <v>0</v>
      </c>
    </row>
    <row r="241" spans="3:21" ht="19.5" thickBot="1" x14ac:dyDescent="0.35">
      <c r="C241" s="294">
        <f t="shared" si="147"/>
        <v>1</v>
      </c>
      <c r="D241" s="114" t="s">
        <v>16</v>
      </c>
      <c r="E241" s="70" t="s">
        <v>50</v>
      </c>
      <c r="F241" s="176">
        <f t="shared" si="150"/>
        <v>1523.2977290271858</v>
      </c>
      <c r="G241" s="176">
        <f t="shared" si="151"/>
        <v>30.260067646190379</v>
      </c>
      <c r="H241" s="176">
        <f t="shared" si="151"/>
        <v>0</v>
      </c>
      <c r="I241" s="176">
        <f t="shared" si="151"/>
        <v>0</v>
      </c>
      <c r="J241" s="176">
        <f t="shared" si="151"/>
        <v>64.603419646526177</v>
      </c>
      <c r="K241" s="176">
        <f t="shared" si="151"/>
        <v>0.26597508680291271</v>
      </c>
      <c r="L241" s="176">
        <f t="shared" si="151"/>
        <v>3.7430327522572006E-2</v>
      </c>
      <c r="M241" s="176">
        <f t="shared" si="150"/>
        <v>0</v>
      </c>
      <c r="N241" s="176">
        <f t="shared" si="150"/>
        <v>0</v>
      </c>
      <c r="O241" s="176">
        <f t="shared" si="152"/>
        <v>19.359560877157556</v>
      </c>
      <c r="P241" s="176">
        <f t="shared" si="150"/>
        <v>329.72507725923128</v>
      </c>
      <c r="Q241" s="175">
        <f t="shared" si="153"/>
        <v>1967.5492598706167</v>
      </c>
      <c r="R241" s="176">
        <f t="shared" si="150"/>
        <v>0</v>
      </c>
      <c r="S241" s="176">
        <f t="shared" si="150"/>
        <v>136.81028148410508</v>
      </c>
      <c r="T241" s="176">
        <f t="shared" ca="1" si="150"/>
        <v>39.67865994852955</v>
      </c>
      <c r="U241" s="176">
        <f t="shared" ca="1" si="150"/>
        <v>2.2610163453783065</v>
      </c>
    </row>
    <row r="242" spans="3:21" ht="19.5" thickBot="1" x14ac:dyDescent="0.3">
      <c r="C242" s="294">
        <f t="shared" si="147"/>
        <v>1</v>
      </c>
      <c r="D242" s="115" t="s">
        <v>124</v>
      </c>
      <c r="E242" s="116" t="s">
        <v>49</v>
      </c>
      <c r="F242" s="269">
        <f t="shared" ref="F242:U242" si="154">SUBTOTAL(9,F233:F241)</f>
        <v>15790.122586194553</v>
      </c>
      <c r="G242" s="269">
        <f t="shared" ref="G242:L242" si="155">SUBTOTAL(9,G233:G241)</f>
        <v>351.08164164625657</v>
      </c>
      <c r="H242" s="269">
        <f t="shared" si="155"/>
        <v>0</v>
      </c>
      <c r="I242" s="269">
        <f t="shared" si="155"/>
        <v>408.89156411936142</v>
      </c>
      <c r="J242" s="269">
        <f t="shared" si="155"/>
        <v>111.48074366353998</v>
      </c>
      <c r="K242" s="269">
        <f t="shared" si="155"/>
        <v>14.493484624217961</v>
      </c>
      <c r="L242" s="269">
        <f t="shared" si="155"/>
        <v>3.7430327522572006E-2</v>
      </c>
      <c r="M242" s="269">
        <f t="shared" si="154"/>
        <v>0</v>
      </c>
      <c r="N242" s="269">
        <f t="shared" si="154"/>
        <v>0</v>
      </c>
      <c r="O242" s="269">
        <f>SUBTOTAL(9,O233:O241)</f>
        <v>19.76007351462205</v>
      </c>
      <c r="P242" s="269">
        <f t="shared" si="154"/>
        <v>329.72507725923128</v>
      </c>
      <c r="Q242" s="183">
        <f>SUBTOTAL(9,Q233:Q241)</f>
        <v>17025.592601349304</v>
      </c>
      <c r="R242" s="269">
        <f t="shared" si="154"/>
        <v>0</v>
      </c>
      <c r="S242" s="269">
        <f t="shared" si="154"/>
        <v>1285.9095536558521</v>
      </c>
      <c r="T242" s="269">
        <f t="shared" ca="1" si="154"/>
        <v>528.77836782962277</v>
      </c>
      <c r="U242" s="269">
        <f t="shared" ca="1" si="154"/>
        <v>365.75023791866789</v>
      </c>
    </row>
    <row r="243" spans="3:21" ht="15.75" hidden="1" thickBot="1" x14ac:dyDescent="0.3"/>
    <row r="244" spans="3:21" ht="93.75" x14ac:dyDescent="0.25">
      <c r="C244" s="294">
        <f>IF($E$244&gt;0,1,0)</f>
        <v>1</v>
      </c>
      <c r="D244" s="96" t="str">
        <f>A20</f>
        <v>Franklin</v>
      </c>
      <c r="E244" s="166">
        <f>IFERROR(SUMIF(A:A,D244,B:B),0)</f>
        <v>9.3602280587727475E-4</v>
      </c>
      <c r="F244" s="98" t="s">
        <v>356</v>
      </c>
      <c r="G244" s="98" t="s">
        <v>373</v>
      </c>
      <c r="H244" s="98" t="s">
        <v>358</v>
      </c>
      <c r="I244" s="98" t="s">
        <v>109</v>
      </c>
      <c r="J244" s="98" t="s">
        <v>111</v>
      </c>
      <c r="K244" s="98" t="s">
        <v>469</v>
      </c>
      <c r="L244" s="98" t="s">
        <v>470</v>
      </c>
      <c r="M244" s="98" t="s">
        <v>357</v>
      </c>
      <c r="N244" s="557" t="s">
        <v>471</v>
      </c>
      <c r="O244" s="557" t="s">
        <v>473</v>
      </c>
      <c r="P244" s="98" t="s">
        <v>110</v>
      </c>
      <c r="Q244" s="99" t="s">
        <v>116</v>
      </c>
      <c r="R244" s="98" t="s">
        <v>112</v>
      </c>
      <c r="S244" s="98" t="s">
        <v>113</v>
      </c>
      <c r="T244" s="98" t="s">
        <v>114</v>
      </c>
      <c r="U244" s="98" t="s">
        <v>115</v>
      </c>
    </row>
    <row r="245" spans="3:21" ht="18.75" x14ac:dyDescent="0.25">
      <c r="C245" s="294">
        <f t="shared" ref="C245:C256" si="156">IF($E$244&gt;0,1,0)</f>
        <v>1</v>
      </c>
      <c r="D245" s="101"/>
      <c r="E245" s="102"/>
      <c r="F245" s="84" t="s">
        <v>57</v>
      </c>
      <c r="G245" s="84" t="s">
        <v>56</v>
      </c>
      <c r="H245" s="84" t="s">
        <v>55</v>
      </c>
      <c r="I245" s="84" t="s">
        <v>54</v>
      </c>
      <c r="J245" s="84" t="s">
        <v>53</v>
      </c>
      <c r="K245" s="84" t="s">
        <v>52</v>
      </c>
      <c r="L245" s="84" t="s">
        <v>51</v>
      </c>
      <c r="M245" s="84" t="s">
        <v>50</v>
      </c>
      <c r="N245" s="84" t="s">
        <v>49</v>
      </c>
      <c r="O245" s="84" t="s">
        <v>47</v>
      </c>
      <c r="P245" s="84" t="s">
        <v>77</v>
      </c>
      <c r="Q245" s="84" t="s">
        <v>78</v>
      </c>
      <c r="R245" s="84" t="s">
        <v>79</v>
      </c>
      <c r="S245" s="84" t="s">
        <v>81</v>
      </c>
      <c r="T245" s="84" t="s">
        <v>83</v>
      </c>
      <c r="U245" s="84" t="s">
        <v>85</v>
      </c>
    </row>
    <row r="246" spans="3:21" ht="18.75" x14ac:dyDescent="0.25">
      <c r="C246" s="294">
        <f t="shared" si="156"/>
        <v>1</v>
      </c>
      <c r="D246" s="103" t="s">
        <v>26</v>
      </c>
      <c r="E246" s="122"/>
      <c r="F246" s="123"/>
      <c r="G246" s="123"/>
      <c r="H246" s="107"/>
      <c r="I246" s="107"/>
      <c r="J246" s="107"/>
      <c r="K246" s="107"/>
      <c r="L246" s="107"/>
      <c r="M246" s="123"/>
      <c r="N246" s="107"/>
      <c r="O246" s="107"/>
      <c r="P246" s="107"/>
      <c r="Q246" s="108"/>
      <c r="R246" s="107"/>
      <c r="S246" s="107"/>
      <c r="T246" s="107"/>
      <c r="U246" s="107"/>
    </row>
    <row r="247" spans="3:21" ht="18.75" x14ac:dyDescent="0.25">
      <c r="C247" s="294">
        <f t="shared" si="156"/>
        <v>1</v>
      </c>
      <c r="D247" s="124" t="s">
        <v>105</v>
      </c>
      <c r="E247" s="76" t="s">
        <v>57</v>
      </c>
      <c r="F247" s="176">
        <f t="shared" ref="F247:M247" si="157">F6*$E$244</f>
        <v>66018.055176098162</v>
      </c>
      <c r="G247" s="176">
        <f t="shared" si="157"/>
        <v>1484.5641259399504</v>
      </c>
      <c r="H247" s="176">
        <f t="shared" si="157"/>
        <v>0</v>
      </c>
      <c r="I247" s="176">
        <f t="shared" si="157"/>
        <v>1892.0976539157361</v>
      </c>
      <c r="J247" s="176">
        <f t="shared" si="157"/>
        <v>216.91930716513343</v>
      </c>
      <c r="K247" s="176">
        <f t="shared" si="157"/>
        <v>65.836128154868177</v>
      </c>
      <c r="L247" s="176">
        <f t="shared" si="157"/>
        <v>0</v>
      </c>
      <c r="M247" s="176">
        <f t="shared" si="157"/>
        <v>0</v>
      </c>
      <c r="N247" s="176">
        <f t="shared" ref="N247:U247" si="158">N6*$E$244</f>
        <v>0</v>
      </c>
      <c r="O247" s="176">
        <f>O6*$E$244</f>
        <v>1.8533251556370041</v>
      </c>
      <c r="P247" s="176">
        <f t="shared" si="158"/>
        <v>0</v>
      </c>
      <c r="Q247" s="175">
        <f>SUM(F247:P247)</f>
        <v>69679.325716429506</v>
      </c>
      <c r="R247" s="176">
        <f t="shared" si="158"/>
        <v>0</v>
      </c>
      <c r="S247" s="176">
        <f t="shared" si="158"/>
        <v>5317.3218226575091</v>
      </c>
      <c r="T247" s="176">
        <f t="shared" ca="1" si="158"/>
        <v>2263.2514119135594</v>
      </c>
      <c r="U247" s="176">
        <f t="shared" ca="1" si="158"/>
        <v>1682.0036501455238</v>
      </c>
    </row>
    <row r="248" spans="3:21" ht="18.75" x14ac:dyDescent="0.25">
      <c r="C248" s="294">
        <f t="shared" si="156"/>
        <v>1</v>
      </c>
      <c r="D248" s="112" t="s">
        <v>31</v>
      </c>
      <c r="E248" s="76"/>
      <c r="F248" s="177"/>
      <c r="G248" s="177"/>
      <c r="H248" s="178"/>
      <c r="I248" s="178"/>
      <c r="J248" s="178"/>
      <c r="K248" s="178"/>
      <c r="L248" s="178"/>
      <c r="M248" s="177"/>
      <c r="N248" s="178"/>
      <c r="O248" s="178"/>
      <c r="P248" s="178"/>
      <c r="Q248" s="179"/>
      <c r="R248" s="178"/>
      <c r="S248" s="178"/>
      <c r="T248" s="178"/>
      <c r="U248" s="178"/>
    </row>
    <row r="249" spans="3:21" ht="18.75" x14ac:dyDescent="0.3">
      <c r="C249" s="294">
        <f t="shared" si="156"/>
        <v>1</v>
      </c>
      <c r="D249" s="113" t="s">
        <v>118</v>
      </c>
      <c r="E249" s="76" t="s">
        <v>56</v>
      </c>
      <c r="F249" s="176">
        <f t="shared" ref="F249:U255" si="159">F8*$E$244</f>
        <v>0</v>
      </c>
      <c r="G249" s="176">
        <f t="shared" ref="G249:L255" si="160">G8*$E$244</f>
        <v>0</v>
      </c>
      <c r="H249" s="176">
        <f t="shared" si="160"/>
        <v>0</v>
      </c>
      <c r="I249" s="176">
        <f t="shared" si="160"/>
        <v>0</v>
      </c>
      <c r="J249" s="176">
        <f t="shared" si="160"/>
        <v>0</v>
      </c>
      <c r="K249" s="176">
        <f t="shared" si="160"/>
        <v>0</v>
      </c>
      <c r="L249" s="176">
        <f t="shared" si="160"/>
        <v>0</v>
      </c>
      <c r="M249" s="176">
        <f t="shared" si="159"/>
        <v>0</v>
      </c>
      <c r="N249" s="176">
        <f t="shared" si="159"/>
        <v>0</v>
      </c>
      <c r="O249" s="176">
        <f t="shared" ref="O249:O255" si="161">O8*$E$244</f>
        <v>0</v>
      </c>
      <c r="P249" s="176">
        <f t="shared" si="159"/>
        <v>0</v>
      </c>
      <c r="Q249" s="175">
        <f t="shared" ref="Q249:Q255" si="162">SUM(F249:P249)</f>
        <v>0</v>
      </c>
      <c r="R249" s="176">
        <f t="shared" si="159"/>
        <v>0</v>
      </c>
      <c r="S249" s="176">
        <f t="shared" si="159"/>
        <v>0</v>
      </c>
      <c r="T249" s="176">
        <f t="shared" si="159"/>
        <v>0</v>
      </c>
      <c r="U249" s="176">
        <f t="shared" si="159"/>
        <v>0</v>
      </c>
    </row>
    <row r="250" spans="3:21" ht="18.75" x14ac:dyDescent="0.3">
      <c r="C250" s="294">
        <f t="shared" si="156"/>
        <v>1</v>
      </c>
      <c r="D250" s="113" t="s">
        <v>119</v>
      </c>
      <c r="E250" s="76" t="s">
        <v>55</v>
      </c>
      <c r="F250" s="176">
        <f t="shared" si="159"/>
        <v>0</v>
      </c>
      <c r="G250" s="176">
        <f t="shared" si="160"/>
        <v>0</v>
      </c>
      <c r="H250" s="176">
        <f t="shared" si="160"/>
        <v>0</v>
      </c>
      <c r="I250" s="176">
        <f t="shared" si="160"/>
        <v>0</v>
      </c>
      <c r="J250" s="176">
        <f t="shared" si="160"/>
        <v>0</v>
      </c>
      <c r="K250" s="176">
        <f t="shared" si="160"/>
        <v>0</v>
      </c>
      <c r="L250" s="176">
        <f t="shared" si="160"/>
        <v>0</v>
      </c>
      <c r="M250" s="176">
        <f t="shared" si="159"/>
        <v>0</v>
      </c>
      <c r="N250" s="176">
        <f t="shared" si="159"/>
        <v>0</v>
      </c>
      <c r="O250" s="176">
        <f t="shared" si="161"/>
        <v>0</v>
      </c>
      <c r="P250" s="176">
        <f t="shared" si="159"/>
        <v>0</v>
      </c>
      <c r="Q250" s="175">
        <f t="shared" si="162"/>
        <v>0</v>
      </c>
      <c r="R250" s="176">
        <f t="shared" si="159"/>
        <v>0</v>
      </c>
      <c r="S250" s="176">
        <f t="shared" si="159"/>
        <v>0</v>
      </c>
      <c r="T250" s="176">
        <f t="shared" si="159"/>
        <v>0</v>
      </c>
      <c r="U250" s="176">
        <f t="shared" si="159"/>
        <v>0</v>
      </c>
    </row>
    <row r="251" spans="3:21" ht="18.75" x14ac:dyDescent="0.3">
      <c r="C251" s="294">
        <f t="shared" si="156"/>
        <v>1</v>
      </c>
      <c r="D251" s="113" t="s">
        <v>120</v>
      </c>
      <c r="E251" s="76" t="s">
        <v>54</v>
      </c>
      <c r="F251" s="176">
        <f t="shared" si="159"/>
        <v>0</v>
      </c>
      <c r="G251" s="176">
        <f t="shared" si="160"/>
        <v>0</v>
      </c>
      <c r="H251" s="176">
        <f t="shared" si="160"/>
        <v>0</v>
      </c>
      <c r="I251" s="176">
        <f t="shared" si="160"/>
        <v>0</v>
      </c>
      <c r="J251" s="176">
        <f t="shared" si="160"/>
        <v>0</v>
      </c>
      <c r="K251" s="176">
        <f t="shared" si="160"/>
        <v>0</v>
      </c>
      <c r="L251" s="176">
        <f t="shared" si="160"/>
        <v>0</v>
      </c>
      <c r="M251" s="176">
        <f t="shared" si="159"/>
        <v>0</v>
      </c>
      <c r="N251" s="176">
        <f t="shared" si="159"/>
        <v>0</v>
      </c>
      <c r="O251" s="176">
        <f t="shared" si="161"/>
        <v>0</v>
      </c>
      <c r="P251" s="176">
        <f t="shared" si="159"/>
        <v>0</v>
      </c>
      <c r="Q251" s="175">
        <f t="shared" si="162"/>
        <v>0</v>
      </c>
      <c r="R251" s="176">
        <f t="shared" si="159"/>
        <v>0</v>
      </c>
      <c r="S251" s="176">
        <f t="shared" si="159"/>
        <v>0</v>
      </c>
      <c r="T251" s="176">
        <f t="shared" si="159"/>
        <v>0</v>
      </c>
      <c r="U251" s="176">
        <f t="shared" si="159"/>
        <v>0</v>
      </c>
    </row>
    <row r="252" spans="3:21" ht="18.75" x14ac:dyDescent="0.3">
      <c r="C252" s="294">
        <f t="shared" si="156"/>
        <v>1</v>
      </c>
      <c r="D252" s="113" t="s">
        <v>121</v>
      </c>
      <c r="E252" s="76" t="s">
        <v>53</v>
      </c>
      <c r="F252" s="176">
        <f t="shared" si="159"/>
        <v>0</v>
      </c>
      <c r="G252" s="176">
        <f t="shared" si="160"/>
        <v>0</v>
      </c>
      <c r="H252" s="176">
        <f t="shared" si="160"/>
        <v>0</v>
      </c>
      <c r="I252" s="176">
        <f t="shared" si="160"/>
        <v>0</v>
      </c>
      <c r="J252" s="176">
        <f t="shared" si="160"/>
        <v>0</v>
      </c>
      <c r="K252" s="176">
        <f t="shared" si="160"/>
        <v>0</v>
      </c>
      <c r="L252" s="176">
        <f t="shared" si="160"/>
        <v>0</v>
      </c>
      <c r="M252" s="176">
        <f t="shared" si="159"/>
        <v>0</v>
      </c>
      <c r="N252" s="176">
        <f t="shared" si="159"/>
        <v>0</v>
      </c>
      <c r="O252" s="176">
        <f t="shared" si="161"/>
        <v>0</v>
      </c>
      <c r="P252" s="176">
        <f t="shared" si="159"/>
        <v>0</v>
      </c>
      <c r="Q252" s="175">
        <f t="shared" si="162"/>
        <v>0</v>
      </c>
      <c r="R252" s="176">
        <f t="shared" si="159"/>
        <v>0</v>
      </c>
      <c r="S252" s="176">
        <f t="shared" si="159"/>
        <v>0</v>
      </c>
      <c r="T252" s="176">
        <f t="shared" si="159"/>
        <v>0</v>
      </c>
      <c r="U252" s="176">
        <f t="shared" si="159"/>
        <v>0</v>
      </c>
    </row>
    <row r="253" spans="3:21" ht="18.75" x14ac:dyDescent="0.3">
      <c r="C253" s="294">
        <f t="shared" si="156"/>
        <v>1</v>
      </c>
      <c r="D253" s="113" t="s">
        <v>122</v>
      </c>
      <c r="E253" s="76" t="s">
        <v>52</v>
      </c>
      <c r="F253" s="176">
        <f t="shared" si="159"/>
        <v>0</v>
      </c>
      <c r="G253" s="176">
        <f t="shared" si="160"/>
        <v>0</v>
      </c>
      <c r="H253" s="176">
        <f t="shared" si="160"/>
        <v>0</v>
      </c>
      <c r="I253" s="176">
        <f t="shared" si="160"/>
        <v>0</v>
      </c>
      <c r="J253" s="176">
        <f t="shared" si="160"/>
        <v>0</v>
      </c>
      <c r="K253" s="176">
        <f t="shared" si="160"/>
        <v>0</v>
      </c>
      <c r="L253" s="176">
        <f t="shared" si="160"/>
        <v>0</v>
      </c>
      <c r="M253" s="176">
        <f t="shared" si="159"/>
        <v>0</v>
      </c>
      <c r="N253" s="176">
        <f t="shared" si="159"/>
        <v>0</v>
      </c>
      <c r="O253" s="176">
        <f t="shared" si="161"/>
        <v>0</v>
      </c>
      <c r="P253" s="176">
        <f t="shared" si="159"/>
        <v>0</v>
      </c>
      <c r="Q253" s="175">
        <f t="shared" si="162"/>
        <v>0</v>
      </c>
      <c r="R253" s="176">
        <f t="shared" si="159"/>
        <v>0</v>
      </c>
      <c r="S253" s="176">
        <f t="shared" si="159"/>
        <v>0</v>
      </c>
      <c r="T253" s="176">
        <f t="shared" si="159"/>
        <v>0</v>
      </c>
      <c r="U253" s="176">
        <f t="shared" si="159"/>
        <v>0</v>
      </c>
    </row>
    <row r="254" spans="3:21" ht="18.75" x14ac:dyDescent="0.3">
      <c r="C254" s="294">
        <f t="shared" si="156"/>
        <v>1</v>
      </c>
      <c r="D254" s="125" t="s">
        <v>123</v>
      </c>
      <c r="E254" s="76" t="s">
        <v>51</v>
      </c>
      <c r="F254" s="176">
        <f t="shared" si="159"/>
        <v>0</v>
      </c>
      <c r="G254" s="176">
        <f t="shared" si="160"/>
        <v>0</v>
      </c>
      <c r="H254" s="176">
        <f t="shared" si="160"/>
        <v>0</v>
      </c>
      <c r="I254" s="176">
        <f t="shared" si="160"/>
        <v>0</v>
      </c>
      <c r="J254" s="176">
        <f t="shared" si="160"/>
        <v>0</v>
      </c>
      <c r="K254" s="176">
        <f t="shared" si="160"/>
        <v>0</v>
      </c>
      <c r="L254" s="176">
        <f t="shared" si="160"/>
        <v>0</v>
      </c>
      <c r="M254" s="176">
        <f t="shared" si="159"/>
        <v>0</v>
      </c>
      <c r="N254" s="176">
        <f t="shared" si="159"/>
        <v>0</v>
      </c>
      <c r="O254" s="176">
        <f t="shared" si="161"/>
        <v>0</v>
      </c>
      <c r="P254" s="176">
        <f t="shared" si="159"/>
        <v>0</v>
      </c>
      <c r="Q254" s="175">
        <f t="shared" si="162"/>
        <v>0</v>
      </c>
      <c r="R254" s="176">
        <f t="shared" si="159"/>
        <v>0</v>
      </c>
      <c r="S254" s="176">
        <f t="shared" si="159"/>
        <v>0</v>
      </c>
      <c r="T254" s="176">
        <f t="shared" si="159"/>
        <v>0</v>
      </c>
      <c r="U254" s="176">
        <f t="shared" si="159"/>
        <v>0</v>
      </c>
    </row>
    <row r="255" spans="3:21" ht="19.5" thickBot="1" x14ac:dyDescent="0.35">
      <c r="C255" s="294">
        <f t="shared" si="156"/>
        <v>1</v>
      </c>
      <c r="D255" s="114" t="s">
        <v>16</v>
      </c>
      <c r="E255" s="70" t="s">
        <v>50</v>
      </c>
      <c r="F255" s="176">
        <f t="shared" si="159"/>
        <v>7048.8812003618214</v>
      </c>
      <c r="G255" s="176">
        <f t="shared" si="160"/>
        <v>140.02490641742543</v>
      </c>
      <c r="H255" s="176">
        <f t="shared" si="160"/>
        <v>0</v>
      </c>
      <c r="I255" s="176">
        <f t="shared" si="160"/>
        <v>0</v>
      </c>
      <c r="J255" s="176">
        <f t="shared" si="160"/>
        <v>298.94473125506568</v>
      </c>
      <c r="K255" s="176">
        <f t="shared" si="160"/>
        <v>1.2307684528138594</v>
      </c>
      <c r="L255" s="176">
        <f t="shared" si="160"/>
        <v>0.17320444123929679</v>
      </c>
      <c r="M255" s="176">
        <f t="shared" si="159"/>
        <v>0</v>
      </c>
      <c r="N255" s="176">
        <f t="shared" si="159"/>
        <v>0</v>
      </c>
      <c r="O255" s="176">
        <f t="shared" si="161"/>
        <v>89.584092534165848</v>
      </c>
      <c r="P255" s="176">
        <f t="shared" si="159"/>
        <v>1525.7640407989904</v>
      </c>
      <c r="Q255" s="175">
        <f t="shared" si="162"/>
        <v>9104.6029442615218</v>
      </c>
      <c r="R255" s="176">
        <f t="shared" si="159"/>
        <v>0</v>
      </c>
      <c r="S255" s="176">
        <f t="shared" si="159"/>
        <v>633.07349757908457</v>
      </c>
      <c r="T255" s="176">
        <f t="shared" ca="1" si="159"/>
        <v>183.60833528279221</v>
      </c>
      <c r="U255" s="176">
        <f t="shared" ca="1" si="159"/>
        <v>10.462587389811242</v>
      </c>
    </row>
    <row r="256" spans="3:21" ht="19.5" thickBot="1" x14ac:dyDescent="0.3">
      <c r="C256" s="294">
        <f t="shared" si="156"/>
        <v>1</v>
      </c>
      <c r="D256" s="115" t="s">
        <v>124</v>
      </c>
      <c r="E256" s="116" t="s">
        <v>49</v>
      </c>
      <c r="F256" s="269">
        <f t="shared" ref="F256:U256" si="163">SUBTOTAL(9,F247:F255)</f>
        <v>73066.936376459984</v>
      </c>
      <c r="G256" s="269">
        <f t="shared" ref="G256:L256" si="164">SUBTOTAL(9,G247:G255)</f>
        <v>1624.5890323573758</v>
      </c>
      <c r="H256" s="269">
        <f t="shared" si="164"/>
        <v>0</v>
      </c>
      <c r="I256" s="269">
        <f t="shared" si="164"/>
        <v>1892.0976539157361</v>
      </c>
      <c r="J256" s="269">
        <f t="shared" si="164"/>
        <v>515.86403842019911</v>
      </c>
      <c r="K256" s="269">
        <f t="shared" si="164"/>
        <v>67.06689660768204</v>
      </c>
      <c r="L256" s="269">
        <f t="shared" si="164"/>
        <v>0.17320444123929679</v>
      </c>
      <c r="M256" s="269">
        <f t="shared" si="163"/>
        <v>0</v>
      </c>
      <c r="N256" s="269">
        <f t="shared" si="163"/>
        <v>0</v>
      </c>
      <c r="O256" s="269">
        <f>SUBTOTAL(9,O247:O255)</f>
        <v>91.437417689802857</v>
      </c>
      <c r="P256" s="269">
        <f t="shared" si="163"/>
        <v>1525.7640407989904</v>
      </c>
      <c r="Q256" s="183">
        <f>SUBTOTAL(9,Q247:Q255)</f>
        <v>78783.928660691032</v>
      </c>
      <c r="R256" s="269">
        <f t="shared" si="163"/>
        <v>0</v>
      </c>
      <c r="S256" s="269">
        <f t="shared" si="163"/>
        <v>5950.3953202365938</v>
      </c>
      <c r="T256" s="269">
        <f t="shared" ca="1" si="163"/>
        <v>2446.8597471963517</v>
      </c>
      <c r="U256" s="269">
        <f t="shared" ca="1" si="163"/>
        <v>1692.466237535335</v>
      </c>
    </row>
    <row r="257" spans="3:21" ht="15.75" hidden="1" thickBot="1" x14ac:dyDescent="0.3"/>
    <row r="258" spans="3:21" ht="93.75" x14ac:dyDescent="0.25">
      <c r="C258" s="294">
        <f>IF($E$258&gt;0,1,0)</f>
        <v>1</v>
      </c>
      <c r="D258" s="96" t="str">
        <f>A21</f>
        <v>Fulton</v>
      </c>
      <c r="E258" s="166">
        <f>IFERROR(SUMIF(A:A,D258,B:B),0)</f>
        <v>4.1658701551888161E-3</v>
      </c>
      <c r="F258" s="98" t="s">
        <v>356</v>
      </c>
      <c r="G258" s="98" t="s">
        <v>373</v>
      </c>
      <c r="H258" s="98" t="s">
        <v>358</v>
      </c>
      <c r="I258" s="98" t="s">
        <v>109</v>
      </c>
      <c r="J258" s="98" t="s">
        <v>111</v>
      </c>
      <c r="K258" s="98" t="s">
        <v>469</v>
      </c>
      <c r="L258" s="98" t="s">
        <v>470</v>
      </c>
      <c r="M258" s="98" t="s">
        <v>357</v>
      </c>
      <c r="N258" s="557" t="s">
        <v>471</v>
      </c>
      <c r="O258" s="557" t="s">
        <v>473</v>
      </c>
      <c r="P258" s="98" t="s">
        <v>110</v>
      </c>
      <c r="Q258" s="99" t="s">
        <v>116</v>
      </c>
      <c r="R258" s="98" t="s">
        <v>112</v>
      </c>
      <c r="S258" s="98" t="s">
        <v>113</v>
      </c>
      <c r="T258" s="98" t="s">
        <v>114</v>
      </c>
      <c r="U258" s="98" t="s">
        <v>115</v>
      </c>
    </row>
    <row r="259" spans="3:21" ht="18.75" x14ac:dyDescent="0.25">
      <c r="C259" s="294">
        <f t="shared" ref="C259:C270" si="165">IF($E$258&gt;0,1,0)</f>
        <v>1</v>
      </c>
      <c r="D259" s="101"/>
      <c r="E259" s="102"/>
      <c r="F259" s="84" t="s">
        <v>57</v>
      </c>
      <c r="G259" s="84" t="s">
        <v>56</v>
      </c>
      <c r="H259" s="84" t="s">
        <v>55</v>
      </c>
      <c r="I259" s="84" t="s">
        <v>54</v>
      </c>
      <c r="J259" s="84" t="s">
        <v>53</v>
      </c>
      <c r="K259" s="84" t="s">
        <v>52</v>
      </c>
      <c r="L259" s="84" t="s">
        <v>51</v>
      </c>
      <c r="M259" s="84" t="s">
        <v>50</v>
      </c>
      <c r="N259" s="84" t="s">
        <v>49</v>
      </c>
      <c r="O259" s="84" t="s">
        <v>47</v>
      </c>
      <c r="P259" s="84" t="s">
        <v>77</v>
      </c>
      <c r="Q259" s="84" t="s">
        <v>78</v>
      </c>
      <c r="R259" s="84" t="s">
        <v>79</v>
      </c>
      <c r="S259" s="84" t="s">
        <v>81</v>
      </c>
      <c r="T259" s="84" t="s">
        <v>83</v>
      </c>
      <c r="U259" s="84" t="s">
        <v>85</v>
      </c>
    </row>
    <row r="260" spans="3:21" ht="18.75" x14ac:dyDescent="0.25">
      <c r="C260" s="294">
        <f t="shared" si="165"/>
        <v>1</v>
      </c>
      <c r="D260" s="103" t="s">
        <v>26</v>
      </c>
      <c r="E260" s="122"/>
      <c r="F260" s="123"/>
      <c r="G260" s="123"/>
      <c r="H260" s="107"/>
      <c r="I260" s="107"/>
      <c r="J260" s="107"/>
      <c r="K260" s="107"/>
      <c r="L260" s="107"/>
      <c r="M260" s="123"/>
      <c r="N260" s="107"/>
      <c r="O260" s="107"/>
      <c r="P260" s="107"/>
      <c r="Q260" s="108"/>
      <c r="R260" s="107"/>
      <c r="S260" s="107"/>
      <c r="T260" s="107"/>
      <c r="U260" s="107"/>
    </row>
    <row r="261" spans="3:21" ht="18.75" x14ac:dyDescent="0.25">
      <c r="C261" s="294">
        <f t="shared" si="165"/>
        <v>1</v>
      </c>
      <c r="D261" s="124" t="s">
        <v>105</v>
      </c>
      <c r="E261" s="76" t="s">
        <v>57</v>
      </c>
      <c r="F261" s="176">
        <f t="shared" ref="F261:M261" si="166">F6*$E$258</f>
        <v>293820.45398344175</v>
      </c>
      <c r="G261" s="176">
        <f t="shared" si="166"/>
        <v>6607.2122889365601</v>
      </c>
      <c r="H261" s="176">
        <f t="shared" si="166"/>
        <v>0</v>
      </c>
      <c r="I261" s="176">
        <f t="shared" si="166"/>
        <v>8420.98408036418</v>
      </c>
      <c r="J261" s="176">
        <f t="shared" si="166"/>
        <v>965.42270351684863</v>
      </c>
      <c r="K261" s="176">
        <f t="shared" si="166"/>
        <v>293.01076821146523</v>
      </c>
      <c r="L261" s="176">
        <f t="shared" si="166"/>
        <v>0</v>
      </c>
      <c r="M261" s="176">
        <f t="shared" si="166"/>
        <v>0</v>
      </c>
      <c r="N261" s="176">
        <f t="shared" ref="N261:U261" si="167">N6*$E$258</f>
        <v>0</v>
      </c>
      <c r="O261" s="176">
        <f>O6*$E$258</f>
        <v>8.2484229072738557</v>
      </c>
      <c r="P261" s="176">
        <f t="shared" si="167"/>
        <v>0</v>
      </c>
      <c r="Q261" s="175">
        <f>SUM(F261:P261)</f>
        <v>310115.33224737801</v>
      </c>
      <c r="R261" s="176">
        <f t="shared" si="167"/>
        <v>0</v>
      </c>
      <c r="S261" s="176">
        <f t="shared" si="167"/>
        <v>23665.31258368447</v>
      </c>
      <c r="T261" s="176">
        <f t="shared" ca="1" si="167"/>
        <v>10072.843793312275</v>
      </c>
      <c r="U261" s="176">
        <f t="shared" ca="1" si="167"/>
        <v>7485.9381235830715</v>
      </c>
    </row>
    <row r="262" spans="3:21" ht="18.75" x14ac:dyDescent="0.25">
      <c r="C262" s="294">
        <f t="shared" si="165"/>
        <v>1</v>
      </c>
      <c r="D262" s="112" t="s">
        <v>31</v>
      </c>
      <c r="E262" s="76"/>
      <c r="F262" s="177"/>
      <c r="G262" s="177"/>
      <c r="H262" s="178"/>
      <c r="I262" s="178"/>
      <c r="J262" s="178"/>
      <c r="K262" s="178"/>
      <c r="L262" s="178"/>
      <c r="M262" s="177"/>
      <c r="N262" s="178"/>
      <c r="O262" s="178"/>
      <c r="P262" s="178"/>
      <c r="Q262" s="179"/>
      <c r="R262" s="178"/>
      <c r="S262" s="178"/>
      <c r="T262" s="178"/>
      <c r="U262" s="178"/>
    </row>
    <row r="263" spans="3:21" ht="18.75" x14ac:dyDescent="0.3">
      <c r="C263" s="294">
        <f t="shared" si="165"/>
        <v>1</v>
      </c>
      <c r="D263" s="113" t="s">
        <v>118</v>
      </c>
      <c r="E263" s="76" t="s">
        <v>56</v>
      </c>
      <c r="F263" s="176">
        <f t="shared" ref="F263:U269" si="168">F8*$E$258</f>
        <v>0</v>
      </c>
      <c r="G263" s="176">
        <f t="shared" ref="G263:L269" si="169">G8*$E$258</f>
        <v>0</v>
      </c>
      <c r="H263" s="176">
        <f t="shared" si="169"/>
        <v>0</v>
      </c>
      <c r="I263" s="176">
        <f t="shared" si="169"/>
        <v>0</v>
      </c>
      <c r="J263" s="176">
        <f t="shared" si="169"/>
        <v>0</v>
      </c>
      <c r="K263" s="176">
        <f t="shared" si="169"/>
        <v>0</v>
      </c>
      <c r="L263" s="176">
        <f t="shared" si="169"/>
        <v>0</v>
      </c>
      <c r="M263" s="176">
        <f t="shared" si="168"/>
        <v>0</v>
      </c>
      <c r="N263" s="176">
        <f t="shared" si="168"/>
        <v>0</v>
      </c>
      <c r="O263" s="176">
        <f t="shared" ref="O263:O269" si="170">O8*$E$258</f>
        <v>0</v>
      </c>
      <c r="P263" s="176">
        <f t="shared" si="168"/>
        <v>0</v>
      </c>
      <c r="Q263" s="175">
        <f t="shared" ref="Q263:Q269" si="171">SUM(F263:P263)</f>
        <v>0</v>
      </c>
      <c r="R263" s="176">
        <f t="shared" si="168"/>
        <v>0</v>
      </c>
      <c r="S263" s="176">
        <f t="shared" si="168"/>
        <v>0</v>
      </c>
      <c r="T263" s="176">
        <f t="shared" si="168"/>
        <v>0</v>
      </c>
      <c r="U263" s="176">
        <f t="shared" si="168"/>
        <v>0</v>
      </c>
    </row>
    <row r="264" spans="3:21" ht="18.75" x14ac:dyDescent="0.3">
      <c r="C264" s="294">
        <f t="shared" si="165"/>
        <v>1</v>
      </c>
      <c r="D264" s="113" t="s">
        <v>119</v>
      </c>
      <c r="E264" s="76" t="s">
        <v>55</v>
      </c>
      <c r="F264" s="176">
        <f t="shared" si="168"/>
        <v>0</v>
      </c>
      <c r="G264" s="176">
        <f t="shared" si="169"/>
        <v>0</v>
      </c>
      <c r="H264" s="176">
        <f t="shared" si="169"/>
        <v>0</v>
      </c>
      <c r="I264" s="176">
        <f t="shared" si="169"/>
        <v>0</v>
      </c>
      <c r="J264" s="176">
        <f t="shared" si="169"/>
        <v>0</v>
      </c>
      <c r="K264" s="176">
        <f t="shared" si="169"/>
        <v>0</v>
      </c>
      <c r="L264" s="176">
        <f t="shared" si="169"/>
        <v>0</v>
      </c>
      <c r="M264" s="176">
        <f t="shared" si="168"/>
        <v>0</v>
      </c>
      <c r="N264" s="176">
        <f t="shared" si="168"/>
        <v>0</v>
      </c>
      <c r="O264" s="176">
        <f t="shared" si="170"/>
        <v>0</v>
      </c>
      <c r="P264" s="176">
        <f t="shared" si="168"/>
        <v>0</v>
      </c>
      <c r="Q264" s="175">
        <f t="shared" si="171"/>
        <v>0</v>
      </c>
      <c r="R264" s="176">
        <f t="shared" si="168"/>
        <v>0</v>
      </c>
      <c r="S264" s="176">
        <f t="shared" si="168"/>
        <v>0</v>
      </c>
      <c r="T264" s="176">
        <f t="shared" si="168"/>
        <v>0</v>
      </c>
      <c r="U264" s="176">
        <f t="shared" si="168"/>
        <v>0</v>
      </c>
    </row>
    <row r="265" spans="3:21" ht="18.75" x14ac:dyDescent="0.3">
      <c r="C265" s="294">
        <f t="shared" si="165"/>
        <v>1</v>
      </c>
      <c r="D265" s="113" t="s">
        <v>120</v>
      </c>
      <c r="E265" s="76" t="s">
        <v>54</v>
      </c>
      <c r="F265" s="176">
        <f t="shared" si="168"/>
        <v>0</v>
      </c>
      <c r="G265" s="176">
        <f t="shared" si="169"/>
        <v>0</v>
      </c>
      <c r="H265" s="176">
        <f t="shared" si="169"/>
        <v>0</v>
      </c>
      <c r="I265" s="176">
        <f t="shared" si="169"/>
        <v>0</v>
      </c>
      <c r="J265" s="176">
        <f t="shared" si="169"/>
        <v>0</v>
      </c>
      <c r="K265" s="176">
        <f t="shared" si="169"/>
        <v>0</v>
      </c>
      <c r="L265" s="176">
        <f t="shared" si="169"/>
        <v>0</v>
      </c>
      <c r="M265" s="176">
        <f t="shared" si="168"/>
        <v>0</v>
      </c>
      <c r="N265" s="176">
        <f t="shared" si="168"/>
        <v>0</v>
      </c>
      <c r="O265" s="176">
        <f t="shared" si="170"/>
        <v>0</v>
      </c>
      <c r="P265" s="176">
        <f t="shared" si="168"/>
        <v>0</v>
      </c>
      <c r="Q265" s="175">
        <f t="shared" si="171"/>
        <v>0</v>
      </c>
      <c r="R265" s="176">
        <f t="shared" si="168"/>
        <v>0</v>
      </c>
      <c r="S265" s="176">
        <f t="shared" si="168"/>
        <v>0</v>
      </c>
      <c r="T265" s="176">
        <f t="shared" si="168"/>
        <v>0</v>
      </c>
      <c r="U265" s="176">
        <f t="shared" si="168"/>
        <v>0</v>
      </c>
    </row>
    <row r="266" spans="3:21" ht="18.75" x14ac:dyDescent="0.3">
      <c r="C266" s="294">
        <f t="shared" si="165"/>
        <v>1</v>
      </c>
      <c r="D266" s="113" t="s">
        <v>121</v>
      </c>
      <c r="E266" s="76" t="s">
        <v>53</v>
      </c>
      <c r="F266" s="176">
        <f t="shared" si="168"/>
        <v>0</v>
      </c>
      <c r="G266" s="176">
        <f t="shared" si="169"/>
        <v>0</v>
      </c>
      <c r="H266" s="176">
        <f t="shared" si="169"/>
        <v>0</v>
      </c>
      <c r="I266" s="176">
        <f t="shared" si="169"/>
        <v>0</v>
      </c>
      <c r="J266" s="176">
        <f t="shared" si="169"/>
        <v>0</v>
      </c>
      <c r="K266" s="176">
        <f t="shared" si="169"/>
        <v>0</v>
      </c>
      <c r="L266" s="176">
        <f t="shared" si="169"/>
        <v>0</v>
      </c>
      <c r="M266" s="176">
        <f t="shared" si="168"/>
        <v>0</v>
      </c>
      <c r="N266" s="176">
        <f t="shared" si="168"/>
        <v>0</v>
      </c>
      <c r="O266" s="176">
        <f t="shared" si="170"/>
        <v>0</v>
      </c>
      <c r="P266" s="176">
        <f t="shared" si="168"/>
        <v>0</v>
      </c>
      <c r="Q266" s="175">
        <f t="shared" si="171"/>
        <v>0</v>
      </c>
      <c r="R266" s="176">
        <f t="shared" si="168"/>
        <v>0</v>
      </c>
      <c r="S266" s="176">
        <f t="shared" si="168"/>
        <v>0</v>
      </c>
      <c r="T266" s="176">
        <f t="shared" si="168"/>
        <v>0</v>
      </c>
      <c r="U266" s="176">
        <f t="shared" si="168"/>
        <v>0</v>
      </c>
    </row>
    <row r="267" spans="3:21" ht="18.75" x14ac:dyDescent="0.3">
      <c r="C267" s="294">
        <f t="shared" si="165"/>
        <v>1</v>
      </c>
      <c r="D267" s="113" t="s">
        <v>122</v>
      </c>
      <c r="E267" s="76" t="s">
        <v>52</v>
      </c>
      <c r="F267" s="176">
        <f t="shared" si="168"/>
        <v>0</v>
      </c>
      <c r="G267" s="176">
        <f t="shared" si="169"/>
        <v>0</v>
      </c>
      <c r="H267" s="176">
        <f t="shared" si="169"/>
        <v>0</v>
      </c>
      <c r="I267" s="176">
        <f t="shared" si="169"/>
        <v>0</v>
      </c>
      <c r="J267" s="176">
        <f t="shared" si="169"/>
        <v>0</v>
      </c>
      <c r="K267" s="176">
        <f t="shared" si="169"/>
        <v>0</v>
      </c>
      <c r="L267" s="176">
        <f t="shared" si="169"/>
        <v>0</v>
      </c>
      <c r="M267" s="176">
        <f t="shared" si="168"/>
        <v>0</v>
      </c>
      <c r="N267" s="176">
        <f t="shared" si="168"/>
        <v>0</v>
      </c>
      <c r="O267" s="176">
        <f t="shared" si="170"/>
        <v>0</v>
      </c>
      <c r="P267" s="176">
        <f t="shared" si="168"/>
        <v>0</v>
      </c>
      <c r="Q267" s="175">
        <f t="shared" si="171"/>
        <v>0</v>
      </c>
      <c r="R267" s="176">
        <f t="shared" si="168"/>
        <v>0</v>
      </c>
      <c r="S267" s="176">
        <f t="shared" si="168"/>
        <v>0</v>
      </c>
      <c r="T267" s="176">
        <f t="shared" si="168"/>
        <v>0</v>
      </c>
      <c r="U267" s="176">
        <f t="shared" si="168"/>
        <v>0</v>
      </c>
    </row>
    <row r="268" spans="3:21" ht="18.75" x14ac:dyDescent="0.3">
      <c r="C268" s="294">
        <f t="shared" si="165"/>
        <v>1</v>
      </c>
      <c r="D268" s="125" t="s">
        <v>123</v>
      </c>
      <c r="E268" s="76" t="s">
        <v>51</v>
      </c>
      <c r="F268" s="176">
        <f t="shared" si="168"/>
        <v>0</v>
      </c>
      <c r="G268" s="176">
        <f t="shared" si="169"/>
        <v>0</v>
      </c>
      <c r="H268" s="176">
        <f t="shared" si="169"/>
        <v>0</v>
      </c>
      <c r="I268" s="176">
        <f t="shared" si="169"/>
        <v>0</v>
      </c>
      <c r="J268" s="176">
        <f t="shared" si="169"/>
        <v>0</v>
      </c>
      <c r="K268" s="176">
        <f t="shared" si="169"/>
        <v>0</v>
      </c>
      <c r="L268" s="176">
        <f t="shared" si="169"/>
        <v>0</v>
      </c>
      <c r="M268" s="176">
        <f t="shared" si="168"/>
        <v>0</v>
      </c>
      <c r="N268" s="176">
        <f t="shared" si="168"/>
        <v>0</v>
      </c>
      <c r="O268" s="176">
        <f t="shared" si="170"/>
        <v>0</v>
      </c>
      <c r="P268" s="176">
        <f t="shared" si="168"/>
        <v>0</v>
      </c>
      <c r="Q268" s="175">
        <f t="shared" si="171"/>
        <v>0</v>
      </c>
      <c r="R268" s="176">
        <f t="shared" si="168"/>
        <v>0</v>
      </c>
      <c r="S268" s="176">
        <f t="shared" si="168"/>
        <v>0</v>
      </c>
      <c r="T268" s="176">
        <f t="shared" si="168"/>
        <v>0</v>
      </c>
      <c r="U268" s="176">
        <f t="shared" si="168"/>
        <v>0</v>
      </c>
    </row>
    <row r="269" spans="3:21" ht="19.5" thickBot="1" x14ac:dyDescent="0.35">
      <c r="C269" s="294">
        <f t="shared" si="165"/>
        <v>1</v>
      </c>
      <c r="D269" s="114" t="s">
        <v>16</v>
      </c>
      <c r="E269" s="70" t="s">
        <v>50</v>
      </c>
      <c r="F269" s="176">
        <f t="shared" si="168"/>
        <v>31371.803801871192</v>
      </c>
      <c r="G269" s="176">
        <f t="shared" si="169"/>
        <v>623.19590395102114</v>
      </c>
      <c r="H269" s="176">
        <f t="shared" si="169"/>
        <v>0</v>
      </c>
      <c r="I269" s="176">
        <f t="shared" si="169"/>
        <v>0</v>
      </c>
      <c r="J269" s="176">
        <f t="shared" si="169"/>
        <v>1330.4856742451034</v>
      </c>
      <c r="K269" s="176">
        <f t="shared" si="169"/>
        <v>5.477667353115133</v>
      </c>
      <c r="L269" s="176">
        <f t="shared" si="169"/>
        <v>0.77086499172280443</v>
      </c>
      <c r="M269" s="176">
        <f t="shared" si="168"/>
        <v>0</v>
      </c>
      <c r="N269" s="176">
        <f t="shared" si="168"/>
        <v>0</v>
      </c>
      <c r="O269" s="176">
        <f t="shared" si="170"/>
        <v>398.70363748026642</v>
      </c>
      <c r="P269" s="176">
        <f t="shared" si="168"/>
        <v>6790.5769405560623</v>
      </c>
      <c r="Q269" s="175">
        <f t="shared" si="171"/>
        <v>40521.014490448484</v>
      </c>
      <c r="R269" s="176">
        <f t="shared" si="168"/>
        <v>0</v>
      </c>
      <c r="S269" s="176">
        <f t="shared" si="168"/>
        <v>2817.5616801707433</v>
      </c>
      <c r="T269" s="176">
        <f t="shared" ca="1" si="168"/>
        <v>817.16864097302027</v>
      </c>
      <c r="U269" s="176">
        <f t="shared" ca="1" si="168"/>
        <v>46.56487029973519</v>
      </c>
    </row>
    <row r="270" spans="3:21" ht="19.5" thickBot="1" x14ac:dyDescent="0.3">
      <c r="C270" s="294">
        <f t="shared" si="165"/>
        <v>1</v>
      </c>
      <c r="D270" s="115" t="s">
        <v>124</v>
      </c>
      <c r="E270" s="116" t="s">
        <v>49</v>
      </c>
      <c r="F270" s="269">
        <f t="shared" ref="F270:U270" si="172">SUBTOTAL(9,F261:F269)</f>
        <v>325192.25778531295</v>
      </c>
      <c r="G270" s="269">
        <f t="shared" ref="G270:L270" si="173">SUBTOTAL(9,G261:G269)</f>
        <v>7230.4081928875812</v>
      </c>
      <c r="H270" s="269">
        <f t="shared" si="173"/>
        <v>0</v>
      </c>
      <c r="I270" s="269">
        <f t="shared" si="173"/>
        <v>8420.98408036418</v>
      </c>
      <c r="J270" s="269">
        <f t="shared" si="173"/>
        <v>2295.9083777619521</v>
      </c>
      <c r="K270" s="269">
        <f t="shared" si="173"/>
        <v>298.48843556458036</v>
      </c>
      <c r="L270" s="269">
        <f t="shared" si="173"/>
        <v>0.77086499172280443</v>
      </c>
      <c r="M270" s="269">
        <f t="shared" si="172"/>
        <v>0</v>
      </c>
      <c r="N270" s="269">
        <f t="shared" si="172"/>
        <v>0</v>
      </c>
      <c r="O270" s="269">
        <f>SUBTOTAL(9,O261:O269)</f>
        <v>406.95206038754026</v>
      </c>
      <c r="P270" s="269">
        <f t="shared" si="172"/>
        <v>6790.5769405560623</v>
      </c>
      <c r="Q270" s="183">
        <f>SUBTOTAL(9,Q261:Q269)</f>
        <v>350636.34673782648</v>
      </c>
      <c r="R270" s="269">
        <f t="shared" si="172"/>
        <v>0</v>
      </c>
      <c r="S270" s="269">
        <f t="shared" si="172"/>
        <v>26482.874263855214</v>
      </c>
      <c r="T270" s="269">
        <f t="shared" ca="1" si="172"/>
        <v>10890.012434285296</v>
      </c>
      <c r="U270" s="269">
        <f t="shared" ca="1" si="172"/>
        <v>7532.5029938828065</v>
      </c>
    </row>
    <row r="271" spans="3:21" ht="15.75" hidden="1" thickBot="1" x14ac:dyDescent="0.3"/>
    <row r="272" spans="3:21" ht="93.75" x14ac:dyDescent="0.25">
      <c r="C272" s="294">
        <f>IF($E$272&gt;0,1,0)</f>
        <v>1</v>
      </c>
      <c r="D272" s="96" t="str">
        <f>A22</f>
        <v>Genesee</v>
      </c>
      <c r="E272" s="166">
        <f>IFERROR(SUMIF(A:A,D272,B:B),0)</f>
        <v>1.7283040715096493E-3</v>
      </c>
      <c r="F272" s="98" t="s">
        <v>356</v>
      </c>
      <c r="G272" s="98" t="s">
        <v>373</v>
      </c>
      <c r="H272" s="98" t="s">
        <v>358</v>
      </c>
      <c r="I272" s="98" t="s">
        <v>109</v>
      </c>
      <c r="J272" s="98" t="s">
        <v>111</v>
      </c>
      <c r="K272" s="98" t="s">
        <v>469</v>
      </c>
      <c r="L272" s="98" t="s">
        <v>470</v>
      </c>
      <c r="M272" s="98" t="s">
        <v>357</v>
      </c>
      <c r="N272" s="557" t="s">
        <v>471</v>
      </c>
      <c r="O272" s="557" t="s">
        <v>473</v>
      </c>
      <c r="P272" s="98" t="s">
        <v>110</v>
      </c>
      <c r="Q272" s="99" t="s">
        <v>116</v>
      </c>
      <c r="R272" s="98" t="s">
        <v>112</v>
      </c>
      <c r="S272" s="98" t="s">
        <v>113</v>
      </c>
      <c r="T272" s="98" t="s">
        <v>114</v>
      </c>
      <c r="U272" s="98" t="s">
        <v>115</v>
      </c>
    </row>
    <row r="273" spans="3:21" ht="18.75" x14ac:dyDescent="0.25">
      <c r="C273" s="294">
        <f t="shared" ref="C273:C284" si="174">IF($E$272&gt;0,1,0)</f>
        <v>1</v>
      </c>
      <c r="D273" s="101"/>
      <c r="E273" s="102"/>
      <c r="F273" s="84" t="s">
        <v>57</v>
      </c>
      <c r="G273" s="84" t="s">
        <v>56</v>
      </c>
      <c r="H273" s="84" t="s">
        <v>55</v>
      </c>
      <c r="I273" s="84" t="s">
        <v>54</v>
      </c>
      <c r="J273" s="84" t="s">
        <v>53</v>
      </c>
      <c r="K273" s="84" t="s">
        <v>52</v>
      </c>
      <c r="L273" s="84" t="s">
        <v>51</v>
      </c>
      <c r="M273" s="84" t="s">
        <v>50</v>
      </c>
      <c r="N273" s="84" t="s">
        <v>49</v>
      </c>
      <c r="O273" s="84" t="s">
        <v>47</v>
      </c>
      <c r="P273" s="84" t="s">
        <v>77</v>
      </c>
      <c r="Q273" s="84" t="s">
        <v>78</v>
      </c>
      <c r="R273" s="84" t="s">
        <v>79</v>
      </c>
      <c r="S273" s="84" t="s">
        <v>81</v>
      </c>
      <c r="T273" s="84" t="s">
        <v>83</v>
      </c>
      <c r="U273" s="84" t="s">
        <v>85</v>
      </c>
    </row>
    <row r="274" spans="3:21" ht="18.75" x14ac:dyDescent="0.25">
      <c r="C274" s="294">
        <f t="shared" si="174"/>
        <v>1</v>
      </c>
      <c r="D274" s="103" t="s">
        <v>26</v>
      </c>
      <c r="E274" s="122"/>
      <c r="F274" s="123"/>
      <c r="G274" s="123"/>
      <c r="H274" s="107"/>
      <c r="I274" s="107"/>
      <c r="J274" s="107"/>
      <c r="K274" s="107"/>
      <c r="L274" s="107"/>
      <c r="M274" s="123"/>
      <c r="N274" s="107"/>
      <c r="O274" s="107"/>
      <c r="P274" s="107"/>
      <c r="Q274" s="108"/>
      <c r="R274" s="107"/>
      <c r="S274" s="107"/>
      <c r="T274" s="107"/>
      <c r="U274" s="107"/>
    </row>
    <row r="275" spans="3:21" ht="18.75" x14ac:dyDescent="0.25">
      <c r="C275" s="294">
        <f t="shared" si="174"/>
        <v>1</v>
      </c>
      <c r="D275" s="124" t="s">
        <v>105</v>
      </c>
      <c r="E275" s="76" t="s">
        <v>57</v>
      </c>
      <c r="F275" s="176">
        <f t="shared" ref="F275:M275" si="175">F6*$E$272</f>
        <v>121897.96320941253</v>
      </c>
      <c r="G275" s="176">
        <f t="shared" si="175"/>
        <v>2741.1492617153049</v>
      </c>
      <c r="H275" s="176">
        <f t="shared" si="175"/>
        <v>0</v>
      </c>
      <c r="I275" s="176">
        <f t="shared" si="175"/>
        <v>3493.6329098216215</v>
      </c>
      <c r="J275" s="176">
        <f t="shared" si="175"/>
        <v>400.52712328005731</v>
      </c>
      <c r="K275" s="176">
        <f t="shared" si="175"/>
        <v>121.56204702282484</v>
      </c>
      <c r="L275" s="176">
        <f t="shared" si="175"/>
        <v>0</v>
      </c>
      <c r="M275" s="176">
        <f t="shared" si="175"/>
        <v>0</v>
      </c>
      <c r="N275" s="176">
        <f t="shared" ref="N275:U275" si="176">N6*$E$272</f>
        <v>0</v>
      </c>
      <c r="O275" s="176">
        <f>O6*$E$272</f>
        <v>3.4220420615891056</v>
      </c>
      <c r="P275" s="176">
        <f t="shared" si="176"/>
        <v>0</v>
      </c>
      <c r="Q275" s="175">
        <f>SUM(F275:P275)</f>
        <v>128658.25659331393</v>
      </c>
      <c r="R275" s="176">
        <f t="shared" si="176"/>
        <v>0</v>
      </c>
      <c r="S275" s="176">
        <f t="shared" si="176"/>
        <v>9818.0823137241041</v>
      </c>
      <c r="T275" s="176">
        <f t="shared" ca="1" si="176"/>
        <v>4178.9437239128865</v>
      </c>
      <c r="U275" s="176">
        <f t="shared" ca="1" si="176"/>
        <v>3105.7082568795331</v>
      </c>
    </row>
    <row r="276" spans="3:21" ht="18.75" x14ac:dyDescent="0.25">
      <c r="C276" s="294">
        <f t="shared" si="174"/>
        <v>1</v>
      </c>
      <c r="D276" s="112" t="s">
        <v>31</v>
      </c>
      <c r="E276" s="76"/>
      <c r="F276" s="177"/>
      <c r="G276" s="177"/>
      <c r="H276" s="178"/>
      <c r="I276" s="178"/>
      <c r="J276" s="178"/>
      <c r="K276" s="178"/>
      <c r="L276" s="178"/>
      <c r="M276" s="177"/>
      <c r="N276" s="178"/>
      <c r="O276" s="178"/>
      <c r="P276" s="178"/>
      <c r="Q276" s="179"/>
      <c r="R276" s="178"/>
      <c r="S276" s="178"/>
      <c r="T276" s="178"/>
      <c r="U276" s="178"/>
    </row>
    <row r="277" spans="3:21" ht="18.75" x14ac:dyDescent="0.3">
      <c r="C277" s="294">
        <f t="shared" si="174"/>
        <v>1</v>
      </c>
      <c r="D277" s="113" t="s">
        <v>118</v>
      </c>
      <c r="E277" s="76" t="s">
        <v>56</v>
      </c>
      <c r="F277" s="176">
        <f t="shared" ref="F277:U283" si="177">F8*$E$272</f>
        <v>0</v>
      </c>
      <c r="G277" s="176">
        <f t="shared" ref="G277:L283" si="178">G8*$E$272</f>
        <v>0</v>
      </c>
      <c r="H277" s="176">
        <f t="shared" si="178"/>
        <v>0</v>
      </c>
      <c r="I277" s="176">
        <f t="shared" si="178"/>
        <v>0</v>
      </c>
      <c r="J277" s="176">
        <f t="shared" si="178"/>
        <v>0</v>
      </c>
      <c r="K277" s="176">
        <f t="shared" si="178"/>
        <v>0</v>
      </c>
      <c r="L277" s="176">
        <f t="shared" si="178"/>
        <v>0</v>
      </c>
      <c r="M277" s="176">
        <f t="shared" si="177"/>
        <v>0</v>
      </c>
      <c r="N277" s="176">
        <f t="shared" si="177"/>
        <v>0</v>
      </c>
      <c r="O277" s="176">
        <f t="shared" ref="O277:O283" si="179">O8*$E$272</f>
        <v>0</v>
      </c>
      <c r="P277" s="176">
        <f t="shared" si="177"/>
        <v>0</v>
      </c>
      <c r="Q277" s="175">
        <f t="shared" ref="Q277:Q283" si="180">SUM(F277:P277)</f>
        <v>0</v>
      </c>
      <c r="R277" s="176">
        <f t="shared" si="177"/>
        <v>0</v>
      </c>
      <c r="S277" s="176">
        <f t="shared" si="177"/>
        <v>0</v>
      </c>
      <c r="T277" s="176">
        <f t="shared" si="177"/>
        <v>0</v>
      </c>
      <c r="U277" s="176">
        <f t="shared" si="177"/>
        <v>0</v>
      </c>
    </row>
    <row r="278" spans="3:21" ht="18.75" x14ac:dyDescent="0.3">
      <c r="C278" s="294">
        <f t="shared" si="174"/>
        <v>1</v>
      </c>
      <c r="D278" s="113" t="s">
        <v>119</v>
      </c>
      <c r="E278" s="76" t="s">
        <v>55</v>
      </c>
      <c r="F278" s="176">
        <f t="shared" si="177"/>
        <v>0</v>
      </c>
      <c r="G278" s="176">
        <f t="shared" si="178"/>
        <v>0</v>
      </c>
      <c r="H278" s="176">
        <f t="shared" si="178"/>
        <v>0</v>
      </c>
      <c r="I278" s="176">
        <f t="shared" si="178"/>
        <v>0</v>
      </c>
      <c r="J278" s="176">
        <f t="shared" si="178"/>
        <v>0</v>
      </c>
      <c r="K278" s="176">
        <f t="shared" si="178"/>
        <v>0</v>
      </c>
      <c r="L278" s="176">
        <f t="shared" si="178"/>
        <v>0</v>
      </c>
      <c r="M278" s="176">
        <f t="shared" si="177"/>
        <v>0</v>
      </c>
      <c r="N278" s="176">
        <f t="shared" si="177"/>
        <v>0</v>
      </c>
      <c r="O278" s="176">
        <f t="shared" si="179"/>
        <v>0</v>
      </c>
      <c r="P278" s="176">
        <f t="shared" si="177"/>
        <v>0</v>
      </c>
      <c r="Q278" s="175">
        <f t="shared" si="180"/>
        <v>0</v>
      </c>
      <c r="R278" s="176">
        <f t="shared" si="177"/>
        <v>0</v>
      </c>
      <c r="S278" s="176">
        <f t="shared" si="177"/>
        <v>0</v>
      </c>
      <c r="T278" s="176">
        <f t="shared" si="177"/>
        <v>0</v>
      </c>
      <c r="U278" s="176">
        <f t="shared" si="177"/>
        <v>0</v>
      </c>
    </row>
    <row r="279" spans="3:21" ht="18.75" x14ac:dyDescent="0.3">
      <c r="C279" s="294">
        <f t="shared" si="174"/>
        <v>1</v>
      </c>
      <c r="D279" s="113" t="s">
        <v>120</v>
      </c>
      <c r="E279" s="76" t="s">
        <v>54</v>
      </c>
      <c r="F279" s="176">
        <f t="shared" si="177"/>
        <v>0</v>
      </c>
      <c r="G279" s="176">
        <f t="shared" si="178"/>
        <v>0</v>
      </c>
      <c r="H279" s="176">
        <f t="shared" si="178"/>
        <v>0</v>
      </c>
      <c r="I279" s="176">
        <f t="shared" si="178"/>
        <v>0</v>
      </c>
      <c r="J279" s="176">
        <f t="shared" si="178"/>
        <v>0</v>
      </c>
      <c r="K279" s="176">
        <f t="shared" si="178"/>
        <v>0</v>
      </c>
      <c r="L279" s="176">
        <f t="shared" si="178"/>
        <v>0</v>
      </c>
      <c r="M279" s="176">
        <f t="shared" si="177"/>
        <v>0</v>
      </c>
      <c r="N279" s="176">
        <f t="shared" si="177"/>
        <v>0</v>
      </c>
      <c r="O279" s="176">
        <f t="shared" si="179"/>
        <v>0</v>
      </c>
      <c r="P279" s="176">
        <f t="shared" si="177"/>
        <v>0</v>
      </c>
      <c r="Q279" s="175">
        <f t="shared" si="180"/>
        <v>0</v>
      </c>
      <c r="R279" s="176">
        <f t="shared" si="177"/>
        <v>0</v>
      </c>
      <c r="S279" s="176">
        <f t="shared" si="177"/>
        <v>0</v>
      </c>
      <c r="T279" s="176">
        <f t="shared" si="177"/>
        <v>0</v>
      </c>
      <c r="U279" s="176">
        <f t="shared" si="177"/>
        <v>0</v>
      </c>
    </row>
    <row r="280" spans="3:21" ht="18.75" x14ac:dyDescent="0.3">
      <c r="C280" s="294">
        <f t="shared" si="174"/>
        <v>1</v>
      </c>
      <c r="D280" s="113" t="s">
        <v>121</v>
      </c>
      <c r="E280" s="76" t="s">
        <v>53</v>
      </c>
      <c r="F280" s="176">
        <f t="shared" si="177"/>
        <v>0</v>
      </c>
      <c r="G280" s="176">
        <f t="shared" si="178"/>
        <v>0</v>
      </c>
      <c r="H280" s="176">
        <f t="shared" si="178"/>
        <v>0</v>
      </c>
      <c r="I280" s="176">
        <f t="shared" si="178"/>
        <v>0</v>
      </c>
      <c r="J280" s="176">
        <f t="shared" si="178"/>
        <v>0</v>
      </c>
      <c r="K280" s="176">
        <f t="shared" si="178"/>
        <v>0</v>
      </c>
      <c r="L280" s="176">
        <f t="shared" si="178"/>
        <v>0</v>
      </c>
      <c r="M280" s="176">
        <f t="shared" si="177"/>
        <v>0</v>
      </c>
      <c r="N280" s="176">
        <f t="shared" si="177"/>
        <v>0</v>
      </c>
      <c r="O280" s="176">
        <f t="shared" si="179"/>
        <v>0</v>
      </c>
      <c r="P280" s="176">
        <f t="shared" si="177"/>
        <v>0</v>
      </c>
      <c r="Q280" s="175">
        <f t="shared" si="180"/>
        <v>0</v>
      </c>
      <c r="R280" s="176">
        <f t="shared" si="177"/>
        <v>0</v>
      </c>
      <c r="S280" s="176">
        <f t="shared" si="177"/>
        <v>0</v>
      </c>
      <c r="T280" s="176">
        <f t="shared" si="177"/>
        <v>0</v>
      </c>
      <c r="U280" s="176">
        <f t="shared" si="177"/>
        <v>0</v>
      </c>
    </row>
    <row r="281" spans="3:21" ht="18.75" x14ac:dyDescent="0.3">
      <c r="C281" s="294">
        <f t="shared" si="174"/>
        <v>1</v>
      </c>
      <c r="D281" s="113" t="s">
        <v>122</v>
      </c>
      <c r="E281" s="76" t="s">
        <v>52</v>
      </c>
      <c r="F281" s="176">
        <f t="shared" si="177"/>
        <v>0</v>
      </c>
      <c r="G281" s="176">
        <f t="shared" si="178"/>
        <v>0</v>
      </c>
      <c r="H281" s="176">
        <f t="shared" si="178"/>
        <v>0</v>
      </c>
      <c r="I281" s="176">
        <f t="shared" si="178"/>
        <v>0</v>
      </c>
      <c r="J281" s="176">
        <f t="shared" si="178"/>
        <v>0</v>
      </c>
      <c r="K281" s="176">
        <f t="shared" si="178"/>
        <v>0</v>
      </c>
      <c r="L281" s="176">
        <f t="shared" si="178"/>
        <v>0</v>
      </c>
      <c r="M281" s="176">
        <f t="shared" si="177"/>
        <v>0</v>
      </c>
      <c r="N281" s="176">
        <f t="shared" si="177"/>
        <v>0</v>
      </c>
      <c r="O281" s="176">
        <f t="shared" si="179"/>
        <v>0</v>
      </c>
      <c r="P281" s="176">
        <f t="shared" si="177"/>
        <v>0</v>
      </c>
      <c r="Q281" s="175">
        <f t="shared" si="180"/>
        <v>0</v>
      </c>
      <c r="R281" s="176">
        <f t="shared" si="177"/>
        <v>0</v>
      </c>
      <c r="S281" s="176">
        <f t="shared" si="177"/>
        <v>0</v>
      </c>
      <c r="T281" s="176">
        <f t="shared" si="177"/>
        <v>0</v>
      </c>
      <c r="U281" s="176">
        <f t="shared" si="177"/>
        <v>0</v>
      </c>
    </row>
    <row r="282" spans="3:21" ht="18.75" x14ac:dyDescent="0.3">
      <c r="C282" s="294">
        <f t="shared" si="174"/>
        <v>1</v>
      </c>
      <c r="D282" s="125" t="s">
        <v>123</v>
      </c>
      <c r="E282" s="76" t="s">
        <v>51</v>
      </c>
      <c r="F282" s="176">
        <f t="shared" si="177"/>
        <v>0</v>
      </c>
      <c r="G282" s="176">
        <f t="shared" si="178"/>
        <v>0</v>
      </c>
      <c r="H282" s="176">
        <f t="shared" si="178"/>
        <v>0</v>
      </c>
      <c r="I282" s="176">
        <f t="shared" si="178"/>
        <v>0</v>
      </c>
      <c r="J282" s="176">
        <f t="shared" si="178"/>
        <v>0</v>
      </c>
      <c r="K282" s="176">
        <f t="shared" si="178"/>
        <v>0</v>
      </c>
      <c r="L282" s="176">
        <f t="shared" si="178"/>
        <v>0</v>
      </c>
      <c r="M282" s="176">
        <f t="shared" si="177"/>
        <v>0</v>
      </c>
      <c r="N282" s="176">
        <f t="shared" si="177"/>
        <v>0</v>
      </c>
      <c r="O282" s="176">
        <f t="shared" si="179"/>
        <v>0</v>
      </c>
      <c r="P282" s="176">
        <f t="shared" si="177"/>
        <v>0</v>
      </c>
      <c r="Q282" s="175">
        <f t="shared" si="180"/>
        <v>0</v>
      </c>
      <c r="R282" s="176">
        <f t="shared" si="177"/>
        <v>0</v>
      </c>
      <c r="S282" s="176">
        <f t="shared" si="177"/>
        <v>0</v>
      </c>
      <c r="T282" s="176">
        <f t="shared" si="177"/>
        <v>0</v>
      </c>
      <c r="U282" s="176">
        <f t="shared" si="177"/>
        <v>0</v>
      </c>
    </row>
    <row r="283" spans="3:21" ht="19.5" thickBot="1" x14ac:dyDescent="0.35">
      <c r="C283" s="294">
        <f t="shared" si="174"/>
        <v>1</v>
      </c>
      <c r="D283" s="114" t="s">
        <v>16</v>
      </c>
      <c r="E283" s="70" t="s">
        <v>50</v>
      </c>
      <c r="F283" s="176">
        <f t="shared" si="177"/>
        <v>13015.291936989905</v>
      </c>
      <c r="G283" s="176">
        <f t="shared" si="178"/>
        <v>258.54670885628417</v>
      </c>
      <c r="H283" s="176">
        <f t="shared" si="178"/>
        <v>0</v>
      </c>
      <c r="I283" s="176">
        <f t="shared" si="178"/>
        <v>0</v>
      </c>
      <c r="J283" s="176">
        <f t="shared" si="178"/>
        <v>551.98163222128801</v>
      </c>
      <c r="K283" s="176">
        <f t="shared" si="178"/>
        <v>2.2725323728519515</v>
      </c>
      <c r="L283" s="176">
        <f t="shared" si="178"/>
        <v>0.31981052076703276</v>
      </c>
      <c r="M283" s="176">
        <f t="shared" si="177"/>
        <v>0</v>
      </c>
      <c r="N283" s="176">
        <f t="shared" si="177"/>
        <v>0</v>
      </c>
      <c r="O283" s="176">
        <f t="shared" si="179"/>
        <v>165.41108923535793</v>
      </c>
      <c r="P283" s="176">
        <f t="shared" si="177"/>
        <v>2817.2221737743153</v>
      </c>
      <c r="Q283" s="175">
        <f t="shared" si="180"/>
        <v>16811.045883970768</v>
      </c>
      <c r="R283" s="176">
        <f t="shared" si="177"/>
        <v>0</v>
      </c>
      <c r="S283" s="176">
        <f t="shared" si="177"/>
        <v>1168.9282532013895</v>
      </c>
      <c r="T283" s="176">
        <f t="shared" ca="1" si="177"/>
        <v>339.02062154879263</v>
      </c>
      <c r="U283" s="176">
        <f t="shared" ca="1" si="177"/>
        <v>19.318474155540123</v>
      </c>
    </row>
    <row r="284" spans="3:21" ht="19.5" thickBot="1" x14ac:dyDescent="0.3">
      <c r="C284" s="294">
        <f t="shared" si="174"/>
        <v>1</v>
      </c>
      <c r="D284" s="115" t="s">
        <v>124</v>
      </c>
      <c r="E284" s="116" t="s">
        <v>49</v>
      </c>
      <c r="F284" s="269">
        <f t="shared" ref="F284:U284" si="181">SUBTOTAL(9,F275:F283)</f>
        <v>134913.25514640243</v>
      </c>
      <c r="G284" s="269">
        <f t="shared" ref="G284:L284" si="182">SUBTOTAL(9,G275:G283)</f>
        <v>2999.695970571589</v>
      </c>
      <c r="H284" s="269">
        <f t="shared" si="182"/>
        <v>0</v>
      </c>
      <c r="I284" s="269">
        <f t="shared" si="182"/>
        <v>3493.6329098216215</v>
      </c>
      <c r="J284" s="269">
        <f t="shared" si="182"/>
        <v>952.50875550134538</v>
      </c>
      <c r="K284" s="269">
        <f t="shared" si="182"/>
        <v>123.8345793956768</v>
      </c>
      <c r="L284" s="269">
        <f t="shared" si="182"/>
        <v>0.31981052076703276</v>
      </c>
      <c r="M284" s="269">
        <f t="shared" si="181"/>
        <v>0</v>
      </c>
      <c r="N284" s="269">
        <f t="shared" si="181"/>
        <v>0</v>
      </c>
      <c r="O284" s="269">
        <f>SUBTOTAL(9,O275:O283)</f>
        <v>168.83313129694704</v>
      </c>
      <c r="P284" s="269">
        <f t="shared" si="181"/>
        <v>2817.2221737743153</v>
      </c>
      <c r="Q284" s="183">
        <f>SUBTOTAL(9,Q275:Q283)</f>
        <v>145469.30247728468</v>
      </c>
      <c r="R284" s="269">
        <f t="shared" si="181"/>
        <v>0</v>
      </c>
      <c r="S284" s="269">
        <f t="shared" si="181"/>
        <v>10987.010566925494</v>
      </c>
      <c r="T284" s="269">
        <f t="shared" ca="1" si="181"/>
        <v>4517.9643454616789</v>
      </c>
      <c r="U284" s="269">
        <f t="shared" ca="1" si="181"/>
        <v>3125.0267310350732</v>
      </c>
    </row>
    <row r="285" spans="3:21" ht="15.75" hidden="1" thickBot="1" x14ac:dyDescent="0.3"/>
    <row r="286" spans="3:21" ht="93.75" x14ac:dyDescent="0.25">
      <c r="C286" s="294">
        <f>IF($E$286&gt;0,1,0)</f>
        <v>1</v>
      </c>
      <c r="D286" s="96" t="str">
        <f>A23</f>
        <v>Greene</v>
      </c>
      <c r="E286" s="166">
        <f>IFERROR(SUMIF(A:A,D286,B:B),0)</f>
        <v>1.8330419841601578E-3</v>
      </c>
      <c r="F286" s="98" t="s">
        <v>356</v>
      </c>
      <c r="G286" s="98" t="s">
        <v>373</v>
      </c>
      <c r="H286" s="98" t="s">
        <v>358</v>
      </c>
      <c r="I286" s="98" t="s">
        <v>109</v>
      </c>
      <c r="J286" s="98" t="s">
        <v>111</v>
      </c>
      <c r="K286" s="98" t="s">
        <v>469</v>
      </c>
      <c r="L286" s="98" t="s">
        <v>470</v>
      </c>
      <c r="M286" s="98" t="s">
        <v>357</v>
      </c>
      <c r="N286" s="557" t="s">
        <v>471</v>
      </c>
      <c r="O286" s="557" t="s">
        <v>473</v>
      </c>
      <c r="P286" s="98" t="s">
        <v>110</v>
      </c>
      <c r="Q286" s="99" t="s">
        <v>116</v>
      </c>
      <c r="R286" s="98" t="s">
        <v>112</v>
      </c>
      <c r="S286" s="98" t="s">
        <v>113</v>
      </c>
      <c r="T286" s="98" t="s">
        <v>114</v>
      </c>
      <c r="U286" s="98" t="s">
        <v>115</v>
      </c>
    </row>
    <row r="287" spans="3:21" ht="18.75" x14ac:dyDescent="0.25">
      <c r="C287" s="294">
        <f t="shared" ref="C287:C298" si="183">IF($E$286&gt;0,1,0)</f>
        <v>1</v>
      </c>
      <c r="D287" s="101"/>
      <c r="E287" s="102"/>
      <c r="F287" s="84" t="s">
        <v>57</v>
      </c>
      <c r="G287" s="84" t="s">
        <v>56</v>
      </c>
      <c r="H287" s="84" t="s">
        <v>55</v>
      </c>
      <c r="I287" s="84" t="s">
        <v>54</v>
      </c>
      <c r="J287" s="84" t="s">
        <v>53</v>
      </c>
      <c r="K287" s="84" t="s">
        <v>52</v>
      </c>
      <c r="L287" s="84" t="s">
        <v>51</v>
      </c>
      <c r="M287" s="84" t="s">
        <v>50</v>
      </c>
      <c r="N287" s="84" t="s">
        <v>49</v>
      </c>
      <c r="O287" s="84" t="s">
        <v>47</v>
      </c>
      <c r="P287" s="84" t="s">
        <v>77</v>
      </c>
      <c r="Q287" s="84" t="s">
        <v>78</v>
      </c>
      <c r="R287" s="84" t="s">
        <v>79</v>
      </c>
      <c r="S287" s="84" t="s">
        <v>81</v>
      </c>
      <c r="T287" s="84" t="s">
        <v>83</v>
      </c>
      <c r="U287" s="84" t="s">
        <v>85</v>
      </c>
    </row>
    <row r="288" spans="3:21" ht="18.75" x14ac:dyDescent="0.25">
      <c r="C288" s="294">
        <f t="shared" si="183"/>
        <v>1</v>
      </c>
      <c r="D288" s="103" t="s">
        <v>26</v>
      </c>
      <c r="E288" s="122"/>
      <c r="F288" s="123"/>
      <c r="G288" s="123"/>
      <c r="H288" s="107"/>
      <c r="I288" s="107"/>
      <c r="J288" s="107"/>
      <c r="K288" s="107"/>
      <c r="L288" s="107"/>
      <c r="M288" s="123"/>
      <c r="N288" s="107"/>
      <c r="O288" s="107"/>
      <c r="P288" s="107"/>
      <c r="Q288" s="108"/>
      <c r="R288" s="107"/>
      <c r="S288" s="107"/>
      <c r="T288" s="107"/>
      <c r="U288" s="107"/>
    </row>
    <row r="289" spans="3:21" ht="18.75" x14ac:dyDescent="0.25">
      <c r="C289" s="294">
        <f t="shared" si="183"/>
        <v>1</v>
      </c>
      <c r="D289" s="124" t="s">
        <v>105</v>
      </c>
      <c r="E289" s="76" t="s">
        <v>57</v>
      </c>
      <c r="F289" s="176">
        <f t="shared" ref="F289:M289" si="184">F6*$E$286</f>
        <v>129285.16921868279</v>
      </c>
      <c r="G289" s="176">
        <f t="shared" si="184"/>
        <v>2907.267166931349</v>
      </c>
      <c r="H289" s="176">
        <f t="shared" si="184"/>
        <v>0</v>
      </c>
      <c r="I289" s="176">
        <f t="shared" si="184"/>
        <v>3705.3524935301853</v>
      </c>
      <c r="J289" s="176">
        <f t="shared" si="184"/>
        <v>424.79968940068386</v>
      </c>
      <c r="K289" s="176">
        <f t="shared" si="184"/>
        <v>128.92889598914837</v>
      </c>
      <c r="L289" s="176">
        <f t="shared" si="184"/>
        <v>0</v>
      </c>
      <c r="M289" s="176">
        <f t="shared" si="184"/>
        <v>0</v>
      </c>
      <c r="N289" s="176">
        <f t="shared" ref="N289:U289" si="185">N6*$E$286</f>
        <v>0</v>
      </c>
      <c r="O289" s="176">
        <f>O6*$E$286</f>
        <v>3.6294231286371126</v>
      </c>
      <c r="P289" s="176">
        <f t="shared" si="185"/>
        <v>0</v>
      </c>
      <c r="Q289" s="175">
        <f>SUM(F289:P289)</f>
        <v>136455.14688766279</v>
      </c>
      <c r="R289" s="176">
        <f t="shared" si="185"/>
        <v>0</v>
      </c>
      <c r="S289" s="176">
        <f t="shared" si="185"/>
        <v>10413.073359988382</v>
      </c>
      <c r="T289" s="176">
        <f t="shared" ca="1" si="185"/>
        <v>4432.1942079809232</v>
      </c>
      <c r="U289" s="176">
        <f t="shared" ca="1" si="185"/>
        <v>3293.9190037551562</v>
      </c>
    </row>
    <row r="290" spans="3:21" ht="18.75" x14ac:dyDescent="0.25">
      <c r="C290" s="294">
        <f t="shared" si="183"/>
        <v>1</v>
      </c>
      <c r="D290" s="112" t="s">
        <v>31</v>
      </c>
      <c r="E290" s="76"/>
      <c r="F290" s="177"/>
      <c r="G290" s="177"/>
      <c r="H290" s="178"/>
      <c r="I290" s="178"/>
      <c r="J290" s="178"/>
      <c r="K290" s="178"/>
      <c r="L290" s="178"/>
      <c r="M290" s="177"/>
      <c r="N290" s="178"/>
      <c r="O290" s="178"/>
      <c r="P290" s="178"/>
      <c r="Q290" s="179"/>
      <c r="R290" s="178"/>
      <c r="S290" s="178"/>
      <c r="T290" s="178"/>
      <c r="U290" s="178"/>
    </row>
    <row r="291" spans="3:21" ht="18.75" x14ac:dyDescent="0.3">
      <c r="C291" s="294">
        <f t="shared" si="183"/>
        <v>1</v>
      </c>
      <c r="D291" s="113" t="s">
        <v>118</v>
      </c>
      <c r="E291" s="76" t="s">
        <v>56</v>
      </c>
      <c r="F291" s="176">
        <f t="shared" ref="F291:U297" si="186">F8*$E$286</f>
        <v>0</v>
      </c>
      <c r="G291" s="176">
        <f t="shared" ref="G291:L297" si="187">G8*$E$286</f>
        <v>0</v>
      </c>
      <c r="H291" s="176">
        <f t="shared" si="187"/>
        <v>0</v>
      </c>
      <c r="I291" s="176">
        <f t="shared" si="187"/>
        <v>0</v>
      </c>
      <c r="J291" s="176">
        <f t="shared" si="187"/>
        <v>0</v>
      </c>
      <c r="K291" s="176">
        <f t="shared" si="187"/>
        <v>0</v>
      </c>
      <c r="L291" s="176">
        <f t="shared" si="187"/>
        <v>0</v>
      </c>
      <c r="M291" s="176">
        <f t="shared" si="186"/>
        <v>0</v>
      </c>
      <c r="N291" s="176">
        <f t="shared" si="186"/>
        <v>0</v>
      </c>
      <c r="O291" s="176">
        <f t="shared" ref="O291:O297" si="188">O8*$E$286</f>
        <v>0</v>
      </c>
      <c r="P291" s="176">
        <f t="shared" si="186"/>
        <v>0</v>
      </c>
      <c r="Q291" s="175">
        <f t="shared" ref="Q291:Q297" si="189">SUM(F291:P291)</f>
        <v>0</v>
      </c>
      <c r="R291" s="176">
        <f t="shared" si="186"/>
        <v>0</v>
      </c>
      <c r="S291" s="176">
        <f t="shared" si="186"/>
        <v>0</v>
      </c>
      <c r="T291" s="176">
        <f t="shared" si="186"/>
        <v>0</v>
      </c>
      <c r="U291" s="176">
        <f t="shared" si="186"/>
        <v>0</v>
      </c>
    </row>
    <row r="292" spans="3:21" ht="18.75" x14ac:dyDescent="0.3">
      <c r="C292" s="294">
        <f t="shared" si="183"/>
        <v>1</v>
      </c>
      <c r="D292" s="113" t="s">
        <v>119</v>
      </c>
      <c r="E292" s="76" t="s">
        <v>55</v>
      </c>
      <c r="F292" s="176">
        <f t="shared" si="186"/>
        <v>0</v>
      </c>
      <c r="G292" s="176">
        <f t="shared" si="187"/>
        <v>0</v>
      </c>
      <c r="H292" s="176">
        <f t="shared" si="187"/>
        <v>0</v>
      </c>
      <c r="I292" s="176">
        <f t="shared" si="187"/>
        <v>0</v>
      </c>
      <c r="J292" s="176">
        <f t="shared" si="187"/>
        <v>0</v>
      </c>
      <c r="K292" s="176">
        <f t="shared" si="187"/>
        <v>0</v>
      </c>
      <c r="L292" s="176">
        <f t="shared" si="187"/>
        <v>0</v>
      </c>
      <c r="M292" s="176">
        <f t="shared" si="186"/>
        <v>0</v>
      </c>
      <c r="N292" s="176">
        <f t="shared" si="186"/>
        <v>0</v>
      </c>
      <c r="O292" s="176">
        <f t="shared" si="188"/>
        <v>0</v>
      </c>
      <c r="P292" s="176">
        <f t="shared" si="186"/>
        <v>0</v>
      </c>
      <c r="Q292" s="175">
        <f t="shared" si="189"/>
        <v>0</v>
      </c>
      <c r="R292" s="176">
        <f t="shared" si="186"/>
        <v>0</v>
      </c>
      <c r="S292" s="176">
        <f t="shared" si="186"/>
        <v>0</v>
      </c>
      <c r="T292" s="176">
        <f t="shared" si="186"/>
        <v>0</v>
      </c>
      <c r="U292" s="176">
        <f t="shared" si="186"/>
        <v>0</v>
      </c>
    </row>
    <row r="293" spans="3:21" ht="18.75" x14ac:dyDescent="0.3">
      <c r="C293" s="294">
        <f t="shared" si="183"/>
        <v>1</v>
      </c>
      <c r="D293" s="113" t="s">
        <v>120</v>
      </c>
      <c r="E293" s="76" t="s">
        <v>54</v>
      </c>
      <c r="F293" s="176">
        <f t="shared" si="186"/>
        <v>0</v>
      </c>
      <c r="G293" s="176">
        <f t="shared" si="187"/>
        <v>0</v>
      </c>
      <c r="H293" s="176">
        <f t="shared" si="187"/>
        <v>0</v>
      </c>
      <c r="I293" s="176">
        <f t="shared" si="187"/>
        <v>0</v>
      </c>
      <c r="J293" s="176">
        <f t="shared" si="187"/>
        <v>0</v>
      </c>
      <c r="K293" s="176">
        <f t="shared" si="187"/>
        <v>0</v>
      </c>
      <c r="L293" s="176">
        <f t="shared" si="187"/>
        <v>0</v>
      </c>
      <c r="M293" s="176">
        <f t="shared" si="186"/>
        <v>0</v>
      </c>
      <c r="N293" s="176">
        <f t="shared" si="186"/>
        <v>0</v>
      </c>
      <c r="O293" s="176">
        <f t="shared" si="188"/>
        <v>0</v>
      </c>
      <c r="P293" s="176">
        <f t="shared" si="186"/>
        <v>0</v>
      </c>
      <c r="Q293" s="175">
        <f t="shared" si="189"/>
        <v>0</v>
      </c>
      <c r="R293" s="176">
        <f t="shared" si="186"/>
        <v>0</v>
      </c>
      <c r="S293" s="176">
        <f t="shared" si="186"/>
        <v>0</v>
      </c>
      <c r="T293" s="176">
        <f t="shared" si="186"/>
        <v>0</v>
      </c>
      <c r="U293" s="176">
        <f t="shared" si="186"/>
        <v>0</v>
      </c>
    </row>
    <row r="294" spans="3:21" ht="18.75" x14ac:dyDescent="0.3">
      <c r="C294" s="294">
        <f t="shared" si="183"/>
        <v>1</v>
      </c>
      <c r="D294" s="113" t="s">
        <v>121</v>
      </c>
      <c r="E294" s="76" t="s">
        <v>53</v>
      </c>
      <c r="F294" s="176">
        <f t="shared" si="186"/>
        <v>0</v>
      </c>
      <c r="G294" s="176">
        <f t="shared" si="187"/>
        <v>0</v>
      </c>
      <c r="H294" s="176">
        <f t="shared" si="187"/>
        <v>0</v>
      </c>
      <c r="I294" s="176">
        <f t="shared" si="187"/>
        <v>0</v>
      </c>
      <c r="J294" s="176">
        <f t="shared" si="187"/>
        <v>0</v>
      </c>
      <c r="K294" s="176">
        <f t="shared" si="187"/>
        <v>0</v>
      </c>
      <c r="L294" s="176">
        <f t="shared" si="187"/>
        <v>0</v>
      </c>
      <c r="M294" s="176">
        <f t="shared" si="186"/>
        <v>0</v>
      </c>
      <c r="N294" s="176">
        <f t="shared" si="186"/>
        <v>0</v>
      </c>
      <c r="O294" s="176">
        <f t="shared" si="188"/>
        <v>0</v>
      </c>
      <c r="P294" s="176">
        <f t="shared" si="186"/>
        <v>0</v>
      </c>
      <c r="Q294" s="175">
        <f t="shared" si="189"/>
        <v>0</v>
      </c>
      <c r="R294" s="176">
        <f t="shared" si="186"/>
        <v>0</v>
      </c>
      <c r="S294" s="176">
        <f t="shared" si="186"/>
        <v>0</v>
      </c>
      <c r="T294" s="176">
        <f t="shared" si="186"/>
        <v>0</v>
      </c>
      <c r="U294" s="176">
        <f t="shared" si="186"/>
        <v>0</v>
      </c>
    </row>
    <row r="295" spans="3:21" ht="18.75" x14ac:dyDescent="0.3">
      <c r="C295" s="294">
        <f t="shared" si="183"/>
        <v>1</v>
      </c>
      <c r="D295" s="113" t="s">
        <v>122</v>
      </c>
      <c r="E295" s="76" t="s">
        <v>52</v>
      </c>
      <c r="F295" s="176">
        <f t="shared" si="186"/>
        <v>0</v>
      </c>
      <c r="G295" s="176">
        <f t="shared" si="187"/>
        <v>0</v>
      </c>
      <c r="H295" s="176">
        <f t="shared" si="187"/>
        <v>0</v>
      </c>
      <c r="I295" s="176">
        <f t="shared" si="187"/>
        <v>0</v>
      </c>
      <c r="J295" s="176">
        <f t="shared" si="187"/>
        <v>0</v>
      </c>
      <c r="K295" s="176">
        <f t="shared" si="187"/>
        <v>0</v>
      </c>
      <c r="L295" s="176">
        <f t="shared" si="187"/>
        <v>0</v>
      </c>
      <c r="M295" s="176">
        <f t="shared" si="186"/>
        <v>0</v>
      </c>
      <c r="N295" s="176">
        <f t="shared" si="186"/>
        <v>0</v>
      </c>
      <c r="O295" s="176">
        <f t="shared" si="188"/>
        <v>0</v>
      </c>
      <c r="P295" s="176">
        <f t="shared" si="186"/>
        <v>0</v>
      </c>
      <c r="Q295" s="175">
        <f t="shared" si="189"/>
        <v>0</v>
      </c>
      <c r="R295" s="176">
        <f t="shared" si="186"/>
        <v>0</v>
      </c>
      <c r="S295" s="176">
        <f t="shared" si="186"/>
        <v>0</v>
      </c>
      <c r="T295" s="176">
        <f t="shared" si="186"/>
        <v>0</v>
      </c>
      <c r="U295" s="176">
        <f t="shared" si="186"/>
        <v>0</v>
      </c>
    </row>
    <row r="296" spans="3:21" ht="18.75" x14ac:dyDescent="0.3">
      <c r="C296" s="294">
        <f t="shared" si="183"/>
        <v>1</v>
      </c>
      <c r="D296" s="125" t="s">
        <v>123</v>
      </c>
      <c r="E296" s="76" t="s">
        <v>51</v>
      </c>
      <c r="F296" s="176">
        <f t="shared" si="186"/>
        <v>0</v>
      </c>
      <c r="G296" s="176">
        <f t="shared" si="187"/>
        <v>0</v>
      </c>
      <c r="H296" s="176">
        <f t="shared" si="187"/>
        <v>0</v>
      </c>
      <c r="I296" s="176">
        <f t="shared" si="187"/>
        <v>0</v>
      </c>
      <c r="J296" s="176">
        <f t="shared" si="187"/>
        <v>0</v>
      </c>
      <c r="K296" s="176">
        <f t="shared" si="187"/>
        <v>0</v>
      </c>
      <c r="L296" s="176">
        <f t="shared" si="187"/>
        <v>0</v>
      </c>
      <c r="M296" s="176">
        <f t="shared" si="186"/>
        <v>0</v>
      </c>
      <c r="N296" s="176">
        <f t="shared" si="186"/>
        <v>0</v>
      </c>
      <c r="O296" s="176">
        <f t="shared" si="188"/>
        <v>0</v>
      </c>
      <c r="P296" s="176">
        <f t="shared" si="186"/>
        <v>0</v>
      </c>
      <c r="Q296" s="175">
        <f t="shared" si="189"/>
        <v>0</v>
      </c>
      <c r="R296" s="176">
        <f t="shared" si="186"/>
        <v>0</v>
      </c>
      <c r="S296" s="176">
        <f t="shared" si="186"/>
        <v>0</v>
      </c>
      <c r="T296" s="176">
        <f t="shared" si="186"/>
        <v>0</v>
      </c>
      <c r="U296" s="176">
        <f t="shared" si="186"/>
        <v>0</v>
      </c>
    </row>
    <row r="297" spans="3:21" ht="19.5" thickBot="1" x14ac:dyDescent="0.35">
      <c r="C297" s="294">
        <f t="shared" si="183"/>
        <v>1</v>
      </c>
      <c r="D297" s="114" t="s">
        <v>16</v>
      </c>
      <c r="E297" s="70" t="s">
        <v>50</v>
      </c>
      <c r="F297" s="176">
        <f t="shared" si="186"/>
        <v>13804.038855132951</v>
      </c>
      <c r="G297" s="176">
        <f t="shared" si="187"/>
        <v>274.21504121438147</v>
      </c>
      <c r="H297" s="176">
        <f t="shared" si="187"/>
        <v>0</v>
      </c>
      <c r="I297" s="176">
        <f t="shared" si="187"/>
        <v>0</v>
      </c>
      <c r="J297" s="176">
        <f t="shared" si="187"/>
        <v>585.43257695567104</v>
      </c>
      <c r="K297" s="176">
        <f t="shared" si="187"/>
        <v>2.4102513663363059</v>
      </c>
      <c r="L297" s="176">
        <f t="shared" si="187"/>
        <v>0.33919153533558183</v>
      </c>
      <c r="M297" s="176">
        <f t="shared" si="186"/>
        <v>0</v>
      </c>
      <c r="N297" s="176">
        <f t="shared" si="186"/>
        <v>0</v>
      </c>
      <c r="O297" s="176">
        <f t="shared" si="188"/>
        <v>175.43525830453416</v>
      </c>
      <c r="P297" s="176">
        <f t="shared" si="186"/>
        <v>2987.9502156842727</v>
      </c>
      <c r="Q297" s="175">
        <f t="shared" si="189"/>
        <v>17829.821390193483</v>
      </c>
      <c r="R297" s="176">
        <f t="shared" si="186"/>
        <v>0</v>
      </c>
      <c r="S297" s="176">
        <f t="shared" si="186"/>
        <v>1239.7671219495126</v>
      </c>
      <c r="T297" s="176">
        <f t="shared" ca="1" si="186"/>
        <v>359.56579807868565</v>
      </c>
      <c r="U297" s="176">
        <f t="shared" ca="1" si="186"/>
        <v>20.489203711755703</v>
      </c>
    </row>
    <row r="298" spans="3:21" ht="19.5" thickBot="1" x14ac:dyDescent="0.3">
      <c r="C298" s="294">
        <f t="shared" si="183"/>
        <v>1</v>
      </c>
      <c r="D298" s="115" t="s">
        <v>124</v>
      </c>
      <c r="E298" s="116" t="s">
        <v>49</v>
      </c>
      <c r="F298" s="269">
        <f t="shared" ref="F298:U298" si="190">SUBTOTAL(9,F289:F297)</f>
        <v>143089.20807381574</v>
      </c>
      <c r="G298" s="269">
        <f t="shared" ref="G298:L298" si="191">SUBTOTAL(9,G289:G297)</f>
        <v>3181.4822081457305</v>
      </c>
      <c r="H298" s="269">
        <f t="shared" si="191"/>
        <v>0</v>
      </c>
      <c r="I298" s="269">
        <f t="shared" si="191"/>
        <v>3705.3524935301853</v>
      </c>
      <c r="J298" s="269">
        <f t="shared" si="191"/>
        <v>1010.2322663563549</v>
      </c>
      <c r="K298" s="269">
        <f t="shared" si="191"/>
        <v>131.33914735548467</v>
      </c>
      <c r="L298" s="269">
        <f t="shared" si="191"/>
        <v>0.33919153533558183</v>
      </c>
      <c r="M298" s="269">
        <f t="shared" si="190"/>
        <v>0</v>
      </c>
      <c r="N298" s="269">
        <f t="shared" si="190"/>
        <v>0</v>
      </c>
      <c r="O298" s="269">
        <f>SUBTOTAL(9,O289:O297)</f>
        <v>179.06468143317127</v>
      </c>
      <c r="P298" s="269">
        <f t="shared" si="190"/>
        <v>2987.9502156842727</v>
      </c>
      <c r="Q298" s="183">
        <f>SUBTOTAL(9,Q289:Q297)</f>
        <v>154284.96827785627</v>
      </c>
      <c r="R298" s="269">
        <f t="shared" si="190"/>
        <v>0</v>
      </c>
      <c r="S298" s="269">
        <f t="shared" si="190"/>
        <v>11652.840481937896</v>
      </c>
      <c r="T298" s="269">
        <f t="shared" ca="1" si="190"/>
        <v>4791.7600060596087</v>
      </c>
      <c r="U298" s="269">
        <f t="shared" ca="1" si="190"/>
        <v>3314.4082074669118</v>
      </c>
    </row>
    <row r="299" spans="3:21" ht="15.75" hidden="1" thickBot="1" x14ac:dyDescent="0.3"/>
    <row r="300" spans="3:21" ht="93.75" x14ac:dyDescent="0.25">
      <c r="C300" s="294">
        <f>IF($E$300&gt;0,1,0)</f>
        <v>1</v>
      </c>
      <c r="D300" s="96" t="str">
        <f>A24</f>
        <v>Hamilton</v>
      </c>
      <c r="E300" s="166">
        <f>IFERROR(SUMIF(A:A,D300,B:B),0)</f>
        <v>1.0782221928070756E-4</v>
      </c>
      <c r="F300" s="98" t="s">
        <v>356</v>
      </c>
      <c r="G300" s="98" t="s">
        <v>373</v>
      </c>
      <c r="H300" s="98" t="s">
        <v>358</v>
      </c>
      <c r="I300" s="98" t="s">
        <v>109</v>
      </c>
      <c r="J300" s="98" t="s">
        <v>111</v>
      </c>
      <c r="K300" s="98" t="s">
        <v>469</v>
      </c>
      <c r="L300" s="98" t="s">
        <v>470</v>
      </c>
      <c r="M300" s="98" t="s">
        <v>357</v>
      </c>
      <c r="N300" s="557" t="s">
        <v>471</v>
      </c>
      <c r="O300" s="557" t="s">
        <v>473</v>
      </c>
      <c r="P300" s="98" t="s">
        <v>110</v>
      </c>
      <c r="Q300" s="99" t="s">
        <v>116</v>
      </c>
      <c r="R300" s="98" t="s">
        <v>112</v>
      </c>
      <c r="S300" s="98" t="s">
        <v>113</v>
      </c>
      <c r="T300" s="98" t="s">
        <v>114</v>
      </c>
      <c r="U300" s="98" t="s">
        <v>115</v>
      </c>
    </row>
    <row r="301" spans="3:21" ht="18.75" x14ac:dyDescent="0.25">
      <c r="C301" s="294">
        <f t="shared" ref="C301:C312" si="192">IF($E$300&gt;0,1,0)</f>
        <v>1</v>
      </c>
      <c r="D301" s="101"/>
      <c r="E301" s="102"/>
      <c r="F301" s="84" t="s">
        <v>57</v>
      </c>
      <c r="G301" s="84" t="s">
        <v>56</v>
      </c>
      <c r="H301" s="84" t="s">
        <v>55</v>
      </c>
      <c r="I301" s="84" t="s">
        <v>54</v>
      </c>
      <c r="J301" s="84" t="s">
        <v>53</v>
      </c>
      <c r="K301" s="84" t="s">
        <v>52</v>
      </c>
      <c r="L301" s="84" t="s">
        <v>51</v>
      </c>
      <c r="M301" s="84" t="s">
        <v>50</v>
      </c>
      <c r="N301" s="84" t="s">
        <v>49</v>
      </c>
      <c r="O301" s="84" t="s">
        <v>47</v>
      </c>
      <c r="P301" s="84" t="s">
        <v>77</v>
      </c>
      <c r="Q301" s="84" t="s">
        <v>78</v>
      </c>
      <c r="R301" s="84" t="s">
        <v>79</v>
      </c>
      <c r="S301" s="84" t="s">
        <v>81</v>
      </c>
      <c r="T301" s="84" t="s">
        <v>83</v>
      </c>
      <c r="U301" s="84" t="s">
        <v>85</v>
      </c>
    </row>
    <row r="302" spans="3:21" ht="18.75" x14ac:dyDescent="0.25">
      <c r="C302" s="294">
        <f t="shared" si="192"/>
        <v>1</v>
      </c>
      <c r="D302" s="103" t="s">
        <v>26</v>
      </c>
      <c r="E302" s="122"/>
      <c r="F302" s="123"/>
      <c r="G302" s="123"/>
      <c r="H302" s="107"/>
      <c r="I302" s="107"/>
      <c r="J302" s="107"/>
      <c r="K302" s="107"/>
      <c r="L302" s="107"/>
      <c r="M302" s="123"/>
      <c r="N302" s="107"/>
      <c r="O302" s="107"/>
      <c r="P302" s="107"/>
      <c r="Q302" s="108"/>
      <c r="R302" s="107"/>
      <c r="S302" s="107"/>
      <c r="T302" s="107"/>
      <c r="U302" s="107"/>
    </row>
    <row r="303" spans="3:21" ht="18.75" x14ac:dyDescent="0.25">
      <c r="C303" s="294">
        <f t="shared" si="192"/>
        <v>1</v>
      </c>
      <c r="D303" s="124" t="s">
        <v>105</v>
      </c>
      <c r="E303" s="76" t="s">
        <v>57</v>
      </c>
      <c r="F303" s="176">
        <f t="shared" ref="F303:L303" si="193">F6*$E$300</f>
        <v>7604.743364144485</v>
      </c>
      <c r="G303" s="176">
        <f t="shared" si="193"/>
        <v>171.00972082976844</v>
      </c>
      <c r="H303" s="176">
        <f t="shared" si="193"/>
        <v>0</v>
      </c>
      <c r="I303" s="176">
        <f t="shared" si="193"/>
        <v>217.95427083617801</v>
      </c>
      <c r="J303" s="176">
        <f t="shared" si="193"/>
        <v>24.987341073872035</v>
      </c>
      <c r="K303" s="176">
        <f t="shared" si="193"/>
        <v>7.5837868499944259</v>
      </c>
      <c r="L303" s="176">
        <f t="shared" si="193"/>
        <v>0</v>
      </c>
      <c r="M303" s="176">
        <f t="shared" ref="M303:U303" si="194">M6*$E$300</f>
        <v>0</v>
      </c>
      <c r="N303" s="176">
        <f t="shared" si="194"/>
        <v>0</v>
      </c>
      <c r="O303" s="176">
        <f>O6*$E$300</f>
        <v>0.21348799417580097</v>
      </c>
      <c r="P303" s="176">
        <f t="shared" si="194"/>
        <v>0</v>
      </c>
      <c r="Q303" s="176">
        <f t="shared" ref="Q303" si="195">Q6*$E$300</f>
        <v>8026.4919717284729</v>
      </c>
      <c r="R303" s="176">
        <f t="shared" si="194"/>
        <v>0</v>
      </c>
      <c r="S303" s="176">
        <f t="shared" si="194"/>
        <v>612.51225498862493</v>
      </c>
      <c r="T303" s="176">
        <f t="shared" ca="1" si="194"/>
        <v>260.7081670344582</v>
      </c>
      <c r="U303" s="176">
        <f t="shared" ca="1" si="194"/>
        <v>193.75314923760479</v>
      </c>
    </row>
    <row r="304" spans="3:21" ht="18.75" x14ac:dyDescent="0.25">
      <c r="C304" s="294">
        <f t="shared" si="192"/>
        <v>1</v>
      </c>
      <c r="D304" s="112" t="s">
        <v>31</v>
      </c>
      <c r="E304" s="76"/>
      <c r="F304" s="177"/>
      <c r="G304" s="177"/>
      <c r="H304" s="178"/>
      <c r="I304" s="178"/>
      <c r="J304" s="178"/>
      <c r="K304" s="178"/>
      <c r="L304" s="178"/>
      <c r="M304" s="177"/>
      <c r="N304" s="178"/>
      <c r="O304" s="178"/>
      <c r="P304" s="178"/>
      <c r="Q304" s="179"/>
      <c r="R304" s="178"/>
      <c r="S304" s="178"/>
      <c r="T304" s="178"/>
      <c r="U304" s="178"/>
    </row>
    <row r="305" spans="3:21" ht="18.75" x14ac:dyDescent="0.3">
      <c r="C305" s="294">
        <f t="shared" si="192"/>
        <v>1</v>
      </c>
      <c r="D305" s="113" t="s">
        <v>118</v>
      </c>
      <c r="E305" s="76" t="s">
        <v>56</v>
      </c>
      <c r="F305" s="176">
        <f t="shared" ref="F305:U305" si="196">F8*$E$300</f>
        <v>0</v>
      </c>
      <c r="G305" s="176">
        <f t="shared" ref="G305:L311" si="197">G8*$E$300</f>
        <v>0</v>
      </c>
      <c r="H305" s="176">
        <f t="shared" si="197"/>
        <v>0</v>
      </c>
      <c r="I305" s="176">
        <f t="shared" si="197"/>
        <v>0</v>
      </c>
      <c r="J305" s="176">
        <f t="shared" si="197"/>
        <v>0</v>
      </c>
      <c r="K305" s="176">
        <f t="shared" si="197"/>
        <v>0</v>
      </c>
      <c r="L305" s="176">
        <f t="shared" si="197"/>
        <v>0</v>
      </c>
      <c r="M305" s="176">
        <f t="shared" si="196"/>
        <v>0</v>
      </c>
      <c r="N305" s="176">
        <f t="shared" si="196"/>
        <v>0</v>
      </c>
      <c r="O305" s="176">
        <f t="shared" ref="O305:O311" si="198">O8*$E$300</f>
        <v>0</v>
      </c>
      <c r="P305" s="176">
        <f t="shared" si="196"/>
        <v>0</v>
      </c>
      <c r="Q305" s="175">
        <f t="shared" ref="Q305:Q311" si="199">SUM(F305:P305)</f>
        <v>0</v>
      </c>
      <c r="R305" s="176">
        <f t="shared" si="196"/>
        <v>0</v>
      </c>
      <c r="S305" s="176">
        <f t="shared" si="196"/>
        <v>0</v>
      </c>
      <c r="T305" s="176">
        <f t="shared" si="196"/>
        <v>0</v>
      </c>
      <c r="U305" s="176">
        <f t="shared" si="196"/>
        <v>0</v>
      </c>
    </row>
    <row r="306" spans="3:21" ht="18.75" x14ac:dyDescent="0.3">
      <c r="C306" s="294">
        <f t="shared" si="192"/>
        <v>1</v>
      </c>
      <c r="D306" s="113" t="s">
        <v>119</v>
      </c>
      <c r="E306" s="76" t="s">
        <v>55</v>
      </c>
      <c r="F306" s="176">
        <f t="shared" ref="F306:U306" si="200">F9*$E$300</f>
        <v>0</v>
      </c>
      <c r="G306" s="176">
        <f t="shared" si="197"/>
        <v>0</v>
      </c>
      <c r="H306" s="176">
        <f t="shared" si="197"/>
        <v>0</v>
      </c>
      <c r="I306" s="176">
        <f t="shared" si="197"/>
        <v>0</v>
      </c>
      <c r="J306" s="176">
        <f t="shared" si="197"/>
        <v>0</v>
      </c>
      <c r="K306" s="176">
        <f t="shared" si="197"/>
        <v>0</v>
      </c>
      <c r="L306" s="176">
        <f t="shared" si="197"/>
        <v>0</v>
      </c>
      <c r="M306" s="176">
        <f t="shared" si="200"/>
        <v>0</v>
      </c>
      <c r="N306" s="176">
        <f t="shared" si="200"/>
        <v>0</v>
      </c>
      <c r="O306" s="176">
        <f t="shared" si="198"/>
        <v>0</v>
      </c>
      <c r="P306" s="176">
        <f t="shared" si="200"/>
        <v>0</v>
      </c>
      <c r="Q306" s="175">
        <f t="shared" si="199"/>
        <v>0</v>
      </c>
      <c r="R306" s="176">
        <f t="shared" si="200"/>
        <v>0</v>
      </c>
      <c r="S306" s="176">
        <f t="shared" si="200"/>
        <v>0</v>
      </c>
      <c r="T306" s="176">
        <f t="shared" si="200"/>
        <v>0</v>
      </c>
      <c r="U306" s="176">
        <f t="shared" si="200"/>
        <v>0</v>
      </c>
    </row>
    <row r="307" spans="3:21" ht="18.75" x14ac:dyDescent="0.3">
      <c r="C307" s="294">
        <f t="shared" si="192"/>
        <v>1</v>
      </c>
      <c r="D307" s="113" t="s">
        <v>120</v>
      </c>
      <c r="E307" s="76" t="s">
        <v>54</v>
      </c>
      <c r="F307" s="176">
        <f t="shared" ref="F307:U307" si="201">F10*$E$300</f>
        <v>0</v>
      </c>
      <c r="G307" s="176">
        <f t="shared" si="197"/>
        <v>0</v>
      </c>
      <c r="H307" s="176">
        <f t="shared" si="197"/>
        <v>0</v>
      </c>
      <c r="I307" s="176">
        <f t="shared" si="197"/>
        <v>0</v>
      </c>
      <c r="J307" s="176">
        <f t="shared" si="197"/>
        <v>0</v>
      </c>
      <c r="K307" s="176">
        <f t="shared" si="197"/>
        <v>0</v>
      </c>
      <c r="L307" s="176">
        <f t="shared" si="197"/>
        <v>0</v>
      </c>
      <c r="M307" s="176">
        <f t="shared" si="201"/>
        <v>0</v>
      </c>
      <c r="N307" s="176">
        <f t="shared" si="201"/>
        <v>0</v>
      </c>
      <c r="O307" s="176">
        <f t="shared" si="198"/>
        <v>0</v>
      </c>
      <c r="P307" s="176">
        <f t="shared" si="201"/>
        <v>0</v>
      </c>
      <c r="Q307" s="175">
        <f t="shared" si="199"/>
        <v>0</v>
      </c>
      <c r="R307" s="176">
        <f t="shared" si="201"/>
        <v>0</v>
      </c>
      <c r="S307" s="176">
        <f t="shared" si="201"/>
        <v>0</v>
      </c>
      <c r="T307" s="176">
        <f t="shared" si="201"/>
        <v>0</v>
      </c>
      <c r="U307" s="176">
        <f t="shared" si="201"/>
        <v>0</v>
      </c>
    </row>
    <row r="308" spans="3:21" ht="18.75" x14ac:dyDescent="0.3">
      <c r="C308" s="294">
        <f t="shared" si="192"/>
        <v>1</v>
      </c>
      <c r="D308" s="113" t="s">
        <v>121</v>
      </c>
      <c r="E308" s="76" t="s">
        <v>53</v>
      </c>
      <c r="F308" s="176">
        <f t="shared" ref="F308:U308" si="202">F11*$E$300</f>
        <v>0</v>
      </c>
      <c r="G308" s="176">
        <f t="shared" si="197"/>
        <v>0</v>
      </c>
      <c r="H308" s="176">
        <f t="shared" si="197"/>
        <v>0</v>
      </c>
      <c r="I308" s="176">
        <f t="shared" si="197"/>
        <v>0</v>
      </c>
      <c r="J308" s="176">
        <f t="shared" si="197"/>
        <v>0</v>
      </c>
      <c r="K308" s="176">
        <f t="shared" si="197"/>
        <v>0</v>
      </c>
      <c r="L308" s="176">
        <f t="shared" si="197"/>
        <v>0</v>
      </c>
      <c r="M308" s="176">
        <f t="shared" si="202"/>
        <v>0</v>
      </c>
      <c r="N308" s="176">
        <f t="shared" si="202"/>
        <v>0</v>
      </c>
      <c r="O308" s="176">
        <f t="shared" si="198"/>
        <v>0</v>
      </c>
      <c r="P308" s="176">
        <f t="shared" si="202"/>
        <v>0</v>
      </c>
      <c r="Q308" s="175">
        <f t="shared" si="199"/>
        <v>0</v>
      </c>
      <c r="R308" s="176">
        <f t="shared" si="202"/>
        <v>0</v>
      </c>
      <c r="S308" s="176">
        <f t="shared" si="202"/>
        <v>0</v>
      </c>
      <c r="T308" s="176">
        <f t="shared" si="202"/>
        <v>0</v>
      </c>
      <c r="U308" s="176">
        <f t="shared" si="202"/>
        <v>0</v>
      </c>
    </row>
    <row r="309" spans="3:21" ht="18.75" x14ac:dyDescent="0.3">
      <c r="C309" s="294">
        <f t="shared" si="192"/>
        <v>1</v>
      </c>
      <c r="D309" s="113" t="s">
        <v>122</v>
      </c>
      <c r="E309" s="76" t="s">
        <v>52</v>
      </c>
      <c r="F309" s="176">
        <f t="shared" ref="F309:U309" si="203">F12*$E$300</f>
        <v>0</v>
      </c>
      <c r="G309" s="176">
        <f t="shared" si="197"/>
        <v>0</v>
      </c>
      <c r="H309" s="176">
        <f t="shared" si="197"/>
        <v>0</v>
      </c>
      <c r="I309" s="176">
        <f t="shared" si="197"/>
        <v>0</v>
      </c>
      <c r="J309" s="176">
        <f t="shared" si="197"/>
        <v>0</v>
      </c>
      <c r="K309" s="176">
        <f t="shared" si="197"/>
        <v>0</v>
      </c>
      <c r="L309" s="176">
        <f t="shared" si="197"/>
        <v>0</v>
      </c>
      <c r="M309" s="176">
        <f t="shared" si="203"/>
        <v>0</v>
      </c>
      <c r="N309" s="176">
        <f t="shared" si="203"/>
        <v>0</v>
      </c>
      <c r="O309" s="176">
        <f t="shared" si="198"/>
        <v>0</v>
      </c>
      <c r="P309" s="176">
        <f t="shared" si="203"/>
        <v>0</v>
      </c>
      <c r="Q309" s="175">
        <f t="shared" si="199"/>
        <v>0</v>
      </c>
      <c r="R309" s="176">
        <f t="shared" si="203"/>
        <v>0</v>
      </c>
      <c r="S309" s="176">
        <f t="shared" si="203"/>
        <v>0</v>
      </c>
      <c r="T309" s="176">
        <f t="shared" si="203"/>
        <v>0</v>
      </c>
      <c r="U309" s="176">
        <f t="shared" si="203"/>
        <v>0</v>
      </c>
    </row>
    <row r="310" spans="3:21" ht="18.75" x14ac:dyDescent="0.3">
      <c r="C310" s="294">
        <f t="shared" si="192"/>
        <v>1</v>
      </c>
      <c r="D310" s="125" t="s">
        <v>123</v>
      </c>
      <c r="E310" s="76" t="s">
        <v>51</v>
      </c>
      <c r="F310" s="176">
        <f t="shared" ref="F310:U310" si="204">F13*$E$300</f>
        <v>0</v>
      </c>
      <c r="G310" s="176">
        <f t="shared" si="197"/>
        <v>0</v>
      </c>
      <c r="H310" s="176">
        <f t="shared" si="197"/>
        <v>0</v>
      </c>
      <c r="I310" s="176">
        <f t="shared" si="197"/>
        <v>0</v>
      </c>
      <c r="J310" s="176">
        <f t="shared" si="197"/>
        <v>0</v>
      </c>
      <c r="K310" s="176">
        <f t="shared" si="197"/>
        <v>0</v>
      </c>
      <c r="L310" s="176">
        <f t="shared" si="197"/>
        <v>0</v>
      </c>
      <c r="M310" s="176">
        <f t="shared" si="204"/>
        <v>0</v>
      </c>
      <c r="N310" s="176">
        <f t="shared" si="204"/>
        <v>0</v>
      </c>
      <c r="O310" s="176">
        <f t="shared" si="198"/>
        <v>0</v>
      </c>
      <c r="P310" s="176">
        <f t="shared" si="204"/>
        <v>0</v>
      </c>
      <c r="Q310" s="175">
        <f t="shared" si="199"/>
        <v>0</v>
      </c>
      <c r="R310" s="176">
        <f t="shared" si="204"/>
        <v>0</v>
      </c>
      <c r="S310" s="176">
        <f t="shared" si="204"/>
        <v>0</v>
      </c>
      <c r="T310" s="176">
        <f t="shared" si="204"/>
        <v>0</v>
      </c>
      <c r="U310" s="176">
        <f t="shared" si="204"/>
        <v>0</v>
      </c>
    </row>
    <row r="311" spans="3:21" ht="19.5" thickBot="1" x14ac:dyDescent="0.35">
      <c r="C311" s="294">
        <f t="shared" si="192"/>
        <v>1</v>
      </c>
      <c r="D311" s="114" t="s">
        <v>16</v>
      </c>
      <c r="E311" s="70" t="s">
        <v>50</v>
      </c>
      <c r="F311" s="176">
        <f t="shared" ref="F311:U311" si="205">F14*$E$300</f>
        <v>811.97382125400816</v>
      </c>
      <c r="G311" s="176">
        <f t="shared" si="197"/>
        <v>16.129731102384831</v>
      </c>
      <c r="H311" s="176">
        <f t="shared" si="197"/>
        <v>0</v>
      </c>
      <c r="I311" s="176">
        <f t="shared" si="197"/>
        <v>0</v>
      </c>
      <c r="J311" s="176">
        <f t="shared" si="197"/>
        <v>34.436003229628632</v>
      </c>
      <c r="K311" s="176">
        <f t="shared" si="197"/>
        <v>0.14177452212683847</v>
      </c>
      <c r="L311" s="176">
        <f t="shared" si="197"/>
        <v>1.9951743831917352E-2</v>
      </c>
      <c r="M311" s="176">
        <f t="shared" si="205"/>
        <v>0</v>
      </c>
      <c r="N311" s="176">
        <f t="shared" si="205"/>
        <v>0</v>
      </c>
      <c r="O311" s="176">
        <f t="shared" si="198"/>
        <v>10.319359323974071</v>
      </c>
      <c r="P311" s="176">
        <f t="shared" si="205"/>
        <v>175.75561615025097</v>
      </c>
      <c r="Q311" s="175">
        <f t="shared" si="199"/>
        <v>1048.7762573262055</v>
      </c>
      <c r="R311" s="176">
        <f t="shared" si="205"/>
        <v>0</v>
      </c>
      <c r="S311" s="176">
        <f t="shared" si="205"/>
        <v>72.924921324754862</v>
      </c>
      <c r="T311" s="176">
        <f t="shared" ca="1" si="205"/>
        <v>21.150187863288622</v>
      </c>
      <c r="U311" s="176">
        <f t="shared" ca="1" si="205"/>
        <v>1.2052050278096564</v>
      </c>
    </row>
    <row r="312" spans="3:21" ht="19.5" thickBot="1" x14ac:dyDescent="0.3">
      <c r="C312" s="294">
        <f t="shared" si="192"/>
        <v>1</v>
      </c>
      <c r="D312" s="115" t="s">
        <v>124</v>
      </c>
      <c r="E312" s="116" t="s">
        <v>49</v>
      </c>
      <c r="F312" s="269">
        <f t="shared" ref="F312:U312" si="206">SUBTOTAL(9,F303:F311)</f>
        <v>8416.7171853984928</v>
      </c>
      <c r="G312" s="269">
        <f t="shared" ref="G312:L312" si="207">SUBTOTAL(9,G303:G311)</f>
        <v>187.13945193215326</v>
      </c>
      <c r="H312" s="269">
        <f t="shared" si="207"/>
        <v>0</v>
      </c>
      <c r="I312" s="269">
        <f t="shared" si="207"/>
        <v>217.95427083617801</v>
      </c>
      <c r="J312" s="269">
        <f t="shared" si="207"/>
        <v>59.42334430350067</v>
      </c>
      <c r="K312" s="269">
        <f t="shared" si="207"/>
        <v>7.7255613721212644</v>
      </c>
      <c r="L312" s="269">
        <f t="shared" si="207"/>
        <v>1.9951743831917352E-2</v>
      </c>
      <c r="M312" s="269">
        <f t="shared" si="206"/>
        <v>0</v>
      </c>
      <c r="N312" s="269">
        <f t="shared" si="206"/>
        <v>0</v>
      </c>
      <c r="O312" s="269">
        <f>SUBTOTAL(9,O303:O311)</f>
        <v>10.532847318149871</v>
      </c>
      <c r="P312" s="269">
        <f t="shared" si="206"/>
        <v>175.75561615025097</v>
      </c>
      <c r="Q312" s="183">
        <f>SUBTOTAL(9,Q303:Q311)</f>
        <v>9075.2682290546782</v>
      </c>
      <c r="R312" s="269">
        <f t="shared" si="206"/>
        <v>0</v>
      </c>
      <c r="S312" s="269">
        <f t="shared" si="206"/>
        <v>685.43717631337984</v>
      </c>
      <c r="T312" s="269">
        <f t="shared" ca="1" si="206"/>
        <v>281.85835489774684</v>
      </c>
      <c r="U312" s="269">
        <f t="shared" ca="1" si="206"/>
        <v>194.95835426541444</v>
      </c>
    </row>
    <row r="313" spans="3:21" ht="15.75" hidden="1" thickBot="1" x14ac:dyDescent="0.3"/>
    <row r="314" spans="3:21" ht="93.75" x14ac:dyDescent="0.25">
      <c r="C314" s="294">
        <f>IF($E$314&gt;0,1,0)</f>
        <v>1</v>
      </c>
      <c r="D314" s="96" t="str">
        <f>A25</f>
        <v>Herkimer</v>
      </c>
      <c r="E314" s="166">
        <f>IFERROR(SUMIF(A:A,D314,B:B),0)</f>
        <v>1.6613489150790787E-3</v>
      </c>
      <c r="F314" s="98" t="s">
        <v>356</v>
      </c>
      <c r="G314" s="98" t="s">
        <v>373</v>
      </c>
      <c r="H314" s="98" t="s">
        <v>358</v>
      </c>
      <c r="I314" s="98" t="s">
        <v>109</v>
      </c>
      <c r="J314" s="98" t="s">
        <v>111</v>
      </c>
      <c r="K314" s="98" t="s">
        <v>469</v>
      </c>
      <c r="L314" s="98" t="s">
        <v>470</v>
      </c>
      <c r="M314" s="98" t="s">
        <v>357</v>
      </c>
      <c r="N314" s="557" t="s">
        <v>471</v>
      </c>
      <c r="O314" s="557" t="s">
        <v>473</v>
      </c>
      <c r="P314" s="98" t="s">
        <v>110</v>
      </c>
      <c r="Q314" s="99" t="s">
        <v>116</v>
      </c>
      <c r="R314" s="98" t="s">
        <v>112</v>
      </c>
      <c r="S314" s="98" t="s">
        <v>113</v>
      </c>
      <c r="T314" s="98" t="s">
        <v>114</v>
      </c>
      <c r="U314" s="98" t="s">
        <v>115</v>
      </c>
    </row>
    <row r="315" spans="3:21" ht="18.75" x14ac:dyDescent="0.25">
      <c r="C315" s="294">
        <f>C314</f>
        <v>1</v>
      </c>
      <c r="D315" s="101"/>
      <c r="E315" s="102"/>
      <c r="F315" s="84" t="s">
        <v>57</v>
      </c>
      <c r="G315" s="84" t="s">
        <v>56</v>
      </c>
      <c r="H315" s="84" t="s">
        <v>55</v>
      </c>
      <c r="I315" s="84" t="s">
        <v>54</v>
      </c>
      <c r="J315" s="84" t="s">
        <v>53</v>
      </c>
      <c r="K315" s="84" t="s">
        <v>52</v>
      </c>
      <c r="L315" s="84" t="s">
        <v>51</v>
      </c>
      <c r="M315" s="84" t="s">
        <v>50</v>
      </c>
      <c r="N315" s="84" t="s">
        <v>49</v>
      </c>
      <c r="O315" s="84" t="s">
        <v>47</v>
      </c>
      <c r="P315" s="84" t="s">
        <v>77</v>
      </c>
      <c r="Q315" s="84" t="s">
        <v>78</v>
      </c>
      <c r="R315" s="84" t="s">
        <v>79</v>
      </c>
      <c r="S315" s="84" t="s">
        <v>81</v>
      </c>
      <c r="T315" s="84" t="s">
        <v>83</v>
      </c>
      <c r="U315" s="84" t="s">
        <v>85</v>
      </c>
    </row>
    <row r="316" spans="3:21" ht="18.75" x14ac:dyDescent="0.25">
      <c r="C316" s="294">
        <f t="shared" ref="C316:C326" si="208">C315</f>
        <v>1</v>
      </c>
      <c r="D316" s="103" t="s">
        <v>26</v>
      </c>
      <c r="E316" s="122"/>
      <c r="F316" s="123"/>
      <c r="G316" s="123"/>
      <c r="H316" s="107"/>
      <c r="I316" s="107"/>
      <c r="J316" s="107"/>
      <c r="K316" s="107"/>
      <c r="L316" s="107"/>
      <c r="M316" s="123"/>
      <c r="N316" s="107"/>
      <c r="O316" s="107"/>
      <c r="P316" s="107"/>
      <c r="Q316" s="108"/>
      <c r="R316" s="107"/>
      <c r="S316" s="107"/>
      <c r="T316" s="107"/>
      <c r="U316" s="107"/>
    </row>
    <row r="317" spans="3:21" ht="18.75" x14ac:dyDescent="0.25">
      <c r="C317" s="294">
        <f t="shared" si="208"/>
        <v>1</v>
      </c>
      <c r="D317" s="124" t="s">
        <v>105</v>
      </c>
      <c r="E317" s="76" t="s">
        <v>57</v>
      </c>
      <c r="F317" s="176">
        <f t="shared" ref="F317:U317" si="209">F6*$E$314</f>
        <v>117175.58979735141</v>
      </c>
      <c r="G317" s="176">
        <f t="shared" ref="G317:L317" si="210">G6*$E$314</f>
        <v>2634.9560977673796</v>
      </c>
      <c r="H317" s="176">
        <f t="shared" si="210"/>
        <v>0</v>
      </c>
      <c r="I317" s="176">
        <f t="shared" si="210"/>
        <v>3358.2882434263306</v>
      </c>
      <c r="J317" s="176">
        <f t="shared" si="210"/>
        <v>385.0105503366874</v>
      </c>
      <c r="K317" s="176">
        <f t="shared" si="210"/>
        <v>116.85268713146952</v>
      </c>
      <c r="L317" s="176">
        <f t="shared" si="210"/>
        <v>0</v>
      </c>
      <c r="M317" s="176">
        <f t="shared" si="209"/>
        <v>0</v>
      </c>
      <c r="N317" s="176">
        <f t="shared" si="209"/>
        <v>0</v>
      </c>
      <c r="O317" s="176">
        <f>O6*$E$314</f>
        <v>3.2894708518565756</v>
      </c>
      <c r="P317" s="176">
        <f t="shared" si="209"/>
        <v>0</v>
      </c>
      <c r="Q317" s="175">
        <f>SUM(F317:P317)</f>
        <v>123673.98684686514</v>
      </c>
      <c r="R317" s="176">
        <f t="shared" si="209"/>
        <v>0</v>
      </c>
      <c r="S317" s="176">
        <f t="shared" si="209"/>
        <v>9437.7260743330735</v>
      </c>
      <c r="T317" s="176">
        <f t="shared" ca="1" si="209"/>
        <v>4017.0498561835025</v>
      </c>
      <c r="U317" s="176">
        <f t="shared" ca="1" si="209"/>
        <v>2985.3919389381836</v>
      </c>
    </row>
    <row r="318" spans="3:21" ht="18.75" x14ac:dyDescent="0.25">
      <c r="C318" s="294">
        <f t="shared" si="208"/>
        <v>1</v>
      </c>
      <c r="D318" s="112" t="s">
        <v>31</v>
      </c>
      <c r="E318" s="76"/>
      <c r="F318" s="177"/>
      <c r="G318" s="177"/>
      <c r="H318" s="178"/>
      <c r="I318" s="178"/>
      <c r="J318" s="178"/>
      <c r="K318" s="178"/>
      <c r="L318" s="178"/>
      <c r="M318" s="177"/>
      <c r="N318" s="178"/>
      <c r="O318" s="178"/>
      <c r="P318" s="178"/>
      <c r="Q318" s="179"/>
      <c r="R318" s="178"/>
      <c r="S318" s="178"/>
      <c r="T318" s="178"/>
      <c r="U318" s="178"/>
    </row>
    <row r="319" spans="3:21" ht="18.75" x14ac:dyDescent="0.3">
      <c r="C319" s="294">
        <f t="shared" si="208"/>
        <v>1</v>
      </c>
      <c r="D319" s="113" t="s">
        <v>118</v>
      </c>
      <c r="E319" s="76" t="s">
        <v>56</v>
      </c>
      <c r="F319" s="176">
        <f t="shared" ref="F319:U319" si="211">F8*$E$314</f>
        <v>0</v>
      </c>
      <c r="G319" s="176">
        <f t="shared" ref="G319:L325" si="212">G8*$E$314</f>
        <v>0</v>
      </c>
      <c r="H319" s="176">
        <f t="shared" si="212"/>
        <v>0</v>
      </c>
      <c r="I319" s="176">
        <f t="shared" si="212"/>
        <v>0</v>
      </c>
      <c r="J319" s="176">
        <f t="shared" si="212"/>
        <v>0</v>
      </c>
      <c r="K319" s="176">
        <f t="shared" si="212"/>
        <v>0</v>
      </c>
      <c r="L319" s="176">
        <f t="shared" si="212"/>
        <v>0</v>
      </c>
      <c r="M319" s="176">
        <f t="shared" si="211"/>
        <v>0</v>
      </c>
      <c r="N319" s="176">
        <f t="shared" si="211"/>
        <v>0</v>
      </c>
      <c r="O319" s="176">
        <f t="shared" ref="O319:O325" si="213">O8*$E$314</f>
        <v>0</v>
      </c>
      <c r="P319" s="176">
        <f t="shared" si="211"/>
        <v>0</v>
      </c>
      <c r="Q319" s="175">
        <f t="shared" ref="Q319:Q325" si="214">SUM(F319:P319)</f>
        <v>0</v>
      </c>
      <c r="R319" s="176">
        <f t="shared" si="211"/>
        <v>0</v>
      </c>
      <c r="S319" s="176">
        <f t="shared" si="211"/>
        <v>0</v>
      </c>
      <c r="T319" s="176">
        <f t="shared" si="211"/>
        <v>0</v>
      </c>
      <c r="U319" s="176">
        <f t="shared" si="211"/>
        <v>0</v>
      </c>
    </row>
    <row r="320" spans="3:21" ht="18.75" x14ac:dyDescent="0.3">
      <c r="C320" s="294">
        <f t="shared" si="208"/>
        <v>1</v>
      </c>
      <c r="D320" s="113" t="s">
        <v>119</v>
      </c>
      <c r="E320" s="76" t="s">
        <v>55</v>
      </c>
      <c r="F320" s="176">
        <f t="shared" ref="F320:U320" si="215">F9*$E$314</f>
        <v>0</v>
      </c>
      <c r="G320" s="176">
        <f t="shared" si="212"/>
        <v>0</v>
      </c>
      <c r="H320" s="176">
        <f t="shared" si="212"/>
        <v>0</v>
      </c>
      <c r="I320" s="176">
        <f t="shared" si="212"/>
        <v>0</v>
      </c>
      <c r="J320" s="176">
        <f t="shared" si="212"/>
        <v>0</v>
      </c>
      <c r="K320" s="176">
        <f t="shared" si="212"/>
        <v>0</v>
      </c>
      <c r="L320" s="176">
        <f t="shared" si="212"/>
        <v>0</v>
      </c>
      <c r="M320" s="176">
        <f t="shared" si="215"/>
        <v>0</v>
      </c>
      <c r="N320" s="176">
        <f t="shared" si="215"/>
        <v>0</v>
      </c>
      <c r="O320" s="176">
        <f t="shared" si="213"/>
        <v>0</v>
      </c>
      <c r="P320" s="176">
        <f t="shared" si="215"/>
        <v>0</v>
      </c>
      <c r="Q320" s="175">
        <f t="shared" si="214"/>
        <v>0</v>
      </c>
      <c r="R320" s="176">
        <f t="shared" si="215"/>
        <v>0</v>
      </c>
      <c r="S320" s="176">
        <f t="shared" si="215"/>
        <v>0</v>
      </c>
      <c r="T320" s="176">
        <f t="shared" si="215"/>
        <v>0</v>
      </c>
      <c r="U320" s="176">
        <f t="shared" si="215"/>
        <v>0</v>
      </c>
    </row>
    <row r="321" spans="3:21" ht="18.75" x14ac:dyDescent="0.3">
      <c r="C321" s="294">
        <f t="shared" si="208"/>
        <v>1</v>
      </c>
      <c r="D321" s="113" t="s">
        <v>120</v>
      </c>
      <c r="E321" s="76" t="s">
        <v>54</v>
      </c>
      <c r="F321" s="176">
        <f t="shared" ref="F321:U321" si="216">F10*$E$314</f>
        <v>0</v>
      </c>
      <c r="G321" s="176">
        <f t="shared" si="212"/>
        <v>0</v>
      </c>
      <c r="H321" s="176">
        <f t="shared" si="212"/>
        <v>0</v>
      </c>
      <c r="I321" s="176">
        <f t="shared" si="212"/>
        <v>0</v>
      </c>
      <c r="J321" s="176">
        <f t="shared" si="212"/>
        <v>0</v>
      </c>
      <c r="K321" s="176">
        <f t="shared" si="212"/>
        <v>0</v>
      </c>
      <c r="L321" s="176">
        <f t="shared" si="212"/>
        <v>0</v>
      </c>
      <c r="M321" s="176">
        <f t="shared" si="216"/>
        <v>0</v>
      </c>
      <c r="N321" s="176">
        <f t="shared" si="216"/>
        <v>0</v>
      </c>
      <c r="O321" s="176">
        <f t="shared" si="213"/>
        <v>0</v>
      </c>
      <c r="P321" s="176">
        <f t="shared" si="216"/>
        <v>0</v>
      </c>
      <c r="Q321" s="175">
        <f t="shared" si="214"/>
        <v>0</v>
      </c>
      <c r="R321" s="176">
        <f t="shared" si="216"/>
        <v>0</v>
      </c>
      <c r="S321" s="176">
        <f t="shared" si="216"/>
        <v>0</v>
      </c>
      <c r="T321" s="176">
        <f t="shared" si="216"/>
        <v>0</v>
      </c>
      <c r="U321" s="176">
        <f t="shared" si="216"/>
        <v>0</v>
      </c>
    </row>
    <row r="322" spans="3:21" ht="18.75" x14ac:dyDescent="0.3">
      <c r="C322" s="294">
        <f t="shared" si="208"/>
        <v>1</v>
      </c>
      <c r="D322" s="113" t="s">
        <v>121</v>
      </c>
      <c r="E322" s="76" t="s">
        <v>53</v>
      </c>
      <c r="F322" s="176">
        <f t="shared" ref="F322:U322" si="217">F11*$E$314</f>
        <v>0</v>
      </c>
      <c r="G322" s="176">
        <f t="shared" si="212"/>
        <v>0</v>
      </c>
      <c r="H322" s="176">
        <f t="shared" si="212"/>
        <v>0</v>
      </c>
      <c r="I322" s="176">
        <f t="shared" si="212"/>
        <v>0</v>
      </c>
      <c r="J322" s="176">
        <f t="shared" si="212"/>
        <v>0</v>
      </c>
      <c r="K322" s="176">
        <f t="shared" si="212"/>
        <v>0</v>
      </c>
      <c r="L322" s="176">
        <f t="shared" si="212"/>
        <v>0</v>
      </c>
      <c r="M322" s="176">
        <f t="shared" si="217"/>
        <v>0</v>
      </c>
      <c r="N322" s="176">
        <f t="shared" si="217"/>
        <v>0</v>
      </c>
      <c r="O322" s="176">
        <f t="shared" si="213"/>
        <v>0</v>
      </c>
      <c r="P322" s="176">
        <f t="shared" si="217"/>
        <v>0</v>
      </c>
      <c r="Q322" s="175">
        <f t="shared" si="214"/>
        <v>0</v>
      </c>
      <c r="R322" s="176">
        <f t="shared" si="217"/>
        <v>0</v>
      </c>
      <c r="S322" s="176">
        <f t="shared" si="217"/>
        <v>0</v>
      </c>
      <c r="T322" s="176">
        <f t="shared" si="217"/>
        <v>0</v>
      </c>
      <c r="U322" s="176">
        <f t="shared" si="217"/>
        <v>0</v>
      </c>
    </row>
    <row r="323" spans="3:21" ht="18.75" x14ac:dyDescent="0.3">
      <c r="C323" s="294">
        <f t="shared" si="208"/>
        <v>1</v>
      </c>
      <c r="D323" s="113" t="s">
        <v>122</v>
      </c>
      <c r="E323" s="76" t="s">
        <v>52</v>
      </c>
      <c r="F323" s="176">
        <f t="shared" ref="F323:U323" si="218">F12*$E$314</f>
        <v>0</v>
      </c>
      <c r="G323" s="176">
        <f t="shared" si="212"/>
        <v>0</v>
      </c>
      <c r="H323" s="176">
        <f t="shared" si="212"/>
        <v>0</v>
      </c>
      <c r="I323" s="176">
        <f t="shared" si="212"/>
        <v>0</v>
      </c>
      <c r="J323" s="176">
        <f t="shared" si="212"/>
        <v>0</v>
      </c>
      <c r="K323" s="176">
        <f t="shared" si="212"/>
        <v>0</v>
      </c>
      <c r="L323" s="176">
        <f t="shared" si="212"/>
        <v>0</v>
      </c>
      <c r="M323" s="176">
        <f t="shared" si="218"/>
        <v>0</v>
      </c>
      <c r="N323" s="176">
        <f t="shared" si="218"/>
        <v>0</v>
      </c>
      <c r="O323" s="176">
        <f t="shared" si="213"/>
        <v>0</v>
      </c>
      <c r="P323" s="176">
        <f t="shared" si="218"/>
        <v>0</v>
      </c>
      <c r="Q323" s="175">
        <f t="shared" si="214"/>
        <v>0</v>
      </c>
      <c r="R323" s="176">
        <f t="shared" si="218"/>
        <v>0</v>
      </c>
      <c r="S323" s="176">
        <f t="shared" si="218"/>
        <v>0</v>
      </c>
      <c r="T323" s="176">
        <f t="shared" si="218"/>
        <v>0</v>
      </c>
      <c r="U323" s="176">
        <f t="shared" si="218"/>
        <v>0</v>
      </c>
    </row>
    <row r="324" spans="3:21" ht="18.75" x14ac:dyDescent="0.3">
      <c r="C324" s="294">
        <f t="shared" si="208"/>
        <v>1</v>
      </c>
      <c r="D324" s="125" t="s">
        <v>123</v>
      </c>
      <c r="E324" s="76" t="s">
        <v>51</v>
      </c>
      <c r="F324" s="176">
        <f t="shared" ref="F324:U324" si="219">F13*$E$314</f>
        <v>0</v>
      </c>
      <c r="G324" s="176">
        <f t="shared" si="212"/>
        <v>0</v>
      </c>
      <c r="H324" s="176">
        <f t="shared" si="212"/>
        <v>0</v>
      </c>
      <c r="I324" s="176">
        <f t="shared" si="212"/>
        <v>0</v>
      </c>
      <c r="J324" s="176">
        <f t="shared" si="212"/>
        <v>0</v>
      </c>
      <c r="K324" s="176">
        <f t="shared" si="212"/>
        <v>0</v>
      </c>
      <c r="L324" s="176">
        <f t="shared" si="212"/>
        <v>0</v>
      </c>
      <c r="M324" s="176">
        <f t="shared" si="219"/>
        <v>0</v>
      </c>
      <c r="N324" s="176">
        <f t="shared" si="219"/>
        <v>0</v>
      </c>
      <c r="O324" s="176">
        <f t="shared" si="213"/>
        <v>0</v>
      </c>
      <c r="P324" s="176">
        <f t="shared" si="219"/>
        <v>0</v>
      </c>
      <c r="Q324" s="175">
        <f t="shared" si="214"/>
        <v>0</v>
      </c>
      <c r="R324" s="176">
        <f t="shared" si="219"/>
        <v>0</v>
      </c>
      <c r="S324" s="176">
        <f t="shared" si="219"/>
        <v>0</v>
      </c>
      <c r="T324" s="176">
        <f t="shared" si="219"/>
        <v>0</v>
      </c>
      <c r="U324" s="176">
        <f t="shared" si="219"/>
        <v>0</v>
      </c>
    </row>
    <row r="325" spans="3:21" ht="19.5" thickBot="1" x14ac:dyDescent="0.35">
      <c r="C325" s="294">
        <f t="shared" si="208"/>
        <v>1</v>
      </c>
      <c r="D325" s="114" t="s">
        <v>16</v>
      </c>
      <c r="E325" s="70" t="s">
        <v>50</v>
      </c>
      <c r="F325" s="176">
        <f t="shared" ref="F325:U325" si="220">F14*$E$314</f>
        <v>12511.074581956127</v>
      </c>
      <c r="G325" s="176">
        <f t="shared" si="212"/>
        <v>248.53051111570909</v>
      </c>
      <c r="H325" s="176">
        <f t="shared" si="212"/>
        <v>0</v>
      </c>
      <c r="I325" s="176">
        <f t="shared" si="212"/>
        <v>0</v>
      </c>
      <c r="J325" s="176">
        <f t="shared" si="212"/>
        <v>530.59765405366397</v>
      </c>
      <c r="K325" s="176">
        <f t="shared" si="212"/>
        <v>2.1844936052380266</v>
      </c>
      <c r="L325" s="176">
        <f t="shared" si="212"/>
        <v>0.3074209396747456</v>
      </c>
      <c r="M325" s="176">
        <f t="shared" si="220"/>
        <v>0</v>
      </c>
      <c r="N325" s="176">
        <f t="shared" si="220"/>
        <v>0</v>
      </c>
      <c r="O325" s="176">
        <f t="shared" si="213"/>
        <v>159.00300078745508</v>
      </c>
      <c r="P325" s="176">
        <f t="shared" si="220"/>
        <v>2708.0819163079495</v>
      </c>
      <c r="Q325" s="175">
        <f t="shared" si="214"/>
        <v>16159.779578765818</v>
      </c>
      <c r="R325" s="176">
        <f t="shared" si="220"/>
        <v>0</v>
      </c>
      <c r="S325" s="176">
        <f t="shared" si="220"/>
        <v>1123.6435285170064</v>
      </c>
      <c r="T325" s="176">
        <f t="shared" ca="1" si="220"/>
        <v>325.88683385299601</v>
      </c>
      <c r="U325" s="176">
        <f t="shared" ca="1" si="220"/>
        <v>18.570069126352006</v>
      </c>
    </row>
    <row r="326" spans="3:21" ht="19.5" thickBot="1" x14ac:dyDescent="0.3">
      <c r="C326" s="294">
        <f t="shared" si="208"/>
        <v>1</v>
      </c>
      <c r="D326" s="115" t="s">
        <v>124</v>
      </c>
      <c r="E326" s="116" t="s">
        <v>49</v>
      </c>
      <c r="F326" s="269">
        <f t="shared" ref="F326:U326" si="221">SUBTOTAL(9,F317:F325)</f>
        <v>129686.66437930753</v>
      </c>
      <c r="G326" s="269">
        <f t="shared" ref="G326:L326" si="222">SUBTOTAL(9,G317:G325)</f>
        <v>2883.4866088830886</v>
      </c>
      <c r="H326" s="269">
        <f t="shared" si="222"/>
        <v>0</v>
      </c>
      <c r="I326" s="269">
        <f t="shared" si="222"/>
        <v>3358.2882434263306</v>
      </c>
      <c r="J326" s="269">
        <f t="shared" si="222"/>
        <v>915.60820439035137</v>
      </c>
      <c r="K326" s="269">
        <f t="shared" si="222"/>
        <v>119.03718073670755</v>
      </c>
      <c r="L326" s="269">
        <f t="shared" si="222"/>
        <v>0.3074209396747456</v>
      </c>
      <c r="M326" s="269">
        <f t="shared" si="221"/>
        <v>0</v>
      </c>
      <c r="N326" s="269">
        <f t="shared" si="221"/>
        <v>0</v>
      </c>
      <c r="O326" s="269">
        <f>SUBTOTAL(9,O317:O325)</f>
        <v>162.29247163931166</v>
      </c>
      <c r="P326" s="269">
        <f t="shared" si="221"/>
        <v>2708.0819163079495</v>
      </c>
      <c r="Q326" s="183">
        <f>SUBTOTAL(9,Q317:Q325)</f>
        <v>139833.76642563095</v>
      </c>
      <c r="R326" s="269">
        <f t="shared" si="221"/>
        <v>0</v>
      </c>
      <c r="S326" s="269">
        <f t="shared" si="221"/>
        <v>10561.36960285008</v>
      </c>
      <c r="T326" s="269">
        <f t="shared" ca="1" si="221"/>
        <v>4342.9366900364985</v>
      </c>
      <c r="U326" s="269">
        <f t="shared" ca="1" si="221"/>
        <v>3003.9620080645354</v>
      </c>
    </row>
    <row r="327" spans="3:21" ht="15.75" hidden="1" thickBot="1" x14ac:dyDescent="0.3"/>
    <row r="328" spans="3:21" ht="93.75" x14ac:dyDescent="0.25">
      <c r="C328" s="294">
        <f>IF($E$328&gt;0,1,0)</f>
        <v>1</v>
      </c>
      <c r="D328" s="96" t="str">
        <f>A26</f>
        <v>Jefferson</v>
      </c>
      <c r="E328" s="166">
        <f>IFERROR(SUMIF(A:A,D328,B:B),0)</f>
        <v>6.5581997416250632E-3</v>
      </c>
      <c r="F328" s="98" t="s">
        <v>356</v>
      </c>
      <c r="G328" s="98" t="s">
        <v>373</v>
      </c>
      <c r="H328" s="98" t="s">
        <v>358</v>
      </c>
      <c r="I328" s="98" t="s">
        <v>109</v>
      </c>
      <c r="J328" s="98" t="s">
        <v>111</v>
      </c>
      <c r="K328" s="98" t="s">
        <v>469</v>
      </c>
      <c r="L328" s="98" t="s">
        <v>470</v>
      </c>
      <c r="M328" s="98" t="s">
        <v>357</v>
      </c>
      <c r="N328" s="557" t="s">
        <v>471</v>
      </c>
      <c r="O328" s="557" t="s">
        <v>473</v>
      </c>
      <c r="P328" s="98" t="s">
        <v>110</v>
      </c>
      <c r="Q328" s="99" t="s">
        <v>116</v>
      </c>
      <c r="R328" s="98" t="s">
        <v>112</v>
      </c>
      <c r="S328" s="98" t="s">
        <v>113</v>
      </c>
      <c r="T328" s="98" t="s">
        <v>114</v>
      </c>
      <c r="U328" s="98" t="s">
        <v>115</v>
      </c>
    </row>
    <row r="329" spans="3:21" ht="18.75" x14ac:dyDescent="0.25">
      <c r="C329" s="294">
        <f>C328</f>
        <v>1</v>
      </c>
      <c r="D329" s="101"/>
      <c r="E329" s="102"/>
      <c r="F329" s="84" t="s">
        <v>57</v>
      </c>
      <c r="G329" s="84" t="s">
        <v>56</v>
      </c>
      <c r="H329" s="84" t="s">
        <v>55</v>
      </c>
      <c r="I329" s="84" t="s">
        <v>54</v>
      </c>
      <c r="J329" s="84" t="s">
        <v>53</v>
      </c>
      <c r="K329" s="84" t="s">
        <v>52</v>
      </c>
      <c r="L329" s="84" t="s">
        <v>51</v>
      </c>
      <c r="M329" s="84" t="s">
        <v>50</v>
      </c>
      <c r="N329" s="84" t="s">
        <v>49</v>
      </c>
      <c r="O329" s="84" t="s">
        <v>47</v>
      </c>
      <c r="P329" s="84" t="s">
        <v>77</v>
      </c>
      <c r="Q329" s="84" t="s">
        <v>78</v>
      </c>
      <c r="R329" s="84" t="s">
        <v>79</v>
      </c>
      <c r="S329" s="84" t="s">
        <v>81</v>
      </c>
      <c r="T329" s="84" t="s">
        <v>83</v>
      </c>
      <c r="U329" s="84" t="s">
        <v>85</v>
      </c>
    </row>
    <row r="330" spans="3:21" ht="18.75" x14ac:dyDescent="0.25">
      <c r="C330" s="294">
        <f>C328</f>
        <v>1</v>
      </c>
      <c r="D330" s="103" t="s">
        <v>26</v>
      </c>
      <c r="E330" s="122"/>
      <c r="F330" s="123"/>
      <c r="G330" s="123"/>
      <c r="H330" s="107"/>
      <c r="I330" s="107"/>
      <c r="J330" s="107"/>
      <c r="K330" s="107"/>
      <c r="L330" s="107"/>
      <c r="M330" s="123"/>
      <c r="N330" s="107"/>
      <c r="O330" s="107"/>
      <c r="P330" s="107"/>
      <c r="Q330" s="108"/>
      <c r="R330" s="107"/>
      <c r="S330" s="107"/>
      <c r="T330" s="107"/>
      <c r="U330" s="107"/>
    </row>
    <row r="331" spans="3:21" ht="18.75" x14ac:dyDescent="0.25">
      <c r="C331" s="294">
        <f t="shared" ref="C331:C340" si="223">C329</f>
        <v>1</v>
      </c>
      <c r="D331" s="124" t="s">
        <v>105</v>
      </c>
      <c r="E331" s="76" t="s">
        <v>57</v>
      </c>
      <c r="F331" s="176">
        <f t="shared" ref="F331:L331" si="224">F6*$E$328</f>
        <v>462552.39688598248</v>
      </c>
      <c r="G331" s="176">
        <f t="shared" si="224"/>
        <v>10401.528687156529</v>
      </c>
      <c r="H331" s="176">
        <f t="shared" si="224"/>
        <v>0</v>
      </c>
      <c r="I331" s="176">
        <f t="shared" si="224"/>
        <v>13256.893173035065</v>
      </c>
      <c r="J331" s="176">
        <f t="shared" si="224"/>
        <v>1519.8349177727066</v>
      </c>
      <c r="K331" s="176">
        <f t="shared" si="224"/>
        <v>461.27773377293266</v>
      </c>
      <c r="L331" s="176">
        <f t="shared" si="224"/>
        <v>0</v>
      </c>
      <c r="M331" s="176">
        <f t="shared" ref="M331:U331" si="225">M6*$E$328</f>
        <v>0</v>
      </c>
      <c r="N331" s="176">
        <f t="shared" si="225"/>
        <v>0</v>
      </c>
      <c r="O331" s="176">
        <f>O6*$E$328</f>
        <v>12.985235488417626</v>
      </c>
      <c r="P331" s="176">
        <f t="shared" si="225"/>
        <v>0</v>
      </c>
      <c r="Q331" s="175">
        <f>SUM(F331:P331)</f>
        <v>488204.91663320805</v>
      </c>
      <c r="R331" s="176">
        <f t="shared" si="225"/>
        <v>0</v>
      </c>
      <c r="S331" s="176">
        <f t="shared" si="225"/>
        <v>37255.565125687739</v>
      </c>
      <c r="T331" s="176">
        <f t="shared" ca="1" si="225"/>
        <v>15857.36451253749</v>
      </c>
      <c r="U331" s="176">
        <f t="shared" ca="1" si="225"/>
        <v>11784.87942231088</v>
      </c>
    </row>
    <row r="332" spans="3:21" ht="18.75" x14ac:dyDescent="0.25">
      <c r="C332" s="294">
        <f t="shared" si="223"/>
        <v>1</v>
      </c>
      <c r="D332" s="112" t="s">
        <v>31</v>
      </c>
      <c r="E332" s="76"/>
      <c r="F332" s="177"/>
      <c r="G332" s="177"/>
      <c r="H332" s="178"/>
      <c r="I332" s="178"/>
      <c r="J332" s="178"/>
      <c r="K332" s="178"/>
      <c r="L332" s="178"/>
      <c r="M332" s="177"/>
      <c r="N332" s="178"/>
      <c r="O332" s="178"/>
      <c r="P332" s="178"/>
      <c r="Q332" s="179"/>
      <c r="R332" s="178"/>
      <c r="S332" s="178"/>
      <c r="T332" s="178"/>
      <c r="U332" s="178"/>
    </row>
    <row r="333" spans="3:21" ht="18.75" x14ac:dyDescent="0.3">
      <c r="C333" s="294">
        <f t="shared" si="223"/>
        <v>1</v>
      </c>
      <c r="D333" s="113" t="s">
        <v>118</v>
      </c>
      <c r="E333" s="76" t="s">
        <v>56</v>
      </c>
      <c r="F333" s="176">
        <f t="shared" ref="F333:U333" si="226">F8*$E$286</f>
        <v>0</v>
      </c>
      <c r="G333" s="176">
        <f t="shared" ref="G333:L338" si="227">G8*$E$286</f>
        <v>0</v>
      </c>
      <c r="H333" s="176">
        <f t="shared" si="227"/>
        <v>0</v>
      </c>
      <c r="I333" s="176">
        <f t="shared" si="227"/>
        <v>0</v>
      </c>
      <c r="J333" s="176">
        <f t="shared" si="227"/>
        <v>0</v>
      </c>
      <c r="K333" s="176">
        <f t="shared" si="227"/>
        <v>0</v>
      </c>
      <c r="L333" s="176">
        <f t="shared" si="227"/>
        <v>0</v>
      </c>
      <c r="M333" s="176">
        <f t="shared" si="226"/>
        <v>0</v>
      </c>
      <c r="N333" s="176">
        <f t="shared" si="226"/>
        <v>0</v>
      </c>
      <c r="O333" s="176">
        <f t="shared" ref="O333:O338" si="228">O8*$E$286</f>
        <v>0</v>
      </c>
      <c r="P333" s="176">
        <f t="shared" si="226"/>
        <v>0</v>
      </c>
      <c r="Q333" s="175">
        <f t="shared" ref="Q333:Q339" si="229">SUM(F333:P333)</f>
        <v>0</v>
      </c>
      <c r="R333" s="176">
        <f t="shared" si="226"/>
        <v>0</v>
      </c>
      <c r="S333" s="176">
        <f t="shared" si="226"/>
        <v>0</v>
      </c>
      <c r="T333" s="176">
        <f t="shared" si="226"/>
        <v>0</v>
      </c>
      <c r="U333" s="176">
        <f t="shared" si="226"/>
        <v>0</v>
      </c>
    </row>
    <row r="334" spans="3:21" ht="18.75" x14ac:dyDescent="0.3">
      <c r="C334" s="294">
        <f t="shared" si="223"/>
        <v>1</v>
      </c>
      <c r="D334" s="113" t="s">
        <v>119</v>
      </c>
      <c r="E334" s="76" t="s">
        <v>55</v>
      </c>
      <c r="F334" s="176">
        <f t="shared" ref="F334:U334" si="230">F9*$E$286</f>
        <v>0</v>
      </c>
      <c r="G334" s="176">
        <f t="shared" si="227"/>
        <v>0</v>
      </c>
      <c r="H334" s="176">
        <f t="shared" si="227"/>
        <v>0</v>
      </c>
      <c r="I334" s="176">
        <f t="shared" si="227"/>
        <v>0</v>
      </c>
      <c r="J334" s="176">
        <f t="shared" si="227"/>
        <v>0</v>
      </c>
      <c r="K334" s="176">
        <f t="shared" si="227"/>
        <v>0</v>
      </c>
      <c r="L334" s="176">
        <f t="shared" si="227"/>
        <v>0</v>
      </c>
      <c r="M334" s="176">
        <f t="shared" si="230"/>
        <v>0</v>
      </c>
      <c r="N334" s="176">
        <f t="shared" si="230"/>
        <v>0</v>
      </c>
      <c r="O334" s="176">
        <f t="shared" si="228"/>
        <v>0</v>
      </c>
      <c r="P334" s="176">
        <f t="shared" si="230"/>
        <v>0</v>
      </c>
      <c r="Q334" s="175">
        <f t="shared" si="229"/>
        <v>0</v>
      </c>
      <c r="R334" s="176">
        <f t="shared" si="230"/>
        <v>0</v>
      </c>
      <c r="S334" s="176">
        <f t="shared" si="230"/>
        <v>0</v>
      </c>
      <c r="T334" s="176">
        <f t="shared" si="230"/>
        <v>0</v>
      </c>
      <c r="U334" s="176">
        <f t="shared" si="230"/>
        <v>0</v>
      </c>
    </row>
    <row r="335" spans="3:21" ht="18.75" x14ac:dyDescent="0.3">
      <c r="C335" s="294">
        <f t="shared" si="223"/>
        <v>1</v>
      </c>
      <c r="D335" s="113" t="s">
        <v>120</v>
      </c>
      <c r="E335" s="76" t="s">
        <v>54</v>
      </c>
      <c r="F335" s="176">
        <f t="shared" ref="F335:U335" si="231">F10*$E$286</f>
        <v>0</v>
      </c>
      <c r="G335" s="176">
        <f t="shared" si="227"/>
        <v>0</v>
      </c>
      <c r="H335" s="176">
        <f t="shared" si="227"/>
        <v>0</v>
      </c>
      <c r="I335" s="176">
        <f t="shared" si="227"/>
        <v>0</v>
      </c>
      <c r="J335" s="176">
        <f t="shared" si="227"/>
        <v>0</v>
      </c>
      <c r="K335" s="176">
        <f t="shared" si="227"/>
        <v>0</v>
      </c>
      <c r="L335" s="176">
        <f t="shared" si="227"/>
        <v>0</v>
      </c>
      <c r="M335" s="176">
        <f t="shared" si="231"/>
        <v>0</v>
      </c>
      <c r="N335" s="176">
        <f t="shared" si="231"/>
        <v>0</v>
      </c>
      <c r="O335" s="176">
        <f t="shared" si="228"/>
        <v>0</v>
      </c>
      <c r="P335" s="176">
        <f t="shared" si="231"/>
        <v>0</v>
      </c>
      <c r="Q335" s="175">
        <f t="shared" si="229"/>
        <v>0</v>
      </c>
      <c r="R335" s="176">
        <f t="shared" si="231"/>
        <v>0</v>
      </c>
      <c r="S335" s="176">
        <f t="shared" si="231"/>
        <v>0</v>
      </c>
      <c r="T335" s="176">
        <f t="shared" si="231"/>
        <v>0</v>
      </c>
      <c r="U335" s="176">
        <f t="shared" si="231"/>
        <v>0</v>
      </c>
    </row>
    <row r="336" spans="3:21" ht="18.75" x14ac:dyDescent="0.3">
      <c r="C336" s="294">
        <f t="shared" si="223"/>
        <v>1</v>
      </c>
      <c r="D336" s="113" t="s">
        <v>121</v>
      </c>
      <c r="E336" s="76" t="s">
        <v>53</v>
      </c>
      <c r="F336" s="176">
        <f t="shared" ref="F336:U336" si="232">F11*$E$286</f>
        <v>0</v>
      </c>
      <c r="G336" s="176">
        <f t="shared" si="227"/>
        <v>0</v>
      </c>
      <c r="H336" s="176">
        <f t="shared" si="227"/>
        <v>0</v>
      </c>
      <c r="I336" s="176">
        <f t="shared" si="227"/>
        <v>0</v>
      </c>
      <c r="J336" s="176">
        <f t="shared" si="227"/>
        <v>0</v>
      </c>
      <c r="K336" s="176">
        <f t="shared" si="227"/>
        <v>0</v>
      </c>
      <c r="L336" s="176">
        <f t="shared" si="227"/>
        <v>0</v>
      </c>
      <c r="M336" s="176">
        <f t="shared" si="232"/>
        <v>0</v>
      </c>
      <c r="N336" s="176">
        <f t="shared" si="232"/>
        <v>0</v>
      </c>
      <c r="O336" s="176">
        <f t="shared" si="228"/>
        <v>0</v>
      </c>
      <c r="P336" s="176">
        <f t="shared" si="232"/>
        <v>0</v>
      </c>
      <c r="Q336" s="175">
        <f t="shared" si="229"/>
        <v>0</v>
      </c>
      <c r="R336" s="176">
        <f t="shared" si="232"/>
        <v>0</v>
      </c>
      <c r="S336" s="176">
        <f t="shared" si="232"/>
        <v>0</v>
      </c>
      <c r="T336" s="176">
        <f t="shared" si="232"/>
        <v>0</v>
      </c>
      <c r="U336" s="176">
        <f t="shared" si="232"/>
        <v>0</v>
      </c>
    </row>
    <row r="337" spans="3:21" ht="18.75" x14ac:dyDescent="0.3">
      <c r="C337" s="294">
        <f t="shared" si="223"/>
        <v>1</v>
      </c>
      <c r="D337" s="113" t="s">
        <v>122</v>
      </c>
      <c r="E337" s="76" t="s">
        <v>52</v>
      </c>
      <c r="F337" s="176">
        <f t="shared" ref="F337:U337" si="233">F12*$E$286</f>
        <v>0</v>
      </c>
      <c r="G337" s="176">
        <f t="shared" si="227"/>
        <v>0</v>
      </c>
      <c r="H337" s="176">
        <f t="shared" si="227"/>
        <v>0</v>
      </c>
      <c r="I337" s="176">
        <f t="shared" si="227"/>
        <v>0</v>
      </c>
      <c r="J337" s="176">
        <f t="shared" si="227"/>
        <v>0</v>
      </c>
      <c r="K337" s="176">
        <f t="shared" si="227"/>
        <v>0</v>
      </c>
      <c r="L337" s="176">
        <f t="shared" si="227"/>
        <v>0</v>
      </c>
      <c r="M337" s="176">
        <f t="shared" si="233"/>
        <v>0</v>
      </c>
      <c r="N337" s="176">
        <f t="shared" si="233"/>
        <v>0</v>
      </c>
      <c r="O337" s="176">
        <f t="shared" si="228"/>
        <v>0</v>
      </c>
      <c r="P337" s="176">
        <f t="shared" si="233"/>
        <v>0</v>
      </c>
      <c r="Q337" s="175">
        <f t="shared" si="229"/>
        <v>0</v>
      </c>
      <c r="R337" s="176">
        <f t="shared" si="233"/>
        <v>0</v>
      </c>
      <c r="S337" s="176">
        <f t="shared" si="233"/>
        <v>0</v>
      </c>
      <c r="T337" s="176">
        <f t="shared" si="233"/>
        <v>0</v>
      </c>
      <c r="U337" s="176">
        <f t="shared" si="233"/>
        <v>0</v>
      </c>
    </row>
    <row r="338" spans="3:21" ht="18.75" x14ac:dyDescent="0.3">
      <c r="C338" s="294">
        <f t="shared" si="223"/>
        <v>1</v>
      </c>
      <c r="D338" s="125" t="s">
        <v>123</v>
      </c>
      <c r="E338" s="76" t="s">
        <v>51</v>
      </c>
      <c r="F338" s="176">
        <f t="shared" ref="F338:U338" si="234">F13*$E$286</f>
        <v>0</v>
      </c>
      <c r="G338" s="176">
        <f t="shared" si="227"/>
        <v>0</v>
      </c>
      <c r="H338" s="176">
        <f t="shared" si="227"/>
        <v>0</v>
      </c>
      <c r="I338" s="176">
        <f t="shared" si="227"/>
        <v>0</v>
      </c>
      <c r="J338" s="176">
        <f t="shared" si="227"/>
        <v>0</v>
      </c>
      <c r="K338" s="176">
        <f t="shared" si="227"/>
        <v>0</v>
      </c>
      <c r="L338" s="176">
        <f t="shared" si="227"/>
        <v>0</v>
      </c>
      <c r="M338" s="176">
        <f t="shared" si="234"/>
        <v>0</v>
      </c>
      <c r="N338" s="176">
        <f t="shared" si="234"/>
        <v>0</v>
      </c>
      <c r="O338" s="176">
        <f t="shared" si="228"/>
        <v>0</v>
      </c>
      <c r="P338" s="176">
        <f t="shared" si="234"/>
        <v>0</v>
      </c>
      <c r="Q338" s="175">
        <f t="shared" si="229"/>
        <v>0</v>
      </c>
      <c r="R338" s="176">
        <f t="shared" si="234"/>
        <v>0</v>
      </c>
      <c r="S338" s="176">
        <f t="shared" si="234"/>
        <v>0</v>
      </c>
      <c r="T338" s="176">
        <f t="shared" si="234"/>
        <v>0</v>
      </c>
      <c r="U338" s="176">
        <f t="shared" si="234"/>
        <v>0</v>
      </c>
    </row>
    <row r="339" spans="3:21" ht="19.5" thickBot="1" x14ac:dyDescent="0.35">
      <c r="C339" s="294">
        <f t="shared" si="223"/>
        <v>1</v>
      </c>
      <c r="D339" s="114" t="s">
        <v>16</v>
      </c>
      <c r="E339" s="70" t="s">
        <v>50</v>
      </c>
      <c r="F339" s="176">
        <f t="shared" ref="F339:L339" si="235">F14*$E$328</f>
        <v>49387.654421125051</v>
      </c>
      <c r="G339" s="176">
        <f t="shared" si="235"/>
        <v>981.07791746287432</v>
      </c>
      <c r="H339" s="176">
        <f t="shared" si="235"/>
        <v>0</v>
      </c>
      <c r="I339" s="176">
        <f t="shared" si="235"/>
        <v>0</v>
      </c>
      <c r="J339" s="176">
        <f t="shared" si="235"/>
        <v>2094.5421916719824</v>
      </c>
      <c r="K339" s="176">
        <f t="shared" si="235"/>
        <v>8.6233212466218809</v>
      </c>
      <c r="L339" s="176">
        <f t="shared" si="235"/>
        <v>1.2135487668158407</v>
      </c>
      <c r="M339" s="176">
        <f t="shared" ref="M339:U339" si="236">M14*$E$328</f>
        <v>0</v>
      </c>
      <c r="N339" s="176">
        <f t="shared" si="236"/>
        <v>0</v>
      </c>
      <c r="O339" s="176">
        <f>O14*$E$328</f>
        <v>627.66672865480666</v>
      </c>
      <c r="P339" s="176">
        <f t="shared" si="236"/>
        <v>10690.193951813508</v>
      </c>
      <c r="Q339" s="175">
        <f t="shared" si="229"/>
        <v>63790.97208074166</v>
      </c>
      <c r="R339" s="176">
        <f t="shared" si="236"/>
        <v>0</v>
      </c>
      <c r="S339" s="176">
        <f t="shared" si="236"/>
        <v>4435.5996693494963</v>
      </c>
      <c r="T339" s="176">
        <f t="shared" ca="1" si="236"/>
        <v>1286.4431608407785</v>
      </c>
      <c r="U339" s="176">
        <f t="shared" ca="1" si="236"/>
        <v>73.305626193883768</v>
      </c>
    </row>
    <row r="340" spans="3:21" ht="19.5" thickBot="1" x14ac:dyDescent="0.3">
      <c r="C340" s="294">
        <f t="shared" si="223"/>
        <v>1</v>
      </c>
      <c r="D340" s="115" t="s">
        <v>124</v>
      </c>
      <c r="E340" s="116" t="s">
        <v>49</v>
      </c>
      <c r="F340" s="269">
        <f t="shared" ref="F340:U340" si="237">SUBTOTAL(9,F331:F339)</f>
        <v>511940.05130710755</v>
      </c>
      <c r="G340" s="269">
        <f t="shared" ref="G340:L340" si="238">SUBTOTAL(9,G331:G339)</f>
        <v>11382.606604619405</v>
      </c>
      <c r="H340" s="269">
        <f t="shared" si="238"/>
        <v>0</v>
      </c>
      <c r="I340" s="269">
        <f t="shared" si="238"/>
        <v>13256.893173035065</v>
      </c>
      <c r="J340" s="269">
        <f t="shared" si="238"/>
        <v>3614.3771094446893</v>
      </c>
      <c r="K340" s="269">
        <f t="shared" si="238"/>
        <v>469.90105501955452</v>
      </c>
      <c r="L340" s="269">
        <f t="shared" si="238"/>
        <v>1.2135487668158407</v>
      </c>
      <c r="M340" s="269">
        <f t="shared" si="237"/>
        <v>0</v>
      </c>
      <c r="N340" s="269">
        <f t="shared" si="237"/>
        <v>0</v>
      </c>
      <c r="O340" s="269">
        <f>SUBTOTAL(9,O331:O339)</f>
        <v>640.65196414322429</v>
      </c>
      <c r="P340" s="269">
        <f t="shared" si="237"/>
        <v>10690.193951813508</v>
      </c>
      <c r="Q340" s="183">
        <f>SUBTOTAL(9,Q331:Q339)</f>
        <v>551995.88871394971</v>
      </c>
      <c r="R340" s="269">
        <f t="shared" si="237"/>
        <v>0</v>
      </c>
      <c r="S340" s="269">
        <f t="shared" si="237"/>
        <v>41691.164795037235</v>
      </c>
      <c r="T340" s="269">
        <f t="shared" ca="1" si="237"/>
        <v>17143.807673378269</v>
      </c>
      <c r="U340" s="269">
        <f t="shared" ca="1" si="237"/>
        <v>11858.185048504763</v>
      </c>
    </row>
    <row r="341" spans="3:21" ht="15.75" hidden="1" thickBot="1" x14ac:dyDescent="0.3"/>
    <row r="342" spans="3:21" ht="93.75" x14ac:dyDescent="0.25">
      <c r="C342" s="294">
        <f>IF($E$342&gt;0,1,0)</f>
        <v>1</v>
      </c>
      <c r="D342" s="96" t="str">
        <f>A27</f>
        <v>Kings</v>
      </c>
      <c r="E342" s="166">
        <f>IFERROR(SUMIF(A:A,D342,B:B),0)</f>
        <v>0.19849003913535318</v>
      </c>
      <c r="F342" s="98" t="s">
        <v>356</v>
      </c>
      <c r="G342" s="98" t="s">
        <v>373</v>
      </c>
      <c r="H342" s="98" t="s">
        <v>358</v>
      </c>
      <c r="I342" s="98" t="s">
        <v>109</v>
      </c>
      <c r="J342" s="98" t="s">
        <v>111</v>
      </c>
      <c r="K342" s="98" t="s">
        <v>469</v>
      </c>
      <c r="L342" s="98" t="s">
        <v>470</v>
      </c>
      <c r="M342" s="98" t="s">
        <v>357</v>
      </c>
      <c r="N342" s="557" t="s">
        <v>471</v>
      </c>
      <c r="O342" s="557" t="s">
        <v>473</v>
      </c>
      <c r="P342" s="98" t="s">
        <v>110</v>
      </c>
      <c r="Q342" s="99" t="s">
        <v>116</v>
      </c>
      <c r="R342" s="98" t="s">
        <v>112</v>
      </c>
      <c r="S342" s="98" t="s">
        <v>113</v>
      </c>
      <c r="T342" s="98" t="s">
        <v>114</v>
      </c>
      <c r="U342" s="98" t="s">
        <v>115</v>
      </c>
    </row>
    <row r="343" spans="3:21" ht="18.75" x14ac:dyDescent="0.25">
      <c r="C343" s="294">
        <f>C342</f>
        <v>1</v>
      </c>
      <c r="D343" s="101"/>
      <c r="E343" s="102"/>
      <c r="F343" s="84" t="s">
        <v>57</v>
      </c>
      <c r="G343" s="84" t="s">
        <v>56</v>
      </c>
      <c r="H343" s="84" t="s">
        <v>55</v>
      </c>
      <c r="I343" s="84" t="s">
        <v>54</v>
      </c>
      <c r="J343" s="84" t="s">
        <v>53</v>
      </c>
      <c r="K343" s="84" t="s">
        <v>52</v>
      </c>
      <c r="L343" s="84" t="s">
        <v>51</v>
      </c>
      <c r="M343" s="84" t="s">
        <v>50</v>
      </c>
      <c r="N343" s="84" t="s">
        <v>49</v>
      </c>
      <c r="O343" s="84" t="s">
        <v>47</v>
      </c>
      <c r="P343" s="84" t="s">
        <v>77</v>
      </c>
      <c r="Q343" s="84" t="s">
        <v>78</v>
      </c>
      <c r="R343" s="84" t="s">
        <v>79</v>
      </c>
      <c r="S343" s="84" t="s">
        <v>81</v>
      </c>
      <c r="T343" s="84" t="s">
        <v>83</v>
      </c>
      <c r="U343" s="84" t="s">
        <v>85</v>
      </c>
    </row>
    <row r="344" spans="3:21" ht="18.75" x14ac:dyDescent="0.25">
      <c r="C344" s="294">
        <f>C342</f>
        <v>1</v>
      </c>
      <c r="D344" s="103" t="s">
        <v>26</v>
      </c>
      <c r="E344" s="122"/>
      <c r="F344" s="123"/>
      <c r="G344" s="123"/>
      <c r="H344" s="107"/>
      <c r="I344" s="107"/>
      <c r="J344" s="107"/>
      <c r="K344" s="107"/>
      <c r="L344" s="107"/>
      <c r="M344" s="123"/>
      <c r="N344" s="107"/>
      <c r="O344" s="107"/>
      <c r="P344" s="107"/>
      <c r="Q344" s="108"/>
      <c r="R344" s="107"/>
      <c r="S344" s="107"/>
      <c r="T344" s="107"/>
      <c r="U344" s="107"/>
    </row>
    <row r="345" spans="3:21" ht="18.75" x14ac:dyDescent="0.25">
      <c r="C345" s="294">
        <f t="shared" ref="C345:C354" si="239">C343</f>
        <v>1</v>
      </c>
      <c r="D345" s="124" t="s">
        <v>105</v>
      </c>
      <c r="E345" s="76" t="s">
        <v>57</v>
      </c>
      <c r="F345" s="176">
        <f t="shared" ref="F345:L345" si="240">F6*$E$342</f>
        <v>13999580.216704389</v>
      </c>
      <c r="G345" s="176">
        <f t="shared" si="240"/>
        <v>314811.97851860622</v>
      </c>
      <c r="H345" s="176">
        <f t="shared" si="240"/>
        <v>0</v>
      </c>
      <c r="I345" s="176">
        <f t="shared" si="240"/>
        <v>401232.2509830874</v>
      </c>
      <c r="J345" s="176">
        <f t="shared" si="240"/>
        <v>45999.222986951776</v>
      </c>
      <c r="K345" s="176">
        <f t="shared" si="240"/>
        <v>13961.001347325375</v>
      </c>
      <c r="L345" s="176">
        <f t="shared" si="240"/>
        <v>0</v>
      </c>
      <c r="M345" s="176">
        <f t="shared" ref="M345:U345" si="241">M6*$E$342</f>
        <v>0</v>
      </c>
      <c r="N345" s="176">
        <f t="shared" si="241"/>
        <v>0</v>
      </c>
      <c r="O345" s="176">
        <f>O6*$E$342</f>
        <v>393.0102774879993</v>
      </c>
      <c r="P345" s="176">
        <f t="shared" si="241"/>
        <v>0</v>
      </c>
      <c r="Q345" s="175">
        <f>SUM(F345:P345)</f>
        <v>14775977.680817848</v>
      </c>
      <c r="R345" s="176">
        <f t="shared" si="241"/>
        <v>0</v>
      </c>
      <c r="S345" s="176">
        <f t="shared" si="241"/>
        <v>1127574.4672538869</v>
      </c>
      <c r="T345" s="176">
        <f t="shared" ca="1" si="241"/>
        <v>479937.94435684534</v>
      </c>
      <c r="U345" s="176">
        <f t="shared" ca="1" si="241"/>
        <v>356680.3802715952</v>
      </c>
    </row>
    <row r="346" spans="3:21" ht="18.75" x14ac:dyDescent="0.25">
      <c r="C346" s="294">
        <f t="shared" si="239"/>
        <v>1</v>
      </c>
      <c r="D346" s="112" t="s">
        <v>31</v>
      </c>
      <c r="E346" s="76"/>
      <c r="F346" s="177"/>
      <c r="G346" s="177"/>
      <c r="H346" s="178"/>
      <c r="I346" s="178"/>
      <c r="J346" s="178"/>
      <c r="K346" s="178"/>
      <c r="L346" s="178"/>
      <c r="M346" s="177"/>
      <c r="N346" s="178"/>
      <c r="O346" s="178"/>
      <c r="P346" s="178"/>
      <c r="Q346" s="179"/>
      <c r="R346" s="178"/>
      <c r="S346" s="178"/>
      <c r="T346" s="178"/>
      <c r="U346" s="178"/>
    </row>
    <row r="347" spans="3:21" ht="18.75" x14ac:dyDescent="0.3">
      <c r="C347" s="294">
        <f t="shared" si="239"/>
        <v>1</v>
      </c>
      <c r="D347" s="113" t="s">
        <v>118</v>
      </c>
      <c r="E347" s="76" t="s">
        <v>56</v>
      </c>
      <c r="F347" s="176">
        <f t="shared" ref="F347:U347" si="242">F8*$E$342</f>
        <v>0</v>
      </c>
      <c r="G347" s="176">
        <f t="shared" ref="G347:L353" si="243">G8*$E$342</f>
        <v>0</v>
      </c>
      <c r="H347" s="176">
        <f t="shared" si="243"/>
        <v>0</v>
      </c>
      <c r="I347" s="176">
        <f t="shared" si="243"/>
        <v>0</v>
      </c>
      <c r="J347" s="176">
        <f t="shared" si="243"/>
        <v>0</v>
      </c>
      <c r="K347" s="176">
        <f t="shared" si="243"/>
        <v>0</v>
      </c>
      <c r="L347" s="176">
        <f t="shared" si="243"/>
        <v>0</v>
      </c>
      <c r="M347" s="176">
        <f t="shared" si="242"/>
        <v>0</v>
      </c>
      <c r="N347" s="176">
        <f t="shared" si="242"/>
        <v>0</v>
      </c>
      <c r="O347" s="176">
        <f t="shared" ref="O347:O353" si="244">O8*$E$342</f>
        <v>0</v>
      </c>
      <c r="P347" s="176">
        <f t="shared" si="242"/>
        <v>0</v>
      </c>
      <c r="Q347" s="175">
        <f t="shared" ref="Q347:Q353" si="245">SUM(F347:P347)</f>
        <v>0</v>
      </c>
      <c r="R347" s="176">
        <f t="shared" si="242"/>
        <v>0</v>
      </c>
      <c r="S347" s="176">
        <f t="shared" si="242"/>
        <v>0</v>
      </c>
      <c r="T347" s="176">
        <f t="shared" si="242"/>
        <v>0</v>
      </c>
      <c r="U347" s="176">
        <f t="shared" si="242"/>
        <v>0</v>
      </c>
    </row>
    <row r="348" spans="3:21" ht="18.75" x14ac:dyDescent="0.3">
      <c r="C348" s="294">
        <f t="shared" si="239"/>
        <v>1</v>
      </c>
      <c r="D348" s="113" t="s">
        <v>119</v>
      </c>
      <c r="E348" s="76" t="s">
        <v>55</v>
      </c>
      <c r="F348" s="176">
        <f t="shared" ref="F348:U348" si="246">F9*$E$342</f>
        <v>0</v>
      </c>
      <c r="G348" s="176">
        <f t="shared" si="243"/>
        <v>0</v>
      </c>
      <c r="H348" s="176">
        <f t="shared" si="243"/>
        <v>0</v>
      </c>
      <c r="I348" s="176">
        <f t="shared" si="243"/>
        <v>0</v>
      </c>
      <c r="J348" s="176">
        <f t="shared" si="243"/>
        <v>0</v>
      </c>
      <c r="K348" s="176">
        <f t="shared" si="243"/>
        <v>0</v>
      </c>
      <c r="L348" s="176">
        <f t="shared" si="243"/>
        <v>0</v>
      </c>
      <c r="M348" s="176">
        <f t="shared" si="246"/>
        <v>0</v>
      </c>
      <c r="N348" s="176">
        <f t="shared" si="246"/>
        <v>0</v>
      </c>
      <c r="O348" s="176">
        <f t="shared" si="244"/>
        <v>0</v>
      </c>
      <c r="P348" s="176">
        <f t="shared" si="246"/>
        <v>0</v>
      </c>
      <c r="Q348" s="175">
        <f t="shared" si="245"/>
        <v>0</v>
      </c>
      <c r="R348" s="176">
        <f t="shared" si="246"/>
        <v>0</v>
      </c>
      <c r="S348" s="176">
        <f t="shared" si="246"/>
        <v>0</v>
      </c>
      <c r="T348" s="176">
        <f t="shared" si="246"/>
        <v>0</v>
      </c>
      <c r="U348" s="176">
        <f t="shared" si="246"/>
        <v>0</v>
      </c>
    </row>
    <row r="349" spans="3:21" ht="18.75" x14ac:dyDescent="0.3">
      <c r="C349" s="294">
        <f t="shared" si="239"/>
        <v>1</v>
      </c>
      <c r="D349" s="113" t="s">
        <v>120</v>
      </c>
      <c r="E349" s="76" t="s">
        <v>54</v>
      </c>
      <c r="F349" s="176">
        <f t="shared" ref="F349:U349" si="247">F10*$E$342</f>
        <v>0</v>
      </c>
      <c r="G349" s="176">
        <f t="shared" si="243"/>
        <v>0</v>
      </c>
      <c r="H349" s="176">
        <f t="shared" si="243"/>
        <v>0</v>
      </c>
      <c r="I349" s="176">
        <f t="shared" si="243"/>
        <v>0</v>
      </c>
      <c r="J349" s="176">
        <f t="shared" si="243"/>
        <v>0</v>
      </c>
      <c r="K349" s="176">
        <f t="shared" si="243"/>
        <v>0</v>
      </c>
      <c r="L349" s="176">
        <f t="shared" si="243"/>
        <v>0</v>
      </c>
      <c r="M349" s="176">
        <f t="shared" si="247"/>
        <v>0</v>
      </c>
      <c r="N349" s="176">
        <f t="shared" si="247"/>
        <v>0</v>
      </c>
      <c r="O349" s="176">
        <f t="shared" si="244"/>
        <v>0</v>
      </c>
      <c r="P349" s="176">
        <f t="shared" si="247"/>
        <v>0</v>
      </c>
      <c r="Q349" s="175">
        <f t="shared" si="245"/>
        <v>0</v>
      </c>
      <c r="R349" s="176">
        <f t="shared" si="247"/>
        <v>0</v>
      </c>
      <c r="S349" s="176">
        <f t="shared" si="247"/>
        <v>0</v>
      </c>
      <c r="T349" s="176">
        <f t="shared" si="247"/>
        <v>0</v>
      </c>
      <c r="U349" s="176">
        <f t="shared" si="247"/>
        <v>0</v>
      </c>
    </row>
    <row r="350" spans="3:21" ht="18.75" x14ac:dyDescent="0.3">
      <c r="C350" s="294">
        <f t="shared" si="239"/>
        <v>1</v>
      </c>
      <c r="D350" s="113" t="s">
        <v>121</v>
      </c>
      <c r="E350" s="76" t="s">
        <v>53</v>
      </c>
      <c r="F350" s="176">
        <f t="shared" ref="F350:U350" si="248">F11*$E$342</f>
        <v>0</v>
      </c>
      <c r="G350" s="176">
        <f t="shared" si="243"/>
        <v>0</v>
      </c>
      <c r="H350" s="176">
        <f t="shared" si="243"/>
        <v>0</v>
      </c>
      <c r="I350" s="176">
        <f t="shared" si="243"/>
        <v>0</v>
      </c>
      <c r="J350" s="176">
        <f t="shared" si="243"/>
        <v>0</v>
      </c>
      <c r="K350" s="176">
        <f t="shared" si="243"/>
        <v>0</v>
      </c>
      <c r="L350" s="176">
        <f t="shared" si="243"/>
        <v>0</v>
      </c>
      <c r="M350" s="176">
        <f t="shared" si="248"/>
        <v>0</v>
      </c>
      <c r="N350" s="176">
        <f t="shared" si="248"/>
        <v>0</v>
      </c>
      <c r="O350" s="176">
        <f t="shared" si="244"/>
        <v>0</v>
      </c>
      <c r="P350" s="176">
        <f t="shared" si="248"/>
        <v>0</v>
      </c>
      <c r="Q350" s="175">
        <f t="shared" si="245"/>
        <v>0</v>
      </c>
      <c r="R350" s="176">
        <f t="shared" si="248"/>
        <v>0</v>
      </c>
      <c r="S350" s="176">
        <f t="shared" si="248"/>
        <v>0</v>
      </c>
      <c r="T350" s="176">
        <f t="shared" si="248"/>
        <v>0</v>
      </c>
      <c r="U350" s="176">
        <f t="shared" si="248"/>
        <v>0</v>
      </c>
    </row>
    <row r="351" spans="3:21" ht="18.75" x14ac:dyDescent="0.3">
      <c r="C351" s="294">
        <f t="shared" si="239"/>
        <v>1</v>
      </c>
      <c r="D351" s="113" t="s">
        <v>122</v>
      </c>
      <c r="E351" s="76" t="s">
        <v>52</v>
      </c>
      <c r="F351" s="176">
        <f t="shared" ref="F351:U351" si="249">F12*$E$342</f>
        <v>0</v>
      </c>
      <c r="G351" s="176">
        <f t="shared" si="243"/>
        <v>0</v>
      </c>
      <c r="H351" s="176">
        <f t="shared" si="243"/>
        <v>0</v>
      </c>
      <c r="I351" s="176">
        <f t="shared" si="243"/>
        <v>0</v>
      </c>
      <c r="J351" s="176">
        <f t="shared" si="243"/>
        <v>0</v>
      </c>
      <c r="K351" s="176">
        <f t="shared" si="243"/>
        <v>0</v>
      </c>
      <c r="L351" s="176">
        <f t="shared" si="243"/>
        <v>0</v>
      </c>
      <c r="M351" s="176">
        <f t="shared" si="249"/>
        <v>0</v>
      </c>
      <c r="N351" s="176">
        <f t="shared" si="249"/>
        <v>0</v>
      </c>
      <c r="O351" s="176">
        <f t="shared" si="244"/>
        <v>0</v>
      </c>
      <c r="P351" s="176">
        <f t="shared" si="249"/>
        <v>0</v>
      </c>
      <c r="Q351" s="175">
        <f t="shared" si="245"/>
        <v>0</v>
      </c>
      <c r="R351" s="176">
        <f t="shared" si="249"/>
        <v>0</v>
      </c>
      <c r="S351" s="176">
        <f t="shared" si="249"/>
        <v>0</v>
      </c>
      <c r="T351" s="176">
        <f t="shared" si="249"/>
        <v>0</v>
      </c>
      <c r="U351" s="176">
        <f t="shared" si="249"/>
        <v>0</v>
      </c>
    </row>
    <row r="352" spans="3:21" ht="18.75" x14ac:dyDescent="0.3">
      <c r="C352" s="294">
        <f t="shared" si="239"/>
        <v>1</v>
      </c>
      <c r="D352" s="125" t="s">
        <v>123</v>
      </c>
      <c r="E352" s="76" t="s">
        <v>51</v>
      </c>
      <c r="F352" s="176">
        <f t="shared" ref="F352:U352" si="250">F13*$E$342</f>
        <v>0</v>
      </c>
      <c r="G352" s="176">
        <f t="shared" si="243"/>
        <v>0</v>
      </c>
      <c r="H352" s="176">
        <f t="shared" si="243"/>
        <v>0</v>
      </c>
      <c r="I352" s="176">
        <f t="shared" si="243"/>
        <v>0</v>
      </c>
      <c r="J352" s="176">
        <f t="shared" si="243"/>
        <v>0</v>
      </c>
      <c r="K352" s="176">
        <f t="shared" si="243"/>
        <v>0</v>
      </c>
      <c r="L352" s="176">
        <f t="shared" si="243"/>
        <v>0</v>
      </c>
      <c r="M352" s="176">
        <f t="shared" si="250"/>
        <v>0</v>
      </c>
      <c r="N352" s="176">
        <f t="shared" si="250"/>
        <v>0</v>
      </c>
      <c r="O352" s="176">
        <f t="shared" si="244"/>
        <v>0</v>
      </c>
      <c r="P352" s="176">
        <f t="shared" si="250"/>
        <v>0</v>
      </c>
      <c r="Q352" s="175">
        <f t="shared" si="245"/>
        <v>0</v>
      </c>
      <c r="R352" s="176">
        <f t="shared" si="250"/>
        <v>0</v>
      </c>
      <c r="S352" s="176">
        <f t="shared" si="250"/>
        <v>0</v>
      </c>
      <c r="T352" s="176">
        <f t="shared" si="250"/>
        <v>0</v>
      </c>
      <c r="U352" s="176">
        <f t="shared" si="250"/>
        <v>0</v>
      </c>
    </row>
    <row r="353" spans="3:21" ht="19.5" thickBot="1" x14ac:dyDescent="0.35">
      <c r="C353" s="294">
        <f t="shared" si="239"/>
        <v>1</v>
      </c>
      <c r="D353" s="114" t="s">
        <v>16</v>
      </c>
      <c r="E353" s="70" t="s">
        <v>50</v>
      </c>
      <c r="F353" s="176">
        <f t="shared" ref="F353:U353" si="251">F14*$E$342</f>
        <v>1494763.4785553704</v>
      </c>
      <c r="G353" s="176">
        <f t="shared" si="243"/>
        <v>29693.239288833149</v>
      </c>
      <c r="H353" s="176">
        <f t="shared" si="243"/>
        <v>0</v>
      </c>
      <c r="I353" s="176">
        <f t="shared" si="243"/>
        <v>0</v>
      </c>
      <c r="J353" s="176">
        <f t="shared" si="243"/>
        <v>63393.275285116913</v>
      </c>
      <c r="K353" s="176">
        <f t="shared" si="243"/>
        <v>260.992869865621</v>
      </c>
      <c r="L353" s="176">
        <f t="shared" si="243"/>
        <v>36.729186622524026</v>
      </c>
      <c r="M353" s="176">
        <f t="shared" si="251"/>
        <v>0</v>
      </c>
      <c r="N353" s="176">
        <f t="shared" si="251"/>
        <v>0</v>
      </c>
      <c r="O353" s="176">
        <f t="shared" si="244"/>
        <v>18996.919649138421</v>
      </c>
      <c r="P353" s="176">
        <f t="shared" si="251"/>
        <v>323548.70230503101</v>
      </c>
      <c r="Q353" s="175">
        <f t="shared" si="245"/>
        <v>1930693.3371399778</v>
      </c>
      <c r="R353" s="176">
        <f t="shared" si="251"/>
        <v>0</v>
      </c>
      <c r="S353" s="176">
        <f t="shared" si="251"/>
        <v>134247.56589371283</v>
      </c>
      <c r="T353" s="176">
        <f t="shared" ca="1" si="251"/>
        <v>38935.403525453024</v>
      </c>
      <c r="U353" s="176">
        <f t="shared" ca="1" si="251"/>
        <v>2218.6632285249812</v>
      </c>
    </row>
    <row r="354" spans="3:21" ht="19.5" thickBot="1" x14ac:dyDescent="0.3">
      <c r="C354" s="294">
        <f t="shared" si="239"/>
        <v>1</v>
      </c>
      <c r="D354" s="115" t="s">
        <v>124</v>
      </c>
      <c r="E354" s="116" t="s">
        <v>49</v>
      </c>
      <c r="F354" s="269">
        <f t="shared" ref="F354:U354" si="252">SUBTOTAL(9,F345:F353)</f>
        <v>15494343.695259759</v>
      </c>
      <c r="G354" s="269">
        <f t="shared" ref="G354:L354" si="253">SUBTOTAL(9,G345:G353)</f>
        <v>344505.21780743939</v>
      </c>
      <c r="H354" s="269">
        <f t="shared" si="253"/>
        <v>0</v>
      </c>
      <c r="I354" s="269">
        <f t="shared" si="253"/>
        <v>401232.2509830874</v>
      </c>
      <c r="J354" s="269">
        <f t="shared" si="253"/>
        <v>109392.49827206868</v>
      </c>
      <c r="K354" s="269">
        <f t="shared" si="253"/>
        <v>14221.994217190995</v>
      </c>
      <c r="L354" s="269">
        <f t="shared" si="253"/>
        <v>36.729186622524026</v>
      </c>
      <c r="M354" s="269">
        <f t="shared" si="252"/>
        <v>0</v>
      </c>
      <c r="N354" s="269">
        <f t="shared" si="252"/>
        <v>0</v>
      </c>
      <c r="O354" s="269">
        <f>SUBTOTAL(9,O345:O353)</f>
        <v>19389.929926626421</v>
      </c>
      <c r="P354" s="269">
        <f t="shared" si="252"/>
        <v>323548.70230503101</v>
      </c>
      <c r="Q354" s="183">
        <f>SUBTOTAL(9,Q345:Q353)</f>
        <v>16706671.017957825</v>
      </c>
      <c r="R354" s="269">
        <f t="shared" si="252"/>
        <v>0</v>
      </c>
      <c r="S354" s="269">
        <f t="shared" si="252"/>
        <v>1261822.0331475998</v>
      </c>
      <c r="T354" s="269">
        <f t="shared" ca="1" si="252"/>
        <v>518873.34788229835</v>
      </c>
      <c r="U354" s="269">
        <f t="shared" ca="1" si="252"/>
        <v>358899.04350012017</v>
      </c>
    </row>
    <row r="355" spans="3:21" ht="15.75" hidden="1" thickBot="1" x14ac:dyDescent="0.3"/>
    <row r="356" spans="3:21" ht="93.75" x14ac:dyDescent="0.25">
      <c r="C356" s="294">
        <f>IF($E$356&gt;0,1,0)</f>
        <v>1</v>
      </c>
      <c r="D356" s="96" t="str">
        <f>A28</f>
        <v>Lewis</v>
      </c>
      <c r="E356" s="166">
        <f>IFERROR(SUMIF(A:A,D356,B:B),0)</f>
        <v>1.5695907928306577E-3</v>
      </c>
      <c r="F356" s="98" t="s">
        <v>356</v>
      </c>
      <c r="G356" s="98" t="s">
        <v>373</v>
      </c>
      <c r="H356" s="98" t="s">
        <v>358</v>
      </c>
      <c r="I356" s="98" t="s">
        <v>109</v>
      </c>
      <c r="J356" s="98" t="s">
        <v>111</v>
      </c>
      <c r="K356" s="98" t="s">
        <v>469</v>
      </c>
      <c r="L356" s="98" t="s">
        <v>470</v>
      </c>
      <c r="M356" s="98" t="s">
        <v>357</v>
      </c>
      <c r="N356" s="557" t="s">
        <v>471</v>
      </c>
      <c r="O356" s="557" t="s">
        <v>473</v>
      </c>
      <c r="P356" s="98" t="s">
        <v>110</v>
      </c>
      <c r="Q356" s="99" t="s">
        <v>116</v>
      </c>
      <c r="R356" s="98" t="s">
        <v>112</v>
      </c>
      <c r="S356" s="98" t="s">
        <v>113</v>
      </c>
      <c r="T356" s="98" t="s">
        <v>114</v>
      </c>
      <c r="U356" s="98" t="s">
        <v>115</v>
      </c>
    </row>
    <row r="357" spans="3:21" ht="18.75" x14ac:dyDescent="0.25">
      <c r="C357" s="294">
        <f>C356</f>
        <v>1</v>
      </c>
      <c r="D357" s="101"/>
      <c r="E357" s="102"/>
      <c r="F357" s="84" t="s">
        <v>57</v>
      </c>
      <c r="G357" s="84" t="s">
        <v>56</v>
      </c>
      <c r="H357" s="84" t="s">
        <v>55</v>
      </c>
      <c r="I357" s="84" t="s">
        <v>54</v>
      </c>
      <c r="J357" s="84" t="s">
        <v>53</v>
      </c>
      <c r="K357" s="84" t="s">
        <v>52</v>
      </c>
      <c r="L357" s="84" t="s">
        <v>51</v>
      </c>
      <c r="M357" s="84" t="s">
        <v>50</v>
      </c>
      <c r="N357" s="84" t="s">
        <v>49</v>
      </c>
      <c r="O357" s="84" t="s">
        <v>47</v>
      </c>
      <c r="P357" s="84" t="s">
        <v>77</v>
      </c>
      <c r="Q357" s="84" t="s">
        <v>78</v>
      </c>
      <c r="R357" s="84" t="s">
        <v>79</v>
      </c>
      <c r="S357" s="84" t="s">
        <v>81</v>
      </c>
      <c r="T357" s="84" t="s">
        <v>83</v>
      </c>
      <c r="U357" s="84" t="s">
        <v>85</v>
      </c>
    </row>
    <row r="358" spans="3:21" ht="18.75" x14ac:dyDescent="0.25">
      <c r="C358" s="294">
        <f>C356</f>
        <v>1</v>
      </c>
      <c r="D358" s="103" t="s">
        <v>26</v>
      </c>
      <c r="E358" s="122"/>
      <c r="F358" s="123"/>
      <c r="G358" s="123"/>
      <c r="H358" s="107"/>
      <c r="I358" s="107"/>
      <c r="J358" s="107"/>
      <c r="K358" s="107"/>
      <c r="L358" s="107"/>
      <c r="M358" s="123"/>
      <c r="N358" s="107"/>
      <c r="O358" s="107"/>
      <c r="P358" s="107"/>
      <c r="Q358" s="108"/>
      <c r="R358" s="107"/>
      <c r="S358" s="107"/>
      <c r="T358" s="107"/>
      <c r="U358" s="107"/>
    </row>
    <row r="359" spans="3:21" ht="18.75" x14ac:dyDescent="0.25">
      <c r="C359" s="294">
        <f t="shared" ref="C359:C368" si="254">C357</f>
        <v>1</v>
      </c>
      <c r="D359" s="124" t="s">
        <v>105</v>
      </c>
      <c r="E359" s="76" t="s">
        <v>57</v>
      </c>
      <c r="F359" s="176">
        <f t="shared" ref="F359:L359" si="255">F6*$E$356</f>
        <v>110703.85348984346</v>
      </c>
      <c r="G359" s="176">
        <f t="shared" si="255"/>
        <v>2489.42458325909</v>
      </c>
      <c r="H359" s="176">
        <f t="shared" si="255"/>
        <v>0</v>
      </c>
      <c r="I359" s="176">
        <f t="shared" si="255"/>
        <v>3172.8063013798096</v>
      </c>
      <c r="J359" s="176">
        <f t="shared" si="255"/>
        <v>363.7459954776354</v>
      </c>
      <c r="K359" s="176">
        <f t="shared" si="255"/>
        <v>110.39878509226092</v>
      </c>
      <c r="L359" s="176">
        <f t="shared" si="255"/>
        <v>0</v>
      </c>
      <c r="M359" s="176">
        <f t="shared" ref="M359:U359" si="256">M6*$E$356</f>
        <v>0</v>
      </c>
      <c r="N359" s="176">
        <f t="shared" si="256"/>
        <v>0</v>
      </c>
      <c r="O359" s="176">
        <f>O6*$E$356</f>
        <v>3.1077897698047021</v>
      </c>
      <c r="P359" s="176">
        <f t="shared" si="256"/>
        <v>0</v>
      </c>
      <c r="Q359" s="175">
        <f>SUM(F359:P359)</f>
        <v>116843.33694482206</v>
      </c>
      <c r="R359" s="176">
        <f t="shared" si="256"/>
        <v>0</v>
      </c>
      <c r="S359" s="176">
        <f t="shared" si="256"/>
        <v>8916.470114783755</v>
      </c>
      <c r="T359" s="176">
        <f t="shared" ca="1" si="256"/>
        <v>3795.1837879324858</v>
      </c>
      <c r="U359" s="176">
        <f t="shared" ca="1" si="256"/>
        <v>2820.5054686692324</v>
      </c>
    </row>
    <row r="360" spans="3:21" ht="18.75" x14ac:dyDescent="0.25">
      <c r="C360" s="294">
        <f t="shared" si="254"/>
        <v>1</v>
      </c>
      <c r="D360" s="112" t="s">
        <v>31</v>
      </c>
      <c r="E360" s="76"/>
      <c r="F360" s="177"/>
      <c r="G360" s="177"/>
      <c r="H360" s="178"/>
      <c r="I360" s="178"/>
      <c r="J360" s="178"/>
      <c r="K360" s="178"/>
      <c r="L360" s="178"/>
      <c r="M360" s="177"/>
      <c r="N360" s="178"/>
      <c r="O360" s="178"/>
      <c r="P360" s="178"/>
      <c r="Q360" s="179"/>
      <c r="R360" s="178"/>
      <c r="S360" s="178"/>
      <c r="T360" s="178"/>
      <c r="U360" s="178"/>
    </row>
    <row r="361" spans="3:21" ht="18.75" x14ac:dyDescent="0.3">
      <c r="C361" s="294">
        <f t="shared" si="254"/>
        <v>1</v>
      </c>
      <c r="D361" s="113" t="s">
        <v>118</v>
      </c>
      <c r="E361" s="76" t="s">
        <v>56</v>
      </c>
      <c r="F361" s="176">
        <f t="shared" ref="F361:U361" si="257">F8*$E$356</f>
        <v>0</v>
      </c>
      <c r="G361" s="176">
        <f t="shared" ref="G361:L367" si="258">G8*$E$356</f>
        <v>0</v>
      </c>
      <c r="H361" s="176">
        <f t="shared" si="258"/>
        <v>0</v>
      </c>
      <c r="I361" s="176">
        <f t="shared" si="258"/>
        <v>0</v>
      </c>
      <c r="J361" s="176">
        <f t="shared" si="258"/>
        <v>0</v>
      </c>
      <c r="K361" s="176">
        <f t="shared" si="258"/>
        <v>0</v>
      </c>
      <c r="L361" s="176">
        <f t="shared" si="258"/>
        <v>0</v>
      </c>
      <c r="M361" s="176">
        <f t="shared" si="257"/>
        <v>0</v>
      </c>
      <c r="N361" s="176">
        <f t="shared" si="257"/>
        <v>0</v>
      </c>
      <c r="O361" s="176">
        <f t="shared" ref="O361:O367" si="259">O8*$E$356</f>
        <v>0</v>
      </c>
      <c r="P361" s="176">
        <f t="shared" si="257"/>
        <v>0</v>
      </c>
      <c r="Q361" s="175">
        <f t="shared" ref="Q361:Q367" si="260">SUM(F361:P361)</f>
        <v>0</v>
      </c>
      <c r="R361" s="176">
        <f t="shared" si="257"/>
        <v>0</v>
      </c>
      <c r="S361" s="176">
        <f t="shared" si="257"/>
        <v>0</v>
      </c>
      <c r="T361" s="176">
        <f t="shared" si="257"/>
        <v>0</v>
      </c>
      <c r="U361" s="176">
        <f t="shared" si="257"/>
        <v>0</v>
      </c>
    </row>
    <row r="362" spans="3:21" ht="18.75" x14ac:dyDescent="0.3">
      <c r="C362" s="294">
        <f t="shared" si="254"/>
        <v>1</v>
      </c>
      <c r="D362" s="113" t="s">
        <v>119</v>
      </c>
      <c r="E362" s="76" t="s">
        <v>55</v>
      </c>
      <c r="F362" s="176">
        <f t="shared" ref="F362:U362" si="261">F9*$E$356</f>
        <v>0</v>
      </c>
      <c r="G362" s="176">
        <f t="shared" si="258"/>
        <v>0</v>
      </c>
      <c r="H362" s="176">
        <f t="shared" si="258"/>
        <v>0</v>
      </c>
      <c r="I362" s="176">
        <f t="shared" si="258"/>
        <v>0</v>
      </c>
      <c r="J362" s="176">
        <f t="shared" si="258"/>
        <v>0</v>
      </c>
      <c r="K362" s="176">
        <f t="shared" si="258"/>
        <v>0</v>
      </c>
      <c r="L362" s="176">
        <f t="shared" si="258"/>
        <v>0</v>
      </c>
      <c r="M362" s="176">
        <f t="shared" si="261"/>
        <v>0</v>
      </c>
      <c r="N362" s="176">
        <f t="shared" si="261"/>
        <v>0</v>
      </c>
      <c r="O362" s="176">
        <f t="shared" si="259"/>
        <v>0</v>
      </c>
      <c r="P362" s="176">
        <f t="shared" si="261"/>
        <v>0</v>
      </c>
      <c r="Q362" s="175">
        <f t="shared" si="260"/>
        <v>0</v>
      </c>
      <c r="R362" s="176">
        <f t="shared" si="261"/>
        <v>0</v>
      </c>
      <c r="S362" s="176">
        <f t="shared" si="261"/>
        <v>0</v>
      </c>
      <c r="T362" s="176">
        <f t="shared" si="261"/>
        <v>0</v>
      </c>
      <c r="U362" s="176">
        <f t="shared" si="261"/>
        <v>0</v>
      </c>
    </row>
    <row r="363" spans="3:21" ht="18.75" x14ac:dyDescent="0.3">
      <c r="C363" s="294">
        <f t="shared" si="254"/>
        <v>1</v>
      </c>
      <c r="D363" s="113" t="s">
        <v>120</v>
      </c>
      <c r="E363" s="76" t="s">
        <v>54</v>
      </c>
      <c r="F363" s="176">
        <f t="shared" ref="F363:U363" si="262">F10*$E$356</f>
        <v>0</v>
      </c>
      <c r="G363" s="176">
        <f t="shared" si="258"/>
        <v>0</v>
      </c>
      <c r="H363" s="176">
        <f t="shared" si="258"/>
        <v>0</v>
      </c>
      <c r="I363" s="176">
        <f t="shared" si="258"/>
        <v>0</v>
      </c>
      <c r="J363" s="176">
        <f t="shared" si="258"/>
        <v>0</v>
      </c>
      <c r="K363" s="176">
        <f t="shared" si="258"/>
        <v>0</v>
      </c>
      <c r="L363" s="176">
        <f t="shared" si="258"/>
        <v>0</v>
      </c>
      <c r="M363" s="176">
        <f t="shared" si="262"/>
        <v>0</v>
      </c>
      <c r="N363" s="176">
        <f t="shared" si="262"/>
        <v>0</v>
      </c>
      <c r="O363" s="176">
        <f t="shared" si="259"/>
        <v>0</v>
      </c>
      <c r="P363" s="176">
        <f t="shared" si="262"/>
        <v>0</v>
      </c>
      <c r="Q363" s="175">
        <f t="shared" si="260"/>
        <v>0</v>
      </c>
      <c r="R363" s="176">
        <f t="shared" si="262"/>
        <v>0</v>
      </c>
      <c r="S363" s="176">
        <f t="shared" si="262"/>
        <v>0</v>
      </c>
      <c r="T363" s="176">
        <f t="shared" si="262"/>
        <v>0</v>
      </c>
      <c r="U363" s="176">
        <f t="shared" si="262"/>
        <v>0</v>
      </c>
    </row>
    <row r="364" spans="3:21" ht="18.75" x14ac:dyDescent="0.3">
      <c r="C364" s="294">
        <f t="shared" si="254"/>
        <v>1</v>
      </c>
      <c r="D364" s="113" t="s">
        <v>121</v>
      </c>
      <c r="E364" s="76" t="s">
        <v>53</v>
      </c>
      <c r="F364" s="176">
        <f t="shared" ref="F364:U364" si="263">F11*$E$356</f>
        <v>0</v>
      </c>
      <c r="G364" s="176">
        <f t="shared" si="258"/>
        <v>0</v>
      </c>
      <c r="H364" s="176">
        <f t="shared" si="258"/>
        <v>0</v>
      </c>
      <c r="I364" s="176">
        <f t="shared" si="258"/>
        <v>0</v>
      </c>
      <c r="J364" s="176">
        <f t="shared" si="258"/>
        <v>0</v>
      </c>
      <c r="K364" s="176">
        <f t="shared" si="258"/>
        <v>0</v>
      </c>
      <c r="L364" s="176">
        <f t="shared" si="258"/>
        <v>0</v>
      </c>
      <c r="M364" s="176">
        <f t="shared" si="263"/>
        <v>0</v>
      </c>
      <c r="N364" s="176">
        <f t="shared" si="263"/>
        <v>0</v>
      </c>
      <c r="O364" s="176">
        <f t="shared" si="259"/>
        <v>0</v>
      </c>
      <c r="P364" s="176">
        <f t="shared" si="263"/>
        <v>0</v>
      </c>
      <c r="Q364" s="175">
        <f t="shared" si="260"/>
        <v>0</v>
      </c>
      <c r="R364" s="176">
        <f t="shared" si="263"/>
        <v>0</v>
      </c>
      <c r="S364" s="176">
        <f t="shared" si="263"/>
        <v>0</v>
      </c>
      <c r="T364" s="176">
        <f t="shared" si="263"/>
        <v>0</v>
      </c>
      <c r="U364" s="176">
        <f t="shared" si="263"/>
        <v>0</v>
      </c>
    </row>
    <row r="365" spans="3:21" ht="18.75" x14ac:dyDescent="0.3">
      <c r="C365" s="294">
        <f t="shared" si="254"/>
        <v>1</v>
      </c>
      <c r="D365" s="113" t="s">
        <v>122</v>
      </c>
      <c r="E365" s="76" t="s">
        <v>52</v>
      </c>
      <c r="F365" s="176">
        <f t="shared" ref="F365:U365" si="264">F12*$E$356</f>
        <v>0</v>
      </c>
      <c r="G365" s="176">
        <f t="shared" si="258"/>
        <v>0</v>
      </c>
      <c r="H365" s="176">
        <f t="shared" si="258"/>
        <v>0</v>
      </c>
      <c r="I365" s="176">
        <f t="shared" si="258"/>
        <v>0</v>
      </c>
      <c r="J365" s="176">
        <f t="shared" si="258"/>
        <v>0</v>
      </c>
      <c r="K365" s="176">
        <f t="shared" si="258"/>
        <v>0</v>
      </c>
      <c r="L365" s="176">
        <f t="shared" si="258"/>
        <v>0</v>
      </c>
      <c r="M365" s="176">
        <f t="shared" si="264"/>
        <v>0</v>
      </c>
      <c r="N365" s="176">
        <f t="shared" si="264"/>
        <v>0</v>
      </c>
      <c r="O365" s="176">
        <f t="shared" si="259"/>
        <v>0</v>
      </c>
      <c r="P365" s="176">
        <f t="shared" si="264"/>
        <v>0</v>
      </c>
      <c r="Q365" s="175">
        <f t="shared" si="260"/>
        <v>0</v>
      </c>
      <c r="R365" s="176">
        <f t="shared" si="264"/>
        <v>0</v>
      </c>
      <c r="S365" s="176">
        <f t="shared" si="264"/>
        <v>0</v>
      </c>
      <c r="T365" s="176">
        <f t="shared" si="264"/>
        <v>0</v>
      </c>
      <c r="U365" s="176">
        <f t="shared" si="264"/>
        <v>0</v>
      </c>
    </row>
    <row r="366" spans="3:21" ht="18.75" x14ac:dyDescent="0.3">
      <c r="C366" s="294">
        <f t="shared" si="254"/>
        <v>1</v>
      </c>
      <c r="D366" s="125" t="s">
        <v>123</v>
      </c>
      <c r="E366" s="76" t="s">
        <v>51</v>
      </c>
      <c r="F366" s="176">
        <f t="shared" ref="F366:U366" si="265">F13*$E$356</f>
        <v>0</v>
      </c>
      <c r="G366" s="176">
        <f t="shared" si="258"/>
        <v>0</v>
      </c>
      <c r="H366" s="176">
        <f t="shared" si="258"/>
        <v>0</v>
      </c>
      <c r="I366" s="176">
        <f t="shared" si="258"/>
        <v>0</v>
      </c>
      <c r="J366" s="176">
        <f t="shared" si="258"/>
        <v>0</v>
      </c>
      <c r="K366" s="176">
        <f t="shared" si="258"/>
        <v>0</v>
      </c>
      <c r="L366" s="176">
        <f t="shared" si="258"/>
        <v>0</v>
      </c>
      <c r="M366" s="176">
        <f t="shared" si="265"/>
        <v>0</v>
      </c>
      <c r="N366" s="176">
        <f t="shared" si="265"/>
        <v>0</v>
      </c>
      <c r="O366" s="176">
        <f t="shared" si="259"/>
        <v>0</v>
      </c>
      <c r="P366" s="176">
        <f t="shared" si="265"/>
        <v>0</v>
      </c>
      <c r="Q366" s="175">
        <f t="shared" si="260"/>
        <v>0</v>
      </c>
      <c r="R366" s="176">
        <f t="shared" si="265"/>
        <v>0</v>
      </c>
      <c r="S366" s="176">
        <f t="shared" si="265"/>
        <v>0</v>
      </c>
      <c r="T366" s="176">
        <f t="shared" si="265"/>
        <v>0</v>
      </c>
      <c r="U366" s="176">
        <f t="shared" si="265"/>
        <v>0</v>
      </c>
    </row>
    <row r="367" spans="3:21" ht="19.5" thickBot="1" x14ac:dyDescent="0.35">
      <c r="C367" s="294">
        <f t="shared" si="254"/>
        <v>1</v>
      </c>
      <c r="D367" s="114" t="s">
        <v>16</v>
      </c>
      <c r="E367" s="70" t="s">
        <v>50</v>
      </c>
      <c r="F367" s="176">
        <f t="shared" ref="F367:U367" si="266">F14*$E$356</f>
        <v>11820.07421440504</v>
      </c>
      <c r="G367" s="176">
        <f t="shared" si="258"/>
        <v>234.80389847315513</v>
      </c>
      <c r="H367" s="176">
        <f t="shared" si="258"/>
        <v>0</v>
      </c>
      <c r="I367" s="176">
        <f t="shared" si="258"/>
        <v>0</v>
      </c>
      <c r="J367" s="176">
        <f t="shared" si="258"/>
        <v>501.2921638201064</v>
      </c>
      <c r="K367" s="176">
        <f t="shared" si="258"/>
        <v>2.0638416281241261</v>
      </c>
      <c r="L367" s="176">
        <f t="shared" si="258"/>
        <v>0.29044174408953821</v>
      </c>
      <c r="M367" s="176">
        <f t="shared" si="266"/>
        <v>0</v>
      </c>
      <c r="N367" s="176">
        <f t="shared" si="266"/>
        <v>0</v>
      </c>
      <c r="O367" s="176">
        <f t="shared" si="259"/>
        <v>150.22109070721967</v>
      </c>
      <c r="P367" s="176">
        <f t="shared" si="266"/>
        <v>2558.5115826592255</v>
      </c>
      <c r="Q367" s="175">
        <f t="shared" si="260"/>
        <v>15267.257233436962</v>
      </c>
      <c r="R367" s="176">
        <f t="shared" si="266"/>
        <v>0</v>
      </c>
      <c r="S367" s="176">
        <f t="shared" si="266"/>
        <v>1061.583464362209</v>
      </c>
      <c r="T367" s="176">
        <f t="shared" ca="1" si="266"/>
        <v>307.88774668447621</v>
      </c>
      <c r="U367" s="176">
        <f t="shared" ca="1" si="266"/>
        <v>17.544423846428174</v>
      </c>
    </row>
    <row r="368" spans="3:21" ht="19.5" thickBot="1" x14ac:dyDescent="0.3">
      <c r="C368" s="294">
        <f t="shared" si="254"/>
        <v>1</v>
      </c>
      <c r="D368" s="115" t="s">
        <v>124</v>
      </c>
      <c r="E368" s="116" t="s">
        <v>49</v>
      </c>
      <c r="F368" s="269">
        <f t="shared" ref="F368:U368" si="267">SUBTOTAL(9,F359:F367)</f>
        <v>122523.9277042485</v>
      </c>
      <c r="G368" s="269">
        <f t="shared" ref="G368:L368" si="268">SUBTOTAL(9,G359:G367)</f>
        <v>2724.2284817322452</v>
      </c>
      <c r="H368" s="269">
        <f t="shared" si="268"/>
        <v>0</v>
      </c>
      <c r="I368" s="269">
        <f t="shared" si="268"/>
        <v>3172.8063013798096</v>
      </c>
      <c r="J368" s="269">
        <f t="shared" si="268"/>
        <v>865.0381592977418</v>
      </c>
      <c r="K368" s="269">
        <f t="shared" si="268"/>
        <v>112.46262672038505</v>
      </c>
      <c r="L368" s="269">
        <f t="shared" si="268"/>
        <v>0.29044174408953821</v>
      </c>
      <c r="M368" s="269">
        <f t="shared" si="267"/>
        <v>0</v>
      </c>
      <c r="N368" s="269">
        <f t="shared" si="267"/>
        <v>0</v>
      </c>
      <c r="O368" s="269">
        <f>SUBTOTAL(9,O359:O367)</f>
        <v>153.32888047702437</v>
      </c>
      <c r="P368" s="269">
        <f t="shared" si="267"/>
        <v>2558.5115826592255</v>
      </c>
      <c r="Q368" s="183">
        <f>SUBTOTAL(9,Q359:Q367)</f>
        <v>132110.59417825902</v>
      </c>
      <c r="R368" s="269">
        <f t="shared" si="267"/>
        <v>0</v>
      </c>
      <c r="S368" s="269">
        <f t="shared" si="267"/>
        <v>9978.0535791459642</v>
      </c>
      <c r="T368" s="269">
        <f t="shared" ca="1" si="267"/>
        <v>4103.0715346169618</v>
      </c>
      <c r="U368" s="269">
        <f t="shared" ca="1" si="267"/>
        <v>2838.0498925156608</v>
      </c>
    </row>
    <row r="369" spans="3:21" ht="15.75" hidden="1" thickBot="1" x14ac:dyDescent="0.3"/>
    <row r="370" spans="3:21" ht="93.75" x14ac:dyDescent="0.25">
      <c r="C370" s="294">
        <f>IF($E$370&gt;0,1,0)</f>
        <v>1</v>
      </c>
      <c r="D370" s="96" t="str">
        <f>A29</f>
        <v>Livingston</v>
      </c>
      <c r="E370" s="166">
        <f>IFERROR(SUMIF(A:A,D370,B:B),0)</f>
        <v>1.1180611534471463E-3</v>
      </c>
      <c r="F370" s="98" t="s">
        <v>356</v>
      </c>
      <c r="G370" s="98" t="s">
        <v>373</v>
      </c>
      <c r="H370" s="98" t="s">
        <v>358</v>
      </c>
      <c r="I370" s="98" t="s">
        <v>109</v>
      </c>
      <c r="J370" s="98" t="s">
        <v>111</v>
      </c>
      <c r="K370" s="98" t="s">
        <v>469</v>
      </c>
      <c r="L370" s="98" t="s">
        <v>470</v>
      </c>
      <c r="M370" s="98" t="s">
        <v>357</v>
      </c>
      <c r="N370" s="557" t="s">
        <v>471</v>
      </c>
      <c r="O370" s="557" t="s">
        <v>473</v>
      </c>
      <c r="P370" s="98" t="s">
        <v>110</v>
      </c>
      <c r="Q370" s="99" t="s">
        <v>116</v>
      </c>
      <c r="R370" s="98" t="s">
        <v>112</v>
      </c>
      <c r="S370" s="98" t="s">
        <v>113</v>
      </c>
      <c r="T370" s="98" t="s">
        <v>114</v>
      </c>
      <c r="U370" s="98" t="s">
        <v>115</v>
      </c>
    </row>
    <row r="371" spans="3:21" ht="18.75" x14ac:dyDescent="0.25">
      <c r="C371" s="294">
        <f>C370</f>
        <v>1</v>
      </c>
      <c r="D371" s="101"/>
      <c r="E371" s="102"/>
      <c r="F371" s="84" t="s">
        <v>57</v>
      </c>
      <c r="G371" s="84" t="s">
        <v>56</v>
      </c>
      <c r="H371" s="84" t="s">
        <v>55</v>
      </c>
      <c r="I371" s="84" t="s">
        <v>54</v>
      </c>
      <c r="J371" s="84" t="s">
        <v>53</v>
      </c>
      <c r="K371" s="84" t="s">
        <v>52</v>
      </c>
      <c r="L371" s="84" t="s">
        <v>51</v>
      </c>
      <c r="M371" s="84" t="s">
        <v>50</v>
      </c>
      <c r="N371" s="84" t="s">
        <v>49</v>
      </c>
      <c r="O371" s="84" t="s">
        <v>47</v>
      </c>
      <c r="P371" s="84" t="s">
        <v>77</v>
      </c>
      <c r="Q371" s="84" t="s">
        <v>78</v>
      </c>
      <c r="R371" s="84" t="s">
        <v>79</v>
      </c>
      <c r="S371" s="84" t="s">
        <v>81</v>
      </c>
      <c r="T371" s="84" t="s">
        <v>83</v>
      </c>
      <c r="U371" s="84" t="s">
        <v>85</v>
      </c>
    </row>
    <row r="372" spans="3:21" ht="18.75" x14ac:dyDescent="0.25">
      <c r="C372" s="294">
        <f>C370</f>
        <v>1</v>
      </c>
      <c r="D372" s="103" t="s">
        <v>26</v>
      </c>
      <c r="E372" s="122"/>
      <c r="F372" s="123"/>
      <c r="G372" s="123"/>
      <c r="H372" s="107"/>
      <c r="I372" s="107"/>
      <c r="J372" s="107"/>
      <c r="K372" s="107"/>
      <c r="L372" s="107"/>
      <c r="M372" s="123"/>
      <c r="N372" s="107"/>
      <c r="O372" s="107"/>
      <c r="P372" s="107"/>
      <c r="Q372" s="108"/>
      <c r="R372" s="107"/>
      <c r="S372" s="107"/>
      <c r="T372" s="107"/>
      <c r="U372" s="107"/>
    </row>
    <row r="373" spans="3:21" ht="18.75" x14ac:dyDescent="0.25">
      <c r="C373" s="294">
        <f t="shared" ref="C373:C382" si="269">C371</f>
        <v>1</v>
      </c>
      <c r="D373" s="124" t="s">
        <v>105</v>
      </c>
      <c r="E373" s="76" t="s">
        <v>57</v>
      </c>
      <c r="F373" s="176">
        <f t="shared" ref="F373:L373" si="270">F6*$E$370</f>
        <v>78857.291141903479</v>
      </c>
      <c r="G373" s="176">
        <f t="shared" si="270"/>
        <v>1773.2831599749527</v>
      </c>
      <c r="H373" s="176">
        <f t="shared" si="270"/>
        <v>0</v>
      </c>
      <c r="I373" s="176">
        <f t="shared" si="270"/>
        <v>2260.0740837601297</v>
      </c>
      <c r="J373" s="176">
        <f t="shared" si="270"/>
        <v>259.10592055147401</v>
      </c>
      <c r="K373" s="176">
        <f t="shared" si="270"/>
        <v>78.639982830693086</v>
      </c>
      <c r="L373" s="176">
        <f t="shared" si="270"/>
        <v>0</v>
      </c>
      <c r="M373" s="176">
        <f t="shared" ref="M373:U373" si="271">M6*$E$370</f>
        <v>0</v>
      </c>
      <c r="N373" s="176">
        <f t="shared" si="271"/>
        <v>0</v>
      </c>
      <c r="O373" s="176">
        <f>O6*$E$370</f>
        <v>2.2137610838253496</v>
      </c>
      <c r="P373" s="176">
        <f t="shared" si="271"/>
        <v>0</v>
      </c>
      <c r="Q373" s="175">
        <f>SUM(F373:P373)</f>
        <v>83230.608050104551</v>
      </c>
      <c r="R373" s="176">
        <f t="shared" si="271"/>
        <v>0</v>
      </c>
      <c r="S373" s="176">
        <f t="shared" si="271"/>
        <v>6351.4381625757296</v>
      </c>
      <c r="T373" s="176">
        <f t="shared" ca="1" si="271"/>
        <v>2703.4100753275166</v>
      </c>
      <c r="U373" s="176">
        <f t="shared" ca="1" si="271"/>
        <v>2009.1208562183094</v>
      </c>
    </row>
    <row r="374" spans="3:21" ht="18.75" x14ac:dyDescent="0.25">
      <c r="C374" s="294">
        <f t="shared" si="269"/>
        <v>1</v>
      </c>
      <c r="D374" s="112" t="s">
        <v>31</v>
      </c>
      <c r="E374" s="76"/>
      <c r="F374" s="177"/>
      <c r="G374" s="177"/>
      <c r="H374" s="178"/>
      <c r="I374" s="178"/>
      <c r="J374" s="178"/>
      <c r="K374" s="178"/>
      <c r="L374" s="178"/>
      <c r="M374" s="177"/>
      <c r="N374" s="178"/>
      <c r="O374" s="178"/>
      <c r="P374" s="178"/>
      <c r="Q374" s="179"/>
      <c r="R374" s="178"/>
      <c r="S374" s="178"/>
      <c r="T374" s="178"/>
      <c r="U374" s="178"/>
    </row>
    <row r="375" spans="3:21" ht="18.75" x14ac:dyDescent="0.3">
      <c r="C375" s="294">
        <f t="shared" si="269"/>
        <v>1</v>
      </c>
      <c r="D375" s="113" t="s">
        <v>118</v>
      </c>
      <c r="E375" s="76" t="s">
        <v>56</v>
      </c>
      <c r="F375" s="176">
        <f t="shared" ref="F375:U375" si="272">F8*$E$370</f>
        <v>0</v>
      </c>
      <c r="G375" s="176">
        <f t="shared" ref="G375:L381" si="273">G8*$E$370</f>
        <v>0</v>
      </c>
      <c r="H375" s="176">
        <f t="shared" si="273"/>
        <v>0</v>
      </c>
      <c r="I375" s="176">
        <f t="shared" si="273"/>
        <v>0</v>
      </c>
      <c r="J375" s="176">
        <f t="shared" si="273"/>
        <v>0</v>
      </c>
      <c r="K375" s="176">
        <f t="shared" si="273"/>
        <v>0</v>
      </c>
      <c r="L375" s="176">
        <f t="shared" si="273"/>
        <v>0</v>
      </c>
      <c r="M375" s="176">
        <f t="shared" si="272"/>
        <v>0</v>
      </c>
      <c r="N375" s="176">
        <f t="shared" si="272"/>
        <v>0</v>
      </c>
      <c r="O375" s="176">
        <f t="shared" ref="O375:O381" si="274">O8*$E$370</f>
        <v>0</v>
      </c>
      <c r="P375" s="176">
        <f t="shared" si="272"/>
        <v>0</v>
      </c>
      <c r="Q375" s="175">
        <f t="shared" ref="Q375:Q381" si="275">SUM(F375:P375)</f>
        <v>0</v>
      </c>
      <c r="R375" s="176">
        <f t="shared" si="272"/>
        <v>0</v>
      </c>
      <c r="S375" s="176">
        <f t="shared" si="272"/>
        <v>0</v>
      </c>
      <c r="T375" s="176">
        <f t="shared" si="272"/>
        <v>0</v>
      </c>
      <c r="U375" s="176">
        <f t="shared" si="272"/>
        <v>0</v>
      </c>
    </row>
    <row r="376" spans="3:21" ht="18.75" x14ac:dyDescent="0.3">
      <c r="C376" s="294">
        <f t="shared" si="269"/>
        <v>1</v>
      </c>
      <c r="D376" s="113" t="s">
        <v>119</v>
      </c>
      <c r="E376" s="76" t="s">
        <v>55</v>
      </c>
      <c r="F376" s="176">
        <f t="shared" ref="F376:U376" si="276">F9*$E$370</f>
        <v>0</v>
      </c>
      <c r="G376" s="176">
        <f t="shared" si="273"/>
        <v>0</v>
      </c>
      <c r="H376" s="176">
        <f t="shared" si="273"/>
        <v>0</v>
      </c>
      <c r="I376" s="176">
        <f t="shared" si="273"/>
        <v>0</v>
      </c>
      <c r="J376" s="176">
        <f t="shared" si="273"/>
        <v>0</v>
      </c>
      <c r="K376" s="176">
        <f t="shared" si="273"/>
        <v>0</v>
      </c>
      <c r="L376" s="176">
        <f t="shared" si="273"/>
        <v>0</v>
      </c>
      <c r="M376" s="176">
        <f t="shared" si="276"/>
        <v>0</v>
      </c>
      <c r="N376" s="176">
        <f t="shared" si="276"/>
        <v>0</v>
      </c>
      <c r="O376" s="176">
        <f t="shared" si="274"/>
        <v>0</v>
      </c>
      <c r="P376" s="176">
        <f t="shared" si="276"/>
        <v>0</v>
      </c>
      <c r="Q376" s="175">
        <f t="shared" si="275"/>
        <v>0</v>
      </c>
      <c r="R376" s="176">
        <f t="shared" si="276"/>
        <v>0</v>
      </c>
      <c r="S376" s="176">
        <f t="shared" si="276"/>
        <v>0</v>
      </c>
      <c r="T376" s="176">
        <f t="shared" si="276"/>
        <v>0</v>
      </c>
      <c r="U376" s="176">
        <f t="shared" si="276"/>
        <v>0</v>
      </c>
    </row>
    <row r="377" spans="3:21" ht="18.75" x14ac:dyDescent="0.3">
      <c r="C377" s="294">
        <f t="shared" si="269"/>
        <v>1</v>
      </c>
      <c r="D377" s="113" t="s">
        <v>120</v>
      </c>
      <c r="E377" s="76" t="s">
        <v>54</v>
      </c>
      <c r="F377" s="176">
        <f t="shared" ref="F377:U377" si="277">F10*$E$370</f>
        <v>0</v>
      </c>
      <c r="G377" s="176">
        <f t="shared" si="273"/>
        <v>0</v>
      </c>
      <c r="H377" s="176">
        <f t="shared" si="273"/>
        <v>0</v>
      </c>
      <c r="I377" s="176">
        <f t="shared" si="273"/>
        <v>0</v>
      </c>
      <c r="J377" s="176">
        <f t="shared" si="273"/>
        <v>0</v>
      </c>
      <c r="K377" s="176">
        <f t="shared" si="273"/>
        <v>0</v>
      </c>
      <c r="L377" s="176">
        <f t="shared" si="273"/>
        <v>0</v>
      </c>
      <c r="M377" s="176">
        <f t="shared" si="277"/>
        <v>0</v>
      </c>
      <c r="N377" s="176">
        <f t="shared" si="277"/>
        <v>0</v>
      </c>
      <c r="O377" s="176">
        <f t="shared" si="274"/>
        <v>0</v>
      </c>
      <c r="P377" s="176">
        <f t="shared" si="277"/>
        <v>0</v>
      </c>
      <c r="Q377" s="175">
        <f t="shared" si="275"/>
        <v>0</v>
      </c>
      <c r="R377" s="176">
        <f t="shared" si="277"/>
        <v>0</v>
      </c>
      <c r="S377" s="176">
        <f t="shared" si="277"/>
        <v>0</v>
      </c>
      <c r="T377" s="176">
        <f t="shared" si="277"/>
        <v>0</v>
      </c>
      <c r="U377" s="176">
        <f t="shared" si="277"/>
        <v>0</v>
      </c>
    </row>
    <row r="378" spans="3:21" ht="18.75" x14ac:dyDescent="0.3">
      <c r="C378" s="294">
        <f t="shared" si="269"/>
        <v>1</v>
      </c>
      <c r="D378" s="113" t="s">
        <v>121</v>
      </c>
      <c r="E378" s="76" t="s">
        <v>53</v>
      </c>
      <c r="F378" s="176">
        <f t="shared" ref="F378:U378" si="278">F11*$E$370</f>
        <v>0</v>
      </c>
      <c r="G378" s="176">
        <f t="shared" si="273"/>
        <v>0</v>
      </c>
      <c r="H378" s="176">
        <f t="shared" si="273"/>
        <v>0</v>
      </c>
      <c r="I378" s="176">
        <f t="shared" si="273"/>
        <v>0</v>
      </c>
      <c r="J378" s="176">
        <f t="shared" si="273"/>
        <v>0</v>
      </c>
      <c r="K378" s="176">
        <f t="shared" si="273"/>
        <v>0</v>
      </c>
      <c r="L378" s="176">
        <f t="shared" si="273"/>
        <v>0</v>
      </c>
      <c r="M378" s="176">
        <f t="shared" si="278"/>
        <v>0</v>
      </c>
      <c r="N378" s="176">
        <f t="shared" si="278"/>
        <v>0</v>
      </c>
      <c r="O378" s="176">
        <f t="shared" si="274"/>
        <v>0</v>
      </c>
      <c r="P378" s="176">
        <f t="shared" si="278"/>
        <v>0</v>
      </c>
      <c r="Q378" s="175">
        <f t="shared" si="275"/>
        <v>0</v>
      </c>
      <c r="R378" s="176">
        <f t="shared" si="278"/>
        <v>0</v>
      </c>
      <c r="S378" s="176">
        <f t="shared" si="278"/>
        <v>0</v>
      </c>
      <c r="T378" s="176">
        <f t="shared" si="278"/>
        <v>0</v>
      </c>
      <c r="U378" s="176">
        <f t="shared" si="278"/>
        <v>0</v>
      </c>
    </row>
    <row r="379" spans="3:21" ht="18.75" x14ac:dyDescent="0.3">
      <c r="C379" s="294">
        <f t="shared" si="269"/>
        <v>1</v>
      </c>
      <c r="D379" s="113" t="s">
        <v>122</v>
      </c>
      <c r="E379" s="76" t="s">
        <v>52</v>
      </c>
      <c r="F379" s="176">
        <f t="shared" ref="F379:U379" si="279">F12*$E$370</f>
        <v>0</v>
      </c>
      <c r="G379" s="176">
        <f t="shared" si="273"/>
        <v>0</v>
      </c>
      <c r="H379" s="176">
        <f t="shared" si="273"/>
        <v>0</v>
      </c>
      <c r="I379" s="176">
        <f t="shared" si="273"/>
        <v>0</v>
      </c>
      <c r="J379" s="176">
        <f t="shared" si="273"/>
        <v>0</v>
      </c>
      <c r="K379" s="176">
        <f t="shared" si="273"/>
        <v>0</v>
      </c>
      <c r="L379" s="176">
        <f t="shared" si="273"/>
        <v>0</v>
      </c>
      <c r="M379" s="176">
        <f t="shared" si="279"/>
        <v>0</v>
      </c>
      <c r="N379" s="176">
        <f t="shared" si="279"/>
        <v>0</v>
      </c>
      <c r="O379" s="176">
        <f t="shared" si="274"/>
        <v>0</v>
      </c>
      <c r="P379" s="176">
        <f t="shared" si="279"/>
        <v>0</v>
      </c>
      <c r="Q379" s="175">
        <f t="shared" si="275"/>
        <v>0</v>
      </c>
      <c r="R379" s="176">
        <f t="shared" si="279"/>
        <v>0</v>
      </c>
      <c r="S379" s="176">
        <f t="shared" si="279"/>
        <v>0</v>
      </c>
      <c r="T379" s="176">
        <f t="shared" si="279"/>
        <v>0</v>
      </c>
      <c r="U379" s="176">
        <f t="shared" si="279"/>
        <v>0</v>
      </c>
    </row>
    <row r="380" spans="3:21" ht="18.75" x14ac:dyDescent="0.3">
      <c r="C380" s="294">
        <f t="shared" si="269"/>
        <v>1</v>
      </c>
      <c r="D380" s="125" t="s">
        <v>123</v>
      </c>
      <c r="E380" s="76" t="s">
        <v>51</v>
      </c>
      <c r="F380" s="176">
        <f t="shared" ref="F380:U380" si="280">F13*$E$370</f>
        <v>0</v>
      </c>
      <c r="G380" s="176">
        <f t="shared" si="273"/>
        <v>0</v>
      </c>
      <c r="H380" s="176">
        <f t="shared" si="273"/>
        <v>0</v>
      </c>
      <c r="I380" s="176">
        <f t="shared" si="273"/>
        <v>0</v>
      </c>
      <c r="J380" s="176">
        <f t="shared" si="273"/>
        <v>0</v>
      </c>
      <c r="K380" s="176">
        <f t="shared" si="273"/>
        <v>0</v>
      </c>
      <c r="L380" s="176">
        <f t="shared" si="273"/>
        <v>0</v>
      </c>
      <c r="M380" s="176">
        <f t="shared" si="280"/>
        <v>0</v>
      </c>
      <c r="N380" s="176">
        <f t="shared" si="280"/>
        <v>0</v>
      </c>
      <c r="O380" s="176">
        <f t="shared" si="274"/>
        <v>0</v>
      </c>
      <c r="P380" s="176">
        <f t="shared" si="280"/>
        <v>0</v>
      </c>
      <c r="Q380" s="175">
        <f t="shared" si="275"/>
        <v>0</v>
      </c>
      <c r="R380" s="176">
        <f t="shared" si="280"/>
        <v>0</v>
      </c>
      <c r="S380" s="176">
        <f t="shared" si="280"/>
        <v>0</v>
      </c>
      <c r="T380" s="176">
        <f t="shared" si="280"/>
        <v>0</v>
      </c>
      <c r="U380" s="176">
        <f t="shared" si="280"/>
        <v>0</v>
      </c>
    </row>
    <row r="381" spans="3:21" ht="19.5" thickBot="1" x14ac:dyDescent="0.35">
      <c r="C381" s="294">
        <f t="shared" si="269"/>
        <v>1</v>
      </c>
      <c r="D381" s="114" t="s">
        <v>16</v>
      </c>
      <c r="E381" s="70" t="s">
        <v>50</v>
      </c>
      <c r="F381" s="176">
        <f t="shared" ref="F381:U381" si="281">F14*$E$370</f>
        <v>8419.7523777233255</v>
      </c>
      <c r="G381" s="176">
        <f t="shared" si="273"/>
        <v>167.25704480422888</v>
      </c>
      <c r="H381" s="176">
        <f t="shared" si="273"/>
        <v>0</v>
      </c>
      <c r="I381" s="176">
        <f t="shared" si="273"/>
        <v>0</v>
      </c>
      <c r="J381" s="176">
        <f t="shared" si="273"/>
        <v>357.08370452654242</v>
      </c>
      <c r="K381" s="176">
        <f t="shared" si="273"/>
        <v>1.4701291329004704</v>
      </c>
      <c r="L381" s="176">
        <f t="shared" si="273"/>
        <v>0.20688935797101424</v>
      </c>
      <c r="M381" s="176">
        <f t="shared" si="281"/>
        <v>0</v>
      </c>
      <c r="N381" s="176">
        <f t="shared" si="281"/>
        <v>0</v>
      </c>
      <c r="O381" s="176">
        <f t="shared" si="274"/>
        <v>107.00646736421265</v>
      </c>
      <c r="P381" s="176">
        <f t="shared" si="281"/>
        <v>1822.4956621062972</v>
      </c>
      <c r="Q381" s="175">
        <f t="shared" si="275"/>
        <v>10875.272275015477</v>
      </c>
      <c r="R381" s="176">
        <f t="shared" si="281"/>
        <v>0</v>
      </c>
      <c r="S381" s="176">
        <f t="shared" si="281"/>
        <v>756.19405902904316</v>
      </c>
      <c r="T381" s="176">
        <f t="shared" ca="1" si="281"/>
        <v>219.31660835591299</v>
      </c>
      <c r="U381" s="176">
        <f t="shared" ca="1" si="281"/>
        <v>12.497358452853408</v>
      </c>
    </row>
    <row r="382" spans="3:21" ht="19.5" thickBot="1" x14ac:dyDescent="0.3">
      <c r="C382" s="294">
        <f t="shared" si="269"/>
        <v>1</v>
      </c>
      <c r="D382" s="115" t="s">
        <v>124</v>
      </c>
      <c r="E382" s="116" t="s">
        <v>49</v>
      </c>
      <c r="F382" s="269">
        <f t="shared" ref="F382:U382" si="282">SUBTOTAL(9,F373:F381)</f>
        <v>87277.043519626808</v>
      </c>
      <c r="G382" s="269">
        <f t="shared" ref="G382:L382" si="283">SUBTOTAL(9,G373:G381)</f>
        <v>1940.5402047791815</v>
      </c>
      <c r="H382" s="269">
        <f t="shared" si="283"/>
        <v>0</v>
      </c>
      <c r="I382" s="269">
        <f t="shared" si="283"/>
        <v>2260.0740837601297</v>
      </c>
      <c r="J382" s="269">
        <f t="shared" si="283"/>
        <v>616.18962507801643</v>
      </c>
      <c r="K382" s="269">
        <f t="shared" si="283"/>
        <v>80.110111963593553</v>
      </c>
      <c r="L382" s="269">
        <f t="shared" si="283"/>
        <v>0.20688935797101424</v>
      </c>
      <c r="M382" s="269">
        <f t="shared" si="282"/>
        <v>0</v>
      </c>
      <c r="N382" s="269">
        <f t="shared" si="282"/>
        <v>0</v>
      </c>
      <c r="O382" s="269">
        <f>SUBTOTAL(9,O373:O381)</f>
        <v>109.220228448038</v>
      </c>
      <c r="P382" s="269">
        <f t="shared" si="282"/>
        <v>1822.4956621062972</v>
      </c>
      <c r="Q382" s="183">
        <f>SUBTOTAL(9,Q373:Q381)</f>
        <v>94105.88032512003</v>
      </c>
      <c r="R382" s="269">
        <f t="shared" si="282"/>
        <v>0</v>
      </c>
      <c r="S382" s="269">
        <f t="shared" si="282"/>
        <v>7107.6322216047729</v>
      </c>
      <c r="T382" s="269">
        <f t="shared" ca="1" si="282"/>
        <v>2922.7266836834297</v>
      </c>
      <c r="U382" s="269">
        <f t="shared" ca="1" si="282"/>
        <v>2021.6182146711628</v>
      </c>
    </row>
    <row r="383" spans="3:21" ht="15.75" hidden="1" thickBot="1" x14ac:dyDescent="0.3"/>
    <row r="384" spans="3:21" ht="93.75" x14ac:dyDescent="0.25">
      <c r="C384" s="294">
        <f>IF($E$384&gt;0,1,0)</f>
        <v>1</v>
      </c>
      <c r="D384" s="96" t="str">
        <f>A30</f>
        <v>Madison</v>
      </c>
      <c r="E384" s="166">
        <f>IFERROR(SUMIF(A:A,D384,B:B),0)</f>
        <v>1.9127199054402991E-3</v>
      </c>
      <c r="F384" s="98" t="s">
        <v>356</v>
      </c>
      <c r="G384" s="98" t="s">
        <v>373</v>
      </c>
      <c r="H384" s="98" t="s">
        <v>358</v>
      </c>
      <c r="I384" s="98" t="s">
        <v>109</v>
      </c>
      <c r="J384" s="98" t="s">
        <v>111</v>
      </c>
      <c r="K384" s="98" t="s">
        <v>469</v>
      </c>
      <c r="L384" s="98" t="s">
        <v>470</v>
      </c>
      <c r="M384" s="98" t="s">
        <v>357</v>
      </c>
      <c r="N384" s="557" t="s">
        <v>471</v>
      </c>
      <c r="O384" s="557" t="s">
        <v>473</v>
      </c>
      <c r="P384" s="98" t="s">
        <v>110</v>
      </c>
      <c r="Q384" s="99" t="s">
        <v>116</v>
      </c>
      <c r="R384" s="98" t="s">
        <v>112</v>
      </c>
      <c r="S384" s="98" t="s">
        <v>113</v>
      </c>
      <c r="T384" s="98" t="s">
        <v>114</v>
      </c>
      <c r="U384" s="98" t="s">
        <v>115</v>
      </c>
    </row>
    <row r="385" spans="3:21" ht="18.75" x14ac:dyDescent="0.25">
      <c r="C385" s="294">
        <f>C384</f>
        <v>1</v>
      </c>
      <c r="D385" s="101"/>
      <c r="E385" s="102"/>
      <c r="F385" s="84" t="s">
        <v>57</v>
      </c>
      <c r="G385" s="84" t="s">
        <v>56</v>
      </c>
      <c r="H385" s="84" t="s">
        <v>55</v>
      </c>
      <c r="I385" s="84" t="s">
        <v>54</v>
      </c>
      <c r="J385" s="84" t="s">
        <v>53</v>
      </c>
      <c r="K385" s="84" t="s">
        <v>52</v>
      </c>
      <c r="L385" s="84" t="s">
        <v>51</v>
      </c>
      <c r="M385" s="84" t="s">
        <v>50</v>
      </c>
      <c r="N385" s="84" t="s">
        <v>49</v>
      </c>
      <c r="O385" s="84" t="s">
        <v>47</v>
      </c>
      <c r="P385" s="84" t="s">
        <v>77</v>
      </c>
      <c r="Q385" s="84" t="s">
        <v>78</v>
      </c>
      <c r="R385" s="84" t="s">
        <v>79</v>
      </c>
      <c r="S385" s="84" t="s">
        <v>81</v>
      </c>
      <c r="T385" s="84" t="s">
        <v>83</v>
      </c>
      <c r="U385" s="84" t="s">
        <v>85</v>
      </c>
    </row>
    <row r="386" spans="3:21" ht="18.75" x14ac:dyDescent="0.25">
      <c r="C386" s="294">
        <f>C384</f>
        <v>1</v>
      </c>
      <c r="D386" s="103" t="s">
        <v>26</v>
      </c>
      <c r="E386" s="122"/>
      <c r="F386" s="123"/>
      <c r="G386" s="123"/>
      <c r="H386" s="107"/>
      <c r="I386" s="107"/>
      <c r="J386" s="107"/>
      <c r="K386" s="107"/>
      <c r="L386" s="107"/>
      <c r="M386" s="123"/>
      <c r="N386" s="107"/>
      <c r="O386" s="107"/>
      <c r="P386" s="107"/>
      <c r="Q386" s="108"/>
      <c r="R386" s="107"/>
      <c r="S386" s="107"/>
      <c r="T386" s="107"/>
      <c r="U386" s="107"/>
    </row>
    <row r="387" spans="3:21" ht="18.75" x14ac:dyDescent="0.25">
      <c r="C387" s="294">
        <f t="shared" ref="C387:C396" si="284">C385</f>
        <v>1</v>
      </c>
      <c r="D387" s="124" t="s">
        <v>105</v>
      </c>
      <c r="E387" s="76" t="s">
        <v>57</v>
      </c>
      <c r="F387" s="176">
        <f t="shared" ref="F387:L387" si="285">F6*$E$384</f>
        <v>134904.88421960003</v>
      </c>
      <c r="G387" s="176">
        <f t="shared" si="285"/>
        <v>3033.6390702858857</v>
      </c>
      <c r="H387" s="176">
        <f t="shared" si="285"/>
        <v>0</v>
      </c>
      <c r="I387" s="176">
        <f t="shared" si="285"/>
        <v>3866.415244326884</v>
      </c>
      <c r="J387" s="176">
        <f t="shared" si="285"/>
        <v>443.26470902619121</v>
      </c>
      <c r="K387" s="176">
        <f t="shared" si="285"/>
        <v>134.53312465064604</v>
      </c>
      <c r="L387" s="176">
        <f t="shared" si="285"/>
        <v>0</v>
      </c>
      <c r="M387" s="176">
        <f t="shared" ref="M387:U387" si="286">M6*$E$384</f>
        <v>0</v>
      </c>
      <c r="N387" s="176">
        <f t="shared" si="286"/>
        <v>0</v>
      </c>
      <c r="O387" s="176">
        <f>O6*$E$384</f>
        <v>3.7871854127717923</v>
      </c>
      <c r="P387" s="176">
        <f t="shared" si="286"/>
        <v>0</v>
      </c>
      <c r="Q387" s="175">
        <f>SUM(F387:P387)</f>
        <v>142386.52355330245</v>
      </c>
      <c r="R387" s="176">
        <f t="shared" si="286"/>
        <v>0</v>
      </c>
      <c r="S387" s="176">
        <f t="shared" si="286"/>
        <v>10865.704585367341</v>
      </c>
      <c r="T387" s="176">
        <f t="shared" ca="1" si="286"/>
        <v>4624.8510179467921</v>
      </c>
      <c r="U387" s="176">
        <f t="shared" ca="1" si="286"/>
        <v>3437.0977314396791</v>
      </c>
    </row>
    <row r="388" spans="3:21" ht="18.75" x14ac:dyDescent="0.25">
      <c r="C388" s="294">
        <f t="shared" si="284"/>
        <v>1</v>
      </c>
      <c r="D388" s="112" t="s">
        <v>31</v>
      </c>
      <c r="E388" s="76"/>
      <c r="F388" s="177"/>
      <c r="G388" s="177"/>
      <c r="H388" s="178"/>
      <c r="I388" s="178"/>
      <c r="J388" s="178"/>
      <c r="K388" s="178"/>
      <c r="L388" s="178"/>
      <c r="M388" s="177"/>
      <c r="N388" s="178"/>
      <c r="O388" s="178"/>
      <c r="P388" s="178"/>
      <c r="Q388" s="179"/>
      <c r="R388" s="178"/>
      <c r="S388" s="178"/>
      <c r="T388" s="178"/>
      <c r="U388" s="178"/>
    </row>
    <row r="389" spans="3:21" ht="18.75" x14ac:dyDescent="0.3">
      <c r="C389" s="294">
        <f t="shared" si="284"/>
        <v>1</v>
      </c>
      <c r="D389" s="113" t="s">
        <v>118</v>
      </c>
      <c r="E389" s="76" t="s">
        <v>56</v>
      </c>
      <c r="F389" s="176">
        <f t="shared" ref="F389:U389" si="287">F8*$E$384</f>
        <v>0</v>
      </c>
      <c r="G389" s="176">
        <f t="shared" ref="G389:L395" si="288">G8*$E$384</f>
        <v>0</v>
      </c>
      <c r="H389" s="176">
        <f t="shared" si="288"/>
        <v>0</v>
      </c>
      <c r="I389" s="176">
        <f t="shared" si="288"/>
        <v>0</v>
      </c>
      <c r="J389" s="176">
        <f t="shared" si="288"/>
        <v>0</v>
      </c>
      <c r="K389" s="176">
        <f t="shared" si="288"/>
        <v>0</v>
      </c>
      <c r="L389" s="176">
        <f t="shared" si="288"/>
        <v>0</v>
      </c>
      <c r="M389" s="176">
        <f t="shared" si="287"/>
        <v>0</v>
      </c>
      <c r="N389" s="176">
        <f t="shared" si="287"/>
        <v>0</v>
      </c>
      <c r="O389" s="176">
        <f t="shared" ref="O389:O395" si="289">O8*$E$384</f>
        <v>0</v>
      </c>
      <c r="P389" s="176">
        <f t="shared" si="287"/>
        <v>0</v>
      </c>
      <c r="Q389" s="175">
        <f t="shared" ref="Q389:Q395" si="290">SUM(F389:P389)</f>
        <v>0</v>
      </c>
      <c r="R389" s="176">
        <f t="shared" si="287"/>
        <v>0</v>
      </c>
      <c r="S389" s="176">
        <f t="shared" si="287"/>
        <v>0</v>
      </c>
      <c r="T389" s="176">
        <f t="shared" si="287"/>
        <v>0</v>
      </c>
      <c r="U389" s="176">
        <f t="shared" si="287"/>
        <v>0</v>
      </c>
    </row>
    <row r="390" spans="3:21" ht="18.75" x14ac:dyDescent="0.3">
      <c r="C390" s="294">
        <f t="shared" si="284"/>
        <v>1</v>
      </c>
      <c r="D390" s="113" t="s">
        <v>119</v>
      </c>
      <c r="E390" s="76" t="s">
        <v>55</v>
      </c>
      <c r="F390" s="176">
        <f t="shared" ref="F390:U390" si="291">F9*$E$384</f>
        <v>0</v>
      </c>
      <c r="G390" s="176">
        <f t="shared" si="288"/>
        <v>0</v>
      </c>
      <c r="H390" s="176">
        <f t="shared" si="288"/>
        <v>0</v>
      </c>
      <c r="I390" s="176">
        <f t="shared" si="288"/>
        <v>0</v>
      </c>
      <c r="J390" s="176">
        <f t="shared" si="288"/>
        <v>0</v>
      </c>
      <c r="K390" s="176">
        <f t="shared" si="288"/>
        <v>0</v>
      </c>
      <c r="L390" s="176">
        <f t="shared" si="288"/>
        <v>0</v>
      </c>
      <c r="M390" s="176">
        <f t="shared" si="291"/>
        <v>0</v>
      </c>
      <c r="N390" s="176">
        <f t="shared" si="291"/>
        <v>0</v>
      </c>
      <c r="O390" s="176">
        <f t="shared" si="289"/>
        <v>0</v>
      </c>
      <c r="P390" s="176">
        <f t="shared" si="291"/>
        <v>0</v>
      </c>
      <c r="Q390" s="175">
        <f t="shared" si="290"/>
        <v>0</v>
      </c>
      <c r="R390" s="176">
        <f t="shared" si="291"/>
        <v>0</v>
      </c>
      <c r="S390" s="176">
        <f t="shared" si="291"/>
        <v>0</v>
      </c>
      <c r="T390" s="176">
        <f t="shared" si="291"/>
        <v>0</v>
      </c>
      <c r="U390" s="176">
        <f t="shared" si="291"/>
        <v>0</v>
      </c>
    </row>
    <row r="391" spans="3:21" ht="18.75" x14ac:dyDescent="0.3">
      <c r="C391" s="294">
        <f t="shared" si="284"/>
        <v>1</v>
      </c>
      <c r="D391" s="113" t="s">
        <v>120</v>
      </c>
      <c r="E391" s="76" t="s">
        <v>54</v>
      </c>
      <c r="F391" s="176">
        <f t="shared" ref="F391:U391" si="292">F10*$E$384</f>
        <v>0</v>
      </c>
      <c r="G391" s="176">
        <f t="shared" si="288"/>
        <v>0</v>
      </c>
      <c r="H391" s="176">
        <f t="shared" si="288"/>
        <v>0</v>
      </c>
      <c r="I391" s="176">
        <f t="shared" si="288"/>
        <v>0</v>
      </c>
      <c r="J391" s="176">
        <f t="shared" si="288"/>
        <v>0</v>
      </c>
      <c r="K391" s="176">
        <f t="shared" si="288"/>
        <v>0</v>
      </c>
      <c r="L391" s="176">
        <f t="shared" si="288"/>
        <v>0</v>
      </c>
      <c r="M391" s="176">
        <f t="shared" si="292"/>
        <v>0</v>
      </c>
      <c r="N391" s="176">
        <f t="shared" si="292"/>
        <v>0</v>
      </c>
      <c r="O391" s="176">
        <f t="shared" si="289"/>
        <v>0</v>
      </c>
      <c r="P391" s="176">
        <f t="shared" si="292"/>
        <v>0</v>
      </c>
      <c r="Q391" s="175">
        <f t="shared" si="290"/>
        <v>0</v>
      </c>
      <c r="R391" s="176">
        <f t="shared" si="292"/>
        <v>0</v>
      </c>
      <c r="S391" s="176">
        <f t="shared" si="292"/>
        <v>0</v>
      </c>
      <c r="T391" s="176">
        <f t="shared" si="292"/>
        <v>0</v>
      </c>
      <c r="U391" s="176">
        <f t="shared" si="292"/>
        <v>0</v>
      </c>
    </row>
    <row r="392" spans="3:21" ht="18.75" x14ac:dyDescent="0.3">
      <c r="C392" s="294">
        <f t="shared" si="284"/>
        <v>1</v>
      </c>
      <c r="D392" s="113" t="s">
        <v>121</v>
      </c>
      <c r="E392" s="76" t="s">
        <v>53</v>
      </c>
      <c r="F392" s="176">
        <f t="shared" ref="F392:U392" si="293">F11*$E$384</f>
        <v>0</v>
      </c>
      <c r="G392" s="176">
        <f t="shared" si="288"/>
        <v>0</v>
      </c>
      <c r="H392" s="176">
        <f t="shared" si="288"/>
        <v>0</v>
      </c>
      <c r="I392" s="176">
        <f t="shared" si="288"/>
        <v>0</v>
      </c>
      <c r="J392" s="176">
        <f t="shared" si="288"/>
        <v>0</v>
      </c>
      <c r="K392" s="176">
        <f t="shared" si="288"/>
        <v>0</v>
      </c>
      <c r="L392" s="176">
        <f t="shared" si="288"/>
        <v>0</v>
      </c>
      <c r="M392" s="176">
        <f t="shared" si="293"/>
        <v>0</v>
      </c>
      <c r="N392" s="176">
        <f t="shared" si="293"/>
        <v>0</v>
      </c>
      <c r="O392" s="176">
        <f t="shared" si="289"/>
        <v>0</v>
      </c>
      <c r="P392" s="176">
        <f t="shared" si="293"/>
        <v>0</v>
      </c>
      <c r="Q392" s="175">
        <f t="shared" si="290"/>
        <v>0</v>
      </c>
      <c r="R392" s="176">
        <f t="shared" si="293"/>
        <v>0</v>
      </c>
      <c r="S392" s="176">
        <f t="shared" si="293"/>
        <v>0</v>
      </c>
      <c r="T392" s="176">
        <f t="shared" si="293"/>
        <v>0</v>
      </c>
      <c r="U392" s="176">
        <f t="shared" si="293"/>
        <v>0</v>
      </c>
    </row>
    <row r="393" spans="3:21" ht="18.75" x14ac:dyDescent="0.3">
      <c r="C393" s="294">
        <f t="shared" si="284"/>
        <v>1</v>
      </c>
      <c r="D393" s="113" t="s">
        <v>122</v>
      </c>
      <c r="E393" s="76" t="s">
        <v>52</v>
      </c>
      <c r="F393" s="176">
        <f t="shared" ref="F393:U393" si="294">F12*$E$384</f>
        <v>0</v>
      </c>
      <c r="G393" s="176">
        <f t="shared" si="288"/>
        <v>0</v>
      </c>
      <c r="H393" s="176">
        <f t="shared" si="288"/>
        <v>0</v>
      </c>
      <c r="I393" s="176">
        <f t="shared" si="288"/>
        <v>0</v>
      </c>
      <c r="J393" s="176">
        <f t="shared" si="288"/>
        <v>0</v>
      </c>
      <c r="K393" s="176">
        <f t="shared" si="288"/>
        <v>0</v>
      </c>
      <c r="L393" s="176">
        <f t="shared" si="288"/>
        <v>0</v>
      </c>
      <c r="M393" s="176">
        <f t="shared" si="294"/>
        <v>0</v>
      </c>
      <c r="N393" s="176">
        <f t="shared" si="294"/>
        <v>0</v>
      </c>
      <c r="O393" s="176">
        <f t="shared" si="289"/>
        <v>0</v>
      </c>
      <c r="P393" s="176">
        <f t="shared" si="294"/>
        <v>0</v>
      </c>
      <c r="Q393" s="175">
        <f t="shared" si="290"/>
        <v>0</v>
      </c>
      <c r="R393" s="176">
        <f t="shared" si="294"/>
        <v>0</v>
      </c>
      <c r="S393" s="176">
        <f t="shared" si="294"/>
        <v>0</v>
      </c>
      <c r="T393" s="176">
        <f t="shared" si="294"/>
        <v>0</v>
      </c>
      <c r="U393" s="176">
        <f t="shared" si="294"/>
        <v>0</v>
      </c>
    </row>
    <row r="394" spans="3:21" ht="18.75" x14ac:dyDescent="0.3">
      <c r="C394" s="294">
        <f t="shared" si="284"/>
        <v>1</v>
      </c>
      <c r="D394" s="125" t="s">
        <v>123</v>
      </c>
      <c r="E394" s="76" t="s">
        <v>51</v>
      </c>
      <c r="F394" s="176">
        <f t="shared" ref="F394:U394" si="295">F13*$E$384</f>
        <v>0</v>
      </c>
      <c r="G394" s="176">
        <f t="shared" si="288"/>
        <v>0</v>
      </c>
      <c r="H394" s="176">
        <f t="shared" si="288"/>
        <v>0</v>
      </c>
      <c r="I394" s="176">
        <f t="shared" si="288"/>
        <v>0</v>
      </c>
      <c r="J394" s="176">
        <f t="shared" si="288"/>
        <v>0</v>
      </c>
      <c r="K394" s="176">
        <f t="shared" si="288"/>
        <v>0</v>
      </c>
      <c r="L394" s="176">
        <f t="shared" si="288"/>
        <v>0</v>
      </c>
      <c r="M394" s="176">
        <f t="shared" si="295"/>
        <v>0</v>
      </c>
      <c r="N394" s="176">
        <f t="shared" si="295"/>
        <v>0</v>
      </c>
      <c r="O394" s="176">
        <f t="shared" si="289"/>
        <v>0</v>
      </c>
      <c r="P394" s="176">
        <f t="shared" si="295"/>
        <v>0</v>
      </c>
      <c r="Q394" s="175">
        <f t="shared" si="290"/>
        <v>0</v>
      </c>
      <c r="R394" s="176">
        <f t="shared" si="295"/>
        <v>0</v>
      </c>
      <c r="S394" s="176">
        <f t="shared" si="295"/>
        <v>0</v>
      </c>
      <c r="T394" s="176">
        <f t="shared" si="295"/>
        <v>0</v>
      </c>
      <c r="U394" s="176">
        <f t="shared" si="295"/>
        <v>0</v>
      </c>
    </row>
    <row r="395" spans="3:21" ht="19.5" thickBot="1" x14ac:dyDescent="0.35">
      <c r="C395" s="294">
        <f t="shared" si="284"/>
        <v>1</v>
      </c>
      <c r="D395" s="114" t="s">
        <v>16</v>
      </c>
      <c r="E395" s="70" t="s">
        <v>50</v>
      </c>
      <c r="F395" s="176">
        <f t="shared" ref="F395:U395" si="296">F14*$E$384</f>
        <v>14404.06718549944</v>
      </c>
      <c r="G395" s="176">
        <f t="shared" si="288"/>
        <v>286.13450877514259</v>
      </c>
      <c r="H395" s="176">
        <f t="shared" si="288"/>
        <v>0</v>
      </c>
      <c r="I395" s="176">
        <f t="shared" si="288"/>
        <v>0</v>
      </c>
      <c r="J395" s="176">
        <f t="shared" si="288"/>
        <v>610.87992141618315</v>
      </c>
      <c r="K395" s="176">
        <f t="shared" si="288"/>
        <v>2.5150191896004772</v>
      </c>
      <c r="L395" s="176">
        <f t="shared" si="288"/>
        <v>0.35393537463926328</v>
      </c>
      <c r="M395" s="176">
        <f t="shared" si="296"/>
        <v>0</v>
      </c>
      <c r="N395" s="176">
        <f t="shared" si="296"/>
        <v>0</v>
      </c>
      <c r="O395" s="176">
        <f t="shared" si="289"/>
        <v>183.06100655347805</v>
      </c>
      <c r="P395" s="176">
        <f t="shared" si="296"/>
        <v>3117.8292168918479</v>
      </c>
      <c r="Q395" s="175">
        <f t="shared" si="290"/>
        <v>18604.840793700332</v>
      </c>
      <c r="R395" s="176">
        <f t="shared" si="296"/>
        <v>0</v>
      </c>
      <c r="S395" s="176">
        <f t="shared" si="296"/>
        <v>1293.6568135125017</v>
      </c>
      <c r="T395" s="176">
        <f t="shared" ca="1" si="296"/>
        <v>375.19525752473919</v>
      </c>
      <c r="U395" s="176">
        <f t="shared" ca="1" si="296"/>
        <v>21.379820061269392</v>
      </c>
    </row>
    <row r="396" spans="3:21" ht="19.5" thickBot="1" x14ac:dyDescent="0.3">
      <c r="C396" s="294">
        <f t="shared" si="284"/>
        <v>1</v>
      </c>
      <c r="D396" s="115" t="s">
        <v>124</v>
      </c>
      <c r="E396" s="116" t="s">
        <v>49</v>
      </c>
      <c r="F396" s="269">
        <f t="shared" ref="F396:U396" si="297">SUBTOTAL(9,F387:F395)</f>
        <v>149308.95140509948</v>
      </c>
      <c r="G396" s="269">
        <f t="shared" ref="G396:L396" si="298">SUBTOTAL(9,G387:G395)</f>
        <v>3319.7735790610282</v>
      </c>
      <c r="H396" s="269">
        <f t="shared" si="298"/>
        <v>0</v>
      </c>
      <c r="I396" s="269">
        <f t="shared" si="298"/>
        <v>3866.415244326884</v>
      </c>
      <c r="J396" s="269">
        <f t="shared" si="298"/>
        <v>1054.1446304423744</v>
      </c>
      <c r="K396" s="269">
        <f t="shared" si="298"/>
        <v>137.04814384024652</v>
      </c>
      <c r="L396" s="269">
        <f t="shared" si="298"/>
        <v>0.35393537463926328</v>
      </c>
      <c r="M396" s="269">
        <f t="shared" si="297"/>
        <v>0</v>
      </c>
      <c r="N396" s="269">
        <f t="shared" si="297"/>
        <v>0</v>
      </c>
      <c r="O396" s="269">
        <f>SUBTOTAL(9,O387:O395)</f>
        <v>186.84819196624986</v>
      </c>
      <c r="P396" s="269">
        <f t="shared" si="297"/>
        <v>3117.8292168918479</v>
      </c>
      <c r="Q396" s="183">
        <f>SUBTOTAL(9,Q387:Q395)</f>
        <v>160991.36434700279</v>
      </c>
      <c r="R396" s="269">
        <f t="shared" si="297"/>
        <v>0</v>
      </c>
      <c r="S396" s="269">
        <f t="shared" si="297"/>
        <v>12159.361398879842</v>
      </c>
      <c r="T396" s="269">
        <f t="shared" ca="1" si="297"/>
        <v>5000.0462754715318</v>
      </c>
      <c r="U396" s="269">
        <f t="shared" ca="1" si="297"/>
        <v>3458.4775515009487</v>
      </c>
    </row>
    <row r="397" spans="3:21" ht="15.75" hidden="1" thickBot="1" x14ac:dyDescent="0.3"/>
    <row r="398" spans="3:21" ht="93.75" x14ac:dyDescent="0.25">
      <c r="C398" s="294">
        <f>IF($E$398&gt;0,1,0)</f>
        <v>1</v>
      </c>
      <c r="D398" s="96" t="str">
        <f>A31</f>
        <v>Monroe</v>
      </c>
      <c r="E398" s="166">
        <f>IFERROR(SUMIF(A:A,D398,B:B),0)</f>
        <v>3.1956436739103963E-2</v>
      </c>
      <c r="F398" s="98" t="s">
        <v>356</v>
      </c>
      <c r="G398" s="98" t="s">
        <v>373</v>
      </c>
      <c r="H398" s="98" t="s">
        <v>358</v>
      </c>
      <c r="I398" s="98" t="s">
        <v>109</v>
      </c>
      <c r="J398" s="98" t="s">
        <v>111</v>
      </c>
      <c r="K398" s="98" t="s">
        <v>469</v>
      </c>
      <c r="L398" s="98" t="s">
        <v>470</v>
      </c>
      <c r="M398" s="98" t="s">
        <v>357</v>
      </c>
      <c r="N398" s="557" t="s">
        <v>471</v>
      </c>
      <c r="O398" s="557" t="s">
        <v>473</v>
      </c>
      <c r="P398" s="98" t="s">
        <v>110</v>
      </c>
      <c r="Q398" s="99" t="s">
        <v>116</v>
      </c>
      <c r="R398" s="98" t="s">
        <v>112</v>
      </c>
      <c r="S398" s="98" t="s">
        <v>113</v>
      </c>
      <c r="T398" s="98" t="s">
        <v>114</v>
      </c>
      <c r="U398" s="98" t="s">
        <v>115</v>
      </c>
    </row>
    <row r="399" spans="3:21" ht="18.75" x14ac:dyDescent="0.25">
      <c r="C399" s="294">
        <f>C398</f>
        <v>1</v>
      </c>
      <c r="D399" s="101"/>
      <c r="E399" s="102"/>
      <c r="F399" s="84" t="s">
        <v>57</v>
      </c>
      <c r="G399" s="84" t="s">
        <v>56</v>
      </c>
      <c r="H399" s="84" t="s">
        <v>55</v>
      </c>
      <c r="I399" s="84" t="s">
        <v>54</v>
      </c>
      <c r="J399" s="84" t="s">
        <v>53</v>
      </c>
      <c r="K399" s="84" t="s">
        <v>52</v>
      </c>
      <c r="L399" s="84" t="s">
        <v>51</v>
      </c>
      <c r="M399" s="84" t="s">
        <v>50</v>
      </c>
      <c r="N399" s="84" t="s">
        <v>49</v>
      </c>
      <c r="O399" s="84" t="s">
        <v>47</v>
      </c>
      <c r="P399" s="84" t="s">
        <v>77</v>
      </c>
      <c r="Q399" s="84" t="s">
        <v>78</v>
      </c>
      <c r="R399" s="84" t="s">
        <v>79</v>
      </c>
      <c r="S399" s="84" t="s">
        <v>81</v>
      </c>
      <c r="T399" s="84" t="s">
        <v>83</v>
      </c>
      <c r="U399" s="84" t="s">
        <v>85</v>
      </c>
    </row>
    <row r="400" spans="3:21" ht="18.75" x14ac:dyDescent="0.25">
      <c r="C400" s="294">
        <f>C398</f>
        <v>1</v>
      </c>
      <c r="D400" s="103" t="s">
        <v>26</v>
      </c>
      <c r="E400" s="122"/>
      <c r="F400" s="123"/>
      <c r="G400" s="123"/>
      <c r="H400" s="107"/>
      <c r="I400" s="107"/>
      <c r="J400" s="107"/>
      <c r="K400" s="107"/>
      <c r="L400" s="107"/>
      <c r="M400" s="123"/>
      <c r="N400" s="107"/>
      <c r="O400" s="107"/>
      <c r="P400" s="107"/>
      <c r="Q400" s="108"/>
      <c r="R400" s="107"/>
      <c r="S400" s="107"/>
      <c r="T400" s="107"/>
      <c r="U400" s="107"/>
    </row>
    <row r="401" spans="3:21" ht="18.75" x14ac:dyDescent="0.25">
      <c r="C401" s="294">
        <f t="shared" ref="C401:C410" si="299">C399</f>
        <v>1</v>
      </c>
      <c r="D401" s="124" t="s">
        <v>105</v>
      </c>
      <c r="E401" s="76" t="s">
        <v>57</v>
      </c>
      <c r="F401" s="176">
        <f t="shared" ref="F401:L401" si="300">F6*$E$398</f>
        <v>2253900.0018235305</v>
      </c>
      <c r="G401" s="176">
        <f t="shared" si="300"/>
        <v>50683.999660969159</v>
      </c>
      <c r="H401" s="176">
        <f t="shared" si="300"/>
        <v>0</v>
      </c>
      <c r="I401" s="176">
        <f t="shared" si="300"/>
        <v>64597.463439895058</v>
      </c>
      <c r="J401" s="176">
        <f t="shared" si="300"/>
        <v>7405.7683994312019</v>
      </c>
      <c r="K401" s="176">
        <f t="shared" si="300"/>
        <v>2247.6888931747185</v>
      </c>
      <c r="L401" s="176">
        <f t="shared" si="300"/>
        <v>0</v>
      </c>
      <c r="M401" s="176">
        <f t="shared" ref="M401:U401" si="301">M6*$E$398</f>
        <v>0</v>
      </c>
      <c r="N401" s="176">
        <f t="shared" si="301"/>
        <v>0</v>
      </c>
      <c r="O401" s="176">
        <f>O6*$E$398</f>
        <v>63.273744743425844</v>
      </c>
      <c r="P401" s="176">
        <f t="shared" si="301"/>
        <v>0</v>
      </c>
      <c r="Q401" s="175">
        <f>SUM(F401:P401)</f>
        <v>2378898.1959617441</v>
      </c>
      <c r="R401" s="176">
        <f t="shared" si="301"/>
        <v>0</v>
      </c>
      <c r="S401" s="176">
        <f t="shared" si="301"/>
        <v>181536.87856777586</v>
      </c>
      <c r="T401" s="176">
        <f t="shared" ca="1" si="301"/>
        <v>77268.897846690103</v>
      </c>
      <c r="U401" s="176">
        <f t="shared" ca="1" si="301"/>
        <v>57424.715405774899</v>
      </c>
    </row>
    <row r="402" spans="3:21" ht="18.75" x14ac:dyDescent="0.25">
      <c r="C402" s="294">
        <f t="shared" si="299"/>
        <v>1</v>
      </c>
      <c r="D402" s="112" t="s">
        <v>31</v>
      </c>
      <c r="E402" s="76"/>
      <c r="F402" s="177"/>
      <c r="G402" s="177"/>
      <c r="H402" s="178"/>
      <c r="I402" s="178"/>
      <c r="J402" s="178"/>
      <c r="K402" s="178"/>
      <c r="L402" s="178"/>
      <c r="M402" s="177"/>
      <c r="N402" s="178"/>
      <c r="O402" s="178"/>
      <c r="P402" s="178"/>
      <c r="Q402" s="179"/>
      <c r="R402" s="178"/>
      <c r="S402" s="178"/>
      <c r="T402" s="178"/>
      <c r="U402" s="178"/>
    </row>
    <row r="403" spans="3:21" ht="18.75" x14ac:dyDescent="0.3">
      <c r="C403" s="294">
        <f t="shared" si="299"/>
        <v>1</v>
      </c>
      <c r="D403" s="113" t="s">
        <v>118</v>
      </c>
      <c r="E403" s="76" t="s">
        <v>56</v>
      </c>
      <c r="F403" s="176">
        <f t="shared" ref="F403:U403" si="302">F8*$E$398</f>
        <v>0</v>
      </c>
      <c r="G403" s="176">
        <f t="shared" ref="G403:L409" si="303">G8*$E$398</f>
        <v>0</v>
      </c>
      <c r="H403" s="176">
        <f t="shared" si="303"/>
        <v>0</v>
      </c>
      <c r="I403" s="176">
        <f t="shared" si="303"/>
        <v>0</v>
      </c>
      <c r="J403" s="176">
        <f t="shared" si="303"/>
        <v>0</v>
      </c>
      <c r="K403" s="176">
        <f t="shared" si="303"/>
        <v>0</v>
      </c>
      <c r="L403" s="176">
        <f t="shared" si="303"/>
        <v>0</v>
      </c>
      <c r="M403" s="176">
        <f t="shared" si="302"/>
        <v>0</v>
      </c>
      <c r="N403" s="176">
        <f t="shared" si="302"/>
        <v>0</v>
      </c>
      <c r="O403" s="176">
        <f t="shared" ref="O403:O409" si="304">O8*$E$398</f>
        <v>0</v>
      </c>
      <c r="P403" s="176">
        <f t="shared" si="302"/>
        <v>0</v>
      </c>
      <c r="Q403" s="175">
        <f t="shared" ref="Q403:Q409" si="305">SUM(F403:P403)</f>
        <v>0</v>
      </c>
      <c r="R403" s="176">
        <f t="shared" si="302"/>
        <v>0</v>
      </c>
      <c r="S403" s="176">
        <f t="shared" si="302"/>
        <v>0</v>
      </c>
      <c r="T403" s="176">
        <f t="shared" si="302"/>
        <v>0</v>
      </c>
      <c r="U403" s="176">
        <f t="shared" si="302"/>
        <v>0</v>
      </c>
    </row>
    <row r="404" spans="3:21" ht="18.75" x14ac:dyDescent="0.3">
      <c r="C404" s="294">
        <f t="shared" si="299"/>
        <v>1</v>
      </c>
      <c r="D404" s="113" t="s">
        <v>119</v>
      </c>
      <c r="E404" s="76" t="s">
        <v>55</v>
      </c>
      <c r="F404" s="176">
        <f t="shared" ref="F404:U404" si="306">F9*$E$398</f>
        <v>0</v>
      </c>
      <c r="G404" s="176">
        <f t="shared" si="303"/>
        <v>0</v>
      </c>
      <c r="H404" s="176">
        <f t="shared" si="303"/>
        <v>0</v>
      </c>
      <c r="I404" s="176">
        <f t="shared" si="303"/>
        <v>0</v>
      </c>
      <c r="J404" s="176">
        <f t="shared" si="303"/>
        <v>0</v>
      </c>
      <c r="K404" s="176">
        <f t="shared" si="303"/>
        <v>0</v>
      </c>
      <c r="L404" s="176">
        <f t="shared" si="303"/>
        <v>0</v>
      </c>
      <c r="M404" s="176">
        <f t="shared" si="306"/>
        <v>0</v>
      </c>
      <c r="N404" s="176">
        <f t="shared" si="306"/>
        <v>0</v>
      </c>
      <c r="O404" s="176">
        <f t="shared" si="304"/>
        <v>0</v>
      </c>
      <c r="P404" s="176">
        <f t="shared" si="306"/>
        <v>0</v>
      </c>
      <c r="Q404" s="175">
        <f t="shared" si="305"/>
        <v>0</v>
      </c>
      <c r="R404" s="176">
        <f t="shared" si="306"/>
        <v>0</v>
      </c>
      <c r="S404" s="176">
        <f t="shared" si="306"/>
        <v>0</v>
      </c>
      <c r="T404" s="176">
        <f t="shared" si="306"/>
        <v>0</v>
      </c>
      <c r="U404" s="176">
        <f t="shared" si="306"/>
        <v>0</v>
      </c>
    </row>
    <row r="405" spans="3:21" ht="18.75" x14ac:dyDescent="0.3">
      <c r="C405" s="294">
        <f t="shared" si="299"/>
        <v>1</v>
      </c>
      <c r="D405" s="113" t="s">
        <v>120</v>
      </c>
      <c r="E405" s="76" t="s">
        <v>54</v>
      </c>
      <c r="F405" s="176">
        <f t="shared" ref="F405:U405" si="307">F10*$E$398</f>
        <v>0</v>
      </c>
      <c r="G405" s="176">
        <f t="shared" si="303"/>
        <v>0</v>
      </c>
      <c r="H405" s="176">
        <f t="shared" si="303"/>
        <v>0</v>
      </c>
      <c r="I405" s="176">
        <f t="shared" si="303"/>
        <v>0</v>
      </c>
      <c r="J405" s="176">
        <f t="shared" si="303"/>
        <v>0</v>
      </c>
      <c r="K405" s="176">
        <f t="shared" si="303"/>
        <v>0</v>
      </c>
      <c r="L405" s="176">
        <f t="shared" si="303"/>
        <v>0</v>
      </c>
      <c r="M405" s="176">
        <f t="shared" si="307"/>
        <v>0</v>
      </c>
      <c r="N405" s="176">
        <f t="shared" si="307"/>
        <v>0</v>
      </c>
      <c r="O405" s="176">
        <f t="shared" si="304"/>
        <v>0</v>
      </c>
      <c r="P405" s="176">
        <f t="shared" si="307"/>
        <v>0</v>
      </c>
      <c r="Q405" s="175">
        <f t="shared" si="305"/>
        <v>0</v>
      </c>
      <c r="R405" s="176">
        <f t="shared" si="307"/>
        <v>0</v>
      </c>
      <c r="S405" s="176">
        <f t="shared" si="307"/>
        <v>0</v>
      </c>
      <c r="T405" s="176">
        <f t="shared" si="307"/>
        <v>0</v>
      </c>
      <c r="U405" s="176">
        <f t="shared" si="307"/>
        <v>0</v>
      </c>
    </row>
    <row r="406" spans="3:21" ht="18.75" x14ac:dyDescent="0.3">
      <c r="C406" s="294">
        <f t="shared" si="299"/>
        <v>1</v>
      </c>
      <c r="D406" s="113" t="s">
        <v>121</v>
      </c>
      <c r="E406" s="76" t="s">
        <v>53</v>
      </c>
      <c r="F406" s="176">
        <f t="shared" ref="F406:U406" si="308">F11*$E$398</f>
        <v>0</v>
      </c>
      <c r="G406" s="176">
        <f t="shared" si="303"/>
        <v>0</v>
      </c>
      <c r="H406" s="176">
        <f t="shared" si="303"/>
        <v>0</v>
      </c>
      <c r="I406" s="176">
        <f t="shared" si="303"/>
        <v>0</v>
      </c>
      <c r="J406" s="176">
        <f t="shared" si="303"/>
        <v>0</v>
      </c>
      <c r="K406" s="176">
        <f t="shared" si="303"/>
        <v>0</v>
      </c>
      <c r="L406" s="176">
        <f t="shared" si="303"/>
        <v>0</v>
      </c>
      <c r="M406" s="176">
        <f t="shared" si="308"/>
        <v>0</v>
      </c>
      <c r="N406" s="176">
        <f t="shared" si="308"/>
        <v>0</v>
      </c>
      <c r="O406" s="176">
        <f t="shared" si="304"/>
        <v>0</v>
      </c>
      <c r="P406" s="176">
        <f t="shared" si="308"/>
        <v>0</v>
      </c>
      <c r="Q406" s="175">
        <f t="shared" si="305"/>
        <v>0</v>
      </c>
      <c r="R406" s="176">
        <f t="shared" si="308"/>
        <v>0</v>
      </c>
      <c r="S406" s="176">
        <f t="shared" si="308"/>
        <v>0</v>
      </c>
      <c r="T406" s="176">
        <f t="shared" si="308"/>
        <v>0</v>
      </c>
      <c r="U406" s="176">
        <f t="shared" si="308"/>
        <v>0</v>
      </c>
    </row>
    <row r="407" spans="3:21" ht="18.75" x14ac:dyDescent="0.3">
      <c r="C407" s="294">
        <f t="shared" si="299"/>
        <v>1</v>
      </c>
      <c r="D407" s="113" t="s">
        <v>122</v>
      </c>
      <c r="E407" s="76" t="s">
        <v>52</v>
      </c>
      <c r="F407" s="176">
        <f t="shared" ref="F407:U407" si="309">F12*$E$398</f>
        <v>0</v>
      </c>
      <c r="G407" s="176">
        <f t="shared" si="303"/>
        <v>0</v>
      </c>
      <c r="H407" s="176">
        <f t="shared" si="303"/>
        <v>0</v>
      </c>
      <c r="I407" s="176">
        <f t="shared" si="303"/>
        <v>0</v>
      </c>
      <c r="J407" s="176">
        <f t="shared" si="303"/>
        <v>0</v>
      </c>
      <c r="K407" s="176">
        <f t="shared" si="303"/>
        <v>0</v>
      </c>
      <c r="L407" s="176">
        <f t="shared" si="303"/>
        <v>0</v>
      </c>
      <c r="M407" s="176">
        <f t="shared" si="309"/>
        <v>0</v>
      </c>
      <c r="N407" s="176">
        <f t="shared" si="309"/>
        <v>0</v>
      </c>
      <c r="O407" s="176">
        <f t="shared" si="304"/>
        <v>0</v>
      </c>
      <c r="P407" s="176">
        <f t="shared" si="309"/>
        <v>0</v>
      </c>
      <c r="Q407" s="175">
        <f t="shared" si="305"/>
        <v>0</v>
      </c>
      <c r="R407" s="176">
        <f t="shared" si="309"/>
        <v>0</v>
      </c>
      <c r="S407" s="176">
        <f t="shared" si="309"/>
        <v>0</v>
      </c>
      <c r="T407" s="176">
        <f t="shared" si="309"/>
        <v>0</v>
      </c>
      <c r="U407" s="176">
        <f t="shared" si="309"/>
        <v>0</v>
      </c>
    </row>
    <row r="408" spans="3:21" ht="18.75" x14ac:dyDescent="0.3">
      <c r="C408" s="294">
        <f t="shared" si="299"/>
        <v>1</v>
      </c>
      <c r="D408" s="125" t="s">
        <v>123</v>
      </c>
      <c r="E408" s="76" t="s">
        <v>51</v>
      </c>
      <c r="F408" s="176">
        <f t="shared" ref="F408:U408" si="310">F13*$E$398</f>
        <v>0</v>
      </c>
      <c r="G408" s="176">
        <f t="shared" si="303"/>
        <v>0</v>
      </c>
      <c r="H408" s="176">
        <f t="shared" si="303"/>
        <v>0</v>
      </c>
      <c r="I408" s="176">
        <f t="shared" si="303"/>
        <v>0</v>
      </c>
      <c r="J408" s="176">
        <f t="shared" si="303"/>
        <v>0</v>
      </c>
      <c r="K408" s="176">
        <f t="shared" si="303"/>
        <v>0</v>
      </c>
      <c r="L408" s="176">
        <f t="shared" si="303"/>
        <v>0</v>
      </c>
      <c r="M408" s="176">
        <f t="shared" si="310"/>
        <v>0</v>
      </c>
      <c r="N408" s="176">
        <f t="shared" si="310"/>
        <v>0</v>
      </c>
      <c r="O408" s="176">
        <f t="shared" si="304"/>
        <v>0</v>
      </c>
      <c r="P408" s="176">
        <f t="shared" si="310"/>
        <v>0</v>
      </c>
      <c r="Q408" s="175">
        <f t="shared" si="305"/>
        <v>0</v>
      </c>
      <c r="R408" s="176">
        <f t="shared" si="310"/>
        <v>0</v>
      </c>
      <c r="S408" s="176">
        <f t="shared" si="310"/>
        <v>0</v>
      </c>
      <c r="T408" s="176">
        <f t="shared" si="310"/>
        <v>0</v>
      </c>
      <c r="U408" s="176">
        <f t="shared" si="310"/>
        <v>0</v>
      </c>
    </row>
    <row r="409" spans="3:21" ht="19.5" thickBot="1" x14ac:dyDescent="0.35">
      <c r="C409" s="294">
        <f t="shared" si="299"/>
        <v>1</v>
      </c>
      <c r="D409" s="114" t="s">
        <v>16</v>
      </c>
      <c r="E409" s="70" t="s">
        <v>50</v>
      </c>
      <c r="F409" s="176">
        <f t="shared" ref="F409:U409" si="311">F14*$E$398</f>
        <v>240653.45923885109</v>
      </c>
      <c r="G409" s="176">
        <f t="shared" si="303"/>
        <v>4780.5427770892384</v>
      </c>
      <c r="H409" s="176">
        <f t="shared" si="303"/>
        <v>0</v>
      </c>
      <c r="I409" s="176">
        <f t="shared" si="303"/>
        <v>0</v>
      </c>
      <c r="J409" s="176">
        <f t="shared" si="303"/>
        <v>10206.170547188032</v>
      </c>
      <c r="K409" s="176">
        <f t="shared" si="303"/>
        <v>42.019247774597254</v>
      </c>
      <c r="L409" s="176">
        <f t="shared" si="303"/>
        <v>5.9133140075661261</v>
      </c>
      <c r="M409" s="176">
        <f t="shared" si="311"/>
        <v>0</v>
      </c>
      <c r="N409" s="176">
        <f t="shared" si="311"/>
        <v>0</v>
      </c>
      <c r="O409" s="176">
        <f t="shared" si="304"/>
        <v>3058.460080163321</v>
      </c>
      <c r="P409" s="176">
        <f t="shared" si="311"/>
        <v>52090.591962548191</v>
      </c>
      <c r="Q409" s="175">
        <f t="shared" si="305"/>
        <v>310837.157167622</v>
      </c>
      <c r="R409" s="176">
        <f t="shared" si="311"/>
        <v>0</v>
      </c>
      <c r="S409" s="176">
        <f t="shared" si="311"/>
        <v>21613.547287053851</v>
      </c>
      <c r="T409" s="176">
        <f t="shared" ca="1" si="311"/>
        <v>6268.5098209092612</v>
      </c>
      <c r="U409" s="176">
        <f t="shared" ca="1" si="311"/>
        <v>357.19964294725446</v>
      </c>
    </row>
    <row r="410" spans="3:21" ht="19.5" thickBot="1" x14ac:dyDescent="0.3">
      <c r="C410" s="294">
        <f t="shared" si="299"/>
        <v>1</v>
      </c>
      <c r="D410" s="115" t="s">
        <v>124</v>
      </c>
      <c r="E410" s="116" t="s">
        <v>49</v>
      </c>
      <c r="F410" s="269">
        <f t="shared" ref="F410:U410" si="312">SUBTOTAL(9,F401:F409)</f>
        <v>2494553.4610623815</v>
      </c>
      <c r="G410" s="269">
        <f t="shared" ref="G410:L410" si="313">SUBTOTAL(9,G401:G409)</f>
        <v>55464.542438058401</v>
      </c>
      <c r="H410" s="269">
        <f t="shared" si="313"/>
        <v>0</v>
      </c>
      <c r="I410" s="269">
        <f t="shared" si="313"/>
        <v>64597.463439895058</v>
      </c>
      <c r="J410" s="269">
        <f t="shared" si="313"/>
        <v>17611.938946619233</v>
      </c>
      <c r="K410" s="269">
        <f t="shared" si="313"/>
        <v>2289.7081409493157</v>
      </c>
      <c r="L410" s="269">
        <f t="shared" si="313"/>
        <v>5.9133140075661261</v>
      </c>
      <c r="M410" s="269">
        <f t="shared" si="312"/>
        <v>0</v>
      </c>
      <c r="N410" s="269">
        <f t="shared" si="312"/>
        <v>0</v>
      </c>
      <c r="O410" s="269">
        <f>SUBTOTAL(9,O401:O409)</f>
        <v>3121.733824906747</v>
      </c>
      <c r="P410" s="269">
        <f t="shared" si="312"/>
        <v>52090.591962548191</v>
      </c>
      <c r="Q410" s="183">
        <f>SUBTOTAL(9,Q401:Q409)</f>
        <v>2689735.3531293659</v>
      </c>
      <c r="R410" s="269">
        <f t="shared" si="312"/>
        <v>0</v>
      </c>
      <c r="S410" s="269">
        <f t="shared" si="312"/>
        <v>203150.42585482972</v>
      </c>
      <c r="T410" s="269">
        <f t="shared" ca="1" si="312"/>
        <v>83537.407667599357</v>
      </c>
      <c r="U410" s="269">
        <f t="shared" ca="1" si="312"/>
        <v>57781.915048722156</v>
      </c>
    </row>
    <row r="411" spans="3:21" ht="15.75" hidden="1" thickBot="1" x14ac:dyDescent="0.3"/>
    <row r="412" spans="3:21" ht="93.75" x14ac:dyDescent="0.25">
      <c r="C412" s="294">
        <f>IF($E$412&gt;0,1,0)</f>
        <v>1</v>
      </c>
      <c r="D412" s="96" t="str">
        <f>A32</f>
        <v>Montgomery</v>
      </c>
      <c r="E412" s="166">
        <f>IFERROR(SUMIF(A:A,D412,B:B),0)</f>
        <v>5.4683471425666123E-3</v>
      </c>
      <c r="F412" s="98" t="s">
        <v>356</v>
      </c>
      <c r="G412" s="98" t="s">
        <v>373</v>
      </c>
      <c r="H412" s="98" t="s">
        <v>358</v>
      </c>
      <c r="I412" s="98" t="s">
        <v>109</v>
      </c>
      <c r="J412" s="98" t="s">
        <v>111</v>
      </c>
      <c r="K412" s="98" t="s">
        <v>469</v>
      </c>
      <c r="L412" s="98" t="s">
        <v>470</v>
      </c>
      <c r="M412" s="98" t="s">
        <v>357</v>
      </c>
      <c r="N412" s="557" t="s">
        <v>471</v>
      </c>
      <c r="O412" s="557" t="s">
        <v>473</v>
      </c>
      <c r="P412" s="98" t="s">
        <v>110</v>
      </c>
      <c r="Q412" s="99" t="s">
        <v>116</v>
      </c>
      <c r="R412" s="98" t="s">
        <v>112</v>
      </c>
      <c r="S412" s="98" t="s">
        <v>113</v>
      </c>
      <c r="T412" s="98" t="s">
        <v>114</v>
      </c>
      <c r="U412" s="98" t="s">
        <v>115</v>
      </c>
    </row>
    <row r="413" spans="3:21" ht="18.75" x14ac:dyDescent="0.25">
      <c r="C413" s="294">
        <f>C412</f>
        <v>1</v>
      </c>
      <c r="D413" s="101"/>
      <c r="E413" s="102"/>
      <c r="F413" s="84" t="s">
        <v>57</v>
      </c>
      <c r="G413" s="84" t="s">
        <v>56</v>
      </c>
      <c r="H413" s="84" t="s">
        <v>55</v>
      </c>
      <c r="I413" s="84" t="s">
        <v>54</v>
      </c>
      <c r="J413" s="84" t="s">
        <v>53</v>
      </c>
      <c r="K413" s="84" t="s">
        <v>52</v>
      </c>
      <c r="L413" s="84" t="s">
        <v>51</v>
      </c>
      <c r="M413" s="84" t="s">
        <v>50</v>
      </c>
      <c r="N413" s="84" t="s">
        <v>49</v>
      </c>
      <c r="O413" s="84" t="s">
        <v>47</v>
      </c>
      <c r="P413" s="84" t="s">
        <v>77</v>
      </c>
      <c r="Q413" s="84" t="s">
        <v>78</v>
      </c>
      <c r="R413" s="84" t="s">
        <v>79</v>
      </c>
      <c r="S413" s="84" t="s">
        <v>81</v>
      </c>
      <c r="T413" s="84" t="s">
        <v>83</v>
      </c>
      <c r="U413" s="84" t="s">
        <v>85</v>
      </c>
    </row>
    <row r="414" spans="3:21" ht="18.75" x14ac:dyDescent="0.25">
      <c r="C414" s="294">
        <f>C412</f>
        <v>1</v>
      </c>
      <c r="D414" s="103" t="s">
        <v>26</v>
      </c>
      <c r="E414" s="122"/>
      <c r="F414" s="123"/>
      <c r="G414" s="123"/>
      <c r="H414" s="107"/>
      <c r="I414" s="107"/>
      <c r="J414" s="107"/>
      <c r="K414" s="107"/>
      <c r="L414" s="107"/>
      <c r="M414" s="123"/>
      <c r="N414" s="107"/>
      <c r="O414" s="107"/>
      <c r="P414" s="107"/>
      <c r="Q414" s="108"/>
      <c r="R414" s="107"/>
      <c r="S414" s="107"/>
      <c r="T414" s="107"/>
      <c r="U414" s="107"/>
    </row>
    <row r="415" spans="3:21" ht="18.75" x14ac:dyDescent="0.25">
      <c r="C415" s="294">
        <f t="shared" ref="C415:C424" si="314">C413</f>
        <v>1</v>
      </c>
      <c r="D415" s="124" t="s">
        <v>105</v>
      </c>
      <c r="E415" s="76" t="s">
        <v>57</v>
      </c>
      <c r="F415" s="176">
        <f t="shared" ref="F415:L415" si="315">F6*$E$412</f>
        <v>385684.66613553278</v>
      </c>
      <c r="G415" s="176">
        <f t="shared" si="315"/>
        <v>8672.9852574820943</v>
      </c>
      <c r="H415" s="176">
        <f t="shared" si="315"/>
        <v>0</v>
      </c>
      <c r="I415" s="176">
        <f t="shared" si="315"/>
        <v>11053.840498629572</v>
      </c>
      <c r="J415" s="176">
        <f t="shared" si="315"/>
        <v>1267.2662098144565</v>
      </c>
      <c r="K415" s="176">
        <f t="shared" si="315"/>
        <v>384.62182866997949</v>
      </c>
      <c r="L415" s="176">
        <f t="shared" si="315"/>
        <v>0</v>
      </c>
      <c r="M415" s="176">
        <f t="shared" ref="M415:U415" si="316">M6*$E$412</f>
        <v>0</v>
      </c>
      <c r="N415" s="176">
        <f t="shared" si="316"/>
        <v>0</v>
      </c>
      <c r="O415" s="176">
        <f>O6*$E$412</f>
        <v>10.827327342281892</v>
      </c>
      <c r="P415" s="176">
        <f t="shared" si="316"/>
        <v>0</v>
      </c>
      <c r="Q415" s="175">
        <f>SUM(F415:P415)</f>
        <v>407074.20725747116</v>
      </c>
      <c r="R415" s="176">
        <f t="shared" si="316"/>
        <v>0</v>
      </c>
      <c r="S415" s="176">
        <f t="shared" si="316"/>
        <v>31064.373017903436</v>
      </c>
      <c r="T415" s="176">
        <f t="shared" ca="1" si="316"/>
        <v>13222.161162673698</v>
      </c>
      <c r="U415" s="176">
        <f t="shared" ca="1" si="316"/>
        <v>9826.4484543615272</v>
      </c>
    </row>
    <row r="416" spans="3:21" ht="18.75" x14ac:dyDescent="0.25">
      <c r="C416" s="294">
        <f t="shared" si="314"/>
        <v>1</v>
      </c>
      <c r="D416" s="112" t="s">
        <v>31</v>
      </c>
      <c r="E416" s="76"/>
      <c r="F416" s="177"/>
      <c r="G416" s="177"/>
      <c r="H416" s="178"/>
      <c r="I416" s="178"/>
      <c r="J416" s="178"/>
      <c r="K416" s="178"/>
      <c r="L416" s="178"/>
      <c r="M416" s="177"/>
      <c r="N416" s="178"/>
      <c r="O416" s="178"/>
      <c r="P416" s="178"/>
      <c r="Q416" s="179"/>
      <c r="R416" s="178"/>
      <c r="S416" s="178"/>
      <c r="T416" s="178"/>
      <c r="U416" s="178"/>
    </row>
    <row r="417" spans="3:21" ht="18.75" x14ac:dyDescent="0.3">
      <c r="C417" s="294">
        <f t="shared" si="314"/>
        <v>1</v>
      </c>
      <c r="D417" s="113" t="s">
        <v>118</v>
      </c>
      <c r="E417" s="76" t="s">
        <v>56</v>
      </c>
      <c r="F417" s="176">
        <f t="shared" ref="F417:U417" si="317">F8*$E$412</f>
        <v>0</v>
      </c>
      <c r="G417" s="176">
        <f t="shared" ref="G417:L423" si="318">G8*$E$412</f>
        <v>0</v>
      </c>
      <c r="H417" s="176">
        <f t="shared" si="318"/>
        <v>0</v>
      </c>
      <c r="I417" s="176">
        <f t="shared" si="318"/>
        <v>0</v>
      </c>
      <c r="J417" s="176">
        <f t="shared" si="318"/>
        <v>0</v>
      </c>
      <c r="K417" s="176">
        <f t="shared" si="318"/>
        <v>0</v>
      </c>
      <c r="L417" s="176">
        <f t="shared" si="318"/>
        <v>0</v>
      </c>
      <c r="M417" s="176">
        <f t="shared" si="317"/>
        <v>0</v>
      </c>
      <c r="N417" s="176">
        <f t="shared" si="317"/>
        <v>0</v>
      </c>
      <c r="O417" s="176">
        <f t="shared" ref="O417:O423" si="319">O8*$E$412</f>
        <v>0</v>
      </c>
      <c r="P417" s="176">
        <f t="shared" si="317"/>
        <v>0</v>
      </c>
      <c r="Q417" s="175">
        <f t="shared" ref="Q417:Q423" si="320">SUM(F417:P417)</f>
        <v>0</v>
      </c>
      <c r="R417" s="176">
        <f t="shared" si="317"/>
        <v>0</v>
      </c>
      <c r="S417" s="176">
        <f t="shared" si="317"/>
        <v>0</v>
      </c>
      <c r="T417" s="176">
        <f t="shared" si="317"/>
        <v>0</v>
      </c>
      <c r="U417" s="176">
        <f t="shared" si="317"/>
        <v>0</v>
      </c>
    </row>
    <row r="418" spans="3:21" ht="18.75" x14ac:dyDescent="0.3">
      <c r="C418" s="294">
        <f t="shared" si="314"/>
        <v>1</v>
      </c>
      <c r="D418" s="113" t="s">
        <v>119</v>
      </c>
      <c r="E418" s="76" t="s">
        <v>55</v>
      </c>
      <c r="F418" s="176">
        <f t="shared" ref="F418:U418" si="321">F9*$E$412</f>
        <v>0</v>
      </c>
      <c r="G418" s="176">
        <f t="shared" si="318"/>
        <v>0</v>
      </c>
      <c r="H418" s="176">
        <f t="shared" si="318"/>
        <v>0</v>
      </c>
      <c r="I418" s="176">
        <f t="shared" si="318"/>
        <v>0</v>
      </c>
      <c r="J418" s="176">
        <f t="shared" si="318"/>
        <v>0</v>
      </c>
      <c r="K418" s="176">
        <f t="shared" si="318"/>
        <v>0</v>
      </c>
      <c r="L418" s="176">
        <f t="shared" si="318"/>
        <v>0</v>
      </c>
      <c r="M418" s="176">
        <f t="shared" si="321"/>
        <v>0</v>
      </c>
      <c r="N418" s="176">
        <f t="shared" si="321"/>
        <v>0</v>
      </c>
      <c r="O418" s="176">
        <f t="shared" si="319"/>
        <v>0</v>
      </c>
      <c r="P418" s="176">
        <f t="shared" si="321"/>
        <v>0</v>
      </c>
      <c r="Q418" s="175">
        <f t="shared" si="320"/>
        <v>0</v>
      </c>
      <c r="R418" s="176">
        <f t="shared" si="321"/>
        <v>0</v>
      </c>
      <c r="S418" s="176">
        <f t="shared" si="321"/>
        <v>0</v>
      </c>
      <c r="T418" s="176">
        <f t="shared" si="321"/>
        <v>0</v>
      </c>
      <c r="U418" s="176">
        <f t="shared" si="321"/>
        <v>0</v>
      </c>
    </row>
    <row r="419" spans="3:21" ht="18.75" x14ac:dyDescent="0.3">
      <c r="C419" s="294">
        <f t="shared" si="314"/>
        <v>1</v>
      </c>
      <c r="D419" s="113" t="s">
        <v>120</v>
      </c>
      <c r="E419" s="76" t="s">
        <v>54</v>
      </c>
      <c r="F419" s="176">
        <f t="shared" ref="F419:U419" si="322">F10*$E$412</f>
        <v>0</v>
      </c>
      <c r="G419" s="176">
        <f t="shared" si="318"/>
        <v>0</v>
      </c>
      <c r="H419" s="176">
        <f t="shared" si="318"/>
        <v>0</v>
      </c>
      <c r="I419" s="176">
        <f t="shared" si="318"/>
        <v>0</v>
      </c>
      <c r="J419" s="176">
        <f t="shared" si="318"/>
        <v>0</v>
      </c>
      <c r="K419" s="176">
        <f t="shared" si="318"/>
        <v>0</v>
      </c>
      <c r="L419" s="176">
        <f t="shared" si="318"/>
        <v>0</v>
      </c>
      <c r="M419" s="176">
        <f t="shared" si="322"/>
        <v>0</v>
      </c>
      <c r="N419" s="176">
        <f t="shared" si="322"/>
        <v>0</v>
      </c>
      <c r="O419" s="176">
        <f t="shared" si="319"/>
        <v>0</v>
      </c>
      <c r="P419" s="176">
        <f t="shared" si="322"/>
        <v>0</v>
      </c>
      <c r="Q419" s="175">
        <f t="shared" si="320"/>
        <v>0</v>
      </c>
      <c r="R419" s="176">
        <f t="shared" si="322"/>
        <v>0</v>
      </c>
      <c r="S419" s="176">
        <f t="shared" si="322"/>
        <v>0</v>
      </c>
      <c r="T419" s="176">
        <f t="shared" si="322"/>
        <v>0</v>
      </c>
      <c r="U419" s="176">
        <f t="shared" si="322"/>
        <v>0</v>
      </c>
    </row>
    <row r="420" spans="3:21" ht="18.75" x14ac:dyDescent="0.3">
      <c r="C420" s="294">
        <f t="shared" si="314"/>
        <v>1</v>
      </c>
      <c r="D420" s="113" t="s">
        <v>121</v>
      </c>
      <c r="E420" s="76" t="s">
        <v>53</v>
      </c>
      <c r="F420" s="176">
        <f t="shared" ref="F420:U420" si="323">F11*$E$412</f>
        <v>0</v>
      </c>
      <c r="G420" s="176">
        <f t="shared" si="318"/>
        <v>0</v>
      </c>
      <c r="H420" s="176">
        <f t="shared" si="318"/>
        <v>0</v>
      </c>
      <c r="I420" s="176">
        <f t="shared" si="318"/>
        <v>0</v>
      </c>
      <c r="J420" s="176">
        <f t="shared" si="318"/>
        <v>0</v>
      </c>
      <c r="K420" s="176">
        <f t="shared" si="318"/>
        <v>0</v>
      </c>
      <c r="L420" s="176">
        <f t="shared" si="318"/>
        <v>0</v>
      </c>
      <c r="M420" s="176">
        <f t="shared" si="323"/>
        <v>0</v>
      </c>
      <c r="N420" s="176">
        <f t="shared" si="323"/>
        <v>0</v>
      </c>
      <c r="O420" s="176">
        <f t="shared" si="319"/>
        <v>0</v>
      </c>
      <c r="P420" s="176">
        <f t="shared" si="323"/>
        <v>0</v>
      </c>
      <c r="Q420" s="175">
        <f t="shared" si="320"/>
        <v>0</v>
      </c>
      <c r="R420" s="176">
        <f t="shared" si="323"/>
        <v>0</v>
      </c>
      <c r="S420" s="176">
        <f t="shared" si="323"/>
        <v>0</v>
      </c>
      <c r="T420" s="176">
        <f t="shared" si="323"/>
        <v>0</v>
      </c>
      <c r="U420" s="176">
        <f t="shared" si="323"/>
        <v>0</v>
      </c>
    </row>
    <row r="421" spans="3:21" ht="18.75" x14ac:dyDescent="0.3">
      <c r="C421" s="294">
        <f t="shared" si="314"/>
        <v>1</v>
      </c>
      <c r="D421" s="113" t="s">
        <v>122</v>
      </c>
      <c r="E421" s="76" t="s">
        <v>52</v>
      </c>
      <c r="F421" s="176">
        <f t="shared" ref="F421:U421" si="324">F12*$E$412</f>
        <v>0</v>
      </c>
      <c r="G421" s="176">
        <f t="shared" si="318"/>
        <v>0</v>
      </c>
      <c r="H421" s="176">
        <f t="shared" si="318"/>
        <v>0</v>
      </c>
      <c r="I421" s="176">
        <f t="shared" si="318"/>
        <v>0</v>
      </c>
      <c r="J421" s="176">
        <f t="shared" si="318"/>
        <v>0</v>
      </c>
      <c r="K421" s="176">
        <f t="shared" si="318"/>
        <v>0</v>
      </c>
      <c r="L421" s="176">
        <f t="shared" si="318"/>
        <v>0</v>
      </c>
      <c r="M421" s="176">
        <f t="shared" si="324"/>
        <v>0</v>
      </c>
      <c r="N421" s="176">
        <f t="shared" si="324"/>
        <v>0</v>
      </c>
      <c r="O421" s="176">
        <f t="shared" si="319"/>
        <v>0</v>
      </c>
      <c r="P421" s="176">
        <f t="shared" si="324"/>
        <v>0</v>
      </c>
      <c r="Q421" s="175">
        <f t="shared" si="320"/>
        <v>0</v>
      </c>
      <c r="R421" s="176">
        <f t="shared" si="324"/>
        <v>0</v>
      </c>
      <c r="S421" s="176">
        <f t="shared" si="324"/>
        <v>0</v>
      </c>
      <c r="T421" s="176">
        <f t="shared" si="324"/>
        <v>0</v>
      </c>
      <c r="U421" s="176">
        <f t="shared" si="324"/>
        <v>0</v>
      </c>
    </row>
    <row r="422" spans="3:21" ht="18.75" x14ac:dyDescent="0.3">
      <c r="C422" s="294">
        <f t="shared" si="314"/>
        <v>1</v>
      </c>
      <c r="D422" s="125" t="s">
        <v>123</v>
      </c>
      <c r="E422" s="76" t="s">
        <v>51</v>
      </c>
      <c r="F422" s="176">
        <f t="shared" ref="F422:U422" si="325">F13*$E$412</f>
        <v>0</v>
      </c>
      <c r="G422" s="176">
        <f t="shared" si="318"/>
        <v>0</v>
      </c>
      <c r="H422" s="176">
        <f t="shared" si="318"/>
        <v>0</v>
      </c>
      <c r="I422" s="176">
        <f t="shared" si="318"/>
        <v>0</v>
      </c>
      <c r="J422" s="176">
        <f t="shared" si="318"/>
        <v>0</v>
      </c>
      <c r="K422" s="176">
        <f t="shared" si="318"/>
        <v>0</v>
      </c>
      <c r="L422" s="176">
        <f t="shared" si="318"/>
        <v>0</v>
      </c>
      <c r="M422" s="176">
        <f t="shared" si="325"/>
        <v>0</v>
      </c>
      <c r="N422" s="176">
        <f t="shared" si="325"/>
        <v>0</v>
      </c>
      <c r="O422" s="176">
        <f t="shared" si="319"/>
        <v>0</v>
      </c>
      <c r="P422" s="176">
        <f t="shared" si="325"/>
        <v>0</v>
      </c>
      <c r="Q422" s="175">
        <f t="shared" si="320"/>
        <v>0</v>
      </c>
      <c r="R422" s="176">
        <f t="shared" si="325"/>
        <v>0</v>
      </c>
      <c r="S422" s="176">
        <f t="shared" si="325"/>
        <v>0</v>
      </c>
      <c r="T422" s="176">
        <f t="shared" si="325"/>
        <v>0</v>
      </c>
      <c r="U422" s="176">
        <f t="shared" si="325"/>
        <v>0</v>
      </c>
    </row>
    <row r="423" spans="3:21" ht="19.5" thickBot="1" x14ac:dyDescent="0.35">
      <c r="C423" s="294">
        <f t="shared" si="314"/>
        <v>1</v>
      </c>
      <c r="D423" s="114" t="s">
        <v>16</v>
      </c>
      <c r="E423" s="70" t="s">
        <v>50</v>
      </c>
      <c r="F423" s="176">
        <f t="shared" ref="F423:U423" si="326">F14*$E$412</f>
        <v>41180.331428104058</v>
      </c>
      <c r="G423" s="176">
        <f t="shared" si="318"/>
        <v>818.0407486741085</v>
      </c>
      <c r="H423" s="176">
        <f t="shared" si="318"/>
        <v>0</v>
      </c>
      <c r="I423" s="176">
        <f t="shared" si="318"/>
        <v>0</v>
      </c>
      <c r="J423" s="176">
        <f t="shared" si="318"/>
        <v>1746.4676679665411</v>
      </c>
      <c r="K423" s="176">
        <f t="shared" si="318"/>
        <v>7.1902833027641284</v>
      </c>
      <c r="L423" s="176">
        <f t="shared" si="318"/>
        <v>1.0118792035660491</v>
      </c>
      <c r="M423" s="176">
        <f t="shared" si="326"/>
        <v>0</v>
      </c>
      <c r="N423" s="176">
        <f t="shared" si="326"/>
        <v>0</v>
      </c>
      <c r="O423" s="176">
        <f t="shared" si="319"/>
        <v>523.36002216259919</v>
      </c>
      <c r="P423" s="176">
        <f t="shared" si="326"/>
        <v>8913.6796457798919</v>
      </c>
      <c r="Q423" s="175">
        <f t="shared" si="320"/>
        <v>53190.081675193527</v>
      </c>
      <c r="R423" s="176">
        <f t="shared" si="326"/>
        <v>0</v>
      </c>
      <c r="S423" s="176">
        <f t="shared" si="326"/>
        <v>3698.4842995108988</v>
      </c>
      <c r="T423" s="176">
        <f t="shared" ca="1" si="326"/>
        <v>1072.6598853048797</v>
      </c>
      <c r="U423" s="176">
        <f t="shared" ca="1" si="326"/>
        <v>61.123574658317864</v>
      </c>
    </row>
    <row r="424" spans="3:21" ht="19.5" thickBot="1" x14ac:dyDescent="0.3">
      <c r="C424" s="294">
        <f t="shared" si="314"/>
        <v>1</v>
      </c>
      <c r="D424" s="115" t="s">
        <v>124</v>
      </c>
      <c r="E424" s="116" t="s">
        <v>49</v>
      </c>
      <c r="F424" s="269">
        <f t="shared" ref="F424:U424" si="327">SUBTOTAL(9,F415:F423)</f>
        <v>426864.99756363686</v>
      </c>
      <c r="G424" s="269">
        <f t="shared" ref="G424:L424" si="328">SUBTOTAL(9,G415:G423)</f>
        <v>9491.0260061562021</v>
      </c>
      <c r="H424" s="269">
        <f t="shared" si="328"/>
        <v>0</v>
      </c>
      <c r="I424" s="269">
        <f t="shared" si="328"/>
        <v>11053.840498629572</v>
      </c>
      <c r="J424" s="269">
        <f t="shared" si="328"/>
        <v>3013.7338777809973</v>
      </c>
      <c r="K424" s="269">
        <f t="shared" si="328"/>
        <v>391.81211197274359</v>
      </c>
      <c r="L424" s="269">
        <f t="shared" si="328"/>
        <v>1.0118792035660491</v>
      </c>
      <c r="M424" s="269">
        <f t="shared" si="327"/>
        <v>0</v>
      </c>
      <c r="N424" s="269">
        <f t="shared" si="327"/>
        <v>0</v>
      </c>
      <c r="O424" s="269">
        <f>SUBTOTAL(9,O415:O423)</f>
        <v>534.18734950488113</v>
      </c>
      <c r="P424" s="269">
        <f t="shared" si="327"/>
        <v>8913.6796457798919</v>
      </c>
      <c r="Q424" s="183">
        <f>SUBTOTAL(9,Q415:Q423)</f>
        <v>460264.28893266467</v>
      </c>
      <c r="R424" s="269">
        <f t="shared" si="327"/>
        <v>0</v>
      </c>
      <c r="S424" s="269">
        <f t="shared" si="327"/>
        <v>34762.857317414331</v>
      </c>
      <c r="T424" s="269">
        <f t="shared" ca="1" si="327"/>
        <v>14294.821047978578</v>
      </c>
      <c r="U424" s="269">
        <f t="shared" ca="1" si="327"/>
        <v>9887.5720290198442</v>
      </c>
    </row>
    <row r="425" spans="3:21" ht="15.75" hidden="1" thickBot="1" x14ac:dyDescent="0.3"/>
    <row r="426" spans="3:21" ht="93.75" x14ac:dyDescent="0.25">
      <c r="C426" s="294">
        <f>IF($E$426&gt;0,1,0)</f>
        <v>1</v>
      </c>
      <c r="D426" s="96" t="str">
        <f>A33</f>
        <v>Nassau</v>
      </c>
      <c r="E426" s="166">
        <f>IFERROR(SUMIF(A:A,D426,B:B),0)</f>
        <v>5.1693236147688171E-2</v>
      </c>
      <c r="F426" s="98" t="s">
        <v>356</v>
      </c>
      <c r="G426" s="98" t="s">
        <v>373</v>
      </c>
      <c r="H426" s="98" t="s">
        <v>358</v>
      </c>
      <c r="I426" s="98" t="s">
        <v>109</v>
      </c>
      <c r="J426" s="98" t="s">
        <v>111</v>
      </c>
      <c r="K426" s="98" t="s">
        <v>469</v>
      </c>
      <c r="L426" s="98" t="s">
        <v>470</v>
      </c>
      <c r="M426" s="98" t="s">
        <v>357</v>
      </c>
      <c r="N426" s="557" t="s">
        <v>471</v>
      </c>
      <c r="O426" s="557" t="s">
        <v>473</v>
      </c>
      <c r="P426" s="98" t="s">
        <v>110</v>
      </c>
      <c r="Q426" s="99" t="s">
        <v>116</v>
      </c>
      <c r="R426" s="98" t="s">
        <v>112</v>
      </c>
      <c r="S426" s="98" t="s">
        <v>113</v>
      </c>
      <c r="T426" s="98" t="s">
        <v>114</v>
      </c>
      <c r="U426" s="98" t="s">
        <v>115</v>
      </c>
    </row>
    <row r="427" spans="3:21" ht="18.75" x14ac:dyDescent="0.25">
      <c r="C427" s="294">
        <f>C426</f>
        <v>1</v>
      </c>
      <c r="D427" s="101"/>
      <c r="E427" s="102"/>
      <c r="F427" s="84" t="s">
        <v>57</v>
      </c>
      <c r="G427" s="84" t="s">
        <v>56</v>
      </c>
      <c r="H427" s="84" t="s">
        <v>55</v>
      </c>
      <c r="I427" s="84" t="s">
        <v>54</v>
      </c>
      <c r="J427" s="84" t="s">
        <v>53</v>
      </c>
      <c r="K427" s="84" t="s">
        <v>52</v>
      </c>
      <c r="L427" s="84" t="s">
        <v>51</v>
      </c>
      <c r="M427" s="84" t="s">
        <v>50</v>
      </c>
      <c r="N427" s="84" t="s">
        <v>49</v>
      </c>
      <c r="O427" s="84" t="s">
        <v>47</v>
      </c>
      <c r="P427" s="84" t="s">
        <v>77</v>
      </c>
      <c r="Q427" s="84" t="s">
        <v>78</v>
      </c>
      <c r="R427" s="84" t="s">
        <v>79</v>
      </c>
      <c r="S427" s="84" t="s">
        <v>81</v>
      </c>
      <c r="T427" s="84" t="s">
        <v>83</v>
      </c>
      <c r="U427" s="84" t="s">
        <v>85</v>
      </c>
    </row>
    <row r="428" spans="3:21" ht="18.75" x14ac:dyDescent="0.25">
      <c r="C428" s="294">
        <f>C426</f>
        <v>1</v>
      </c>
      <c r="D428" s="103" t="s">
        <v>26</v>
      </c>
      <c r="E428" s="122"/>
      <c r="F428" s="123"/>
      <c r="G428" s="123"/>
      <c r="H428" s="107"/>
      <c r="I428" s="107"/>
      <c r="J428" s="107"/>
      <c r="K428" s="107"/>
      <c r="L428" s="107"/>
      <c r="M428" s="123"/>
      <c r="N428" s="107"/>
      <c r="O428" s="107"/>
      <c r="P428" s="107"/>
      <c r="Q428" s="108"/>
      <c r="R428" s="107"/>
      <c r="S428" s="107"/>
      <c r="T428" s="107"/>
      <c r="U428" s="107"/>
    </row>
    <row r="429" spans="3:21" ht="18.75" x14ac:dyDescent="0.25">
      <c r="C429" s="294">
        <f t="shared" ref="C429:C438" si="329">C427</f>
        <v>1</v>
      </c>
      <c r="D429" s="124" t="s">
        <v>105</v>
      </c>
      <c r="E429" s="76" t="s">
        <v>57</v>
      </c>
      <c r="F429" s="176">
        <f t="shared" ref="F429:L429" si="330">F6*$E$426</f>
        <v>3645944.1958047748</v>
      </c>
      <c r="G429" s="176">
        <f t="shared" si="330"/>
        <v>81987.237337315513</v>
      </c>
      <c r="H429" s="176">
        <f t="shared" si="330"/>
        <v>0</v>
      </c>
      <c r="I429" s="176">
        <f t="shared" si="330"/>
        <v>104493.87581607381</v>
      </c>
      <c r="J429" s="176">
        <f t="shared" si="330"/>
        <v>11979.687780973107</v>
      </c>
      <c r="K429" s="176">
        <f t="shared" si="330"/>
        <v>3635.8970084808798</v>
      </c>
      <c r="L429" s="176">
        <f t="shared" si="330"/>
        <v>0</v>
      </c>
      <c r="M429" s="176">
        <f t="shared" ref="M429:U429" si="331">M6*$E$426</f>
        <v>0</v>
      </c>
      <c r="N429" s="176">
        <f t="shared" si="331"/>
        <v>0</v>
      </c>
      <c r="O429" s="176">
        <f>O6*$E$426</f>
        <v>102.35260757242258</v>
      </c>
      <c r="P429" s="176">
        <f t="shared" si="331"/>
        <v>0</v>
      </c>
      <c r="Q429" s="175">
        <f>SUM(F429:P429)</f>
        <v>3848143.2463551904</v>
      </c>
      <c r="R429" s="176">
        <f t="shared" si="331"/>
        <v>0</v>
      </c>
      <c r="S429" s="176">
        <f t="shared" si="331"/>
        <v>293656.9183207801</v>
      </c>
      <c r="T429" s="176">
        <f t="shared" ca="1" si="331"/>
        <v>124991.38799079208</v>
      </c>
      <c r="U429" s="176">
        <f t="shared" ca="1" si="331"/>
        <v>92891.125453674176</v>
      </c>
    </row>
    <row r="430" spans="3:21" ht="18.75" x14ac:dyDescent="0.25">
      <c r="C430" s="294">
        <f t="shared" si="329"/>
        <v>1</v>
      </c>
      <c r="D430" s="112" t="s">
        <v>31</v>
      </c>
      <c r="E430" s="76"/>
      <c r="F430" s="177"/>
      <c r="G430" s="177"/>
      <c r="H430" s="178"/>
      <c r="I430" s="178"/>
      <c r="J430" s="178"/>
      <c r="K430" s="178"/>
      <c r="L430" s="178"/>
      <c r="M430" s="177"/>
      <c r="N430" s="178"/>
      <c r="O430" s="178"/>
      <c r="P430" s="178"/>
      <c r="Q430" s="179"/>
      <c r="R430" s="178"/>
      <c r="S430" s="178"/>
      <c r="T430" s="178"/>
      <c r="U430" s="178"/>
    </row>
    <row r="431" spans="3:21" ht="18.75" x14ac:dyDescent="0.3">
      <c r="C431" s="294">
        <f t="shared" si="329"/>
        <v>1</v>
      </c>
      <c r="D431" s="113" t="s">
        <v>118</v>
      </c>
      <c r="E431" s="76" t="s">
        <v>56</v>
      </c>
      <c r="F431" s="176">
        <f t="shared" ref="F431:U431" si="332">F8*$E$426</f>
        <v>0</v>
      </c>
      <c r="G431" s="176">
        <f t="shared" ref="G431:L437" si="333">G8*$E$426</f>
        <v>0</v>
      </c>
      <c r="H431" s="176">
        <f t="shared" si="333"/>
        <v>0</v>
      </c>
      <c r="I431" s="176">
        <f t="shared" si="333"/>
        <v>0</v>
      </c>
      <c r="J431" s="176">
        <f t="shared" si="333"/>
        <v>0</v>
      </c>
      <c r="K431" s="176">
        <f t="shared" si="333"/>
        <v>0</v>
      </c>
      <c r="L431" s="176">
        <f t="shared" si="333"/>
        <v>0</v>
      </c>
      <c r="M431" s="176">
        <f t="shared" si="332"/>
        <v>0</v>
      </c>
      <c r="N431" s="176">
        <f t="shared" si="332"/>
        <v>0</v>
      </c>
      <c r="O431" s="176">
        <f t="shared" ref="O431:O437" si="334">O8*$E$426</f>
        <v>0</v>
      </c>
      <c r="P431" s="176">
        <f t="shared" si="332"/>
        <v>0</v>
      </c>
      <c r="Q431" s="175">
        <f t="shared" ref="Q431:Q437" si="335">SUM(F431:P431)</f>
        <v>0</v>
      </c>
      <c r="R431" s="176">
        <f t="shared" si="332"/>
        <v>0</v>
      </c>
      <c r="S431" s="176">
        <f t="shared" si="332"/>
        <v>0</v>
      </c>
      <c r="T431" s="176">
        <f t="shared" si="332"/>
        <v>0</v>
      </c>
      <c r="U431" s="176">
        <f t="shared" si="332"/>
        <v>0</v>
      </c>
    </row>
    <row r="432" spans="3:21" ht="18.75" x14ac:dyDescent="0.3">
      <c r="C432" s="294">
        <f t="shared" si="329"/>
        <v>1</v>
      </c>
      <c r="D432" s="113" t="s">
        <v>119</v>
      </c>
      <c r="E432" s="76" t="s">
        <v>55</v>
      </c>
      <c r="F432" s="176">
        <f t="shared" ref="F432:U432" si="336">F9*$E$426</f>
        <v>0</v>
      </c>
      <c r="G432" s="176">
        <f t="shared" si="333"/>
        <v>0</v>
      </c>
      <c r="H432" s="176">
        <f t="shared" si="333"/>
        <v>0</v>
      </c>
      <c r="I432" s="176">
        <f t="shared" si="333"/>
        <v>0</v>
      </c>
      <c r="J432" s="176">
        <f t="shared" si="333"/>
        <v>0</v>
      </c>
      <c r="K432" s="176">
        <f t="shared" si="333"/>
        <v>0</v>
      </c>
      <c r="L432" s="176">
        <f t="shared" si="333"/>
        <v>0</v>
      </c>
      <c r="M432" s="176">
        <f t="shared" si="336"/>
        <v>0</v>
      </c>
      <c r="N432" s="176">
        <f t="shared" si="336"/>
        <v>0</v>
      </c>
      <c r="O432" s="176">
        <f t="shared" si="334"/>
        <v>0</v>
      </c>
      <c r="P432" s="176">
        <f t="shared" si="336"/>
        <v>0</v>
      </c>
      <c r="Q432" s="175">
        <f t="shared" si="335"/>
        <v>0</v>
      </c>
      <c r="R432" s="176">
        <f t="shared" si="336"/>
        <v>0</v>
      </c>
      <c r="S432" s="176">
        <f t="shared" si="336"/>
        <v>0</v>
      </c>
      <c r="T432" s="176">
        <f t="shared" si="336"/>
        <v>0</v>
      </c>
      <c r="U432" s="176">
        <f t="shared" si="336"/>
        <v>0</v>
      </c>
    </row>
    <row r="433" spans="3:21" ht="18.75" x14ac:dyDescent="0.3">
      <c r="C433" s="294">
        <f t="shared" si="329"/>
        <v>1</v>
      </c>
      <c r="D433" s="113" t="s">
        <v>120</v>
      </c>
      <c r="E433" s="76" t="s">
        <v>54</v>
      </c>
      <c r="F433" s="176">
        <f t="shared" ref="F433:U433" si="337">F10*$E$426</f>
        <v>0</v>
      </c>
      <c r="G433" s="176">
        <f t="shared" si="333"/>
        <v>0</v>
      </c>
      <c r="H433" s="176">
        <f t="shared" si="333"/>
        <v>0</v>
      </c>
      <c r="I433" s="176">
        <f t="shared" si="333"/>
        <v>0</v>
      </c>
      <c r="J433" s="176">
        <f t="shared" si="333"/>
        <v>0</v>
      </c>
      <c r="K433" s="176">
        <f t="shared" si="333"/>
        <v>0</v>
      </c>
      <c r="L433" s="176">
        <f t="shared" si="333"/>
        <v>0</v>
      </c>
      <c r="M433" s="176">
        <f t="shared" si="337"/>
        <v>0</v>
      </c>
      <c r="N433" s="176">
        <f t="shared" si="337"/>
        <v>0</v>
      </c>
      <c r="O433" s="176">
        <f t="shared" si="334"/>
        <v>0</v>
      </c>
      <c r="P433" s="176">
        <f t="shared" si="337"/>
        <v>0</v>
      </c>
      <c r="Q433" s="175">
        <f t="shared" si="335"/>
        <v>0</v>
      </c>
      <c r="R433" s="176">
        <f t="shared" si="337"/>
        <v>0</v>
      </c>
      <c r="S433" s="176">
        <f t="shared" si="337"/>
        <v>0</v>
      </c>
      <c r="T433" s="176">
        <f t="shared" si="337"/>
        <v>0</v>
      </c>
      <c r="U433" s="176">
        <f t="shared" si="337"/>
        <v>0</v>
      </c>
    </row>
    <row r="434" spans="3:21" ht="18.75" x14ac:dyDescent="0.3">
      <c r="C434" s="294">
        <f t="shared" si="329"/>
        <v>1</v>
      </c>
      <c r="D434" s="113" t="s">
        <v>121</v>
      </c>
      <c r="E434" s="76" t="s">
        <v>53</v>
      </c>
      <c r="F434" s="176">
        <f t="shared" ref="F434:U434" si="338">F11*$E$426</f>
        <v>0</v>
      </c>
      <c r="G434" s="176">
        <f t="shared" si="333"/>
        <v>0</v>
      </c>
      <c r="H434" s="176">
        <f t="shared" si="333"/>
        <v>0</v>
      </c>
      <c r="I434" s="176">
        <f t="shared" si="333"/>
        <v>0</v>
      </c>
      <c r="J434" s="176">
        <f t="shared" si="333"/>
        <v>0</v>
      </c>
      <c r="K434" s="176">
        <f t="shared" si="333"/>
        <v>0</v>
      </c>
      <c r="L434" s="176">
        <f t="shared" si="333"/>
        <v>0</v>
      </c>
      <c r="M434" s="176">
        <f t="shared" si="338"/>
        <v>0</v>
      </c>
      <c r="N434" s="176">
        <f t="shared" si="338"/>
        <v>0</v>
      </c>
      <c r="O434" s="176">
        <f t="shared" si="334"/>
        <v>0</v>
      </c>
      <c r="P434" s="176">
        <f t="shared" si="338"/>
        <v>0</v>
      </c>
      <c r="Q434" s="175">
        <f t="shared" si="335"/>
        <v>0</v>
      </c>
      <c r="R434" s="176">
        <f t="shared" si="338"/>
        <v>0</v>
      </c>
      <c r="S434" s="176">
        <f t="shared" si="338"/>
        <v>0</v>
      </c>
      <c r="T434" s="176">
        <f t="shared" si="338"/>
        <v>0</v>
      </c>
      <c r="U434" s="176">
        <f t="shared" si="338"/>
        <v>0</v>
      </c>
    </row>
    <row r="435" spans="3:21" ht="18.75" x14ac:dyDescent="0.3">
      <c r="C435" s="294">
        <f t="shared" si="329"/>
        <v>1</v>
      </c>
      <c r="D435" s="113" t="s">
        <v>122</v>
      </c>
      <c r="E435" s="76" t="s">
        <v>52</v>
      </c>
      <c r="F435" s="176">
        <f t="shared" ref="F435:U435" si="339">F12*$E$426</f>
        <v>0</v>
      </c>
      <c r="G435" s="176">
        <f t="shared" si="333"/>
        <v>0</v>
      </c>
      <c r="H435" s="176">
        <f t="shared" si="333"/>
        <v>0</v>
      </c>
      <c r="I435" s="176">
        <f t="shared" si="333"/>
        <v>0</v>
      </c>
      <c r="J435" s="176">
        <f t="shared" si="333"/>
        <v>0</v>
      </c>
      <c r="K435" s="176">
        <f t="shared" si="333"/>
        <v>0</v>
      </c>
      <c r="L435" s="176">
        <f t="shared" si="333"/>
        <v>0</v>
      </c>
      <c r="M435" s="176">
        <f t="shared" si="339"/>
        <v>0</v>
      </c>
      <c r="N435" s="176">
        <f t="shared" si="339"/>
        <v>0</v>
      </c>
      <c r="O435" s="176">
        <f t="shared" si="334"/>
        <v>0</v>
      </c>
      <c r="P435" s="176">
        <f t="shared" si="339"/>
        <v>0</v>
      </c>
      <c r="Q435" s="175">
        <f t="shared" si="335"/>
        <v>0</v>
      </c>
      <c r="R435" s="176">
        <f t="shared" si="339"/>
        <v>0</v>
      </c>
      <c r="S435" s="176">
        <f t="shared" si="339"/>
        <v>0</v>
      </c>
      <c r="T435" s="176">
        <f t="shared" si="339"/>
        <v>0</v>
      </c>
      <c r="U435" s="176">
        <f t="shared" si="339"/>
        <v>0</v>
      </c>
    </row>
    <row r="436" spans="3:21" ht="18.75" x14ac:dyDescent="0.3">
      <c r="C436" s="294">
        <f t="shared" si="329"/>
        <v>1</v>
      </c>
      <c r="D436" s="125" t="s">
        <v>123</v>
      </c>
      <c r="E436" s="76" t="s">
        <v>51</v>
      </c>
      <c r="F436" s="176">
        <f t="shared" ref="F436:U436" si="340">F13*$E$426</f>
        <v>0</v>
      </c>
      <c r="G436" s="176">
        <f t="shared" si="333"/>
        <v>0</v>
      </c>
      <c r="H436" s="176">
        <f t="shared" si="333"/>
        <v>0</v>
      </c>
      <c r="I436" s="176">
        <f t="shared" si="333"/>
        <v>0</v>
      </c>
      <c r="J436" s="176">
        <f t="shared" si="333"/>
        <v>0</v>
      </c>
      <c r="K436" s="176">
        <f t="shared" si="333"/>
        <v>0</v>
      </c>
      <c r="L436" s="176">
        <f t="shared" si="333"/>
        <v>0</v>
      </c>
      <c r="M436" s="176">
        <f t="shared" si="340"/>
        <v>0</v>
      </c>
      <c r="N436" s="176">
        <f t="shared" si="340"/>
        <v>0</v>
      </c>
      <c r="O436" s="176">
        <f t="shared" si="334"/>
        <v>0</v>
      </c>
      <c r="P436" s="176">
        <f t="shared" si="340"/>
        <v>0</v>
      </c>
      <c r="Q436" s="175">
        <f t="shared" si="335"/>
        <v>0</v>
      </c>
      <c r="R436" s="176">
        <f t="shared" si="340"/>
        <v>0</v>
      </c>
      <c r="S436" s="176">
        <f t="shared" si="340"/>
        <v>0</v>
      </c>
      <c r="T436" s="176">
        <f t="shared" si="340"/>
        <v>0</v>
      </c>
      <c r="U436" s="176">
        <f t="shared" si="340"/>
        <v>0</v>
      </c>
    </row>
    <row r="437" spans="3:21" ht="19.5" thickBot="1" x14ac:dyDescent="0.35">
      <c r="C437" s="294">
        <f t="shared" si="329"/>
        <v>1</v>
      </c>
      <c r="D437" s="114" t="s">
        <v>16</v>
      </c>
      <c r="E437" s="70" t="s">
        <v>50</v>
      </c>
      <c r="F437" s="176">
        <f t="shared" ref="F437:U437" si="341">F14*$E$426</f>
        <v>389284.83171496401</v>
      </c>
      <c r="G437" s="176">
        <f t="shared" si="333"/>
        <v>7733.0814041543272</v>
      </c>
      <c r="H437" s="176">
        <f t="shared" si="333"/>
        <v>0</v>
      </c>
      <c r="I437" s="176">
        <f t="shared" si="333"/>
        <v>0</v>
      </c>
      <c r="J437" s="176">
        <f t="shared" si="333"/>
        <v>16509.66246852477</v>
      </c>
      <c r="K437" s="176">
        <f t="shared" si="333"/>
        <v>67.970998008753</v>
      </c>
      <c r="L437" s="176">
        <f t="shared" si="333"/>
        <v>9.5654700148249105</v>
      </c>
      <c r="M437" s="176">
        <f t="shared" si="341"/>
        <v>0</v>
      </c>
      <c r="N437" s="176">
        <f t="shared" si="341"/>
        <v>0</v>
      </c>
      <c r="O437" s="176">
        <f t="shared" si="334"/>
        <v>4947.4132695994977</v>
      </c>
      <c r="P437" s="176">
        <f t="shared" si="341"/>
        <v>84262.563231834632</v>
      </c>
      <c r="Q437" s="175">
        <f t="shared" si="335"/>
        <v>502815.08855710074</v>
      </c>
      <c r="R437" s="176">
        <f t="shared" si="341"/>
        <v>0</v>
      </c>
      <c r="S437" s="176">
        <f t="shared" si="341"/>
        <v>34962.415022064415</v>
      </c>
      <c r="T437" s="176">
        <f t="shared" ca="1" si="341"/>
        <v>10140.040365321742</v>
      </c>
      <c r="U437" s="176">
        <f t="shared" ca="1" si="341"/>
        <v>577.81177687271975</v>
      </c>
    </row>
    <row r="438" spans="3:21" ht="19.5" thickBot="1" x14ac:dyDescent="0.3">
      <c r="C438" s="294">
        <f t="shared" si="329"/>
        <v>1</v>
      </c>
      <c r="D438" s="115" t="s">
        <v>124</v>
      </c>
      <c r="E438" s="116" t="s">
        <v>49</v>
      </c>
      <c r="F438" s="269">
        <f t="shared" ref="F438:U438" si="342">SUBTOTAL(9,F429:F437)</f>
        <v>4035229.0275197388</v>
      </c>
      <c r="G438" s="269">
        <f t="shared" ref="G438:L438" si="343">SUBTOTAL(9,G429:G437)</f>
        <v>89720.318741469848</v>
      </c>
      <c r="H438" s="269">
        <f t="shared" si="343"/>
        <v>0</v>
      </c>
      <c r="I438" s="269">
        <f t="shared" si="343"/>
        <v>104493.87581607381</v>
      </c>
      <c r="J438" s="269">
        <f t="shared" si="343"/>
        <v>28489.350249497875</v>
      </c>
      <c r="K438" s="269">
        <f t="shared" si="343"/>
        <v>3703.868006489633</v>
      </c>
      <c r="L438" s="269">
        <f t="shared" si="343"/>
        <v>9.5654700148249105</v>
      </c>
      <c r="M438" s="269">
        <f t="shared" si="342"/>
        <v>0</v>
      </c>
      <c r="N438" s="269">
        <f t="shared" si="342"/>
        <v>0</v>
      </c>
      <c r="O438" s="269">
        <f>SUBTOTAL(9,O429:O437)</f>
        <v>5049.7658771719198</v>
      </c>
      <c r="P438" s="269">
        <f t="shared" si="342"/>
        <v>84262.563231834632</v>
      </c>
      <c r="Q438" s="183">
        <f>SUBTOTAL(9,Q429:Q437)</f>
        <v>4350958.3349122908</v>
      </c>
      <c r="R438" s="269">
        <f t="shared" si="342"/>
        <v>0</v>
      </c>
      <c r="S438" s="269">
        <f t="shared" si="342"/>
        <v>328619.3333428445</v>
      </c>
      <c r="T438" s="269">
        <f t="shared" ca="1" si="342"/>
        <v>135131.42835611381</v>
      </c>
      <c r="U438" s="269">
        <f t="shared" ca="1" si="342"/>
        <v>93468.937230546901</v>
      </c>
    </row>
    <row r="439" spans="3:21" ht="15.75" hidden="1" thickBot="1" x14ac:dyDescent="0.3"/>
    <row r="440" spans="3:21" ht="93.75" x14ac:dyDescent="0.25">
      <c r="C440" s="294">
        <f>IF($E$440&gt;0,1,0)</f>
        <v>1</v>
      </c>
      <c r="D440" s="96" t="str">
        <f>A34</f>
        <v>New York</v>
      </c>
      <c r="E440" s="166">
        <f>IFERROR(SUMIF(A:A,D440,B:B),0)</f>
        <v>6.8695669215824678E-2</v>
      </c>
      <c r="F440" s="98" t="s">
        <v>356</v>
      </c>
      <c r="G440" s="98" t="s">
        <v>373</v>
      </c>
      <c r="H440" s="98" t="s">
        <v>358</v>
      </c>
      <c r="I440" s="98" t="s">
        <v>109</v>
      </c>
      <c r="J440" s="98" t="s">
        <v>111</v>
      </c>
      <c r="K440" s="98" t="s">
        <v>469</v>
      </c>
      <c r="L440" s="98" t="s">
        <v>470</v>
      </c>
      <c r="M440" s="98" t="s">
        <v>357</v>
      </c>
      <c r="N440" s="557" t="s">
        <v>471</v>
      </c>
      <c r="O440" s="557" t="s">
        <v>473</v>
      </c>
      <c r="P440" s="98" t="s">
        <v>110</v>
      </c>
      <c r="Q440" s="99" t="s">
        <v>116</v>
      </c>
      <c r="R440" s="98" t="s">
        <v>112</v>
      </c>
      <c r="S440" s="98" t="s">
        <v>113</v>
      </c>
      <c r="T440" s="98" t="s">
        <v>114</v>
      </c>
      <c r="U440" s="98" t="s">
        <v>115</v>
      </c>
    </row>
    <row r="441" spans="3:21" ht="18.75" x14ac:dyDescent="0.25">
      <c r="C441" s="294">
        <f>C440</f>
        <v>1</v>
      </c>
      <c r="D441" s="101"/>
      <c r="E441" s="102"/>
      <c r="F441" s="84" t="s">
        <v>57</v>
      </c>
      <c r="G441" s="84" t="s">
        <v>56</v>
      </c>
      <c r="H441" s="84" t="s">
        <v>55</v>
      </c>
      <c r="I441" s="84" t="s">
        <v>54</v>
      </c>
      <c r="J441" s="84" t="s">
        <v>53</v>
      </c>
      <c r="K441" s="84" t="s">
        <v>52</v>
      </c>
      <c r="L441" s="84" t="s">
        <v>51</v>
      </c>
      <c r="M441" s="84" t="s">
        <v>50</v>
      </c>
      <c r="N441" s="84" t="s">
        <v>49</v>
      </c>
      <c r="O441" s="84" t="s">
        <v>47</v>
      </c>
      <c r="P441" s="84" t="s">
        <v>77</v>
      </c>
      <c r="Q441" s="84" t="s">
        <v>78</v>
      </c>
      <c r="R441" s="84" t="s">
        <v>79</v>
      </c>
      <c r="S441" s="84" t="s">
        <v>81</v>
      </c>
      <c r="T441" s="84" t="s">
        <v>83</v>
      </c>
      <c r="U441" s="84" t="s">
        <v>85</v>
      </c>
    </row>
    <row r="442" spans="3:21" ht="18.75" x14ac:dyDescent="0.25">
      <c r="C442" s="294">
        <f>C440</f>
        <v>1</v>
      </c>
      <c r="D442" s="103" t="s">
        <v>26</v>
      </c>
      <c r="E442" s="122"/>
      <c r="F442" s="123"/>
      <c r="G442" s="123"/>
      <c r="H442" s="107"/>
      <c r="I442" s="107"/>
      <c r="J442" s="107"/>
      <c r="K442" s="107"/>
      <c r="L442" s="107"/>
      <c r="M442" s="123"/>
      <c r="N442" s="107"/>
      <c r="O442" s="107"/>
      <c r="P442" s="107"/>
      <c r="Q442" s="108"/>
      <c r="R442" s="107"/>
      <c r="S442" s="107"/>
      <c r="T442" s="107"/>
      <c r="U442" s="107"/>
    </row>
    <row r="443" spans="3:21" ht="18.75" x14ac:dyDescent="0.25">
      <c r="C443" s="294">
        <f t="shared" ref="C443:C452" si="344">C441</f>
        <v>1</v>
      </c>
      <c r="D443" s="124" t="s">
        <v>105</v>
      </c>
      <c r="E443" s="76" t="s">
        <v>57</v>
      </c>
      <c r="F443" s="176">
        <f t="shared" ref="F443:L443" si="345">F6*$E$440</f>
        <v>4845132.4606335731</v>
      </c>
      <c r="G443" s="176">
        <f t="shared" si="345"/>
        <v>108953.67664644496</v>
      </c>
      <c r="H443" s="176">
        <f t="shared" si="345"/>
        <v>0</v>
      </c>
      <c r="I443" s="176">
        <f t="shared" si="345"/>
        <v>138862.97827499229</v>
      </c>
      <c r="J443" s="176">
        <f t="shared" si="345"/>
        <v>15919.929384173201</v>
      </c>
      <c r="K443" s="176">
        <f t="shared" si="345"/>
        <v>4831.780650834321</v>
      </c>
      <c r="L443" s="176">
        <f t="shared" si="345"/>
        <v>0</v>
      </c>
      <c r="M443" s="176">
        <f t="shared" ref="M443:U443" si="346">M6*$E$440</f>
        <v>0</v>
      </c>
      <c r="N443" s="176">
        <f t="shared" si="346"/>
        <v>0</v>
      </c>
      <c r="O443" s="176">
        <f>O6*$E$440</f>
        <v>136.01742504733286</v>
      </c>
      <c r="P443" s="176">
        <f t="shared" si="346"/>
        <v>0</v>
      </c>
      <c r="Q443" s="175">
        <f>SUM(F443:P443)</f>
        <v>5113836.8430150654</v>
      </c>
      <c r="R443" s="176">
        <f t="shared" si="346"/>
        <v>0</v>
      </c>
      <c r="S443" s="176">
        <f t="shared" si="346"/>
        <v>390243.67648928735</v>
      </c>
      <c r="T443" s="176">
        <f t="shared" ca="1" si="346"/>
        <v>166102.33144837178</v>
      </c>
      <c r="U443" s="176">
        <f t="shared" ca="1" si="346"/>
        <v>123443.96487424505</v>
      </c>
    </row>
    <row r="444" spans="3:21" ht="18.75" x14ac:dyDescent="0.25">
      <c r="C444" s="294">
        <f t="shared" si="344"/>
        <v>1</v>
      </c>
      <c r="D444" s="112" t="s">
        <v>31</v>
      </c>
      <c r="E444" s="76"/>
      <c r="F444" s="177" t="s">
        <v>359</v>
      </c>
      <c r="G444" s="177"/>
      <c r="H444" s="178"/>
      <c r="I444" s="178"/>
      <c r="J444" s="178"/>
      <c r="K444" s="178"/>
      <c r="L444" s="178"/>
      <c r="M444" s="177"/>
      <c r="N444" s="178"/>
      <c r="O444" s="178"/>
      <c r="P444" s="178"/>
      <c r="Q444" s="179"/>
      <c r="R444" s="178"/>
      <c r="S444" s="178"/>
      <c r="T444" s="178"/>
      <c r="U444" s="178"/>
    </row>
    <row r="445" spans="3:21" ht="18.75" x14ac:dyDescent="0.3">
      <c r="C445" s="294">
        <f t="shared" si="344"/>
        <v>1</v>
      </c>
      <c r="D445" s="113" t="s">
        <v>118</v>
      </c>
      <c r="E445" s="76" t="s">
        <v>56</v>
      </c>
      <c r="F445" s="176">
        <f t="shared" ref="F445:U445" si="347">F8*$E$440</f>
        <v>0</v>
      </c>
      <c r="G445" s="176">
        <f t="shared" ref="G445:L451" si="348">G8*$E$440</f>
        <v>0</v>
      </c>
      <c r="H445" s="176">
        <f t="shared" si="348"/>
        <v>0</v>
      </c>
      <c r="I445" s="176">
        <f t="shared" si="348"/>
        <v>0</v>
      </c>
      <c r="J445" s="176">
        <f t="shared" si="348"/>
        <v>0</v>
      </c>
      <c r="K445" s="176">
        <f t="shared" si="348"/>
        <v>0</v>
      </c>
      <c r="L445" s="176">
        <f t="shared" si="348"/>
        <v>0</v>
      </c>
      <c r="M445" s="176">
        <f t="shared" si="347"/>
        <v>0</v>
      </c>
      <c r="N445" s="176">
        <f t="shared" si="347"/>
        <v>0</v>
      </c>
      <c r="O445" s="176">
        <f t="shared" ref="O445:O451" si="349">O8*$E$440</f>
        <v>0</v>
      </c>
      <c r="P445" s="176">
        <f t="shared" si="347"/>
        <v>0</v>
      </c>
      <c r="Q445" s="175">
        <f t="shared" ref="Q445:Q451" si="350">SUM(F445:P445)</f>
        <v>0</v>
      </c>
      <c r="R445" s="176">
        <f t="shared" si="347"/>
        <v>0</v>
      </c>
      <c r="S445" s="176">
        <f t="shared" si="347"/>
        <v>0</v>
      </c>
      <c r="T445" s="176">
        <f t="shared" si="347"/>
        <v>0</v>
      </c>
      <c r="U445" s="176">
        <f t="shared" si="347"/>
        <v>0</v>
      </c>
    </row>
    <row r="446" spans="3:21" ht="18.75" x14ac:dyDescent="0.3">
      <c r="C446" s="294">
        <f t="shared" si="344"/>
        <v>1</v>
      </c>
      <c r="D446" s="113" t="s">
        <v>119</v>
      </c>
      <c r="E446" s="76" t="s">
        <v>55</v>
      </c>
      <c r="F446" s="176">
        <f t="shared" ref="F446:U446" si="351">F9*$E$440</f>
        <v>0</v>
      </c>
      <c r="G446" s="176">
        <f t="shared" si="348"/>
        <v>0</v>
      </c>
      <c r="H446" s="176">
        <f t="shared" si="348"/>
        <v>0</v>
      </c>
      <c r="I446" s="176">
        <f t="shared" si="348"/>
        <v>0</v>
      </c>
      <c r="J446" s="176">
        <f t="shared" si="348"/>
        <v>0</v>
      </c>
      <c r="K446" s="176">
        <f t="shared" si="348"/>
        <v>0</v>
      </c>
      <c r="L446" s="176">
        <f t="shared" si="348"/>
        <v>0</v>
      </c>
      <c r="M446" s="176">
        <f t="shared" si="351"/>
        <v>0</v>
      </c>
      <c r="N446" s="176">
        <f t="shared" si="351"/>
        <v>0</v>
      </c>
      <c r="O446" s="176">
        <f t="shared" si="349"/>
        <v>0</v>
      </c>
      <c r="P446" s="176">
        <f t="shared" si="351"/>
        <v>0</v>
      </c>
      <c r="Q446" s="175">
        <f t="shared" si="350"/>
        <v>0</v>
      </c>
      <c r="R446" s="176">
        <f t="shared" si="351"/>
        <v>0</v>
      </c>
      <c r="S446" s="176">
        <f t="shared" si="351"/>
        <v>0</v>
      </c>
      <c r="T446" s="176">
        <f t="shared" si="351"/>
        <v>0</v>
      </c>
      <c r="U446" s="176">
        <f t="shared" si="351"/>
        <v>0</v>
      </c>
    </row>
    <row r="447" spans="3:21" ht="18.75" x14ac:dyDescent="0.3">
      <c r="C447" s="294">
        <f t="shared" si="344"/>
        <v>1</v>
      </c>
      <c r="D447" s="113" t="s">
        <v>120</v>
      </c>
      <c r="E447" s="76" t="s">
        <v>54</v>
      </c>
      <c r="F447" s="176">
        <f t="shared" ref="F447:U447" si="352">F10*$E$440</f>
        <v>0</v>
      </c>
      <c r="G447" s="176">
        <f t="shared" si="348"/>
        <v>0</v>
      </c>
      <c r="H447" s="176">
        <f t="shared" si="348"/>
        <v>0</v>
      </c>
      <c r="I447" s="176">
        <f t="shared" si="348"/>
        <v>0</v>
      </c>
      <c r="J447" s="176">
        <f t="shared" si="348"/>
        <v>0</v>
      </c>
      <c r="K447" s="176">
        <f t="shared" si="348"/>
        <v>0</v>
      </c>
      <c r="L447" s="176">
        <f t="shared" si="348"/>
        <v>0</v>
      </c>
      <c r="M447" s="176">
        <f t="shared" si="352"/>
        <v>0</v>
      </c>
      <c r="N447" s="176">
        <f t="shared" si="352"/>
        <v>0</v>
      </c>
      <c r="O447" s="176">
        <f t="shared" si="349"/>
        <v>0</v>
      </c>
      <c r="P447" s="176">
        <f t="shared" si="352"/>
        <v>0</v>
      </c>
      <c r="Q447" s="175">
        <f t="shared" si="350"/>
        <v>0</v>
      </c>
      <c r="R447" s="176">
        <f t="shared" si="352"/>
        <v>0</v>
      </c>
      <c r="S447" s="176">
        <f t="shared" si="352"/>
        <v>0</v>
      </c>
      <c r="T447" s="176">
        <f t="shared" si="352"/>
        <v>0</v>
      </c>
      <c r="U447" s="176">
        <f t="shared" si="352"/>
        <v>0</v>
      </c>
    </row>
    <row r="448" spans="3:21" ht="18.75" x14ac:dyDescent="0.3">
      <c r="C448" s="294">
        <f t="shared" si="344"/>
        <v>1</v>
      </c>
      <c r="D448" s="113" t="s">
        <v>121</v>
      </c>
      <c r="E448" s="76" t="s">
        <v>53</v>
      </c>
      <c r="F448" s="176">
        <f t="shared" ref="F448:U448" si="353">F11*$E$440</f>
        <v>0</v>
      </c>
      <c r="G448" s="176">
        <f t="shared" si="348"/>
        <v>0</v>
      </c>
      <c r="H448" s="176">
        <f t="shared" si="348"/>
        <v>0</v>
      </c>
      <c r="I448" s="176">
        <f t="shared" si="348"/>
        <v>0</v>
      </c>
      <c r="J448" s="176">
        <f t="shared" si="348"/>
        <v>0</v>
      </c>
      <c r="K448" s="176">
        <f t="shared" si="348"/>
        <v>0</v>
      </c>
      <c r="L448" s="176">
        <f t="shared" si="348"/>
        <v>0</v>
      </c>
      <c r="M448" s="176">
        <f t="shared" si="353"/>
        <v>0</v>
      </c>
      <c r="N448" s="176">
        <f t="shared" si="353"/>
        <v>0</v>
      </c>
      <c r="O448" s="176">
        <f t="shared" si="349"/>
        <v>0</v>
      </c>
      <c r="P448" s="176">
        <f t="shared" si="353"/>
        <v>0</v>
      </c>
      <c r="Q448" s="175">
        <f t="shared" si="350"/>
        <v>0</v>
      </c>
      <c r="R448" s="176">
        <f t="shared" si="353"/>
        <v>0</v>
      </c>
      <c r="S448" s="176">
        <f t="shared" si="353"/>
        <v>0</v>
      </c>
      <c r="T448" s="176">
        <f t="shared" si="353"/>
        <v>0</v>
      </c>
      <c r="U448" s="176">
        <f t="shared" si="353"/>
        <v>0</v>
      </c>
    </row>
    <row r="449" spans="3:21" ht="18.75" x14ac:dyDescent="0.3">
      <c r="C449" s="294">
        <f t="shared" si="344"/>
        <v>1</v>
      </c>
      <c r="D449" s="113" t="s">
        <v>122</v>
      </c>
      <c r="E449" s="76" t="s">
        <v>52</v>
      </c>
      <c r="F449" s="176">
        <f t="shared" ref="F449:U449" si="354">F12*$E$440</f>
        <v>0</v>
      </c>
      <c r="G449" s="176">
        <f t="shared" si="348"/>
        <v>0</v>
      </c>
      <c r="H449" s="176">
        <f t="shared" si="348"/>
        <v>0</v>
      </c>
      <c r="I449" s="176">
        <f t="shared" si="348"/>
        <v>0</v>
      </c>
      <c r="J449" s="176">
        <f t="shared" si="348"/>
        <v>0</v>
      </c>
      <c r="K449" s="176">
        <f t="shared" si="348"/>
        <v>0</v>
      </c>
      <c r="L449" s="176">
        <f t="shared" si="348"/>
        <v>0</v>
      </c>
      <c r="M449" s="176">
        <f t="shared" si="354"/>
        <v>0</v>
      </c>
      <c r="N449" s="176">
        <f t="shared" si="354"/>
        <v>0</v>
      </c>
      <c r="O449" s="176">
        <f t="shared" si="349"/>
        <v>0</v>
      </c>
      <c r="P449" s="176">
        <f t="shared" si="354"/>
        <v>0</v>
      </c>
      <c r="Q449" s="175">
        <f t="shared" si="350"/>
        <v>0</v>
      </c>
      <c r="R449" s="176">
        <f t="shared" si="354"/>
        <v>0</v>
      </c>
      <c r="S449" s="176">
        <f t="shared" si="354"/>
        <v>0</v>
      </c>
      <c r="T449" s="176">
        <f t="shared" si="354"/>
        <v>0</v>
      </c>
      <c r="U449" s="176">
        <f t="shared" si="354"/>
        <v>0</v>
      </c>
    </row>
    <row r="450" spans="3:21" ht="18.75" x14ac:dyDescent="0.3">
      <c r="C450" s="294">
        <f t="shared" si="344"/>
        <v>1</v>
      </c>
      <c r="D450" s="125" t="s">
        <v>123</v>
      </c>
      <c r="E450" s="76" t="s">
        <v>51</v>
      </c>
      <c r="F450" s="176">
        <f t="shared" ref="F450:U450" si="355">F13*$E$440</f>
        <v>0</v>
      </c>
      <c r="G450" s="176">
        <f t="shared" si="348"/>
        <v>0</v>
      </c>
      <c r="H450" s="176">
        <f t="shared" si="348"/>
        <v>0</v>
      </c>
      <c r="I450" s="176">
        <f t="shared" si="348"/>
        <v>0</v>
      </c>
      <c r="J450" s="176">
        <f t="shared" si="348"/>
        <v>0</v>
      </c>
      <c r="K450" s="176">
        <f t="shared" si="348"/>
        <v>0</v>
      </c>
      <c r="L450" s="176">
        <f t="shared" si="348"/>
        <v>0</v>
      </c>
      <c r="M450" s="176">
        <f t="shared" si="355"/>
        <v>0</v>
      </c>
      <c r="N450" s="176">
        <f t="shared" si="355"/>
        <v>0</v>
      </c>
      <c r="O450" s="176">
        <f t="shared" si="349"/>
        <v>0</v>
      </c>
      <c r="P450" s="176">
        <f t="shared" si="355"/>
        <v>0</v>
      </c>
      <c r="Q450" s="175">
        <f t="shared" si="350"/>
        <v>0</v>
      </c>
      <c r="R450" s="176">
        <f t="shared" si="355"/>
        <v>0</v>
      </c>
      <c r="S450" s="176">
        <f t="shared" si="355"/>
        <v>0</v>
      </c>
      <c r="T450" s="176">
        <f t="shared" si="355"/>
        <v>0</v>
      </c>
      <c r="U450" s="176">
        <f t="shared" si="355"/>
        <v>0</v>
      </c>
    </row>
    <row r="451" spans="3:21" ht="19.5" thickBot="1" x14ac:dyDescent="0.35">
      <c r="C451" s="294">
        <f t="shared" si="344"/>
        <v>1</v>
      </c>
      <c r="D451" s="114" t="s">
        <v>16</v>
      </c>
      <c r="E451" s="70" t="s">
        <v>50</v>
      </c>
      <c r="F451" s="176">
        <f t="shared" ref="F451:U451" si="356">F14*$E$440</f>
        <v>517324.5867955804</v>
      </c>
      <c r="G451" s="176">
        <f t="shared" si="348"/>
        <v>10276.570819460843</v>
      </c>
      <c r="H451" s="176">
        <f t="shared" si="348"/>
        <v>0</v>
      </c>
      <c r="I451" s="176">
        <f t="shared" si="348"/>
        <v>0</v>
      </c>
      <c r="J451" s="176">
        <f t="shared" si="348"/>
        <v>21939.858989722281</v>
      </c>
      <c r="K451" s="176">
        <f t="shared" si="348"/>
        <v>90.327353120986515</v>
      </c>
      <c r="L451" s="176">
        <f t="shared" si="348"/>
        <v>12.711650749721707</v>
      </c>
      <c r="M451" s="176">
        <f t="shared" si="356"/>
        <v>0</v>
      </c>
      <c r="N451" s="176">
        <f t="shared" si="356"/>
        <v>0</v>
      </c>
      <c r="O451" s="176">
        <f t="shared" si="349"/>
        <v>6574.6679985634491</v>
      </c>
      <c r="P451" s="176">
        <f t="shared" si="356"/>
        <v>111977.3804548411</v>
      </c>
      <c r="Q451" s="175">
        <f t="shared" si="350"/>
        <v>668196.10406203882</v>
      </c>
      <c r="R451" s="176">
        <f t="shared" si="356"/>
        <v>0</v>
      </c>
      <c r="S451" s="176">
        <f t="shared" si="356"/>
        <v>46461.910229033492</v>
      </c>
      <c r="T451" s="176">
        <f t="shared" ca="1" si="356"/>
        <v>13475.203153873446</v>
      </c>
      <c r="U451" s="176">
        <f t="shared" ca="1" si="356"/>
        <v>767.85996875205126</v>
      </c>
    </row>
    <row r="452" spans="3:21" ht="19.5" thickBot="1" x14ac:dyDescent="0.3">
      <c r="C452" s="294">
        <f t="shared" si="344"/>
        <v>1</v>
      </c>
      <c r="D452" s="115" t="s">
        <v>124</v>
      </c>
      <c r="E452" s="116" t="s">
        <v>49</v>
      </c>
      <c r="F452" s="269">
        <f t="shared" ref="F452:U452" si="357">SUBTOTAL(9,F443:F451)</f>
        <v>5362457.0474291537</v>
      </c>
      <c r="G452" s="269">
        <f t="shared" ref="G452:L452" si="358">SUBTOTAL(9,G443:G451)</f>
        <v>119230.24746590581</v>
      </c>
      <c r="H452" s="269">
        <f t="shared" si="358"/>
        <v>0</v>
      </c>
      <c r="I452" s="269">
        <f t="shared" si="358"/>
        <v>138862.97827499229</v>
      </c>
      <c r="J452" s="269">
        <f t="shared" si="358"/>
        <v>37859.788373895484</v>
      </c>
      <c r="K452" s="269">
        <f t="shared" si="358"/>
        <v>4922.1080039553071</v>
      </c>
      <c r="L452" s="269">
        <f t="shared" si="358"/>
        <v>12.711650749721707</v>
      </c>
      <c r="M452" s="269">
        <f t="shared" si="357"/>
        <v>0</v>
      </c>
      <c r="N452" s="269">
        <f t="shared" si="357"/>
        <v>0</v>
      </c>
      <c r="O452" s="269">
        <f>SUBTOTAL(9,O443:O451)</f>
        <v>6710.685423610782</v>
      </c>
      <c r="P452" s="269">
        <f t="shared" si="357"/>
        <v>111977.3804548411</v>
      </c>
      <c r="Q452" s="183">
        <f>SUBTOTAL(9,Q443:Q451)</f>
        <v>5782032.9470771039</v>
      </c>
      <c r="R452" s="269">
        <f t="shared" si="357"/>
        <v>0</v>
      </c>
      <c r="S452" s="269">
        <f t="shared" si="357"/>
        <v>436705.58671832085</v>
      </c>
      <c r="T452" s="269">
        <f t="shared" ca="1" si="357"/>
        <v>179577.53460224523</v>
      </c>
      <c r="U452" s="269">
        <f t="shared" ca="1" si="357"/>
        <v>124211.8248429971</v>
      </c>
    </row>
    <row r="453" spans="3:21" ht="15.75" hidden="1" thickBot="1" x14ac:dyDescent="0.3"/>
    <row r="454" spans="3:21" ht="93.75" x14ac:dyDescent="0.25">
      <c r="C454" s="294">
        <f>IF($E$454&gt;0,1,0)</f>
        <v>1</v>
      </c>
      <c r="D454" s="96" t="str">
        <f>A35</f>
        <v>Niagara</v>
      </c>
      <c r="E454" s="166">
        <f>IFERROR(SUMIF(A:A,D454,B:B),0)</f>
        <v>5.8328093760351305E-3</v>
      </c>
      <c r="F454" s="98" t="s">
        <v>356</v>
      </c>
      <c r="G454" s="98" t="s">
        <v>373</v>
      </c>
      <c r="H454" s="98" t="s">
        <v>358</v>
      </c>
      <c r="I454" s="98" t="s">
        <v>109</v>
      </c>
      <c r="J454" s="98" t="s">
        <v>111</v>
      </c>
      <c r="K454" s="98" t="s">
        <v>469</v>
      </c>
      <c r="L454" s="98" t="s">
        <v>470</v>
      </c>
      <c r="M454" s="98" t="s">
        <v>357</v>
      </c>
      <c r="N454" s="557" t="s">
        <v>471</v>
      </c>
      <c r="O454" s="557" t="s">
        <v>473</v>
      </c>
      <c r="P454" s="98" t="s">
        <v>110</v>
      </c>
      <c r="Q454" s="99" t="s">
        <v>116</v>
      </c>
      <c r="R454" s="98" t="s">
        <v>112</v>
      </c>
      <c r="S454" s="98" t="s">
        <v>113</v>
      </c>
      <c r="T454" s="98" t="s">
        <v>114</v>
      </c>
      <c r="U454" s="98" t="s">
        <v>115</v>
      </c>
    </row>
    <row r="455" spans="3:21" ht="18.75" x14ac:dyDescent="0.25">
      <c r="C455" s="294">
        <f>C454</f>
        <v>1</v>
      </c>
      <c r="D455" s="101"/>
      <c r="E455" s="102"/>
      <c r="F455" s="84" t="s">
        <v>57</v>
      </c>
      <c r="G455" s="84" t="s">
        <v>56</v>
      </c>
      <c r="H455" s="84" t="s">
        <v>55</v>
      </c>
      <c r="I455" s="84" t="s">
        <v>54</v>
      </c>
      <c r="J455" s="84" t="s">
        <v>53</v>
      </c>
      <c r="K455" s="84" t="s">
        <v>52</v>
      </c>
      <c r="L455" s="84" t="s">
        <v>51</v>
      </c>
      <c r="M455" s="84" t="s">
        <v>50</v>
      </c>
      <c r="N455" s="84" t="s">
        <v>49</v>
      </c>
      <c r="O455" s="84" t="s">
        <v>47</v>
      </c>
      <c r="P455" s="84" t="s">
        <v>77</v>
      </c>
      <c r="Q455" s="84" t="s">
        <v>78</v>
      </c>
      <c r="R455" s="84" t="s">
        <v>79</v>
      </c>
      <c r="S455" s="84" t="s">
        <v>81</v>
      </c>
      <c r="T455" s="84" t="s">
        <v>83</v>
      </c>
      <c r="U455" s="84" t="s">
        <v>85</v>
      </c>
    </row>
    <row r="456" spans="3:21" ht="18.75" x14ac:dyDescent="0.25">
      <c r="C456" s="294">
        <f>C454</f>
        <v>1</v>
      </c>
      <c r="D456" s="103" t="s">
        <v>26</v>
      </c>
      <c r="E456" s="122"/>
      <c r="F456" s="123"/>
      <c r="G456" s="123"/>
      <c r="H456" s="107"/>
      <c r="I456" s="107"/>
      <c r="J456" s="107"/>
      <c r="K456" s="107"/>
      <c r="L456" s="107"/>
      <c r="M456" s="123"/>
      <c r="N456" s="107"/>
      <c r="O456" s="107"/>
      <c r="P456" s="107"/>
      <c r="Q456" s="108"/>
      <c r="R456" s="107"/>
      <c r="S456" s="107"/>
      <c r="T456" s="107"/>
      <c r="U456" s="107"/>
    </row>
    <row r="457" spans="3:21" ht="18.75" x14ac:dyDescent="0.25">
      <c r="C457" s="294">
        <f t="shared" ref="C457:C466" si="359">C455</f>
        <v>1</v>
      </c>
      <c r="D457" s="124" t="s">
        <v>105</v>
      </c>
      <c r="E457" s="76" t="s">
        <v>57</v>
      </c>
      <c r="F457" s="176">
        <f t="shared" ref="F457:L457" si="360">F6*$E$454</f>
        <v>411390.33023650269</v>
      </c>
      <c r="G457" s="176">
        <f t="shared" si="360"/>
        <v>9251.0348025038147</v>
      </c>
      <c r="H457" s="176">
        <f t="shared" si="360"/>
        <v>0</v>
      </c>
      <c r="I457" s="176">
        <f t="shared" si="360"/>
        <v>11790.572694209312</v>
      </c>
      <c r="J457" s="176">
        <f t="shared" si="360"/>
        <v>1351.7287834562933</v>
      </c>
      <c r="K457" s="176">
        <f t="shared" si="360"/>
        <v>410.2566552570882</v>
      </c>
      <c r="L457" s="176">
        <f t="shared" si="360"/>
        <v>0</v>
      </c>
      <c r="M457" s="176">
        <f t="shared" ref="M457:U457" si="361">M6*$E$454</f>
        <v>0</v>
      </c>
      <c r="N457" s="176">
        <f t="shared" si="361"/>
        <v>0</v>
      </c>
      <c r="O457" s="176">
        <f>O6*$E$454</f>
        <v>11.548962564549559</v>
      </c>
      <c r="P457" s="176">
        <f t="shared" si="361"/>
        <v>0</v>
      </c>
      <c r="Q457" s="175">
        <f>SUM(F457:P457)</f>
        <v>434205.47213449376</v>
      </c>
      <c r="R457" s="176">
        <f t="shared" si="361"/>
        <v>0</v>
      </c>
      <c r="S457" s="176">
        <f t="shared" si="361"/>
        <v>33134.795848830421</v>
      </c>
      <c r="T457" s="176">
        <f t="shared" ca="1" si="361"/>
        <v>14103.410699872415</v>
      </c>
      <c r="U457" s="176">
        <f t="shared" ca="1" si="361"/>
        <v>10481.375666802347</v>
      </c>
    </row>
    <row r="458" spans="3:21" ht="18.75" x14ac:dyDescent="0.25">
      <c r="C458" s="294">
        <f t="shared" si="359"/>
        <v>1</v>
      </c>
      <c r="D458" s="112" t="s">
        <v>31</v>
      </c>
      <c r="E458" s="76"/>
      <c r="F458" s="177"/>
      <c r="G458" s="177"/>
      <c r="H458" s="178"/>
      <c r="I458" s="178"/>
      <c r="J458" s="178"/>
      <c r="K458" s="178"/>
      <c r="L458" s="178"/>
      <c r="M458" s="177"/>
      <c r="N458" s="178"/>
      <c r="O458" s="178"/>
      <c r="P458" s="178"/>
      <c r="Q458" s="179"/>
      <c r="R458" s="178"/>
      <c r="S458" s="178"/>
      <c r="T458" s="178"/>
      <c r="U458" s="178"/>
    </row>
    <row r="459" spans="3:21" ht="18.75" x14ac:dyDescent="0.3">
      <c r="C459" s="294">
        <f t="shared" si="359"/>
        <v>1</v>
      </c>
      <c r="D459" s="113" t="s">
        <v>118</v>
      </c>
      <c r="E459" s="76" t="s">
        <v>56</v>
      </c>
      <c r="F459" s="176">
        <f t="shared" ref="F459:U459" si="362">F8*$E$454</f>
        <v>0</v>
      </c>
      <c r="G459" s="176">
        <f t="shared" ref="G459:L465" si="363">G8*$E$454</f>
        <v>0</v>
      </c>
      <c r="H459" s="176">
        <f t="shared" si="363"/>
        <v>0</v>
      </c>
      <c r="I459" s="176">
        <f t="shared" si="363"/>
        <v>0</v>
      </c>
      <c r="J459" s="176">
        <f t="shared" si="363"/>
        <v>0</v>
      </c>
      <c r="K459" s="176">
        <f t="shared" si="363"/>
        <v>0</v>
      </c>
      <c r="L459" s="176">
        <f t="shared" si="363"/>
        <v>0</v>
      </c>
      <c r="M459" s="176">
        <f t="shared" si="362"/>
        <v>0</v>
      </c>
      <c r="N459" s="176">
        <f t="shared" si="362"/>
        <v>0</v>
      </c>
      <c r="O459" s="176">
        <f t="shared" ref="O459:O465" si="364">O8*$E$454</f>
        <v>0</v>
      </c>
      <c r="P459" s="176">
        <f t="shared" si="362"/>
        <v>0</v>
      </c>
      <c r="Q459" s="175">
        <f t="shared" ref="Q459:Q465" si="365">SUM(F459:P459)</f>
        <v>0</v>
      </c>
      <c r="R459" s="176">
        <f t="shared" si="362"/>
        <v>0</v>
      </c>
      <c r="S459" s="176">
        <f t="shared" si="362"/>
        <v>0</v>
      </c>
      <c r="T459" s="176">
        <f t="shared" si="362"/>
        <v>0</v>
      </c>
      <c r="U459" s="176">
        <f t="shared" si="362"/>
        <v>0</v>
      </c>
    </row>
    <row r="460" spans="3:21" ht="18.75" x14ac:dyDescent="0.3">
      <c r="C460" s="294">
        <f t="shared" si="359"/>
        <v>1</v>
      </c>
      <c r="D460" s="113" t="s">
        <v>119</v>
      </c>
      <c r="E460" s="76" t="s">
        <v>55</v>
      </c>
      <c r="F460" s="176">
        <f t="shared" ref="F460:U460" si="366">F9*$E$454</f>
        <v>0</v>
      </c>
      <c r="G460" s="176">
        <f t="shared" si="363"/>
        <v>0</v>
      </c>
      <c r="H460" s="176">
        <f t="shared" si="363"/>
        <v>0</v>
      </c>
      <c r="I460" s="176">
        <f t="shared" si="363"/>
        <v>0</v>
      </c>
      <c r="J460" s="176">
        <f t="shared" si="363"/>
        <v>0</v>
      </c>
      <c r="K460" s="176">
        <f t="shared" si="363"/>
        <v>0</v>
      </c>
      <c r="L460" s="176">
        <f t="shared" si="363"/>
        <v>0</v>
      </c>
      <c r="M460" s="176">
        <f t="shared" si="366"/>
        <v>0</v>
      </c>
      <c r="N460" s="176">
        <f t="shared" si="366"/>
        <v>0</v>
      </c>
      <c r="O460" s="176">
        <f t="shared" si="364"/>
        <v>0</v>
      </c>
      <c r="P460" s="176">
        <f t="shared" si="366"/>
        <v>0</v>
      </c>
      <c r="Q460" s="175">
        <f t="shared" si="365"/>
        <v>0</v>
      </c>
      <c r="R460" s="176">
        <f t="shared" si="366"/>
        <v>0</v>
      </c>
      <c r="S460" s="176">
        <f t="shared" si="366"/>
        <v>0</v>
      </c>
      <c r="T460" s="176">
        <f t="shared" si="366"/>
        <v>0</v>
      </c>
      <c r="U460" s="176">
        <f t="shared" si="366"/>
        <v>0</v>
      </c>
    </row>
    <row r="461" spans="3:21" ht="18.75" x14ac:dyDescent="0.3">
      <c r="C461" s="294">
        <f t="shared" si="359"/>
        <v>1</v>
      </c>
      <c r="D461" s="113" t="s">
        <v>120</v>
      </c>
      <c r="E461" s="76" t="s">
        <v>54</v>
      </c>
      <c r="F461" s="176">
        <f t="shared" ref="F461:U461" si="367">F10*$E$454</f>
        <v>0</v>
      </c>
      <c r="G461" s="176">
        <f t="shared" si="363"/>
        <v>0</v>
      </c>
      <c r="H461" s="176">
        <f t="shared" si="363"/>
        <v>0</v>
      </c>
      <c r="I461" s="176">
        <f t="shared" si="363"/>
        <v>0</v>
      </c>
      <c r="J461" s="176">
        <f t="shared" si="363"/>
        <v>0</v>
      </c>
      <c r="K461" s="176">
        <f t="shared" si="363"/>
        <v>0</v>
      </c>
      <c r="L461" s="176">
        <f t="shared" si="363"/>
        <v>0</v>
      </c>
      <c r="M461" s="176">
        <f t="shared" si="367"/>
        <v>0</v>
      </c>
      <c r="N461" s="176">
        <f t="shared" si="367"/>
        <v>0</v>
      </c>
      <c r="O461" s="176">
        <f t="shared" si="364"/>
        <v>0</v>
      </c>
      <c r="P461" s="176">
        <f t="shared" si="367"/>
        <v>0</v>
      </c>
      <c r="Q461" s="175">
        <f t="shared" si="365"/>
        <v>0</v>
      </c>
      <c r="R461" s="176">
        <f t="shared" si="367"/>
        <v>0</v>
      </c>
      <c r="S461" s="176">
        <f t="shared" si="367"/>
        <v>0</v>
      </c>
      <c r="T461" s="176">
        <f t="shared" si="367"/>
        <v>0</v>
      </c>
      <c r="U461" s="176">
        <f t="shared" si="367"/>
        <v>0</v>
      </c>
    </row>
    <row r="462" spans="3:21" ht="18.75" x14ac:dyDescent="0.3">
      <c r="C462" s="294">
        <f t="shared" si="359"/>
        <v>1</v>
      </c>
      <c r="D462" s="113" t="s">
        <v>121</v>
      </c>
      <c r="E462" s="76" t="s">
        <v>53</v>
      </c>
      <c r="F462" s="176">
        <f t="shared" ref="F462:U462" si="368">F11*$E$454</f>
        <v>0</v>
      </c>
      <c r="G462" s="176">
        <f t="shared" si="363"/>
        <v>0</v>
      </c>
      <c r="H462" s="176">
        <f t="shared" si="363"/>
        <v>0</v>
      </c>
      <c r="I462" s="176">
        <f t="shared" si="363"/>
        <v>0</v>
      </c>
      <c r="J462" s="176">
        <f t="shared" si="363"/>
        <v>0</v>
      </c>
      <c r="K462" s="176">
        <f t="shared" si="363"/>
        <v>0</v>
      </c>
      <c r="L462" s="176">
        <f t="shared" si="363"/>
        <v>0</v>
      </c>
      <c r="M462" s="176">
        <f t="shared" si="368"/>
        <v>0</v>
      </c>
      <c r="N462" s="176">
        <f t="shared" si="368"/>
        <v>0</v>
      </c>
      <c r="O462" s="176">
        <f t="shared" si="364"/>
        <v>0</v>
      </c>
      <c r="P462" s="176">
        <f t="shared" si="368"/>
        <v>0</v>
      </c>
      <c r="Q462" s="175">
        <f t="shared" si="365"/>
        <v>0</v>
      </c>
      <c r="R462" s="176">
        <f t="shared" si="368"/>
        <v>0</v>
      </c>
      <c r="S462" s="176">
        <f t="shared" si="368"/>
        <v>0</v>
      </c>
      <c r="T462" s="176">
        <f t="shared" si="368"/>
        <v>0</v>
      </c>
      <c r="U462" s="176">
        <f t="shared" si="368"/>
        <v>0</v>
      </c>
    </row>
    <row r="463" spans="3:21" ht="18.75" x14ac:dyDescent="0.3">
      <c r="C463" s="294">
        <f t="shared" si="359"/>
        <v>1</v>
      </c>
      <c r="D463" s="113" t="s">
        <v>122</v>
      </c>
      <c r="E463" s="76" t="s">
        <v>52</v>
      </c>
      <c r="F463" s="176">
        <f t="shared" ref="F463:U463" si="369">F12*$E$454</f>
        <v>0</v>
      </c>
      <c r="G463" s="176">
        <f t="shared" si="363"/>
        <v>0</v>
      </c>
      <c r="H463" s="176">
        <f t="shared" si="363"/>
        <v>0</v>
      </c>
      <c r="I463" s="176">
        <f t="shared" si="363"/>
        <v>0</v>
      </c>
      <c r="J463" s="176">
        <f t="shared" si="363"/>
        <v>0</v>
      </c>
      <c r="K463" s="176">
        <f t="shared" si="363"/>
        <v>0</v>
      </c>
      <c r="L463" s="176">
        <f t="shared" si="363"/>
        <v>0</v>
      </c>
      <c r="M463" s="176">
        <f t="shared" si="369"/>
        <v>0</v>
      </c>
      <c r="N463" s="176">
        <f t="shared" si="369"/>
        <v>0</v>
      </c>
      <c r="O463" s="176">
        <f t="shared" si="364"/>
        <v>0</v>
      </c>
      <c r="P463" s="176">
        <f t="shared" si="369"/>
        <v>0</v>
      </c>
      <c r="Q463" s="175">
        <f t="shared" si="365"/>
        <v>0</v>
      </c>
      <c r="R463" s="176">
        <f t="shared" si="369"/>
        <v>0</v>
      </c>
      <c r="S463" s="176">
        <f t="shared" si="369"/>
        <v>0</v>
      </c>
      <c r="T463" s="176">
        <f t="shared" si="369"/>
        <v>0</v>
      </c>
      <c r="U463" s="176">
        <f t="shared" si="369"/>
        <v>0</v>
      </c>
    </row>
    <row r="464" spans="3:21" ht="18.75" x14ac:dyDescent="0.3">
      <c r="C464" s="294">
        <f t="shared" si="359"/>
        <v>1</v>
      </c>
      <c r="D464" s="125" t="s">
        <v>123</v>
      </c>
      <c r="E464" s="76" t="s">
        <v>51</v>
      </c>
      <c r="F464" s="176">
        <f t="shared" ref="F464:U464" si="370">F13*$E$454</f>
        <v>0</v>
      </c>
      <c r="G464" s="176">
        <f t="shared" si="363"/>
        <v>0</v>
      </c>
      <c r="H464" s="176">
        <f t="shared" si="363"/>
        <v>0</v>
      </c>
      <c r="I464" s="176">
        <f t="shared" si="363"/>
        <v>0</v>
      </c>
      <c r="J464" s="176">
        <f t="shared" si="363"/>
        <v>0</v>
      </c>
      <c r="K464" s="176">
        <f t="shared" si="363"/>
        <v>0</v>
      </c>
      <c r="L464" s="176">
        <f t="shared" si="363"/>
        <v>0</v>
      </c>
      <c r="M464" s="176">
        <f t="shared" si="370"/>
        <v>0</v>
      </c>
      <c r="N464" s="176">
        <f t="shared" si="370"/>
        <v>0</v>
      </c>
      <c r="O464" s="176">
        <f t="shared" si="364"/>
        <v>0</v>
      </c>
      <c r="P464" s="176">
        <f t="shared" si="370"/>
        <v>0</v>
      </c>
      <c r="Q464" s="175">
        <f t="shared" si="365"/>
        <v>0</v>
      </c>
      <c r="R464" s="176">
        <f t="shared" si="370"/>
        <v>0</v>
      </c>
      <c r="S464" s="176">
        <f t="shared" si="370"/>
        <v>0</v>
      </c>
      <c r="T464" s="176">
        <f t="shared" si="370"/>
        <v>0</v>
      </c>
      <c r="U464" s="176">
        <f t="shared" si="370"/>
        <v>0</v>
      </c>
    </row>
    <row r="465" spans="3:21" ht="19.5" thickBot="1" x14ac:dyDescent="0.35">
      <c r="C465" s="294">
        <f t="shared" si="359"/>
        <v>1</v>
      </c>
      <c r="D465" s="114" t="s">
        <v>16</v>
      </c>
      <c r="E465" s="70" t="s">
        <v>50</v>
      </c>
      <c r="F465" s="176">
        <f t="shared" ref="F465:U465" si="371">F14*$E$454</f>
        <v>43924.977145715937</v>
      </c>
      <c r="G465" s="176">
        <f t="shared" si="363"/>
        <v>872.56270029075142</v>
      </c>
      <c r="H465" s="176">
        <f t="shared" si="363"/>
        <v>0</v>
      </c>
      <c r="I465" s="176">
        <f t="shared" si="363"/>
        <v>0</v>
      </c>
      <c r="J465" s="176">
        <f t="shared" si="363"/>
        <v>1862.8687468214002</v>
      </c>
      <c r="K465" s="176">
        <f t="shared" si="363"/>
        <v>7.6695116040176616</v>
      </c>
      <c r="L465" s="176">
        <f t="shared" si="363"/>
        <v>1.079320378187405</v>
      </c>
      <c r="M465" s="176">
        <f t="shared" si="371"/>
        <v>0</v>
      </c>
      <c r="N465" s="176">
        <f t="shared" si="371"/>
        <v>0</v>
      </c>
      <c r="O465" s="176">
        <f t="shared" si="364"/>
        <v>558.24167060454249</v>
      </c>
      <c r="P465" s="176">
        <f t="shared" si="371"/>
        <v>9507.7713351745424</v>
      </c>
      <c r="Q465" s="175">
        <f t="shared" si="365"/>
        <v>56735.170430589373</v>
      </c>
      <c r="R465" s="176">
        <f t="shared" si="371"/>
        <v>0</v>
      </c>
      <c r="S465" s="176">
        <f t="shared" si="371"/>
        <v>3944.9861789828951</v>
      </c>
      <c r="T465" s="176">
        <f t="shared" ca="1" si="371"/>
        <v>1144.1520578677957</v>
      </c>
      <c r="U465" s="176">
        <f t="shared" ca="1" si="371"/>
        <v>65.197426218351467</v>
      </c>
    </row>
    <row r="466" spans="3:21" ht="19.5" thickBot="1" x14ac:dyDescent="0.3">
      <c r="C466" s="294">
        <f t="shared" si="359"/>
        <v>1</v>
      </c>
      <c r="D466" s="115" t="s">
        <v>124</v>
      </c>
      <c r="E466" s="116" t="s">
        <v>49</v>
      </c>
      <c r="F466" s="269">
        <f t="shared" ref="F466:U466" si="372">SUBTOTAL(9,F457:F465)</f>
        <v>455315.30738221866</v>
      </c>
      <c r="G466" s="269">
        <f t="shared" ref="G466:L466" si="373">SUBTOTAL(9,G457:G465)</f>
        <v>10123.597502794566</v>
      </c>
      <c r="H466" s="269">
        <f t="shared" si="373"/>
        <v>0</v>
      </c>
      <c r="I466" s="269">
        <f t="shared" si="373"/>
        <v>11790.572694209312</v>
      </c>
      <c r="J466" s="269">
        <f t="shared" si="373"/>
        <v>3214.5975302776933</v>
      </c>
      <c r="K466" s="269">
        <f t="shared" si="373"/>
        <v>417.92616686110586</v>
      </c>
      <c r="L466" s="269">
        <f t="shared" si="373"/>
        <v>1.079320378187405</v>
      </c>
      <c r="M466" s="269">
        <f t="shared" si="372"/>
        <v>0</v>
      </c>
      <c r="N466" s="269">
        <f t="shared" si="372"/>
        <v>0</v>
      </c>
      <c r="O466" s="269">
        <f>SUBTOTAL(9,O457:O465)</f>
        <v>569.79063316909208</v>
      </c>
      <c r="P466" s="269">
        <f t="shared" si="372"/>
        <v>9507.7713351745424</v>
      </c>
      <c r="Q466" s="183">
        <f>SUBTOTAL(9,Q457:Q465)</f>
        <v>490940.64256508311</v>
      </c>
      <c r="R466" s="269">
        <f t="shared" si="372"/>
        <v>0</v>
      </c>
      <c r="S466" s="269">
        <f t="shared" si="372"/>
        <v>37079.782027813315</v>
      </c>
      <c r="T466" s="269">
        <f t="shared" ca="1" si="372"/>
        <v>15247.56275774021</v>
      </c>
      <c r="U466" s="269">
        <f t="shared" ca="1" si="372"/>
        <v>10546.573093020699</v>
      </c>
    </row>
    <row r="467" spans="3:21" ht="15.75" hidden="1" thickBot="1" x14ac:dyDescent="0.3"/>
    <row r="468" spans="3:21" ht="93.75" x14ac:dyDescent="0.25">
      <c r="C468" s="294">
        <f>IF($E$468&gt;0,1,0)</f>
        <v>1</v>
      </c>
      <c r="D468" s="96" t="str">
        <f>A36</f>
        <v>Oneida</v>
      </c>
      <c r="E468" s="166">
        <f>IFERROR(SUMIF(A:A,D468,B:B),0)</f>
        <v>7.1008449393757042E-3</v>
      </c>
      <c r="F468" s="98" t="s">
        <v>356</v>
      </c>
      <c r="G468" s="98" t="s">
        <v>373</v>
      </c>
      <c r="H468" s="98" t="s">
        <v>358</v>
      </c>
      <c r="I468" s="98" t="s">
        <v>109</v>
      </c>
      <c r="J468" s="98" t="s">
        <v>111</v>
      </c>
      <c r="K468" s="98" t="s">
        <v>469</v>
      </c>
      <c r="L468" s="98" t="s">
        <v>470</v>
      </c>
      <c r="M468" s="98" t="s">
        <v>357</v>
      </c>
      <c r="N468" s="557" t="s">
        <v>471</v>
      </c>
      <c r="O468" s="557" t="s">
        <v>473</v>
      </c>
      <c r="P468" s="98" t="s">
        <v>110</v>
      </c>
      <c r="Q468" s="99" t="s">
        <v>116</v>
      </c>
      <c r="R468" s="98" t="s">
        <v>112</v>
      </c>
      <c r="S468" s="98" t="s">
        <v>113</v>
      </c>
      <c r="T468" s="98" t="s">
        <v>114</v>
      </c>
      <c r="U468" s="98" t="s">
        <v>115</v>
      </c>
    </row>
    <row r="469" spans="3:21" ht="18.75" x14ac:dyDescent="0.25">
      <c r="C469" s="294">
        <f>C468</f>
        <v>1</v>
      </c>
      <c r="D469" s="101"/>
      <c r="E469" s="102"/>
      <c r="F469" s="84" t="s">
        <v>57</v>
      </c>
      <c r="G469" s="84" t="s">
        <v>56</v>
      </c>
      <c r="H469" s="84" t="s">
        <v>55</v>
      </c>
      <c r="I469" s="84" t="s">
        <v>54</v>
      </c>
      <c r="J469" s="84" t="s">
        <v>53</v>
      </c>
      <c r="K469" s="84" t="s">
        <v>52</v>
      </c>
      <c r="L469" s="84" t="s">
        <v>51</v>
      </c>
      <c r="M469" s="84" t="s">
        <v>50</v>
      </c>
      <c r="N469" s="84" t="s">
        <v>49</v>
      </c>
      <c r="O469" s="84" t="s">
        <v>47</v>
      </c>
      <c r="P469" s="84" t="s">
        <v>77</v>
      </c>
      <c r="Q469" s="84" t="s">
        <v>78</v>
      </c>
      <c r="R469" s="84" t="s">
        <v>79</v>
      </c>
      <c r="S469" s="84" t="s">
        <v>81</v>
      </c>
      <c r="T469" s="84" t="s">
        <v>83</v>
      </c>
      <c r="U469" s="84" t="s">
        <v>85</v>
      </c>
    </row>
    <row r="470" spans="3:21" ht="18.75" x14ac:dyDescent="0.25">
      <c r="C470" s="294">
        <f>C468</f>
        <v>1</v>
      </c>
      <c r="D470" s="103" t="s">
        <v>26</v>
      </c>
      <c r="E470" s="122"/>
      <c r="F470" s="123"/>
      <c r="G470" s="123"/>
      <c r="H470" s="107"/>
      <c r="I470" s="107"/>
      <c r="J470" s="107"/>
      <c r="K470" s="107"/>
      <c r="L470" s="107"/>
      <c r="M470" s="123"/>
      <c r="N470" s="107"/>
      <c r="O470" s="107"/>
      <c r="P470" s="107"/>
      <c r="Q470" s="108"/>
      <c r="R470" s="107"/>
      <c r="S470" s="107"/>
      <c r="T470" s="107"/>
      <c r="U470" s="107"/>
    </row>
    <row r="471" spans="3:21" ht="18.75" x14ac:dyDescent="0.25">
      <c r="C471" s="294">
        <f t="shared" ref="C471:C480" si="374">C469</f>
        <v>1</v>
      </c>
      <c r="D471" s="124" t="s">
        <v>105</v>
      </c>
      <c r="E471" s="76" t="s">
        <v>57</v>
      </c>
      <c r="F471" s="176">
        <f t="shared" ref="F471:L471" si="375">F6*$E$468</f>
        <v>500825.37525916495</v>
      </c>
      <c r="G471" s="176">
        <f t="shared" si="375"/>
        <v>11262.182496696096</v>
      </c>
      <c r="H471" s="176">
        <f t="shared" si="375"/>
        <v>0</v>
      </c>
      <c r="I471" s="176">
        <f t="shared" si="375"/>
        <v>14353.808439549679</v>
      </c>
      <c r="J471" s="176">
        <f t="shared" si="375"/>
        <v>1645.5906361093271</v>
      </c>
      <c r="K471" s="176">
        <f t="shared" si="375"/>
        <v>499.4452426812777</v>
      </c>
      <c r="L471" s="176">
        <f t="shared" si="375"/>
        <v>0</v>
      </c>
      <c r="M471" s="176">
        <f t="shared" ref="M471:U471" si="376">M6*$E$468</f>
        <v>0</v>
      </c>
      <c r="N471" s="176">
        <f t="shared" si="376"/>
        <v>0</v>
      </c>
      <c r="O471" s="176">
        <f>O6*$E$468</f>
        <v>14.059672979963894</v>
      </c>
      <c r="P471" s="176">
        <f t="shared" si="376"/>
        <v>0</v>
      </c>
      <c r="Q471" s="175">
        <f>SUM(F471:P471)</f>
        <v>528600.46174718137</v>
      </c>
      <c r="R471" s="176">
        <f t="shared" si="376"/>
        <v>0</v>
      </c>
      <c r="S471" s="176">
        <f t="shared" si="376"/>
        <v>40338.202785627516</v>
      </c>
      <c r="T471" s="176">
        <f t="shared" ca="1" si="376"/>
        <v>17169.450609442138</v>
      </c>
      <c r="U471" s="176">
        <f t="shared" ca="1" si="376"/>
        <v>12759.995837872008</v>
      </c>
    </row>
    <row r="472" spans="3:21" ht="18.75" x14ac:dyDescent="0.25">
      <c r="C472" s="294">
        <f t="shared" si="374"/>
        <v>1</v>
      </c>
      <c r="D472" s="112" t="s">
        <v>31</v>
      </c>
      <c r="E472" s="76"/>
      <c r="F472" s="177"/>
      <c r="G472" s="177"/>
      <c r="H472" s="178"/>
      <c r="I472" s="178"/>
      <c r="J472" s="178"/>
      <c r="K472" s="178"/>
      <c r="L472" s="178"/>
      <c r="M472" s="177"/>
      <c r="N472" s="178"/>
      <c r="O472" s="178"/>
      <c r="P472" s="178"/>
      <c r="Q472" s="179"/>
      <c r="R472" s="178"/>
      <c r="S472" s="178"/>
      <c r="T472" s="178"/>
      <c r="U472" s="178"/>
    </row>
    <row r="473" spans="3:21" ht="18.75" x14ac:dyDescent="0.3">
      <c r="C473" s="294">
        <f t="shared" si="374"/>
        <v>1</v>
      </c>
      <c r="D473" s="113" t="s">
        <v>118</v>
      </c>
      <c r="E473" s="76" t="s">
        <v>56</v>
      </c>
      <c r="F473" s="176">
        <f t="shared" ref="F473:U473" si="377">F8*$E$468</f>
        <v>0</v>
      </c>
      <c r="G473" s="176">
        <f t="shared" ref="G473:L479" si="378">G8*$E$468</f>
        <v>0</v>
      </c>
      <c r="H473" s="176">
        <f t="shared" si="378"/>
        <v>0</v>
      </c>
      <c r="I473" s="176">
        <f t="shared" si="378"/>
        <v>0</v>
      </c>
      <c r="J473" s="176">
        <f t="shared" si="378"/>
        <v>0</v>
      </c>
      <c r="K473" s="176">
        <f t="shared" si="378"/>
        <v>0</v>
      </c>
      <c r="L473" s="176">
        <f t="shared" si="378"/>
        <v>0</v>
      </c>
      <c r="M473" s="176">
        <f t="shared" si="377"/>
        <v>0</v>
      </c>
      <c r="N473" s="176">
        <f t="shared" si="377"/>
        <v>0</v>
      </c>
      <c r="O473" s="176">
        <f t="shared" ref="O473:O479" si="379">O8*$E$468</f>
        <v>0</v>
      </c>
      <c r="P473" s="176">
        <f t="shared" si="377"/>
        <v>0</v>
      </c>
      <c r="Q473" s="175">
        <f t="shared" ref="Q473:Q479" si="380">SUM(F473:P473)</f>
        <v>0</v>
      </c>
      <c r="R473" s="176">
        <f t="shared" si="377"/>
        <v>0</v>
      </c>
      <c r="S473" s="176">
        <f t="shared" si="377"/>
        <v>0</v>
      </c>
      <c r="T473" s="176">
        <f t="shared" si="377"/>
        <v>0</v>
      </c>
      <c r="U473" s="176">
        <f t="shared" si="377"/>
        <v>0</v>
      </c>
    </row>
    <row r="474" spans="3:21" ht="18.75" x14ac:dyDescent="0.3">
      <c r="C474" s="294">
        <f t="shared" si="374"/>
        <v>1</v>
      </c>
      <c r="D474" s="113" t="s">
        <v>119</v>
      </c>
      <c r="E474" s="76" t="s">
        <v>55</v>
      </c>
      <c r="F474" s="176">
        <f t="shared" ref="F474:U474" si="381">F9*$E$468</f>
        <v>0</v>
      </c>
      <c r="G474" s="176">
        <f t="shared" si="378"/>
        <v>0</v>
      </c>
      <c r="H474" s="176">
        <f t="shared" si="378"/>
        <v>0</v>
      </c>
      <c r="I474" s="176">
        <f t="shared" si="378"/>
        <v>0</v>
      </c>
      <c r="J474" s="176">
        <f t="shared" si="378"/>
        <v>0</v>
      </c>
      <c r="K474" s="176">
        <f t="shared" si="378"/>
        <v>0</v>
      </c>
      <c r="L474" s="176">
        <f t="shared" si="378"/>
        <v>0</v>
      </c>
      <c r="M474" s="176">
        <f t="shared" si="381"/>
        <v>0</v>
      </c>
      <c r="N474" s="176">
        <f t="shared" si="381"/>
        <v>0</v>
      </c>
      <c r="O474" s="176">
        <f t="shared" si="379"/>
        <v>0</v>
      </c>
      <c r="P474" s="176">
        <f t="shared" si="381"/>
        <v>0</v>
      </c>
      <c r="Q474" s="175">
        <f t="shared" si="380"/>
        <v>0</v>
      </c>
      <c r="R474" s="176">
        <f t="shared" si="381"/>
        <v>0</v>
      </c>
      <c r="S474" s="176">
        <f t="shared" si="381"/>
        <v>0</v>
      </c>
      <c r="T474" s="176">
        <f t="shared" si="381"/>
        <v>0</v>
      </c>
      <c r="U474" s="176">
        <f t="shared" si="381"/>
        <v>0</v>
      </c>
    </row>
    <row r="475" spans="3:21" ht="18.75" x14ac:dyDescent="0.3">
      <c r="C475" s="294">
        <f t="shared" si="374"/>
        <v>1</v>
      </c>
      <c r="D475" s="113" t="s">
        <v>120</v>
      </c>
      <c r="E475" s="76" t="s">
        <v>54</v>
      </c>
      <c r="F475" s="176">
        <f t="shared" ref="F475:U475" si="382">F10*$E$468</f>
        <v>0</v>
      </c>
      <c r="G475" s="176">
        <f t="shared" si="378"/>
        <v>0</v>
      </c>
      <c r="H475" s="176">
        <f t="shared" si="378"/>
        <v>0</v>
      </c>
      <c r="I475" s="176">
        <f t="shared" si="378"/>
        <v>0</v>
      </c>
      <c r="J475" s="176">
        <f t="shared" si="378"/>
        <v>0</v>
      </c>
      <c r="K475" s="176">
        <f t="shared" si="378"/>
        <v>0</v>
      </c>
      <c r="L475" s="176">
        <f t="shared" si="378"/>
        <v>0</v>
      </c>
      <c r="M475" s="176">
        <f t="shared" si="382"/>
        <v>0</v>
      </c>
      <c r="N475" s="176">
        <f t="shared" si="382"/>
        <v>0</v>
      </c>
      <c r="O475" s="176">
        <f t="shared" si="379"/>
        <v>0</v>
      </c>
      <c r="P475" s="176">
        <f t="shared" si="382"/>
        <v>0</v>
      </c>
      <c r="Q475" s="175">
        <f t="shared" si="380"/>
        <v>0</v>
      </c>
      <c r="R475" s="176">
        <f t="shared" si="382"/>
        <v>0</v>
      </c>
      <c r="S475" s="176">
        <f t="shared" si="382"/>
        <v>0</v>
      </c>
      <c r="T475" s="176">
        <f t="shared" si="382"/>
        <v>0</v>
      </c>
      <c r="U475" s="176">
        <f t="shared" si="382"/>
        <v>0</v>
      </c>
    </row>
    <row r="476" spans="3:21" ht="18.75" x14ac:dyDescent="0.3">
      <c r="C476" s="294">
        <f t="shared" si="374"/>
        <v>1</v>
      </c>
      <c r="D476" s="113" t="s">
        <v>121</v>
      </c>
      <c r="E476" s="76" t="s">
        <v>53</v>
      </c>
      <c r="F476" s="176">
        <f t="shared" ref="F476:U476" si="383">F11*$E$468</f>
        <v>0</v>
      </c>
      <c r="G476" s="176">
        <f t="shared" si="378"/>
        <v>0</v>
      </c>
      <c r="H476" s="176">
        <f t="shared" si="378"/>
        <v>0</v>
      </c>
      <c r="I476" s="176">
        <f t="shared" si="378"/>
        <v>0</v>
      </c>
      <c r="J476" s="176">
        <f t="shared" si="378"/>
        <v>0</v>
      </c>
      <c r="K476" s="176">
        <f t="shared" si="378"/>
        <v>0</v>
      </c>
      <c r="L476" s="176">
        <f t="shared" si="378"/>
        <v>0</v>
      </c>
      <c r="M476" s="176">
        <f t="shared" si="383"/>
        <v>0</v>
      </c>
      <c r="N476" s="176">
        <f t="shared" si="383"/>
        <v>0</v>
      </c>
      <c r="O476" s="176">
        <f t="shared" si="379"/>
        <v>0</v>
      </c>
      <c r="P476" s="176">
        <f t="shared" si="383"/>
        <v>0</v>
      </c>
      <c r="Q476" s="175">
        <f t="shared" si="380"/>
        <v>0</v>
      </c>
      <c r="R476" s="176">
        <f t="shared" si="383"/>
        <v>0</v>
      </c>
      <c r="S476" s="176">
        <f t="shared" si="383"/>
        <v>0</v>
      </c>
      <c r="T476" s="176">
        <f t="shared" si="383"/>
        <v>0</v>
      </c>
      <c r="U476" s="176">
        <f t="shared" si="383"/>
        <v>0</v>
      </c>
    </row>
    <row r="477" spans="3:21" ht="18.75" x14ac:dyDescent="0.3">
      <c r="C477" s="294">
        <f t="shared" si="374"/>
        <v>1</v>
      </c>
      <c r="D477" s="113" t="s">
        <v>122</v>
      </c>
      <c r="E477" s="76" t="s">
        <v>52</v>
      </c>
      <c r="F477" s="176">
        <f t="shared" ref="F477:U477" si="384">F12*$E$468</f>
        <v>0</v>
      </c>
      <c r="G477" s="176">
        <f t="shared" si="378"/>
        <v>0</v>
      </c>
      <c r="H477" s="176">
        <f t="shared" si="378"/>
        <v>0</v>
      </c>
      <c r="I477" s="176">
        <f t="shared" si="378"/>
        <v>0</v>
      </c>
      <c r="J477" s="176">
        <f t="shared" si="378"/>
        <v>0</v>
      </c>
      <c r="K477" s="176">
        <f t="shared" si="378"/>
        <v>0</v>
      </c>
      <c r="L477" s="176">
        <f t="shared" si="378"/>
        <v>0</v>
      </c>
      <c r="M477" s="176">
        <f t="shared" si="384"/>
        <v>0</v>
      </c>
      <c r="N477" s="176">
        <f t="shared" si="384"/>
        <v>0</v>
      </c>
      <c r="O477" s="176">
        <f t="shared" si="379"/>
        <v>0</v>
      </c>
      <c r="P477" s="176">
        <f t="shared" si="384"/>
        <v>0</v>
      </c>
      <c r="Q477" s="175">
        <f t="shared" si="380"/>
        <v>0</v>
      </c>
      <c r="R477" s="176">
        <f t="shared" si="384"/>
        <v>0</v>
      </c>
      <c r="S477" s="176">
        <f t="shared" si="384"/>
        <v>0</v>
      </c>
      <c r="T477" s="176">
        <f t="shared" si="384"/>
        <v>0</v>
      </c>
      <c r="U477" s="176">
        <f t="shared" si="384"/>
        <v>0</v>
      </c>
    </row>
    <row r="478" spans="3:21" ht="18.75" x14ac:dyDescent="0.3">
      <c r="C478" s="294">
        <f t="shared" si="374"/>
        <v>1</v>
      </c>
      <c r="D478" s="125" t="s">
        <v>123</v>
      </c>
      <c r="E478" s="76" t="s">
        <v>51</v>
      </c>
      <c r="F478" s="176">
        <f t="shared" ref="F478:U478" si="385">F13*$E$468</f>
        <v>0</v>
      </c>
      <c r="G478" s="176">
        <f t="shared" si="378"/>
        <v>0</v>
      </c>
      <c r="H478" s="176">
        <f t="shared" si="378"/>
        <v>0</v>
      </c>
      <c r="I478" s="176">
        <f t="shared" si="378"/>
        <v>0</v>
      </c>
      <c r="J478" s="176">
        <f t="shared" si="378"/>
        <v>0</v>
      </c>
      <c r="K478" s="176">
        <f t="shared" si="378"/>
        <v>0</v>
      </c>
      <c r="L478" s="176">
        <f t="shared" si="378"/>
        <v>0</v>
      </c>
      <c r="M478" s="176">
        <f t="shared" si="385"/>
        <v>0</v>
      </c>
      <c r="N478" s="176">
        <f t="shared" si="385"/>
        <v>0</v>
      </c>
      <c r="O478" s="176">
        <f t="shared" si="379"/>
        <v>0</v>
      </c>
      <c r="P478" s="176">
        <f t="shared" si="385"/>
        <v>0</v>
      </c>
      <c r="Q478" s="175">
        <f t="shared" si="380"/>
        <v>0</v>
      </c>
      <c r="R478" s="176">
        <f t="shared" si="385"/>
        <v>0</v>
      </c>
      <c r="S478" s="176">
        <f t="shared" si="385"/>
        <v>0</v>
      </c>
      <c r="T478" s="176">
        <f t="shared" si="385"/>
        <v>0</v>
      </c>
      <c r="U478" s="176">
        <f t="shared" si="385"/>
        <v>0</v>
      </c>
    </row>
    <row r="479" spans="3:21" ht="19.5" thickBot="1" x14ac:dyDescent="0.35">
      <c r="C479" s="294">
        <f t="shared" si="374"/>
        <v>1</v>
      </c>
      <c r="D479" s="114" t="s">
        <v>16</v>
      </c>
      <c r="E479" s="70" t="s">
        <v>50</v>
      </c>
      <c r="F479" s="176">
        <f t="shared" ref="F479:U479" si="386">F14*$E$468</f>
        <v>53474.137687209739</v>
      </c>
      <c r="G479" s="176">
        <f t="shared" si="378"/>
        <v>1062.2552590359612</v>
      </c>
      <c r="H479" s="176">
        <f t="shared" si="378"/>
        <v>0</v>
      </c>
      <c r="I479" s="176">
        <f t="shared" si="378"/>
        <v>0</v>
      </c>
      <c r="J479" s="176">
        <f t="shared" si="378"/>
        <v>2267.8509206792614</v>
      </c>
      <c r="K479" s="176">
        <f t="shared" si="378"/>
        <v>9.3368408171589188</v>
      </c>
      <c r="L479" s="176">
        <f t="shared" si="378"/>
        <v>1.3139614465897036</v>
      </c>
      <c r="M479" s="176">
        <f t="shared" si="386"/>
        <v>0</v>
      </c>
      <c r="N479" s="176">
        <f t="shared" si="386"/>
        <v>0</v>
      </c>
      <c r="O479" s="176">
        <f t="shared" si="379"/>
        <v>679.60176410829956</v>
      </c>
      <c r="P479" s="176">
        <f t="shared" si="386"/>
        <v>11574.732794715099</v>
      </c>
      <c r="Q479" s="175">
        <f t="shared" si="380"/>
        <v>69069.229228012118</v>
      </c>
      <c r="R479" s="176">
        <f t="shared" si="386"/>
        <v>0</v>
      </c>
      <c r="S479" s="176">
        <f t="shared" si="386"/>
        <v>4802.6145445506618</v>
      </c>
      <c r="T479" s="176">
        <f t="shared" ca="1" si="386"/>
        <v>1392.8873423100708</v>
      </c>
      <c r="U479" s="176">
        <f t="shared" ca="1" si="386"/>
        <v>79.371154477466931</v>
      </c>
    </row>
    <row r="480" spans="3:21" ht="19.5" thickBot="1" x14ac:dyDescent="0.3">
      <c r="C480" s="294">
        <f t="shared" si="374"/>
        <v>1</v>
      </c>
      <c r="D480" s="115" t="s">
        <v>124</v>
      </c>
      <c r="E480" s="116" t="s">
        <v>49</v>
      </c>
      <c r="F480" s="269">
        <f t="shared" ref="F480:U480" si="387">SUBTOTAL(9,F471:F479)</f>
        <v>554299.51294637471</v>
      </c>
      <c r="G480" s="269">
        <f t="shared" ref="G480:L480" si="388">SUBTOTAL(9,G471:G479)</f>
        <v>12324.437755732057</v>
      </c>
      <c r="H480" s="269">
        <f t="shared" si="388"/>
        <v>0</v>
      </c>
      <c r="I480" s="269">
        <f t="shared" si="388"/>
        <v>14353.808439549679</v>
      </c>
      <c r="J480" s="269">
        <f t="shared" si="388"/>
        <v>3913.4415567885885</v>
      </c>
      <c r="K480" s="269">
        <f t="shared" si="388"/>
        <v>508.78208349843663</v>
      </c>
      <c r="L480" s="269">
        <f t="shared" si="388"/>
        <v>1.3139614465897036</v>
      </c>
      <c r="M480" s="269">
        <f t="shared" si="387"/>
        <v>0</v>
      </c>
      <c r="N480" s="269">
        <f t="shared" si="387"/>
        <v>0</v>
      </c>
      <c r="O480" s="269">
        <f>SUBTOTAL(9,O471:O479)</f>
        <v>693.66143708826348</v>
      </c>
      <c r="P480" s="269">
        <f t="shared" si="387"/>
        <v>11574.732794715099</v>
      </c>
      <c r="Q480" s="183">
        <f>SUBTOTAL(9,Q471:Q479)</f>
        <v>597669.69097519352</v>
      </c>
      <c r="R480" s="269">
        <f t="shared" si="387"/>
        <v>0</v>
      </c>
      <c r="S480" s="269">
        <f t="shared" si="387"/>
        <v>45140.817330178179</v>
      </c>
      <c r="T480" s="269">
        <f t="shared" ca="1" si="387"/>
        <v>18562.337951752208</v>
      </c>
      <c r="U480" s="269">
        <f t="shared" ca="1" si="387"/>
        <v>12839.366992349474</v>
      </c>
    </row>
    <row r="481" spans="3:21" ht="19.5" hidden="1" thickBot="1" x14ac:dyDescent="0.3">
      <c r="D481" s="295"/>
      <c r="E481" s="296"/>
      <c r="F481" s="297"/>
      <c r="G481" s="297"/>
      <c r="H481" s="297"/>
      <c r="I481" s="297"/>
      <c r="J481" s="297"/>
      <c r="K481" s="297"/>
      <c r="L481" s="297"/>
      <c r="M481" s="297"/>
      <c r="N481" s="297"/>
      <c r="O481" s="297"/>
      <c r="P481" s="297"/>
      <c r="Q481" s="298"/>
      <c r="R481" s="297"/>
      <c r="S481" s="297"/>
      <c r="T481" s="297"/>
      <c r="U481" s="297"/>
    </row>
    <row r="482" spans="3:21" ht="93.75" x14ac:dyDescent="0.25">
      <c r="C482" s="294">
        <f>IF($E$482&gt;0,1,0)</f>
        <v>1</v>
      </c>
      <c r="D482" s="96" t="str">
        <f>A37</f>
        <v>Onondaga</v>
      </c>
      <c r="E482" s="166">
        <f>IFERROR(SUMIF(A:A,D482,B:B),0)</f>
        <v>2.2146992270920353E-2</v>
      </c>
      <c r="F482" s="98" t="s">
        <v>356</v>
      </c>
      <c r="G482" s="98" t="s">
        <v>373</v>
      </c>
      <c r="H482" s="98" t="s">
        <v>358</v>
      </c>
      <c r="I482" s="98" t="s">
        <v>109</v>
      </c>
      <c r="J482" s="98" t="s">
        <v>111</v>
      </c>
      <c r="K482" s="98" t="s">
        <v>469</v>
      </c>
      <c r="L482" s="98" t="s">
        <v>470</v>
      </c>
      <c r="M482" s="98" t="s">
        <v>357</v>
      </c>
      <c r="N482" s="557" t="s">
        <v>471</v>
      </c>
      <c r="O482" s="557" t="s">
        <v>473</v>
      </c>
      <c r="P482" s="98" t="s">
        <v>110</v>
      </c>
      <c r="Q482" s="99" t="s">
        <v>116</v>
      </c>
      <c r="R482" s="98" t="s">
        <v>112</v>
      </c>
      <c r="S482" s="98" t="s">
        <v>113</v>
      </c>
      <c r="T482" s="98" t="s">
        <v>114</v>
      </c>
      <c r="U482" s="98" t="s">
        <v>115</v>
      </c>
    </row>
    <row r="483" spans="3:21" ht="18.75" x14ac:dyDescent="0.25">
      <c r="C483" s="294">
        <f>C482</f>
        <v>1</v>
      </c>
      <c r="D483" s="101"/>
      <c r="E483" s="102"/>
      <c r="F483" s="84" t="s">
        <v>57</v>
      </c>
      <c r="G483" s="84" t="s">
        <v>56</v>
      </c>
      <c r="H483" s="84" t="s">
        <v>55</v>
      </c>
      <c r="I483" s="84" t="s">
        <v>54</v>
      </c>
      <c r="J483" s="84" t="s">
        <v>53</v>
      </c>
      <c r="K483" s="84" t="s">
        <v>52</v>
      </c>
      <c r="L483" s="84" t="s">
        <v>51</v>
      </c>
      <c r="M483" s="84" t="s">
        <v>50</v>
      </c>
      <c r="N483" s="84" t="s">
        <v>49</v>
      </c>
      <c r="O483" s="84" t="s">
        <v>47</v>
      </c>
      <c r="P483" s="84" t="s">
        <v>77</v>
      </c>
      <c r="Q483" s="84" t="s">
        <v>78</v>
      </c>
      <c r="R483" s="84" t="s">
        <v>79</v>
      </c>
      <c r="S483" s="84" t="s">
        <v>81</v>
      </c>
      <c r="T483" s="84" t="s">
        <v>83</v>
      </c>
      <c r="U483" s="84" t="s">
        <v>85</v>
      </c>
    </row>
    <row r="484" spans="3:21" ht="18.75" x14ac:dyDescent="0.25">
      <c r="C484" s="294">
        <f>C482</f>
        <v>1</v>
      </c>
      <c r="D484" s="103" t="s">
        <v>26</v>
      </c>
      <c r="E484" s="122"/>
      <c r="F484" s="123"/>
      <c r="G484" s="123"/>
      <c r="H484" s="107"/>
      <c r="I484" s="107"/>
      <c r="J484" s="107"/>
      <c r="K484" s="107"/>
      <c r="L484" s="107"/>
      <c r="M484" s="123"/>
      <c r="N484" s="107"/>
      <c r="O484" s="107"/>
      <c r="P484" s="107"/>
      <c r="Q484" s="108"/>
      <c r="R484" s="107"/>
      <c r="S484" s="107"/>
      <c r="T484" s="107"/>
      <c r="U484" s="107"/>
    </row>
    <row r="485" spans="3:21" ht="18.75" x14ac:dyDescent="0.25">
      <c r="C485" s="294">
        <f t="shared" ref="C485:C494" si="389">C483</f>
        <v>1</v>
      </c>
      <c r="D485" s="124" t="s">
        <v>105</v>
      </c>
      <c r="E485" s="76" t="s">
        <v>57</v>
      </c>
      <c r="F485" s="176">
        <f t="shared" ref="F485:L485" si="390">F6*$E$482</f>
        <v>1562036.0407307646</v>
      </c>
      <c r="G485" s="176">
        <f t="shared" si="390"/>
        <v>35125.885839995804</v>
      </c>
      <c r="H485" s="176">
        <f t="shared" si="390"/>
        <v>0</v>
      </c>
      <c r="I485" s="176">
        <f t="shared" si="390"/>
        <v>44768.43069846373</v>
      </c>
      <c r="J485" s="176">
        <f t="shared" si="390"/>
        <v>5132.4713340686403</v>
      </c>
      <c r="K485" s="176">
        <f t="shared" si="390"/>
        <v>1557.731512777222</v>
      </c>
      <c r="L485" s="176">
        <f t="shared" si="390"/>
        <v>0</v>
      </c>
      <c r="M485" s="176">
        <f t="shared" ref="M485:U485" si="391">M6*$E$482</f>
        <v>0</v>
      </c>
      <c r="N485" s="176">
        <f t="shared" si="391"/>
        <v>0</v>
      </c>
      <c r="O485" s="176">
        <f>O6*$E$482</f>
        <v>43.851044696422299</v>
      </c>
      <c r="P485" s="176">
        <f t="shared" si="391"/>
        <v>0</v>
      </c>
      <c r="Q485" s="175">
        <f>SUM(F485:P485)</f>
        <v>1648664.4111607664</v>
      </c>
      <c r="R485" s="176">
        <f t="shared" si="391"/>
        <v>0</v>
      </c>
      <c r="S485" s="176">
        <f t="shared" si="391"/>
        <v>125811.769295536</v>
      </c>
      <c r="T485" s="176">
        <f t="shared" ca="1" si="391"/>
        <v>53550.203277174354</v>
      </c>
      <c r="U485" s="176">
        <f t="shared" ca="1" si="391"/>
        <v>39797.451093640222</v>
      </c>
    </row>
    <row r="486" spans="3:21" ht="18.75" x14ac:dyDescent="0.25">
      <c r="C486" s="294">
        <f t="shared" si="389"/>
        <v>1</v>
      </c>
      <c r="D486" s="112" t="s">
        <v>31</v>
      </c>
      <c r="E486" s="76"/>
      <c r="F486" s="177"/>
      <c r="G486" s="177"/>
      <c r="H486" s="178"/>
      <c r="I486" s="178"/>
      <c r="J486" s="178"/>
      <c r="K486" s="178"/>
      <c r="L486" s="178"/>
      <c r="M486" s="177"/>
      <c r="N486" s="178"/>
      <c r="O486" s="178"/>
      <c r="P486" s="178"/>
      <c r="Q486" s="179"/>
      <c r="R486" s="178"/>
      <c r="S486" s="178"/>
      <c r="T486" s="178"/>
      <c r="U486" s="178"/>
    </row>
    <row r="487" spans="3:21" ht="18.75" x14ac:dyDescent="0.3">
      <c r="C487" s="294">
        <f t="shared" si="389"/>
        <v>1</v>
      </c>
      <c r="D487" s="113" t="s">
        <v>118</v>
      </c>
      <c r="E487" s="76" t="s">
        <v>56</v>
      </c>
      <c r="F487" s="176">
        <f t="shared" ref="F487:U487" si="392">F8*$E$482</f>
        <v>0</v>
      </c>
      <c r="G487" s="176">
        <f t="shared" ref="G487:L493" si="393">G8*$E$482</f>
        <v>0</v>
      </c>
      <c r="H487" s="176">
        <f t="shared" si="393"/>
        <v>0</v>
      </c>
      <c r="I487" s="176">
        <f t="shared" si="393"/>
        <v>0</v>
      </c>
      <c r="J487" s="176">
        <f t="shared" si="393"/>
        <v>0</v>
      </c>
      <c r="K487" s="176">
        <f t="shared" si="393"/>
        <v>0</v>
      </c>
      <c r="L487" s="176">
        <f t="shared" si="393"/>
        <v>0</v>
      </c>
      <c r="M487" s="176">
        <f t="shared" si="392"/>
        <v>0</v>
      </c>
      <c r="N487" s="176">
        <f t="shared" si="392"/>
        <v>0</v>
      </c>
      <c r="O487" s="176">
        <f t="shared" ref="O487:O493" si="394">O8*$E$482</f>
        <v>0</v>
      </c>
      <c r="P487" s="176">
        <f t="shared" si="392"/>
        <v>0</v>
      </c>
      <c r="Q487" s="175">
        <f t="shared" ref="Q487:Q493" si="395">SUM(F487:P487)</f>
        <v>0</v>
      </c>
      <c r="R487" s="176">
        <f t="shared" si="392"/>
        <v>0</v>
      </c>
      <c r="S487" s="176">
        <f t="shared" si="392"/>
        <v>0</v>
      </c>
      <c r="T487" s="176">
        <f t="shared" si="392"/>
        <v>0</v>
      </c>
      <c r="U487" s="176">
        <f t="shared" si="392"/>
        <v>0</v>
      </c>
    </row>
    <row r="488" spans="3:21" ht="18.75" x14ac:dyDescent="0.3">
      <c r="C488" s="294">
        <f t="shared" si="389"/>
        <v>1</v>
      </c>
      <c r="D488" s="113" t="s">
        <v>119</v>
      </c>
      <c r="E488" s="76" t="s">
        <v>55</v>
      </c>
      <c r="F488" s="176">
        <f t="shared" ref="F488:U488" si="396">F9*$E$482</f>
        <v>0</v>
      </c>
      <c r="G488" s="176">
        <f t="shared" si="393"/>
        <v>0</v>
      </c>
      <c r="H488" s="176">
        <f t="shared" si="393"/>
        <v>0</v>
      </c>
      <c r="I488" s="176">
        <f t="shared" si="393"/>
        <v>0</v>
      </c>
      <c r="J488" s="176">
        <f t="shared" si="393"/>
        <v>0</v>
      </c>
      <c r="K488" s="176">
        <f t="shared" si="393"/>
        <v>0</v>
      </c>
      <c r="L488" s="176">
        <f t="shared" si="393"/>
        <v>0</v>
      </c>
      <c r="M488" s="176">
        <f t="shared" si="396"/>
        <v>0</v>
      </c>
      <c r="N488" s="176">
        <f t="shared" si="396"/>
        <v>0</v>
      </c>
      <c r="O488" s="176">
        <f t="shared" si="394"/>
        <v>0</v>
      </c>
      <c r="P488" s="176">
        <f t="shared" si="396"/>
        <v>0</v>
      </c>
      <c r="Q488" s="175">
        <f t="shared" si="395"/>
        <v>0</v>
      </c>
      <c r="R488" s="176">
        <f t="shared" si="396"/>
        <v>0</v>
      </c>
      <c r="S488" s="176">
        <f t="shared" si="396"/>
        <v>0</v>
      </c>
      <c r="T488" s="176">
        <f t="shared" si="396"/>
        <v>0</v>
      </c>
      <c r="U488" s="176">
        <f t="shared" si="396"/>
        <v>0</v>
      </c>
    </row>
    <row r="489" spans="3:21" ht="18.75" x14ac:dyDescent="0.3">
      <c r="C489" s="294">
        <f t="shared" si="389"/>
        <v>1</v>
      </c>
      <c r="D489" s="113" t="s">
        <v>120</v>
      </c>
      <c r="E489" s="76" t="s">
        <v>54</v>
      </c>
      <c r="F489" s="176">
        <f t="shared" ref="F489:U489" si="397">F10*$E$482</f>
        <v>0</v>
      </c>
      <c r="G489" s="176">
        <f t="shared" si="393"/>
        <v>0</v>
      </c>
      <c r="H489" s="176">
        <f t="shared" si="393"/>
        <v>0</v>
      </c>
      <c r="I489" s="176">
        <f t="shared" si="393"/>
        <v>0</v>
      </c>
      <c r="J489" s="176">
        <f t="shared" si="393"/>
        <v>0</v>
      </c>
      <c r="K489" s="176">
        <f t="shared" si="393"/>
        <v>0</v>
      </c>
      <c r="L489" s="176">
        <f t="shared" si="393"/>
        <v>0</v>
      </c>
      <c r="M489" s="176">
        <f t="shared" si="397"/>
        <v>0</v>
      </c>
      <c r="N489" s="176">
        <f t="shared" si="397"/>
        <v>0</v>
      </c>
      <c r="O489" s="176">
        <f t="shared" si="394"/>
        <v>0</v>
      </c>
      <c r="P489" s="176">
        <f t="shared" si="397"/>
        <v>0</v>
      </c>
      <c r="Q489" s="175">
        <f t="shared" si="395"/>
        <v>0</v>
      </c>
      <c r="R489" s="176">
        <f t="shared" si="397"/>
        <v>0</v>
      </c>
      <c r="S489" s="176">
        <f t="shared" si="397"/>
        <v>0</v>
      </c>
      <c r="T489" s="176">
        <f t="shared" si="397"/>
        <v>0</v>
      </c>
      <c r="U489" s="176">
        <f t="shared" si="397"/>
        <v>0</v>
      </c>
    </row>
    <row r="490" spans="3:21" ht="18.75" x14ac:dyDescent="0.3">
      <c r="C490" s="294">
        <f t="shared" si="389"/>
        <v>1</v>
      </c>
      <c r="D490" s="113" t="s">
        <v>121</v>
      </c>
      <c r="E490" s="76" t="s">
        <v>53</v>
      </c>
      <c r="F490" s="176">
        <f t="shared" ref="F490:U490" si="398">F11*$E$482</f>
        <v>0</v>
      </c>
      <c r="G490" s="176">
        <f t="shared" si="393"/>
        <v>0</v>
      </c>
      <c r="H490" s="176">
        <f t="shared" si="393"/>
        <v>0</v>
      </c>
      <c r="I490" s="176">
        <f t="shared" si="393"/>
        <v>0</v>
      </c>
      <c r="J490" s="176">
        <f t="shared" si="393"/>
        <v>0</v>
      </c>
      <c r="K490" s="176">
        <f t="shared" si="393"/>
        <v>0</v>
      </c>
      <c r="L490" s="176">
        <f t="shared" si="393"/>
        <v>0</v>
      </c>
      <c r="M490" s="176">
        <f t="shared" si="398"/>
        <v>0</v>
      </c>
      <c r="N490" s="176">
        <f t="shared" si="398"/>
        <v>0</v>
      </c>
      <c r="O490" s="176">
        <f t="shared" si="394"/>
        <v>0</v>
      </c>
      <c r="P490" s="176">
        <f t="shared" si="398"/>
        <v>0</v>
      </c>
      <c r="Q490" s="175">
        <f t="shared" si="395"/>
        <v>0</v>
      </c>
      <c r="R490" s="176">
        <f t="shared" si="398"/>
        <v>0</v>
      </c>
      <c r="S490" s="176">
        <f t="shared" si="398"/>
        <v>0</v>
      </c>
      <c r="T490" s="176">
        <f t="shared" si="398"/>
        <v>0</v>
      </c>
      <c r="U490" s="176">
        <f t="shared" si="398"/>
        <v>0</v>
      </c>
    </row>
    <row r="491" spans="3:21" ht="18.75" x14ac:dyDescent="0.3">
      <c r="C491" s="294">
        <f t="shared" si="389"/>
        <v>1</v>
      </c>
      <c r="D491" s="113" t="s">
        <v>122</v>
      </c>
      <c r="E491" s="76" t="s">
        <v>52</v>
      </c>
      <c r="F491" s="176">
        <f t="shared" ref="F491:U491" si="399">F12*$E$482</f>
        <v>0</v>
      </c>
      <c r="G491" s="176">
        <f t="shared" si="393"/>
        <v>0</v>
      </c>
      <c r="H491" s="176">
        <f t="shared" si="393"/>
        <v>0</v>
      </c>
      <c r="I491" s="176">
        <f t="shared" si="393"/>
        <v>0</v>
      </c>
      <c r="J491" s="176">
        <f t="shared" si="393"/>
        <v>0</v>
      </c>
      <c r="K491" s="176">
        <f t="shared" si="393"/>
        <v>0</v>
      </c>
      <c r="L491" s="176">
        <f t="shared" si="393"/>
        <v>0</v>
      </c>
      <c r="M491" s="176">
        <f t="shared" si="399"/>
        <v>0</v>
      </c>
      <c r="N491" s="176">
        <f t="shared" si="399"/>
        <v>0</v>
      </c>
      <c r="O491" s="176">
        <f t="shared" si="394"/>
        <v>0</v>
      </c>
      <c r="P491" s="176">
        <f t="shared" si="399"/>
        <v>0</v>
      </c>
      <c r="Q491" s="175">
        <f t="shared" si="395"/>
        <v>0</v>
      </c>
      <c r="R491" s="176">
        <f t="shared" si="399"/>
        <v>0</v>
      </c>
      <c r="S491" s="176">
        <f t="shared" si="399"/>
        <v>0</v>
      </c>
      <c r="T491" s="176">
        <f t="shared" si="399"/>
        <v>0</v>
      </c>
      <c r="U491" s="176">
        <f t="shared" si="399"/>
        <v>0</v>
      </c>
    </row>
    <row r="492" spans="3:21" ht="18.75" x14ac:dyDescent="0.3">
      <c r="C492" s="294">
        <f t="shared" si="389"/>
        <v>1</v>
      </c>
      <c r="D492" s="125" t="s">
        <v>123</v>
      </c>
      <c r="E492" s="76" t="s">
        <v>51</v>
      </c>
      <c r="F492" s="176">
        <f t="shared" ref="F492:U492" si="400">F13*$E$482</f>
        <v>0</v>
      </c>
      <c r="G492" s="176">
        <f t="shared" si="393"/>
        <v>0</v>
      </c>
      <c r="H492" s="176">
        <f t="shared" si="393"/>
        <v>0</v>
      </c>
      <c r="I492" s="176">
        <f t="shared" si="393"/>
        <v>0</v>
      </c>
      <c r="J492" s="176">
        <f t="shared" si="393"/>
        <v>0</v>
      </c>
      <c r="K492" s="176">
        <f t="shared" si="393"/>
        <v>0</v>
      </c>
      <c r="L492" s="176">
        <f t="shared" si="393"/>
        <v>0</v>
      </c>
      <c r="M492" s="176">
        <f t="shared" si="400"/>
        <v>0</v>
      </c>
      <c r="N492" s="176">
        <f t="shared" si="400"/>
        <v>0</v>
      </c>
      <c r="O492" s="176">
        <f t="shared" si="394"/>
        <v>0</v>
      </c>
      <c r="P492" s="176">
        <f t="shared" si="400"/>
        <v>0</v>
      </c>
      <c r="Q492" s="175">
        <f t="shared" si="395"/>
        <v>0</v>
      </c>
      <c r="R492" s="176">
        <f t="shared" si="400"/>
        <v>0</v>
      </c>
      <c r="S492" s="176">
        <f t="shared" si="400"/>
        <v>0</v>
      </c>
      <c r="T492" s="176">
        <f t="shared" si="400"/>
        <v>0</v>
      </c>
      <c r="U492" s="176">
        <f t="shared" si="400"/>
        <v>0</v>
      </c>
    </row>
    <row r="493" spans="3:21" ht="19.5" thickBot="1" x14ac:dyDescent="0.35">
      <c r="C493" s="294">
        <f t="shared" si="389"/>
        <v>1</v>
      </c>
      <c r="D493" s="114" t="s">
        <v>16</v>
      </c>
      <c r="E493" s="70" t="s">
        <v>50</v>
      </c>
      <c r="F493" s="176">
        <f t="shared" ref="F493:U493" si="401">F14*$E$482</f>
        <v>166781.74557588436</v>
      </c>
      <c r="G493" s="176">
        <f t="shared" si="393"/>
        <v>3313.0929083042734</v>
      </c>
      <c r="H493" s="176">
        <f t="shared" si="393"/>
        <v>0</v>
      </c>
      <c r="I493" s="176">
        <f t="shared" si="393"/>
        <v>0</v>
      </c>
      <c r="J493" s="176">
        <f t="shared" si="393"/>
        <v>7073.2535692152451</v>
      </c>
      <c r="K493" s="176">
        <f t="shared" si="393"/>
        <v>29.120892397716869</v>
      </c>
      <c r="L493" s="176">
        <f t="shared" si="393"/>
        <v>4.0981452560021605</v>
      </c>
      <c r="M493" s="176">
        <f t="shared" si="401"/>
        <v>0</v>
      </c>
      <c r="N493" s="176">
        <f t="shared" si="401"/>
        <v>0</v>
      </c>
      <c r="O493" s="176">
        <f t="shared" si="394"/>
        <v>2119.6259241697539</v>
      </c>
      <c r="P493" s="176">
        <f t="shared" si="401"/>
        <v>36100.70631468558</v>
      </c>
      <c r="Q493" s="175">
        <f t="shared" si="395"/>
        <v>215421.64332991291</v>
      </c>
      <c r="R493" s="176">
        <f t="shared" si="401"/>
        <v>0</v>
      </c>
      <c r="S493" s="176">
        <f t="shared" si="401"/>
        <v>14978.987445362311</v>
      </c>
      <c r="T493" s="176">
        <f t="shared" ca="1" si="401"/>
        <v>4344.3090882528222</v>
      </c>
      <c r="U493" s="176">
        <f t="shared" ca="1" si="401"/>
        <v>247.5525602592628</v>
      </c>
    </row>
    <row r="494" spans="3:21" ht="19.5" thickBot="1" x14ac:dyDescent="0.3">
      <c r="C494" s="294">
        <f t="shared" si="389"/>
        <v>1</v>
      </c>
      <c r="D494" s="115" t="s">
        <v>124</v>
      </c>
      <c r="E494" s="116" t="s">
        <v>49</v>
      </c>
      <c r="F494" s="269">
        <f t="shared" ref="F494:U494" si="402">SUBTOTAL(9,F485:F493)</f>
        <v>1728817.786306649</v>
      </c>
      <c r="G494" s="269">
        <f t="shared" ref="G494:L494" si="403">SUBTOTAL(9,G485:G493)</f>
        <v>38438.978748300076</v>
      </c>
      <c r="H494" s="269">
        <f t="shared" si="403"/>
        <v>0</v>
      </c>
      <c r="I494" s="269">
        <f t="shared" si="403"/>
        <v>44768.43069846373</v>
      </c>
      <c r="J494" s="269">
        <f t="shared" si="403"/>
        <v>12205.724903283884</v>
      </c>
      <c r="K494" s="269">
        <f t="shared" si="403"/>
        <v>1586.8524051749389</v>
      </c>
      <c r="L494" s="269">
        <f t="shared" si="403"/>
        <v>4.0981452560021605</v>
      </c>
      <c r="M494" s="269">
        <f t="shared" si="402"/>
        <v>0</v>
      </c>
      <c r="N494" s="269">
        <f t="shared" si="402"/>
        <v>0</v>
      </c>
      <c r="O494" s="269">
        <f>SUBTOTAL(9,O485:O493)</f>
        <v>2163.4769688661763</v>
      </c>
      <c r="P494" s="269">
        <f t="shared" si="402"/>
        <v>36100.70631468558</v>
      </c>
      <c r="Q494" s="183">
        <f>SUBTOTAL(9,Q485:Q493)</f>
        <v>1864086.0544906794</v>
      </c>
      <c r="R494" s="269">
        <f t="shared" si="402"/>
        <v>0</v>
      </c>
      <c r="S494" s="269">
        <f t="shared" si="402"/>
        <v>140790.7567408983</v>
      </c>
      <c r="T494" s="269">
        <f t="shared" ca="1" si="402"/>
        <v>57894.512365427174</v>
      </c>
      <c r="U494" s="269">
        <f t="shared" ca="1" si="402"/>
        <v>40045.003653899483</v>
      </c>
    </row>
    <row r="495" spans="3:21" ht="15.75" hidden="1" thickBot="1" x14ac:dyDescent="0.3"/>
    <row r="496" spans="3:21" ht="93.75" x14ac:dyDescent="0.25">
      <c r="C496" s="294">
        <f>IF($E$496&gt;0,1,0)</f>
        <v>1</v>
      </c>
      <c r="D496" s="96" t="str">
        <f>A38</f>
        <v>Ontario</v>
      </c>
      <c r="E496" s="166">
        <f>IFERROR(SUMIF(A:A,D496,B:B),0)</f>
        <v>3.0558410502578128E-3</v>
      </c>
      <c r="F496" s="98" t="s">
        <v>356</v>
      </c>
      <c r="G496" s="98" t="s">
        <v>373</v>
      </c>
      <c r="H496" s="98" t="s">
        <v>358</v>
      </c>
      <c r="I496" s="98" t="s">
        <v>109</v>
      </c>
      <c r="J496" s="98" t="s">
        <v>111</v>
      </c>
      <c r="K496" s="98" t="s">
        <v>469</v>
      </c>
      <c r="L496" s="98" t="s">
        <v>470</v>
      </c>
      <c r="M496" s="98" t="s">
        <v>357</v>
      </c>
      <c r="N496" s="557" t="s">
        <v>471</v>
      </c>
      <c r="O496" s="557" t="s">
        <v>473</v>
      </c>
      <c r="P496" s="98" t="s">
        <v>110</v>
      </c>
      <c r="Q496" s="99" t="s">
        <v>116</v>
      </c>
      <c r="R496" s="98" t="s">
        <v>112</v>
      </c>
      <c r="S496" s="98" t="s">
        <v>113</v>
      </c>
      <c r="T496" s="98" t="s">
        <v>114</v>
      </c>
      <c r="U496" s="98" t="s">
        <v>115</v>
      </c>
    </row>
    <row r="497" spans="3:21" ht="18.75" x14ac:dyDescent="0.25">
      <c r="C497" s="294">
        <f>C496</f>
        <v>1</v>
      </c>
      <c r="D497" s="101"/>
      <c r="E497" s="102"/>
      <c r="F497" s="84" t="s">
        <v>57</v>
      </c>
      <c r="G497" s="84" t="s">
        <v>56</v>
      </c>
      <c r="H497" s="84" t="s">
        <v>55</v>
      </c>
      <c r="I497" s="84" t="s">
        <v>54</v>
      </c>
      <c r="J497" s="84" t="s">
        <v>53</v>
      </c>
      <c r="K497" s="84" t="s">
        <v>52</v>
      </c>
      <c r="L497" s="84" t="s">
        <v>51</v>
      </c>
      <c r="M497" s="84" t="s">
        <v>50</v>
      </c>
      <c r="N497" s="84" t="s">
        <v>49</v>
      </c>
      <c r="O497" s="84" t="s">
        <v>47</v>
      </c>
      <c r="P497" s="84" t="s">
        <v>77</v>
      </c>
      <c r="Q497" s="84" t="s">
        <v>78</v>
      </c>
      <c r="R497" s="84" t="s">
        <v>79</v>
      </c>
      <c r="S497" s="84" t="s">
        <v>81</v>
      </c>
      <c r="T497" s="84" t="s">
        <v>83</v>
      </c>
      <c r="U497" s="84" t="s">
        <v>85</v>
      </c>
    </row>
    <row r="498" spans="3:21" ht="18.75" x14ac:dyDescent="0.25">
      <c r="C498" s="294">
        <f>C496</f>
        <v>1</v>
      </c>
      <c r="D498" s="103" t="s">
        <v>26</v>
      </c>
      <c r="E498" s="122"/>
      <c r="F498" s="123"/>
      <c r="G498" s="123"/>
      <c r="H498" s="107"/>
      <c r="I498" s="107"/>
      <c r="J498" s="107"/>
      <c r="K498" s="107"/>
      <c r="L498" s="107"/>
      <c r="M498" s="123"/>
      <c r="N498" s="107"/>
      <c r="O498" s="107"/>
      <c r="P498" s="107"/>
      <c r="Q498" s="108"/>
      <c r="R498" s="107"/>
      <c r="S498" s="107"/>
      <c r="T498" s="107"/>
      <c r="U498" s="107"/>
    </row>
    <row r="499" spans="3:21" ht="18.75" x14ac:dyDescent="0.25">
      <c r="C499" s="294">
        <f t="shared" ref="C499:C508" si="404">C497</f>
        <v>1</v>
      </c>
      <c r="D499" s="124" t="s">
        <v>105</v>
      </c>
      <c r="E499" s="76" t="s">
        <v>57</v>
      </c>
      <c r="F499" s="176">
        <f t="shared" ref="F499:L499" si="405">F6*$E$496</f>
        <v>215529.66636985654</v>
      </c>
      <c r="G499" s="176">
        <f t="shared" si="405"/>
        <v>4846.6682321223461</v>
      </c>
      <c r="H499" s="176">
        <f t="shared" si="405"/>
        <v>0</v>
      </c>
      <c r="I499" s="176">
        <f t="shared" si="405"/>
        <v>6177.1461609988792</v>
      </c>
      <c r="J499" s="176">
        <f t="shared" si="405"/>
        <v>708.17817607278448</v>
      </c>
      <c r="K499" s="176">
        <f t="shared" si="405"/>
        <v>214.93572778616502</v>
      </c>
      <c r="L499" s="176">
        <f t="shared" si="405"/>
        <v>0</v>
      </c>
      <c r="M499" s="176">
        <f t="shared" ref="M499:U499" si="406">M6*$E$496</f>
        <v>0</v>
      </c>
      <c r="N499" s="176">
        <f t="shared" si="406"/>
        <v>0</v>
      </c>
      <c r="O499" s="176">
        <f>O6*$E$496</f>
        <v>6.0505652795104696</v>
      </c>
      <c r="P499" s="176">
        <f t="shared" si="406"/>
        <v>0</v>
      </c>
      <c r="Q499" s="175">
        <f>SUM(F499:P499)</f>
        <v>227482.64523211619</v>
      </c>
      <c r="R499" s="176">
        <f t="shared" si="406"/>
        <v>0</v>
      </c>
      <c r="S499" s="176">
        <f t="shared" si="406"/>
        <v>17359.502568828389</v>
      </c>
      <c r="T499" s="176">
        <f t="shared" ca="1" si="406"/>
        <v>7388.8547673764779</v>
      </c>
      <c r="U499" s="176">
        <f t="shared" ca="1" si="406"/>
        <v>5491.2506068490893</v>
      </c>
    </row>
    <row r="500" spans="3:21" ht="18.75" x14ac:dyDescent="0.25">
      <c r="C500" s="294">
        <f t="shared" si="404"/>
        <v>1</v>
      </c>
      <c r="D500" s="112" t="s">
        <v>31</v>
      </c>
      <c r="E500" s="76"/>
      <c r="F500" s="177"/>
      <c r="G500" s="177"/>
      <c r="H500" s="178"/>
      <c r="I500" s="178"/>
      <c r="J500" s="178"/>
      <c r="K500" s="178"/>
      <c r="L500" s="178"/>
      <c r="M500" s="177"/>
      <c r="N500" s="178"/>
      <c r="O500" s="178"/>
      <c r="P500" s="178"/>
      <c r="Q500" s="179"/>
      <c r="R500" s="178"/>
      <c r="S500" s="178"/>
      <c r="T500" s="178"/>
      <c r="U500" s="178"/>
    </row>
    <row r="501" spans="3:21" ht="18.75" x14ac:dyDescent="0.3">
      <c r="C501" s="294">
        <f t="shared" si="404"/>
        <v>1</v>
      </c>
      <c r="D501" s="113" t="s">
        <v>118</v>
      </c>
      <c r="E501" s="76" t="s">
        <v>56</v>
      </c>
      <c r="F501" s="176">
        <f t="shared" ref="F501:U501" si="407">F8*$E$496</f>
        <v>0</v>
      </c>
      <c r="G501" s="176">
        <f t="shared" ref="G501:L507" si="408">G8*$E$496</f>
        <v>0</v>
      </c>
      <c r="H501" s="176">
        <f t="shared" si="408"/>
        <v>0</v>
      </c>
      <c r="I501" s="176">
        <f t="shared" si="408"/>
        <v>0</v>
      </c>
      <c r="J501" s="176">
        <f t="shared" si="408"/>
        <v>0</v>
      </c>
      <c r="K501" s="176">
        <f t="shared" si="408"/>
        <v>0</v>
      </c>
      <c r="L501" s="176">
        <f t="shared" si="408"/>
        <v>0</v>
      </c>
      <c r="M501" s="176">
        <f t="shared" si="407"/>
        <v>0</v>
      </c>
      <c r="N501" s="176">
        <f t="shared" si="407"/>
        <v>0</v>
      </c>
      <c r="O501" s="176">
        <f t="shared" ref="O501:O507" si="409">O8*$E$496</f>
        <v>0</v>
      </c>
      <c r="P501" s="176">
        <f t="shared" si="407"/>
        <v>0</v>
      </c>
      <c r="Q501" s="175">
        <f t="shared" ref="Q501:Q507" si="410">SUM(F501:P501)</f>
        <v>0</v>
      </c>
      <c r="R501" s="176">
        <f t="shared" si="407"/>
        <v>0</v>
      </c>
      <c r="S501" s="176">
        <f t="shared" si="407"/>
        <v>0</v>
      </c>
      <c r="T501" s="176">
        <f t="shared" si="407"/>
        <v>0</v>
      </c>
      <c r="U501" s="176">
        <f t="shared" si="407"/>
        <v>0</v>
      </c>
    </row>
    <row r="502" spans="3:21" ht="18.75" x14ac:dyDescent="0.3">
      <c r="C502" s="294">
        <f t="shared" si="404"/>
        <v>1</v>
      </c>
      <c r="D502" s="113" t="s">
        <v>119</v>
      </c>
      <c r="E502" s="76" t="s">
        <v>55</v>
      </c>
      <c r="F502" s="176">
        <f t="shared" ref="F502:U502" si="411">F9*$E$496</f>
        <v>0</v>
      </c>
      <c r="G502" s="176">
        <f t="shared" si="408"/>
        <v>0</v>
      </c>
      <c r="H502" s="176">
        <f t="shared" si="408"/>
        <v>0</v>
      </c>
      <c r="I502" s="176">
        <f t="shared" si="408"/>
        <v>0</v>
      </c>
      <c r="J502" s="176">
        <f t="shared" si="408"/>
        <v>0</v>
      </c>
      <c r="K502" s="176">
        <f t="shared" si="408"/>
        <v>0</v>
      </c>
      <c r="L502" s="176">
        <f t="shared" si="408"/>
        <v>0</v>
      </c>
      <c r="M502" s="176">
        <f t="shared" si="411"/>
        <v>0</v>
      </c>
      <c r="N502" s="176">
        <f t="shared" si="411"/>
        <v>0</v>
      </c>
      <c r="O502" s="176">
        <f t="shared" si="409"/>
        <v>0</v>
      </c>
      <c r="P502" s="176">
        <f t="shared" si="411"/>
        <v>0</v>
      </c>
      <c r="Q502" s="175">
        <f t="shared" si="410"/>
        <v>0</v>
      </c>
      <c r="R502" s="176">
        <f t="shared" si="411"/>
        <v>0</v>
      </c>
      <c r="S502" s="176">
        <f t="shared" si="411"/>
        <v>0</v>
      </c>
      <c r="T502" s="176">
        <f t="shared" si="411"/>
        <v>0</v>
      </c>
      <c r="U502" s="176">
        <f t="shared" si="411"/>
        <v>0</v>
      </c>
    </row>
    <row r="503" spans="3:21" ht="18.75" x14ac:dyDescent="0.3">
      <c r="C503" s="294">
        <f t="shared" si="404"/>
        <v>1</v>
      </c>
      <c r="D503" s="113" t="s">
        <v>120</v>
      </c>
      <c r="E503" s="76" t="s">
        <v>54</v>
      </c>
      <c r="F503" s="176">
        <f t="shared" ref="F503:U503" si="412">F10*$E$496</f>
        <v>0</v>
      </c>
      <c r="G503" s="176">
        <f t="shared" si="408"/>
        <v>0</v>
      </c>
      <c r="H503" s="176">
        <f t="shared" si="408"/>
        <v>0</v>
      </c>
      <c r="I503" s="176">
        <f t="shared" si="408"/>
        <v>0</v>
      </c>
      <c r="J503" s="176">
        <f t="shared" si="408"/>
        <v>0</v>
      </c>
      <c r="K503" s="176">
        <f t="shared" si="408"/>
        <v>0</v>
      </c>
      <c r="L503" s="176">
        <f t="shared" si="408"/>
        <v>0</v>
      </c>
      <c r="M503" s="176">
        <f t="shared" si="412"/>
        <v>0</v>
      </c>
      <c r="N503" s="176">
        <f t="shared" si="412"/>
        <v>0</v>
      </c>
      <c r="O503" s="176">
        <f t="shared" si="409"/>
        <v>0</v>
      </c>
      <c r="P503" s="176">
        <f t="shared" si="412"/>
        <v>0</v>
      </c>
      <c r="Q503" s="175">
        <f t="shared" si="410"/>
        <v>0</v>
      </c>
      <c r="R503" s="176">
        <f t="shared" si="412"/>
        <v>0</v>
      </c>
      <c r="S503" s="176">
        <f t="shared" si="412"/>
        <v>0</v>
      </c>
      <c r="T503" s="176">
        <f t="shared" si="412"/>
        <v>0</v>
      </c>
      <c r="U503" s="176">
        <f t="shared" si="412"/>
        <v>0</v>
      </c>
    </row>
    <row r="504" spans="3:21" ht="18.75" x14ac:dyDescent="0.3">
      <c r="C504" s="294">
        <f t="shared" si="404"/>
        <v>1</v>
      </c>
      <c r="D504" s="113" t="s">
        <v>121</v>
      </c>
      <c r="E504" s="76" t="s">
        <v>53</v>
      </c>
      <c r="F504" s="176">
        <f t="shared" ref="F504:U504" si="413">F11*$E$496</f>
        <v>0</v>
      </c>
      <c r="G504" s="176">
        <f t="shared" si="408"/>
        <v>0</v>
      </c>
      <c r="H504" s="176">
        <f t="shared" si="408"/>
        <v>0</v>
      </c>
      <c r="I504" s="176">
        <f t="shared" si="408"/>
        <v>0</v>
      </c>
      <c r="J504" s="176">
        <f t="shared" si="408"/>
        <v>0</v>
      </c>
      <c r="K504" s="176">
        <f t="shared" si="408"/>
        <v>0</v>
      </c>
      <c r="L504" s="176">
        <f t="shared" si="408"/>
        <v>0</v>
      </c>
      <c r="M504" s="176">
        <f t="shared" si="413"/>
        <v>0</v>
      </c>
      <c r="N504" s="176">
        <f t="shared" si="413"/>
        <v>0</v>
      </c>
      <c r="O504" s="176">
        <f t="shared" si="409"/>
        <v>0</v>
      </c>
      <c r="P504" s="176">
        <f t="shared" si="413"/>
        <v>0</v>
      </c>
      <c r="Q504" s="175">
        <f t="shared" si="410"/>
        <v>0</v>
      </c>
      <c r="R504" s="176">
        <f t="shared" si="413"/>
        <v>0</v>
      </c>
      <c r="S504" s="176">
        <f t="shared" si="413"/>
        <v>0</v>
      </c>
      <c r="T504" s="176">
        <f t="shared" si="413"/>
        <v>0</v>
      </c>
      <c r="U504" s="176">
        <f t="shared" si="413"/>
        <v>0</v>
      </c>
    </row>
    <row r="505" spans="3:21" ht="18.75" x14ac:dyDescent="0.3">
      <c r="C505" s="294">
        <f t="shared" si="404"/>
        <v>1</v>
      </c>
      <c r="D505" s="113" t="s">
        <v>122</v>
      </c>
      <c r="E505" s="76" t="s">
        <v>52</v>
      </c>
      <c r="F505" s="176">
        <f t="shared" ref="F505:U505" si="414">F12*$E$496</f>
        <v>0</v>
      </c>
      <c r="G505" s="176">
        <f t="shared" si="408"/>
        <v>0</v>
      </c>
      <c r="H505" s="176">
        <f t="shared" si="408"/>
        <v>0</v>
      </c>
      <c r="I505" s="176">
        <f t="shared" si="408"/>
        <v>0</v>
      </c>
      <c r="J505" s="176">
        <f t="shared" si="408"/>
        <v>0</v>
      </c>
      <c r="K505" s="176">
        <f t="shared" si="408"/>
        <v>0</v>
      </c>
      <c r="L505" s="176">
        <f t="shared" si="408"/>
        <v>0</v>
      </c>
      <c r="M505" s="176">
        <f t="shared" si="414"/>
        <v>0</v>
      </c>
      <c r="N505" s="176">
        <f t="shared" si="414"/>
        <v>0</v>
      </c>
      <c r="O505" s="176">
        <f t="shared" si="409"/>
        <v>0</v>
      </c>
      <c r="P505" s="176">
        <f t="shared" si="414"/>
        <v>0</v>
      </c>
      <c r="Q505" s="175">
        <f t="shared" si="410"/>
        <v>0</v>
      </c>
      <c r="R505" s="176">
        <f t="shared" si="414"/>
        <v>0</v>
      </c>
      <c r="S505" s="176">
        <f t="shared" si="414"/>
        <v>0</v>
      </c>
      <c r="T505" s="176">
        <f t="shared" si="414"/>
        <v>0</v>
      </c>
      <c r="U505" s="176">
        <f t="shared" si="414"/>
        <v>0</v>
      </c>
    </row>
    <row r="506" spans="3:21" ht="18.75" x14ac:dyDescent="0.3">
      <c r="C506" s="294">
        <f t="shared" si="404"/>
        <v>1</v>
      </c>
      <c r="D506" s="125" t="s">
        <v>123</v>
      </c>
      <c r="E506" s="76" t="s">
        <v>51</v>
      </c>
      <c r="F506" s="176">
        <f t="shared" ref="F506:U506" si="415">F13*$E$496</f>
        <v>0</v>
      </c>
      <c r="G506" s="176">
        <f t="shared" si="408"/>
        <v>0</v>
      </c>
      <c r="H506" s="176">
        <f t="shared" si="408"/>
        <v>0</v>
      </c>
      <c r="I506" s="176">
        <f t="shared" si="408"/>
        <v>0</v>
      </c>
      <c r="J506" s="176">
        <f t="shared" si="408"/>
        <v>0</v>
      </c>
      <c r="K506" s="176">
        <f t="shared" si="408"/>
        <v>0</v>
      </c>
      <c r="L506" s="176">
        <f t="shared" si="408"/>
        <v>0</v>
      </c>
      <c r="M506" s="176">
        <f t="shared" si="415"/>
        <v>0</v>
      </c>
      <c r="N506" s="176">
        <f t="shared" si="415"/>
        <v>0</v>
      </c>
      <c r="O506" s="176">
        <f t="shared" si="409"/>
        <v>0</v>
      </c>
      <c r="P506" s="176">
        <f t="shared" si="415"/>
        <v>0</v>
      </c>
      <c r="Q506" s="175">
        <f t="shared" si="410"/>
        <v>0</v>
      </c>
      <c r="R506" s="176">
        <f t="shared" si="415"/>
        <v>0</v>
      </c>
      <c r="S506" s="176">
        <f t="shared" si="415"/>
        <v>0</v>
      </c>
      <c r="T506" s="176">
        <f t="shared" si="415"/>
        <v>0</v>
      </c>
      <c r="U506" s="176">
        <f t="shared" si="415"/>
        <v>0</v>
      </c>
    </row>
    <row r="507" spans="3:21" ht="19.5" thickBot="1" x14ac:dyDescent="0.35">
      <c r="C507" s="294">
        <f t="shared" si="404"/>
        <v>1</v>
      </c>
      <c r="D507" s="114" t="s">
        <v>16</v>
      </c>
      <c r="E507" s="70" t="s">
        <v>50</v>
      </c>
      <c r="F507" s="176">
        <f t="shared" ref="F507:U507" si="416">F14*$E$496</f>
        <v>23012.538150999324</v>
      </c>
      <c r="G507" s="176">
        <f t="shared" si="408"/>
        <v>457.14041837670771</v>
      </c>
      <c r="H507" s="176">
        <f t="shared" si="408"/>
        <v>0</v>
      </c>
      <c r="I507" s="176">
        <f t="shared" si="408"/>
        <v>0</v>
      </c>
      <c r="J507" s="176">
        <f t="shared" si="408"/>
        <v>975.96722621659649</v>
      </c>
      <c r="K507" s="176">
        <f t="shared" si="408"/>
        <v>4.0180994927211309</v>
      </c>
      <c r="L507" s="176">
        <f t="shared" si="408"/>
        <v>0.56546190787514505</v>
      </c>
      <c r="M507" s="176">
        <f t="shared" si="416"/>
        <v>0</v>
      </c>
      <c r="N507" s="176">
        <f t="shared" si="416"/>
        <v>0</v>
      </c>
      <c r="O507" s="176">
        <f t="shared" si="409"/>
        <v>292.46589473792307</v>
      </c>
      <c r="P507" s="176">
        <f t="shared" si="416"/>
        <v>4981.1739197005281</v>
      </c>
      <c r="Q507" s="175">
        <f t="shared" si="410"/>
        <v>29723.869171431674</v>
      </c>
      <c r="R507" s="176">
        <f t="shared" si="416"/>
        <v>0</v>
      </c>
      <c r="S507" s="176">
        <f t="shared" si="416"/>
        <v>2066.8000497266789</v>
      </c>
      <c r="T507" s="176">
        <f t="shared" ca="1" si="416"/>
        <v>599.42758296449165</v>
      </c>
      <c r="U507" s="176">
        <f t="shared" ca="1" si="416"/>
        <v>34.157291720824688</v>
      </c>
    </row>
    <row r="508" spans="3:21" ht="19.5" thickBot="1" x14ac:dyDescent="0.3">
      <c r="C508" s="294">
        <f t="shared" si="404"/>
        <v>1</v>
      </c>
      <c r="D508" s="115" t="s">
        <v>124</v>
      </c>
      <c r="E508" s="116" t="s">
        <v>49</v>
      </c>
      <c r="F508" s="269">
        <f t="shared" ref="F508:U508" si="417">SUBTOTAL(9,F499:F507)</f>
        <v>238542.20452085586</v>
      </c>
      <c r="G508" s="269">
        <f t="shared" ref="G508:L508" si="418">SUBTOTAL(9,G499:G507)</f>
        <v>5303.8086504990542</v>
      </c>
      <c r="H508" s="269">
        <f t="shared" si="418"/>
        <v>0</v>
      </c>
      <c r="I508" s="269">
        <f t="shared" si="418"/>
        <v>6177.1461609988792</v>
      </c>
      <c r="J508" s="269">
        <f t="shared" si="418"/>
        <v>1684.1454022893809</v>
      </c>
      <c r="K508" s="269">
        <f t="shared" si="418"/>
        <v>218.95382727888614</v>
      </c>
      <c r="L508" s="269">
        <f t="shared" si="418"/>
        <v>0.56546190787514505</v>
      </c>
      <c r="M508" s="269">
        <f t="shared" si="417"/>
        <v>0</v>
      </c>
      <c r="N508" s="269">
        <f t="shared" si="417"/>
        <v>0</v>
      </c>
      <c r="O508" s="269">
        <f>SUBTOTAL(9,O499:O507)</f>
        <v>298.51646001743353</v>
      </c>
      <c r="P508" s="269">
        <f t="shared" si="417"/>
        <v>4981.1739197005281</v>
      </c>
      <c r="Q508" s="183">
        <f>SUBTOTAL(9,Q499:Q507)</f>
        <v>257206.51440354786</v>
      </c>
      <c r="R508" s="269">
        <f t="shared" si="417"/>
        <v>0</v>
      </c>
      <c r="S508" s="269">
        <f t="shared" si="417"/>
        <v>19426.30261855507</v>
      </c>
      <c r="T508" s="269">
        <f t="shared" ca="1" si="417"/>
        <v>7988.2823503409691</v>
      </c>
      <c r="U508" s="269">
        <f t="shared" ca="1" si="417"/>
        <v>5525.4078985699143</v>
      </c>
    </row>
    <row r="509" spans="3:21" ht="15.75" hidden="1" thickBot="1" x14ac:dyDescent="0.3"/>
    <row r="510" spans="3:21" ht="93.75" x14ac:dyDescent="0.25">
      <c r="C510" s="294">
        <f>IF($E$510&gt;0,1,0)</f>
        <v>1</v>
      </c>
      <c r="D510" s="96" t="str">
        <f>A39</f>
        <v>Orange</v>
      </c>
      <c r="E510" s="166">
        <f>IFERROR(SUMIF(A:A,D510,B:B),0)</f>
        <v>1.2293981971585183E-2</v>
      </c>
      <c r="F510" s="98" t="s">
        <v>356</v>
      </c>
      <c r="G510" s="98" t="s">
        <v>373</v>
      </c>
      <c r="H510" s="98" t="s">
        <v>358</v>
      </c>
      <c r="I510" s="98" t="s">
        <v>109</v>
      </c>
      <c r="J510" s="98" t="s">
        <v>111</v>
      </c>
      <c r="K510" s="98" t="s">
        <v>469</v>
      </c>
      <c r="L510" s="98" t="s">
        <v>470</v>
      </c>
      <c r="M510" s="98" t="s">
        <v>357</v>
      </c>
      <c r="N510" s="557" t="s">
        <v>471</v>
      </c>
      <c r="O510" s="557" t="s">
        <v>473</v>
      </c>
      <c r="P510" s="98" t="s">
        <v>110</v>
      </c>
      <c r="Q510" s="99" t="s">
        <v>116</v>
      </c>
      <c r="R510" s="98" t="s">
        <v>112</v>
      </c>
      <c r="S510" s="98" t="s">
        <v>113</v>
      </c>
      <c r="T510" s="98" t="s">
        <v>114</v>
      </c>
      <c r="U510" s="98" t="s">
        <v>115</v>
      </c>
    </row>
    <row r="511" spans="3:21" ht="18.75" x14ac:dyDescent="0.25">
      <c r="C511" s="294">
        <f>C510</f>
        <v>1</v>
      </c>
      <c r="D511" s="101"/>
      <c r="E511" s="102"/>
      <c r="F511" s="84" t="s">
        <v>57</v>
      </c>
      <c r="G511" s="84" t="s">
        <v>56</v>
      </c>
      <c r="H511" s="84" t="s">
        <v>55</v>
      </c>
      <c r="I511" s="84" t="s">
        <v>54</v>
      </c>
      <c r="J511" s="84" t="s">
        <v>53</v>
      </c>
      <c r="K511" s="84" t="s">
        <v>52</v>
      </c>
      <c r="L511" s="84" t="s">
        <v>51</v>
      </c>
      <c r="M511" s="84" t="s">
        <v>50</v>
      </c>
      <c r="N511" s="84" t="s">
        <v>49</v>
      </c>
      <c r="O511" s="84" t="s">
        <v>47</v>
      </c>
      <c r="P511" s="84" t="s">
        <v>77</v>
      </c>
      <c r="Q511" s="84" t="s">
        <v>78</v>
      </c>
      <c r="R511" s="84" t="s">
        <v>79</v>
      </c>
      <c r="S511" s="84" t="s">
        <v>81</v>
      </c>
      <c r="T511" s="84" t="s">
        <v>83</v>
      </c>
      <c r="U511" s="84" t="s">
        <v>85</v>
      </c>
    </row>
    <row r="512" spans="3:21" ht="18.75" x14ac:dyDescent="0.25">
      <c r="C512" s="294">
        <f>C510</f>
        <v>1</v>
      </c>
      <c r="D512" s="103" t="s">
        <v>26</v>
      </c>
      <c r="E512" s="122"/>
      <c r="F512" s="123"/>
      <c r="G512" s="123"/>
      <c r="H512" s="107"/>
      <c r="I512" s="107"/>
      <c r="J512" s="107"/>
      <c r="K512" s="107"/>
      <c r="L512" s="107"/>
      <c r="M512" s="123"/>
      <c r="N512" s="107"/>
      <c r="O512" s="107"/>
      <c r="P512" s="107"/>
      <c r="Q512" s="108"/>
      <c r="R512" s="107"/>
      <c r="S512" s="107"/>
      <c r="T512" s="107"/>
      <c r="U512" s="107"/>
    </row>
    <row r="513" spans="3:21" ht="18.75" x14ac:dyDescent="0.25">
      <c r="C513" s="294">
        <f t="shared" ref="C513:C522" si="419">C511</f>
        <v>1</v>
      </c>
      <c r="D513" s="124" t="s">
        <v>105</v>
      </c>
      <c r="E513" s="76" t="s">
        <v>57</v>
      </c>
      <c r="F513" s="176">
        <f t="shared" ref="F513:L513" si="420">F6*$E$510</f>
        <v>867099.36450040038</v>
      </c>
      <c r="G513" s="176">
        <f t="shared" si="420"/>
        <v>19498.67512347861</v>
      </c>
      <c r="H513" s="176">
        <f t="shared" si="420"/>
        <v>0</v>
      </c>
      <c r="I513" s="176">
        <f t="shared" si="420"/>
        <v>24851.333001354848</v>
      </c>
      <c r="J513" s="176">
        <f t="shared" si="420"/>
        <v>2849.0780724914871</v>
      </c>
      <c r="K513" s="176">
        <f t="shared" si="420"/>
        <v>864.7098847728746</v>
      </c>
      <c r="L513" s="176">
        <f t="shared" si="420"/>
        <v>0</v>
      </c>
      <c r="M513" s="176">
        <f t="shared" ref="M513:U513" si="421">M6*$E$510</f>
        <v>0</v>
      </c>
      <c r="N513" s="176">
        <f t="shared" si="421"/>
        <v>0</v>
      </c>
      <c r="O513" s="176">
        <f>O6*$E$510</f>
        <v>24.342084303738662</v>
      </c>
      <c r="P513" s="176">
        <f t="shared" si="421"/>
        <v>0</v>
      </c>
      <c r="Q513" s="175">
        <f>SUM(F513:P513)</f>
        <v>915187.50266680191</v>
      </c>
      <c r="R513" s="176">
        <f t="shared" si="421"/>
        <v>0</v>
      </c>
      <c r="S513" s="176">
        <f t="shared" si="421"/>
        <v>69839.172950064749</v>
      </c>
      <c r="T513" s="176">
        <f t="shared" ca="1" si="421"/>
        <v>29726.16893575792</v>
      </c>
      <c r="U513" s="176">
        <f t="shared" ca="1" si="421"/>
        <v>22091.900348142557</v>
      </c>
    </row>
    <row r="514" spans="3:21" ht="18.75" x14ac:dyDescent="0.25">
      <c r="C514" s="294">
        <f t="shared" si="419"/>
        <v>1</v>
      </c>
      <c r="D514" s="112" t="s">
        <v>31</v>
      </c>
      <c r="E514" s="76"/>
      <c r="F514" s="177"/>
      <c r="G514" s="177"/>
      <c r="H514" s="178"/>
      <c r="I514" s="178"/>
      <c r="J514" s="178"/>
      <c r="K514" s="178"/>
      <c r="L514" s="178"/>
      <c r="M514" s="177"/>
      <c r="N514" s="178"/>
      <c r="O514" s="178"/>
      <c r="P514" s="178"/>
      <c r="Q514" s="179"/>
      <c r="R514" s="178"/>
      <c r="S514" s="178"/>
      <c r="T514" s="178"/>
      <c r="U514" s="178"/>
    </row>
    <row r="515" spans="3:21" ht="18.75" x14ac:dyDescent="0.3">
      <c r="C515" s="294">
        <f t="shared" si="419"/>
        <v>1</v>
      </c>
      <c r="D515" s="113" t="s">
        <v>118</v>
      </c>
      <c r="E515" s="76" t="s">
        <v>56</v>
      </c>
      <c r="F515" s="176">
        <f t="shared" ref="F515:U515" si="422">F8*$E$510</f>
        <v>0</v>
      </c>
      <c r="G515" s="176">
        <f t="shared" ref="G515:L521" si="423">G8*$E$510</f>
        <v>0</v>
      </c>
      <c r="H515" s="176">
        <f t="shared" si="423"/>
        <v>0</v>
      </c>
      <c r="I515" s="176">
        <f t="shared" si="423"/>
        <v>0</v>
      </c>
      <c r="J515" s="176">
        <f t="shared" si="423"/>
        <v>0</v>
      </c>
      <c r="K515" s="176">
        <f t="shared" si="423"/>
        <v>0</v>
      </c>
      <c r="L515" s="176">
        <f t="shared" si="423"/>
        <v>0</v>
      </c>
      <c r="M515" s="176">
        <f t="shared" si="422"/>
        <v>0</v>
      </c>
      <c r="N515" s="176">
        <f t="shared" si="422"/>
        <v>0</v>
      </c>
      <c r="O515" s="176">
        <f t="shared" ref="O515:O521" si="424">O8*$E$510</f>
        <v>0</v>
      </c>
      <c r="P515" s="176">
        <f t="shared" si="422"/>
        <v>0</v>
      </c>
      <c r="Q515" s="175">
        <f t="shared" ref="Q515:Q521" si="425">SUM(F515:P515)</f>
        <v>0</v>
      </c>
      <c r="R515" s="176">
        <f t="shared" si="422"/>
        <v>0</v>
      </c>
      <c r="S515" s="176">
        <f t="shared" si="422"/>
        <v>0</v>
      </c>
      <c r="T515" s="176">
        <f t="shared" si="422"/>
        <v>0</v>
      </c>
      <c r="U515" s="176">
        <f t="shared" si="422"/>
        <v>0</v>
      </c>
    </row>
    <row r="516" spans="3:21" ht="18.75" x14ac:dyDescent="0.3">
      <c r="C516" s="294">
        <f t="shared" si="419"/>
        <v>1</v>
      </c>
      <c r="D516" s="113" t="s">
        <v>119</v>
      </c>
      <c r="E516" s="76" t="s">
        <v>55</v>
      </c>
      <c r="F516" s="176">
        <f t="shared" ref="F516:U516" si="426">F9*$E$510</f>
        <v>0</v>
      </c>
      <c r="G516" s="176">
        <f t="shared" si="423"/>
        <v>0</v>
      </c>
      <c r="H516" s="176">
        <f t="shared" si="423"/>
        <v>0</v>
      </c>
      <c r="I516" s="176">
        <f t="shared" si="423"/>
        <v>0</v>
      </c>
      <c r="J516" s="176">
        <f t="shared" si="423"/>
        <v>0</v>
      </c>
      <c r="K516" s="176">
        <f t="shared" si="423"/>
        <v>0</v>
      </c>
      <c r="L516" s="176">
        <f t="shared" si="423"/>
        <v>0</v>
      </c>
      <c r="M516" s="176">
        <f t="shared" si="426"/>
        <v>0</v>
      </c>
      <c r="N516" s="176">
        <f t="shared" si="426"/>
        <v>0</v>
      </c>
      <c r="O516" s="176">
        <f t="shared" si="424"/>
        <v>0</v>
      </c>
      <c r="P516" s="176">
        <f t="shared" si="426"/>
        <v>0</v>
      </c>
      <c r="Q516" s="175">
        <f t="shared" si="425"/>
        <v>0</v>
      </c>
      <c r="R516" s="176">
        <f t="shared" si="426"/>
        <v>0</v>
      </c>
      <c r="S516" s="176">
        <f t="shared" si="426"/>
        <v>0</v>
      </c>
      <c r="T516" s="176">
        <f t="shared" si="426"/>
        <v>0</v>
      </c>
      <c r="U516" s="176">
        <f t="shared" si="426"/>
        <v>0</v>
      </c>
    </row>
    <row r="517" spans="3:21" ht="18.75" x14ac:dyDescent="0.3">
      <c r="C517" s="294">
        <f t="shared" si="419"/>
        <v>1</v>
      </c>
      <c r="D517" s="113" t="s">
        <v>120</v>
      </c>
      <c r="E517" s="76" t="s">
        <v>54</v>
      </c>
      <c r="F517" s="176">
        <f t="shared" ref="F517:U517" si="427">F10*$E$510</f>
        <v>0</v>
      </c>
      <c r="G517" s="176">
        <f t="shared" si="423"/>
        <v>0</v>
      </c>
      <c r="H517" s="176">
        <f t="shared" si="423"/>
        <v>0</v>
      </c>
      <c r="I517" s="176">
        <f t="shared" si="423"/>
        <v>0</v>
      </c>
      <c r="J517" s="176">
        <f t="shared" si="423"/>
        <v>0</v>
      </c>
      <c r="K517" s="176">
        <f t="shared" si="423"/>
        <v>0</v>
      </c>
      <c r="L517" s="176">
        <f t="shared" si="423"/>
        <v>0</v>
      </c>
      <c r="M517" s="176">
        <f t="shared" si="427"/>
        <v>0</v>
      </c>
      <c r="N517" s="176">
        <f t="shared" si="427"/>
        <v>0</v>
      </c>
      <c r="O517" s="176">
        <f t="shared" si="424"/>
        <v>0</v>
      </c>
      <c r="P517" s="176">
        <f t="shared" si="427"/>
        <v>0</v>
      </c>
      <c r="Q517" s="175">
        <f t="shared" si="425"/>
        <v>0</v>
      </c>
      <c r="R517" s="176">
        <f t="shared" si="427"/>
        <v>0</v>
      </c>
      <c r="S517" s="176">
        <f t="shared" si="427"/>
        <v>0</v>
      </c>
      <c r="T517" s="176">
        <f t="shared" si="427"/>
        <v>0</v>
      </c>
      <c r="U517" s="176">
        <f t="shared" si="427"/>
        <v>0</v>
      </c>
    </row>
    <row r="518" spans="3:21" ht="18.75" x14ac:dyDescent="0.3">
      <c r="C518" s="294">
        <f t="shared" si="419"/>
        <v>1</v>
      </c>
      <c r="D518" s="113" t="s">
        <v>121</v>
      </c>
      <c r="E518" s="76" t="s">
        <v>53</v>
      </c>
      <c r="F518" s="176">
        <f t="shared" ref="F518:U518" si="428">F11*$E$510</f>
        <v>0</v>
      </c>
      <c r="G518" s="176">
        <f t="shared" si="423"/>
        <v>0</v>
      </c>
      <c r="H518" s="176">
        <f t="shared" si="423"/>
        <v>0</v>
      </c>
      <c r="I518" s="176">
        <f t="shared" si="423"/>
        <v>0</v>
      </c>
      <c r="J518" s="176">
        <f t="shared" si="423"/>
        <v>0</v>
      </c>
      <c r="K518" s="176">
        <f t="shared" si="423"/>
        <v>0</v>
      </c>
      <c r="L518" s="176">
        <f t="shared" si="423"/>
        <v>0</v>
      </c>
      <c r="M518" s="176">
        <f t="shared" si="428"/>
        <v>0</v>
      </c>
      <c r="N518" s="176">
        <f t="shared" si="428"/>
        <v>0</v>
      </c>
      <c r="O518" s="176">
        <f t="shared" si="424"/>
        <v>0</v>
      </c>
      <c r="P518" s="176">
        <f t="shared" si="428"/>
        <v>0</v>
      </c>
      <c r="Q518" s="175">
        <f t="shared" si="425"/>
        <v>0</v>
      </c>
      <c r="R518" s="176">
        <f t="shared" si="428"/>
        <v>0</v>
      </c>
      <c r="S518" s="176">
        <f t="shared" si="428"/>
        <v>0</v>
      </c>
      <c r="T518" s="176">
        <f t="shared" si="428"/>
        <v>0</v>
      </c>
      <c r="U518" s="176">
        <f t="shared" si="428"/>
        <v>0</v>
      </c>
    </row>
    <row r="519" spans="3:21" ht="18.75" x14ac:dyDescent="0.3">
      <c r="C519" s="294">
        <f t="shared" si="419"/>
        <v>1</v>
      </c>
      <c r="D519" s="113" t="s">
        <v>122</v>
      </c>
      <c r="E519" s="76" t="s">
        <v>52</v>
      </c>
      <c r="F519" s="176">
        <f t="shared" ref="F519:U519" si="429">F12*$E$510</f>
        <v>0</v>
      </c>
      <c r="G519" s="176">
        <f t="shared" si="423"/>
        <v>0</v>
      </c>
      <c r="H519" s="176">
        <f t="shared" si="423"/>
        <v>0</v>
      </c>
      <c r="I519" s="176">
        <f t="shared" si="423"/>
        <v>0</v>
      </c>
      <c r="J519" s="176">
        <f t="shared" si="423"/>
        <v>0</v>
      </c>
      <c r="K519" s="176">
        <f t="shared" si="423"/>
        <v>0</v>
      </c>
      <c r="L519" s="176">
        <f t="shared" si="423"/>
        <v>0</v>
      </c>
      <c r="M519" s="176">
        <f t="shared" si="429"/>
        <v>0</v>
      </c>
      <c r="N519" s="176">
        <f t="shared" si="429"/>
        <v>0</v>
      </c>
      <c r="O519" s="176">
        <f t="shared" si="424"/>
        <v>0</v>
      </c>
      <c r="P519" s="176">
        <f t="shared" si="429"/>
        <v>0</v>
      </c>
      <c r="Q519" s="175">
        <f t="shared" si="425"/>
        <v>0</v>
      </c>
      <c r="R519" s="176">
        <f t="shared" si="429"/>
        <v>0</v>
      </c>
      <c r="S519" s="176">
        <f t="shared" si="429"/>
        <v>0</v>
      </c>
      <c r="T519" s="176">
        <f t="shared" si="429"/>
        <v>0</v>
      </c>
      <c r="U519" s="176">
        <f t="shared" si="429"/>
        <v>0</v>
      </c>
    </row>
    <row r="520" spans="3:21" ht="18.75" x14ac:dyDescent="0.3">
      <c r="C520" s="294">
        <f t="shared" si="419"/>
        <v>1</v>
      </c>
      <c r="D520" s="125" t="s">
        <v>123</v>
      </c>
      <c r="E520" s="76" t="s">
        <v>51</v>
      </c>
      <c r="F520" s="176">
        <f t="shared" ref="F520:U520" si="430">F13*$E$510</f>
        <v>0</v>
      </c>
      <c r="G520" s="176">
        <f t="shared" si="423"/>
        <v>0</v>
      </c>
      <c r="H520" s="176">
        <f t="shared" si="423"/>
        <v>0</v>
      </c>
      <c r="I520" s="176">
        <f t="shared" si="423"/>
        <v>0</v>
      </c>
      <c r="J520" s="176">
        <f t="shared" si="423"/>
        <v>0</v>
      </c>
      <c r="K520" s="176">
        <f t="shared" si="423"/>
        <v>0</v>
      </c>
      <c r="L520" s="176">
        <f t="shared" si="423"/>
        <v>0</v>
      </c>
      <c r="M520" s="176">
        <f t="shared" si="430"/>
        <v>0</v>
      </c>
      <c r="N520" s="176">
        <f t="shared" si="430"/>
        <v>0</v>
      </c>
      <c r="O520" s="176">
        <f t="shared" si="424"/>
        <v>0</v>
      </c>
      <c r="P520" s="176">
        <f t="shared" si="430"/>
        <v>0</v>
      </c>
      <c r="Q520" s="175">
        <f t="shared" si="425"/>
        <v>0</v>
      </c>
      <c r="R520" s="176">
        <f t="shared" si="430"/>
        <v>0</v>
      </c>
      <c r="S520" s="176">
        <f t="shared" si="430"/>
        <v>0</v>
      </c>
      <c r="T520" s="176">
        <f t="shared" si="430"/>
        <v>0</v>
      </c>
      <c r="U520" s="176">
        <f t="shared" si="430"/>
        <v>0</v>
      </c>
    </row>
    <row r="521" spans="3:21" ht="19.5" thickBot="1" x14ac:dyDescent="0.35">
      <c r="C521" s="294">
        <f t="shared" si="419"/>
        <v>1</v>
      </c>
      <c r="D521" s="114" t="s">
        <v>16</v>
      </c>
      <c r="E521" s="70" t="s">
        <v>50</v>
      </c>
      <c r="F521" s="176">
        <f t="shared" ref="F521:U521" si="431">F14*$E$510</f>
        <v>92581.95190647534</v>
      </c>
      <c r="G521" s="176">
        <f t="shared" si="423"/>
        <v>1839.1257822562472</v>
      </c>
      <c r="H521" s="176">
        <f t="shared" si="423"/>
        <v>0</v>
      </c>
      <c r="I521" s="176">
        <f t="shared" si="423"/>
        <v>0</v>
      </c>
      <c r="J521" s="176">
        <f t="shared" si="423"/>
        <v>3926.4226399971139</v>
      </c>
      <c r="K521" s="176">
        <f t="shared" si="423"/>
        <v>16.165252678761398</v>
      </c>
      <c r="L521" s="176">
        <f t="shared" si="423"/>
        <v>2.2749149535931172</v>
      </c>
      <c r="M521" s="176">
        <f t="shared" si="431"/>
        <v>0</v>
      </c>
      <c r="N521" s="176">
        <f t="shared" si="431"/>
        <v>0</v>
      </c>
      <c r="O521" s="176">
        <f t="shared" si="424"/>
        <v>1176.6222058271676</v>
      </c>
      <c r="P521" s="176">
        <f t="shared" si="431"/>
        <v>20039.806180678825</v>
      </c>
      <c r="Q521" s="175">
        <f t="shared" si="425"/>
        <v>119582.36888286704</v>
      </c>
      <c r="R521" s="176">
        <f t="shared" si="431"/>
        <v>0</v>
      </c>
      <c r="S521" s="176">
        <f t="shared" si="431"/>
        <v>8314.9621110258486</v>
      </c>
      <c r="T521" s="176">
        <f t="shared" ca="1" si="431"/>
        <v>2411.5625705121706</v>
      </c>
      <c r="U521" s="176">
        <f t="shared" ca="1" si="431"/>
        <v>137.41851153500485</v>
      </c>
    </row>
    <row r="522" spans="3:21" ht="19.5" thickBot="1" x14ac:dyDescent="0.3">
      <c r="C522" s="294">
        <f t="shared" si="419"/>
        <v>1</v>
      </c>
      <c r="D522" s="115" t="s">
        <v>124</v>
      </c>
      <c r="E522" s="116" t="s">
        <v>49</v>
      </c>
      <c r="F522" s="269">
        <f t="shared" ref="F522:U522" si="432">SUBTOTAL(9,F513:F521)</f>
        <v>959681.31640687573</v>
      </c>
      <c r="G522" s="269">
        <f t="shared" ref="G522:L522" si="433">SUBTOTAL(9,G513:G521)</f>
        <v>21337.800905734857</v>
      </c>
      <c r="H522" s="269">
        <f t="shared" si="433"/>
        <v>0</v>
      </c>
      <c r="I522" s="269">
        <f t="shared" si="433"/>
        <v>24851.333001354848</v>
      </c>
      <c r="J522" s="269">
        <f t="shared" si="433"/>
        <v>6775.5007124886015</v>
      </c>
      <c r="K522" s="269">
        <f t="shared" si="433"/>
        <v>880.87513745163596</v>
      </c>
      <c r="L522" s="269">
        <f t="shared" si="433"/>
        <v>2.2749149535931172</v>
      </c>
      <c r="M522" s="269">
        <f t="shared" si="432"/>
        <v>0</v>
      </c>
      <c r="N522" s="269">
        <f t="shared" si="432"/>
        <v>0</v>
      </c>
      <c r="O522" s="269">
        <f>SUBTOTAL(9,O513:O521)</f>
        <v>1200.9642901309062</v>
      </c>
      <c r="P522" s="269">
        <f t="shared" si="432"/>
        <v>20039.806180678825</v>
      </c>
      <c r="Q522" s="183">
        <f>SUBTOTAL(9,Q513:Q521)</f>
        <v>1034769.871549669</v>
      </c>
      <c r="R522" s="269">
        <f t="shared" si="432"/>
        <v>0</v>
      </c>
      <c r="S522" s="269">
        <f t="shared" si="432"/>
        <v>78154.135061090594</v>
      </c>
      <c r="T522" s="269">
        <f t="shared" ca="1" si="432"/>
        <v>32137.731506270091</v>
      </c>
      <c r="U522" s="269">
        <f t="shared" ca="1" si="432"/>
        <v>22229.318859677562</v>
      </c>
    </row>
    <row r="523" spans="3:21" ht="15.75" hidden="1" thickBot="1" x14ac:dyDescent="0.3"/>
    <row r="524" spans="3:21" ht="93.75" x14ac:dyDescent="0.25">
      <c r="C524" s="294">
        <f>IF($E$524&gt;0,1,0)</f>
        <v>1</v>
      </c>
      <c r="D524" s="96" t="str">
        <f>A40</f>
        <v>Orleans</v>
      </c>
      <c r="E524" s="166">
        <f>IFERROR(SUMIF(A:A,D524,B:B),0)</f>
        <v>1.1805826190968058E-3</v>
      </c>
      <c r="F524" s="98" t="s">
        <v>356</v>
      </c>
      <c r="G524" s="98" t="s">
        <v>373</v>
      </c>
      <c r="H524" s="98" t="s">
        <v>358</v>
      </c>
      <c r="I524" s="98" t="s">
        <v>109</v>
      </c>
      <c r="J524" s="98" t="s">
        <v>111</v>
      </c>
      <c r="K524" s="98" t="s">
        <v>469</v>
      </c>
      <c r="L524" s="98" t="s">
        <v>470</v>
      </c>
      <c r="M524" s="98" t="s">
        <v>357</v>
      </c>
      <c r="N524" s="557" t="s">
        <v>471</v>
      </c>
      <c r="O524" s="557" t="s">
        <v>473</v>
      </c>
      <c r="P524" s="98" t="s">
        <v>110</v>
      </c>
      <c r="Q524" s="99" t="s">
        <v>116</v>
      </c>
      <c r="R524" s="98" t="s">
        <v>112</v>
      </c>
      <c r="S524" s="98" t="s">
        <v>113</v>
      </c>
      <c r="T524" s="98" t="s">
        <v>114</v>
      </c>
      <c r="U524" s="98" t="s">
        <v>115</v>
      </c>
    </row>
    <row r="525" spans="3:21" ht="18.75" x14ac:dyDescent="0.25">
      <c r="C525" s="294">
        <f>C524</f>
        <v>1</v>
      </c>
      <c r="D525" s="101"/>
      <c r="E525" s="102"/>
      <c r="F525" s="84" t="s">
        <v>57</v>
      </c>
      <c r="G525" s="84" t="s">
        <v>56</v>
      </c>
      <c r="H525" s="84" t="s">
        <v>55</v>
      </c>
      <c r="I525" s="84" t="s">
        <v>54</v>
      </c>
      <c r="J525" s="84" t="s">
        <v>53</v>
      </c>
      <c r="K525" s="84" t="s">
        <v>52</v>
      </c>
      <c r="L525" s="84" t="s">
        <v>51</v>
      </c>
      <c r="M525" s="84" t="s">
        <v>50</v>
      </c>
      <c r="N525" s="84" t="s">
        <v>49</v>
      </c>
      <c r="O525" s="84" t="s">
        <v>47</v>
      </c>
      <c r="P525" s="84" t="s">
        <v>77</v>
      </c>
      <c r="Q525" s="84" t="s">
        <v>78</v>
      </c>
      <c r="R525" s="84" t="s">
        <v>79</v>
      </c>
      <c r="S525" s="84" t="s">
        <v>81</v>
      </c>
      <c r="T525" s="84" t="s">
        <v>83</v>
      </c>
      <c r="U525" s="84" t="s">
        <v>85</v>
      </c>
    </row>
    <row r="526" spans="3:21" ht="18.75" x14ac:dyDescent="0.25">
      <c r="C526" s="294">
        <f>C524</f>
        <v>1</v>
      </c>
      <c r="D526" s="103" t="s">
        <v>26</v>
      </c>
      <c r="E526" s="122"/>
      <c r="F526" s="123"/>
      <c r="G526" s="123"/>
      <c r="H526" s="107"/>
      <c r="I526" s="107"/>
      <c r="J526" s="107"/>
      <c r="K526" s="107"/>
      <c r="L526" s="107"/>
      <c r="M526" s="123"/>
      <c r="N526" s="107"/>
      <c r="O526" s="107"/>
      <c r="P526" s="107"/>
      <c r="Q526" s="108"/>
      <c r="R526" s="107"/>
      <c r="S526" s="107"/>
      <c r="T526" s="107"/>
      <c r="U526" s="107"/>
    </row>
    <row r="527" spans="3:21" ht="18.75" x14ac:dyDescent="0.25">
      <c r="C527" s="294">
        <f t="shared" ref="C527:C536" si="434">C525</f>
        <v>1</v>
      </c>
      <c r="D527" s="124" t="s">
        <v>105</v>
      </c>
      <c r="E527" s="76" t="s">
        <v>57</v>
      </c>
      <c r="F527" s="176">
        <f t="shared" ref="F527:L527" si="435">F6*$E$524</f>
        <v>83266.954606332918</v>
      </c>
      <c r="G527" s="176">
        <f t="shared" si="435"/>
        <v>1872.44433897815</v>
      </c>
      <c r="H527" s="176">
        <f t="shared" si="435"/>
        <v>0</v>
      </c>
      <c r="I527" s="176">
        <f t="shared" si="435"/>
        <v>2386.4563874094752</v>
      </c>
      <c r="J527" s="176">
        <f t="shared" si="435"/>
        <v>273.59500449955357</v>
      </c>
      <c r="K527" s="176">
        <f t="shared" si="435"/>
        <v>83.037494514271501</v>
      </c>
      <c r="L527" s="176">
        <f t="shared" si="435"/>
        <v>0</v>
      </c>
      <c r="M527" s="176">
        <f t="shared" ref="M527:U527" si="436">M6*$E$524</f>
        <v>0</v>
      </c>
      <c r="N527" s="176">
        <f t="shared" si="436"/>
        <v>0</v>
      </c>
      <c r="O527" s="176">
        <f>O6*$E$524</f>
        <v>2.3375535858116754</v>
      </c>
      <c r="P527" s="176">
        <f t="shared" si="436"/>
        <v>0</v>
      </c>
      <c r="Q527" s="175">
        <f>SUM(F527:P527)</f>
        <v>87884.825385320175</v>
      </c>
      <c r="R527" s="176">
        <f t="shared" si="436"/>
        <v>0</v>
      </c>
      <c r="S527" s="176">
        <f t="shared" si="436"/>
        <v>6706.6076644255108</v>
      </c>
      <c r="T527" s="176">
        <f t="shared" ca="1" si="436"/>
        <v>2854.5835237926703</v>
      </c>
      <c r="U527" s="176">
        <f t="shared" ca="1" si="436"/>
        <v>2121.4699707643103</v>
      </c>
    </row>
    <row r="528" spans="3:21" ht="18.75" x14ac:dyDescent="0.25">
      <c r="C528" s="294">
        <f t="shared" si="434"/>
        <v>1</v>
      </c>
      <c r="D528" s="112" t="s">
        <v>31</v>
      </c>
      <c r="E528" s="76"/>
      <c r="F528" s="177"/>
      <c r="G528" s="177"/>
      <c r="H528" s="178"/>
      <c r="I528" s="178"/>
      <c r="J528" s="178"/>
      <c r="K528" s="178"/>
      <c r="L528" s="178"/>
      <c r="M528" s="177"/>
      <c r="N528" s="178"/>
      <c r="O528" s="178"/>
      <c r="P528" s="178"/>
      <c r="Q528" s="179"/>
      <c r="R528" s="178"/>
      <c r="S528" s="178"/>
      <c r="T528" s="178"/>
      <c r="U528" s="178"/>
    </row>
    <row r="529" spans="3:21" ht="18.75" x14ac:dyDescent="0.3">
      <c r="C529" s="294">
        <f t="shared" si="434"/>
        <v>1</v>
      </c>
      <c r="D529" s="113" t="s">
        <v>118</v>
      </c>
      <c r="E529" s="76" t="s">
        <v>56</v>
      </c>
      <c r="F529" s="176">
        <f t="shared" ref="F529:U529" si="437">F8*$E$524</f>
        <v>0</v>
      </c>
      <c r="G529" s="176">
        <f t="shared" ref="G529:L535" si="438">G8*$E$524</f>
        <v>0</v>
      </c>
      <c r="H529" s="176">
        <f t="shared" si="438"/>
        <v>0</v>
      </c>
      <c r="I529" s="176">
        <f t="shared" si="438"/>
        <v>0</v>
      </c>
      <c r="J529" s="176">
        <f t="shared" si="438"/>
        <v>0</v>
      </c>
      <c r="K529" s="176">
        <f t="shared" si="438"/>
        <v>0</v>
      </c>
      <c r="L529" s="176">
        <f t="shared" si="438"/>
        <v>0</v>
      </c>
      <c r="M529" s="176">
        <f t="shared" si="437"/>
        <v>0</v>
      </c>
      <c r="N529" s="176">
        <f t="shared" si="437"/>
        <v>0</v>
      </c>
      <c r="O529" s="176">
        <f t="shared" ref="O529:O535" si="439">O8*$E$524</f>
        <v>0</v>
      </c>
      <c r="P529" s="176">
        <f t="shared" si="437"/>
        <v>0</v>
      </c>
      <c r="Q529" s="175">
        <f t="shared" ref="Q529:Q535" si="440">SUM(F529:P529)</f>
        <v>0</v>
      </c>
      <c r="R529" s="176">
        <f t="shared" si="437"/>
        <v>0</v>
      </c>
      <c r="S529" s="176">
        <f t="shared" si="437"/>
        <v>0</v>
      </c>
      <c r="T529" s="176">
        <f t="shared" si="437"/>
        <v>0</v>
      </c>
      <c r="U529" s="176">
        <f t="shared" si="437"/>
        <v>0</v>
      </c>
    </row>
    <row r="530" spans="3:21" ht="18.75" x14ac:dyDescent="0.3">
      <c r="C530" s="294">
        <f t="shared" si="434"/>
        <v>1</v>
      </c>
      <c r="D530" s="113" t="s">
        <v>119</v>
      </c>
      <c r="E530" s="76" t="s">
        <v>55</v>
      </c>
      <c r="F530" s="176">
        <f t="shared" ref="F530:U530" si="441">F9*$E$524</f>
        <v>0</v>
      </c>
      <c r="G530" s="176">
        <f t="shared" si="438"/>
        <v>0</v>
      </c>
      <c r="H530" s="176">
        <f t="shared" si="438"/>
        <v>0</v>
      </c>
      <c r="I530" s="176">
        <f t="shared" si="438"/>
        <v>0</v>
      </c>
      <c r="J530" s="176">
        <f t="shared" si="438"/>
        <v>0</v>
      </c>
      <c r="K530" s="176">
        <f t="shared" si="438"/>
        <v>0</v>
      </c>
      <c r="L530" s="176">
        <f t="shared" si="438"/>
        <v>0</v>
      </c>
      <c r="M530" s="176">
        <f t="shared" si="441"/>
        <v>0</v>
      </c>
      <c r="N530" s="176">
        <f t="shared" si="441"/>
        <v>0</v>
      </c>
      <c r="O530" s="176">
        <f t="shared" si="439"/>
        <v>0</v>
      </c>
      <c r="P530" s="176">
        <f t="shared" si="441"/>
        <v>0</v>
      </c>
      <c r="Q530" s="175">
        <f t="shared" si="440"/>
        <v>0</v>
      </c>
      <c r="R530" s="176">
        <f t="shared" si="441"/>
        <v>0</v>
      </c>
      <c r="S530" s="176">
        <f t="shared" si="441"/>
        <v>0</v>
      </c>
      <c r="T530" s="176">
        <f t="shared" si="441"/>
        <v>0</v>
      </c>
      <c r="U530" s="176">
        <f t="shared" si="441"/>
        <v>0</v>
      </c>
    </row>
    <row r="531" spans="3:21" ht="18.75" x14ac:dyDescent="0.3">
      <c r="C531" s="294">
        <f t="shared" si="434"/>
        <v>1</v>
      </c>
      <c r="D531" s="113" t="s">
        <v>120</v>
      </c>
      <c r="E531" s="76" t="s">
        <v>54</v>
      </c>
      <c r="F531" s="176">
        <f t="shared" ref="F531:U531" si="442">F10*$E$524</f>
        <v>0</v>
      </c>
      <c r="G531" s="176">
        <f t="shared" si="438"/>
        <v>0</v>
      </c>
      <c r="H531" s="176">
        <f t="shared" si="438"/>
        <v>0</v>
      </c>
      <c r="I531" s="176">
        <f t="shared" si="438"/>
        <v>0</v>
      </c>
      <c r="J531" s="176">
        <f t="shared" si="438"/>
        <v>0</v>
      </c>
      <c r="K531" s="176">
        <f t="shared" si="438"/>
        <v>0</v>
      </c>
      <c r="L531" s="176">
        <f t="shared" si="438"/>
        <v>0</v>
      </c>
      <c r="M531" s="176">
        <f t="shared" si="442"/>
        <v>0</v>
      </c>
      <c r="N531" s="176">
        <f t="shared" si="442"/>
        <v>0</v>
      </c>
      <c r="O531" s="176">
        <f t="shared" si="439"/>
        <v>0</v>
      </c>
      <c r="P531" s="176">
        <f t="shared" si="442"/>
        <v>0</v>
      </c>
      <c r="Q531" s="175">
        <f t="shared" si="440"/>
        <v>0</v>
      </c>
      <c r="R531" s="176">
        <f t="shared" si="442"/>
        <v>0</v>
      </c>
      <c r="S531" s="176">
        <f t="shared" si="442"/>
        <v>0</v>
      </c>
      <c r="T531" s="176">
        <f t="shared" si="442"/>
        <v>0</v>
      </c>
      <c r="U531" s="176">
        <f t="shared" si="442"/>
        <v>0</v>
      </c>
    </row>
    <row r="532" spans="3:21" ht="18.75" x14ac:dyDescent="0.3">
      <c r="C532" s="294">
        <f t="shared" si="434"/>
        <v>1</v>
      </c>
      <c r="D532" s="113" t="s">
        <v>121</v>
      </c>
      <c r="E532" s="76" t="s">
        <v>53</v>
      </c>
      <c r="F532" s="176">
        <f t="shared" ref="F532:U532" si="443">F11*$E$524</f>
        <v>0</v>
      </c>
      <c r="G532" s="176">
        <f t="shared" si="438"/>
        <v>0</v>
      </c>
      <c r="H532" s="176">
        <f t="shared" si="438"/>
        <v>0</v>
      </c>
      <c r="I532" s="176">
        <f t="shared" si="438"/>
        <v>0</v>
      </c>
      <c r="J532" s="176">
        <f t="shared" si="438"/>
        <v>0</v>
      </c>
      <c r="K532" s="176">
        <f t="shared" si="438"/>
        <v>0</v>
      </c>
      <c r="L532" s="176">
        <f t="shared" si="438"/>
        <v>0</v>
      </c>
      <c r="M532" s="176">
        <f t="shared" si="443"/>
        <v>0</v>
      </c>
      <c r="N532" s="176">
        <f t="shared" si="443"/>
        <v>0</v>
      </c>
      <c r="O532" s="176">
        <f t="shared" si="439"/>
        <v>0</v>
      </c>
      <c r="P532" s="176">
        <f t="shared" si="443"/>
        <v>0</v>
      </c>
      <c r="Q532" s="175">
        <f t="shared" si="440"/>
        <v>0</v>
      </c>
      <c r="R532" s="176">
        <f t="shared" si="443"/>
        <v>0</v>
      </c>
      <c r="S532" s="176">
        <f t="shared" si="443"/>
        <v>0</v>
      </c>
      <c r="T532" s="176">
        <f t="shared" si="443"/>
        <v>0</v>
      </c>
      <c r="U532" s="176">
        <f t="shared" si="443"/>
        <v>0</v>
      </c>
    </row>
    <row r="533" spans="3:21" ht="18.75" x14ac:dyDescent="0.3">
      <c r="C533" s="294">
        <f t="shared" si="434"/>
        <v>1</v>
      </c>
      <c r="D533" s="113" t="s">
        <v>122</v>
      </c>
      <c r="E533" s="76" t="s">
        <v>52</v>
      </c>
      <c r="F533" s="176">
        <f t="shared" ref="F533:U533" si="444">F12*$E$524</f>
        <v>0</v>
      </c>
      <c r="G533" s="176">
        <f t="shared" si="438"/>
        <v>0</v>
      </c>
      <c r="H533" s="176">
        <f t="shared" si="438"/>
        <v>0</v>
      </c>
      <c r="I533" s="176">
        <f t="shared" si="438"/>
        <v>0</v>
      </c>
      <c r="J533" s="176">
        <f t="shared" si="438"/>
        <v>0</v>
      </c>
      <c r="K533" s="176">
        <f t="shared" si="438"/>
        <v>0</v>
      </c>
      <c r="L533" s="176">
        <f t="shared" si="438"/>
        <v>0</v>
      </c>
      <c r="M533" s="176">
        <f t="shared" si="444"/>
        <v>0</v>
      </c>
      <c r="N533" s="176">
        <f t="shared" si="444"/>
        <v>0</v>
      </c>
      <c r="O533" s="176">
        <f t="shared" si="439"/>
        <v>0</v>
      </c>
      <c r="P533" s="176">
        <f t="shared" si="444"/>
        <v>0</v>
      </c>
      <c r="Q533" s="175">
        <f t="shared" si="440"/>
        <v>0</v>
      </c>
      <c r="R533" s="176">
        <f t="shared" si="444"/>
        <v>0</v>
      </c>
      <c r="S533" s="176">
        <f t="shared" si="444"/>
        <v>0</v>
      </c>
      <c r="T533" s="176">
        <f t="shared" si="444"/>
        <v>0</v>
      </c>
      <c r="U533" s="176">
        <f t="shared" si="444"/>
        <v>0</v>
      </c>
    </row>
    <row r="534" spans="3:21" ht="18.75" x14ac:dyDescent="0.3">
      <c r="C534" s="294">
        <f t="shared" si="434"/>
        <v>1</v>
      </c>
      <c r="D534" s="125" t="s">
        <v>123</v>
      </c>
      <c r="E534" s="76" t="s">
        <v>51</v>
      </c>
      <c r="F534" s="176">
        <f t="shared" ref="F534:U534" si="445">F13*$E$524</f>
        <v>0</v>
      </c>
      <c r="G534" s="176">
        <f t="shared" si="438"/>
        <v>0</v>
      </c>
      <c r="H534" s="176">
        <f t="shared" si="438"/>
        <v>0</v>
      </c>
      <c r="I534" s="176">
        <f t="shared" si="438"/>
        <v>0</v>
      </c>
      <c r="J534" s="176">
        <f t="shared" si="438"/>
        <v>0</v>
      </c>
      <c r="K534" s="176">
        <f t="shared" si="438"/>
        <v>0</v>
      </c>
      <c r="L534" s="176">
        <f t="shared" si="438"/>
        <v>0</v>
      </c>
      <c r="M534" s="176">
        <f t="shared" si="445"/>
        <v>0</v>
      </c>
      <c r="N534" s="176">
        <f t="shared" si="445"/>
        <v>0</v>
      </c>
      <c r="O534" s="176">
        <f t="shared" si="439"/>
        <v>0</v>
      </c>
      <c r="P534" s="176">
        <f t="shared" si="445"/>
        <v>0</v>
      </c>
      <c r="Q534" s="175">
        <f t="shared" si="440"/>
        <v>0</v>
      </c>
      <c r="R534" s="176">
        <f t="shared" si="445"/>
        <v>0</v>
      </c>
      <c r="S534" s="176">
        <f t="shared" si="445"/>
        <v>0</v>
      </c>
      <c r="T534" s="176">
        <f t="shared" si="445"/>
        <v>0</v>
      </c>
      <c r="U534" s="176">
        <f t="shared" si="445"/>
        <v>0</v>
      </c>
    </row>
    <row r="535" spans="3:21" ht="19.5" thickBot="1" x14ac:dyDescent="0.35">
      <c r="C535" s="294">
        <f t="shared" si="434"/>
        <v>1</v>
      </c>
      <c r="D535" s="114" t="s">
        <v>16</v>
      </c>
      <c r="E535" s="70" t="s">
        <v>50</v>
      </c>
      <c r="F535" s="176">
        <f t="shared" ref="F535:U535" si="446">F14*$E$524</f>
        <v>8890.5810595350977</v>
      </c>
      <c r="G535" s="176">
        <f t="shared" si="438"/>
        <v>176.60998184989066</v>
      </c>
      <c r="H535" s="176">
        <f t="shared" si="438"/>
        <v>0</v>
      </c>
      <c r="I535" s="176">
        <f t="shared" si="438"/>
        <v>0</v>
      </c>
      <c r="J535" s="176">
        <f t="shared" si="438"/>
        <v>377.05166110725082</v>
      </c>
      <c r="K535" s="176">
        <f t="shared" si="438"/>
        <v>1.5523380780908245</v>
      </c>
      <c r="L535" s="176">
        <f t="shared" si="438"/>
        <v>0.21845851574720948</v>
      </c>
      <c r="M535" s="176">
        <f t="shared" si="446"/>
        <v>0</v>
      </c>
      <c r="N535" s="176">
        <f t="shared" si="446"/>
        <v>0</v>
      </c>
      <c r="O535" s="176">
        <f t="shared" si="439"/>
        <v>112.99021982084363</v>
      </c>
      <c r="P535" s="176">
        <f t="shared" si="446"/>
        <v>1924.4087816022416</v>
      </c>
      <c r="Q535" s="175">
        <f t="shared" si="440"/>
        <v>11483.412500509163</v>
      </c>
      <c r="R535" s="176">
        <f t="shared" si="446"/>
        <v>0</v>
      </c>
      <c r="S535" s="176">
        <f t="shared" si="446"/>
        <v>798.48008313451794</v>
      </c>
      <c r="T535" s="176">
        <f t="shared" ca="1" si="446"/>
        <v>231.58069225995342</v>
      </c>
      <c r="U535" s="176">
        <f t="shared" ca="1" si="446"/>
        <v>13.19620499162504</v>
      </c>
    </row>
    <row r="536" spans="3:21" ht="19.5" thickBot="1" x14ac:dyDescent="0.3">
      <c r="C536" s="294">
        <f t="shared" si="434"/>
        <v>1</v>
      </c>
      <c r="D536" s="115" t="s">
        <v>124</v>
      </c>
      <c r="E536" s="116" t="s">
        <v>49</v>
      </c>
      <c r="F536" s="269">
        <f t="shared" ref="F536:U536" si="447">SUBTOTAL(9,F527:F535)</f>
        <v>92157.53566586801</v>
      </c>
      <c r="G536" s="269">
        <f t="shared" ref="G536:L536" si="448">SUBTOTAL(9,G527:G535)</f>
        <v>2049.0543208280405</v>
      </c>
      <c r="H536" s="269">
        <f t="shared" si="448"/>
        <v>0</v>
      </c>
      <c r="I536" s="269">
        <f t="shared" si="448"/>
        <v>2386.4563874094752</v>
      </c>
      <c r="J536" s="269">
        <f t="shared" si="448"/>
        <v>650.64666560680439</v>
      </c>
      <c r="K536" s="269">
        <f t="shared" si="448"/>
        <v>84.589832592362328</v>
      </c>
      <c r="L536" s="269">
        <f t="shared" si="448"/>
        <v>0.21845851574720948</v>
      </c>
      <c r="M536" s="269">
        <f t="shared" si="447"/>
        <v>0</v>
      </c>
      <c r="N536" s="269">
        <f t="shared" si="447"/>
        <v>0</v>
      </c>
      <c r="O536" s="269">
        <f>SUBTOTAL(9,O527:O535)</f>
        <v>115.32777340665531</v>
      </c>
      <c r="P536" s="269">
        <f t="shared" si="447"/>
        <v>1924.4087816022416</v>
      </c>
      <c r="Q536" s="183">
        <f>SUBTOTAL(9,Q527:Q535)</f>
        <v>99368.237885829338</v>
      </c>
      <c r="R536" s="269">
        <f t="shared" si="447"/>
        <v>0</v>
      </c>
      <c r="S536" s="269">
        <f t="shared" si="447"/>
        <v>7505.0877475600291</v>
      </c>
      <c r="T536" s="269">
        <f t="shared" ca="1" si="447"/>
        <v>3086.1642160526239</v>
      </c>
      <c r="U536" s="269">
        <f t="shared" ca="1" si="447"/>
        <v>2134.6661757559355</v>
      </c>
    </row>
    <row r="537" spans="3:21" ht="15.75" hidden="1" thickBot="1" x14ac:dyDescent="0.3"/>
    <row r="538" spans="3:21" ht="93.75" x14ac:dyDescent="0.25">
      <c r="C538" s="294">
        <f>IF($E$538&gt;0,1,0)</f>
        <v>1</v>
      </c>
      <c r="D538" s="96" t="str">
        <f>A41</f>
        <v>Oswego</v>
      </c>
      <c r="E538" s="166">
        <f>IFERROR(SUMIF(A:A,D538,B:B),0)</f>
        <v>3.9130855242887541E-3</v>
      </c>
      <c r="F538" s="98" t="s">
        <v>356</v>
      </c>
      <c r="G538" s="98" t="s">
        <v>373</v>
      </c>
      <c r="H538" s="98" t="s">
        <v>358</v>
      </c>
      <c r="I538" s="98" t="s">
        <v>109</v>
      </c>
      <c r="J538" s="98" t="s">
        <v>111</v>
      </c>
      <c r="K538" s="98" t="s">
        <v>469</v>
      </c>
      <c r="L538" s="98" t="s">
        <v>470</v>
      </c>
      <c r="M538" s="98" t="s">
        <v>357</v>
      </c>
      <c r="N538" s="557" t="s">
        <v>471</v>
      </c>
      <c r="O538" s="557" t="s">
        <v>473</v>
      </c>
      <c r="P538" s="98" t="s">
        <v>110</v>
      </c>
      <c r="Q538" s="99" t="s">
        <v>116</v>
      </c>
      <c r="R538" s="98" t="s">
        <v>112</v>
      </c>
      <c r="S538" s="98" t="s">
        <v>113</v>
      </c>
      <c r="T538" s="98" t="s">
        <v>114</v>
      </c>
      <c r="U538" s="98" t="s">
        <v>115</v>
      </c>
    </row>
    <row r="539" spans="3:21" ht="18.75" x14ac:dyDescent="0.25">
      <c r="C539" s="294">
        <f>C538</f>
        <v>1</v>
      </c>
      <c r="D539" s="101"/>
      <c r="E539" s="102"/>
      <c r="F539" s="84" t="s">
        <v>57</v>
      </c>
      <c r="G539" s="84" t="s">
        <v>56</v>
      </c>
      <c r="H539" s="84" t="s">
        <v>55</v>
      </c>
      <c r="I539" s="84" t="s">
        <v>54</v>
      </c>
      <c r="J539" s="84" t="s">
        <v>53</v>
      </c>
      <c r="K539" s="84" t="s">
        <v>52</v>
      </c>
      <c r="L539" s="84" t="s">
        <v>51</v>
      </c>
      <c r="M539" s="84" t="s">
        <v>50</v>
      </c>
      <c r="N539" s="84" t="s">
        <v>49</v>
      </c>
      <c r="O539" s="84" t="s">
        <v>47</v>
      </c>
      <c r="P539" s="84" t="s">
        <v>77</v>
      </c>
      <c r="Q539" s="84" t="s">
        <v>78</v>
      </c>
      <c r="R539" s="84" t="s">
        <v>79</v>
      </c>
      <c r="S539" s="84" t="s">
        <v>81</v>
      </c>
      <c r="T539" s="84" t="s">
        <v>83</v>
      </c>
      <c r="U539" s="84" t="s">
        <v>85</v>
      </c>
    </row>
    <row r="540" spans="3:21" ht="18.75" x14ac:dyDescent="0.25">
      <c r="C540" s="294">
        <f>C538</f>
        <v>1</v>
      </c>
      <c r="D540" s="103" t="s">
        <v>26</v>
      </c>
      <c r="E540" s="122"/>
      <c r="F540" s="123"/>
      <c r="G540" s="123"/>
      <c r="H540" s="107"/>
      <c r="I540" s="107"/>
      <c r="J540" s="107"/>
      <c r="K540" s="107"/>
      <c r="L540" s="107"/>
      <c r="M540" s="123"/>
      <c r="N540" s="107"/>
      <c r="O540" s="107"/>
      <c r="P540" s="107"/>
      <c r="Q540" s="108"/>
      <c r="R540" s="107"/>
      <c r="S540" s="107"/>
      <c r="T540" s="107"/>
      <c r="U540" s="107"/>
    </row>
    <row r="541" spans="3:21" ht="18.75" x14ac:dyDescent="0.25">
      <c r="C541" s="294">
        <f t="shared" ref="C541:C550" si="449">C539</f>
        <v>1</v>
      </c>
      <c r="D541" s="124" t="s">
        <v>105</v>
      </c>
      <c r="E541" s="76" t="s">
        <v>57</v>
      </c>
      <c r="F541" s="176">
        <f t="shared" ref="F541:L541" si="450">F6*$E$538</f>
        <v>275991.45494020911</v>
      </c>
      <c r="G541" s="176">
        <f t="shared" si="450"/>
        <v>6206.2872342617629</v>
      </c>
      <c r="H541" s="176">
        <f t="shared" si="450"/>
        <v>0</v>
      </c>
      <c r="I541" s="176">
        <f t="shared" si="450"/>
        <v>7909.9995145301364</v>
      </c>
      <c r="J541" s="176">
        <f t="shared" si="450"/>
        <v>906.84093964044052</v>
      </c>
      <c r="K541" s="176">
        <f t="shared" si="450"/>
        <v>275.23090082893953</v>
      </c>
      <c r="L541" s="176">
        <f t="shared" si="450"/>
        <v>0</v>
      </c>
      <c r="M541" s="176">
        <f t="shared" ref="M541:U541" si="451">M6*$E$538</f>
        <v>0</v>
      </c>
      <c r="N541" s="176">
        <f t="shared" si="451"/>
        <v>0</v>
      </c>
      <c r="O541" s="176">
        <f>O6*$E$538</f>
        <v>7.7479093380917332</v>
      </c>
      <c r="P541" s="176">
        <f t="shared" si="451"/>
        <v>0</v>
      </c>
      <c r="Q541" s="175">
        <f>SUM(F541:P541)</f>
        <v>291297.56143880845</v>
      </c>
      <c r="R541" s="176">
        <f t="shared" si="451"/>
        <v>0</v>
      </c>
      <c r="S541" s="176">
        <f t="shared" si="451"/>
        <v>22229.303518651541</v>
      </c>
      <c r="T541" s="176">
        <f t="shared" ca="1" si="451"/>
        <v>9461.6245268560415</v>
      </c>
      <c r="U541" s="176">
        <f t="shared" ca="1" si="451"/>
        <v>7031.6920633323343</v>
      </c>
    </row>
    <row r="542" spans="3:21" ht="18.75" x14ac:dyDescent="0.25">
      <c r="C542" s="294">
        <f t="shared" si="449"/>
        <v>1</v>
      </c>
      <c r="D542" s="112" t="s">
        <v>31</v>
      </c>
      <c r="E542" s="76"/>
      <c r="F542" s="177"/>
      <c r="G542" s="177"/>
      <c r="H542" s="178"/>
      <c r="I542" s="178"/>
      <c r="J542" s="178"/>
      <c r="K542" s="178"/>
      <c r="L542" s="178"/>
      <c r="M542" s="177"/>
      <c r="N542" s="178"/>
      <c r="O542" s="178"/>
      <c r="P542" s="178"/>
      <c r="Q542" s="179"/>
      <c r="R542" s="178"/>
      <c r="S542" s="178"/>
      <c r="T542" s="178"/>
      <c r="U542" s="178"/>
    </row>
    <row r="543" spans="3:21" ht="18.75" x14ac:dyDescent="0.3">
      <c r="C543" s="294">
        <f t="shared" si="449"/>
        <v>1</v>
      </c>
      <c r="D543" s="113" t="s">
        <v>118</v>
      </c>
      <c r="E543" s="76" t="s">
        <v>56</v>
      </c>
      <c r="F543" s="176">
        <f t="shared" ref="F543:U543" si="452">F8*$E$538</f>
        <v>0</v>
      </c>
      <c r="G543" s="176">
        <f t="shared" ref="G543:L549" si="453">G8*$E$538</f>
        <v>0</v>
      </c>
      <c r="H543" s="176">
        <f t="shared" si="453"/>
        <v>0</v>
      </c>
      <c r="I543" s="176">
        <f t="shared" si="453"/>
        <v>0</v>
      </c>
      <c r="J543" s="176">
        <f t="shared" si="453"/>
        <v>0</v>
      </c>
      <c r="K543" s="176">
        <f t="shared" si="453"/>
        <v>0</v>
      </c>
      <c r="L543" s="176">
        <f t="shared" si="453"/>
        <v>0</v>
      </c>
      <c r="M543" s="176">
        <f t="shared" si="452"/>
        <v>0</v>
      </c>
      <c r="N543" s="176">
        <f t="shared" si="452"/>
        <v>0</v>
      </c>
      <c r="O543" s="176">
        <f t="shared" ref="O543:O549" si="454">O8*$E$538</f>
        <v>0</v>
      </c>
      <c r="P543" s="176">
        <f t="shared" si="452"/>
        <v>0</v>
      </c>
      <c r="Q543" s="175">
        <f t="shared" ref="Q543:Q549" si="455">SUM(F543:P543)</f>
        <v>0</v>
      </c>
      <c r="R543" s="176">
        <f t="shared" si="452"/>
        <v>0</v>
      </c>
      <c r="S543" s="176">
        <f t="shared" si="452"/>
        <v>0</v>
      </c>
      <c r="T543" s="176">
        <f t="shared" si="452"/>
        <v>0</v>
      </c>
      <c r="U543" s="176">
        <f t="shared" si="452"/>
        <v>0</v>
      </c>
    </row>
    <row r="544" spans="3:21" ht="18.75" x14ac:dyDescent="0.3">
      <c r="C544" s="294">
        <f t="shared" si="449"/>
        <v>1</v>
      </c>
      <c r="D544" s="113" t="s">
        <v>119</v>
      </c>
      <c r="E544" s="76" t="s">
        <v>55</v>
      </c>
      <c r="F544" s="176">
        <f t="shared" ref="F544:U544" si="456">F9*$E$538</f>
        <v>0</v>
      </c>
      <c r="G544" s="176">
        <f t="shared" si="453"/>
        <v>0</v>
      </c>
      <c r="H544" s="176">
        <f t="shared" si="453"/>
        <v>0</v>
      </c>
      <c r="I544" s="176">
        <f t="shared" si="453"/>
        <v>0</v>
      </c>
      <c r="J544" s="176">
        <f t="shared" si="453"/>
        <v>0</v>
      </c>
      <c r="K544" s="176">
        <f t="shared" si="453"/>
        <v>0</v>
      </c>
      <c r="L544" s="176">
        <f t="shared" si="453"/>
        <v>0</v>
      </c>
      <c r="M544" s="176">
        <f t="shared" si="456"/>
        <v>0</v>
      </c>
      <c r="N544" s="176">
        <f t="shared" si="456"/>
        <v>0</v>
      </c>
      <c r="O544" s="176">
        <f t="shared" si="454"/>
        <v>0</v>
      </c>
      <c r="P544" s="176">
        <f t="shared" si="456"/>
        <v>0</v>
      </c>
      <c r="Q544" s="175">
        <f t="shared" si="455"/>
        <v>0</v>
      </c>
      <c r="R544" s="176">
        <f t="shared" si="456"/>
        <v>0</v>
      </c>
      <c r="S544" s="176">
        <f t="shared" si="456"/>
        <v>0</v>
      </c>
      <c r="T544" s="176">
        <f t="shared" si="456"/>
        <v>0</v>
      </c>
      <c r="U544" s="176">
        <f t="shared" si="456"/>
        <v>0</v>
      </c>
    </row>
    <row r="545" spans="3:21" ht="18.75" x14ac:dyDescent="0.3">
      <c r="C545" s="294">
        <f t="shared" si="449"/>
        <v>1</v>
      </c>
      <c r="D545" s="113" t="s">
        <v>120</v>
      </c>
      <c r="E545" s="76" t="s">
        <v>54</v>
      </c>
      <c r="F545" s="176">
        <f t="shared" ref="F545:U545" si="457">F10*$E$538</f>
        <v>0</v>
      </c>
      <c r="G545" s="176">
        <f t="shared" si="453"/>
        <v>0</v>
      </c>
      <c r="H545" s="176">
        <f t="shared" si="453"/>
        <v>0</v>
      </c>
      <c r="I545" s="176">
        <f t="shared" si="453"/>
        <v>0</v>
      </c>
      <c r="J545" s="176">
        <f t="shared" si="453"/>
        <v>0</v>
      </c>
      <c r="K545" s="176">
        <f t="shared" si="453"/>
        <v>0</v>
      </c>
      <c r="L545" s="176">
        <f t="shared" si="453"/>
        <v>0</v>
      </c>
      <c r="M545" s="176">
        <f t="shared" si="457"/>
        <v>0</v>
      </c>
      <c r="N545" s="176">
        <f t="shared" si="457"/>
        <v>0</v>
      </c>
      <c r="O545" s="176">
        <f t="shared" si="454"/>
        <v>0</v>
      </c>
      <c r="P545" s="176">
        <f t="shared" si="457"/>
        <v>0</v>
      </c>
      <c r="Q545" s="175">
        <f t="shared" si="455"/>
        <v>0</v>
      </c>
      <c r="R545" s="176">
        <f t="shared" si="457"/>
        <v>0</v>
      </c>
      <c r="S545" s="176">
        <f t="shared" si="457"/>
        <v>0</v>
      </c>
      <c r="T545" s="176">
        <f t="shared" si="457"/>
        <v>0</v>
      </c>
      <c r="U545" s="176">
        <f t="shared" si="457"/>
        <v>0</v>
      </c>
    </row>
    <row r="546" spans="3:21" ht="18.75" x14ac:dyDescent="0.3">
      <c r="C546" s="294">
        <f t="shared" si="449"/>
        <v>1</v>
      </c>
      <c r="D546" s="113" t="s">
        <v>121</v>
      </c>
      <c r="E546" s="76" t="s">
        <v>53</v>
      </c>
      <c r="F546" s="176">
        <f t="shared" ref="F546:U546" si="458">F11*$E$538</f>
        <v>0</v>
      </c>
      <c r="G546" s="176">
        <f t="shared" si="453"/>
        <v>0</v>
      </c>
      <c r="H546" s="176">
        <f t="shared" si="453"/>
        <v>0</v>
      </c>
      <c r="I546" s="176">
        <f t="shared" si="453"/>
        <v>0</v>
      </c>
      <c r="J546" s="176">
        <f t="shared" si="453"/>
        <v>0</v>
      </c>
      <c r="K546" s="176">
        <f t="shared" si="453"/>
        <v>0</v>
      </c>
      <c r="L546" s="176">
        <f t="shared" si="453"/>
        <v>0</v>
      </c>
      <c r="M546" s="176">
        <f t="shared" si="458"/>
        <v>0</v>
      </c>
      <c r="N546" s="176">
        <f t="shared" si="458"/>
        <v>0</v>
      </c>
      <c r="O546" s="176">
        <f t="shared" si="454"/>
        <v>0</v>
      </c>
      <c r="P546" s="176">
        <f t="shared" si="458"/>
        <v>0</v>
      </c>
      <c r="Q546" s="175">
        <f t="shared" si="455"/>
        <v>0</v>
      </c>
      <c r="R546" s="176">
        <f t="shared" si="458"/>
        <v>0</v>
      </c>
      <c r="S546" s="176">
        <f t="shared" si="458"/>
        <v>0</v>
      </c>
      <c r="T546" s="176">
        <f t="shared" si="458"/>
        <v>0</v>
      </c>
      <c r="U546" s="176">
        <f t="shared" si="458"/>
        <v>0</v>
      </c>
    </row>
    <row r="547" spans="3:21" ht="18.75" x14ac:dyDescent="0.3">
      <c r="C547" s="294">
        <f t="shared" si="449"/>
        <v>1</v>
      </c>
      <c r="D547" s="113" t="s">
        <v>122</v>
      </c>
      <c r="E547" s="76" t="s">
        <v>52</v>
      </c>
      <c r="F547" s="176">
        <f t="shared" ref="F547:U547" si="459">F12*$E$538</f>
        <v>0</v>
      </c>
      <c r="G547" s="176">
        <f t="shared" si="453"/>
        <v>0</v>
      </c>
      <c r="H547" s="176">
        <f t="shared" si="453"/>
        <v>0</v>
      </c>
      <c r="I547" s="176">
        <f t="shared" si="453"/>
        <v>0</v>
      </c>
      <c r="J547" s="176">
        <f t="shared" si="453"/>
        <v>0</v>
      </c>
      <c r="K547" s="176">
        <f t="shared" si="453"/>
        <v>0</v>
      </c>
      <c r="L547" s="176">
        <f t="shared" si="453"/>
        <v>0</v>
      </c>
      <c r="M547" s="176">
        <f t="shared" si="459"/>
        <v>0</v>
      </c>
      <c r="N547" s="176">
        <f t="shared" si="459"/>
        <v>0</v>
      </c>
      <c r="O547" s="176">
        <f t="shared" si="454"/>
        <v>0</v>
      </c>
      <c r="P547" s="176">
        <f t="shared" si="459"/>
        <v>0</v>
      </c>
      <c r="Q547" s="175">
        <f t="shared" si="455"/>
        <v>0</v>
      </c>
      <c r="R547" s="176">
        <f t="shared" si="459"/>
        <v>0</v>
      </c>
      <c r="S547" s="176">
        <f t="shared" si="459"/>
        <v>0</v>
      </c>
      <c r="T547" s="176">
        <f t="shared" si="459"/>
        <v>0</v>
      </c>
      <c r="U547" s="176">
        <f t="shared" si="459"/>
        <v>0</v>
      </c>
    </row>
    <row r="548" spans="3:21" ht="18.75" x14ac:dyDescent="0.3">
      <c r="C548" s="294">
        <f t="shared" si="449"/>
        <v>1</v>
      </c>
      <c r="D548" s="125" t="s">
        <v>123</v>
      </c>
      <c r="E548" s="76" t="s">
        <v>51</v>
      </c>
      <c r="F548" s="176">
        <f t="shared" ref="F548:U548" si="460">F13*$E$538</f>
        <v>0</v>
      </c>
      <c r="G548" s="176">
        <f t="shared" si="453"/>
        <v>0</v>
      </c>
      <c r="H548" s="176">
        <f t="shared" si="453"/>
        <v>0</v>
      </c>
      <c r="I548" s="176">
        <f t="shared" si="453"/>
        <v>0</v>
      </c>
      <c r="J548" s="176">
        <f t="shared" si="453"/>
        <v>0</v>
      </c>
      <c r="K548" s="176">
        <f t="shared" si="453"/>
        <v>0</v>
      </c>
      <c r="L548" s="176">
        <f t="shared" si="453"/>
        <v>0</v>
      </c>
      <c r="M548" s="176">
        <f t="shared" si="460"/>
        <v>0</v>
      </c>
      <c r="N548" s="176">
        <f t="shared" si="460"/>
        <v>0</v>
      </c>
      <c r="O548" s="176">
        <f t="shared" si="454"/>
        <v>0</v>
      </c>
      <c r="P548" s="176">
        <f t="shared" si="460"/>
        <v>0</v>
      </c>
      <c r="Q548" s="175">
        <f t="shared" si="455"/>
        <v>0</v>
      </c>
      <c r="R548" s="176">
        <f t="shared" si="460"/>
        <v>0</v>
      </c>
      <c r="S548" s="176">
        <f t="shared" si="460"/>
        <v>0</v>
      </c>
      <c r="T548" s="176">
        <f t="shared" si="460"/>
        <v>0</v>
      </c>
      <c r="U548" s="176">
        <f t="shared" si="460"/>
        <v>0</v>
      </c>
    </row>
    <row r="549" spans="3:21" ht="19.5" thickBot="1" x14ac:dyDescent="0.35">
      <c r="C549" s="294">
        <f t="shared" si="449"/>
        <v>1</v>
      </c>
      <c r="D549" s="114" t="s">
        <v>16</v>
      </c>
      <c r="E549" s="70" t="s">
        <v>50</v>
      </c>
      <c r="F549" s="176">
        <f t="shared" ref="F549:U549" si="461">F14*$E$538</f>
        <v>29468.165534402022</v>
      </c>
      <c r="G549" s="176">
        <f t="shared" si="453"/>
        <v>585.38043186712252</v>
      </c>
      <c r="H549" s="176">
        <f t="shared" si="453"/>
        <v>0</v>
      </c>
      <c r="I549" s="176">
        <f t="shared" si="453"/>
        <v>0</v>
      </c>
      <c r="J549" s="176">
        <f t="shared" si="453"/>
        <v>1249.7519217389299</v>
      </c>
      <c r="K549" s="176">
        <f t="shared" si="453"/>
        <v>5.1452829847915433</v>
      </c>
      <c r="L549" s="176">
        <f t="shared" si="453"/>
        <v>0.7240889725125762</v>
      </c>
      <c r="M549" s="176">
        <f t="shared" si="461"/>
        <v>0</v>
      </c>
      <c r="N549" s="176">
        <f t="shared" si="461"/>
        <v>0</v>
      </c>
      <c r="O549" s="176">
        <f t="shared" si="454"/>
        <v>374.51033618079441</v>
      </c>
      <c r="P549" s="176">
        <f t="shared" si="461"/>
        <v>6378.5253351120291</v>
      </c>
      <c r="Q549" s="175">
        <f t="shared" si="455"/>
        <v>38062.202931258202</v>
      </c>
      <c r="R549" s="176">
        <f t="shared" si="461"/>
        <v>0</v>
      </c>
      <c r="S549" s="176">
        <f t="shared" si="461"/>
        <v>2646.5922877442918</v>
      </c>
      <c r="T549" s="176">
        <f t="shared" ca="1" si="461"/>
        <v>767.58292044013729</v>
      </c>
      <c r="U549" s="176">
        <f t="shared" ca="1" si="461"/>
        <v>43.739318107003847</v>
      </c>
    </row>
    <row r="550" spans="3:21" ht="19.5" thickBot="1" x14ac:dyDescent="0.3">
      <c r="C550" s="294">
        <f t="shared" si="449"/>
        <v>1</v>
      </c>
      <c r="D550" s="115" t="s">
        <v>124</v>
      </c>
      <c r="E550" s="116" t="s">
        <v>49</v>
      </c>
      <c r="F550" s="269">
        <f t="shared" ref="F550:U550" si="462">SUBTOTAL(9,F541:F549)</f>
        <v>305459.62047461112</v>
      </c>
      <c r="G550" s="269">
        <f t="shared" ref="G550:L550" si="463">SUBTOTAL(9,G541:G549)</f>
        <v>6791.6676661288857</v>
      </c>
      <c r="H550" s="269">
        <f t="shared" si="463"/>
        <v>0</v>
      </c>
      <c r="I550" s="269">
        <f t="shared" si="463"/>
        <v>7909.9995145301364</v>
      </c>
      <c r="J550" s="269">
        <f t="shared" si="463"/>
        <v>2156.5928613793703</v>
      </c>
      <c r="K550" s="269">
        <f t="shared" si="463"/>
        <v>280.37618381373107</v>
      </c>
      <c r="L550" s="269">
        <f t="shared" si="463"/>
        <v>0.7240889725125762</v>
      </c>
      <c r="M550" s="269">
        <f t="shared" si="462"/>
        <v>0</v>
      </c>
      <c r="N550" s="269">
        <f t="shared" si="462"/>
        <v>0</v>
      </c>
      <c r="O550" s="269">
        <f>SUBTOTAL(9,O541:O549)</f>
        <v>382.25824551888616</v>
      </c>
      <c r="P550" s="269">
        <f t="shared" si="462"/>
        <v>6378.5253351120291</v>
      </c>
      <c r="Q550" s="183">
        <f>SUBTOTAL(9,Q541:Q549)</f>
        <v>329359.76437006664</v>
      </c>
      <c r="R550" s="269">
        <f t="shared" si="462"/>
        <v>0</v>
      </c>
      <c r="S550" s="269">
        <f t="shared" si="462"/>
        <v>24875.895806395834</v>
      </c>
      <c r="T550" s="269">
        <f t="shared" ca="1" si="462"/>
        <v>10229.207447296179</v>
      </c>
      <c r="U550" s="269">
        <f t="shared" ca="1" si="462"/>
        <v>7075.4313814393381</v>
      </c>
    </row>
    <row r="551" spans="3:21" ht="15.75" hidden="1" thickBot="1" x14ac:dyDescent="0.3"/>
    <row r="552" spans="3:21" ht="93.75" x14ac:dyDescent="0.25">
      <c r="C552" s="294">
        <f>IF($E$552&gt;0,1,0)</f>
        <v>1</v>
      </c>
      <c r="D552" s="96" t="str">
        <f>A42</f>
        <v>Otsego</v>
      </c>
      <c r="E552" s="166">
        <f>IFERROR(SUMIF(A:A,D552,B:B),0)</f>
        <v>1.6648187600380527E-3</v>
      </c>
      <c r="F552" s="98" t="s">
        <v>356</v>
      </c>
      <c r="G552" s="98" t="s">
        <v>373</v>
      </c>
      <c r="H552" s="98" t="s">
        <v>358</v>
      </c>
      <c r="I552" s="98" t="s">
        <v>109</v>
      </c>
      <c r="J552" s="98" t="s">
        <v>111</v>
      </c>
      <c r="K552" s="98" t="s">
        <v>469</v>
      </c>
      <c r="L552" s="98" t="s">
        <v>470</v>
      </c>
      <c r="M552" s="98" t="s">
        <v>357</v>
      </c>
      <c r="N552" s="557" t="s">
        <v>471</v>
      </c>
      <c r="O552" s="557" t="s">
        <v>473</v>
      </c>
      <c r="P552" s="98" t="s">
        <v>110</v>
      </c>
      <c r="Q552" s="99" t="s">
        <v>116</v>
      </c>
      <c r="R552" s="98" t="s">
        <v>112</v>
      </c>
      <c r="S552" s="98" t="s">
        <v>113</v>
      </c>
      <c r="T552" s="98" t="s">
        <v>114</v>
      </c>
      <c r="U552" s="98" t="s">
        <v>115</v>
      </c>
    </row>
    <row r="553" spans="3:21" ht="18.75" x14ac:dyDescent="0.25">
      <c r="C553" s="294">
        <f>C552</f>
        <v>1</v>
      </c>
      <c r="D553" s="101"/>
      <c r="E553" s="102"/>
      <c r="F553" s="84" t="s">
        <v>57</v>
      </c>
      <c r="G553" s="84" t="s">
        <v>56</v>
      </c>
      <c r="H553" s="84" t="s">
        <v>55</v>
      </c>
      <c r="I553" s="84" t="s">
        <v>54</v>
      </c>
      <c r="J553" s="84" t="s">
        <v>53</v>
      </c>
      <c r="K553" s="84" t="s">
        <v>52</v>
      </c>
      <c r="L553" s="84" t="s">
        <v>51</v>
      </c>
      <c r="M553" s="84" t="s">
        <v>50</v>
      </c>
      <c r="N553" s="84" t="s">
        <v>49</v>
      </c>
      <c r="O553" s="84" t="s">
        <v>47</v>
      </c>
      <c r="P553" s="84" t="s">
        <v>77</v>
      </c>
      <c r="Q553" s="84" t="s">
        <v>78</v>
      </c>
      <c r="R553" s="84" t="s">
        <v>79</v>
      </c>
      <c r="S553" s="84" t="s">
        <v>81</v>
      </c>
      <c r="T553" s="84" t="s">
        <v>83</v>
      </c>
      <c r="U553" s="84" t="s">
        <v>85</v>
      </c>
    </row>
    <row r="554" spans="3:21" ht="18.75" x14ac:dyDescent="0.25">
      <c r="C554" s="294">
        <f>C552</f>
        <v>1</v>
      </c>
      <c r="D554" s="103" t="s">
        <v>26</v>
      </c>
      <c r="E554" s="122"/>
      <c r="F554" s="123"/>
      <c r="G554" s="123"/>
      <c r="H554" s="107"/>
      <c r="I554" s="107"/>
      <c r="J554" s="107"/>
      <c r="K554" s="107"/>
      <c r="L554" s="107"/>
      <c r="M554" s="123"/>
      <c r="N554" s="107"/>
      <c r="O554" s="107"/>
      <c r="P554" s="107"/>
      <c r="Q554" s="108"/>
      <c r="R554" s="107"/>
      <c r="S554" s="107"/>
      <c r="T554" s="107"/>
      <c r="U554" s="107"/>
    </row>
    <row r="555" spans="3:21" ht="18.75" x14ac:dyDescent="0.25">
      <c r="C555" s="294">
        <f t="shared" ref="C555:C564" si="464">C553</f>
        <v>1</v>
      </c>
      <c r="D555" s="124" t="s">
        <v>105</v>
      </c>
      <c r="E555" s="76" t="s">
        <v>57</v>
      </c>
      <c r="F555" s="176">
        <f t="shared" ref="F555:L555" si="465">F6*$E$552</f>
        <v>117420.3193215849</v>
      </c>
      <c r="G555" s="176">
        <f t="shared" si="465"/>
        <v>2640.4593903328191</v>
      </c>
      <c r="H555" s="176">
        <f t="shared" si="465"/>
        <v>0</v>
      </c>
      <c r="I555" s="176">
        <f t="shared" si="465"/>
        <v>3365.3022664448968</v>
      </c>
      <c r="J555" s="176">
        <f t="shared" si="465"/>
        <v>385.81467215908856</v>
      </c>
      <c r="K555" s="176">
        <f t="shared" si="465"/>
        <v>117.09674225059928</v>
      </c>
      <c r="L555" s="176">
        <f t="shared" si="465"/>
        <v>0</v>
      </c>
      <c r="M555" s="176">
        <f t="shared" ref="M555:U555" si="466">M6*$E$552</f>
        <v>0</v>
      </c>
      <c r="N555" s="176">
        <f t="shared" si="466"/>
        <v>0</v>
      </c>
      <c r="O555" s="176">
        <f>O6*$E$552</f>
        <v>3.2963411448753441</v>
      </c>
      <c r="P555" s="176">
        <f t="shared" si="466"/>
        <v>0</v>
      </c>
      <c r="Q555" s="175">
        <f>SUM(F555:P555)</f>
        <v>123932.28873391717</v>
      </c>
      <c r="R555" s="176">
        <f t="shared" si="466"/>
        <v>0</v>
      </c>
      <c r="S555" s="176">
        <f t="shared" si="466"/>
        <v>9457.4374341479652</v>
      </c>
      <c r="T555" s="176">
        <f t="shared" ca="1" si="466"/>
        <v>4025.4397495207259</v>
      </c>
      <c r="U555" s="176">
        <f t="shared" ca="1" si="466"/>
        <v>2991.6271415954129</v>
      </c>
    </row>
    <row r="556" spans="3:21" ht="18.75" x14ac:dyDescent="0.25">
      <c r="C556" s="294">
        <f t="shared" si="464"/>
        <v>1</v>
      </c>
      <c r="D556" s="112" t="s">
        <v>31</v>
      </c>
      <c r="E556" s="76"/>
      <c r="F556" s="177"/>
      <c r="G556" s="177"/>
      <c r="H556" s="178"/>
      <c r="I556" s="178"/>
      <c r="J556" s="178"/>
      <c r="K556" s="178"/>
      <c r="L556" s="178"/>
      <c r="M556" s="177"/>
      <c r="N556" s="178"/>
      <c r="O556" s="178"/>
      <c r="P556" s="178"/>
      <c r="Q556" s="179"/>
      <c r="R556" s="178"/>
      <c r="S556" s="178"/>
      <c r="T556" s="178"/>
      <c r="U556" s="178"/>
    </row>
    <row r="557" spans="3:21" ht="18.75" x14ac:dyDescent="0.3">
      <c r="C557" s="294">
        <f t="shared" si="464"/>
        <v>1</v>
      </c>
      <c r="D557" s="113" t="s">
        <v>118</v>
      </c>
      <c r="E557" s="76" t="s">
        <v>56</v>
      </c>
      <c r="F557" s="176">
        <f t="shared" ref="F557:U557" si="467">F8*$E$552</f>
        <v>0</v>
      </c>
      <c r="G557" s="176">
        <f t="shared" ref="G557:L563" si="468">G8*$E$552</f>
        <v>0</v>
      </c>
      <c r="H557" s="176">
        <f t="shared" si="468"/>
        <v>0</v>
      </c>
      <c r="I557" s="176">
        <f t="shared" si="468"/>
        <v>0</v>
      </c>
      <c r="J557" s="176">
        <f t="shared" si="468"/>
        <v>0</v>
      </c>
      <c r="K557" s="176">
        <f t="shared" si="468"/>
        <v>0</v>
      </c>
      <c r="L557" s="176">
        <f t="shared" si="468"/>
        <v>0</v>
      </c>
      <c r="M557" s="176">
        <f t="shared" si="467"/>
        <v>0</v>
      </c>
      <c r="N557" s="176">
        <f t="shared" si="467"/>
        <v>0</v>
      </c>
      <c r="O557" s="176">
        <f t="shared" ref="O557:O563" si="469">O8*$E$552</f>
        <v>0</v>
      </c>
      <c r="P557" s="176">
        <f t="shared" si="467"/>
        <v>0</v>
      </c>
      <c r="Q557" s="175">
        <f t="shared" ref="Q557:Q563" si="470">SUM(F557:P557)</f>
        <v>0</v>
      </c>
      <c r="R557" s="176">
        <f t="shared" si="467"/>
        <v>0</v>
      </c>
      <c r="S557" s="176">
        <f t="shared" si="467"/>
        <v>0</v>
      </c>
      <c r="T557" s="176">
        <f t="shared" si="467"/>
        <v>0</v>
      </c>
      <c r="U557" s="176">
        <f t="shared" si="467"/>
        <v>0</v>
      </c>
    </row>
    <row r="558" spans="3:21" ht="18.75" x14ac:dyDescent="0.3">
      <c r="C558" s="294">
        <f t="shared" si="464"/>
        <v>1</v>
      </c>
      <c r="D558" s="113" t="s">
        <v>119</v>
      </c>
      <c r="E558" s="76" t="s">
        <v>55</v>
      </c>
      <c r="F558" s="176">
        <f t="shared" ref="F558:U558" si="471">F9*$E$552</f>
        <v>0</v>
      </c>
      <c r="G558" s="176">
        <f t="shared" si="468"/>
        <v>0</v>
      </c>
      <c r="H558" s="176">
        <f t="shared" si="468"/>
        <v>0</v>
      </c>
      <c r="I558" s="176">
        <f t="shared" si="468"/>
        <v>0</v>
      </c>
      <c r="J558" s="176">
        <f t="shared" si="468"/>
        <v>0</v>
      </c>
      <c r="K558" s="176">
        <f t="shared" si="468"/>
        <v>0</v>
      </c>
      <c r="L558" s="176">
        <f t="shared" si="468"/>
        <v>0</v>
      </c>
      <c r="M558" s="176">
        <f t="shared" si="471"/>
        <v>0</v>
      </c>
      <c r="N558" s="176">
        <f t="shared" si="471"/>
        <v>0</v>
      </c>
      <c r="O558" s="176">
        <f t="shared" si="469"/>
        <v>0</v>
      </c>
      <c r="P558" s="176">
        <f t="shared" si="471"/>
        <v>0</v>
      </c>
      <c r="Q558" s="175">
        <f t="shared" si="470"/>
        <v>0</v>
      </c>
      <c r="R558" s="176">
        <f t="shared" si="471"/>
        <v>0</v>
      </c>
      <c r="S558" s="176">
        <f t="shared" si="471"/>
        <v>0</v>
      </c>
      <c r="T558" s="176">
        <f t="shared" si="471"/>
        <v>0</v>
      </c>
      <c r="U558" s="176">
        <f t="shared" si="471"/>
        <v>0</v>
      </c>
    </row>
    <row r="559" spans="3:21" ht="18.75" x14ac:dyDescent="0.3">
      <c r="C559" s="294">
        <f t="shared" si="464"/>
        <v>1</v>
      </c>
      <c r="D559" s="113" t="s">
        <v>120</v>
      </c>
      <c r="E559" s="76" t="s">
        <v>54</v>
      </c>
      <c r="F559" s="176">
        <f t="shared" ref="F559:U559" si="472">F10*$E$552</f>
        <v>0</v>
      </c>
      <c r="G559" s="176">
        <f t="shared" si="468"/>
        <v>0</v>
      </c>
      <c r="H559" s="176">
        <f t="shared" si="468"/>
        <v>0</v>
      </c>
      <c r="I559" s="176">
        <f t="shared" si="468"/>
        <v>0</v>
      </c>
      <c r="J559" s="176">
        <f t="shared" si="468"/>
        <v>0</v>
      </c>
      <c r="K559" s="176">
        <f t="shared" si="468"/>
        <v>0</v>
      </c>
      <c r="L559" s="176">
        <f t="shared" si="468"/>
        <v>0</v>
      </c>
      <c r="M559" s="176">
        <f t="shared" si="472"/>
        <v>0</v>
      </c>
      <c r="N559" s="176">
        <f t="shared" si="472"/>
        <v>0</v>
      </c>
      <c r="O559" s="176">
        <f t="shared" si="469"/>
        <v>0</v>
      </c>
      <c r="P559" s="176">
        <f t="shared" si="472"/>
        <v>0</v>
      </c>
      <c r="Q559" s="175">
        <f t="shared" si="470"/>
        <v>0</v>
      </c>
      <c r="R559" s="176">
        <f t="shared" si="472"/>
        <v>0</v>
      </c>
      <c r="S559" s="176">
        <f t="shared" si="472"/>
        <v>0</v>
      </c>
      <c r="T559" s="176">
        <f t="shared" si="472"/>
        <v>0</v>
      </c>
      <c r="U559" s="176">
        <f t="shared" si="472"/>
        <v>0</v>
      </c>
    </row>
    <row r="560" spans="3:21" ht="18.75" x14ac:dyDescent="0.3">
      <c r="C560" s="294">
        <f t="shared" si="464"/>
        <v>1</v>
      </c>
      <c r="D560" s="113" t="s">
        <v>121</v>
      </c>
      <c r="E560" s="76" t="s">
        <v>53</v>
      </c>
      <c r="F560" s="176">
        <f t="shared" ref="F560:U560" si="473">F11*$E$552</f>
        <v>0</v>
      </c>
      <c r="G560" s="176">
        <f t="shared" si="468"/>
        <v>0</v>
      </c>
      <c r="H560" s="176">
        <f t="shared" si="468"/>
        <v>0</v>
      </c>
      <c r="I560" s="176">
        <f t="shared" si="468"/>
        <v>0</v>
      </c>
      <c r="J560" s="176">
        <f t="shared" si="468"/>
        <v>0</v>
      </c>
      <c r="K560" s="176">
        <f t="shared" si="468"/>
        <v>0</v>
      </c>
      <c r="L560" s="176">
        <f t="shared" si="468"/>
        <v>0</v>
      </c>
      <c r="M560" s="176">
        <f t="shared" si="473"/>
        <v>0</v>
      </c>
      <c r="N560" s="176">
        <f t="shared" si="473"/>
        <v>0</v>
      </c>
      <c r="O560" s="176">
        <f t="shared" si="469"/>
        <v>0</v>
      </c>
      <c r="P560" s="176">
        <f t="shared" si="473"/>
        <v>0</v>
      </c>
      <c r="Q560" s="175">
        <f t="shared" si="470"/>
        <v>0</v>
      </c>
      <c r="R560" s="176">
        <f t="shared" si="473"/>
        <v>0</v>
      </c>
      <c r="S560" s="176">
        <f t="shared" si="473"/>
        <v>0</v>
      </c>
      <c r="T560" s="176">
        <f t="shared" si="473"/>
        <v>0</v>
      </c>
      <c r="U560" s="176">
        <f t="shared" si="473"/>
        <v>0</v>
      </c>
    </row>
    <row r="561" spans="3:21" ht="18.75" x14ac:dyDescent="0.3">
      <c r="C561" s="294">
        <f t="shared" si="464"/>
        <v>1</v>
      </c>
      <c r="D561" s="113" t="s">
        <v>122</v>
      </c>
      <c r="E561" s="76" t="s">
        <v>52</v>
      </c>
      <c r="F561" s="176">
        <f t="shared" ref="F561:U561" si="474">F12*$E$552</f>
        <v>0</v>
      </c>
      <c r="G561" s="176">
        <f t="shared" si="468"/>
        <v>0</v>
      </c>
      <c r="H561" s="176">
        <f t="shared" si="468"/>
        <v>0</v>
      </c>
      <c r="I561" s="176">
        <f t="shared" si="468"/>
        <v>0</v>
      </c>
      <c r="J561" s="176">
        <f t="shared" si="468"/>
        <v>0</v>
      </c>
      <c r="K561" s="176">
        <f t="shared" si="468"/>
        <v>0</v>
      </c>
      <c r="L561" s="176">
        <f t="shared" si="468"/>
        <v>0</v>
      </c>
      <c r="M561" s="176">
        <f t="shared" si="474"/>
        <v>0</v>
      </c>
      <c r="N561" s="176">
        <f t="shared" si="474"/>
        <v>0</v>
      </c>
      <c r="O561" s="176">
        <f t="shared" si="469"/>
        <v>0</v>
      </c>
      <c r="P561" s="176">
        <f t="shared" si="474"/>
        <v>0</v>
      </c>
      <c r="Q561" s="175">
        <f t="shared" si="470"/>
        <v>0</v>
      </c>
      <c r="R561" s="176">
        <f t="shared" si="474"/>
        <v>0</v>
      </c>
      <c r="S561" s="176">
        <f t="shared" si="474"/>
        <v>0</v>
      </c>
      <c r="T561" s="176">
        <f t="shared" si="474"/>
        <v>0</v>
      </c>
      <c r="U561" s="176">
        <f t="shared" si="474"/>
        <v>0</v>
      </c>
    </row>
    <row r="562" spans="3:21" ht="18.75" x14ac:dyDescent="0.3">
      <c r="C562" s="294">
        <f t="shared" si="464"/>
        <v>1</v>
      </c>
      <c r="D562" s="125" t="s">
        <v>123</v>
      </c>
      <c r="E562" s="76" t="s">
        <v>51</v>
      </c>
      <c r="F562" s="176">
        <f t="shared" ref="F562:U562" si="475">F13*$E$552</f>
        <v>0</v>
      </c>
      <c r="G562" s="176">
        <f t="shared" si="468"/>
        <v>0</v>
      </c>
      <c r="H562" s="176">
        <f t="shared" si="468"/>
        <v>0</v>
      </c>
      <c r="I562" s="176">
        <f t="shared" si="468"/>
        <v>0</v>
      </c>
      <c r="J562" s="176">
        <f t="shared" si="468"/>
        <v>0</v>
      </c>
      <c r="K562" s="176">
        <f t="shared" si="468"/>
        <v>0</v>
      </c>
      <c r="L562" s="176">
        <f t="shared" si="468"/>
        <v>0</v>
      </c>
      <c r="M562" s="176">
        <f t="shared" si="475"/>
        <v>0</v>
      </c>
      <c r="N562" s="176">
        <f t="shared" si="475"/>
        <v>0</v>
      </c>
      <c r="O562" s="176">
        <f t="shared" si="469"/>
        <v>0</v>
      </c>
      <c r="P562" s="176">
        <f t="shared" si="475"/>
        <v>0</v>
      </c>
      <c r="Q562" s="175">
        <f t="shared" si="470"/>
        <v>0</v>
      </c>
      <c r="R562" s="176">
        <f t="shared" si="475"/>
        <v>0</v>
      </c>
      <c r="S562" s="176">
        <f t="shared" si="475"/>
        <v>0</v>
      </c>
      <c r="T562" s="176">
        <f t="shared" si="475"/>
        <v>0</v>
      </c>
      <c r="U562" s="176">
        <f t="shared" si="475"/>
        <v>0</v>
      </c>
    </row>
    <row r="563" spans="3:21" ht="19.5" thickBot="1" x14ac:dyDescent="0.35">
      <c r="C563" s="294">
        <f t="shared" si="464"/>
        <v>1</v>
      </c>
      <c r="D563" s="114" t="s">
        <v>16</v>
      </c>
      <c r="E563" s="70" t="s">
        <v>50</v>
      </c>
      <c r="F563" s="176">
        <f t="shared" ref="F563:U563" si="476">F14*$E$552</f>
        <v>12537.204847955958</v>
      </c>
      <c r="G563" s="176">
        <f t="shared" si="468"/>
        <v>249.04958470303256</v>
      </c>
      <c r="H563" s="176">
        <f t="shared" si="468"/>
        <v>0</v>
      </c>
      <c r="I563" s="176">
        <f t="shared" si="468"/>
        <v>0</v>
      </c>
      <c r="J563" s="176">
        <f t="shared" si="468"/>
        <v>531.70584486081543</v>
      </c>
      <c r="K563" s="176">
        <f t="shared" si="468"/>
        <v>2.1890560749608214</v>
      </c>
      <c r="L563" s="176">
        <f t="shared" si="468"/>
        <v>0.30806301009603493</v>
      </c>
      <c r="M563" s="176">
        <f t="shared" si="476"/>
        <v>0</v>
      </c>
      <c r="N563" s="176">
        <f t="shared" si="476"/>
        <v>0</v>
      </c>
      <c r="O563" s="176">
        <f t="shared" si="469"/>
        <v>159.33508982410262</v>
      </c>
      <c r="P563" s="176">
        <f t="shared" si="476"/>
        <v>2713.7379373282793</v>
      </c>
      <c r="Q563" s="175">
        <f t="shared" si="470"/>
        <v>16193.530423757245</v>
      </c>
      <c r="R563" s="176">
        <f t="shared" si="476"/>
        <v>0</v>
      </c>
      <c r="S563" s="176">
        <f t="shared" si="476"/>
        <v>1125.9903376657173</v>
      </c>
      <c r="T563" s="176">
        <f t="shared" ca="1" si="476"/>
        <v>326.56747160306605</v>
      </c>
      <c r="U563" s="176">
        <f t="shared" ca="1" si="476"/>
        <v>18.608854031895344</v>
      </c>
    </row>
    <row r="564" spans="3:21" ht="19.5" thickBot="1" x14ac:dyDescent="0.3">
      <c r="C564" s="294">
        <f t="shared" si="464"/>
        <v>1</v>
      </c>
      <c r="D564" s="115" t="s">
        <v>124</v>
      </c>
      <c r="E564" s="116" t="s">
        <v>49</v>
      </c>
      <c r="F564" s="269">
        <f t="shared" ref="F564:U564" si="477">SUBTOTAL(9,F555:F563)</f>
        <v>129957.52416954086</v>
      </c>
      <c r="G564" s="269">
        <f t="shared" ref="G564:L564" si="478">SUBTOTAL(9,G555:G563)</f>
        <v>2889.5089750358516</v>
      </c>
      <c r="H564" s="269">
        <f t="shared" si="478"/>
        <v>0</v>
      </c>
      <c r="I564" s="269">
        <f t="shared" si="478"/>
        <v>3365.3022664448968</v>
      </c>
      <c r="J564" s="269">
        <f t="shared" si="478"/>
        <v>917.52051701990399</v>
      </c>
      <c r="K564" s="269">
        <f t="shared" si="478"/>
        <v>119.28579832556009</v>
      </c>
      <c r="L564" s="269">
        <f t="shared" si="478"/>
        <v>0.30806301009603493</v>
      </c>
      <c r="M564" s="269">
        <f t="shared" si="477"/>
        <v>0</v>
      </c>
      <c r="N564" s="269">
        <f t="shared" si="477"/>
        <v>0</v>
      </c>
      <c r="O564" s="269">
        <f>SUBTOTAL(9,O555:O563)</f>
        <v>162.63143096897798</v>
      </c>
      <c r="P564" s="269">
        <f t="shared" si="477"/>
        <v>2713.7379373282793</v>
      </c>
      <c r="Q564" s="183">
        <f>SUBTOTAL(9,Q555:Q563)</f>
        <v>140125.81915767441</v>
      </c>
      <c r="R564" s="269">
        <f t="shared" si="477"/>
        <v>0</v>
      </c>
      <c r="S564" s="269">
        <f t="shared" si="477"/>
        <v>10583.427771813682</v>
      </c>
      <c r="T564" s="269">
        <f t="shared" ca="1" si="477"/>
        <v>4352.0072211237921</v>
      </c>
      <c r="U564" s="269">
        <f t="shared" ca="1" si="477"/>
        <v>3010.2359956273081</v>
      </c>
    </row>
    <row r="565" spans="3:21" ht="15.75" hidden="1" thickBot="1" x14ac:dyDescent="0.3"/>
    <row r="566" spans="3:21" ht="93.75" x14ac:dyDescent="0.25">
      <c r="C566" s="294">
        <f>IF($E$566&gt;0,1,0)</f>
        <v>1</v>
      </c>
      <c r="D566" s="96" t="str">
        <f>A43</f>
        <v>Putnam</v>
      </c>
      <c r="E566" s="166">
        <f>IFERROR(SUMIF(A:A,D566,B:B),0)</f>
        <v>6.9943078478575799E-4</v>
      </c>
      <c r="F566" s="98" t="s">
        <v>356</v>
      </c>
      <c r="G566" s="98" t="s">
        <v>373</v>
      </c>
      <c r="H566" s="98" t="s">
        <v>358</v>
      </c>
      <c r="I566" s="98" t="s">
        <v>109</v>
      </c>
      <c r="J566" s="98" t="s">
        <v>111</v>
      </c>
      <c r="K566" s="98" t="s">
        <v>469</v>
      </c>
      <c r="L566" s="98" t="s">
        <v>470</v>
      </c>
      <c r="M566" s="98" t="s">
        <v>357</v>
      </c>
      <c r="N566" s="557" t="s">
        <v>471</v>
      </c>
      <c r="O566" s="557" t="s">
        <v>473</v>
      </c>
      <c r="P566" s="98" t="s">
        <v>110</v>
      </c>
      <c r="Q566" s="99" t="s">
        <v>116</v>
      </c>
      <c r="R566" s="98" t="s">
        <v>112</v>
      </c>
      <c r="S566" s="98" t="s">
        <v>113</v>
      </c>
      <c r="T566" s="98" t="s">
        <v>114</v>
      </c>
      <c r="U566" s="98" t="s">
        <v>115</v>
      </c>
    </row>
    <row r="567" spans="3:21" ht="18.75" x14ac:dyDescent="0.25">
      <c r="C567" s="294">
        <f>C566</f>
        <v>1</v>
      </c>
      <c r="D567" s="101"/>
      <c r="E567" s="102"/>
      <c r="F567" s="84" t="s">
        <v>57</v>
      </c>
      <c r="G567" s="84" t="s">
        <v>56</v>
      </c>
      <c r="H567" s="84" t="s">
        <v>55</v>
      </c>
      <c r="I567" s="84" t="s">
        <v>54</v>
      </c>
      <c r="J567" s="84" t="s">
        <v>53</v>
      </c>
      <c r="K567" s="84" t="s">
        <v>52</v>
      </c>
      <c r="L567" s="84" t="s">
        <v>51</v>
      </c>
      <c r="M567" s="84" t="s">
        <v>50</v>
      </c>
      <c r="N567" s="84" t="s">
        <v>49</v>
      </c>
      <c r="O567" s="84" t="s">
        <v>47</v>
      </c>
      <c r="P567" s="84" t="s">
        <v>77</v>
      </c>
      <c r="Q567" s="84" t="s">
        <v>78</v>
      </c>
      <c r="R567" s="84" t="s">
        <v>79</v>
      </c>
      <c r="S567" s="84" t="s">
        <v>81</v>
      </c>
      <c r="T567" s="84" t="s">
        <v>83</v>
      </c>
      <c r="U567" s="84" t="s">
        <v>85</v>
      </c>
    </row>
    <row r="568" spans="3:21" ht="18.75" x14ac:dyDescent="0.25">
      <c r="C568" s="294">
        <f>C566</f>
        <v>1</v>
      </c>
      <c r="D568" s="103" t="s">
        <v>26</v>
      </c>
      <c r="E568" s="122"/>
      <c r="F568" s="123"/>
      <c r="G568" s="123"/>
      <c r="H568" s="107"/>
      <c r="I568" s="107"/>
      <c r="J568" s="107"/>
      <c r="K568" s="107"/>
      <c r="L568" s="107"/>
      <c r="M568" s="123"/>
      <c r="N568" s="107"/>
      <c r="O568" s="107"/>
      <c r="P568" s="107"/>
      <c r="Q568" s="108"/>
      <c r="R568" s="107"/>
      <c r="S568" s="107"/>
      <c r="T568" s="107"/>
      <c r="U568" s="107"/>
    </row>
    <row r="569" spans="3:21" ht="18.75" x14ac:dyDescent="0.25">
      <c r="C569" s="294">
        <f t="shared" ref="C569:C578" si="479">C567</f>
        <v>1</v>
      </c>
      <c r="D569" s="124" t="s">
        <v>105</v>
      </c>
      <c r="E569" s="76" t="s">
        <v>57</v>
      </c>
      <c r="F569" s="176">
        <f t="shared" ref="F569:L569" si="480">F6*$E$566</f>
        <v>49331.12724595514</v>
      </c>
      <c r="G569" s="176">
        <f t="shared" si="480"/>
        <v>1109.3211032372046</v>
      </c>
      <c r="H569" s="176">
        <f t="shared" si="480"/>
        <v>0</v>
      </c>
      <c r="I569" s="176">
        <f t="shared" si="480"/>
        <v>1413.8451955016674</v>
      </c>
      <c r="J569" s="176">
        <f t="shared" si="480"/>
        <v>162.09011179326407</v>
      </c>
      <c r="K569" s="176">
        <f t="shared" si="480"/>
        <v>49.195184661614618</v>
      </c>
      <c r="L569" s="176">
        <f t="shared" si="480"/>
        <v>0</v>
      </c>
      <c r="M569" s="176">
        <f t="shared" ref="M569:U569" si="481">M6*$E$566</f>
        <v>0</v>
      </c>
      <c r="N569" s="176">
        <f t="shared" si="481"/>
        <v>0</v>
      </c>
      <c r="O569" s="176">
        <f>O6*$E$566</f>
        <v>1.3848729538758009</v>
      </c>
      <c r="P569" s="176">
        <f t="shared" si="481"/>
        <v>0</v>
      </c>
      <c r="Q569" s="175">
        <f>SUM(F569:P569)</f>
        <v>52066.963714102763</v>
      </c>
      <c r="R569" s="176">
        <f t="shared" si="481"/>
        <v>0</v>
      </c>
      <c r="S569" s="176">
        <f t="shared" si="481"/>
        <v>3973.2991034274037</v>
      </c>
      <c r="T569" s="176">
        <f t="shared" ca="1" si="481"/>
        <v>1691.1849810310357</v>
      </c>
      <c r="U569" s="176">
        <f t="shared" ca="1" si="481"/>
        <v>1256.8552022951897</v>
      </c>
    </row>
    <row r="570" spans="3:21" ht="18.75" x14ac:dyDescent="0.25">
      <c r="C570" s="294">
        <f t="shared" si="479"/>
        <v>1</v>
      </c>
      <c r="D570" s="112" t="s">
        <v>31</v>
      </c>
      <c r="E570" s="76"/>
      <c r="F570" s="177"/>
      <c r="G570" s="177"/>
      <c r="H570" s="178"/>
      <c r="I570" s="178"/>
      <c r="J570" s="178"/>
      <c r="K570" s="178"/>
      <c r="L570" s="178"/>
      <c r="M570" s="177"/>
      <c r="N570" s="178"/>
      <c r="O570" s="178"/>
      <c r="P570" s="178"/>
      <c r="Q570" s="179"/>
      <c r="R570" s="178"/>
      <c r="S570" s="178"/>
      <c r="T570" s="178"/>
      <c r="U570" s="178"/>
    </row>
    <row r="571" spans="3:21" ht="18.75" x14ac:dyDescent="0.3">
      <c r="C571" s="294">
        <f t="shared" si="479"/>
        <v>1</v>
      </c>
      <c r="D571" s="113" t="s">
        <v>118</v>
      </c>
      <c r="E571" s="76" t="s">
        <v>56</v>
      </c>
      <c r="F571" s="176">
        <f t="shared" ref="F571:U571" si="482">F8*$E$566</f>
        <v>0</v>
      </c>
      <c r="G571" s="176">
        <f t="shared" ref="G571:L577" si="483">G8*$E$566</f>
        <v>0</v>
      </c>
      <c r="H571" s="176">
        <f t="shared" si="483"/>
        <v>0</v>
      </c>
      <c r="I571" s="176">
        <f t="shared" si="483"/>
        <v>0</v>
      </c>
      <c r="J571" s="176">
        <f t="shared" si="483"/>
        <v>0</v>
      </c>
      <c r="K571" s="176">
        <f t="shared" si="483"/>
        <v>0</v>
      </c>
      <c r="L571" s="176">
        <f t="shared" si="483"/>
        <v>0</v>
      </c>
      <c r="M571" s="176">
        <f t="shared" si="482"/>
        <v>0</v>
      </c>
      <c r="N571" s="176">
        <f t="shared" si="482"/>
        <v>0</v>
      </c>
      <c r="O571" s="176">
        <f t="shared" ref="O571:O577" si="484">O8*$E$566</f>
        <v>0</v>
      </c>
      <c r="P571" s="176">
        <f t="shared" si="482"/>
        <v>0</v>
      </c>
      <c r="Q571" s="175">
        <f t="shared" ref="Q571:Q577" si="485">SUM(F571:P571)</f>
        <v>0</v>
      </c>
      <c r="R571" s="176">
        <f t="shared" si="482"/>
        <v>0</v>
      </c>
      <c r="S571" s="176">
        <f t="shared" si="482"/>
        <v>0</v>
      </c>
      <c r="T571" s="176">
        <f t="shared" si="482"/>
        <v>0</v>
      </c>
      <c r="U571" s="176">
        <f t="shared" si="482"/>
        <v>0</v>
      </c>
    </row>
    <row r="572" spans="3:21" ht="18.75" x14ac:dyDescent="0.3">
      <c r="C572" s="294">
        <f t="shared" si="479"/>
        <v>1</v>
      </c>
      <c r="D572" s="113" t="s">
        <v>119</v>
      </c>
      <c r="E572" s="76" t="s">
        <v>55</v>
      </c>
      <c r="F572" s="176">
        <f t="shared" ref="F572:U572" si="486">F9*$E$566</f>
        <v>0</v>
      </c>
      <c r="G572" s="176">
        <f t="shared" si="483"/>
        <v>0</v>
      </c>
      <c r="H572" s="176">
        <f t="shared" si="483"/>
        <v>0</v>
      </c>
      <c r="I572" s="176">
        <f t="shared" si="483"/>
        <v>0</v>
      </c>
      <c r="J572" s="176">
        <f t="shared" si="483"/>
        <v>0</v>
      </c>
      <c r="K572" s="176">
        <f t="shared" si="483"/>
        <v>0</v>
      </c>
      <c r="L572" s="176">
        <f t="shared" si="483"/>
        <v>0</v>
      </c>
      <c r="M572" s="176">
        <f t="shared" si="486"/>
        <v>0</v>
      </c>
      <c r="N572" s="176">
        <f t="shared" si="486"/>
        <v>0</v>
      </c>
      <c r="O572" s="176">
        <f t="shared" si="484"/>
        <v>0</v>
      </c>
      <c r="P572" s="176">
        <f t="shared" si="486"/>
        <v>0</v>
      </c>
      <c r="Q572" s="175">
        <f t="shared" si="485"/>
        <v>0</v>
      </c>
      <c r="R572" s="176">
        <f t="shared" si="486"/>
        <v>0</v>
      </c>
      <c r="S572" s="176">
        <f t="shared" si="486"/>
        <v>0</v>
      </c>
      <c r="T572" s="176">
        <f t="shared" si="486"/>
        <v>0</v>
      </c>
      <c r="U572" s="176">
        <f t="shared" si="486"/>
        <v>0</v>
      </c>
    </row>
    <row r="573" spans="3:21" ht="18.75" x14ac:dyDescent="0.3">
      <c r="C573" s="294">
        <f t="shared" si="479"/>
        <v>1</v>
      </c>
      <c r="D573" s="113" t="s">
        <v>120</v>
      </c>
      <c r="E573" s="76" t="s">
        <v>54</v>
      </c>
      <c r="F573" s="176">
        <f t="shared" ref="F573:U573" si="487">F10*$E$566</f>
        <v>0</v>
      </c>
      <c r="G573" s="176">
        <f t="shared" si="483"/>
        <v>0</v>
      </c>
      <c r="H573" s="176">
        <f t="shared" si="483"/>
        <v>0</v>
      </c>
      <c r="I573" s="176">
        <f t="shared" si="483"/>
        <v>0</v>
      </c>
      <c r="J573" s="176">
        <f t="shared" si="483"/>
        <v>0</v>
      </c>
      <c r="K573" s="176">
        <f t="shared" si="483"/>
        <v>0</v>
      </c>
      <c r="L573" s="176">
        <f t="shared" si="483"/>
        <v>0</v>
      </c>
      <c r="M573" s="176">
        <f t="shared" si="487"/>
        <v>0</v>
      </c>
      <c r="N573" s="176">
        <f t="shared" si="487"/>
        <v>0</v>
      </c>
      <c r="O573" s="176">
        <f t="shared" si="484"/>
        <v>0</v>
      </c>
      <c r="P573" s="176">
        <f t="shared" si="487"/>
        <v>0</v>
      </c>
      <c r="Q573" s="175">
        <f t="shared" si="485"/>
        <v>0</v>
      </c>
      <c r="R573" s="176">
        <f t="shared" si="487"/>
        <v>0</v>
      </c>
      <c r="S573" s="176">
        <f t="shared" si="487"/>
        <v>0</v>
      </c>
      <c r="T573" s="176">
        <f t="shared" si="487"/>
        <v>0</v>
      </c>
      <c r="U573" s="176">
        <f t="shared" si="487"/>
        <v>0</v>
      </c>
    </row>
    <row r="574" spans="3:21" ht="18.75" x14ac:dyDescent="0.3">
      <c r="C574" s="294">
        <f t="shared" si="479"/>
        <v>1</v>
      </c>
      <c r="D574" s="113" t="s">
        <v>121</v>
      </c>
      <c r="E574" s="76" t="s">
        <v>53</v>
      </c>
      <c r="F574" s="176">
        <f t="shared" ref="F574:U574" si="488">F11*$E$566</f>
        <v>0</v>
      </c>
      <c r="G574" s="176">
        <f t="shared" si="483"/>
        <v>0</v>
      </c>
      <c r="H574" s="176">
        <f t="shared" si="483"/>
        <v>0</v>
      </c>
      <c r="I574" s="176">
        <f t="shared" si="483"/>
        <v>0</v>
      </c>
      <c r="J574" s="176">
        <f t="shared" si="483"/>
        <v>0</v>
      </c>
      <c r="K574" s="176">
        <f t="shared" si="483"/>
        <v>0</v>
      </c>
      <c r="L574" s="176">
        <f t="shared" si="483"/>
        <v>0</v>
      </c>
      <c r="M574" s="176">
        <f t="shared" si="488"/>
        <v>0</v>
      </c>
      <c r="N574" s="176">
        <f t="shared" si="488"/>
        <v>0</v>
      </c>
      <c r="O574" s="176">
        <f t="shared" si="484"/>
        <v>0</v>
      </c>
      <c r="P574" s="176">
        <f t="shared" si="488"/>
        <v>0</v>
      </c>
      <c r="Q574" s="175">
        <f t="shared" si="485"/>
        <v>0</v>
      </c>
      <c r="R574" s="176">
        <f t="shared" si="488"/>
        <v>0</v>
      </c>
      <c r="S574" s="176">
        <f t="shared" si="488"/>
        <v>0</v>
      </c>
      <c r="T574" s="176">
        <f t="shared" si="488"/>
        <v>0</v>
      </c>
      <c r="U574" s="176">
        <f t="shared" si="488"/>
        <v>0</v>
      </c>
    </row>
    <row r="575" spans="3:21" ht="18.75" x14ac:dyDescent="0.3">
      <c r="C575" s="294">
        <f t="shared" si="479"/>
        <v>1</v>
      </c>
      <c r="D575" s="113" t="s">
        <v>122</v>
      </c>
      <c r="E575" s="76" t="s">
        <v>52</v>
      </c>
      <c r="F575" s="176">
        <f t="shared" ref="F575:U575" si="489">F12*$E$566</f>
        <v>0</v>
      </c>
      <c r="G575" s="176">
        <f t="shared" si="483"/>
        <v>0</v>
      </c>
      <c r="H575" s="176">
        <f t="shared" si="483"/>
        <v>0</v>
      </c>
      <c r="I575" s="176">
        <f t="shared" si="483"/>
        <v>0</v>
      </c>
      <c r="J575" s="176">
        <f t="shared" si="483"/>
        <v>0</v>
      </c>
      <c r="K575" s="176">
        <f t="shared" si="483"/>
        <v>0</v>
      </c>
      <c r="L575" s="176">
        <f t="shared" si="483"/>
        <v>0</v>
      </c>
      <c r="M575" s="176">
        <f t="shared" si="489"/>
        <v>0</v>
      </c>
      <c r="N575" s="176">
        <f t="shared" si="489"/>
        <v>0</v>
      </c>
      <c r="O575" s="176">
        <f t="shared" si="484"/>
        <v>0</v>
      </c>
      <c r="P575" s="176">
        <f t="shared" si="489"/>
        <v>0</v>
      </c>
      <c r="Q575" s="175">
        <f t="shared" si="485"/>
        <v>0</v>
      </c>
      <c r="R575" s="176">
        <f t="shared" si="489"/>
        <v>0</v>
      </c>
      <c r="S575" s="176">
        <f t="shared" si="489"/>
        <v>0</v>
      </c>
      <c r="T575" s="176">
        <f t="shared" si="489"/>
        <v>0</v>
      </c>
      <c r="U575" s="176">
        <f t="shared" si="489"/>
        <v>0</v>
      </c>
    </row>
    <row r="576" spans="3:21" ht="18.75" x14ac:dyDescent="0.3">
      <c r="C576" s="294">
        <f t="shared" si="479"/>
        <v>1</v>
      </c>
      <c r="D576" s="125" t="s">
        <v>123</v>
      </c>
      <c r="E576" s="76" t="s">
        <v>51</v>
      </c>
      <c r="F576" s="176">
        <f t="shared" ref="F576:U576" si="490">F13*$E$566</f>
        <v>0</v>
      </c>
      <c r="G576" s="176">
        <f t="shared" si="483"/>
        <v>0</v>
      </c>
      <c r="H576" s="176">
        <f t="shared" si="483"/>
        <v>0</v>
      </c>
      <c r="I576" s="176">
        <f t="shared" si="483"/>
        <v>0</v>
      </c>
      <c r="J576" s="176">
        <f t="shared" si="483"/>
        <v>0</v>
      </c>
      <c r="K576" s="176">
        <f t="shared" si="483"/>
        <v>0</v>
      </c>
      <c r="L576" s="176">
        <f t="shared" si="483"/>
        <v>0</v>
      </c>
      <c r="M576" s="176">
        <f t="shared" si="490"/>
        <v>0</v>
      </c>
      <c r="N576" s="176">
        <f t="shared" si="490"/>
        <v>0</v>
      </c>
      <c r="O576" s="176">
        <f t="shared" si="484"/>
        <v>0</v>
      </c>
      <c r="P576" s="176">
        <f t="shared" si="490"/>
        <v>0</v>
      </c>
      <c r="Q576" s="175">
        <f t="shared" si="485"/>
        <v>0</v>
      </c>
      <c r="R576" s="176">
        <f t="shared" si="490"/>
        <v>0</v>
      </c>
      <c r="S576" s="176">
        <f t="shared" si="490"/>
        <v>0</v>
      </c>
      <c r="T576" s="176">
        <f t="shared" si="490"/>
        <v>0</v>
      </c>
      <c r="U576" s="176">
        <f t="shared" si="490"/>
        <v>0</v>
      </c>
    </row>
    <row r="577" spans="3:21" ht="19.5" thickBot="1" x14ac:dyDescent="0.35">
      <c r="C577" s="294">
        <f t="shared" si="479"/>
        <v>1</v>
      </c>
      <c r="D577" s="114" t="s">
        <v>16</v>
      </c>
      <c r="E577" s="70" t="s">
        <v>50</v>
      </c>
      <c r="F577" s="176">
        <f t="shared" ref="F577:U577" si="491">F14*$E$566</f>
        <v>5267.1841742251963</v>
      </c>
      <c r="G577" s="176">
        <f t="shared" si="483"/>
        <v>104.6317777410363</v>
      </c>
      <c r="H577" s="176">
        <f t="shared" si="483"/>
        <v>0</v>
      </c>
      <c r="I577" s="176">
        <f t="shared" si="483"/>
        <v>0</v>
      </c>
      <c r="J577" s="176">
        <f t="shared" si="483"/>
        <v>223.38253584893187</v>
      </c>
      <c r="K577" s="176">
        <f t="shared" si="483"/>
        <v>0.91967560986331154</v>
      </c>
      <c r="L577" s="176">
        <f t="shared" si="483"/>
        <v>0.1294247506617523</v>
      </c>
      <c r="M577" s="176">
        <f t="shared" si="491"/>
        <v>0</v>
      </c>
      <c r="N577" s="176">
        <f t="shared" si="491"/>
        <v>0</v>
      </c>
      <c r="O577" s="176">
        <f t="shared" si="484"/>
        <v>66.940540072382461</v>
      </c>
      <c r="P577" s="176">
        <f t="shared" si="491"/>
        <v>1140.1072001164971</v>
      </c>
      <c r="Q577" s="175">
        <f t="shared" si="485"/>
        <v>6803.2953283645693</v>
      </c>
      <c r="R577" s="176">
        <f t="shared" si="491"/>
        <v>0</v>
      </c>
      <c r="S577" s="176">
        <f t="shared" si="491"/>
        <v>473.05588117995035</v>
      </c>
      <c r="T577" s="176">
        <f t="shared" ca="1" si="491"/>
        <v>137.19892425023639</v>
      </c>
      <c r="U577" s="176">
        <f t="shared" ca="1" si="491"/>
        <v>7.8180314229488141</v>
      </c>
    </row>
    <row r="578" spans="3:21" ht="19.5" thickBot="1" x14ac:dyDescent="0.3">
      <c r="C578" s="294">
        <f t="shared" si="479"/>
        <v>1</v>
      </c>
      <c r="D578" s="115" t="s">
        <v>124</v>
      </c>
      <c r="E578" s="116" t="s">
        <v>49</v>
      </c>
      <c r="F578" s="269">
        <f t="shared" ref="F578:U578" si="492">SUBTOTAL(9,F569:F577)</f>
        <v>54598.31142018034</v>
      </c>
      <c r="G578" s="269">
        <f t="shared" ref="G578:L578" si="493">SUBTOTAL(9,G569:G577)</f>
        <v>1213.952880978241</v>
      </c>
      <c r="H578" s="269">
        <f t="shared" si="493"/>
        <v>0</v>
      </c>
      <c r="I578" s="269">
        <f t="shared" si="493"/>
        <v>1413.8451955016674</v>
      </c>
      <c r="J578" s="269">
        <f t="shared" si="493"/>
        <v>385.47264764219597</v>
      </c>
      <c r="K578" s="269">
        <f t="shared" si="493"/>
        <v>50.11486027147793</v>
      </c>
      <c r="L578" s="269">
        <f t="shared" si="493"/>
        <v>0.1294247506617523</v>
      </c>
      <c r="M578" s="269">
        <f t="shared" si="492"/>
        <v>0</v>
      </c>
      <c r="N578" s="269">
        <f t="shared" si="492"/>
        <v>0</v>
      </c>
      <c r="O578" s="269">
        <f>SUBTOTAL(9,O569:O577)</f>
        <v>68.325413026258261</v>
      </c>
      <c r="P578" s="269">
        <f t="shared" si="492"/>
        <v>1140.1072001164971</v>
      </c>
      <c r="Q578" s="183">
        <f>SUBTOTAL(9,Q569:Q577)</f>
        <v>58870.259042467333</v>
      </c>
      <c r="R578" s="269">
        <f t="shared" si="492"/>
        <v>0</v>
      </c>
      <c r="S578" s="269">
        <f t="shared" si="492"/>
        <v>4446.3549846073538</v>
      </c>
      <c r="T578" s="269">
        <f t="shared" ca="1" si="492"/>
        <v>1828.3839052812721</v>
      </c>
      <c r="U578" s="269">
        <f t="shared" ca="1" si="492"/>
        <v>1264.6732337181384</v>
      </c>
    </row>
    <row r="579" spans="3:21" ht="15.75" hidden="1" thickBot="1" x14ac:dyDescent="0.3"/>
    <row r="580" spans="3:21" ht="93.75" x14ac:dyDescent="0.25">
      <c r="C580" s="294">
        <f>IF($E$580&gt;0,1,0)</f>
        <v>1</v>
      </c>
      <c r="D580" s="96" t="str">
        <f>A44</f>
        <v>Queens</v>
      </c>
      <c r="E580" s="166">
        <f>IFERROR(SUMIF(A:A,D580,B:B),0)</f>
        <v>0.13455152735828174</v>
      </c>
      <c r="F580" s="98" t="s">
        <v>356</v>
      </c>
      <c r="G580" s="98" t="s">
        <v>373</v>
      </c>
      <c r="H580" s="98" t="s">
        <v>358</v>
      </c>
      <c r="I580" s="98" t="s">
        <v>109</v>
      </c>
      <c r="J580" s="98" t="s">
        <v>111</v>
      </c>
      <c r="K580" s="98" t="s">
        <v>469</v>
      </c>
      <c r="L580" s="98" t="s">
        <v>470</v>
      </c>
      <c r="M580" s="98" t="s">
        <v>357</v>
      </c>
      <c r="N580" s="557" t="s">
        <v>471</v>
      </c>
      <c r="O580" s="557" t="s">
        <v>473</v>
      </c>
      <c r="P580" s="98" t="s">
        <v>110</v>
      </c>
      <c r="Q580" s="99" t="s">
        <v>116</v>
      </c>
      <c r="R580" s="98" t="s">
        <v>112</v>
      </c>
      <c r="S580" s="98" t="s">
        <v>113</v>
      </c>
      <c r="T580" s="98" t="s">
        <v>114</v>
      </c>
      <c r="U580" s="98" t="s">
        <v>115</v>
      </c>
    </row>
    <row r="581" spans="3:21" ht="18.75" x14ac:dyDescent="0.25">
      <c r="C581" s="294">
        <f>C580</f>
        <v>1</v>
      </c>
      <c r="D581" s="101"/>
      <c r="E581" s="102"/>
      <c r="F581" s="84" t="s">
        <v>57</v>
      </c>
      <c r="G581" s="84" t="s">
        <v>56</v>
      </c>
      <c r="H581" s="84" t="s">
        <v>55</v>
      </c>
      <c r="I581" s="84" t="s">
        <v>54</v>
      </c>
      <c r="J581" s="84" t="s">
        <v>53</v>
      </c>
      <c r="K581" s="84" t="s">
        <v>52</v>
      </c>
      <c r="L581" s="84" t="s">
        <v>51</v>
      </c>
      <c r="M581" s="84" t="s">
        <v>50</v>
      </c>
      <c r="N581" s="84" t="s">
        <v>49</v>
      </c>
      <c r="O581" s="84" t="s">
        <v>47</v>
      </c>
      <c r="P581" s="84" t="s">
        <v>77</v>
      </c>
      <c r="Q581" s="84" t="s">
        <v>78</v>
      </c>
      <c r="R581" s="84" t="s">
        <v>79</v>
      </c>
      <c r="S581" s="84" t="s">
        <v>81</v>
      </c>
      <c r="T581" s="84" t="s">
        <v>83</v>
      </c>
      <c r="U581" s="84" t="s">
        <v>85</v>
      </c>
    </row>
    <row r="582" spans="3:21" ht="18.75" x14ac:dyDescent="0.25">
      <c r="C582" s="294">
        <f>C580</f>
        <v>1</v>
      </c>
      <c r="D582" s="103" t="s">
        <v>26</v>
      </c>
      <c r="E582" s="122"/>
      <c r="F582" s="123"/>
      <c r="G582" s="123"/>
      <c r="H582" s="107"/>
      <c r="I582" s="107"/>
      <c r="J582" s="107"/>
      <c r="K582" s="107"/>
      <c r="L582" s="107"/>
      <c r="M582" s="123"/>
      <c r="N582" s="107"/>
      <c r="O582" s="107"/>
      <c r="P582" s="107"/>
      <c r="Q582" s="108"/>
      <c r="R582" s="107"/>
      <c r="S582" s="107"/>
      <c r="T582" s="107"/>
      <c r="U582" s="107"/>
    </row>
    <row r="583" spans="3:21" ht="18.75" x14ac:dyDescent="0.25">
      <c r="C583" s="294">
        <f t="shared" ref="C583:C592" si="494">C581</f>
        <v>1</v>
      </c>
      <c r="D583" s="124" t="s">
        <v>105</v>
      </c>
      <c r="E583" s="76" t="s">
        <v>57</v>
      </c>
      <c r="F583" s="176">
        <f t="shared" ref="F583:L583" si="495">F6*$E$580</f>
        <v>9489971.933794938</v>
      </c>
      <c r="G583" s="176">
        <f t="shared" si="495"/>
        <v>213403.31597937885</v>
      </c>
      <c r="H583" s="176">
        <f t="shared" si="495"/>
        <v>0</v>
      </c>
      <c r="I583" s="176">
        <f t="shared" si="495"/>
        <v>271985.49826654902</v>
      </c>
      <c r="J583" s="176">
        <f t="shared" si="495"/>
        <v>31181.74462129052</v>
      </c>
      <c r="K583" s="176">
        <f t="shared" si="495"/>
        <v>9463.8202648179249</v>
      </c>
      <c r="L583" s="176">
        <f t="shared" si="495"/>
        <v>0</v>
      </c>
      <c r="M583" s="176">
        <f t="shared" ref="M583:U583" si="496">M6*$E$580</f>
        <v>0</v>
      </c>
      <c r="N583" s="176">
        <f t="shared" si="496"/>
        <v>0</v>
      </c>
      <c r="O583" s="176">
        <f>O6*$E$580</f>
        <v>266.41202416939785</v>
      </c>
      <c r="P583" s="176">
        <f t="shared" si="496"/>
        <v>0</v>
      </c>
      <c r="Q583" s="175">
        <f>SUM(F583:P583)</f>
        <v>10016272.724951144</v>
      </c>
      <c r="R583" s="176">
        <f t="shared" si="496"/>
        <v>0</v>
      </c>
      <c r="S583" s="176">
        <f t="shared" si="496"/>
        <v>764355.0650708141</v>
      </c>
      <c r="T583" s="176">
        <f t="shared" ca="1" si="496"/>
        <v>325338.15667380678</v>
      </c>
      <c r="U583" s="176">
        <f t="shared" ca="1" si="496"/>
        <v>241784.87824041149</v>
      </c>
    </row>
    <row r="584" spans="3:21" ht="18.75" x14ac:dyDescent="0.25">
      <c r="C584" s="294">
        <f t="shared" si="494"/>
        <v>1</v>
      </c>
      <c r="D584" s="112" t="s">
        <v>31</v>
      </c>
      <c r="E584" s="76"/>
      <c r="F584" s="177"/>
      <c r="G584" s="177"/>
      <c r="H584" s="178"/>
      <c r="I584" s="178"/>
      <c r="J584" s="178"/>
      <c r="K584" s="178"/>
      <c r="L584" s="178"/>
      <c r="M584" s="177"/>
      <c r="N584" s="178"/>
      <c r="O584" s="178"/>
      <c r="P584" s="178"/>
      <c r="Q584" s="179"/>
      <c r="R584" s="178"/>
      <c r="S584" s="178"/>
      <c r="T584" s="178"/>
      <c r="U584" s="178"/>
    </row>
    <row r="585" spans="3:21" ht="18.75" x14ac:dyDescent="0.3">
      <c r="C585" s="294">
        <f t="shared" si="494"/>
        <v>1</v>
      </c>
      <c r="D585" s="113" t="s">
        <v>118</v>
      </c>
      <c r="E585" s="76" t="s">
        <v>56</v>
      </c>
      <c r="F585" s="176">
        <f t="shared" ref="F585:U585" si="497">F8*$E$580</f>
        <v>0</v>
      </c>
      <c r="G585" s="176">
        <f t="shared" ref="G585:L591" si="498">G8*$E$580</f>
        <v>0</v>
      </c>
      <c r="H585" s="176">
        <f t="shared" si="498"/>
        <v>0</v>
      </c>
      <c r="I585" s="176">
        <f t="shared" si="498"/>
        <v>0</v>
      </c>
      <c r="J585" s="176">
        <f t="shared" si="498"/>
        <v>0</v>
      </c>
      <c r="K585" s="176">
        <f t="shared" si="498"/>
        <v>0</v>
      </c>
      <c r="L585" s="176">
        <f t="shared" si="498"/>
        <v>0</v>
      </c>
      <c r="M585" s="176">
        <f t="shared" si="497"/>
        <v>0</v>
      </c>
      <c r="N585" s="176">
        <f t="shared" si="497"/>
        <v>0</v>
      </c>
      <c r="O585" s="176">
        <f t="shared" ref="O585:O591" si="499">O8*$E$580</f>
        <v>0</v>
      </c>
      <c r="P585" s="176">
        <f t="shared" si="497"/>
        <v>0</v>
      </c>
      <c r="Q585" s="175">
        <f t="shared" ref="Q585:Q591" si="500">SUM(F585:P585)</f>
        <v>0</v>
      </c>
      <c r="R585" s="176">
        <f t="shared" si="497"/>
        <v>0</v>
      </c>
      <c r="S585" s="176">
        <f t="shared" si="497"/>
        <v>0</v>
      </c>
      <c r="T585" s="176">
        <f t="shared" si="497"/>
        <v>0</v>
      </c>
      <c r="U585" s="176">
        <f t="shared" si="497"/>
        <v>0</v>
      </c>
    </row>
    <row r="586" spans="3:21" ht="18.75" x14ac:dyDescent="0.3">
      <c r="C586" s="294">
        <f t="shared" si="494"/>
        <v>1</v>
      </c>
      <c r="D586" s="113" t="s">
        <v>119</v>
      </c>
      <c r="E586" s="76" t="s">
        <v>55</v>
      </c>
      <c r="F586" s="176">
        <f t="shared" ref="F586:U586" si="501">F9*$E$580</f>
        <v>0</v>
      </c>
      <c r="G586" s="176">
        <f t="shared" si="498"/>
        <v>0</v>
      </c>
      <c r="H586" s="176">
        <f t="shared" si="498"/>
        <v>0</v>
      </c>
      <c r="I586" s="176">
        <f t="shared" si="498"/>
        <v>0</v>
      </c>
      <c r="J586" s="176">
        <f t="shared" si="498"/>
        <v>0</v>
      </c>
      <c r="K586" s="176">
        <f t="shared" si="498"/>
        <v>0</v>
      </c>
      <c r="L586" s="176">
        <f t="shared" si="498"/>
        <v>0</v>
      </c>
      <c r="M586" s="176">
        <f t="shared" si="501"/>
        <v>0</v>
      </c>
      <c r="N586" s="176">
        <f t="shared" si="501"/>
        <v>0</v>
      </c>
      <c r="O586" s="176">
        <f t="shared" si="499"/>
        <v>0</v>
      </c>
      <c r="P586" s="176">
        <f t="shared" si="501"/>
        <v>0</v>
      </c>
      <c r="Q586" s="175">
        <f t="shared" si="500"/>
        <v>0</v>
      </c>
      <c r="R586" s="176">
        <f t="shared" si="501"/>
        <v>0</v>
      </c>
      <c r="S586" s="176">
        <f t="shared" si="501"/>
        <v>0</v>
      </c>
      <c r="T586" s="176">
        <f t="shared" si="501"/>
        <v>0</v>
      </c>
      <c r="U586" s="176">
        <f t="shared" si="501"/>
        <v>0</v>
      </c>
    </row>
    <row r="587" spans="3:21" ht="18.75" x14ac:dyDescent="0.3">
      <c r="C587" s="294">
        <f t="shared" si="494"/>
        <v>1</v>
      </c>
      <c r="D587" s="113" t="s">
        <v>120</v>
      </c>
      <c r="E587" s="76" t="s">
        <v>54</v>
      </c>
      <c r="F587" s="176">
        <f t="shared" ref="F587:U587" si="502">F10*$E$580</f>
        <v>0</v>
      </c>
      <c r="G587" s="176">
        <f t="shared" si="498"/>
        <v>0</v>
      </c>
      <c r="H587" s="176">
        <f t="shared" si="498"/>
        <v>0</v>
      </c>
      <c r="I587" s="176">
        <f t="shared" si="498"/>
        <v>0</v>
      </c>
      <c r="J587" s="176">
        <f t="shared" si="498"/>
        <v>0</v>
      </c>
      <c r="K587" s="176">
        <f t="shared" si="498"/>
        <v>0</v>
      </c>
      <c r="L587" s="176">
        <f t="shared" si="498"/>
        <v>0</v>
      </c>
      <c r="M587" s="176">
        <f t="shared" si="502"/>
        <v>0</v>
      </c>
      <c r="N587" s="176">
        <f t="shared" si="502"/>
        <v>0</v>
      </c>
      <c r="O587" s="176">
        <f t="shared" si="499"/>
        <v>0</v>
      </c>
      <c r="P587" s="176">
        <f t="shared" si="502"/>
        <v>0</v>
      </c>
      <c r="Q587" s="175">
        <f t="shared" si="500"/>
        <v>0</v>
      </c>
      <c r="R587" s="176">
        <f t="shared" si="502"/>
        <v>0</v>
      </c>
      <c r="S587" s="176">
        <f t="shared" si="502"/>
        <v>0</v>
      </c>
      <c r="T587" s="176">
        <f t="shared" si="502"/>
        <v>0</v>
      </c>
      <c r="U587" s="176">
        <f t="shared" si="502"/>
        <v>0</v>
      </c>
    </row>
    <row r="588" spans="3:21" ht="18.75" x14ac:dyDescent="0.3">
      <c r="C588" s="294">
        <f t="shared" si="494"/>
        <v>1</v>
      </c>
      <c r="D588" s="113" t="s">
        <v>121</v>
      </c>
      <c r="E588" s="76" t="s">
        <v>53</v>
      </c>
      <c r="F588" s="176">
        <f t="shared" ref="F588:U588" si="503">F11*$E$580</f>
        <v>0</v>
      </c>
      <c r="G588" s="176">
        <f t="shared" si="498"/>
        <v>0</v>
      </c>
      <c r="H588" s="176">
        <f t="shared" si="498"/>
        <v>0</v>
      </c>
      <c r="I588" s="176">
        <f t="shared" si="498"/>
        <v>0</v>
      </c>
      <c r="J588" s="176">
        <f t="shared" si="498"/>
        <v>0</v>
      </c>
      <c r="K588" s="176">
        <f t="shared" si="498"/>
        <v>0</v>
      </c>
      <c r="L588" s="176">
        <f t="shared" si="498"/>
        <v>0</v>
      </c>
      <c r="M588" s="176">
        <f t="shared" si="503"/>
        <v>0</v>
      </c>
      <c r="N588" s="176">
        <f t="shared" si="503"/>
        <v>0</v>
      </c>
      <c r="O588" s="176">
        <f t="shared" si="499"/>
        <v>0</v>
      </c>
      <c r="P588" s="176">
        <f t="shared" si="503"/>
        <v>0</v>
      </c>
      <c r="Q588" s="175">
        <f t="shared" si="500"/>
        <v>0</v>
      </c>
      <c r="R588" s="176">
        <f t="shared" si="503"/>
        <v>0</v>
      </c>
      <c r="S588" s="176">
        <f t="shared" si="503"/>
        <v>0</v>
      </c>
      <c r="T588" s="176">
        <f t="shared" si="503"/>
        <v>0</v>
      </c>
      <c r="U588" s="176">
        <f t="shared" si="503"/>
        <v>0</v>
      </c>
    </row>
    <row r="589" spans="3:21" ht="18.75" x14ac:dyDescent="0.3">
      <c r="C589" s="294">
        <f t="shared" si="494"/>
        <v>1</v>
      </c>
      <c r="D589" s="113" t="s">
        <v>122</v>
      </c>
      <c r="E589" s="76" t="s">
        <v>52</v>
      </c>
      <c r="F589" s="176">
        <f t="shared" ref="F589:U589" si="504">F12*$E$580</f>
        <v>0</v>
      </c>
      <c r="G589" s="176">
        <f t="shared" si="498"/>
        <v>0</v>
      </c>
      <c r="H589" s="176">
        <f t="shared" si="498"/>
        <v>0</v>
      </c>
      <c r="I589" s="176">
        <f t="shared" si="498"/>
        <v>0</v>
      </c>
      <c r="J589" s="176">
        <f t="shared" si="498"/>
        <v>0</v>
      </c>
      <c r="K589" s="176">
        <f t="shared" si="498"/>
        <v>0</v>
      </c>
      <c r="L589" s="176">
        <f t="shared" si="498"/>
        <v>0</v>
      </c>
      <c r="M589" s="176">
        <f t="shared" si="504"/>
        <v>0</v>
      </c>
      <c r="N589" s="176">
        <f t="shared" si="504"/>
        <v>0</v>
      </c>
      <c r="O589" s="176">
        <f t="shared" si="499"/>
        <v>0</v>
      </c>
      <c r="P589" s="176">
        <f t="shared" si="504"/>
        <v>0</v>
      </c>
      <c r="Q589" s="175">
        <f t="shared" si="500"/>
        <v>0</v>
      </c>
      <c r="R589" s="176">
        <f t="shared" si="504"/>
        <v>0</v>
      </c>
      <c r="S589" s="176">
        <f t="shared" si="504"/>
        <v>0</v>
      </c>
      <c r="T589" s="176">
        <f t="shared" si="504"/>
        <v>0</v>
      </c>
      <c r="U589" s="176">
        <f t="shared" si="504"/>
        <v>0</v>
      </c>
    </row>
    <row r="590" spans="3:21" ht="18.75" x14ac:dyDescent="0.3">
      <c r="C590" s="294">
        <f t="shared" si="494"/>
        <v>1</v>
      </c>
      <c r="D590" s="125" t="s">
        <v>123</v>
      </c>
      <c r="E590" s="76" t="s">
        <v>51</v>
      </c>
      <c r="F590" s="176">
        <f t="shared" ref="F590:U590" si="505">F13*$E$580</f>
        <v>0</v>
      </c>
      <c r="G590" s="176">
        <f t="shared" si="498"/>
        <v>0</v>
      </c>
      <c r="H590" s="176">
        <f t="shared" si="498"/>
        <v>0</v>
      </c>
      <c r="I590" s="176">
        <f t="shared" si="498"/>
        <v>0</v>
      </c>
      <c r="J590" s="176">
        <f t="shared" si="498"/>
        <v>0</v>
      </c>
      <c r="K590" s="176">
        <f t="shared" si="498"/>
        <v>0</v>
      </c>
      <c r="L590" s="176">
        <f t="shared" si="498"/>
        <v>0</v>
      </c>
      <c r="M590" s="176">
        <f t="shared" si="505"/>
        <v>0</v>
      </c>
      <c r="N590" s="176">
        <f t="shared" si="505"/>
        <v>0</v>
      </c>
      <c r="O590" s="176">
        <f t="shared" si="499"/>
        <v>0</v>
      </c>
      <c r="P590" s="176">
        <f t="shared" si="505"/>
        <v>0</v>
      </c>
      <c r="Q590" s="175">
        <f t="shared" si="500"/>
        <v>0</v>
      </c>
      <c r="R590" s="176">
        <f t="shared" si="505"/>
        <v>0</v>
      </c>
      <c r="S590" s="176">
        <f t="shared" si="505"/>
        <v>0</v>
      </c>
      <c r="T590" s="176">
        <f t="shared" si="505"/>
        <v>0</v>
      </c>
      <c r="U590" s="176">
        <f t="shared" si="505"/>
        <v>0</v>
      </c>
    </row>
    <row r="591" spans="3:21" ht="19.5" thickBot="1" x14ac:dyDescent="0.35">
      <c r="C591" s="294">
        <f t="shared" si="494"/>
        <v>1</v>
      </c>
      <c r="D591" s="114" t="s">
        <v>16</v>
      </c>
      <c r="E591" s="70" t="s">
        <v>50</v>
      </c>
      <c r="F591" s="176">
        <f t="shared" ref="F591:U591" si="506">F14*$E$580</f>
        <v>1013263.4864455584</v>
      </c>
      <c r="G591" s="176">
        <f t="shared" si="498"/>
        <v>20128.318357592783</v>
      </c>
      <c r="H591" s="176">
        <f t="shared" si="498"/>
        <v>0</v>
      </c>
      <c r="I591" s="176">
        <f t="shared" si="498"/>
        <v>0</v>
      </c>
      <c r="J591" s="176">
        <f t="shared" si="498"/>
        <v>42972.745891999126</v>
      </c>
      <c r="K591" s="176">
        <f t="shared" si="498"/>
        <v>176.92066273458587</v>
      </c>
      <c r="L591" s="176">
        <f t="shared" si="498"/>
        <v>24.897814420390027</v>
      </c>
      <c r="M591" s="176">
        <f t="shared" si="506"/>
        <v>0</v>
      </c>
      <c r="N591" s="176">
        <f t="shared" si="506"/>
        <v>0</v>
      </c>
      <c r="O591" s="176">
        <f t="shared" si="499"/>
        <v>12877.545719818774</v>
      </c>
      <c r="P591" s="176">
        <f t="shared" si="506"/>
        <v>219325.72666906222</v>
      </c>
      <c r="Q591" s="175">
        <f t="shared" si="500"/>
        <v>1308769.6415611862</v>
      </c>
      <c r="R591" s="176">
        <f t="shared" si="506"/>
        <v>0</v>
      </c>
      <c r="S591" s="176">
        <f t="shared" si="506"/>
        <v>91003.131007561897</v>
      </c>
      <c r="T591" s="176">
        <f t="shared" ca="1" si="506"/>
        <v>26393.354726925652</v>
      </c>
      <c r="U591" s="176">
        <f t="shared" ca="1" si="506"/>
        <v>1503.9773652728466</v>
      </c>
    </row>
    <row r="592" spans="3:21" ht="19.5" thickBot="1" x14ac:dyDescent="0.3">
      <c r="C592" s="294">
        <f t="shared" si="494"/>
        <v>1</v>
      </c>
      <c r="D592" s="115" t="s">
        <v>124</v>
      </c>
      <c r="E592" s="116" t="s">
        <v>49</v>
      </c>
      <c r="F592" s="269">
        <f t="shared" ref="F592:U592" si="507">SUBTOTAL(9,F583:F591)</f>
        <v>10503235.420240497</v>
      </c>
      <c r="G592" s="269">
        <f t="shared" ref="G592:L592" si="508">SUBTOTAL(9,G583:G591)</f>
        <v>233531.63433697162</v>
      </c>
      <c r="H592" s="269">
        <f t="shared" si="508"/>
        <v>0</v>
      </c>
      <c r="I592" s="269">
        <f t="shared" si="508"/>
        <v>271985.49826654902</v>
      </c>
      <c r="J592" s="269">
        <f t="shared" si="508"/>
        <v>74154.490513289638</v>
      </c>
      <c r="K592" s="269">
        <f t="shared" si="508"/>
        <v>9640.7409275525115</v>
      </c>
      <c r="L592" s="269">
        <f t="shared" si="508"/>
        <v>24.897814420390027</v>
      </c>
      <c r="M592" s="269">
        <f t="shared" si="507"/>
        <v>0</v>
      </c>
      <c r="N592" s="269">
        <f t="shared" si="507"/>
        <v>0</v>
      </c>
      <c r="O592" s="269">
        <f>SUBTOTAL(9,O583:O591)</f>
        <v>13143.957743988172</v>
      </c>
      <c r="P592" s="269">
        <f t="shared" si="507"/>
        <v>219325.72666906222</v>
      </c>
      <c r="Q592" s="183">
        <f>SUBTOTAL(9,Q583:Q591)</f>
        <v>11325042.36651233</v>
      </c>
      <c r="R592" s="269">
        <f t="shared" si="507"/>
        <v>0</v>
      </c>
      <c r="S592" s="269">
        <f t="shared" si="507"/>
        <v>855358.19607837603</v>
      </c>
      <c r="T592" s="269">
        <f t="shared" ca="1" si="507"/>
        <v>351731.51140073244</v>
      </c>
      <c r="U592" s="269">
        <f t="shared" ca="1" si="507"/>
        <v>243288.85560568434</v>
      </c>
    </row>
    <row r="593" spans="3:21" ht="15.75" hidden="1" thickBot="1" x14ac:dyDescent="0.3"/>
    <row r="594" spans="3:21" ht="93.75" x14ac:dyDescent="0.25">
      <c r="C594" s="294">
        <f>IF($E$594&gt;0,1,0)</f>
        <v>1</v>
      </c>
      <c r="D594" s="96" t="str">
        <f>A45</f>
        <v>Rensselaer</v>
      </c>
      <c r="E594" s="166">
        <f>IFERROR(SUMIF(A:A,D594,B:B),0)</f>
        <v>1.1879078473435285E-2</v>
      </c>
      <c r="F594" s="98" t="s">
        <v>356</v>
      </c>
      <c r="G594" s="98" t="s">
        <v>373</v>
      </c>
      <c r="H594" s="98" t="s">
        <v>358</v>
      </c>
      <c r="I594" s="98" t="s">
        <v>109</v>
      </c>
      <c r="J594" s="98" t="s">
        <v>111</v>
      </c>
      <c r="K594" s="98" t="s">
        <v>469</v>
      </c>
      <c r="L594" s="98" t="s">
        <v>470</v>
      </c>
      <c r="M594" s="98" t="s">
        <v>357</v>
      </c>
      <c r="N594" s="557" t="s">
        <v>471</v>
      </c>
      <c r="O594" s="557" t="s">
        <v>473</v>
      </c>
      <c r="P594" s="98" t="s">
        <v>110</v>
      </c>
      <c r="Q594" s="99" t="s">
        <v>116</v>
      </c>
      <c r="R594" s="98" t="s">
        <v>112</v>
      </c>
      <c r="S594" s="98" t="s">
        <v>113</v>
      </c>
      <c r="T594" s="98" t="s">
        <v>114</v>
      </c>
      <c r="U594" s="98" t="s">
        <v>115</v>
      </c>
    </row>
    <row r="595" spans="3:21" ht="18.75" x14ac:dyDescent="0.25">
      <c r="C595" s="294">
        <f>C594</f>
        <v>1</v>
      </c>
      <c r="D595" s="101"/>
      <c r="E595" s="102"/>
      <c r="F595" s="84" t="s">
        <v>57</v>
      </c>
      <c r="G595" s="84" t="s">
        <v>56</v>
      </c>
      <c r="H595" s="84" t="s">
        <v>55</v>
      </c>
      <c r="I595" s="84" t="s">
        <v>54</v>
      </c>
      <c r="J595" s="84" t="s">
        <v>53</v>
      </c>
      <c r="K595" s="84" t="s">
        <v>52</v>
      </c>
      <c r="L595" s="84" t="s">
        <v>51</v>
      </c>
      <c r="M595" s="84" t="s">
        <v>50</v>
      </c>
      <c r="N595" s="84" t="s">
        <v>49</v>
      </c>
      <c r="O595" s="84" t="s">
        <v>47</v>
      </c>
      <c r="P595" s="84" t="s">
        <v>77</v>
      </c>
      <c r="Q595" s="84" t="s">
        <v>78</v>
      </c>
      <c r="R595" s="84" t="s">
        <v>79</v>
      </c>
      <c r="S595" s="84" t="s">
        <v>81</v>
      </c>
      <c r="T595" s="84" t="s">
        <v>83</v>
      </c>
      <c r="U595" s="84" t="s">
        <v>85</v>
      </c>
    </row>
    <row r="596" spans="3:21" ht="18.75" x14ac:dyDescent="0.25">
      <c r="C596" s="294">
        <f>C594</f>
        <v>1</v>
      </c>
      <c r="D596" s="103" t="s">
        <v>26</v>
      </c>
      <c r="E596" s="122"/>
      <c r="F596" s="123"/>
      <c r="G596" s="123"/>
      <c r="H596" s="107"/>
      <c r="I596" s="107"/>
      <c r="J596" s="107"/>
      <c r="K596" s="107"/>
      <c r="L596" s="107"/>
      <c r="M596" s="123"/>
      <c r="N596" s="107"/>
      <c r="O596" s="107"/>
      <c r="P596" s="107"/>
      <c r="Q596" s="108"/>
      <c r="R596" s="107"/>
      <c r="S596" s="107"/>
      <c r="T596" s="107"/>
      <c r="U596" s="107"/>
    </row>
    <row r="597" spans="3:21" ht="18.75" x14ac:dyDescent="0.25">
      <c r="C597" s="294">
        <f t="shared" ref="C597:C606" si="509">C595</f>
        <v>1</v>
      </c>
      <c r="D597" s="124" t="s">
        <v>105</v>
      </c>
      <c r="E597" s="76" t="s">
        <v>57</v>
      </c>
      <c r="F597" s="176">
        <f t="shared" ref="F597:L597" si="510">F6*$E$594</f>
        <v>837836.05824159179</v>
      </c>
      <c r="G597" s="176">
        <f t="shared" si="510"/>
        <v>18840.624010607444</v>
      </c>
      <c r="H597" s="176">
        <f t="shared" si="510"/>
        <v>0</v>
      </c>
      <c r="I597" s="176">
        <f t="shared" si="510"/>
        <v>24012.637693375586</v>
      </c>
      <c r="J597" s="176">
        <f t="shared" si="510"/>
        <v>2752.9259501351153</v>
      </c>
      <c r="K597" s="176">
        <f t="shared" si="510"/>
        <v>835.52721987989844</v>
      </c>
      <c r="L597" s="176">
        <f t="shared" si="510"/>
        <v>0</v>
      </c>
      <c r="M597" s="176">
        <f t="shared" ref="M597:U597" si="511">M6*$E$594</f>
        <v>0</v>
      </c>
      <c r="N597" s="176">
        <f t="shared" si="511"/>
        <v>0</v>
      </c>
      <c r="O597" s="176">
        <f>O6*$E$594</f>
        <v>23.520575377401865</v>
      </c>
      <c r="P597" s="176">
        <f t="shared" si="511"/>
        <v>0</v>
      </c>
      <c r="Q597" s="175">
        <f>SUM(F597:P597)</f>
        <v>884301.29369096726</v>
      </c>
      <c r="R597" s="176">
        <f t="shared" si="511"/>
        <v>0</v>
      </c>
      <c r="S597" s="176">
        <f t="shared" si="511"/>
        <v>67482.205351458353</v>
      </c>
      <c r="T597" s="176">
        <f t="shared" ca="1" si="511"/>
        <v>28722.955208379197</v>
      </c>
      <c r="U597" s="176">
        <f t="shared" ca="1" si="511"/>
        <v>21346.331763740167</v>
      </c>
    </row>
    <row r="598" spans="3:21" ht="18.75" x14ac:dyDescent="0.25">
      <c r="C598" s="294">
        <f t="shared" si="509"/>
        <v>1</v>
      </c>
      <c r="D598" s="112" t="s">
        <v>31</v>
      </c>
      <c r="E598" s="76"/>
      <c r="F598" s="177"/>
      <c r="G598" s="177"/>
      <c r="H598" s="178"/>
      <c r="I598" s="178"/>
      <c r="J598" s="178"/>
      <c r="K598" s="178"/>
      <c r="L598" s="178"/>
      <c r="M598" s="177"/>
      <c r="N598" s="178"/>
      <c r="O598" s="178"/>
      <c r="P598" s="178"/>
      <c r="Q598" s="179"/>
      <c r="R598" s="178"/>
      <c r="S598" s="178"/>
      <c r="T598" s="178"/>
      <c r="U598" s="178"/>
    </row>
    <row r="599" spans="3:21" ht="18.75" x14ac:dyDescent="0.3">
      <c r="C599" s="294">
        <f t="shared" si="509"/>
        <v>1</v>
      </c>
      <c r="D599" s="113" t="s">
        <v>118</v>
      </c>
      <c r="E599" s="76" t="s">
        <v>56</v>
      </c>
      <c r="F599" s="176">
        <f t="shared" ref="F599:U599" si="512">F8*$E$594</f>
        <v>0</v>
      </c>
      <c r="G599" s="176">
        <f t="shared" ref="G599:L605" si="513">G8*$E$594</f>
        <v>0</v>
      </c>
      <c r="H599" s="176">
        <f t="shared" si="513"/>
        <v>0</v>
      </c>
      <c r="I599" s="176">
        <f t="shared" si="513"/>
        <v>0</v>
      </c>
      <c r="J599" s="176">
        <f t="shared" si="513"/>
        <v>0</v>
      </c>
      <c r="K599" s="176">
        <f t="shared" si="513"/>
        <v>0</v>
      </c>
      <c r="L599" s="176">
        <f t="shared" si="513"/>
        <v>0</v>
      </c>
      <c r="M599" s="176">
        <f t="shared" si="512"/>
        <v>0</v>
      </c>
      <c r="N599" s="176">
        <f t="shared" si="512"/>
        <v>0</v>
      </c>
      <c r="O599" s="176">
        <f t="shared" ref="O599:O605" si="514">O8*$E$594</f>
        <v>0</v>
      </c>
      <c r="P599" s="176">
        <f t="shared" si="512"/>
        <v>0</v>
      </c>
      <c r="Q599" s="175">
        <f t="shared" ref="Q599:Q605" si="515">SUM(F599:P599)</f>
        <v>0</v>
      </c>
      <c r="R599" s="176">
        <f t="shared" si="512"/>
        <v>0</v>
      </c>
      <c r="S599" s="176">
        <f t="shared" si="512"/>
        <v>0</v>
      </c>
      <c r="T599" s="176">
        <f t="shared" si="512"/>
        <v>0</v>
      </c>
      <c r="U599" s="176">
        <f t="shared" si="512"/>
        <v>0</v>
      </c>
    </row>
    <row r="600" spans="3:21" ht="18.75" x14ac:dyDescent="0.3">
      <c r="C600" s="294">
        <f t="shared" si="509"/>
        <v>1</v>
      </c>
      <c r="D600" s="113" t="s">
        <v>119</v>
      </c>
      <c r="E600" s="76" t="s">
        <v>55</v>
      </c>
      <c r="F600" s="176">
        <f t="shared" ref="F600:U600" si="516">F9*$E$594</f>
        <v>0</v>
      </c>
      <c r="G600" s="176">
        <f t="shared" si="513"/>
        <v>0</v>
      </c>
      <c r="H600" s="176">
        <f t="shared" si="513"/>
        <v>0</v>
      </c>
      <c r="I600" s="176">
        <f t="shared" si="513"/>
        <v>0</v>
      </c>
      <c r="J600" s="176">
        <f t="shared" si="513"/>
        <v>0</v>
      </c>
      <c r="K600" s="176">
        <f t="shared" si="513"/>
        <v>0</v>
      </c>
      <c r="L600" s="176">
        <f t="shared" si="513"/>
        <v>0</v>
      </c>
      <c r="M600" s="176">
        <f t="shared" si="516"/>
        <v>0</v>
      </c>
      <c r="N600" s="176">
        <f t="shared" si="516"/>
        <v>0</v>
      </c>
      <c r="O600" s="176">
        <f t="shared" si="514"/>
        <v>0</v>
      </c>
      <c r="P600" s="176">
        <f t="shared" si="516"/>
        <v>0</v>
      </c>
      <c r="Q600" s="175">
        <f t="shared" si="515"/>
        <v>0</v>
      </c>
      <c r="R600" s="176">
        <f t="shared" si="516"/>
        <v>0</v>
      </c>
      <c r="S600" s="176">
        <f t="shared" si="516"/>
        <v>0</v>
      </c>
      <c r="T600" s="176">
        <f t="shared" si="516"/>
        <v>0</v>
      </c>
      <c r="U600" s="176">
        <f t="shared" si="516"/>
        <v>0</v>
      </c>
    </row>
    <row r="601" spans="3:21" ht="18.75" x14ac:dyDescent="0.3">
      <c r="C601" s="294">
        <f t="shared" si="509"/>
        <v>1</v>
      </c>
      <c r="D601" s="113" t="s">
        <v>120</v>
      </c>
      <c r="E601" s="76" t="s">
        <v>54</v>
      </c>
      <c r="F601" s="176">
        <f t="shared" ref="F601:U601" si="517">F10*$E$594</f>
        <v>0</v>
      </c>
      <c r="G601" s="176">
        <f t="shared" si="513"/>
        <v>0</v>
      </c>
      <c r="H601" s="176">
        <f t="shared" si="513"/>
        <v>0</v>
      </c>
      <c r="I601" s="176">
        <f t="shared" si="513"/>
        <v>0</v>
      </c>
      <c r="J601" s="176">
        <f t="shared" si="513"/>
        <v>0</v>
      </c>
      <c r="K601" s="176">
        <f t="shared" si="513"/>
        <v>0</v>
      </c>
      <c r="L601" s="176">
        <f t="shared" si="513"/>
        <v>0</v>
      </c>
      <c r="M601" s="176">
        <f t="shared" si="517"/>
        <v>0</v>
      </c>
      <c r="N601" s="176">
        <f t="shared" si="517"/>
        <v>0</v>
      </c>
      <c r="O601" s="176">
        <f t="shared" si="514"/>
        <v>0</v>
      </c>
      <c r="P601" s="176">
        <f t="shared" si="517"/>
        <v>0</v>
      </c>
      <c r="Q601" s="175">
        <f t="shared" si="515"/>
        <v>0</v>
      </c>
      <c r="R601" s="176">
        <f t="shared" si="517"/>
        <v>0</v>
      </c>
      <c r="S601" s="176">
        <f t="shared" si="517"/>
        <v>0</v>
      </c>
      <c r="T601" s="176">
        <f t="shared" si="517"/>
        <v>0</v>
      </c>
      <c r="U601" s="176">
        <f t="shared" si="517"/>
        <v>0</v>
      </c>
    </row>
    <row r="602" spans="3:21" ht="18.75" x14ac:dyDescent="0.3">
      <c r="C602" s="294">
        <f t="shared" si="509"/>
        <v>1</v>
      </c>
      <c r="D602" s="113" t="s">
        <v>121</v>
      </c>
      <c r="E602" s="76" t="s">
        <v>53</v>
      </c>
      <c r="F602" s="176">
        <f t="shared" ref="F602:U602" si="518">F11*$E$594</f>
        <v>0</v>
      </c>
      <c r="G602" s="176">
        <f t="shared" si="513"/>
        <v>0</v>
      </c>
      <c r="H602" s="176">
        <f t="shared" si="513"/>
        <v>0</v>
      </c>
      <c r="I602" s="176">
        <f t="shared" si="513"/>
        <v>0</v>
      </c>
      <c r="J602" s="176">
        <f t="shared" si="513"/>
        <v>0</v>
      </c>
      <c r="K602" s="176">
        <f t="shared" si="513"/>
        <v>0</v>
      </c>
      <c r="L602" s="176">
        <f t="shared" si="513"/>
        <v>0</v>
      </c>
      <c r="M602" s="176">
        <f t="shared" si="518"/>
        <v>0</v>
      </c>
      <c r="N602" s="176">
        <f t="shared" si="518"/>
        <v>0</v>
      </c>
      <c r="O602" s="176">
        <f t="shared" si="514"/>
        <v>0</v>
      </c>
      <c r="P602" s="176">
        <f t="shared" si="518"/>
        <v>0</v>
      </c>
      <c r="Q602" s="175">
        <f t="shared" si="515"/>
        <v>0</v>
      </c>
      <c r="R602" s="176">
        <f t="shared" si="518"/>
        <v>0</v>
      </c>
      <c r="S602" s="176">
        <f t="shared" si="518"/>
        <v>0</v>
      </c>
      <c r="T602" s="176">
        <f t="shared" si="518"/>
        <v>0</v>
      </c>
      <c r="U602" s="176">
        <f t="shared" si="518"/>
        <v>0</v>
      </c>
    </row>
    <row r="603" spans="3:21" ht="18.75" x14ac:dyDescent="0.3">
      <c r="C603" s="294">
        <f t="shared" si="509"/>
        <v>1</v>
      </c>
      <c r="D603" s="113" t="s">
        <v>122</v>
      </c>
      <c r="E603" s="76" t="s">
        <v>52</v>
      </c>
      <c r="F603" s="176">
        <f t="shared" ref="F603:U603" si="519">F12*$E$594</f>
        <v>0</v>
      </c>
      <c r="G603" s="176">
        <f t="shared" si="513"/>
        <v>0</v>
      </c>
      <c r="H603" s="176">
        <f t="shared" si="513"/>
        <v>0</v>
      </c>
      <c r="I603" s="176">
        <f t="shared" si="513"/>
        <v>0</v>
      </c>
      <c r="J603" s="176">
        <f t="shared" si="513"/>
        <v>0</v>
      </c>
      <c r="K603" s="176">
        <f t="shared" si="513"/>
        <v>0</v>
      </c>
      <c r="L603" s="176">
        <f t="shared" si="513"/>
        <v>0</v>
      </c>
      <c r="M603" s="176">
        <f t="shared" si="519"/>
        <v>0</v>
      </c>
      <c r="N603" s="176">
        <f t="shared" si="519"/>
        <v>0</v>
      </c>
      <c r="O603" s="176">
        <f t="shared" si="514"/>
        <v>0</v>
      </c>
      <c r="P603" s="176">
        <f t="shared" si="519"/>
        <v>0</v>
      </c>
      <c r="Q603" s="175">
        <f t="shared" si="515"/>
        <v>0</v>
      </c>
      <c r="R603" s="176">
        <f t="shared" si="519"/>
        <v>0</v>
      </c>
      <c r="S603" s="176">
        <f t="shared" si="519"/>
        <v>0</v>
      </c>
      <c r="T603" s="176">
        <f t="shared" si="519"/>
        <v>0</v>
      </c>
      <c r="U603" s="176">
        <f t="shared" si="519"/>
        <v>0</v>
      </c>
    </row>
    <row r="604" spans="3:21" ht="18.75" x14ac:dyDescent="0.3">
      <c r="C604" s="294">
        <f t="shared" si="509"/>
        <v>1</v>
      </c>
      <c r="D604" s="125" t="s">
        <v>123</v>
      </c>
      <c r="E604" s="76" t="s">
        <v>51</v>
      </c>
      <c r="F604" s="176">
        <f t="shared" ref="F604:U604" si="520">F13*$E$594</f>
        <v>0</v>
      </c>
      <c r="G604" s="176">
        <f t="shared" si="513"/>
        <v>0</v>
      </c>
      <c r="H604" s="176">
        <f t="shared" si="513"/>
        <v>0</v>
      </c>
      <c r="I604" s="176">
        <f t="shared" si="513"/>
        <v>0</v>
      </c>
      <c r="J604" s="176">
        <f t="shared" si="513"/>
        <v>0</v>
      </c>
      <c r="K604" s="176">
        <f t="shared" si="513"/>
        <v>0</v>
      </c>
      <c r="L604" s="176">
        <f t="shared" si="513"/>
        <v>0</v>
      </c>
      <c r="M604" s="176">
        <f t="shared" si="520"/>
        <v>0</v>
      </c>
      <c r="N604" s="176">
        <f t="shared" si="520"/>
        <v>0</v>
      </c>
      <c r="O604" s="176">
        <f t="shared" si="514"/>
        <v>0</v>
      </c>
      <c r="P604" s="176">
        <f t="shared" si="520"/>
        <v>0</v>
      </c>
      <c r="Q604" s="175">
        <f t="shared" si="515"/>
        <v>0</v>
      </c>
      <c r="R604" s="176">
        <f t="shared" si="520"/>
        <v>0</v>
      </c>
      <c r="S604" s="176">
        <f t="shared" si="520"/>
        <v>0</v>
      </c>
      <c r="T604" s="176">
        <f t="shared" si="520"/>
        <v>0</v>
      </c>
      <c r="U604" s="176">
        <f t="shared" si="520"/>
        <v>0</v>
      </c>
    </row>
    <row r="605" spans="3:21" ht="19.5" thickBot="1" x14ac:dyDescent="0.35">
      <c r="C605" s="294">
        <f t="shared" si="509"/>
        <v>1</v>
      </c>
      <c r="D605" s="114" t="s">
        <v>16</v>
      </c>
      <c r="E605" s="70" t="s">
        <v>50</v>
      </c>
      <c r="F605" s="176">
        <f t="shared" ref="F605:U605" si="521">F14*$E$594</f>
        <v>89457.449544236297</v>
      </c>
      <c r="G605" s="176">
        <f t="shared" si="513"/>
        <v>1777.0580386757356</v>
      </c>
      <c r="H605" s="176">
        <f t="shared" si="513"/>
        <v>0</v>
      </c>
      <c r="I605" s="176">
        <f t="shared" si="513"/>
        <v>0</v>
      </c>
      <c r="J605" s="176">
        <f t="shared" si="513"/>
        <v>3793.9117503345919</v>
      </c>
      <c r="K605" s="176">
        <f t="shared" si="513"/>
        <v>15.61969958616724</v>
      </c>
      <c r="L605" s="176">
        <f t="shared" si="513"/>
        <v>2.1981399774770924</v>
      </c>
      <c r="M605" s="176">
        <f t="shared" si="521"/>
        <v>0</v>
      </c>
      <c r="N605" s="176">
        <f t="shared" si="521"/>
        <v>0</v>
      </c>
      <c r="O605" s="176">
        <f t="shared" si="514"/>
        <v>1136.9129667598847</v>
      </c>
      <c r="P605" s="176">
        <f t="shared" si="521"/>
        <v>19363.492704229382</v>
      </c>
      <c r="Q605" s="175">
        <f t="shared" si="515"/>
        <v>115546.64284379955</v>
      </c>
      <c r="R605" s="176">
        <f t="shared" si="521"/>
        <v>0</v>
      </c>
      <c r="S605" s="176">
        <f t="shared" si="521"/>
        <v>8034.344580040186</v>
      </c>
      <c r="T605" s="176">
        <f t="shared" ca="1" si="521"/>
        <v>2330.1759417676803</v>
      </c>
      <c r="U605" s="176">
        <f t="shared" ca="1" si="521"/>
        <v>132.78084236660976</v>
      </c>
    </row>
    <row r="606" spans="3:21" ht="19.5" thickBot="1" x14ac:dyDescent="0.3">
      <c r="C606" s="294">
        <f t="shared" si="509"/>
        <v>1</v>
      </c>
      <c r="D606" s="115" t="s">
        <v>124</v>
      </c>
      <c r="E606" s="116" t="s">
        <v>49</v>
      </c>
      <c r="F606" s="269">
        <f t="shared" ref="F606:U606" si="522">SUBTOTAL(9,F597:F605)</f>
        <v>927293.50778582809</v>
      </c>
      <c r="G606" s="269">
        <f t="shared" ref="G606:L606" si="523">SUBTOTAL(9,G597:G605)</f>
        <v>20617.682049283179</v>
      </c>
      <c r="H606" s="269">
        <f t="shared" si="523"/>
        <v>0</v>
      </c>
      <c r="I606" s="269">
        <f t="shared" si="523"/>
        <v>24012.637693375586</v>
      </c>
      <c r="J606" s="269">
        <f t="shared" si="523"/>
        <v>6546.8377004697068</v>
      </c>
      <c r="K606" s="269">
        <f t="shared" si="523"/>
        <v>851.1469194660657</v>
      </c>
      <c r="L606" s="269">
        <f t="shared" si="523"/>
        <v>2.1981399774770924</v>
      </c>
      <c r="M606" s="269">
        <f t="shared" si="522"/>
        <v>0</v>
      </c>
      <c r="N606" s="269">
        <f t="shared" si="522"/>
        <v>0</v>
      </c>
      <c r="O606" s="269">
        <f>SUBTOTAL(9,O597:O605)</f>
        <v>1160.4335421372866</v>
      </c>
      <c r="P606" s="269">
        <f t="shared" si="522"/>
        <v>19363.492704229382</v>
      </c>
      <c r="Q606" s="183">
        <f>SUBTOTAL(9,Q597:Q605)</f>
        <v>999847.93653476681</v>
      </c>
      <c r="R606" s="269">
        <f t="shared" si="522"/>
        <v>0</v>
      </c>
      <c r="S606" s="269">
        <f t="shared" si="522"/>
        <v>75516.549931498535</v>
      </c>
      <c r="T606" s="269">
        <f t="shared" ca="1" si="522"/>
        <v>31053.131150146877</v>
      </c>
      <c r="U606" s="269">
        <f t="shared" ca="1" si="522"/>
        <v>21479.112606106777</v>
      </c>
    </row>
    <row r="607" spans="3:21" ht="15.75" hidden="1" thickBot="1" x14ac:dyDescent="0.3"/>
    <row r="608" spans="3:21" ht="93.75" x14ac:dyDescent="0.25">
      <c r="C608" s="294">
        <f>IF($E$608&gt;0,1,0)</f>
        <v>1</v>
      </c>
      <c r="D608" s="96" t="str">
        <f>A46</f>
        <v>Richmond</v>
      </c>
      <c r="E608" s="166">
        <f>IFERROR(SUMIF(A:A,D608,B:B),0)</f>
        <v>6.7007910925224526E-2</v>
      </c>
      <c r="F608" s="98" t="s">
        <v>356</v>
      </c>
      <c r="G608" s="98" t="s">
        <v>373</v>
      </c>
      <c r="H608" s="98" t="s">
        <v>358</v>
      </c>
      <c r="I608" s="98" t="s">
        <v>109</v>
      </c>
      <c r="J608" s="98" t="s">
        <v>111</v>
      </c>
      <c r="K608" s="98" t="s">
        <v>469</v>
      </c>
      <c r="L608" s="98" t="s">
        <v>470</v>
      </c>
      <c r="M608" s="98" t="s">
        <v>357</v>
      </c>
      <c r="N608" s="557" t="s">
        <v>471</v>
      </c>
      <c r="O608" s="557" t="s">
        <v>473</v>
      </c>
      <c r="P608" s="98" t="s">
        <v>110</v>
      </c>
      <c r="Q608" s="99" t="s">
        <v>116</v>
      </c>
      <c r="R608" s="98" t="s">
        <v>112</v>
      </c>
      <c r="S608" s="98" t="s">
        <v>113</v>
      </c>
      <c r="T608" s="98" t="s">
        <v>114</v>
      </c>
      <c r="U608" s="98" t="s">
        <v>115</v>
      </c>
    </row>
    <row r="609" spans="3:21" ht="18.75" x14ac:dyDescent="0.25">
      <c r="C609" s="294">
        <f>C608</f>
        <v>1</v>
      </c>
      <c r="D609" s="101"/>
      <c r="E609" s="102"/>
      <c r="F609" s="84" t="s">
        <v>57</v>
      </c>
      <c r="G609" s="84" t="s">
        <v>56</v>
      </c>
      <c r="H609" s="84" t="s">
        <v>55</v>
      </c>
      <c r="I609" s="84" t="s">
        <v>54</v>
      </c>
      <c r="J609" s="84" t="s">
        <v>53</v>
      </c>
      <c r="K609" s="84" t="s">
        <v>52</v>
      </c>
      <c r="L609" s="84" t="s">
        <v>51</v>
      </c>
      <c r="M609" s="84" t="s">
        <v>50</v>
      </c>
      <c r="N609" s="84" t="s">
        <v>49</v>
      </c>
      <c r="O609" s="84" t="s">
        <v>47</v>
      </c>
      <c r="P609" s="84" t="s">
        <v>77</v>
      </c>
      <c r="Q609" s="84" t="s">
        <v>78</v>
      </c>
      <c r="R609" s="84" t="s">
        <v>79</v>
      </c>
      <c r="S609" s="84" t="s">
        <v>81</v>
      </c>
      <c r="T609" s="84" t="s">
        <v>83</v>
      </c>
      <c r="U609" s="84" t="s">
        <v>85</v>
      </c>
    </row>
    <row r="610" spans="3:21" ht="18.75" x14ac:dyDescent="0.25">
      <c r="C610" s="294">
        <f>C608</f>
        <v>1</v>
      </c>
      <c r="D610" s="103" t="s">
        <v>26</v>
      </c>
      <c r="E610" s="122"/>
      <c r="F610" s="123"/>
      <c r="G610" s="123"/>
      <c r="H610" s="107"/>
      <c r="I610" s="107"/>
      <c r="J610" s="107"/>
      <c r="K610" s="107"/>
      <c r="L610" s="107"/>
      <c r="M610" s="123"/>
      <c r="N610" s="107"/>
      <c r="O610" s="107"/>
      <c r="P610" s="107"/>
      <c r="Q610" s="108"/>
      <c r="R610" s="107"/>
      <c r="S610" s="107"/>
      <c r="T610" s="107"/>
      <c r="U610" s="107"/>
    </row>
    <row r="611" spans="3:21" ht="18.75" x14ac:dyDescent="0.25">
      <c r="C611" s="294">
        <f t="shared" ref="C611:C620" si="524">C609</f>
        <v>1</v>
      </c>
      <c r="D611" s="124" t="s">
        <v>105</v>
      </c>
      <c r="E611" s="76" t="s">
        <v>57</v>
      </c>
      <c r="F611" s="176">
        <f t="shared" ref="F611:L611" si="525">F6*$E$608</f>
        <v>4726094.2072351109</v>
      </c>
      <c r="G611" s="176">
        <f t="shared" si="525"/>
        <v>106276.83437748508</v>
      </c>
      <c r="H611" s="176">
        <f t="shared" si="525"/>
        <v>0</v>
      </c>
      <c r="I611" s="176">
        <f t="shared" si="525"/>
        <v>135451.30552303579</v>
      </c>
      <c r="J611" s="176">
        <f t="shared" si="525"/>
        <v>15528.798573299351</v>
      </c>
      <c r="K611" s="176">
        <f t="shared" si="525"/>
        <v>4713.07043307392</v>
      </c>
      <c r="L611" s="176">
        <f t="shared" si="525"/>
        <v>0</v>
      </c>
      <c r="M611" s="176">
        <f t="shared" ref="M611:U611" si="526">M6*$E$608</f>
        <v>0</v>
      </c>
      <c r="N611" s="176">
        <f t="shared" si="526"/>
        <v>0</v>
      </c>
      <c r="O611" s="176">
        <f>O6*$E$608</f>
        <v>132.67566363194456</v>
      </c>
      <c r="P611" s="176">
        <f t="shared" si="526"/>
        <v>0</v>
      </c>
      <c r="Q611" s="175">
        <f>SUM(F611:P611)</f>
        <v>4988196.8918056376</v>
      </c>
      <c r="R611" s="176">
        <f t="shared" si="526"/>
        <v>0</v>
      </c>
      <c r="S611" s="176">
        <f t="shared" si="526"/>
        <v>380655.92506525206</v>
      </c>
      <c r="T611" s="176">
        <f t="shared" ca="1" si="526"/>
        <v>162021.42518178831</v>
      </c>
      <c r="U611" s="176">
        <f t="shared" ca="1" si="526"/>
        <v>120411.1161150824</v>
      </c>
    </row>
    <row r="612" spans="3:21" ht="18.75" x14ac:dyDescent="0.25">
      <c r="C612" s="294">
        <f t="shared" si="524"/>
        <v>1</v>
      </c>
      <c r="D612" s="112" t="s">
        <v>31</v>
      </c>
      <c r="E612" s="76"/>
      <c r="F612" s="177"/>
      <c r="G612" s="177"/>
      <c r="H612" s="178"/>
      <c r="I612" s="178"/>
      <c r="J612" s="178"/>
      <c r="K612" s="178"/>
      <c r="L612" s="178"/>
      <c r="M612" s="177"/>
      <c r="N612" s="178"/>
      <c r="O612" s="178"/>
      <c r="P612" s="178"/>
      <c r="Q612" s="179"/>
      <c r="R612" s="178"/>
      <c r="S612" s="178"/>
      <c r="T612" s="178"/>
      <c r="U612" s="178"/>
    </row>
    <row r="613" spans="3:21" ht="18.75" x14ac:dyDescent="0.3">
      <c r="C613" s="294">
        <f t="shared" si="524"/>
        <v>1</v>
      </c>
      <c r="D613" s="113" t="s">
        <v>118</v>
      </c>
      <c r="E613" s="76" t="s">
        <v>56</v>
      </c>
      <c r="F613" s="176">
        <f t="shared" ref="F613:U613" si="527">F8*$E$608</f>
        <v>0</v>
      </c>
      <c r="G613" s="176">
        <f t="shared" ref="G613:L619" si="528">G8*$E$608</f>
        <v>0</v>
      </c>
      <c r="H613" s="176">
        <f t="shared" si="528"/>
        <v>0</v>
      </c>
      <c r="I613" s="176">
        <f t="shared" si="528"/>
        <v>0</v>
      </c>
      <c r="J613" s="176">
        <f t="shared" si="528"/>
        <v>0</v>
      </c>
      <c r="K613" s="176">
        <f t="shared" si="528"/>
        <v>0</v>
      </c>
      <c r="L613" s="176">
        <f t="shared" si="528"/>
        <v>0</v>
      </c>
      <c r="M613" s="176">
        <f t="shared" si="527"/>
        <v>0</v>
      </c>
      <c r="N613" s="176">
        <f t="shared" si="527"/>
        <v>0</v>
      </c>
      <c r="O613" s="176">
        <f t="shared" ref="O613:O619" si="529">O8*$E$608</f>
        <v>0</v>
      </c>
      <c r="P613" s="176">
        <f t="shared" si="527"/>
        <v>0</v>
      </c>
      <c r="Q613" s="175">
        <f t="shared" ref="Q613:Q619" si="530">SUM(F613:P613)</f>
        <v>0</v>
      </c>
      <c r="R613" s="176">
        <f t="shared" si="527"/>
        <v>0</v>
      </c>
      <c r="S613" s="176">
        <f t="shared" si="527"/>
        <v>0</v>
      </c>
      <c r="T613" s="176">
        <f t="shared" si="527"/>
        <v>0</v>
      </c>
      <c r="U613" s="176">
        <f t="shared" si="527"/>
        <v>0</v>
      </c>
    </row>
    <row r="614" spans="3:21" ht="18.75" x14ac:dyDescent="0.3">
      <c r="C614" s="294">
        <f t="shared" si="524"/>
        <v>1</v>
      </c>
      <c r="D614" s="113" t="s">
        <v>119</v>
      </c>
      <c r="E614" s="76" t="s">
        <v>55</v>
      </c>
      <c r="F614" s="176">
        <f t="shared" ref="F614:U614" si="531">F9*$E$608</f>
        <v>0</v>
      </c>
      <c r="G614" s="176">
        <f t="shared" si="528"/>
        <v>0</v>
      </c>
      <c r="H614" s="176">
        <f t="shared" si="528"/>
        <v>0</v>
      </c>
      <c r="I614" s="176">
        <f t="shared" si="528"/>
        <v>0</v>
      </c>
      <c r="J614" s="176">
        <f t="shared" si="528"/>
        <v>0</v>
      </c>
      <c r="K614" s="176">
        <f t="shared" si="528"/>
        <v>0</v>
      </c>
      <c r="L614" s="176">
        <f t="shared" si="528"/>
        <v>0</v>
      </c>
      <c r="M614" s="176">
        <f t="shared" si="531"/>
        <v>0</v>
      </c>
      <c r="N614" s="176">
        <f t="shared" si="531"/>
        <v>0</v>
      </c>
      <c r="O614" s="176">
        <f t="shared" si="529"/>
        <v>0</v>
      </c>
      <c r="P614" s="176">
        <f t="shared" si="531"/>
        <v>0</v>
      </c>
      <c r="Q614" s="175">
        <f t="shared" si="530"/>
        <v>0</v>
      </c>
      <c r="R614" s="176">
        <f t="shared" si="531"/>
        <v>0</v>
      </c>
      <c r="S614" s="176">
        <f t="shared" si="531"/>
        <v>0</v>
      </c>
      <c r="T614" s="176">
        <f t="shared" si="531"/>
        <v>0</v>
      </c>
      <c r="U614" s="176">
        <f t="shared" si="531"/>
        <v>0</v>
      </c>
    </row>
    <row r="615" spans="3:21" ht="18.75" x14ac:dyDescent="0.3">
      <c r="C615" s="294">
        <f t="shared" si="524"/>
        <v>1</v>
      </c>
      <c r="D615" s="113" t="s">
        <v>120</v>
      </c>
      <c r="E615" s="76" t="s">
        <v>54</v>
      </c>
      <c r="F615" s="176">
        <f t="shared" ref="F615:U615" si="532">F10*$E$608</f>
        <v>0</v>
      </c>
      <c r="G615" s="176">
        <f t="shared" si="528"/>
        <v>0</v>
      </c>
      <c r="H615" s="176">
        <f t="shared" si="528"/>
        <v>0</v>
      </c>
      <c r="I615" s="176">
        <f t="shared" si="528"/>
        <v>0</v>
      </c>
      <c r="J615" s="176">
        <f t="shared" si="528"/>
        <v>0</v>
      </c>
      <c r="K615" s="176">
        <f t="shared" si="528"/>
        <v>0</v>
      </c>
      <c r="L615" s="176">
        <f t="shared" si="528"/>
        <v>0</v>
      </c>
      <c r="M615" s="176">
        <f t="shared" si="532"/>
        <v>0</v>
      </c>
      <c r="N615" s="176">
        <f t="shared" si="532"/>
        <v>0</v>
      </c>
      <c r="O615" s="176">
        <f t="shared" si="529"/>
        <v>0</v>
      </c>
      <c r="P615" s="176">
        <f t="shared" si="532"/>
        <v>0</v>
      </c>
      <c r="Q615" s="175">
        <f t="shared" si="530"/>
        <v>0</v>
      </c>
      <c r="R615" s="176">
        <f t="shared" si="532"/>
        <v>0</v>
      </c>
      <c r="S615" s="176">
        <f t="shared" si="532"/>
        <v>0</v>
      </c>
      <c r="T615" s="176">
        <f t="shared" si="532"/>
        <v>0</v>
      </c>
      <c r="U615" s="176">
        <f t="shared" si="532"/>
        <v>0</v>
      </c>
    </row>
    <row r="616" spans="3:21" ht="18.75" x14ac:dyDescent="0.3">
      <c r="C616" s="294">
        <f t="shared" si="524"/>
        <v>1</v>
      </c>
      <c r="D616" s="113" t="s">
        <v>121</v>
      </c>
      <c r="E616" s="76" t="s">
        <v>53</v>
      </c>
      <c r="F616" s="176">
        <f t="shared" ref="F616:U616" si="533">F11*$E$608</f>
        <v>0</v>
      </c>
      <c r="G616" s="176">
        <f t="shared" si="528"/>
        <v>0</v>
      </c>
      <c r="H616" s="176">
        <f t="shared" si="528"/>
        <v>0</v>
      </c>
      <c r="I616" s="176">
        <f t="shared" si="528"/>
        <v>0</v>
      </c>
      <c r="J616" s="176">
        <f t="shared" si="528"/>
        <v>0</v>
      </c>
      <c r="K616" s="176">
        <f t="shared" si="528"/>
        <v>0</v>
      </c>
      <c r="L616" s="176">
        <f t="shared" si="528"/>
        <v>0</v>
      </c>
      <c r="M616" s="176">
        <f t="shared" si="533"/>
        <v>0</v>
      </c>
      <c r="N616" s="176">
        <f t="shared" si="533"/>
        <v>0</v>
      </c>
      <c r="O616" s="176">
        <f t="shared" si="529"/>
        <v>0</v>
      </c>
      <c r="P616" s="176">
        <f t="shared" si="533"/>
        <v>0</v>
      </c>
      <c r="Q616" s="175">
        <f t="shared" si="530"/>
        <v>0</v>
      </c>
      <c r="R616" s="176">
        <f t="shared" si="533"/>
        <v>0</v>
      </c>
      <c r="S616" s="176">
        <f t="shared" si="533"/>
        <v>0</v>
      </c>
      <c r="T616" s="176">
        <f t="shared" si="533"/>
        <v>0</v>
      </c>
      <c r="U616" s="176">
        <f t="shared" si="533"/>
        <v>0</v>
      </c>
    </row>
    <row r="617" spans="3:21" ht="18.75" x14ac:dyDescent="0.3">
      <c r="C617" s="294">
        <f t="shared" si="524"/>
        <v>1</v>
      </c>
      <c r="D617" s="113" t="s">
        <v>122</v>
      </c>
      <c r="E617" s="76" t="s">
        <v>52</v>
      </c>
      <c r="F617" s="176">
        <f t="shared" ref="F617:U617" si="534">F12*$E$608</f>
        <v>0</v>
      </c>
      <c r="G617" s="176">
        <f t="shared" si="528"/>
        <v>0</v>
      </c>
      <c r="H617" s="176">
        <f t="shared" si="528"/>
        <v>0</v>
      </c>
      <c r="I617" s="176">
        <f t="shared" si="528"/>
        <v>0</v>
      </c>
      <c r="J617" s="176">
        <f t="shared" si="528"/>
        <v>0</v>
      </c>
      <c r="K617" s="176">
        <f t="shared" si="528"/>
        <v>0</v>
      </c>
      <c r="L617" s="176">
        <f t="shared" si="528"/>
        <v>0</v>
      </c>
      <c r="M617" s="176">
        <f t="shared" si="534"/>
        <v>0</v>
      </c>
      <c r="N617" s="176">
        <f t="shared" si="534"/>
        <v>0</v>
      </c>
      <c r="O617" s="176">
        <f t="shared" si="529"/>
        <v>0</v>
      </c>
      <c r="P617" s="176">
        <f t="shared" si="534"/>
        <v>0</v>
      </c>
      <c r="Q617" s="175">
        <f t="shared" si="530"/>
        <v>0</v>
      </c>
      <c r="R617" s="176">
        <f t="shared" si="534"/>
        <v>0</v>
      </c>
      <c r="S617" s="176">
        <f t="shared" si="534"/>
        <v>0</v>
      </c>
      <c r="T617" s="176">
        <f t="shared" si="534"/>
        <v>0</v>
      </c>
      <c r="U617" s="176">
        <f t="shared" si="534"/>
        <v>0</v>
      </c>
    </row>
    <row r="618" spans="3:21" ht="18.75" x14ac:dyDescent="0.3">
      <c r="C618" s="294">
        <f t="shared" si="524"/>
        <v>1</v>
      </c>
      <c r="D618" s="125" t="s">
        <v>123</v>
      </c>
      <c r="E618" s="76" t="s">
        <v>51</v>
      </c>
      <c r="F618" s="176">
        <f t="shared" ref="F618:U618" si="535">F13*$E$608</f>
        <v>0</v>
      </c>
      <c r="G618" s="176">
        <f t="shared" si="528"/>
        <v>0</v>
      </c>
      <c r="H618" s="176">
        <f t="shared" si="528"/>
        <v>0</v>
      </c>
      <c r="I618" s="176">
        <f t="shared" si="528"/>
        <v>0</v>
      </c>
      <c r="J618" s="176">
        <f t="shared" si="528"/>
        <v>0</v>
      </c>
      <c r="K618" s="176">
        <f t="shared" si="528"/>
        <v>0</v>
      </c>
      <c r="L618" s="176">
        <f t="shared" si="528"/>
        <v>0</v>
      </c>
      <c r="M618" s="176">
        <f t="shared" si="535"/>
        <v>0</v>
      </c>
      <c r="N618" s="176">
        <f t="shared" si="535"/>
        <v>0</v>
      </c>
      <c r="O618" s="176">
        <f t="shared" si="529"/>
        <v>0</v>
      </c>
      <c r="P618" s="176">
        <f t="shared" si="535"/>
        <v>0</v>
      </c>
      <c r="Q618" s="175">
        <f t="shared" si="530"/>
        <v>0</v>
      </c>
      <c r="R618" s="176">
        <f t="shared" si="535"/>
        <v>0</v>
      </c>
      <c r="S618" s="176">
        <f t="shared" si="535"/>
        <v>0</v>
      </c>
      <c r="T618" s="176">
        <f t="shared" si="535"/>
        <v>0</v>
      </c>
      <c r="U618" s="176">
        <f t="shared" si="535"/>
        <v>0</v>
      </c>
    </row>
    <row r="619" spans="3:21" ht="19.5" thickBot="1" x14ac:dyDescent="0.35">
      <c r="C619" s="294">
        <f t="shared" si="524"/>
        <v>1</v>
      </c>
      <c r="D619" s="114" t="s">
        <v>16</v>
      </c>
      <c r="E619" s="70" t="s">
        <v>50</v>
      </c>
      <c r="F619" s="176">
        <f t="shared" ref="F619:U619" si="536">F14*$E$608</f>
        <v>504614.63185573666</v>
      </c>
      <c r="G619" s="176">
        <f t="shared" si="528"/>
        <v>10024.089581597173</v>
      </c>
      <c r="H619" s="176">
        <f t="shared" si="528"/>
        <v>0</v>
      </c>
      <c r="I619" s="176">
        <f t="shared" si="528"/>
        <v>0</v>
      </c>
      <c r="J619" s="176">
        <f t="shared" si="528"/>
        <v>21400.826772303077</v>
      </c>
      <c r="K619" s="176">
        <f t="shared" si="528"/>
        <v>88.108134051747214</v>
      </c>
      <c r="L619" s="176">
        <f t="shared" si="528"/>
        <v>12.399342940729371</v>
      </c>
      <c r="M619" s="176">
        <f t="shared" si="536"/>
        <v>0</v>
      </c>
      <c r="N619" s="176">
        <f t="shared" si="536"/>
        <v>0</v>
      </c>
      <c r="O619" s="176">
        <f t="shared" si="529"/>
        <v>6413.1374312192884</v>
      </c>
      <c r="P619" s="176">
        <f t="shared" si="536"/>
        <v>109226.24993410065</v>
      </c>
      <c r="Q619" s="175">
        <f t="shared" si="530"/>
        <v>651779.44305194949</v>
      </c>
      <c r="R619" s="176">
        <f t="shared" si="536"/>
        <v>0</v>
      </c>
      <c r="S619" s="176">
        <f t="shared" si="536"/>
        <v>45320.404875329077</v>
      </c>
      <c r="T619" s="176">
        <f t="shared" ca="1" si="536"/>
        <v>13144.135910478251</v>
      </c>
      <c r="U619" s="176">
        <f t="shared" ca="1" si="536"/>
        <v>748.99470340017513</v>
      </c>
    </row>
    <row r="620" spans="3:21" ht="19.5" thickBot="1" x14ac:dyDescent="0.3">
      <c r="C620" s="294">
        <f t="shared" si="524"/>
        <v>1</v>
      </c>
      <c r="D620" s="115" t="s">
        <v>124</v>
      </c>
      <c r="E620" s="116" t="s">
        <v>49</v>
      </c>
      <c r="F620" s="269">
        <f t="shared" ref="F620:U620" si="537">SUBTOTAL(9,F611:F619)</f>
        <v>5230708.8390908474</v>
      </c>
      <c r="G620" s="269">
        <f t="shared" ref="G620:L620" si="538">SUBTOTAL(9,G611:G619)</f>
        <v>116300.92395908225</v>
      </c>
      <c r="H620" s="269">
        <f t="shared" si="538"/>
        <v>0</v>
      </c>
      <c r="I620" s="269">
        <f t="shared" si="538"/>
        <v>135451.30552303579</v>
      </c>
      <c r="J620" s="269">
        <f t="shared" si="538"/>
        <v>36929.625345602428</v>
      </c>
      <c r="K620" s="269">
        <f t="shared" si="538"/>
        <v>4801.1785671256675</v>
      </c>
      <c r="L620" s="269">
        <f t="shared" si="538"/>
        <v>12.399342940729371</v>
      </c>
      <c r="M620" s="269">
        <f t="shared" si="537"/>
        <v>0</v>
      </c>
      <c r="N620" s="269">
        <f t="shared" si="537"/>
        <v>0</v>
      </c>
      <c r="O620" s="269">
        <f>SUBTOTAL(9,O611:O619)</f>
        <v>6545.8130948512326</v>
      </c>
      <c r="P620" s="269">
        <f t="shared" si="537"/>
        <v>109226.24993410065</v>
      </c>
      <c r="Q620" s="183">
        <f>SUBTOTAL(9,Q611:Q619)</f>
        <v>5639976.3348575868</v>
      </c>
      <c r="R620" s="269">
        <f t="shared" si="537"/>
        <v>0</v>
      </c>
      <c r="S620" s="269">
        <f t="shared" si="537"/>
        <v>425976.32994058111</v>
      </c>
      <c r="T620" s="269">
        <f t="shared" ca="1" si="537"/>
        <v>175165.56109226655</v>
      </c>
      <c r="U620" s="269">
        <f t="shared" ca="1" si="537"/>
        <v>121160.11081848259</v>
      </c>
    </row>
    <row r="621" spans="3:21" ht="15.75" hidden="1" thickBot="1" x14ac:dyDescent="0.3"/>
    <row r="622" spans="3:21" ht="93.75" x14ac:dyDescent="0.25">
      <c r="C622" s="294">
        <f>IF($E$622&gt;0,1,0)</f>
        <v>1</v>
      </c>
      <c r="D622" s="96" t="str">
        <f>A47</f>
        <v>Rockland</v>
      </c>
      <c r="E622" s="166">
        <f>IFERROR(SUMIF(A:A,D622,B:B),0)</f>
        <v>8.6451829716716073E-3</v>
      </c>
      <c r="F622" s="98" t="s">
        <v>356</v>
      </c>
      <c r="G622" s="98" t="s">
        <v>373</v>
      </c>
      <c r="H622" s="98" t="s">
        <v>358</v>
      </c>
      <c r="I622" s="98" t="s">
        <v>109</v>
      </c>
      <c r="J622" s="98" t="s">
        <v>111</v>
      </c>
      <c r="K622" s="98" t="s">
        <v>469</v>
      </c>
      <c r="L622" s="98" t="s">
        <v>470</v>
      </c>
      <c r="M622" s="98" t="s">
        <v>357</v>
      </c>
      <c r="N622" s="557" t="s">
        <v>471</v>
      </c>
      <c r="O622" s="557" t="s">
        <v>473</v>
      </c>
      <c r="P622" s="98" t="s">
        <v>110</v>
      </c>
      <c r="Q622" s="99" t="s">
        <v>116</v>
      </c>
      <c r="R622" s="98" t="s">
        <v>112</v>
      </c>
      <c r="S622" s="98" t="s">
        <v>113</v>
      </c>
      <c r="T622" s="98" t="s">
        <v>114</v>
      </c>
      <c r="U622" s="98" t="s">
        <v>115</v>
      </c>
    </row>
    <row r="623" spans="3:21" ht="18.75" x14ac:dyDescent="0.25">
      <c r="C623" s="294">
        <f>C622</f>
        <v>1</v>
      </c>
      <c r="D623" s="101"/>
      <c r="E623" s="102"/>
      <c r="F623" s="84" t="s">
        <v>57</v>
      </c>
      <c r="G623" s="84" t="s">
        <v>56</v>
      </c>
      <c r="H623" s="84" t="s">
        <v>55</v>
      </c>
      <c r="I623" s="84" t="s">
        <v>54</v>
      </c>
      <c r="J623" s="84" t="s">
        <v>53</v>
      </c>
      <c r="K623" s="84" t="s">
        <v>52</v>
      </c>
      <c r="L623" s="84" t="s">
        <v>51</v>
      </c>
      <c r="M623" s="84" t="s">
        <v>50</v>
      </c>
      <c r="N623" s="84" t="s">
        <v>49</v>
      </c>
      <c r="O623" s="84" t="s">
        <v>47</v>
      </c>
      <c r="P623" s="84" t="s">
        <v>77</v>
      </c>
      <c r="Q623" s="84" t="s">
        <v>78</v>
      </c>
      <c r="R623" s="84" t="s">
        <v>79</v>
      </c>
      <c r="S623" s="84" t="s">
        <v>81</v>
      </c>
      <c r="T623" s="84" t="s">
        <v>83</v>
      </c>
      <c r="U623" s="84" t="s">
        <v>85</v>
      </c>
    </row>
    <row r="624" spans="3:21" ht="18.75" x14ac:dyDescent="0.25">
      <c r="C624" s="294">
        <f>C622</f>
        <v>1</v>
      </c>
      <c r="D624" s="103" t="s">
        <v>26</v>
      </c>
      <c r="E624" s="122"/>
      <c r="F624" s="123"/>
      <c r="G624" s="123"/>
      <c r="H624" s="107"/>
      <c r="I624" s="107"/>
      <c r="J624" s="107"/>
      <c r="K624" s="107"/>
      <c r="L624" s="107"/>
      <c r="M624" s="123"/>
      <c r="N624" s="107"/>
      <c r="O624" s="107"/>
      <c r="P624" s="107"/>
      <c r="Q624" s="108"/>
      <c r="R624" s="107"/>
      <c r="S624" s="107"/>
      <c r="T624" s="107"/>
      <c r="U624" s="107"/>
    </row>
    <row r="625" spans="3:21" ht="18.75" x14ac:dyDescent="0.25">
      <c r="C625" s="294">
        <f t="shared" ref="C625:C634" si="539">C623</f>
        <v>1</v>
      </c>
      <c r="D625" s="124" t="s">
        <v>105</v>
      </c>
      <c r="E625" s="76" t="s">
        <v>57</v>
      </c>
      <c r="F625" s="176">
        <f t="shared" ref="F625:L625" si="540">F6*$E$622</f>
        <v>609748.14165597572</v>
      </c>
      <c r="G625" s="176">
        <f t="shared" si="540"/>
        <v>13711.555339617822</v>
      </c>
      <c r="H625" s="176">
        <f t="shared" si="540"/>
        <v>0</v>
      </c>
      <c r="I625" s="176">
        <f t="shared" si="540"/>
        <v>17475.568240072149</v>
      </c>
      <c r="J625" s="176">
        <f t="shared" si="540"/>
        <v>2003.4844116572654</v>
      </c>
      <c r="K625" s="176">
        <f t="shared" si="540"/>
        <v>608.0678488509833</v>
      </c>
      <c r="L625" s="176">
        <f t="shared" si="540"/>
        <v>0</v>
      </c>
      <c r="M625" s="176">
        <f t="shared" ref="M625:U625" si="541">M6*$E$622</f>
        <v>0</v>
      </c>
      <c r="N625" s="176">
        <f t="shared" si="541"/>
        <v>0</v>
      </c>
      <c r="O625" s="176">
        <f>O6*$E$622</f>
        <v>17.117462283909781</v>
      </c>
      <c r="P625" s="176">
        <f t="shared" si="541"/>
        <v>0</v>
      </c>
      <c r="Q625" s="175">
        <f>SUM(F625:P625)</f>
        <v>643563.93495845783</v>
      </c>
      <c r="R625" s="176">
        <f t="shared" si="541"/>
        <v>0</v>
      </c>
      <c r="S625" s="176">
        <f t="shared" si="541"/>
        <v>49111.218003980677</v>
      </c>
      <c r="T625" s="176">
        <f t="shared" ca="1" si="541"/>
        <v>20903.574618087056</v>
      </c>
      <c r="U625" s="176">
        <f t="shared" ca="1" si="541"/>
        <v>15535.122887202517</v>
      </c>
    </row>
    <row r="626" spans="3:21" ht="18.75" x14ac:dyDescent="0.25">
      <c r="C626" s="294">
        <f t="shared" si="539"/>
        <v>1</v>
      </c>
      <c r="D626" s="112" t="s">
        <v>31</v>
      </c>
      <c r="E626" s="76"/>
      <c r="F626" s="177"/>
      <c r="G626" s="177"/>
      <c r="H626" s="178"/>
      <c r="I626" s="178"/>
      <c r="J626" s="178"/>
      <c r="K626" s="178"/>
      <c r="L626" s="178"/>
      <c r="M626" s="177"/>
      <c r="N626" s="178"/>
      <c r="O626" s="178"/>
      <c r="P626" s="178"/>
      <c r="Q626" s="179"/>
      <c r="R626" s="178"/>
      <c r="S626" s="178"/>
      <c r="T626" s="178"/>
      <c r="U626" s="178"/>
    </row>
    <row r="627" spans="3:21" ht="18.75" x14ac:dyDescent="0.3">
      <c r="C627" s="294">
        <f t="shared" si="539"/>
        <v>1</v>
      </c>
      <c r="D627" s="113" t="s">
        <v>118</v>
      </c>
      <c r="E627" s="76" t="s">
        <v>56</v>
      </c>
      <c r="F627" s="176">
        <f t="shared" ref="F627:U627" si="542">F8*$E$622</f>
        <v>0</v>
      </c>
      <c r="G627" s="176">
        <f t="shared" ref="G627:L633" si="543">G8*$E$622</f>
        <v>0</v>
      </c>
      <c r="H627" s="176">
        <f t="shared" si="543"/>
        <v>0</v>
      </c>
      <c r="I627" s="176">
        <f t="shared" si="543"/>
        <v>0</v>
      </c>
      <c r="J627" s="176">
        <f t="shared" si="543"/>
        <v>0</v>
      </c>
      <c r="K627" s="176">
        <f t="shared" si="543"/>
        <v>0</v>
      </c>
      <c r="L627" s="176">
        <f t="shared" si="543"/>
        <v>0</v>
      </c>
      <c r="M627" s="176">
        <f t="shared" si="542"/>
        <v>0</v>
      </c>
      <c r="N627" s="176">
        <f t="shared" si="542"/>
        <v>0</v>
      </c>
      <c r="O627" s="176">
        <f t="shared" ref="O627:O633" si="544">O8*$E$622</f>
        <v>0</v>
      </c>
      <c r="P627" s="176">
        <f t="shared" si="542"/>
        <v>0</v>
      </c>
      <c r="Q627" s="175">
        <f t="shared" ref="Q627:Q633" si="545">SUM(F627:P627)</f>
        <v>0</v>
      </c>
      <c r="R627" s="176">
        <f t="shared" si="542"/>
        <v>0</v>
      </c>
      <c r="S627" s="176">
        <f t="shared" si="542"/>
        <v>0</v>
      </c>
      <c r="T627" s="176">
        <f t="shared" si="542"/>
        <v>0</v>
      </c>
      <c r="U627" s="176">
        <f t="shared" si="542"/>
        <v>0</v>
      </c>
    </row>
    <row r="628" spans="3:21" ht="18.75" x14ac:dyDescent="0.3">
      <c r="C628" s="294">
        <f t="shared" si="539"/>
        <v>1</v>
      </c>
      <c r="D628" s="113" t="s">
        <v>119</v>
      </c>
      <c r="E628" s="76" t="s">
        <v>55</v>
      </c>
      <c r="F628" s="176">
        <f t="shared" ref="F628:U628" si="546">F9*$E$622</f>
        <v>0</v>
      </c>
      <c r="G628" s="176">
        <f t="shared" si="543"/>
        <v>0</v>
      </c>
      <c r="H628" s="176">
        <f t="shared" si="543"/>
        <v>0</v>
      </c>
      <c r="I628" s="176">
        <f t="shared" si="543"/>
        <v>0</v>
      </c>
      <c r="J628" s="176">
        <f t="shared" si="543"/>
        <v>0</v>
      </c>
      <c r="K628" s="176">
        <f t="shared" si="543"/>
        <v>0</v>
      </c>
      <c r="L628" s="176">
        <f t="shared" si="543"/>
        <v>0</v>
      </c>
      <c r="M628" s="176">
        <f t="shared" si="546"/>
        <v>0</v>
      </c>
      <c r="N628" s="176">
        <f t="shared" si="546"/>
        <v>0</v>
      </c>
      <c r="O628" s="176">
        <f t="shared" si="544"/>
        <v>0</v>
      </c>
      <c r="P628" s="176">
        <f t="shared" si="546"/>
        <v>0</v>
      </c>
      <c r="Q628" s="175">
        <f t="shared" si="545"/>
        <v>0</v>
      </c>
      <c r="R628" s="176">
        <f t="shared" si="546"/>
        <v>0</v>
      </c>
      <c r="S628" s="176">
        <f t="shared" si="546"/>
        <v>0</v>
      </c>
      <c r="T628" s="176">
        <f t="shared" si="546"/>
        <v>0</v>
      </c>
      <c r="U628" s="176">
        <f t="shared" si="546"/>
        <v>0</v>
      </c>
    </row>
    <row r="629" spans="3:21" ht="18.75" x14ac:dyDescent="0.3">
      <c r="C629" s="294">
        <f t="shared" si="539"/>
        <v>1</v>
      </c>
      <c r="D629" s="113" t="s">
        <v>120</v>
      </c>
      <c r="E629" s="76" t="s">
        <v>54</v>
      </c>
      <c r="F629" s="176">
        <f t="shared" ref="F629:U629" si="547">F10*$E$622</f>
        <v>0</v>
      </c>
      <c r="G629" s="176">
        <f t="shared" si="543"/>
        <v>0</v>
      </c>
      <c r="H629" s="176">
        <f t="shared" si="543"/>
        <v>0</v>
      </c>
      <c r="I629" s="176">
        <f t="shared" si="543"/>
        <v>0</v>
      </c>
      <c r="J629" s="176">
        <f t="shared" si="543"/>
        <v>0</v>
      </c>
      <c r="K629" s="176">
        <f t="shared" si="543"/>
        <v>0</v>
      </c>
      <c r="L629" s="176">
        <f t="shared" si="543"/>
        <v>0</v>
      </c>
      <c r="M629" s="176">
        <f t="shared" si="547"/>
        <v>0</v>
      </c>
      <c r="N629" s="176">
        <f t="shared" si="547"/>
        <v>0</v>
      </c>
      <c r="O629" s="176">
        <f t="shared" si="544"/>
        <v>0</v>
      </c>
      <c r="P629" s="176">
        <f t="shared" si="547"/>
        <v>0</v>
      </c>
      <c r="Q629" s="175">
        <f t="shared" si="545"/>
        <v>0</v>
      </c>
      <c r="R629" s="176">
        <f t="shared" si="547"/>
        <v>0</v>
      </c>
      <c r="S629" s="176">
        <f t="shared" si="547"/>
        <v>0</v>
      </c>
      <c r="T629" s="176">
        <f t="shared" si="547"/>
        <v>0</v>
      </c>
      <c r="U629" s="176">
        <f t="shared" si="547"/>
        <v>0</v>
      </c>
    </row>
    <row r="630" spans="3:21" ht="18.75" x14ac:dyDescent="0.3">
      <c r="C630" s="294">
        <f t="shared" si="539"/>
        <v>1</v>
      </c>
      <c r="D630" s="113" t="s">
        <v>121</v>
      </c>
      <c r="E630" s="76" t="s">
        <v>53</v>
      </c>
      <c r="F630" s="176">
        <f t="shared" ref="F630:U630" si="548">F11*$E$622</f>
        <v>0</v>
      </c>
      <c r="G630" s="176">
        <f t="shared" si="543"/>
        <v>0</v>
      </c>
      <c r="H630" s="176">
        <f t="shared" si="543"/>
        <v>0</v>
      </c>
      <c r="I630" s="176">
        <f t="shared" si="543"/>
        <v>0</v>
      </c>
      <c r="J630" s="176">
        <f t="shared" si="543"/>
        <v>0</v>
      </c>
      <c r="K630" s="176">
        <f t="shared" si="543"/>
        <v>0</v>
      </c>
      <c r="L630" s="176">
        <f t="shared" si="543"/>
        <v>0</v>
      </c>
      <c r="M630" s="176">
        <f t="shared" si="548"/>
        <v>0</v>
      </c>
      <c r="N630" s="176">
        <f t="shared" si="548"/>
        <v>0</v>
      </c>
      <c r="O630" s="176">
        <f t="shared" si="544"/>
        <v>0</v>
      </c>
      <c r="P630" s="176">
        <f t="shared" si="548"/>
        <v>0</v>
      </c>
      <c r="Q630" s="175">
        <f t="shared" si="545"/>
        <v>0</v>
      </c>
      <c r="R630" s="176">
        <f t="shared" si="548"/>
        <v>0</v>
      </c>
      <c r="S630" s="176">
        <f t="shared" si="548"/>
        <v>0</v>
      </c>
      <c r="T630" s="176">
        <f t="shared" si="548"/>
        <v>0</v>
      </c>
      <c r="U630" s="176">
        <f t="shared" si="548"/>
        <v>0</v>
      </c>
    </row>
    <row r="631" spans="3:21" ht="18.75" x14ac:dyDescent="0.3">
      <c r="C631" s="294">
        <f t="shared" si="539"/>
        <v>1</v>
      </c>
      <c r="D631" s="113" t="s">
        <v>122</v>
      </c>
      <c r="E631" s="76" t="s">
        <v>52</v>
      </c>
      <c r="F631" s="176">
        <f t="shared" ref="F631:U631" si="549">F12*$E$622</f>
        <v>0</v>
      </c>
      <c r="G631" s="176">
        <f t="shared" si="543"/>
        <v>0</v>
      </c>
      <c r="H631" s="176">
        <f t="shared" si="543"/>
        <v>0</v>
      </c>
      <c r="I631" s="176">
        <f t="shared" si="543"/>
        <v>0</v>
      </c>
      <c r="J631" s="176">
        <f t="shared" si="543"/>
        <v>0</v>
      </c>
      <c r="K631" s="176">
        <f t="shared" si="543"/>
        <v>0</v>
      </c>
      <c r="L631" s="176">
        <f t="shared" si="543"/>
        <v>0</v>
      </c>
      <c r="M631" s="176">
        <f t="shared" si="549"/>
        <v>0</v>
      </c>
      <c r="N631" s="176">
        <f t="shared" si="549"/>
        <v>0</v>
      </c>
      <c r="O631" s="176">
        <f t="shared" si="544"/>
        <v>0</v>
      </c>
      <c r="P631" s="176">
        <f t="shared" si="549"/>
        <v>0</v>
      </c>
      <c r="Q631" s="175">
        <f t="shared" si="545"/>
        <v>0</v>
      </c>
      <c r="R631" s="176">
        <f t="shared" si="549"/>
        <v>0</v>
      </c>
      <c r="S631" s="176">
        <f t="shared" si="549"/>
        <v>0</v>
      </c>
      <c r="T631" s="176">
        <f t="shared" si="549"/>
        <v>0</v>
      </c>
      <c r="U631" s="176">
        <f t="shared" si="549"/>
        <v>0</v>
      </c>
    </row>
    <row r="632" spans="3:21" ht="18.75" x14ac:dyDescent="0.3">
      <c r="C632" s="294">
        <f t="shared" si="539"/>
        <v>1</v>
      </c>
      <c r="D632" s="125" t="s">
        <v>123</v>
      </c>
      <c r="E632" s="76" t="s">
        <v>51</v>
      </c>
      <c r="F632" s="176">
        <f t="shared" ref="F632:U632" si="550">F13*$E$622</f>
        <v>0</v>
      </c>
      <c r="G632" s="176">
        <f t="shared" si="543"/>
        <v>0</v>
      </c>
      <c r="H632" s="176">
        <f t="shared" si="543"/>
        <v>0</v>
      </c>
      <c r="I632" s="176">
        <f t="shared" si="543"/>
        <v>0</v>
      </c>
      <c r="J632" s="176">
        <f t="shared" si="543"/>
        <v>0</v>
      </c>
      <c r="K632" s="176">
        <f t="shared" si="543"/>
        <v>0</v>
      </c>
      <c r="L632" s="176">
        <f t="shared" si="543"/>
        <v>0</v>
      </c>
      <c r="M632" s="176">
        <f t="shared" si="550"/>
        <v>0</v>
      </c>
      <c r="N632" s="176">
        <f t="shared" si="550"/>
        <v>0</v>
      </c>
      <c r="O632" s="176">
        <f t="shared" si="544"/>
        <v>0</v>
      </c>
      <c r="P632" s="176">
        <f t="shared" si="550"/>
        <v>0</v>
      </c>
      <c r="Q632" s="175">
        <f t="shared" si="545"/>
        <v>0</v>
      </c>
      <c r="R632" s="176">
        <f t="shared" si="550"/>
        <v>0</v>
      </c>
      <c r="S632" s="176">
        <f t="shared" si="550"/>
        <v>0</v>
      </c>
      <c r="T632" s="176">
        <f t="shared" si="550"/>
        <v>0</v>
      </c>
      <c r="U632" s="176">
        <f t="shared" si="550"/>
        <v>0</v>
      </c>
    </row>
    <row r="633" spans="3:21" ht="19.5" thickBot="1" x14ac:dyDescent="0.35">
      <c r="C633" s="294">
        <f t="shared" si="539"/>
        <v>1</v>
      </c>
      <c r="D633" s="114" t="s">
        <v>16</v>
      </c>
      <c r="E633" s="70" t="s">
        <v>50</v>
      </c>
      <c r="F633" s="176">
        <f t="shared" ref="F633:U633" si="551">F14*$E$622</f>
        <v>65104.041632393782</v>
      </c>
      <c r="G633" s="176">
        <f t="shared" si="543"/>
        <v>1293.2814552902623</v>
      </c>
      <c r="H633" s="176">
        <f t="shared" si="543"/>
        <v>0</v>
      </c>
      <c r="I633" s="176">
        <f t="shared" si="543"/>
        <v>0</v>
      </c>
      <c r="J633" s="176">
        <f t="shared" si="543"/>
        <v>2761.077918069544</v>
      </c>
      <c r="K633" s="176">
        <f t="shared" si="543"/>
        <v>11.367477804522707</v>
      </c>
      <c r="L633" s="176">
        <f t="shared" si="543"/>
        <v>1.5997303448354137</v>
      </c>
      <c r="M633" s="176">
        <f t="shared" si="551"/>
        <v>0</v>
      </c>
      <c r="N633" s="176">
        <f t="shared" si="551"/>
        <v>0</v>
      </c>
      <c r="O633" s="176">
        <f t="shared" si="544"/>
        <v>827.40598460436195</v>
      </c>
      <c r="P633" s="176">
        <f t="shared" si="551"/>
        <v>14092.081113281924</v>
      </c>
      <c r="Q633" s="175">
        <f t="shared" si="545"/>
        <v>84090.85531178923</v>
      </c>
      <c r="R633" s="176">
        <f t="shared" si="551"/>
        <v>0</v>
      </c>
      <c r="S633" s="176">
        <f t="shared" si="551"/>
        <v>5847.1184534416971</v>
      </c>
      <c r="T633" s="176">
        <f t="shared" ca="1" si="551"/>
        <v>1695.8215587023703</v>
      </c>
      <c r="U633" s="176">
        <f t="shared" ca="1" si="551"/>
        <v>96.633310400218591</v>
      </c>
    </row>
    <row r="634" spans="3:21" ht="19.5" thickBot="1" x14ac:dyDescent="0.3">
      <c r="C634" s="294">
        <f t="shared" si="539"/>
        <v>1</v>
      </c>
      <c r="D634" s="115" t="s">
        <v>124</v>
      </c>
      <c r="E634" s="116" t="s">
        <v>49</v>
      </c>
      <c r="F634" s="269">
        <f t="shared" ref="F634:U634" si="552">SUBTOTAL(9,F625:F633)</f>
        <v>674852.18328836956</v>
      </c>
      <c r="G634" s="269">
        <f t="shared" ref="G634:L634" si="553">SUBTOTAL(9,G625:G633)</f>
        <v>15004.836794908084</v>
      </c>
      <c r="H634" s="269">
        <f t="shared" si="553"/>
        <v>0</v>
      </c>
      <c r="I634" s="269">
        <f t="shared" si="553"/>
        <v>17475.568240072149</v>
      </c>
      <c r="J634" s="269">
        <f t="shared" si="553"/>
        <v>4764.5623297268094</v>
      </c>
      <c r="K634" s="269">
        <f t="shared" si="553"/>
        <v>619.43532665550606</v>
      </c>
      <c r="L634" s="269">
        <f t="shared" si="553"/>
        <v>1.5997303448354137</v>
      </c>
      <c r="M634" s="269">
        <f t="shared" si="552"/>
        <v>0</v>
      </c>
      <c r="N634" s="269">
        <f t="shared" si="552"/>
        <v>0</v>
      </c>
      <c r="O634" s="269">
        <f>SUBTOTAL(9,O625:O633)</f>
        <v>844.52344688827168</v>
      </c>
      <c r="P634" s="269">
        <f t="shared" si="552"/>
        <v>14092.081113281924</v>
      </c>
      <c r="Q634" s="183">
        <f>SUBTOTAL(9,Q625:Q633)</f>
        <v>727654.79027024703</v>
      </c>
      <c r="R634" s="269">
        <f t="shared" si="552"/>
        <v>0</v>
      </c>
      <c r="S634" s="269">
        <f t="shared" si="552"/>
        <v>54958.336457422374</v>
      </c>
      <c r="T634" s="269">
        <f t="shared" ca="1" si="552"/>
        <v>22599.396176789425</v>
      </c>
      <c r="U634" s="269">
        <f t="shared" ca="1" si="552"/>
        <v>15631.756197602735</v>
      </c>
    </row>
    <row r="635" spans="3:21" ht="15.75" hidden="1" thickBot="1" x14ac:dyDescent="0.3"/>
    <row r="636" spans="3:21" ht="93.75" x14ac:dyDescent="0.25">
      <c r="C636" s="294">
        <f>IF($E$636&gt;0,1,0)</f>
        <v>1</v>
      </c>
      <c r="D636" s="96" t="str">
        <f>A48</f>
        <v>Saint Lawrence</v>
      </c>
      <c r="E636" s="166">
        <f>IFERROR(SUMIF(A:A,D636,B:B),0)</f>
        <v>2.5221917468452523E-3</v>
      </c>
      <c r="F636" s="98" t="s">
        <v>356</v>
      </c>
      <c r="G636" s="98" t="s">
        <v>373</v>
      </c>
      <c r="H636" s="98" t="s">
        <v>358</v>
      </c>
      <c r="I636" s="98" t="s">
        <v>109</v>
      </c>
      <c r="J636" s="98" t="s">
        <v>111</v>
      </c>
      <c r="K636" s="98" t="s">
        <v>469</v>
      </c>
      <c r="L636" s="98" t="s">
        <v>470</v>
      </c>
      <c r="M636" s="98" t="s">
        <v>357</v>
      </c>
      <c r="N636" s="557" t="s">
        <v>471</v>
      </c>
      <c r="O636" s="557" t="s">
        <v>473</v>
      </c>
      <c r="P636" s="98" t="s">
        <v>110</v>
      </c>
      <c r="Q636" s="99" t="s">
        <v>116</v>
      </c>
      <c r="R636" s="98" t="s">
        <v>112</v>
      </c>
      <c r="S636" s="98" t="s">
        <v>113</v>
      </c>
      <c r="T636" s="98" t="s">
        <v>114</v>
      </c>
      <c r="U636" s="98" t="s">
        <v>115</v>
      </c>
    </row>
    <row r="637" spans="3:21" ht="18.75" x14ac:dyDescent="0.25">
      <c r="C637" s="294">
        <f>C636</f>
        <v>1</v>
      </c>
      <c r="D637" s="101"/>
      <c r="E637" s="102"/>
      <c r="F637" s="84" t="s">
        <v>57</v>
      </c>
      <c r="G637" s="84" t="s">
        <v>56</v>
      </c>
      <c r="H637" s="84" t="s">
        <v>55</v>
      </c>
      <c r="I637" s="84" t="s">
        <v>54</v>
      </c>
      <c r="J637" s="84" t="s">
        <v>53</v>
      </c>
      <c r="K637" s="84" t="s">
        <v>52</v>
      </c>
      <c r="L637" s="84" t="s">
        <v>51</v>
      </c>
      <c r="M637" s="84" t="s">
        <v>50</v>
      </c>
      <c r="N637" s="84" t="s">
        <v>49</v>
      </c>
      <c r="O637" s="84" t="s">
        <v>47</v>
      </c>
      <c r="P637" s="84" t="s">
        <v>77</v>
      </c>
      <c r="Q637" s="84" t="s">
        <v>78</v>
      </c>
      <c r="R637" s="84" t="s">
        <v>79</v>
      </c>
      <c r="S637" s="84" t="s">
        <v>81</v>
      </c>
      <c r="T637" s="84" t="s">
        <v>83</v>
      </c>
      <c r="U637" s="84" t="s">
        <v>85</v>
      </c>
    </row>
    <row r="638" spans="3:21" ht="18.75" x14ac:dyDescent="0.25">
      <c r="C638" s="294">
        <f>C636</f>
        <v>1</v>
      </c>
      <c r="D638" s="103" t="s">
        <v>26</v>
      </c>
      <c r="E638" s="122"/>
      <c r="F638" s="123"/>
      <c r="G638" s="123"/>
      <c r="H638" s="107"/>
      <c r="I638" s="107"/>
      <c r="J638" s="107"/>
      <c r="K638" s="107"/>
      <c r="L638" s="107"/>
      <c r="M638" s="123"/>
      <c r="N638" s="107"/>
      <c r="O638" s="107"/>
      <c r="P638" s="107"/>
      <c r="Q638" s="108"/>
      <c r="R638" s="107"/>
      <c r="S638" s="107"/>
      <c r="T638" s="107"/>
      <c r="U638" s="107"/>
    </row>
    <row r="639" spans="3:21" ht="18.75" x14ac:dyDescent="0.25">
      <c r="C639" s="294">
        <f t="shared" ref="C639:C648" si="554">C637</f>
        <v>1</v>
      </c>
      <c r="D639" s="124" t="s">
        <v>105</v>
      </c>
      <c r="E639" s="76" t="s">
        <v>57</v>
      </c>
      <c r="F639" s="176">
        <f t="shared" ref="F639:L639" si="555">F6*$E$636</f>
        <v>177891.17194839055</v>
      </c>
      <c r="G639" s="176">
        <f t="shared" si="555"/>
        <v>4000.2822181228071</v>
      </c>
      <c r="H639" s="176">
        <f t="shared" si="555"/>
        <v>0</v>
      </c>
      <c r="I639" s="176">
        <f t="shared" si="555"/>
        <v>5098.4153986064721</v>
      </c>
      <c r="J639" s="176">
        <f t="shared" si="555"/>
        <v>584.50721801646318</v>
      </c>
      <c r="K639" s="176">
        <f t="shared" si="555"/>
        <v>177.40095437186008</v>
      </c>
      <c r="L639" s="176">
        <f t="shared" si="555"/>
        <v>0</v>
      </c>
      <c r="M639" s="176">
        <f t="shared" ref="M639:U639" si="556">M6*$E$636</f>
        <v>0</v>
      </c>
      <c r="N639" s="176">
        <f t="shared" si="556"/>
        <v>0</v>
      </c>
      <c r="O639" s="176">
        <f>O6*$E$636</f>
        <v>4.9939396587535994</v>
      </c>
      <c r="P639" s="176">
        <f t="shared" si="556"/>
        <v>0</v>
      </c>
      <c r="Q639" s="175">
        <f>SUM(F639:P639)</f>
        <v>187756.77167716689</v>
      </c>
      <c r="R639" s="176">
        <f t="shared" si="556"/>
        <v>0</v>
      </c>
      <c r="S639" s="176">
        <f t="shared" si="556"/>
        <v>14327.968434334629</v>
      </c>
      <c r="T639" s="176">
        <f t="shared" ca="1" si="556"/>
        <v>6098.5202457905571</v>
      </c>
      <c r="U639" s="176">
        <f t="shared" ca="1" si="556"/>
        <v>4532.2995315104072</v>
      </c>
    </row>
    <row r="640" spans="3:21" ht="18.75" x14ac:dyDescent="0.25">
      <c r="C640" s="294">
        <f t="shared" si="554"/>
        <v>1</v>
      </c>
      <c r="D640" s="112" t="s">
        <v>31</v>
      </c>
      <c r="E640" s="76"/>
      <c r="F640" s="177"/>
      <c r="G640" s="177"/>
      <c r="H640" s="178"/>
      <c r="I640" s="178"/>
      <c r="J640" s="178"/>
      <c r="K640" s="178"/>
      <c r="L640" s="178"/>
      <c r="M640" s="177"/>
      <c r="N640" s="178"/>
      <c r="O640" s="178"/>
      <c r="P640" s="178"/>
      <c r="Q640" s="179"/>
      <c r="R640" s="178"/>
      <c r="S640" s="178"/>
      <c r="T640" s="178"/>
      <c r="U640" s="178"/>
    </row>
    <row r="641" spans="3:21" ht="18.75" x14ac:dyDescent="0.3">
      <c r="C641" s="294">
        <f t="shared" si="554"/>
        <v>1</v>
      </c>
      <c r="D641" s="113" t="s">
        <v>118</v>
      </c>
      <c r="E641" s="76" t="s">
        <v>56</v>
      </c>
      <c r="F641" s="176">
        <f t="shared" ref="F641:U641" si="557">F8*$E$636</f>
        <v>0</v>
      </c>
      <c r="G641" s="176">
        <f t="shared" ref="G641:L647" si="558">G8*$E$636</f>
        <v>0</v>
      </c>
      <c r="H641" s="176">
        <f t="shared" si="558"/>
        <v>0</v>
      </c>
      <c r="I641" s="176">
        <f t="shared" si="558"/>
        <v>0</v>
      </c>
      <c r="J641" s="176">
        <f t="shared" si="558"/>
        <v>0</v>
      </c>
      <c r="K641" s="176">
        <f t="shared" si="558"/>
        <v>0</v>
      </c>
      <c r="L641" s="176">
        <f t="shared" si="558"/>
        <v>0</v>
      </c>
      <c r="M641" s="176">
        <f t="shared" si="557"/>
        <v>0</v>
      </c>
      <c r="N641" s="176">
        <f t="shared" si="557"/>
        <v>0</v>
      </c>
      <c r="O641" s="176">
        <f t="shared" ref="O641:O647" si="559">O8*$E$636</f>
        <v>0</v>
      </c>
      <c r="P641" s="176">
        <f t="shared" si="557"/>
        <v>0</v>
      </c>
      <c r="Q641" s="175">
        <f t="shared" ref="Q641:Q647" si="560">SUM(F641:P641)</f>
        <v>0</v>
      </c>
      <c r="R641" s="176">
        <f t="shared" si="557"/>
        <v>0</v>
      </c>
      <c r="S641" s="176">
        <f t="shared" si="557"/>
        <v>0</v>
      </c>
      <c r="T641" s="176">
        <f t="shared" si="557"/>
        <v>0</v>
      </c>
      <c r="U641" s="176">
        <f t="shared" si="557"/>
        <v>0</v>
      </c>
    </row>
    <row r="642" spans="3:21" ht="18.75" x14ac:dyDescent="0.3">
      <c r="C642" s="294">
        <f t="shared" si="554"/>
        <v>1</v>
      </c>
      <c r="D642" s="113" t="s">
        <v>119</v>
      </c>
      <c r="E642" s="76" t="s">
        <v>55</v>
      </c>
      <c r="F642" s="176">
        <f t="shared" ref="F642:U642" si="561">F9*$E$636</f>
        <v>0</v>
      </c>
      <c r="G642" s="176">
        <f t="shared" si="558"/>
        <v>0</v>
      </c>
      <c r="H642" s="176">
        <f t="shared" si="558"/>
        <v>0</v>
      </c>
      <c r="I642" s="176">
        <f t="shared" si="558"/>
        <v>0</v>
      </c>
      <c r="J642" s="176">
        <f t="shared" si="558"/>
        <v>0</v>
      </c>
      <c r="K642" s="176">
        <f t="shared" si="558"/>
        <v>0</v>
      </c>
      <c r="L642" s="176">
        <f t="shared" si="558"/>
        <v>0</v>
      </c>
      <c r="M642" s="176">
        <f t="shared" si="561"/>
        <v>0</v>
      </c>
      <c r="N642" s="176">
        <f t="shared" si="561"/>
        <v>0</v>
      </c>
      <c r="O642" s="176">
        <f t="shared" si="559"/>
        <v>0</v>
      </c>
      <c r="P642" s="176">
        <f t="shared" si="561"/>
        <v>0</v>
      </c>
      <c r="Q642" s="175">
        <f t="shared" si="560"/>
        <v>0</v>
      </c>
      <c r="R642" s="176">
        <f t="shared" si="561"/>
        <v>0</v>
      </c>
      <c r="S642" s="176">
        <f t="shared" si="561"/>
        <v>0</v>
      </c>
      <c r="T642" s="176">
        <f t="shared" si="561"/>
        <v>0</v>
      </c>
      <c r="U642" s="176">
        <f t="shared" si="561"/>
        <v>0</v>
      </c>
    </row>
    <row r="643" spans="3:21" ht="18.75" x14ac:dyDescent="0.3">
      <c r="C643" s="294">
        <f t="shared" si="554"/>
        <v>1</v>
      </c>
      <c r="D643" s="113" t="s">
        <v>120</v>
      </c>
      <c r="E643" s="76" t="s">
        <v>54</v>
      </c>
      <c r="F643" s="176">
        <f t="shared" ref="F643:U643" si="562">F10*$E$636</f>
        <v>0</v>
      </c>
      <c r="G643" s="176">
        <f t="shared" si="558"/>
        <v>0</v>
      </c>
      <c r="H643" s="176">
        <f t="shared" si="558"/>
        <v>0</v>
      </c>
      <c r="I643" s="176">
        <f t="shared" si="558"/>
        <v>0</v>
      </c>
      <c r="J643" s="176">
        <f t="shared" si="558"/>
        <v>0</v>
      </c>
      <c r="K643" s="176">
        <f t="shared" si="558"/>
        <v>0</v>
      </c>
      <c r="L643" s="176">
        <f t="shared" si="558"/>
        <v>0</v>
      </c>
      <c r="M643" s="176">
        <f t="shared" si="562"/>
        <v>0</v>
      </c>
      <c r="N643" s="176">
        <f t="shared" si="562"/>
        <v>0</v>
      </c>
      <c r="O643" s="176">
        <f t="shared" si="559"/>
        <v>0</v>
      </c>
      <c r="P643" s="176">
        <f t="shared" si="562"/>
        <v>0</v>
      </c>
      <c r="Q643" s="175">
        <f t="shared" si="560"/>
        <v>0</v>
      </c>
      <c r="R643" s="176">
        <f t="shared" si="562"/>
        <v>0</v>
      </c>
      <c r="S643" s="176">
        <f t="shared" si="562"/>
        <v>0</v>
      </c>
      <c r="T643" s="176">
        <f t="shared" si="562"/>
        <v>0</v>
      </c>
      <c r="U643" s="176">
        <f t="shared" si="562"/>
        <v>0</v>
      </c>
    </row>
    <row r="644" spans="3:21" ht="18.75" x14ac:dyDescent="0.3">
      <c r="C644" s="294">
        <f t="shared" si="554"/>
        <v>1</v>
      </c>
      <c r="D644" s="113" t="s">
        <v>121</v>
      </c>
      <c r="E644" s="76" t="s">
        <v>53</v>
      </c>
      <c r="F644" s="176">
        <f t="shared" ref="F644:U644" si="563">F11*$E$636</f>
        <v>0</v>
      </c>
      <c r="G644" s="176">
        <f t="shared" si="558"/>
        <v>0</v>
      </c>
      <c r="H644" s="176">
        <f t="shared" si="558"/>
        <v>0</v>
      </c>
      <c r="I644" s="176">
        <f t="shared" si="558"/>
        <v>0</v>
      </c>
      <c r="J644" s="176">
        <f t="shared" si="558"/>
        <v>0</v>
      </c>
      <c r="K644" s="176">
        <f t="shared" si="558"/>
        <v>0</v>
      </c>
      <c r="L644" s="176">
        <f t="shared" si="558"/>
        <v>0</v>
      </c>
      <c r="M644" s="176">
        <f t="shared" si="563"/>
        <v>0</v>
      </c>
      <c r="N644" s="176">
        <f t="shared" si="563"/>
        <v>0</v>
      </c>
      <c r="O644" s="176">
        <f t="shared" si="559"/>
        <v>0</v>
      </c>
      <c r="P644" s="176">
        <f t="shared" si="563"/>
        <v>0</v>
      </c>
      <c r="Q644" s="175">
        <f t="shared" si="560"/>
        <v>0</v>
      </c>
      <c r="R644" s="176">
        <f t="shared" si="563"/>
        <v>0</v>
      </c>
      <c r="S644" s="176">
        <f t="shared" si="563"/>
        <v>0</v>
      </c>
      <c r="T644" s="176">
        <f t="shared" si="563"/>
        <v>0</v>
      </c>
      <c r="U644" s="176">
        <f t="shared" si="563"/>
        <v>0</v>
      </c>
    </row>
    <row r="645" spans="3:21" ht="18.75" x14ac:dyDescent="0.3">
      <c r="C645" s="294">
        <f t="shared" si="554"/>
        <v>1</v>
      </c>
      <c r="D645" s="113" t="s">
        <v>122</v>
      </c>
      <c r="E645" s="76" t="s">
        <v>52</v>
      </c>
      <c r="F645" s="176">
        <f t="shared" ref="F645:U645" si="564">F12*$E$636</f>
        <v>0</v>
      </c>
      <c r="G645" s="176">
        <f t="shared" si="558"/>
        <v>0</v>
      </c>
      <c r="H645" s="176">
        <f t="shared" si="558"/>
        <v>0</v>
      </c>
      <c r="I645" s="176">
        <f t="shared" si="558"/>
        <v>0</v>
      </c>
      <c r="J645" s="176">
        <f t="shared" si="558"/>
        <v>0</v>
      </c>
      <c r="K645" s="176">
        <f t="shared" si="558"/>
        <v>0</v>
      </c>
      <c r="L645" s="176">
        <f t="shared" si="558"/>
        <v>0</v>
      </c>
      <c r="M645" s="176">
        <f t="shared" si="564"/>
        <v>0</v>
      </c>
      <c r="N645" s="176">
        <f t="shared" si="564"/>
        <v>0</v>
      </c>
      <c r="O645" s="176">
        <f t="shared" si="559"/>
        <v>0</v>
      </c>
      <c r="P645" s="176">
        <f t="shared" si="564"/>
        <v>0</v>
      </c>
      <c r="Q645" s="175">
        <f t="shared" si="560"/>
        <v>0</v>
      </c>
      <c r="R645" s="176">
        <f t="shared" si="564"/>
        <v>0</v>
      </c>
      <c r="S645" s="176">
        <f t="shared" si="564"/>
        <v>0</v>
      </c>
      <c r="T645" s="176">
        <f t="shared" si="564"/>
        <v>0</v>
      </c>
      <c r="U645" s="176">
        <f t="shared" si="564"/>
        <v>0</v>
      </c>
    </row>
    <row r="646" spans="3:21" ht="18.75" x14ac:dyDescent="0.3">
      <c r="C646" s="294">
        <f t="shared" si="554"/>
        <v>1</v>
      </c>
      <c r="D646" s="125" t="s">
        <v>123</v>
      </c>
      <c r="E646" s="76" t="s">
        <v>51</v>
      </c>
      <c r="F646" s="176">
        <f t="shared" ref="F646:U646" si="565">F13*$E$636</f>
        <v>0</v>
      </c>
      <c r="G646" s="176">
        <f t="shared" si="558"/>
        <v>0</v>
      </c>
      <c r="H646" s="176">
        <f t="shared" si="558"/>
        <v>0</v>
      </c>
      <c r="I646" s="176">
        <f t="shared" si="558"/>
        <v>0</v>
      </c>
      <c r="J646" s="176">
        <f t="shared" si="558"/>
        <v>0</v>
      </c>
      <c r="K646" s="176">
        <f t="shared" si="558"/>
        <v>0</v>
      </c>
      <c r="L646" s="176">
        <f t="shared" si="558"/>
        <v>0</v>
      </c>
      <c r="M646" s="176">
        <f t="shared" si="565"/>
        <v>0</v>
      </c>
      <c r="N646" s="176">
        <f t="shared" si="565"/>
        <v>0</v>
      </c>
      <c r="O646" s="176">
        <f t="shared" si="559"/>
        <v>0</v>
      </c>
      <c r="P646" s="176">
        <f t="shared" si="565"/>
        <v>0</v>
      </c>
      <c r="Q646" s="175">
        <f t="shared" si="560"/>
        <v>0</v>
      </c>
      <c r="R646" s="176">
        <f t="shared" si="565"/>
        <v>0</v>
      </c>
      <c r="S646" s="176">
        <f t="shared" si="565"/>
        <v>0</v>
      </c>
      <c r="T646" s="176">
        <f t="shared" si="565"/>
        <v>0</v>
      </c>
      <c r="U646" s="176">
        <f t="shared" si="565"/>
        <v>0</v>
      </c>
    </row>
    <row r="647" spans="3:21" ht="19.5" thickBot="1" x14ac:dyDescent="0.35">
      <c r="C647" s="294">
        <f t="shared" si="554"/>
        <v>1</v>
      </c>
      <c r="D647" s="114" t="s">
        <v>16</v>
      </c>
      <c r="E647" s="70" t="s">
        <v>50</v>
      </c>
      <c r="F647" s="176">
        <f t="shared" ref="F647:U647" si="566">F14*$E$636</f>
        <v>18993.800018988277</v>
      </c>
      <c r="G647" s="176">
        <f t="shared" si="558"/>
        <v>377.30882314112603</v>
      </c>
      <c r="H647" s="176">
        <f t="shared" si="558"/>
        <v>0</v>
      </c>
      <c r="I647" s="176">
        <f t="shared" si="558"/>
        <v>0</v>
      </c>
      <c r="J647" s="176">
        <f t="shared" si="558"/>
        <v>805.53158448711747</v>
      </c>
      <c r="K647" s="176">
        <f t="shared" si="558"/>
        <v>3.3164085473913372</v>
      </c>
      <c r="L647" s="176">
        <f t="shared" si="558"/>
        <v>0.46671385511943975</v>
      </c>
      <c r="M647" s="176">
        <f t="shared" si="566"/>
        <v>0</v>
      </c>
      <c r="N647" s="176">
        <f t="shared" si="566"/>
        <v>0</v>
      </c>
      <c r="O647" s="176">
        <f t="shared" si="559"/>
        <v>241.39183086092385</v>
      </c>
      <c r="P647" s="176">
        <f t="shared" si="566"/>
        <v>4111.2988349997922</v>
      </c>
      <c r="Q647" s="175">
        <f t="shared" si="560"/>
        <v>24533.114214879752</v>
      </c>
      <c r="R647" s="176">
        <f t="shared" si="566"/>
        <v>0</v>
      </c>
      <c r="S647" s="176">
        <f t="shared" si="566"/>
        <v>1705.8694945406901</v>
      </c>
      <c r="T647" s="176">
        <f t="shared" ca="1" si="566"/>
        <v>494.74801788426993</v>
      </c>
      <c r="U647" s="176">
        <f t="shared" ca="1" si="566"/>
        <v>28.192316896057587</v>
      </c>
    </row>
    <row r="648" spans="3:21" ht="19.5" thickBot="1" x14ac:dyDescent="0.3">
      <c r="C648" s="294">
        <f t="shared" si="554"/>
        <v>1</v>
      </c>
      <c r="D648" s="115" t="s">
        <v>124</v>
      </c>
      <c r="E648" s="116" t="s">
        <v>49</v>
      </c>
      <c r="F648" s="269">
        <f t="shared" ref="F648:U648" si="567">SUBTOTAL(9,F639:F647)</f>
        <v>196884.97196737883</v>
      </c>
      <c r="G648" s="269">
        <f t="shared" ref="G648:L648" si="568">SUBTOTAL(9,G639:G647)</f>
        <v>4377.5910412639332</v>
      </c>
      <c r="H648" s="269">
        <f t="shared" si="568"/>
        <v>0</v>
      </c>
      <c r="I648" s="269">
        <f t="shared" si="568"/>
        <v>5098.4153986064721</v>
      </c>
      <c r="J648" s="269">
        <f t="shared" si="568"/>
        <v>1390.0388025035807</v>
      </c>
      <c r="K648" s="269">
        <f t="shared" si="568"/>
        <v>180.71736291925143</v>
      </c>
      <c r="L648" s="269">
        <f t="shared" si="568"/>
        <v>0.46671385511943975</v>
      </c>
      <c r="M648" s="269">
        <f t="shared" si="567"/>
        <v>0</v>
      </c>
      <c r="N648" s="269">
        <f t="shared" si="567"/>
        <v>0</v>
      </c>
      <c r="O648" s="269">
        <f>SUBTOTAL(9,O639:O647)</f>
        <v>246.38577051967744</v>
      </c>
      <c r="P648" s="269">
        <f t="shared" si="567"/>
        <v>4111.2988349997922</v>
      </c>
      <c r="Q648" s="183">
        <f>SUBTOTAL(9,Q639:Q647)</f>
        <v>212289.88589204664</v>
      </c>
      <c r="R648" s="269">
        <f t="shared" si="567"/>
        <v>0</v>
      </c>
      <c r="S648" s="269">
        <f t="shared" si="567"/>
        <v>16033.837928875319</v>
      </c>
      <c r="T648" s="269">
        <f t="shared" ca="1" si="567"/>
        <v>6593.2682636748268</v>
      </c>
      <c r="U648" s="269">
        <f t="shared" ca="1" si="567"/>
        <v>4560.4918484064647</v>
      </c>
    </row>
    <row r="649" spans="3:21" ht="15.75" hidden="1" thickBot="1" x14ac:dyDescent="0.3"/>
    <row r="650" spans="3:21" ht="93.75" x14ac:dyDescent="0.25">
      <c r="C650" s="294">
        <f>IF($E$650&gt;0,1,0)</f>
        <v>1</v>
      </c>
      <c r="D650" s="96" t="str">
        <f>A49</f>
        <v>Saratoga</v>
      </c>
      <c r="E650" s="166">
        <f>IFERROR(SUMIF(A:A,D650,B:B),0)</f>
        <v>6.3457038660819764E-3</v>
      </c>
      <c r="F650" s="98" t="s">
        <v>356</v>
      </c>
      <c r="G650" s="98" t="s">
        <v>373</v>
      </c>
      <c r="H650" s="98" t="s">
        <v>358</v>
      </c>
      <c r="I650" s="98" t="s">
        <v>109</v>
      </c>
      <c r="J650" s="98" t="s">
        <v>111</v>
      </c>
      <c r="K650" s="98" t="s">
        <v>469</v>
      </c>
      <c r="L650" s="98" t="s">
        <v>470</v>
      </c>
      <c r="M650" s="98" t="s">
        <v>357</v>
      </c>
      <c r="N650" s="557" t="s">
        <v>471</v>
      </c>
      <c r="O650" s="557" t="s">
        <v>473</v>
      </c>
      <c r="P650" s="98" t="s">
        <v>110</v>
      </c>
      <c r="Q650" s="99" t="s">
        <v>116</v>
      </c>
      <c r="R650" s="98" t="s">
        <v>112</v>
      </c>
      <c r="S650" s="98" t="s">
        <v>113</v>
      </c>
      <c r="T650" s="98" t="s">
        <v>114</v>
      </c>
      <c r="U650" s="98" t="s">
        <v>115</v>
      </c>
    </row>
    <row r="651" spans="3:21" ht="18.75" x14ac:dyDescent="0.25">
      <c r="C651" s="294">
        <f>C650</f>
        <v>1</v>
      </c>
      <c r="D651" s="101"/>
      <c r="E651" s="102"/>
      <c r="F651" s="84" t="s">
        <v>57</v>
      </c>
      <c r="G651" s="84" t="s">
        <v>56</v>
      </c>
      <c r="H651" s="84" t="s">
        <v>55</v>
      </c>
      <c r="I651" s="84" t="s">
        <v>54</v>
      </c>
      <c r="J651" s="84" t="s">
        <v>53</v>
      </c>
      <c r="K651" s="84" t="s">
        <v>52</v>
      </c>
      <c r="L651" s="84" t="s">
        <v>51</v>
      </c>
      <c r="M651" s="84" t="s">
        <v>50</v>
      </c>
      <c r="N651" s="84" t="s">
        <v>49</v>
      </c>
      <c r="O651" s="84" t="s">
        <v>47</v>
      </c>
      <c r="P651" s="84" t="s">
        <v>77</v>
      </c>
      <c r="Q651" s="84" t="s">
        <v>78</v>
      </c>
      <c r="R651" s="84" t="s">
        <v>79</v>
      </c>
      <c r="S651" s="84" t="s">
        <v>81</v>
      </c>
      <c r="T651" s="84" t="s">
        <v>83</v>
      </c>
      <c r="U651" s="84" t="s">
        <v>85</v>
      </c>
    </row>
    <row r="652" spans="3:21" ht="18.75" x14ac:dyDescent="0.25">
      <c r="C652" s="294">
        <f>C650</f>
        <v>1</v>
      </c>
      <c r="D652" s="103" t="s">
        <v>26</v>
      </c>
      <c r="E652" s="122"/>
      <c r="F652" s="123"/>
      <c r="G652" s="123"/>
      <c r="H652" s="107"/>
      <c r="I652" s="107"/>
      <c r="J652" s="107"/>
      <c r="K652" s="107"/>
      <c r="L652" s="107"/>
      <c r="M652" s="123"/>
      <c r="N652" s="107"/>
      <c r="O652" s="107"/>
      <c r="P652" s="107"/>
      <c r="Q652" s="108"/>
      <c r="R652" s="107"/>
      <c r="S652" s="107"/>
      <c r="T652" s="107"/>
      <c r="U652" s="107"/>
    </row>
    <row r="653" spans="3:21" ht="18.75" x14ac:dyDescent="0.25">
      <c r="C653" s="294">
        <f t="shared" ref="C653:C662" si="569">C651</f>
        <v>1</v>
      </c>
      <c r="D653" s="124" t="s">
        <v>105</v>
      </c>
      <c r="E653" s="76" t="s">
        <v>57</v>
      </c>
      <c r="F653" s="176">
        <f t="shared" ref="F653:L653" si="570">F6*$E$650</f>
        <v>447564.97954079427</v>
      </c>
      <c r="G653" s="176">
        <f t="shared" si="570"/>
        <v>10064.502973936002</v>
      </c>
      <c r="H653" s="176">
        <f t="shared" si="570"/>
        <v>0</v>
      </c>
      <c r="I653" s="176">
        <f t="shared" si="570"/>
        <v>12827.349207805481</v>
      </c>
      <c r="J653" s="176">
        <f t="shared" si="570"/>
        <v>1470.5899017230672</v>
      </c>
      <c r="K653" s="176">
        <f t="shared" si="570"/>
        <v>446.33161749585787</v>
      </c>
      <c r="L653" s="176">
        <f t="shared" si="570"/>
        <v>0</v>
      </c>
      <c r="M653" s="176">
        <f t="shared" ref="M653:U653" si="571">M6*$E$650</f>
        <v>0</v>
      </c>
      <c r="N653" s="176">
        <f t="shared" si="571"/>
        <v>0</v>
      </c>
      <c r="O653" s="176">
        <f>O6*$E$650</f>
        <v>12.564493654842313</v>
      </c>
      <c r="P653" s="176">
        <f t="shared" si="571"/>
        <v>0</v>
      </c>
      <c r="Q653" s="175">
        <f>SUM(F653:P653)</f>
        <v>472386.31773540948</v>
      </c>
      <c r="R653" s="176">
        <f t="shared" si="571"/>
        <v>0</v>
      </c>
      <c r="S653" s="176">
        <f t="shared" si="571"/>
        <v>36048.426849616597</v>
      </c>
      <c r="T653" s="176">
        <f t="shared" ca="1" si="571"/>
        <v>15343.561229830129</v>
      </c>
      <c r="U653" s="176">
        <f t="shared" ca="1" si="571"/>
        <v>11403.030992913527</v>
      </c>
    </row>
    <row r="654" spans="3:21" ht="18.75" x14ac:dyDescent="0.25">
      <c r="C654" s="294">
        <f t="shared" si="569"/>
        <v>1</v>
      </c>
      <c r="D654" s="112" t="s">
        <v>31</v>
      </c>
      <c r="E654" s="76"/>
      <c r="F654" s="177"/>
      <c r="G654" s="177"/>
      <c r="H654" s="178"/>
      <c r="I654" s="178"/>
      <c r="J654" s="178"/>
      <c r="K654" s="178"/>
      <c r="L654" s="178"/>
      <c r="M654" s="177"/>
      <c r="N654" s="178"/>
      <c r="O654" s="178"/>
      <c r="P654" s="178"/>
      <c r="Q654" s="179"/>
      <c r="R654" s="178"/>
      <c r="S654" s="178"/>
      <c r="T654" s="178"/>
      <c r="U654" s="178"/>
    </row>
    <row r="655" spans="3:21" ht="18.75" x14ac:dyDescent="0.3">
      <c r="C655" s="294">
        <f t="shared" si="569"/>
        <v>1</v>
      </c>
      <c r="D655" s="113" t="s">
        <v>118</v>
      </c>
      <c r="E655" s="76" t="s">
        <v>56</v>
      </c>
      <c r="F655" s="176">
        <f t="shared" ref="F655:U655" si="572">F8*$E$650</f>
        <v>0</v>
      </c>
      <c r="G655" s="176">
        <f t="shared" ref="G655:L661" si="573">G8*$E$650</f>
        <v>0</v>
      </c>
      <c r="H655" s="176">
        <f t="shared" si="573"/>
        <v>0</v>
      </c>
      <c r="I655" s="176">
        <f t="shared" si="573"/>
        <v>0</v>
      </c>
      <c r="J655" s="176">
        <f t="shared" si="573"/>
        <v>0</v>
      </c>
      <c r="K655" s="176">
        <f t="shared" si="573"/>
        <v>0</v>
      </c>
      <c r="L655" s="176">
        <f t="shared" si="573"/>
        <v>0</v>
      </c>
      <c r="M655" s="176">
        <f t="shared" si="572"/>
        <v>0</v>
      </c>
      <c r="N655" s="176">
        <f t="shared" si="572"/>
        <v>0</v>
      </c>
      <c r="O655" s="176">
        <f t="shared" ref="O655:O661" si="574">O8*$E$650</f>
        <v>0</v>
      </c>
      <c r="P655" s="176">
        <f t="shared" si="572"/>
        <v>0</v>
      </c>
      <c r="Q655" s="175">
        <f t="shared" ref="Q655:Q661" si="575">SUM(F655:P655)</f>
        <v>0</v>
      </c>
      <c r="R655" s="176">
        <f t="shared" si="572"/>
        <v>0</v>
      </c>
      <c r="S655" s="176">
        <f t="shared" si="572"/>
        <v>0</v>
      </c>
      <c r="T655" s="176">
        <f t="shared" si="572"/>
        <v>0</v>
      </c>
      <c r="U655" s="176">
        <f t="shared" si="572"/>
        <v>0</v>
      </c>
    </row>
    <row r="656" spans="3:21" ht="18.75" x14ac:dyDescent="0.3">
      <c r="C656" s="294">
        <f t="shared" si="569"/>
        <v>1</v>
      </c>
      <c r="D656" s="113" t="s">
        <v>119</v>
      </c>
      <c r="E656" s="76" t="s">
        <v>55</v>
      </c>
      <c r="F656" s="176">
        <f t="shared" ref="F656:U656" si="576">F9*$E$650</f>
        <v>0</v>
      </c>
      <c r="G656" s="176">
        <f t="shared" si="573"/>
        <v>0</v>
      </c>
      <c r="H656" s="176">
        <f t="shared" si="573"/>
        <v>0</v>
      </c>
      <c r="I656" s="176">
        <f t="shared" si="573"/>
        <v>0</v>
      </c>
      <c r="J656" s="176">
        <f t="shared" si="573"/>
        <v>0</v>
      </c>
      <c r="K656" s="176">
        <f t="shared" si="573"/>
        <v>0</v>
      </c>
      <c r="L656" s="176">
        <f t="shared" si="573"/>
        <v>0</v>
      </c>
      <c r="M656" s="176">
        <f t="shared" si="576"/>
        <v>0</v>
      </c>
      <c r="N656" s="176">
        <f t="shared" si="576"/>
        <v>0</v>
      </c>
      <c r="O656" s="176">
        <f t="shared" si="574"/>
        <v>0</v>
      </c>
      <c r="P656" s="176">
        <f t="shared" si="576"/>
        <v>0</v>
      </c>
      <c r="Q656" s="175">
        <f t="shared" si="575"/>
        <v>0</v>
      </c>
      <c r="R656" s="176">
        <f t="shared" si="576"/>
        <v>0</v>
      </c>
      <c r="S656" s="176">
        <f t="shared" si="576"/>
        <v>0</v>
      </c>
      <c r="T656" s="176">
        <f t="shared" si="576"/>
        <v>0</v>
      </c>
      <c r="U656" s="176">
        <f t="shared" si="576"/>
        <v>0</v>
      </c>
    </row>
    <row r="657" spans="3:21" ht="18.75" x14ac:dyDescent="0.3">
      <c r="C657" s="294">
        <f t="shared" si="569"/>
        <v>1</v>
      </c>
      <c r="D657" s="113" t="s">
        <v>120</v>
      </c>
      <c r="E657" s="76" t="s">
        <v>54</v>
      </c>
      <c r="F657" s="176">
        <f t="shared" ref="F657:U657" si="577">F10*$E$650</f>
        <v>0</v>
      </c>
      <c r="G657" s="176">
        <f t="shared" si="573"/>
        <v>0</v>
      </c>
      <c r="H657" s="176">
        <f t="shared" si="573"/>
        <v>0</v>
      </c>
      <c r="I657" s="176">
        <f t="shared" si="573"/>
        <v>0</v>
      </c>
      <c r="J657" s="176">
        <f t="shared" si="573"/>
        <v>0</v>
      </c>
      <c r="K657" s="176">
        <f t="shared" si="573"/>
        <v>0</v>
      </c>
      <c r="L657" s="176">
        <f t="shared" si="573"/>
        <v>0</v>
      </c>
      <c r="M657" s="176">
        <f t="shared" si="577"/>
        <v>0</v>
      </c>
      <c r="N657" s="176">
        <f t="shared" si="577"/>
        <v>0</v>
      </c>
      <c r="O657" s="176">
        <f t="shared" si="574"/>
        <v>0</v>
      </c>
      <c r="P657" s="176">
        <f t="shared" si="577"/>
        <v>0</v>
      </c>
      <c r="Q657" s="175">
        <f t="shared" si="575"/>
        <v>0</v>
      </c>
      <c r="R657" s="176">
        <f t="shared" si="577"/>
        <v>0</v>
      </c>
      <c r="S657" s="176">
        <f t="shared" si="577"/>
        <v>0</v>
      </c>
      <c r="T657" s="176">
        <f t="shared" si="577"/>
        <v>0</v>
      </c>
      <c r="U657" s="176">
        <f t="shared" si="577"/>
        <v>0</v>
      </c>
    </row>
    <row r="658" spans="3:21" ht="18.75" x14ac:dyDescent="0.3">
      <c r="C658" s="294">
        <f t="shared" si="569"/>
        <v>1</v>
      </c>
      <c r="D658" s="113" t="s">
        <v>121</v>
      </c>
      <c r="E658" s="76" t="s">
        <v>53</v>
      </c>
      <c r="F658" s="176">
        <f t="shared" ref="F658:U658" si="578">F11*$E$650</f>
        <v>0</v>
      </c>
      <c r="G658" s="176">
        <f t="shared" si="573"/>
        <v>0</v>
      </c>
      <c r="H658" s="176">
        <f t="shared" si="573"/>
        <v>0</v>
      </c>
      <c r="I658" s="176">
        <f t="shared" si="573"/>
        <v>0</v>
      </c>
      <c r="J658" s="176">
        <f t="shared" si="573"/>
        <v>0</v>
      </c>
      <c r="K658" s="176">
        <f t="shared" si="573"/>
        <v>0</v>
      </c>
      <c r="L658" s="176">
        <f t="shared" si="573"/>
        <v>0</v>
      </c>
      <c r="M658" s="176">
        <f t="shared" si="578"/>
        <v>0</v>
      </c>
      <c r="N658" s="176">
        <f t="shared" si="578"/>
        <v>0</v>
      </c>
      <c r="O658" s="176">
        <f t="shared" si="574"/>
        <v>0</v>
      </c>
      <c r="P658" s="176">
        <f t="shared" si="578"/>
        <v>0</v>
      </c>
      <c r="Q658" s="175">
        <f t="shared" si="575"/>
        <v>0</v>
      </c>
      <c r="R658" s="176">
        <f t="shared" si="578"/>
        <v>0</v>
      </c>
      <c r="S658" s="176">
        <f t="shared" si="578"/>
        <v>0</v>
      </c>
      <c r="T658" s="176">
        <f t="shared" si="578"/>
        <v>0</v>
      </c>
      <c r="U658" s="176">
        <f t="shared" si="578"/>
        <v>0</v>
      </c>
    </row>
    <row r="659" spans="3:21" ht="18.75" x14ac:dyDescent="0.3">
      <c r="C659" s="294">
        <f t="shared" si="569"/>
        <v>1</v>
      </c>
      <c r="D659" s="113" t="s">
        <v>122</v>
      </c>
      <c r="E659" s="76" t="s">
        <v>52</v>
      </c>
      <c r="F659" s="176">
        <f t="shared" ref="F659:U659" si="579">F12*$E$650</f>
        <v>0</v>
      </c>
      <c r="G659" s="176">
        <f t="shared" si="573"/>
        <v>0</v>
      </c>
      <c r="H659" s="176">
        <f t="shared" si="573"/>
        <v>0</v>
      </c>
      <c r="I659" s="176">
        <f t="shared" si="573"/>
        <v>0</v>
      </c>
      <c r="J659" s="176">
        <f t="shared" si="573"/>
        <v>0</v>
      </c>
      <c r="K659" s="176">
        <f t="shared" si="573"/>
        <v>0</v>
      </c>
      <c r="L659" s="176">
        <f t="shared" si="573"/>
        <v>0</v>
      </c>
      <c r="M659" s="176">
        <f t="shared" si="579"/>
        <v>0</v>
      </c>
      <c r="N659" s="176">
        <f t="shared" si="579"/>
        <v>0</v>
      </c>
      <c r="O659" s="176">
        <f t="shared" si="574"/>
        <v>0</v>
      </c>
      <c r="P659" s="176">
        <f t="shared" si="579"/>
        <v>0</v>
      </c>
      <c r="Q659" s="175">
        <f t="shared" si="575"/>
        <v>0</v>
      </c>
      <c r="R659" s="176">
        <f t="shared" si="579"/>
        <v>0</v>
      </c>
      <c r="S659" s="176">
        <f t="shared" si="579"/>
        <v>0</v>
      </c>
      <c r="T659" s="176">
        <f t="shared" si="579"/>
        <v>0</v>
      </c>
      <c r="U659" s="176">
        <f t="shared" si="579"/>
        <v>0</v>
      </c>
    </row>
    <row r="660" spans="3:21" ht="18.75" x14ac:dyDescent="0.3">
      <c r="C660" s="294">
        <f t="shared" si="569"/>
        <v>1</v>
      </c>
      <c r="D660" s="125" t="s">
        <v>123</v>
      </c>
      <c r="E660" s="76" t="s">
        <v>51</v>
      </c>
      <c r="F660" s="176">
        <f t="shared" ref="F660:U660" si="580">F13*$E$650</f>
        <v>0</v>
      </c>
      <c r="G660" s="176">
        <f t="shared" si="573"/>
        <v>0</v>
      </c>
      <c r="H660" s="176">
        <f t="shared" si="573"/>
        <v>0</v>
      </c>
      <c r="I660" s="176">
        <f t="shared" si="573"/>
        <v>0</v>
      </c>
      <c r="J660" s="176">
        <f t="shared" si="573"/>
        <v>0</v>
      </c>
      <c r="K660" s="176">
        <f t="shared" si="573"/>
        <v>0</v>
      </c>
      <c r="L660" s="176">
        <f t="shared" si="573"/>
        <v>0</v>
      </c>
      <c r="M660" s="176">
        <f t="shared" si="580"/>
        <v>0</v>
      </c>
      <c r="N660" s="176">
        <f t="shared" si="580"/>
        <v>0</v>
      </c>
      <c r="O660" s="176">
        <f t="shared" si="574"/>
        <v>0</v>
      </c>
      <c r="P660" s="176">
        <f t="shared" si="580"/>
        <v>0</v>
      </c>
      <c r="Q660" s="175">
        <f t="shared" si="575"/>
        <v>0</v>
      </c>
      <c r="R660" s="176">
        <f t="shared" si="580"/>
        <v>0</v>
      </c>
      <c r="S660" s="176">
        <f t="shared" si="580"/>
        <v>0</v>
      </c>
      <c r="T660" s="176">
        <f t="shared" si="580"/>
        <v>0</v>
      </c>
      <c r="U660" s="176">
        <f t="shared" si="580"/>
        <v>0</v>
      </c>
    </row>
    <row r="661" spans="3:21" ht="19.5" thickBot="1" x14ac:dyDescent="0.35">
      <c r="C661" s="294">
        <f t="shared" si="569"/>
        <v>1</v>
      </c>
      <c r="D661" s="114" t="s">
        <v>16</v>
      </c>
      <c r="E661" s="70" t="s">
        <v>50</v>
      </c>
      <c r="F661" s="176">
        <f t="shared" ref="F661:U661" si="581">F14*$E$650</f>
        <v>47787.417575542808</v>
      </c>
      <c r="G661" s="176">
        <f t="shared" si="573"/>
        <v>949.2894664762315</v>
      </c>
      <c r="H661" s="176">
        <f t="shared" si="573"/>
        <v>0</v>
      </c>
      <c r="I661" s="176">
        <f t="shared" si="573"/>
        <v>0</v>
      </c>
      <c r="J661" s="176">
        <f t="shared" si="573"/>
        <v>2026.6757657599553</v>
      </c>
      <c r="K661" s="176">
        <f t="shared" si="573"/>
        <v>8.3439122211907399</v>
      </c>
      <c r="L661" s="176">
        <f t="shared" si="573"/>
        <v>1.1742278986083612</v>
      </c>
      <c r="M661" s="176">
        <f t="shared" si="581"/>
        <v>0</v>
      </c>
      <c r="N661" s="176">
        <f t="shared" si="581"/>
        <v>0</v>
      </c>
      <c r="O661" s="176">
        <f t="shared" si="574"/>
        <v>607.32935005863135</v>
      </c>
      <c r="P661" s="176">
        <f t="shared" si="581"/>
        <v>10343.815034883304</v>
      </c>
      <c r="Q661" s="175">
        <f t="shared" si="575"/>
        <v>61724.045332840717</v>
      </c>
      <c r="R661" s="176">
        <f t="shared" si="581"/>
        <v>0</v>
      </c>
      <c r="S661" s="176">
        <f t="shared" si="581"/>
        <v>4291.8793387052983</v>
      </c>
      <c r="T661" s="176">
        <f t="shared" ca="1" si="581"/>
        <v>1244.7604008503761</v>
      </c>
      <c r="U661" s="176">
        <f t="shared" ca="1" si="581"/>
        <v>70.930409848850076</v>
      </c>
    </row>
    <row r="662" spans="3:21" ht="19.5" thickBot="1" x14ac:dyDescent="0.3">
      <c r="C662" s="294">
        <f t="shared" si="569"/>
        <v>1</v>
      </c>
      <c r="D662" s="115" t="s">
        <v>124</v>
      </c>
      <c r="E662" s="116" t="s">
        <v>49</v>
      </c>
      <c r="F662" s="269">
        <f t="shared" ref="F662:U662" si="582">SUBTOTAL(9,F653:F661)</f>
        <v>495352.39711633709</v>
      </c>
      <c r="G662" s="269">
        <f t="shared" ref="G662:L662" si="583">SUBTOTAL(9,G653:G661)</f>
        <v>11013.792440412233</v>
      </c>
      <c r="H662" s="269">
        <f t="shared" si="583"/>
        <v>0</v>
      </c>
      <c r="I662" s="269">
        <f t="shared" si="583"/>
        <v>12827.349207805481</v>
      </c>
      <c r="J662" s="269">
        <f t="shared" si="583"/>
        <v>3497.2656674830223</v>
      </c>
      <c r="K662" s="269">
        <f t="shared" si="583"/>
        <v>454.67552971704862</v>
      </c>
      <c r="L662" s="269">
        <f t="shared" si="583"/>
        <v>1.1742278986083612</v>
      </c>
      <c r="M662" s="269">
        <f t="shared" si="582"/>
        <v>0</v>
      </c>
      <c r="N662" s="269">
        <f t="shared" si="582"/>
        <v>0</v>
      </c>
      <c r="O662" s="269">
        <f>SUBTOTAL(9,O653:O661)</f>
        <v>619.89384371347364</v>
      </c>
      <c r="P662" s="269">
        <f t="shared" si="582"/>
        <v>10343.815034883304</v>
      </c>
      <c r="Q662" s="183">
        <f>SUBTOTAL(9,Q653:Q661)</f>
        <v>534110.36306825024</v>
      </c>
      <c r="R662" s="269">
        <f t="shared" si="582"/>
        <v>0</v>
      </c>
      <c r="S662" s="269">
        <f t="shared" si="582"/>
        <v>40340.306188321898</v>
      </c>
      <c r="T662" s="269">
        <f t="shared" ca="1" si="582"/>
        <v>16588.321630680504</v>
      </c>
      <c r="U662" s="269">
        <f t="shared" ca="1" si="582"/>
        <v>11473.961402762377</v>
      </c>
    </row>
    <row r="663" spans="3:21" ht="15.75" hidden="1" thickBot="1" x14ac:dyDescent="0.3"/>
    <row r="664" spans="3:21" ht="93.75" x14ac:dyDescent="0.25">
      <c r="C664" s="294">
        <f>IF($E$664&gt;0,1,0)</f>
        <v>1</v>
      </c>
      <c r="D664" s="96" t="str">
        <f>A50</f>
        <v>Schenectady</v>
      </c>
      <c r="E664" s="166">
        <f>IFERROR(SUMIF(A:A,D664,B:B),0)</f>
        <v>3.6612583135718163E-2</v>
      </c>
      <c r="F664" s="98" t="s">
        <v>356</v>
      </c>
      <c r="G664" s="98" t="s">
        <v>373</v>
      </c>
      <c r="H664" s="98" t="s">
        <v>358</v>
      </c>
      <c r="I664" s="98" t="s">
        <v>109</v>
      </c>
      <c r="J664" s="98" t="s">
        <v>111</v>
      </c>
      <c r="K664" s="98" t="s">
        <v>469</v>
      </c>
      <c r="L664" s="98" t="s">
        <v>470</v>
      </c>
      <c r="M664" s="98" t="s">
        <v>357</v>
      </c>
      <c r="N664" s="557" t="s">
        <v>471</v>
      </c>
      <c r="O664" s="557" t="s">
        <v>473</v>
      </c>
      <c r="P664" s="98" t="s">
        <v>110</v>
      </c>
      <c r="Q664" s="99" t="s">
        <v>116</v>
      </c>
      <c r="R664" s="98" t="s">
        <v>112</v>
      </c>
      <c r="S664" s="98" t="s">
        <v>113</v>
      </c>
      <c r="T664" s="98" t="s">
        <v>114</v>
      </c>
      <c r="U664" s="98" t="s">
        <v>115</v>
      </c>
    </row>
    <row r="665" spans="3:21" ht="18.75" x14ac:dyDescent="0.25">
      <c r="C665" s="294">
        <f>C664</f>
        <v>1</v>
      </c>
      <c r="D665" s="101"/>
      <c r="E665" s="102"/>
      <c r="F665" s="84" t="s">
        <v>57</v>
      </c>
      <c r="G665" s="84" t="s">
        <v>56</v>
      </c>
      <c r="H665" s="84" t="s">
        <v>55</v>
      </c>
      <c r="I665" s="84" t="s">
        <v>54</v>
      </c>
      <c r="J665" s="84" t="s">
        <v>53</v>
      </c>
      <c r="K665" s="84" t="s">
        <v>52</v>
      </c>
      <c r="L665" s="84" t="s">
        <v>51</v>
      </c>
      <c r="M665" s="84" t="s">
        <v>50</v>
      </c>
      <c r="N665" s="84" t="s">
        <v>49</v>
      </c>
      <c r="O665" s="84" t="s">
        <v>47</v>
      </c>
      <c r="P665" s="84" t="s">
        <v>77</v>
      </c>
      <c r="Q665" s="84" t="s">
        <v>78</v>
      </c>
      <c r="R665" s="84" t="s">
        <v>79</v>
      </c>
      <c r="S665" s="84" t="s">
        <v>81</v>
      </c>
      <c r="T665" s="84" t="s">
        <v>83</v>
      </c>
      <c r="U665" s="84" t="s">
        <v>85</v>
      </c>
    </row>
    <row r="666" spans="3:21" ht="18.75" x14ac:dyDescent="0.25">
      <c r="C666" s="294">
        <f>C664</f>
        <v>1</v>
      </c>
      <c r="D666" s="103" t="s">
        <v>26</v>
      </c>
      <c r="E666" s="122"/>
      <c r="F666" s="123"/>
      <c r="G666" s="123"/>
      <c r="H666" s="107"/>
      <c r="I666" s="107"/>
      <c r="J666" s="107"/>
      <c r="K666" s="107"/>
      <c r="L666" s="107"/>
      <c r="M666" s="123"/>
      <c r="N666" s="107"/>
      <c r="O666" s="107"/>
      <c r="P666" s="107"/>
      <c r="Q666" s="108"/>
      <c r="R666" s="107"/>
      <c r="S666" s="107"/>
      <c r="T666" s="107"/>
      <c r="U666" s="107"/>
    </row>
    <row r="667" spans="3:21" ht="18.75" x14ac:dyDescent="0.25">
      <c r="C667" s="294">
        <f t="shared" ref="C667:C676" si="584">C665</f>
        <v>1</v>
      </c>
      <c r="D667" s="124" t="s">
        <v>105</v>
      </c>
      <c r="E667" s="76" t="s">
        <v>57</v>
      </c>
      <c r="F667" s="176">
        <f t="shared" ref="F667:L667" si="585">F6*$E$664</f>
        <v>2582299.8311755196</v>
      </c>
      <c r="G667" s="176">
        <f t="shared" si="585"/>
        <v>58068.80680683726</v>
      </c>
      <c r="H667" s="176">
        <f t="shared" si="585"/>
        <v>0</v>
      </c>
      <c r="I667" s="176">
        <f t="shared" si="585"/>
        <v>74009.50299491956</v>
      </c>
      <c r="J667" s="176">
        <f t="shared" si="585"/>
        <v>8484.8105382243575</v>
      </c>
      <c r="K667" s="176">
        <f t="shared" si="585"/>
        <v>2575.1837458113669</v>
      </c>
      <c r="L667" s="176">
        <f t="shared" si="585"/>
        <v>0</v>
      </c>
      <c r="M667" s="176">
        <f t="shared" ref="M667:U667" si="586">M6*$E$664</f>
        <v>0</v>
      </c>
      <c r="N667" s="176">
        <f t="shared" si="586"/>
        <v>0</v>
      </c>
      <c r="O667" s="176">
        <f>O6*$E$664</f>
        <v>72.492914608721961</v>
      </c>
      <c r="P667" s="176">
        <f t="shared" si="586"/>
        <v>0</v>
      </c>
      <c r="Q667" s="175">
        <f>SUM(F667:P667)</f>
        <v>2725510.6281759208</v>
      </c>
      <c r="R667" s="176">
        <f t="shared" si="586"/>
        <v>0</v>
      </c>
      <c r="S667" s="176">
        <f t="shared" si="586"/>
        <v>207987.33328826795</v>
      </c>
      <c r="T667" s="176">
        <f t="shared" ca="1" si="586"/>
        <v>88527.20249487301</v>
      </c>
      <c r="U667" s="176">
        <f t="shared" ca="1" si="586"/>
        <v>65791.664571481277</v>
      </c>
    </row>
    <row r="668" spans="3:21" ht="18.75" x14ac:dyDescent="0.25">
      <c r="C668" s="294">
        <f t="shared" si="584"/>
        <v>1</v>
      </c>
      <c r="D668" s="112" t="s">
        <v>31</v>
      </c>
      <c r="E668" s="76"/>
      <c r="F668" s="177"/>
      <c r="G668" s="177"/>
      <c r="H668" s="178"/>
      <c r="I668" s="178"/>
      <c r="J668" s="178"/>
      <c r="K668" s="178"/>
      <c r="L668" s="178"/>
      <c r="M668" s="177"/>
      <c r="N668" s="178"/>
      <c r="O668" s="178"/>
      <c r="P668" s="178"/>
      <c r="Q668" s="179"/>
      <c r="R668" s="178"/>
      <c r="S668" s="178"/>
      <c r="T668" s="178"/>
      <c r="U668" s="178"/>
    </row>
    <row r="669" spans="3:21" ht="18.75" x14ac:dyDescent="0.3">
      <c r="C669" s="294">
        <f t="shared" si="584"/>
        <v>1</v>
      </c>
      <c r="D669" s="113" t="s">
        <v>118</v>
      </c>
      <c r="E669" s="76" t="s">
        <v>56</v>
      </c>
      <c r="F669" s="176">
        <f t="shared" ref="F669:U669" si="587">F8*$E$664</f>
        <v>0</v>
      </c>
      <c r="G669" s="176">
        <f t="shared" ref="G669:L675" si="588">G8*$E$664</f>
        <v>0</v>
      </c>
      <c r="H669" s="176">
        <f t="shared" si="588"/>
        <v>0</v>
      </c>
      <c r="I669" s="176">
        <f t="shared" si="588"/>
        <v>0</v>
      </c>
      <c r="J669" s="176">
        <f t="shared" si="588"/>
        <v>0</v>
      </c>
      <c r="K669" s="176">
        <f t="shared" si="588"/>
        <v>0</v>
      </c>
      <c r="L669" s="176">
        <f t="shared" si="588"/>
        <v>0</v>
      </c>
      <c r="M669" s="176">
        <f t="shared" si="587"/>
        <v>0</v>
      </c>
      <c r="N669" s="176">
        <f t="shared" si="587"/>
        <v>0</v>
      </c>
      <c r="O669" s="176">
        <f t="shared" ref="O669:O675" si="589">O8*$E$664</f>
        <v>0</v>
      </c>
      <c r="P669" s="176">
        <f t="shared" si="587"/>
        <v>0</v>
      </c>
      <c r="Q669" s="175">
        <f t="shared" ref="Q669:Q675" si="590">SUM(F669:P669)</f>
        <v>0</v>
      </c>
      <c r="R669" s="176">
        <f t="shared" si="587"/>
        <v>0</v>
      </c>
      <c r="S669" s="176">
        <f t="shared" si="587"/>
        <v>0</v>
      </c>
      <c r="T669" s="176">
        <f t="shared" si="587"/>
        <v>0</v>
      </c>
      <c r="U669" s="176">
        <f t="shared" si="587"/>
        <v>0</v>
      </c>
    </row>
    <row r="670" spans="3:21" ht="18.75" x14ac:dyDescent="0.3">
      <c r="C670" s="294">
        <f t="shared" si="584"/>
        <v>1</v>
      </c>
      <c r="D670" s="113" t="s">
        <v>119</v>
      </c>
      <c r="E670" s="76" t="s">
        <v>55</v>
      </c>
      <c r="F670" s="176">
        <f t="shared" ref="F670:U670" si="591">F9*$E$664</f>
        <v>0</v>
      </c>
      <c r="G670" s="176">
        <f t="shared" si="588"/>
        <v>0</v>
      </c>
      <c r="H670" s="176">
        <f t="shared" si="588"/>
        <v>0</v>
      </c>
      <c r="I670" s="176">
        <f t="shared" si="588"/>
        <v>0</v>
      </c>
      <c r="J670" s="176">
        <f t="shared" si="588"/>
        <v>0</v>
      </c>
      <c r="K670" s="176">
        <f t="shared" si="588"/>
        <v>0</v>
      </c>
      <c r="L670" s="176">
        <f t="shared" si="588"/>
        <v>0</v>
      </c>
      <c r="M670" s="176">
        <f t="shared" si="591"/>
        <v>0</v>
      </c>
      <c r="N670" s="176">
        <f t="shared" si="591"/>
        <v>0</v>
      </c>
      <c r="O670" s="176">
        <f t="shared" si="589"/>
        <v>0</v>
      </c>
      <c r="P670" s="176">
        <f t="shared" si="591"/>
        <v>0</v>
      </c>
      <c r="Q670" s="175">
        <f t="shared" si="590"/>
        <v>0</v>
      </c>
      <c r="R670" s="176">
        <f t="shared" si="591"/>
        <v>0</v>
      </c>
      <c r="S670" s="176">
        <f t="shared" si="591"/>
        <v>0</v>
      </c>
      <c r="T670" s="176">
        <f t="shared" si="591"/>
        <v>0</v>
      </c>
      <c r="U670" s="176">
        <f t="shared" si="591"/>
        <v>0</v>
      </c>
    </row>
    <row r="671" spans="3:21" ht="18.75" x14ac:dyDescent="0.3">
      <c r="C671" s="294">
        <f t="shared" si="584"/>
        <v>1</v>
      </c>
      <c r="D671" s="113" t="s">
        <v>120</v>
      </c>
      <c r="E671" s="76" t="s">
        <v>54</v>
      </c>
      <c r="F671" s="176">
        <f t="shared" ref="F671:U671" si="592">F10*$E$664</f>
        <v>0</v>
      </c>
      <c r="G671" s="176">
        <f t="shared" si="588"/>
        <v>0</v>
      </c>
      <c r="H671" s="176">
        <f t="shared" si="588"/>
        <v>0</v>
      </c>
      <c r="I671" s="176">
        <f t="shared" si="588"/>
        <v>0</v>
      </c>
      <c r="J671" s="176">
        <f t="shared" si="588"/>
        <v>0</v>
      </c>
      <c r="K671" s="176">
        <f t="shared" si="588"/>
        <v>0</v>
      </c>
      <c r="L671" s="176">
        <f t="shared" si="588"/>
        <v>0</v>
      </c>
      <c r="M671" s="176">
        <f t="shared" si="592"/>
        <v>0</v>
      </c>
      <c r="N671" s="176">
        <f t="shared" si="592"/>
        <v>0</v>
      </c>
      <c r="O671" s="176">
        <f t="shared" si="589"/>
        <v>0</v>
      </c>
      <c r="P671" s="176">
        <f t="shared" si="592"/>
        <v>0</v>
      </c>
      <c r="Q671" s="175">
        <f t="shared" si="590"/>
        <v>0</v>
      </c>
      <c r="R671" s="176">
        <f t="shared" si="592"/>
        <v>0</v>
      </c>
      <c r="S671" s="176">
        <f t="shared" si="592"/>
        <v>0</v>
      </c>
      <c r="T671" s="176">
        <f t="shared" si="592"/>
        <v>0</v>
      </c>
      <c r="U671" s="176">
        <f t="shared" si="592"/>
        <v>0</v>
      </c>
    </row>
    <row r="672" spans="3:21" ht="18.75" x14ac:dyDescent="0.3">
      <c r="C672" s="294">
        <f t="shared" si="584"/>
        <v>1</v>
      </c>
      <c r="D672" s="113" t="s">
        <v>121</v>
      </c>
      <c r="E672" s="76" t="s">
        <v>53</v>
      </c>
      <c r="F672" s="176">
        <f t="shared" ref="F672:U672" si="593">F11*$E$664</f>
        <v>0</v>
      </c>
      <c r="G672" s="176">
        <f t="shared" si="588"/>
        <v>0</v>
      </c>
      <c r="H672" s="176">
        <f t="shared" si="588"/>
        <v>0</v>
      </c>
      <c r="I672" s="176">
        <f t="shared" si="588"/>
        <v>0</v>
      </c>
      <c r="J672" s="176">
        <f t="shared" si="588"/>
        <v>0</v>
      </c>
      <c r="K672" s="176">
        <f t="shared" si="588"/>
        <v>0</v>
      </c>
      <c r="L672" s="176">
        <f t="shared" si="588"/>
        <v>0</v>
      </c>
      <c r="M672" s="176">
        <f t="shared" si="593"/>
        <v>0</v>
      </c>
      <c r="N672" s="176">
        <f t="shared" si="593"/>
        <v>0</v>
      </c>
      <c r="O672" s="176">
        <f t="shared" si="589"/>
        <v>0</v>
      </c>
      <c r="P672" s="176">
        <f t="shared" si="593"/>
        <v>0</v>
      </c>
      <c r="Q672" s="175">
        <f t="shared" si="590"/>
        <v>0</v>
      </c>
      <c r="R672" s="176">
        <f t="shared" si="593"/>
        <v>0</v>
      </c>
      <c r="S672" s="176">
        <f t="shared" si="593"/>
        <v>0</v>
      </c>
      <c r="T672" s="176">
        <f t="shared" si="593"/>
        <v>0</v>
      </c>
      <c r="U672" s="176">
        <f t="shared" si="593"/>
        <v>0</v>
      </c>
    </row>
    <row r="673" spans="3:21" ht="18.75" x14ac:dyDescent="0.3">
      <c r="C673" s="294">
        <f t="shared" si="584"/>
        <v>1</v>
      </c>
      <c r="D673" s="113" t="s">
        <v>122</v>
      </c>
      <c r="E673" s="76" t="s">
        <v>52</v>
      </c>
      <c r="F673" s="176">
        <f t="shared" ref="F673:U673" si="594">F12*$E$664</f>
        <v>0</v>
      </c>
      <c r="G673" s="176">
        <f t="shared" si="588"/>
        <v>0</v>
      </c>
      <c r="H673" s="176">
        <f t="shared" si="588"/>
        <v>0</v>
      </c>
      <c r="I673" s="176">
        <f t="shared" si="588"/>
        <v>0</v>
      </c>
      <c r="J673" s="176">
        <f t="shared" si="588"/>
        <v>0</v>
      </c>
      <c r="K673" s="176">
        <f t="shared" si="588"/>
        <v>0</v>
      </c>
      <c r="L673" s="176">
        <f t="shared" si="588"/>
        <v>0</v>
      </c>
      <c r="M673" s="176">
        <f t="shared" si="594"/>
        <v>0</v>
      </c>
      <c r="N673" s="176">
        <f t="shared" si="594"/>
        <v>0</v>
      </c>
      <c r="O673" s="176">
        <f t="shared" si="589"/>
        <v>0</v>
      </c>
      <c r="P673" s="176">
        <f t="shared" si="594"/>
        <v>0</v>
      </c>
      <c r="Q673" s="175">
        <f t="shared" si="590"/>
        <v>0</v>
      </c>
      <c r="R673" s="176">
        <f t="shared" si="594"/>
        <v>0</v>
      </c>
      <c r="S673" s="176">
        <f t="shared" si="594"/>
        <v>0</v>
      </c>
      <c r="T673" s="176">
        <f t="shared" si="594"/>
        <v>0</v>
      </c>
      <c r="U673" s="176">
        <f t="shared" si="594"/>
        <v>0</v>
      </c>
    </row>
    <row r="674" spans="3:21" ht="18.75" x14ac:dyDescent="0.3">
      <c r="C674" s="294">
        <f t="shared" si="584"/>
        <v>1</v>
      </c>
      <c r="D674" s="125" t="s">
        <v>123</v>
      </c>
      <c r="E674" s="76" t="s">
        <v>51</v>
      </c>
      <c r="F674" s="176">
        <f t="shared" ref="F674:U674" si="595">F13*$E$664</f>
        <v>0</v>
      </c>
      <c r="G674" s="176">
        <f t="shared" si="588"/>
        <v>0</v>
      </c>
      <c r="H674" s="176">
        <f t="shared" si="588"/>
        <v>0</v>
      </c>
      <c r="I674" s="176">
        <f t="shared" si="588"/>
        <v>0</v>
      </c>
      <c r="J674" s="176">
        <f t="shared" si="588"/>
        <v>0</v>
      </c>
      <c r="K674" s="176">
        <f t="shared" si="588"/>
        <v>0</v>
      </c>
      <c r="L674" s="176">
        <f t="shared" si="588"/>
        <v>0</v>
      </c>
      <c r="M674" s="176">
        <f t="shared" si="595"/>
        <v>0</v>
      </c>
      <c r="N674" s="176">
        <f t="shared" si="595"/>
        <v>0</v>
      </c>
      <c r="O674" s="176">
        <f t="shared" si="589"/>
        <v>0</v>
      </c>
      <c r="P674" s="176">
        <f t="shared" si="595"/>
        <v>0</v>
      </c>
      <c r="Q674" s="175">
        <f t="shared" si="590"/>
        <v>0</v>
      </c>
      <c r="R674" s="176">
        <f t="shared" si="595"/>
        <v>0</v>
      </c>
      <c r="S674" s="176">
        <f t="shared" si="595"/>
        <v>0</v>
      </c>
      <c r="T674" s="176">
        <f t="shared" si="595"/>
        <v>0</v>
      </c>
      <c r="U674" s="176">
        <f t="shared" si="595"/>
        <v>0</v>
      </c>
    </row>
    <row r="675" spans="3:21" ht="19.5" thickBot="1" x14ac:dyDescent="0.35">
      <c r="C675" s="294">
        <f t="shared" si="584"/>
        <v>1</v>
      </c>
      <c r="D675" s="114" t="s">
        <v>16</v>
      </c>
      <c r="E675" s="70" t="s">
        <v>50</v>
      </c>
      <c r="F675" s="176">
        <f t="shared" ref="F675:U675" si="596">F14*$E$664</f>
        <v>275717.37284773542</v>
      </c>
      <c r="G675" s="176">
        <f t="shared" si="588"/>
        <v>5477.0818564342972</v>
      </c>
      <c r="H675" s="176">
        <f t="shared" si="588"/>
        <v>0</v>
      </c>
      <c r="I675" s="176">
        <f t="shared" si="588"/>
        <v>0</v>
      </c>
      <c r="J675" s="176">
        <f t="shared" si="588"/>
        <v>11693.239478073221</v>
      </c>
      <c r="K675" s="176">
        <f t="shared" si="588"/>
        <v>48.141575201507244</v>
      </c>
      <c r="L675" s="176">
        <f t="shared" si="588"/>
        <v>6.7749011717785184</v>
      </c>
      <c r="M675" s="176">
        <f t="shared" si="596"/>
        <v>0</v>
      </c>
      <c r="N675" s="176">
        <f t="shared" si="596"/>
        <v>0</v>
      </c>
      <c r="O675" s="176">
        <f t="shared" si="589"/>
        <v>3504.0866685624919</v>
      </c>
      <c r="P675" s="176">
        <f t="shared" si="596"/>
        <v>59680.343725050865</v>
      </c>
      <c r="Q675" s="175">
        <f t="shared" si="590"/>
        <v>356127.04105222959</v>
      </c>
      <c r="R675" s="176">
        <f t="shared" si="596"/>
        <v>0</v>
      </c>
      <c r="S675" s="176">
        <f t="shared" si="596"/>
        <v>24762.704408051693</v>
      </c>
      <c r="T675" s="176">
        <f t="shared" ca="1" si="596"/>
        <v>7181.8500550866265</v>
      </c>
      <c r="U675" s="176">
        <f t="shared" ca="1" si="596"/>
        <v>409.24467675246495</v>
      </c>
    </row>
    <row r="676" spans="3:21" ht="19.5" thickBot="1" x14ac:dyDescent="0.3">
      <c r="C676" s="294">
        <f t="shared" si="584"/>
        <v>1</v>
      </c>
      <c r="D676" s="115" t="s">
        <v>124</v>
      </c>
      <c r="E676" s="116" t="s">
        <v>49</v>
      </c>
      <c r="F676" s="269">
        <f t="shared" ref="F676:U676" si="597">SUBTOTAL(9,F667:F675)</f>
        <v>2858017.204023255</v>
      </c>
      <c r="G676" s="269">
        <f t="shared" ref="G676:L676" si="598">SUBTOTAL(9,G667:G675)</f>
        <v>63545.888663271558</v>
      </c>
      <c r="H676" s="269">
        <f t="shared" si="598"/>
        <v>0</v>
      </c>
      <c r="I676" s="269">
        <f t="shared" si="598"/>
        <v>74009.50299491956</v>
      </c>
      <c r="J676" s="269">
        <f t="shared" si="598"/>
        <v>20178.05001629758</v>
      </c>
      <c r="K676" s="269">
        <f t="shared" si="598"/>
        <v>2623.3253210128742</v>
      </c>
      <c r="L676" s="269">
        <f t="shared" si="598"/>
        <v>6.7749011717785184</v>
      </c>
      <c r="M676" s="269">
        <f t="shared" si="597"/>
        <v>0</v>
      </c>
      <c r="N676" s="269">
        <f t="shared" si="597"/>
        <v>0</v>
      </c>
      <c r="O676" s="269">
        <f>SUBTOTAL(9,O667:O675)</f>
        <v>3576.5795831712139</v>
      </c>
      <c r="P676" s="269">
        <f t="shared" si="597"/>
        <v>59680.343725050865</v>
      </c>
      <c r="Q676" s="183">
        <f>SUBTOTAL(9,Q667:Q675)</f>
        <v>3081637.6692281505</v>
      </c>
      <c r="R676" s="269">
        <f t="shared" si="597"/>
        <v>0</v>
      </c>
      <c r="S676" s="269">
        <f t="shared" si="597"/>
        <v>232750.03769631963</v>
      </c>
      <c r="T676" s="269">
        <f t="shared" ca="1" si="597"/>
        <v>95709.052549959641</v>
      </c>
      <c r="U676" s="269">
        <f t="shared" ca="1" si="597"/>
        <v>66200.909248233744</v>
      </c>
    </row>
    <row r="677" spans="3:21" ht="15.75" hidden="1" thickBot="1" x14ac:dyDescent="0.3"/>
    <row r="678" spans="3:21" ht="93.75" x14ac:dyDescent="0.25">
      <c r="C678" s="294">
        <f>IF($E$678&gt;0,1,0)</f>
        <v>1</v>
      </c>
      <c r="D678" s="96" t="str">
        <f>A51</f>
        <v>Schoharie</v>
      </c>
      <c r="E678" s="166">
        <f>IFERROR(SUMIF(A:A,D678,B:B),0)</f>
        <v>2.3823698462762297E-3</v>
      </c>
      <c r="F678" s="98" t="s">
        <v>356</v>
      </c>
      <c r="G678" s="98" t="s">
        <v>373</v>
      </c>
      <c r="H678" s="98" t="s">
        <v>358</v>
      </c>
      <c r="I678" s="98" t="s">
        <v>109</v>
      </c>
      <c r="J678" s="98" t="s">
        <v>111</v>
      </c>
      <c r="K678" s="98" t="s">
        <v>469</v>
      </c>
      <c r="L678" s="98" t="s">
        <v>470</v>
      </c>
      <c r="M678" s="98" t="s">
        <v>357</v>
      </c>
      <c r="N678" s="557" t="s">
        <v>471</v>
      </c>
      <c r="O678" s="557" t="s">
        <v>473</v>
      </c>
      <c r="P678" s="98" t="s">
        <v>110</v>
      </c>
      <c r="Q678" s="99" t="s">
        <v>116</v>
      </c>
      <c r="R678" s="98" t="s">
        <v>112</v>
      </c>
      <c r="S678" s="98" t="s">
        <v>113</v>
      </c>
      <c r="T678" s="98" t="s">
        <v>114</v>
      </c>
      <c r="U678" s="98" t="s">
        <v>115</v>
      </c>
    </row>
    <row r="679" spans="3:21" ht="18.75" x14ac:dyDescent="0.25">
      <c r="C679" s="294">
        <f>C678</f>
        <v>1</v>
      </c>
      <c r="D679" s="101"/>
      <c r="E679" s="102"/>
      <c r="F679" s="84" t="s">
        <v>57</v>
      </c>
      <c r="G679" s="84" t="s">
        <v>56</v>
      </c>
      <c r="H679" s="84" t="s">
        <v>55</v>
      </c>
      <c r="I679" s="84" t="s">
        <v>54</v>
      </c>
      <c r="J679" s="84" t="s">
        <v>53</v>
      </c>
      <c r="K679" s="84" t="s">
        <v>52</v>
      </c>
      <c r="L679" s="84" t="s">
        <v>51</v>
      </c>
      <c r="M679" s="84" t="s">
        <v>50</v>
      </c>
      <c r="N679" s="84" t="s">
        <v>49</v>
      </c>
      <c r="O679" s="84" t="s">
        <v>47</v>
      </c>
      <c r="P679" s="84" t="s">
        <v>77</v>
      </c>
      <c r="Q679" s="84" t="s">
        <v>78</v>
      </c>
      <c r="R679" s="84" t="s">
        <v>79</v>
      </c>
      <c r="S679" s="84" t="s">
        <v>81</v>
      </c>
      <c r="T679" s="84" t="s">
        <v>83</v>
      </c>
      <c r="U679" s="84" t="s">
        <v>85</v>
      </c>
    </row>
    <row r="680" spans="3:21" ht="18.75" x14ac:dyDescent="0.25">
      <c r="C680" s="294">
        <f>C678</f>
        <v>1</v>
      </c>
      <c r="D680" s="103" t="s">
        <v>26</v>
      </c>
      <c r="E680" s="122"/>
      <c r="F680" s="123"/>
      <c r="G680" s="123"/>
      <c r="H680" s="107"/>
      <c r="I680" s="107"/>
      <c r="J680" s="107"/>
      <c r="K680" s="107"/>
      <c r="L680" s="107"/>
      <c r="M680" s="123"/>
      <c r="N680" s="107"/>
      <c r="O680" s="107"/>
      <c r="P680" s="107"/>
      <c r="Q680" s="108"/>
      <c r="R680" s="107"/>
      <c r="S680" s="107"/>
      <c r="T680" s="107"/>
      <c r="U680" s="107"/>
    </row>
    <row r="681" spans="3:21" ht="18.75" x14ac:dyDescent="0.25">
      <c r="C681" s="294">
        <f t="shared" ref="C681:C690" si="599">C679</f>
        <v>1</v>
      </c>
      <c r="D681" s="124" t="s">
        <v>105</v>
      </c>
      <c r="E681" s="76" t="s">
        <v>57</v>
      </c>
      <c r="F681" s="176">
        <f t="shared" ref="F681:L681" si="600">F6*$E$678</f>
        <v>168029.47852742605</v>
      </c>
      <c r="G681" s="176">
        <f t="shared" si="600"/>
        <v>3778.5199103006521</v>
      </c>
      <c r="H681" s="176">
        <f t="shared" si="600"/>
        <v>0</v>
      </c>
      <c r="I681" s="176">
        <f t="shared" si="600"/>
        <v>4815.7762488212966</v>
      </c>
      <c r="J681" s="176">
        <f t="shared" si="600"/>
        <v>552.1040868026696</v>
      </c>
      <c r="K681" s="176">
        <f t="shared" si="600"/>
        <v>167.56643697878027</v>
      </c>
      <c r="L681" s="176">
        <f t="shared" si="600"/>
        <v>0</v>
      </c>
      <c r="M681" s="176">
        <f t="shared" ref="M681:U681" si="601">M6*$E$678</f>
        <v>0</v>
      </c>
      <c r="N681" s="176">
        <f t="shared" si="601"/>
        <v>0</v>
      </c>
      <c r="O681" s="176">
        <f>O6*$E$678</f>
        <v>4.7170922956269346</v>
      </c>
      <c r="P681" s="176">
        <f t="shared" si="601"/>
        <v>0</v>
      </c>
      <c r="Q681" s="175">
        <f>SUM(F681:P681)</f>
        <v>177348.16230262505</v>
      </c>
      <c r="R681" s="176">
        <f t="shared" si="601"/>
        <v>0</v>
      </c>
      <c r="S681" s="176">
        <f t="shared" si="601"/>
        <v>13533.673638830905</v>
      </c>
      <c r="T681" s="176">
        <f t="shared" ca="1" si="601"/>
        <v>5760.4386179794828</v>
      </c>
      <c r="U681" s="176">
        <f t="shared" ca="1" si="601"/>
        <v>4281.0439577672432</v>
      </c>
    </row>
    <row r="682" spans="3:21" ht="18.75" x14ac:dyDescent="0.25">
      <c r="C682" s="294">
        <f t="shared" si="599"/>
        <v>1</v>
      </c>
      <c r="D682" s="112" t="s">
        <v>31</v>
      </c>
      <c r="E682" s="76"/>
      <c r="F682" s="177"/>
      <c r="G682" s="177"/>
      <c r="H682" s="178"/>
      <c r="I682" s="178"/>
      <c r="J682" s="178"/>
      <c r="K682" s="178"/>
      <c r="L682" s="178"/>
      <c r="M682" s="177"/>
      <c r="N682" s="178"/>
      <c r="O682" s="178"/>
      <c r="P682" s="178"/>
      <c r="Q682" s="179"/>
      <c r="R682" s="178"/>
      <c r="S682" s="178"/>
      <c r="T682" s="178"/>
      <c r="U682" s="178"/>
    </row>
    <row r="683" spans="3:21" ht="18.75" x14ac:dyDescent="0.3">
      <c r="C683" s="294">
        <f t="shared" si="599"/>
        <v>1</v>
      </c>
      <c r="D683" s="113" t="s">
        <v>118</v>
      </c>
      <c r="E683" s="76" t="s">
        <v>56</v>
      </c>
      <c r="F683" s="176">
        <f t="shared" ref="F683:U683" si="602">F8*$E$678</f>
        <v>0</v>
      </c>
      <c r="G683" s="176">
        <f t="shared" ref="G683:L689" si="603">G8*$E$678</f>
        <v>0</v>
      </c>
      <c r="H683" s="176">
        <f t="shared" si="603"/>
        <v>0</v>
      </c>
      <c r="I683" s="176">
        <f t="shared" si="603"/>
        <v>0</v>
      </c>
      <c r="J683" s="176">
        <f t="shared" si="603"/>
        <v>0</v>
      </c>
      <c r="K683" s="176">
        <f t="shared" si="603"/>
        <v>0</v>
      </c>
      <c r="L683" s="176">
        <f t="shared" si="603"/>
        <v>0</v>
      </c>
      <c r="M683" s="176">
        <f t="shared" si="602"/>
        <v>0</v>
      </c>
      <c r="N683" s="176">
        <f t="shared" si="602"/>
        <v>0</v>
      </c>
      <c r="O683" s="176">
        <f t="shared" ref="O683:O689" si="604">O8*$E$678</f>
        <v>0</v>
      </c>
      <c r="P683" s="176">
        <f t="shared" si="602"/>
        <v>0</v>
      </c>
      <c r="Q683" s="175">
        <f t="shared" ref="Q683:Q689" si="605">SUM(F683:P683)</f>
        <v>0</v>
      </c>
      <c r="R683" s="176">
        <f t="shared" si="602"/>
        <v>0</v>
      </c>
      <c r="S683" s="176">
        <f t="shared" si="602"/>
        <v>0</v>
      </c>
      <c r="T683" s="176">
        <f t="shared" si="602"/>
        <v>0</v>
      </c>
      <c r="U683" s="176">
        <f t="shared" si="602"/>
        <v>0</v>
      </c>
    </row>
    <row r="684" spans="3:21" ht="18.75" x14ac:dyDescent="0.3">
      <c r="C684" s="294">
        <f t="shared" si="599"/>
        <v>1</v>
      </c>
      <c r="D684" s="113" t="s">
        <v>119</v>
      </c>
      <c r="E684" s="76" t="s">
        <v>55</v>
      </c>
      <c r="F684" s="176">
        <f t="shared" ref="F684:U684" si="606">F9*$E$678</f>
        <v>0</v>
      </c>
      <c r="G684" s="176">
        <f t="shared" si="603"/>
        <v>0</v>
      </c>
      <c r="H684" s="176">
        <f t="shared" si="603"/>
        <v>0</v>
      </c>
      <c r="I684" s="176">
        <f t="shared" si="603"/>
        <v>0</v>
      </c>
      <c r="J684" s="176">
        <f t="shared" si="603"/>
        <v>0</v>
      </c>
      <c r="K684" s="176">
        <f t="shared" si="603"/>
        <v>0</v>
      </c>
      <c r="L684" s="176">
        <f t="shared" si="603"/>
        <v>0</v>
      </c>
      <c r="M684" s="176">
        <f t="shared" si="606"/>
        <v>0</v>
      </c>
      <c r="N684" s="176">
        <f t="shared" si="606"/>
        <v>0</v>
      </c>
      <c r="O684" s="176">
        <f t="shared" si="604"/>
        <v>0</v>
      </c>
      <c r="P684" s="176">
        <f t="shared" si="606"/>
        <v>0</v>
      </c>
      <c r="Q684" s="175">
        <f t="shared" si="605"/>
        <v>0</v>
      </c>
      <c r="R684" s="176">
        <f t="shared" si="606"/>
        <v>0</v>
      </c>
      <c r="S684" s="176">
        <f t="shared" si="606"/>
        <v>0</v>
      </c>
      <c r="T684" s="176">
        <f t="shared" si="606"/>
        <v>0</v>
      </c>
      <c r="U684" s="176">
        <f t="shared" si="606"/>
        <v>0</v>
      </c>
    </row>
    <row r="685" spans="3:21" ht="18.75" x14ac:dyDescent="0.3">
      <c r="C685" s="294">
        <f t="shared" si="599"/>
        <v>1</v>
      </c>
      <c r="D685" s="113" t="s">
        <v>120</v>
      </c>
      <c r="E685" s="76" t="s">
        <v>54</v>
      </c>
      <c r="F685" s="176">
        <f t="shared" ref="F685:U685" si="607">F10*$E$678</f>
        <v>0</v>
      </c>
      <c r="G685" s="176">
        <f t="shared" si="603"/>
        <v>0</v>
      </c>
      <c r="H685" s="176">
        <f t="shared" si="603"/>
        <v>0</v>
      </c>
      <c r="I685" s="176">
        <f t="shared" si="603"/>
        <v>0</v>
      </c>
      <c r="J685" s="176">
        <f t="shared" si="603"/>
        <v>0</v>
      </c>
      <c r="K685" s="176">
        <f t="shared" si="603"/>
        <v>0</v>
      </c>
      <c r="L685" s="176">
        <f t="shared" si="603"/>
        <v>0</v>
      </c>
      <c r="M685" s="176">
        <f t="shared" si="607"/>
        <v>0</v>
      </c>
      <c r="N685" s="176">
        <f t="shared" si="607"/>
        <v>0</v>
      </c>
      <c r="O685" s="176">
        <f t="shared" si="604"/>
        <v>0</v>
      </c>
      <c r="P685" s="176">
        <f t="shared" si="607"/>
        <v>0</v>
      </c>
      <c r="Q685" s="175">
        <f t="shared" si="605"/>
        <v>0</v>
      </c>
      <c r="R685" s="176">
        <f t="shared" si="607"/>
        <v>0</v>
      </c>
      <c r="S685" s="176">
        <f t="shared" si="607"/>
        <v>0</v>
      </c>
      <c r="T685" s="176">
        <f t="shared" si="607"/>
        <v>0</v>
      </c>
      <c r="U685" s="176">
        <f t="shared" si="607"/>
        <v>0</v>
      </c>
    </row>
    <row r="686" spans="3:21" ht="18.75" x14ac:dyDescent="0.3">
      <c r="C686" s="294">
        <f t="shared" si="599"/>
        <v>1</v>
      </c>
      <c r="D686" s="113" t="s">
        <v>121</v>
      </c>
      <c r="E686" s="76" t="s">
        <v>53</v>
      </c>
      <c r="F686" s="176">
        <f t="shared" ref="F686:U686" si="608">F11*$E$678</f>
        <v>0</v>
      </c>
      <c r="G686" s="176">
        <f t="shared" si="603"/>
        <v>0</v>
      </c>
      <c r="H686" s="176">
        <f t="shared" si="603"/>
        <v>0</v>
      </c>
      <c r="I686" s="176">
        <f t="shared" si="603"/>
        <v>0</v>
      </c>
      <c r="J686" s="176">
        <f t="shared" si="603"/>
        <v>0</v>
      </c>
      <c r="K686" s="176">
        <f t="shared" si="603"/>
        <v>0</v>
      </c>
      <c r="L686" s="176">
        <f t="shared" si="603"/>
        <v>0</v>
      </c>
      <c r="M686" s="176">
        <f t="shared" si="608"/>
        <v>0</v>
      </c>
      <c r="N686" s="176">
        <f t="shared" si="608"/>
        <v>0</v>
      </c>
      <c r="O686" s="176">
        <f t="shared" si="604"/>
        <v>0</v>
      </c>
      <c r="P686" s="176">
        <f t="shared" si="608"/>
        <v>0</v>
      </c>
      <c r="Q686" s="175">
        <f t="shared" si="605"/>
        <v>0</v>
      </c>
      <c r="R686" s="176">
        <f t="shared" si="608"/>
        <v>0</v>
      </c>
      <c r="S686" s="176">
        <f t="shared" si="608"/>
        <v>0</v>
      </c>
      <c r="T686" s="176">
        <f t="shared" si="608"/>
        <v>0</v>
      </c>
      <c r="U686" s="176">
        <f t="shared" si="608"/>
        <v>0</v>
      </c>
    </row>
    <row r="687" spans="3:21" ht="18.75" x14ac:dyDescent="0.3">
      <c r="C687" s="294">
        <f t="shared" si="599"/>
        <v>1</v>
      </c>
      <c r="D687" s="113" t="s">
        <v>122</v>
      </c>
      <c r="E687" s="76" t="s">
        <v>52</v>
      </c>
      <c r="F687" s="176">
        <f t="shared" ref="F687:U687" si="609">F12*$E$678</f>
        <v>0</v>
      </c>
      <c r="G687" s="176">
        <f t="shared" si="603"/>
        <v>0</v>
      </c>
      <c r="H687" s="176">
        <f t="shared" si="603"/>
        <v>0</v>
      </c>
      <c r="I687" s="176">
        <f t="shared" si="603"/>
        <v>0</v>
      </c>
      <c r="J687" s="176">
        <f t="shared" si="603"/>
        <v>0</v>
      </c>
      <c r="K687" s="176">
        <f t="shared" si="603"/>
        <v>0</v>
      </c>
      <c r="L687" s="176">
        <f t="shared" si="603"/>
        <v>0</v>
      </c>
      <c r="M687" s="176">
        <f t="shared" si="609"/>
        <v>0</v>
      </c>
      <c r="N687" s="176">
        <f t="shared" si="609"/>
        <v>0</v>
      </c>
      <c r="O687" s="176">
        <f t="shared" si="604"/>
        <v>0</v>
      </c>
      <c r="P687" s="176">
        <f t="shared" si="609"/>
        <v>0</v>
      </c>
      <c r="Q687" s="175">
        <f t="shared" si="605"/>
        <v>0</v>
      </c>
      <c r="R687" s="176">
        <f t="shared" si="609"/>
        <v>0</v>
      </c>
      <c r="S687" s="176">
        <f t="shared" si="609"/>
        <v>0</v>
      </c>
      <c r="T687" s="176">
        <f t="shared" si="609"/>
        <v>0</v>
      </c>
      <c r="U687" s="176">
        <f t="shared" si="609"/>
        <v>0</v>
      </c>
    </row>
    <row r="688" spans="3:21" ht="18.75" x14ac:dyDescent="0.3">
      <c r="C688" s="294">
        <f t="shared" si="599"/>
        <v>1</v>
      </c>
      <c r="D688" s="125" t="s">
        <v>123</v>
      </c>
      <c r="E688" s="76" t="s">
        <v>51</v>
      </c>
      <c r="F688" s="176">
        <f t="shared" ref="F688:U688" si="610">F13*$E$678</f>
        <v>0</v>
      </c>
      <c r="G688" s="176">
        <f t="shared" si="603"/>
        <v>0</v>
      </c>
      <c r="H688" s="176">
        <f t="shared" si="603"/>
        <v>0</v>
      </c>
      <c r="I688" s="176">
        <f t="shared" si="603"/>
        <v>0</v>
      </c>
      <c r="J688" s="176">
        <f t="shared" si="603"/>
        <v>0</v>
      </c>
      <c r="K688" s="176">
        <f t="shared" si="603"/>
        <v>0</v>
      </c>
      <c r="L688" s="176">
        <f t="shared" si="603"/>
        <v>0</v>
      </c>
      <c r="M688" s="176">
        <f t="shared" si="610"/>
        <v>0</v>
      </c>
      <c r="N688" s="176">
        <f t="shared" si="610"/>
        <v>0</v>
      </c>
      <c r="O688" s="176">
        <f t="shared" si="604"/>
        <v>0</v>
      </c>
      <c r="P688" s="176">
        <f t="shared" si="610"/>
        <v>0</v>
      </c>
      <c r="Q688" s="175">
        <f t="shared" si="605"/>
        <v>0</v>
      </c>
      <c r="R688" s="176">
        <f t="shared" si="610"/>
        <v>0</v>
      </c>
      <c r="S688" s="176">
        <f t="shared" si="610"/>
        <v>0</v>
      </c>
      <c r="T688" s="176">
        <f t="shared" si="610"/>
        <v>0</v>
      </c>
      <c r="U688" s="176">
        <f t="shared" si="610"/>
        <v>0</v>
      </c>
    </row>
    <row r="689" spans="3:21" ht="19.5" thickBot="1" x14ac:dyDescent="0.35">
      <c r="C689" s="294">
        <f t="shared" si="599"/>
        <v>1</v>
      </c>
      <c r="D689" s="114" t="s">
        <v>16</v>
      </c>
      <c r="E689" s="70" t="s">
        <v>50</v>
      </c>
      <c r="F689" s="176">
        <f t="shared" ref="F689:U689" si="611">F14*$E$678</f>
        <v>17940.847077958049</v>
      </c>
      <c r="G689" s="176">
        <f t="shared" si="603"/>
        <v>356.39208006675807</v>
      </c>
      <c r="H689" s="176">
        <f t="shared" si="603"/>
        <v>0</v>
      </c>
      <c r="I689" s="176">
        <f t="shared" si="603"/>
        <v>0</v>
      </c>
      <c r="J689" s="176">
        <f t="shared" si="603"/>
        <v>760.8755993693153</v>
      </c>
      <c r="K689" s="176">
        <f t="shared" si="603"/>
        <v>3.1325579155987264</v>
      </c>
      <c r="L689" s="176">
        <f t="shared" si="603"/>
        <v>0.44084079518007607</v>
      </c>
      <c r="M689" s="176">
        <f t="shared" si="611"/>
        <v>0</v>
      </c>
      <c r="N689" s="176">
        <f t="shared" si="611"/>
        <v>0</v>
      </c>
      <c r="O689" s="176">
        <f t="shared" si="604"/>
        <v>228.00987264342231</v>
      </c>
      <c r="P689" s="176">
        <f t="shared" si="611"/>
        <v>3883.3821361064988</v>
      </c>
      <c r="Q689" s="175">
        <f t="shared" si="605"/>
        <v>23173.080164854826</v>
      </c>
      <c r="R689" s="176">
        <f t="shared" si="611"/>
        <v>0</v>
      </c>
      <c r="S689" s="176">
        <f t="shared" si="611"/>
        <v>1611.3017777333796</v>
      </c>
      <c r="T689" s="176">
        <f t="shared" ca="1" si="611"/>
        <v>467.32083743700173</v>
      </c>
      <c r="U689" s="176">
        <f t="shared" ca="1" si="611"/>
        <v>26.629428850459366</v>
      </c>
    </row>
    <row r="690" spans="3:21" ht="19.5" thickBot="1" x14ac:dyDescent="0.3">
      <c r="C690" s="294">
        <f t="shared" si="599"/>
        <v>1</v>
      </c>
      <c r="D690" s="115" t="s">
        <v>124</v>
      </c>
      <c r="E690" s="116" t="s">
        <v>49</v>
      </c>
      <c r="F690" s="269">
        <f t="shared" ref="F690:U690" si="612">SUBTOTAL(9,F681:F689)</f>
        <v>185970.3256053841</v>
      </c>
      <c r="G690" s="269">
        <f t="shared" ref="G690:L690" si="613">SUBTOTAL(9,G681:G689)</f>
        <v>4134.91199036741</v>
      </c>
      <c r="H690" s="269">
        <f t="shared" si="613"/>
        <v>0</v>
      </c>
      <c r="I690" s="269">
        <f t="shared" si="613"/>
        <v>4815.7762488212966</v>
      </c>
      <c r="J690" s="269">
        <f t="shared" si="613"/>
        <v>1312.9796861719849</v>
      </c>
      <c r="K690" s="269">
        <f t="shared" si="613"/>
        <v>170.69899489437901</v>
      </c>
      <c r="L690" s="269">
        <f t="shared" si="613"/>
        <v>0.44084079518007607</v>
      </c>
      <c r="M690" s="269">
        <f t="shared" si="612"/>
        <v>0</v>
      </c>
      <c r="N690" s="269">
        <f t="shared" si="612"/>
        <v>0</v>
      </c>
      <c r="O690" s="269">
        <f>SUBTOTAL(9,O681:O689)</f>
        <v>232.72696493904925</v>
      </c>
      <c r="P690" s="269">
        <f t="shared" si="612"/>
        <v>3883.3821361064988</v>
      </c>
      <c r="Q690" s="183">
        <f>SUBTOTAL(9,Q681:Q689)</f>
        <v>200521.24246747987</v>
      </c>
      <c r="R690" s="269">
        <f t="shared" si="612"/>
        <v>0</v>
      </c>
      <c r="S690" s="269">
        <f t="shared" si="612"/>
        <v>15144.975416564284</v>
      </c>
      <c r="T690" s="269">
        <f t="shared" ca="1" si="612"/>
        <v>6227.7594554164843</v>
      </c>
      <c r="U690" s="269">
        <f t="shared" ca="1" si="612"/>
        <v>4307.6733866177028</v>
      </c>
    </row>
    <row r="691" spans="3:21" ht="15.75" hidden="1" thickBot="1" x14ac:dyDescent="0.3"/>
    <row r="692" spans="3:21" ht="93.75" x14ac:dyDescent="0.25">
      <c r="C692" s="294">
        <f>IF($E$692&gt;0,1,0)</f>
        <v>1</v>
      </c>
      <c r="D692" s="96" t="str">
        <f>A52</f>
        <v>Schuyler</v>
      </c>
      <c r="E692" s="166">
        <f>IFERROR(SUMIF(A:A,D692,B:B),0)</f>
        <v>6.2373675956962351E-4</v>
      </c>
      <c r="F692" s="98" t="s">
        <v>356</v>
      </c>
      <c r="G692" s="98" t="s">
        <v>373</v>
      </c>
      <c r="H692" s="98" t="s">
        <v>358</v>
      </c>
      <c r="I692" s="98" t="s">
        <v>109</v>
      </c>
      <c r="J692" s="98" t="s">
        <v>111</v>
      </c>
      <c r="K692" s="98" t="s">
        <v>469</v>
      </c>
      <c r="L692" s="98" t="s">
        <v>470</v>
      </c>
      <c r="M692" s="98" t="s">
        <v>357</v>
      </c>
      <c r="N692" s="557" t="s">
        <v>471</v>
      </c>
      <c r="O692" s="557" t="s">
        <v>473</v>
      </c>
      <c r="P692" s="98" t="s">
        <v>110</v>
      </c>
      <c r="Q692" s="99" t="s">
        <v>116</v>
      </c>
      <c r="R692" s="98" t="s">
        <v>112</v>
      </c>
      <c r="S692" s="98" t="s">
        <v>113</v>
      </c>
      <c r="T692" s="98" t="s">
        <v>114</v>
      </c>
      <c r="U692" s="98" t="s">
        <v>115</v>
      </c>
    </row>
    <row r="693" spans="3:21" ht="18.75" x14ac:dyDescent="0.25">
      <c r="C693" s="294">
        <f>C692</f>
        <v>1</v>
      </c>
      <c r="D693" s="101"/>
      <c r="E693" s="102"/>
      <c r="F693" s="84" t="s">
        <v>57</v>
      </c>
      <c r="G693" s="84" t="s">
        <v>56</v>
      </c>
      <c r="H693" s="84" t="s">
        <v>55</v>
      </c>
      <c r="I693" s="84" t="s">
        <v>54</v>
      </c>
      <c r="J693" s="84" t="s">
        <v>53</v>
      </c>
      <c r="K693" s="84" t="s">
        <v>52</v>
      </c>
      <c r="L693" s="84" t="s">
        <v>51</v>
      </c>
      <c r="M693" s="84" t="s">
        <v>50</v>
      </c>
      <c r="N693" s="84" t="s">
        <v>49</v>
      </c>
      <c r="O693" s="84" t="s">
        <v>47</v>
      </c>
      <c r="P693" s="84" t="s">
        <v>77</v>
      </c>
      <c r="Q693" s="84" t="s">
        <v>78</v>
      </c>
      <c r="R693" s="84" t="s">
        <v>79</v>
      </c>
      <c r="S693" s="84" t="s">
        <v>81</v>
      </c>
      <c r="T693" s="84" t="s">
        <v>83</v>
      </c>
      <c r="U693" s="84" t="s">
        <v>85</v>
      </c>
    </row>
    <row r="694" spans="3:21" ht="18.75" x14ac:dyDescent="0.25">
      <c r="C694" s="294">
        <f>C692</f>
        <v>1</v>
      </c>
      <c r="D694" s="103" t="s">
        <v>26</v>
      </c>
      <c r="E694" s="122"/>
      <c r="F694" s="123"/>
      <c r="G694" s="123"/>
      <c r="H694" s="107"/>
      <c r="I694" s="107"/>
      <c r="J694" s="107"/>
      <c r="K694" s="107"/>
      <c r="L694" s="107"/>
      <c r="M694" s="123"/>
      <c r="N694" s="107"/>
      <c r="O694" s="107"/>
      <c r="P694" s="107"/>
      <c r="Q694" s="108"/>
      <c r="R694" s="107"/>
      <c r="S694" s="107"/>
      <c r="T694" s="107"/>
      <c r="U694" s="107"/>
    </row>
    <row r="695" spans="3:21" ht="18.75" x14ac:dyDescent="0.25">
      <c r="C695" s="294">
        <f t="shared" ref="C695:C704" si="614">C693</f>
        <v>1</v>
      </c>
      <c r="D695" s="124" t="s">
        <v>105</v>
      </c>
      <c r="E695" s="76" t="s">
        <v>57</v>
      </c>
      <c r="F695" s="176">
        <f t="shared" ref="F695:L695" si="615">F6*$E$692</f>
        <v>43992.397995083738</v>
      </c>
      <c r="G695" s="176">
        <f t="shared" si="615"/>
        <v>989.26779505039451</v>
      </c>
      <c r="H695" s="176">
        <f t="shared" si="615"/>
        <v>0</v>
      </c>
      <c r="I695" s="176">
        <f t="shared" si="615"/>
        <v>1260.8355822448034</v>
      </c>
      <c r="J695" s="176">
        <f t="shared" si="615"/>
        <v>144.54834314903209</v>
      </c>
      <c r="K695" s="176">
        <f t="shared" si="615"/>
        <v>43.871167433191829</v>
      </c>
      <c r="L695" s="176">
        <f t="shared" si="615"/>
        <v>0</v>
      </c>
      <c r="M695" s="176">
        <f t="shared" ref="M695:U695" si="616">M6*$E$692</f>
        <v>0</v>
      </c>
      <c r="N695" s="176">
        <f t="shared" si="616"/>
        <v>0</v>
      </c>
      <c r="O695" s="176">
        <f>O6*$E$692</f>
        <v>1.2349987839478545</v>
      </c>
      <c r="P695" s="176">
        <f t="shared" si="616"/>
        <v>0</v>
      </c>
      <c r="Q695" s="175">
        <f>SUM(F695:P695)</f>
        <v>46432.155881745115</v>
      </c>
      <c r="R695" s="176">
        <f t="shared" si="616"/>
        <v>0</v>
      </c>
      <c r="S695" s="176">
        <f t="shared" si="616"/>
        <v>3543.2994393173913</v>
      </c>
      <c r="T695" s="176">
        <f t="shared" ca="1" si="616"/>
        <v>1508.1610115634599</v>
      </c>
      <c r="U695" s="176">
        <f t="shared" ca="1" si="616"/>
        <v>1120.8354109948925</v>
      </c>
    </row>
    <row r="696" spans="3:21" ht="18.75" x14ac:dyDescent="0.25">
      <c r="C696" s="294">
        <f t="shared" si="614"/>
        <v>1</v>
      </c>
      <c r="D696" s="112" t="s">
        <v>31</v>
      </c>
      <c r="E696" s="76"/>
      <c r="F696" s="177"/>
      <c r="G696" s="177"/>
      <c r="H696" s="178"/>
      <c r="I696" s="178"/>
      <c r="J696" s="178"/>
      <c r="K696" s="178"/>
      <c r="L696" s="178"/>
      <c r="M696" s="177"/>
      <c r="N696" s="178"/>
      <c r="O696" s="178"/>
      <c r="P696" s="178"/>
      <c r="Q696" s="179"/>
      <c r="R696" s="178"/>
      <c r="S696" s="178"/>
      <c r="T696" s="178"/>
      <c r="U696" s="178"/>
    </row>
    <row r="697" spans="3:21" ht="18.75" x14ac:dyDescent="0.3">
      <c r="C697" s="294">
        <f t="shared" si="614"/>
        <v>1</v>
      </c>
      <c r="D697" s="113" t="s">
        <v>118</v>
      </c>
      <c r="E697" s="76" t="s">
        <v>56</v>
      </c>
      <c r="F697" s="176">
        <f t="shared" ref="F697:U697" si="617">F8*$E$692</f>
        <v>0</v>
      </c>
      <c r="G697" s="176">
        <f t="shared" ref="G697:L703" si="618">G8*$E$692</f>
        <v>0</v>
      </c>
      <c r="H697" s="176">
        <f t="shared" si="618"/>
        <v>0</v>
      </c>
      <c r="I697" s="176">
        <f t="shared" si="618"/>
        <v>0</v>
      </c>
      <c r="J697" s="176">
        <f t="shared" si="618"/>
        <v>0</v>
      </c>
      <c r="K697" s="176">
        <f t="shared" si="618"/>
        <v>0</v>
      </c>
      <c r="L697" s="176">
        <f t="shared" si="618"/>
        <v>0</v>
      </c>
      <c r="M697" s="176">
        <f t="shared" si="617"/>
        <v>0</v>
      </c>
      <c r="N697" s="176">
        <f t="shared" si="617"/>
        <v>0</v>
      </c>
      <c r="O697" s="176">
        <f t="shared" ref="O697:O703" si="619">O8*$E$692</f>
        <v>0</v>
      </c>
      <c r="P697" s="176">
        <f t="shared" si="617"/>
        <v>0</v>
      </c>
      <c r="Q697" s="175">
        <f t="shared" ref="Q697:Q703" si="620">SUM(F697:P697)</f>
        <v>0</v>
      </c>
      <c r="R697" s="176">
        <f t="shared" si="617"/>
        <v>0</v>
      </c>
      <c r="S697" s="176">
        <f t="shared" si="617"/>
        <v>0</v>
      </c>
      <c r="T697" s="176">
        <f t="shared" si="617"/>
        <v>0</v>
      </c>
      <c r="U697" s="176">
        <f t="shared" si="617"/>
        <v>0</v>
      </c>
    </row>
    <row r="698" spans="3:21" ht="18.75" x14ac:dyDescent="0.3">
      <c r="C698" s="294">
        <f t="shared" si="614"/>
        <v>1</v>
      </c>
      <c r="D698" s="113" t="s">
        <v>119</v>
      </c>
      <c r="E698" s="76" t="s">
        <v>55</v>
      </c>
      <c r="F698" s="176">
        <f t="shared" ref="F698:U698" si="621">F9*$E$692</f>
        <v>0</v>
      </c>
      <c r="G698" s="176">
        <f t="shared" si="618"/>
        <v>0</v>
      </c>
      <c r="H698" s="176">
        <f t="shared" si="618"/>
        <v>0</v>
      </c>
      <c r="I698" s="176">
        <f t="shared" si="618"/>
        <v>0</v>
      </c>
      <c r="J698" s="176">
        <f t="shared" si="618"/>
        <v>0</v>
      </c>
      <c r="K698" s="176">
        <f t="shared" si="618"/>
        <v>0</v>
      </c>
      <c r="L698" s="176">
        <f t="shared" si="618"/>
        <v>0</v>
      </c>
      <c r="M698" s="176">
        <f t="shared" si="621"/>
        <v>0</v>
      </c>
      <c r="N698" s="176">
        <f t="shared" si="621"/>
        <v>0</v>
      </c>
      <c r="O698" s="176">
        <f t="shared" si="619"/>
        <v>0</v>
      </c>
      <c r="P698" s="176">
        <f t="shared" si="621"/>
        <v>0</v>
      </c>
      <c r="Q698" s="175">
        <f t="shared" si="620"/>
        <v>0</v>
      </c>
      <c r="R698" s="176">
        <f t="shared" si="621"/>
        <v>0</v>
      </c>
      <c r="S698" s="176">
        <f t="shared" si="621"/>
        <v>0</v>
      </c>
      <c r="T698" s="176">
        <f t="shared" si="621"/>
        <v>0</v>
      </c>
      <c r="U698" s="176">
        <f t="shared" si="621"/>
        <v>0</v>
      </c>
    </row>
    <row r="699" spans="3:21" ht="18.75" x14ac:dyDescent="0.3">
      <c r="C699" s="294">
        <f t="shared" si="614"/>
        <v>1</v>
      </c>
      <c r="D699" s="113" t="s">
        <v>120</v>
      </c>
      <c r="E699" s="76" t="s">
        <v>54</v>
      </c>
      <c r="F699" s="176">
        <f t="shared" ref="F699:U699" si="622">F10*$E$692</f>
        <v>0</v>
      </c>
      <c r="G699" s="176">
        <f t="shared" si="618"/>
        <v>0</v>
      </c>
      <c r="H699" s="176">
        <f t="shared" si="618"/>
        <v>0</v>
      </c>
      <c r="I699" s="176">
        <f t="shared" si="618"/>
        <v>0</v>
      </c>
      <c r="J699" s="176">
        <f t="shared" si="618"/>
        <v>0</v>
      </c>
      <c r="K699" s="176">
        <f t="shared" si="618"/>
        <v>0</v>
      </c>
      <c r="L699" s="176">
        <f t="shared" si="618"/>
        <v>0</v>
      </c>
      <c r="M699" s="176">
        <f t="shared" si="622"/>
        <v>0</v>
      </c>
      <c r="N699" s="176">
        <f t="shared" si="622"/>
        <v>0</v>
      </c>
      <c r="O699" s="176">
        <f t="shared" si="619"/>
        <v>0</v>
      </c>
      <c r="P699" s="176">
        <f t="shared" si="622"/>
        <v>0</v>
      </c>
      <c r="Q699" s="175">
        <f t="shared" si="620"/>
        <v>0</v>
      </c>
      <c r="R699" s="176">
        <f t="shared" si="622"/>
        <v>0</v>
      </c>
      <c r="S699" s="176">
        <f t="shared" si="622"/>
        <v>0</v>
      </c>
      <c r="T699" s="176">
        <f t="shared" si="622"/>
        <v>0</v>
      </c>
      <c r="U699" s="176">
        <f t="shared" si="622"/>
        <v>0</v>
      </c>
    </row>
    <row r="700" spans="3:21" ht="18.75" x14ac:dyDescent="0.3">
      <c r="C700" s="294">
        <f t="shared" si="614"/>
        <v>1</v>
      </c>
      <c r="D700" s="113" t="s">
        <v>121</v>
      </c>
      <c r="E700" s="76" t="s">
        <v>53</v>
      </c>
      <c r="F700" s="176">
        <f t="shared" ref="F700:U700" si="623">F11*$E$692</f>
        <v>0</v>
      </c>
      <c r="G700" s="176">
        <f t="shared" si="618"/>
        <v>0</v>
      </c>
      <c r="H700" s="176">
        <f t="shared" si="618"/>
        <v>0</v>
      </c>
      <c r="I700" s="176">
        <f t="shared" si="618"/>
        <v>0</v>
      </c>
      <c r="J700" s="176">
        <f t="shared" si="618"/>
        <v>0</v>
      </c>
      <c r="K700" s="176">
        <f t="shared" si="618"/>
        <v>0</v>
      </c>
      <c r="L700" s="176">
        <f t="shared" si="618"/>
        <v>0</v>
      </c>
      <c r="M700" s="176">
        <f t="shared" si="623"/>
        <v>0</v>
      </c>
      <c r="N700" s="176">
        <f t="shared" si="623"/>
        <v>0</v>
      </c>
      <c r="O700" s="176">
        <f t="shared" si="619"/>
        <v>0</v>
      </c>
      <c r="P700" s="176">
        <f t="shared" si="623"/>
        <v>0</v>
      </c>
      <c r="Q700" s="175">
        <f t="shared" si="620"/>
        <v>0</v>
      </c>
      <c r="R700" s="176">
        <f t="shared" si="623"/>
        <v>0</v>
      </c>
      <c r="S700" s="176">
        <f t="shared" si="623"/>
        <v>0</v>
      </c>
      <c r="T700" s="176">
        <f t="shared" si="623"/>
        <v>0</v>
      </c>
      <c r="U700" s="176">
        <f t="shared" si="623"/>
        <v>0</v>
      </c>
    </row>
    <row r="701" spans="3:21" ht="18.75" x14ac:dyDescent="0.3">
      <c r="C701" s="294">
        <f t="shared" si="614"/>
        <v>1</v>
      </c>
      <c r="D701" s="113" t="s">
        <v>122</v>
      </c>
      <c r="E701" s="76" t="s">
        <v>52</v>
      </c>
      <c r="F701" s="176">
        <f t="shared" ref="F701:U701" si="624">F12*$E$692</f>
        <v>0</v>
      </c>
      <c r="G701" s="176">
        <f t="shared" si="618"/>
        <v>0</v>
      </c>
      <c r="H701" s="176">
        <f t="shared" si="618"/>
        <v>0</v>
      </c>
      <c r="I701" s="176">
        <f t="shared" si="618"/>
        <v>0</v>
      </c>
      <c r="J701" s="176">
        <f t="shared" si="618"/>
        <v>0</v>
      </c>
      <c r="K701" s="176">
        <f t="shared" si="618"/>
        <v>0</v>
      </c>
      <c r="L701" s="176">
        <f t="shared" si="618"/>
        <v>0</v>
      </c>
      <c r="M701" s="176">
        <f t="shared" si="624"/>
        <v>0</v>
      </c>
      <c r="N701" s="176">
        <f t="shared" si="624"/>
        <v>0</v>
      </c>
      <c r="O701" s="176">
        <f t="shared" si="619"/>
        <v>0</v>
      </c>
      <c r="P701" s="176">
        <f t="shared" si="624"/>
        <v>0</v>
      </c>
      <c r="Q701" s="175">
        <f t="shared" si="620"/>
        <v>0</v>
      </c>
      <c r="R701" s="176">
        <f t="shared" si="624"/>
        <v>0</v>
      </c>
      <c r="S701" s="176">
        <f t="shared" si="624"/>
        <v>0</v>
      </c>
      <c r="T701" s="176">
        <f t="shared" si="624"/>
        <v>0</v>
      </c>
      <c r="U701" s="176">
        <f t="shared" si="624"/>
        <v>0</v>
      </c>
    </row>
    <row r="702" spans="3:21" ht="18.75" x14ac:dyDescent="0.3">
      <c r="C702" s="294">
        <f t="shared" si="614"/>
        <v>1</v>
      </c>
      <c r="D702" s="125" t="s">
        <v>123</v>
      </c>
      <c r="E702" s="76" t="s">
        <v>51</v>
      </c>
      <c r="F702" s="176">
        <f t="shared" ref="F702:U702" si="625">F13*$E$692</f>
        <v>0</v>
      </c>
      <c r="G702" s="176">
        <f t="shared" si="618"/>
        <v>0</v>
      </c>
      <c r="H702" s="176">
        <f t="shared" si="618"/>
        <v>0</v>
      </c>
      <c r="I702" s="176">
        <f t="shared" si="618"/>
        <v>0</v>
      </c>
      <c r="J702" s="176">
        <f t="shared" si="618"/>
        <v>0</v>
      </c>
      <c r="K702" s="176">
        <f t="shared" si="618"/>
        <v>0</v>
      </c>
      <c r="L702" s="176">
        <f t="shared" si="618"/>
        <v>0</v>
      </c>
      <c r="M702" s="176">
        <f t="shared" si="625"/>
        <v>0</v>
      </c>
      <c r="N702" s="176">
        <f t="shared" si="625"/>
        <v>0</v>
      </c>
      <c r="O702" s="176">
        <f t="shared" si="619"/>
        <v>0</v>
      </c>
      <c r="P702" s="176">
        <f t="shared" si="625"/>
        <v>0</v>
      </c>
      <c r="Q702" s="175">
        <f t="shared" si="620"/>
        <v>0</v>
      </c>
      <c r="R702" s="176">
        <f t="shared" si="625"/>
        <v>0</v>
      </c>
      <c r="S702" s="176">
        <f t="shared" si="625"/>
        <v>0</v>
      </c>
      <c r="T702" s="176">
        <f t="shared" si="625"/>
        <v>0</v>
      </c>
      <c r="U702" s="176">
        <f t="shared" si="625"/>
        <v>0</v>
      </c>
    </row>
    <row r="703" spans="3:21" ht="19.5" thickBot="1" x14ac:dyDescent="0.35">
      <c r="C703" s="294">
        <f t="shared" si="614"/>
        <v>1</v>
      </c>
      <c r="D703" s="114" t="s">
        <v>16</v>
      </c>
      <c r="E703" s="70" t="s">
        <v>50</v>
      </c>
      <c r="F703" s="176">
        <f t="shared" ref="F703:U703" si="626">F14*$E$692</f>
        <v>4697.1572603770301</v>
      </c>
      <c r="G703" s="176">
        <f t="shared" si="618"/>
        <v>93.308283558313207</v>
      </c>
      <c r="H703" s="176">
        <f t="shared" si="618"/>
        <v>0</v>
      </c>
      <c r="I703" s="176">
        <f t="shared" si="618"/>
        <v>0</v>
      </c>
      <c r="J703" s="176">
        <f t="shared" si="618"/>
        <v>199.20755861144522</v>
      </c>
      <c r="K703" s="176">
        <f t="shared" si="618"/>
        <v>0.82014617776234855</v>
      </c>
      <c r="L703" s="176">
        <f t="shared" si="618"/>
        <v>0.11541810332325489</v>
      </c>
      <c r="M703" s="176">
        <f t="shared" si="626"/>
        <v>0</v>
      </c>
      <c r="N703" s="176">
        <f t="shared" si="626"/>
        <v>0</v>
      </c>
      <c r="O703" s="176">
        <f t="shared" si="619"/>
        <v>59.696079235885755</v>
      </c>
      <c r="P703" s="176">
        <f t="shared" si="626"/>
        <v>1016.7221489693004</v>
      </c>
      <c r="Q703" s="175">
        <f t="shared" si="620"/>
        <v>6067.026895033061</v>
      </c>
      <c r="R703" s="176">
        <f t="shared" si="626"/>
        <v>0</v>
      </c>
      <c r="S703" s="176">
        <f t="shared" si="626"/>
        <v>421.86067419511045</v>
      </c>
      <c r="T703" s="176">
        <f t="shared" ca="1" si="626"/>
        <v>122.35093777648548</v>
      </c>
      <c r="U703" s="176">
        <f t="shared" ca="1" si="626"/>
        <v>6.9719458909108063</v>
      </c>
    </row>
    <row r="704" spans="3:21" ht="19.5" thickBot="1" x14ac:dyDescent="0.3">
      <c r="C704" s="294">
        <f t="shared" si="614"/>
        <v>1</v>
      </c>
      <c r="D704" s="115" t="s">
        <v>124</v>
      </c>
      <c r="E704" s="116" t="s">
        <v>49</v>
      </c>
      <c r="F704" s="269">
        <f t="shared" ref="F704:U704" si="627">SUBTOTAL(9,F695:F703)</f>
        <v>48689.555255460771</v>
      </c>
      <c r="G704" s="269">
        <f t="shared" ref="G704:L704" si="628">SUBTOTAL(9,G695:G703)</f>
        <v>1082.5760786087078</v>
      </c>
      <c r="H704" s="269">
        <f t="shared" si="628"/>
        <v>0</v>
      </c>
      <c r="I704" s="269">
        <f t="shared" si="628"/>
        <v>1260.8355822448034</v>
      </c>
      <c r="J704" s="269">
        <f t="shared" si="628"/>
        <v>343.75590176047729</v>
      </c>
      <c r="K704" s="269">
        <f t="shared" si="628"/>
        <v>44.691313610954175</v>
      </c>
      <c r="L704" s="269">
        <f t="shared" si="628"/>
        <v>0.11541810332325489</v>
      </c>
      <c r="M704" s="269">
        <f t="shared" si="627"/>
        <v>0</v>
      </c>
      <c r="N704" s="269">
        <f t="shared" si="627"/>
        <v>0</v>
      </c>
      <c r="O704" s="269">
        <f>SUBTOTAL(9,O695:O703)</f>
        <v>60.931078019833606</v>
      </c>
      <c r="P704" s="269">
        <f t="shared" si="627"/>
        <v>1016.7221489693004</v>
      </c>
      <c r="Q704" s="183">
        <f>SUBTOTAL(9,Q695:Q703)</f>
        <v>52499.18277677818</v>
      </c>
      <c r="R704" s="269">
        <f t="shared" si="627"/>
        <v>0</v>
      </c>
      <c r="S704" s="269">
        <f t="shared" si="627"/>
        <v>3965.1601135125015</v>
      </c>
      <c r="T704" s="269">
        <f t="shared" ca="1" si="627"/>
        <v>1630.5119493399454</v>
      </c>
      <c r="U704" s="269">
        <f t="shared" ca="1" si="627"/>
        <v>1127.8073568858033</v>
      </c>
    </row>
    <row r="705" spans="3:21" ht="15.75" hidden="1" thickBot="1" x14ac:dyDescent="0.3"/>
    <row r="706" spans="3:21" ht="93.75" x14ac:dyDescent="0.25">
      <c r="C706" s="294">
        <f>IF($E$706&gt;0,1,0)</f>
        <v>1</v>
      </c>
      <c r="D706" s="96" t="str">
        <f>A53</f>
        <v>Seneca</v>
      </c>
      <c r="E706" s="166">
        <f>IFERROR(SUMIF(A:A,D706,B:B),0)</f>
        <v>5.0916761953535567E-4</v>
      </c>
      <c r="F706" s="98" t="s">
        <v>356</v>
      </c>
      <c r="G706" s="98" t="s">
        <v>373</v>
      </c>
      <c r="H706" s="98" t="s">
        <v>358</v>
      </c>
      <c r="I706" s="98" t="s">
        <v>109</v>
      </c>
      <c r="J706" s="98" t="s">
        <v>111</v>
      </c>
      <c r="K706" s="98" t="s">
        <v>469</v>
      </c>
      <c r="L706" s="98" t="s">
        <v>470</v>
      </c>
      <c r="M706" s="98" t="s">
        <v>357</v>
      </c>
      <c r="N706" s="557" t="s">
        <v>471</v>
      </c>
      <c r="O706" s="557" t="s">
        <v>473</v>
      </c>
      <c r="P706" s="98" t="s">
        <v>110</v>
      </c>
      <c r="Q706" s="99" t="s">
        <v>116</v>
      </c>
      <c r="R706" s="98" t="s">
        <v>112</v>
      </c>
      <c r="S706" s="98" t="s">
        <v>113</v>
      </c>
      <c r="T706" s="98" t="s">
        <v>114</v>
      </c>
      <c r="U706" s="98" t="s">
        <v>115</v>
      </c>
    </row>
    <row r="707" spans="3:21" ht="18.75" x14ac:dyDescent="0.25">
      <c r="C707" s="294">
        <f>C706</f>
        <v>1</v>
      </c>
      <c r="D707" s="101"/>
      <c r="E707" s="102"/>
      <c r="F707" s="84" t="s">
        <v>57</v>
      </c>
      <c r="G707" s="84" t="s">
        <v>56</v>
      </c>
      <c r="H707" s="84" t="s">
        <v>55</v>
      </c>
      <c r="I707" s="84" t="s">
        <v>54</v>
      </c>
      <c r="J707" s="84" t="s">
        <v>53</v>
      </c>
      <c r="K707" s="84" t="s">
        <v>52</v>
      </c>
      <c r="L707" s="84" t="s">
        <v>51</v>
      </c>
      <c r="M707" s="84" t="s">
        <v>50</v>
      </c>
      <c r="N707" s="84" t="s">
        <v>49</v>
      </c>
      <c r="O707" s="84" t="s">
        <v>47</v>
      </c>
      <c r="P707" s="84" t="s">
        <v>77</v>
      </c>
      <c r="Q707" s="84" t="s">
        <v>78</v>
      </c>
      <c r="R707" s="84" t="s">
        <v>79</v>
      </c>
      <c r="S707" s="84" t="s">
        <v>81</v>
      </c>
      <c r="T707" s="84" t="s">
        <v>83</v>
      </c>
      <c r="U707" s="84" t="s">
        <v>85</v>
      </c>
    </row>
    <row r="708" spans="3:21" ht="18.75" x14ac:dyDescent="0.25">
      <c r="C708" s="294">
        <f>C706</f>
        <v>1</v>
      </c>
      <c r="D708" s="103" t="s">
        <v>26</v>
      </c>
      <c r="E708" s="122"/>
      <c r="F708" s="123"/>
      <c r="G708" s="123"/>
      <c r="H708" s="107"/>
      <c r="I708" s="107"/>
      <c r="J708" s="107"/>
      <c r="K708" s="107"/>
      <c r="L708" s="107"/>
      <c r="M708" s="123"/>
      <c r="N708" s="107"/>
      <c r="O708" s="107"/>
      <c r="P708" s="107"/>
      <c r="Q708" s="108"/>
      <c r="R708" s="107"/>
      <c r="S708" s="107"/>
      <c r="T708" s="107"/>
      <c r="U708" s="107"/>
    </row>
    <row r="709" spans="3:21" ht="18.75" x14ac:dyDescent="0.25">
      <c r="C709" s="294">
        <f t="shared" ref="C709:C718" si="629">C707</f>
        <v>1</v>
      </c>
      <c r="D709" s="124" t="s">
        <v>105</v>
      </c>
      <c r="E709" s="76" t="s">
        <v>57</v>
      </c>
      <c r="F709" s="176">
        <f t="shared" ref="F709:L709" si="630">F6*$E$706</f>
        <v>35911.791667151912</v>
      </c>
      <c r="G709" s="176">
        <f t="shared" si="630"/>
        <v>807.55722756560499</v>
      </c>
      <c r="H709" s="176">
        <f t="shared" si="630"/>
        <v>0</v>
      </c>
      <c r="I709" s="176">
        <f t="shared" si="630"/>
        <v>1029.2429333169696</v>
      </c>
      <c r="J709" s="176">
        <f t="shared" si="630"/>
        <v>117.99743186493565</v>
      </c>
      <c r="K709" s="176">
        <f t="shared" si="630"/>
        <v>35.812828962667361</v>
      </c>
      <c r="L709" s="176">
        <f t="shared" si="630"/>
        <v>0</v>
      </c>
      <c r="M709" s="176">
        <f t="shared" ref="M709:U709" si="631">M6*$E$706</f>
        <v>0</v>
      </c>
      <c r="N709" s="176">
        <f t="shared" si="631"/>
        <v>0</v>
      </c>
      <c r="O709" s="176">
        <f>O6*$E$706</f>
        <v>1.0081518866800043</v>
      </c>
      <c r="P709" s="176">
        <f t="shared" si="631"/>
        <v>0</v>
      </c>
      <c r="Q709" s="175">
        <f>SUM(F709:P709)</f>
        <v>37903.410240748774</v>
      </c>
      <c r="R709" s="176">
        <f t="shared" si="631"/>
        <v>0</v>
      </c>
      <c r="S709" s="176">
        <f t="shared" si="631"/>
        <v>2892.4595402442578</v>
      </c>
      <c r="T709" s="176">
        <f t="shared" ca="1" si="631"/>
        <v>1231.1391630399567</v>
      </c>
      <c r="U709" s="176">
        <f t="shared" ca="1" si="631"/>
        <v>914.95825659045317</v>
      </c>
    </row>
    <row r="710" spans="3:21" ht="18.75" x14ac:dyDescent="0.25">
      <c r="C710" s="294">
        <f t="shared" si="629"/>
        <v>1</v>
      </c>
      <c r="D710" s="112" t="s">
        <v>31</v>
      </c>
      <c r="E710" s="76"/>
      <c r="F710" s="177"/>
      <c r="G710" s="177"/>
      <c r="H710" s="178"/>
      <c r="I710" s="178"/>
      <c r="J710" s="178"/>
      <c r="K710" s="178"/>
      <c r="L710" s="178"/>
      <c r="M710" s="177"/>
      <c r="N710" s="178"/>
      <c r="O710" s="178"/>
      <c r="P710" s="178"/>
      <c r="Q710" s="179"/>
      <c r="R710" s="178"/>
      <c r="S710" s="178"/>
      <c r="T710" s="178"/>
      <c r="U710" s="178"/>
    </row>
    <row r="711" spans="3:21" ht="18.75" x14ac:dyDescent="0.3">
      <c r="C711" s="294">
        <f t="shared" si="629"/>
        <v>1</v>
      </c>
      <c r="D711" s="113" t="s">
        <v>118</v>
      </c>
      <c r="E711" s="76" t="s">
        <v>56</v>
      </c>
      <c r="F711" s="176">
        <f t="shared" ref="F711:U711" si="632">F8*$E$706</f>
        <v>0</v>
      </c>
      <c r="G711" s="176">
        <f t="shared" ref="G711:L717" si="633">G8*$E$706</f>
        <v>0</v>
      </c>
      <c r="H711" s="176">
        <f t="shared" si="633"/>
        <v>0</v>
      </c>
      <c r="I711" s="176">
        <f t="shared" si="633"/>
        <v>0</v>
      </c>
      <c r="J711" s="176">
        <f t="shared" si="633"/>
        <v>0</v>
      </c>
      <c r="K711" s="176">
        <f t="shared" si="633"/>
        <v>0</v>
      </c>
      <c r="L711" s="176">
        <f t="shared" si="633"/>
        <v>0</v>
      </c>
      <c r="M711" s="176">
        <f t="shared" si="632"/>
        <v>0</v>
      </c>
      <c r="N711" s="176">
        <f t="shared" si="632"/>
        <v>0</v>
      </c>
      <c r="O711" s="176">
        <f t="shared" ref="O711:O717" si="634">O8*$E$706</f>
        <v>0</v>
      </c>
      <c r="P711" s="176">
        <f t="shared" si="632"/>
        <v>0</v>
      </c>
      <c r="Q711" s="175">
        <f t="shared" ref="Q711:Q717" si="635">SUM(F711:P711)</f>
        <v>0</v>
      </c>
      <c r="R711" s="176">
        <f t="shared" si="632"/>
        <v>0</v>
      </c>
      <c r="S711" s="176">
        <f t="shared" si="632"/>
        <v>0</v>
      </c>
      <c r="T711" s="176">
        <f t="shared" si="632"/>
        <v>0</v>
      </c>
      <c r="U711" s="176">
        <f t="shared" si="632"/>
        <v>0</v>
      </c>
    </row>
    <row r="712" spans="3:21" ht="18.75" x14ac:dyDescent="0.3">
      <c r="C712" s="294">
        <f t="shared" si="629"/>
        <v>1</v>
      </c>
      <c r="D712" s="113" t="s">
        <v>119</v>
      </c>
      <c r="E712" s="76" t="s">
        <v>55</v>
      </c>
      <c r="F712" s="176">
        <f t="shared" ref="F712:U712" si="636">F9*$E$706</f>
        <v>0</v>
      </c>
      <c r="G712" s="176">
        <f t="shared" si="633"/>
        <v>0</v>
      </c>
      <c r="H712" s="176">
        <f t="shared" si="633"/>
        <v>0</v>
      </c>
      <c r="I712" s="176">
        <f t="shared" si="633"/>
        <v>0</v>
      </c>
      <c r="J712" s="176">
        <f t="shared" si="633"/>
        <v>0</v>
      </c>
      <c r="K712" s="176">
        <f t="shared" si="633"/>
        <v>0</v>
      </c>
      <c r="L712" s="176">
        <f t="shared" si="633"/>
        <v>0</v>
      </c>
      <c r="M712" s="176">
        <f t="shared" si="636"/>
        <v>0</v>
      </c>
      <c r="N712" s="176">
        <f t="shared" si="636"/>
        <v>0</v>
      </c>
      <c r="O712" s="176">
        <f t="shared" si="634"/>
        <v>0</v>
      </c>
      <c r="P712" s="176">
        <f t="shared" si="636"/>
        <v>0</v>
      </c>
      <c r="Q712" s="175">
        <f t="shared" si="635"/>
        <v>0</v>
      </c>
      <c r="R712" s="176">
        <f t="shared" si="636"/>
        <v>0</v>
      </c>
      <c r="S712" s="176">
        <f t="shared" si="636"/>
        <v>0</v>
      </c>
      <c r="T712" s="176">
        <f t="shared" si="636"/>
        <v>0</v>
      </c>
      <c r="U712" s="176">
        <f t="shared" si="636"/>
        <v>0</v>
      </c>
    </row>
    <row r="713" spans="3:21" ht="18.75" x14ac:dyDescent="0.3">
      <c r="C713" s="294">
        <f t="shared" si="629"/>
        <v>1</v>
      </c>
      <c r="D713" s="113" t="s">
        <v>120</v>
      </c>
      <c r="E713" s="76" t="s">
        <v>54</v>
      </c>
      <c r="F713" s="176">
        <f t="shared" ref="F713:U713" si="637">F10*$E$706</f>
        <v>0</v>
      </c>
      <c r="G713" s="176">
        <f t="shared" si="633"/>
        <v>0</v>
      </c>
      <c r="H713" s="176">
        <f t="shared" si="633"/>
        <v>0</v>
      </c>
      <c r="I713" s="176">
        <f t="shared" si="633"/>
        <v>0</v>
      </c>
      <c r="J713" s="176">
        <f t="shared" si="633"/>
        <v>0</v>
      </c>
      <c r="K713" s="176">
        <f t="shared" si="633"/>
        <v>0</v>
      </c>
      <c r="L713" s="176">
        <f t="shared" si="633"/>
        <v>0</v>
      </c>
      <c r="M713" s="176">
        <f t="shared" si="637"/>
        <v>0</v>
      </c>
      <c r="N713" s="176">
        <f t="shared" si="637"/>
        <v>0</v>
      </c>
      <c r="O713" s="176">
        <f t="shared" si="634"/>
        <v>0</v>
      </c>
      <c r="P713" s="176">
        <f t="shared" si="637"/>
        <v>0</v>
      </c>
      <c r="Q713" s="175">
        <f t="shared" si="635"/>
        <v>0</v>
      </c>
      <c r="R713" s="176">
        <f t="shared" si="637"/>
        <v>0</v>
      </c>
      <c r="S713" s="176">
        <f t="shared" si="637"/>
        <v>0</v>
      </c>
      <c r="T713" s="176">
        <f t="shared" si="637"/>
        <v>0</v>
      </c>
      <c r="U713" s="176">
        <f t="shared" si="637"/>
        <v>0</v>
      </c>
    </row>
    <row r="714" spans="3:21" ht="18.75" x14ac:dyDescent="0.3">
      <c r="C714" s="294">
        <f t="shared" si="629"/>
        <v>1</v>
      </c>
      <c r="D714" s="113" t="s">
        <v>121</v>
      </c>
      <c r="E714" s="76" t="s">
        <v>53</v>
      </c>
      <c r="F714" s="176">
        <f t="shared" ref="F714:U714" si="638">F11*$E$706</f>
        <v>0</v>
      </c>
      <c r="G714" s="176">
        <f t="shared" si="633"/>
        <v>0</v>
      </c>
      <c r="H714" s="176">
        <f t="shared" si="633"/>
        <v>0</v>
      </c>
      <c r="I714" s="176">
        <f t="shared" si="633"/>
        <v>0</v>
      </c>
      <c r="J714" s="176">
        <f t="shared" si="633"/>
        <v>0</v>
      </c>
      <c r="K714" s="176">
        <f t="shared" si="633"/>
        <v>0</v>
      </c>
      <c r="L714" s="176">
        <f t="shared" si="633"/>
        <v>0</v>
      </c>
      <c r="M714" s="176">
        <f t="shared" si="638"/>
        <v>0</v>
      </c>
      <c r="N714" s="176">
        <f t="shared" si="638"/>
        <v>0</v>
      </c>
      <c r="O714" s="176">
        <f t="shared" si="634"/>
        <v>0</v>
      </c>
      <c r="P714" s="176">
        <f t="shared" si="638"/>
        <v>0</v>
      </c>
      <c r="Q714" s="175">
        <f t="shared" si="635"/>
        <v>0</v>
      </c>
      <c r="R714" s="176">
        <f t="shared" si="638"/>
        <v>0</v>
      </c>
      <c r="S714" s="176">
        <f t="shared" si="638"/>
        <v>0</v>
      </c>
      <c r="T714" s="176">
        <f t="shared" si="638"/>
        <v>0</v>
      </c>
      <c r="U714" s="176">
        <f t="shared" si="638"/>
        <v>0</v>
      </c>
    </row>
    <row r="715" spans="3:21" ht="18.75" x14ac:dyDescent="0.3">
      <c r="C715" s="294">
        <f t="shared" si="629"/>
        <v>1</v>
      </c>
      <c r="D715" s="113" t="s">
        <v>122</v>
      </c>
      <c r="E715" s="76" t="s">
        <v>52</v>
      </c>
      <c r="F715" s="176">
        <f t="shared" ref="F715:U715" si="639">F12*$E$706</f>
        <v>0</v>
      </c>
      <c r="G715" s="176">
        <f t="shared" si="633"/>
        <v>0</v>
      </c>
      <c r="H715" s="176">
        <f t="shared" si="633"/>
        <v>0</v>
      </c>
      <c r="I715" s="176">
        <f t="shared" si="633"/>
        <v>0</v>
      </c>
      <c r="J715" s="176">
        <f t="shared" si="633"/>
        <v>0</v>
      </c>
      <c r="K715" s="176">
        <f t="shared" si="633"/>
        <v>0</v>
      </c>
      <c r="L715" s="176">
        <f t="shared" si="633"/>
        <v>0</v>
      </c>
      <c r="M715" s="176">
        <f t="shared" si="639"/>
        <v>0</v>
      </c>
      <c r="N715" s="176">
        <f t="shared" si="639"/>
        <v>0</v>
      </c>
      <c r="O715" s="176">
        <f t="shared" si="634"/>
        <v>0</v>
      </c>
      <c r="P715" s="176">
        <f t="shared" si="639"/>
        <v>0</v>
      </c>
      <c r="Q715" s="175">
        <f t="shared" si="635"/>
        <v>0</v>
      </c>
      <c r="R715" s="176">
        <f t="shared" si="639"/>
        <v>0</v>
      </c>
      <c r="S715" s="176">
        <f t="shared" si="639"/>
        <v>0</v>
      </c>
      <c r="T715" s="176">
        <f t="shared" si="639"/>
        <v>0</v>
      </c>
      <c r="U715" s="176">
        <f t="shared" si="639"/>
        <v>0</v>
      </c>
    </row>
    <row r="716" spans="3:21" ht="18.75" x14ac:dyDescent="0.3">
      <c r="C716" s="294">
        <f t="shared" si="629"/>
        <v>1</v>
      </c>
      <c r="D716" s="125" t="s">
        <v>123</v>
      </c>
      <c r="E716" s="76" t="s">
        <v>51</v>
      </c>
      <c r="F716" s="176">
        <f t="shared" ref="F716:U716" si="640">F13*$E$706</f>
        <v>0</v>
      </c>
      <c r="G716" s="176">
        <f t="shared" si="633"/>
        <v>0</v>
      </c>
      <c r="H716" s="176">
        <f t="shared" si="633"/>
        <v>0</v>
      </c>
      <c r="I716" s="176">
        <f t="shared" si="633"/>
        <v>0</v>
      </c>
      <c r="J716" s="176">
        <f t="shared" si="633"/>
        <v>0</v>
      </c>
      <c r="K716" s="176">
        <f t="shared" si="633"/>
        <v>0</v>
      </c>
      <c r="L716" s="176">
        <f t="shared" si="633"/>
        <v>0</v>
      </c>
      <c r="M716" s="176">
        <f t="shared" si="640"/>
        <v>0</v>
      </c>
      <c r="N716" s="176">
        <f t="shared" si="640"/>
        <v>0</v>
      </c>
      <c r="O716" s="176">
        <f t="shared" si="634"/>
        <v>0</v>
      </c>
      <c r="P716" s="176">
        <f t="shared" si="640"/>
        <v>0</v>
      </c>
      <c r="Q716" s="175">
        <f t="shared" si="635"/>
        <v>0</v>
      </c>
      <c r="R716" s="176">
        <f t="shared" si="640"/>
        <v>0</v>
      </c>
      <c r="S716" s="176">
        <f t="shared" si="640"/>
        <v>0</v>
      </c>
      <c r="T716" s="176">
        <f t="shared" si="640"/>
        <v>0</v>
      </c>
      <c r="U716" s="176">
        <f t="shared" si="640"/>
        <v>0</v>
      </c>
    </row>
    <row r="717" spans="3:21" ht="19.5" thickBot="1" x14ac:dyDescent="0.35">
      <c r="C717" s="294">
        <f t="shared" si="629"/>
        <v>1</v>
      </c>
      <c r="D717" s="114" t="s">
        <v>16</v>
      </c>
      <c r="E717" s="70" t="s">
        <v>50</v>
      </c>
      <c r="F717" s="176">
        <f t="shared" ref="F717:U717" si="641">F14*$E$706</f>
        <v>3834.3745885677959</v>
      </c>
      <c r="G717" s="176">
        <f t="shared" si="633"/>
        <v>76.169242702799423</v>
      </c>
      <c r="H717" s="176">
        <f t="shared" si="633"/>
        <v>0</v>
      </c>
      <c r="I717" s="176">
        <f t="shared" si="633"/>
        <v>0</v>
      </c>
      <c r="J717" s="176">
        <f t="shared" si="633"/>
        <v>162.61673992346681</v>
      </c>
      <c r="K717" s="176">
        <f t="shared" si="633"/>
        <v>0.66950018673007639</v>
      </c>
      <c r="L717" s="176">
        <f t="shared" si="633"/>
        <v>9.421788922771937E-2</v>
      </c>
      <c r="M717" s="176">
        <f t="shared" si="641"/>
        <v>0</v>
      </c>
      <c r="N717" s="176">
        <f t="shared" si="641"/>
        <v>0</v>
      </c>
      <c r="O717" s="176">
        <f t="shared" si="634"/>
        <v>48.730991229541445</v>
      </c>
      <c r="P717" s="176">
        <f t="shared" si="641"/>
        <v>829.96871416840816</v>
      </c>
      <c r="Q717" s="175">
        <f t="shared" si="635"/>
        <v>4952.6239946679698</v>
      </c>
      <c r="R717" s="176">
        <f t="shared" si="641"/>
        <v>0</v>
      </c>
      <c r="S717" s="176">
        <f t="shared" si="641"/>
        <v>344.37251285897349</v>
      </c>
      <c r="T717" s="176">
        <f t="shared" ca="1" si="641"/>
        <v>99.877287621393947</v>
      </c>
      <c r="U717" s="176">
        <f t="shared" ca="1" si="641"/>
        <v>5.6913257689891044</v>
      </c>
    </row>
    <row r="718" spans="3:21" ht="19.5" thickBot="1" x14ac:dyDescent="0.3">
      <c r="C718" s="294">
        <f t="shared" si="629"/>
        <v>1</v>
      </c>
      <c r="D718" s="115" t="s">
        <v>124</v>
      </c>
      <c r="E718" s="116" t="s">
        <v>49</v>
      </c>
      <c r="F718" s="269">
        <f t="shared" ref="F718:U718" si="642">SUBTOTAL(9,F709:F717)</f>
        <v>39746.166255719705</v>
      </c>
      <c r="G718" s="269">
        <f t="shared" ref="G718:L718" si="643">SUBTOTAL(9,G709:G717)</f>
        <v>883.72647026840446</v>
      </c>
      <c r="H718" s="269">
        <f t="shared" si="643"/>
        <v>0</v>
      </c>
      <c r="I718" s="269">
        <f t="shared" si="643"/>
        <v>1029.2429333169696</v>
      </c>
      <c r="J718" s="269">
        <f t="shared" si="643"/>
        <v>280.61417178840247</v>
      </c>
      <c r="K718" s="269">
        <f t="shared" si="643"/>
        <v>36.482329149397437</v>
      </c>
      <c r="L718" s="269">
        <f t="shared" si="643"/>
        <v>9.421788922771937E-2</v>
      </c>
      <c r="M718" s="269">
        <f t="shared" si="642"/>
        <v>0</v>
      </c>
      <c r="N718" s="269">
        <f t="shared" si="642"/>
        <v>0</v>
      </c>
      <c r="O718" s="269">
        <f>SUBTOTAL(9,O709:O717)</f>
        <v>49.739143116221449</v>
      </c>
      <c r="P718" s="269">
        <f t="shared" si="642"/>
        <v>829.96871416840816</v>
      </c>
      <c r="Q718" s="183">
        <f>SUBTOTAL(9,Q709:Q717)</f>
        <v>42856.034235416744</v>
      </c>
      <c r="R718" s="269">
        <f t="shared" si="642"/>
        <v>0</v>
      </c>
      <c r="S718" s="269">
        <f t="shared" si="642"/>
        <v>3236.8320531032314</v>
      </c>
      <c r="T718" s="269">
        <f t="shared" ca="1" si="642"/>
        <v>1331.0164506613505</v>
      </c>
      <c r="U718" s="269">
        <f t="shared" ca="1" si="642"/>
        <v>920.64958235944232</v>
      </c>
    </row>
    <row r="719" spans="3:21" ht="15.75" hidden="1" thickBot="1" x14ac:dyDescent="0.3"/>
    <row r="720" spans="3:21" ht="93.75" x14ac:dyDescent="0.25">
      <c r="C720" s="294">
        <f>IF($E$720&gt;0,1,0)</f>
        <v>1</v>
      </c>
      <c r="D720" s="96" t="str">
        <f>A54</f>
        <v>Steuben</v>
      </c>
      <c r="E720" s="166">
        <f>IFERROR(SUMIF(A:A,D720,B:B),0)</f>
        <v>2.7722133530557608E-3</v>
      </c>
      <c r="F720" s="98" t="s">
        <v>356</v>
      </c>
      <c r="G720" s="98" t="s">
        <v>373</v>
      </c>
      <c r="H720" s="98" t="s">
        <v>358</v>
      </c>
      <c r="I720" s="98" t="s">
        <v>109</v>
      </c>
      <c r="J720" s="98" t="s">
        <v>111</v>
      </c>
      <c r="K720" s="98" t="s">
        <v>469</v>
      </c>
      <c r="L720" s="98" t="s">
        <v>470</v>
      </c>
      <c r="M720" s="98" t="s">
        <v>357</v>
      </c>
      <c r="N720" s="557" t="s">
        <v>471</v>
      </c>
      <c r="O720" s="557" t="s">
        <v>473</v>
      </c>
      <c r="P720" s="98" t="s">
        <v>110</v>
      </c>
      <c r="Q720" s="99" t="s">
        <v>116</v>
      </c>
      <c r="R720" s="98" t="s">
        <v>112</v>
      </c>
      <c r="S720" s="98" t="s">
        <v>113</v>
      </c>
      <c r="T720" s="98" t="s">
        <v>114</v>
      </c>
      <c r="U720" s="98" t="s">
        <v>115</v>
      </c>
    </row>
    <row r="721" spans="3:21" ht="18.75" x14ac:dyDescent="0.25">
      <c r="C721" s="294">
        <f>C720</f>
        <v>1</v>
      </c>
      <c r="D721" s="101"/>
      <c r="E721" s="102"/>
      <c r="F721" s="84" t="s">
        <v>57</v>
      </c>
      <c r="G721" s="84" t="s">
        <v>56</v>
      </c>
      <c r="H721" s="84" t="s">
        <v>55</v>
      </c>
      <c r="I721" s="84" t="s">
        <v>54</v>
      </c>
      <c r="J721" s="84" t="s">
        <v>53</v>
      </c>
      <c r="K721" s="84" t="s">
        <v>52</v>
      </c>
      <c r="L721" s="84" t="s">
        <v>51</v>
      </c>
      <c r="M721" s="84" t="s">
        <v>50</v>
      </c>
      <c r="N721" s="84" t="s">
        <v>49</v>
      </c>
      <c r="O721" s="84" t="s">
        <v>47</v>
      </c>
      <c r="P721" s="84" t="s">
        <v>77</v>
      </c>
      <c r="Q721" s="84" t="s">
        <v>78</v>
      </c>
      <c r="R721" s="84" t="s">
        <v>79</v>
      </c>
      <c r="S721" s="84" t="s">
        <v>81</v>
      </c>
      <c r="T721" s="84" t="s">
        <v>83</v>
      </c>
      <c r="U721" s="84" t="s">
        <v>85</v>
      </c>
    </row>
    <row r="722" spans="3:21" ht="18.75" x14ac:dyDescent="0.25">
      <c r="C722" s="294">
        <f>C720</f>
        <v>1</v>
      </c>
      <c r="D722" s="103" t="s">
        <v>26</v>
      </c>
      <c r="E722" s="122"/>
      <c r="F722" s="123"/>
      <c r="G722" s="123"/>
      <c r="H722" s="107"/>
      <c r="I722" s="107"/>
      <c r="J722" s="107"/>
      <c r="K722" s="107"/>
      <c r="L722" s="107"/>
      <c r="M722" s="123"/>
      <c r="N722" s="107"/>
      <c r="O722" s="107"/>
      <c r="P722" s="107"/>
      <c r="Q722" s="108"/>
      <c r="R722" s="107"/>
      <c r="S722" s="107"/>
      <c r="T722" s="107"/>
      <c r="U722" s="107"/>
    </row>
    <row r="723" spans="3:21" ht="18.75" x14ac:dyDescent="0.25">
      <c r="C723" s="294">
        <f t="shared" ref="C723:C732" si="644">C721</f>
        <v>1</v>
      </c>
      <c r="D723" s="124" t="s">
        <v>105</v>
      </c>
      <c r="E723" s="76" t="s">
        <v>57</v>
      </c>
      <c r="F723" s="176">
        <f t="shared" ref="F723:L723" si="645">F6*$E$720</f>
        <v>195525.29377788171</v>
      </c>
      <c r="G723" s="176">
        <f t="shared" si="645"/>
        <v>4396.8250213103092</v>
      </c>
      <c r="H723" s="176">
        <f t="shared" si="645"/>
        <v>0</v>
      </c>
      <c r="I723" s="176">
        <f t="shared" si="645"/>
        <v>5603.8147238886941</v>
      </c>
      <c r="J723" s="176">
        <f t="shared" si="645"/>
        <v>642.44866266392205</v>
      </c>
      <c r="K723" s="176">
        <f t="shared" si="645"/>
        <v>194.98648156693056</v>
      </c>
      <c r="L723" s="176">
        <f t="shared" si="645"/>
        <v>0</v>
      </c>
      <c r="M723" s="176">
        <f t="shared" ref="M723:U723" si="646">M6*$E$720</f>
        <v>0</v>
      </c>
      <c r="N723" s="176">
        <f t="shared" si="646"/>
        <v>0</v>
      </c>
      <c r="O723" s="176">
        <f>O6*$E$720</f>
        <v>5.4889824390504067</v>
      </c>
      <c r="P723" s="176">
        <f t="shared" si="646"/>
        <v>0</v>
      </c>
      <c r="Q723" s="175">
        <f>SUM(F723:P723)</f>
        <v>206368.85764975063</v>
      </c>
      <c r="R723" s="176">
        <f t="shared" si="646"/>
        <v>0</v>
      </c>
      <c r="S723" s="176">
        <f t="shared" si="646"/>
        <v>15748.281416551996</v>
      </c>
      <c r="T723" s="176">
        <f t="shared" ca="1" si="646"/>
        <v>6703.058671256038</v>
      </c>
      <c r="U723" s="176">
        <f t="shared" ca="1" si="646"/>
        <v>4981.5805229785365</v>
      </c>
    </row>
    <row r="724" spans="3:21" ht="18.75" x14ac:dyDescent="0.25">
      <c r="C724" s="294">
        <f t="shared" si="644"/>
        <v>1</v>
      </c>
      <c r="D724" s="112" t="s">
        <v>31</v>
      </c>
      <c r="E724" s="76"/>
      <c r="F724" s="177"/>
      <c r="G724" s="177"/>
      <c r="H724" s="178"/>
      <c r="I724" s="178"/>
      <c r="J724" s="178"/>
      <c r="K724" s="178"/>
      <c r="L724" s="178"/>
      <c r="M724" s="177"/>
      <c r="N724" s="178"/>
      <c r="O724" s="178"/>
      <c r="P724" s="178"/>
      <c r="Q724" s="179"/>
      <c r="R724" s="178"/>
      <c r="S724" s="178"/>
      <c r="T724" s="178"/>
      <c r="U724" s="178"/>
    </row>
    <row r="725" spans="3:21" ht="18.75" x14ac:dyDescent="0.3">
      <c r="C725" s="294">
        <f t="shared" si="644"/>
        <v>1</v>
      </c>
      <c r="D725" s="113" t="s">
        <v>118</v>
      </c>
      <c r="E725" s="76" t="s">
        <v>56</v>
      </c>
      <c r="F725" s="176">
        <f t="shared" ref="F725:U725" si="647">F8*$E$720</f>
        <v>0</v>
      </c>
      <c r="G725" s="176">
        <f t="shared" ref="G725:L731" si="648">G8*$E$720</f>
        <v>0</v>
      </c>
      <c r="H725" s="176">
        <f t="shared" si="648"/>
        <v>0</v>
      </c>
      <c r="I725" s="176">
        <f t="shared" si="648"/>
        <v>0</v>
      </c>
      <c r="J725" s="176">
        <f t="shared" si="648"/>
        <v>0</v>
      </c>
      <c r="K725" s="176">
        <f t="shared" si="648"/>
        <v>0</v>
      </c>
      <c r="L725" s="176">
        <f t="shared" si="648"/>
        <v>0</v>
      </c>
      <c r="M725" s="176">
        <f t="shared" si="647"/>
        <v>0</v>
      </c>
      <c r="N725" s="176">
        <f t="shared" si="647"/>
        <v>0</v>
      </c>
      <c r="O725" s="176">
        <f t="shared" ref="O725:O731" si="649">O8*$E$720</f>
        <v>0</v>
      </c>
      <c r="P725" s="176">
        <f t="shared" si="647"/>
        <v>0</v>
      </c>
      <c r="Q725" s="175">
        <f t="shared" ref="Q725:Q731" si="650">SUM(F725:P725)</f>
        <v>0</v>
      </c>
      <c r="R725" s="176">
        <f t="shared" si="647"/>
        <v>0</v>
      </c>
      <c r="S725" s="176">
        <f t="shared" si="647"/>
        <v>0</v>
      </c>
      <c r="T725" s="176">
        <f t="shared" si="647"/>
        <v>0</v>
      </c>
      <c r="U725" s="176">
        <f t="shared" si="647"/>
        <v>0</v>
      </c>
    </row>
    <row r="726" spans="3:21" ht="18.75" x14ac:dyDescent="0.3">
      <c r="C726" s="294">
        <f t="shared" si="644"/>
        <v>1</v>
      </c>
      <c r="D726" s="113" t="s">
        <v>119</v>
      </c>
      <c r="E726" s="76" t="s">
        <v>55</v>
      </c>
      <c r="F726" s="176">
        <f t="shared" ref="F726:U726" si="651">F9*$E$720</f>
        <v>0</v>
      </c>
      <c r="G726" s="176">
        <f t="shared" si="648"/>
        <v>0</v>
      </c>
      <c r="H726" s="176">
        <f t="shared" si="648"/>
        <v>0</v>
      </c>
      <c r="I726" s="176">
        <f t="shared" si="648"/>
        <v>0</v>
      </c>
      <c r="J726" s="176">
        <f t="shared" si="648"/>
        <v>0</v>
      </c>
      <c r="K726" s="176">
        <f t="shared" si="648"/>
        <v>0</v>
      </c>
      <c r="L726" s="176">
        <f t="shared" si="648"/>
        <v>0</v>
      </c>
      <c r="M726" s="176">
        <f t="shared" si="651"/>
        <v>0</v>
      </c>
      <c r="N726" s="176">
        <f t="shared" si="651"/>
        <v>0</v>
      </c>
      <c r="O726" s="176">
        <f t="shared" si="649"/>
        <v>0</v>
      </c>
      <c r="P726" s="176">
        <f t="shared" si="651"/>
        <v>0</v>
      </c>
      <c r="Q726" s="175">
        <f t="shared" si="650"/>
        <v>0</v>
      </c>
      <c r="R726" s="176">
        <f t="shared" si="651"/>
        <v>0</v>
      </c>
      <c r="S726" s="176">
        <f t="shared" si="651"/>
        <v>0</v>
      </c>
      <c r="T726" s="176">
        <f t="shared" si="651"/>
        <v>0</v>
      </c>
      <c r="U726" s="176">
        <f t="shared" si="651"/>
        <v>0</v>
      </c>
    </row>
    <row r="727" spans="3:21" ht="18.75" x14ac:dyDescent="0.3">
      <c r="C727" s="294">
        <f t="shared" si="644"/>
        <v>1</v>
      </c>
      <c r="D727" s="113" t="s">
        <v>120</v>
      </c>
      <c r="E727" s="76" t="s">
        <v>54</v>
      </c>
      <c r="F727" s="176">
        <f t="shared" ref="F727:U727" si="652">F10*$E$720</f>
        <v>0</v>
      </c>
      <c r="G727" s="176">
        <f t="shared" si="648"/>
        <v>0</v>
      </c>
      <c r="H727" s="176">
        <f t="shared" si="648"/>
        <v>0</v>
      </c>
      <c r="I727" s="176">
        <f t="shared" si="648"/>
        <v>0</v>
      </c>
      <c r="J727" s="176">
        <f t="shared" si="648"/>
        <v>0</v>
      </c>
      <c r="K727" s="176">
        <f t="shared" si="648"/>
        <v>0</v>
      </c>
      <c r="L727" s="176">
        <f t="shared" si="648"/>
        <v>0</v>
      </c>
      <c r="M727" s="176">
        <f t="shared" si="652"/>
        <v>0</v>
      </c>
      <c r="N727" s="176">
        <f t="shared" si="652"/>
        <v>0</v>
      </c>
      <c r="O727" s="176">
        <f t="shared" si="649"/>
        <v>0</v>
      </c>
      <c r="P727" s="176">
        <f t="shared" si="652"/>
        <v>0</v>
      </c>
      <c r="Q727" s="175">
        <f t="shared" si="650"/>
        <v>0</v>
      </c>
      <c r="R727" s="176">
        <f t="shared" si="652"/>
        <v>0</v>
      </c>
      <c r="S727" s="176">
        <f t="shared" si="652"/>
        <v>0</v>
      </c>
      <c r="T727" s="176">
        <f t="shared" si="652"/>
        <v>0</v>
      </c>
      <c r="U727" s="176">
        <f t="shared" si="652"/>
        <v>0</v>
      </c>
    </row>
    <row r="728" spans="3:21" ht="18.75" x14ac:dyDescent="0.3">
      <c r="C728" s="294">
        <f t="shared" si="644"/>
        <v>1</v>
      </c>
      <c r="D728" s="113" t="s">
        <v>121</v>
      </c>
      <c r="E728" s="76" t="s">
        <v>53</v>
      </c>
      <c r="F728" s="176">
        <f t="shared" ref="F728:U728" si="653">F11*$E$720</f>
        <v>0</v>
      </c>
      <c r="G728" s="176">
        <f t="shared" si="648"/>
        <v>0</v>
      </c>
      <c r="H728" s="176">
        <f t="shared" si="648"/>
        <v>0</v>
      </c>
      <c r="I728" s="176">
        <f t="shared" si="648"/>
        <v>0</v>
      </c>
      <c r="J728" s="176">
        <f t="shared" si="648"/>
        <v>0</v>
      </c>
      <c r="K728" s="176">
        <f t="shared" si="648"/>
        <v>0</v>
      </c>
      <c r="L728" s="176">
        <f t="shared" si="648"/>
        <v>0</v>
      </c>
      <c r="M728" s="176">
        <f t="shared" si="653"/>
        <v>0</v>
      </c>
      <c r="N728" s="176">
        <f t="shared" si="653"/>
        <v>0</v>
      </c>
      <c r="O728" s="176">
        <f t="shared" si="649"/>
        <v>0</v>
      </c>
      <c r="P728" s="176">
        <f t="shared" si="653"/>
        <v>0</v>
      </c>
      <c r="Q728" s="175">
        <f t="shared" si="650"/>
        <v>0</v>
      </c>
      <c r="R728" s="176">
        <f t="shared" si="653"/>
        <v>0</v>
      </c>
      <c r="S728" s="176">
        <f t="shared" si="653"/>
        <v>0</v>
      </c>
      <c r="T728" s="176">
        <f t="shared" si="653"/>
        <v>0</v>
      </c>
      <c r="U728" s="176">
        <f t="shared" si="653"/>
        <v>0</v>
      </c>
    </row>
    <row r="729" spans="3:21" ht="18.75" x14ac:dyDescent="0.3">
      <c r="C729" s="294">
        <f t="shared" si="644"/>
        <v>1</v>
      </c>
      <c r="D729" s="113" t="s">
        <v>122</v>
      </c>
      <c r="E729" s="76" t="s">
        <v>52</v>
      </c>
      <c r="F729" s="176">
        <f t="shared" ref="F729:U729" si="654">F12*$E$720</f>
        <v>0</v>
      </c>
      <c r="G729" s="176">
        <f t="shared" si="648"/>
        <v>0</v>
      </c>
      <c r="H729" s="176">
        <f t="shared" si="648"/>
        <v>0</v>
      </c>
      <c r="I729" s="176">
        <f t="shared" si="648"/>
        <v>0</v>
      </c>
      <c r="J729" s="176">
        <f t="shared" si="648"/>
        <v>0</v>
      </c>
      <c r="K729" s="176">
        <f t="shared" si="648"/>
        <v>0</v>
      </c>
      <c r="L729" s="176">
        <f t="shared" si="648"/>
        <v>0</v>
      </c>
      <c r="M729" s="176">
        <f t="shared" si="654"/>
        <v>0</v>
      </c>
      <c r="N729" s="176">
        <f t="shared" si="654"/>
        <v>0</v>
      </c>
      <c r="O729" s="176">
        <f t="shared" si="649"/>
        <v>0</v>
      </c>
      <c r="P729" s="176">
        <f t="shared" si="654"/>
        <v>0</v>
      </c>
      <c r="Q729" s="175">
        <f t="shared" si="650"/>
        <v>0</v>
      </c>
      <c r="R729" s="176">
        <f t="shared" si="654"/>
        <v>0</v>
      </c>
      <c r="S729" s="176">
        <f t="shared" si="654"/>
        <v>0</v>
      </c>
      <c r="T729" s="176">
        <f t="shared" si="654"/>
        <v>0</v>
      </c>
      <c r="U729" s="176">
        <f t="shared" si="654"/>
        <v>0</v>
      </c>
    </row>
    <row r="730" spans="3:21" ht="18.75" x14ac:dyDescent="0.3">
      <c r="C730" s="294">
        <f t="shared" si="644"/>
        <v>1</v>
      </c>
      <c r="D730" s="125" t="s">
        <v>123</v>
      </c>
      <c r="E730" s="76" t="s">
        <v>51</v>
      </c>
      <c r="F730" s="176">
        <f t="shared" ref="F730:U730" si="655">F13*$E$720</f>
        <v>0</v>
      </c>
      <c r="G730" s="176">
        <f t="shared" si="648"/>
        <v>0</v>
      </c>
      <c r="H730" s="176">
        <f t="shared" si="648"/>
        <v>0</v>
      </c>
      <c r="I730" s="176">
        <f t="shared" si="648"/>
        <v>0</v>
      </c>
      <c r="J730" s="176">
        <f t="shared" si="648"/>
        <v>0</v>
      </c>
      <c r="K730" s="176">
        <f t="shared" si="648"/>
        <v>0</v>
      </c>
      <c r="L730" s="176">
        <f t="shared" si="648"/>
        <v>0</v>
      </c>
      <c r="M730" s="176">
        <f t="shared" si="655"/>
        <v>0</v>
      </c>
      <c r="N730" s="176">
        <f t="shared" si="655"/>
        <v>0</v>
      </c>
      <c r="O730" s="176">
        <f t="shared" si="649"/>
        <v>0</v>
      </c>
      <c r="P730" s="176">
        <f t="shared" si="655"/>
        <v>0</v>
      </c>
      <c r="Q730" s="175">
        <f t="shared" si="650"/>
        <v>0</v>
      </c>
      <c r="R730" s="176">
        <f t="shared" si="655"/>
        <v>0</v>
      </c>
      <c r="S730" s="176">
        <f t="shared" si="655"/>
        <v>0</v>
      </c>
      <c r="T730" s="176">
        <f t="shared" si="655"/>
        <v>0</v>
      </c>
      <c r="U730" s="176">
        <f t="shared" si="655"/>
        <v>0</v>
      </c>
    </row>
    <row r="731" spans="3:21" ht="19.5" thickBot="1" x14ac:dyDescent="0.35">
      <c r="C731" s="294">
        <f t="shared" si="644"/>
        <v>1</v>
      </c>
      <c r="D731" s="114" t="s">
        <v>16</v>
      </c>
      <c r="E731" s="70" t="s">
        <v>50</v>
      </c>
      <c r="F731" s="176">
        <f t="shared" ref="F731:U731" si="656">F14*$E$720</f>
        <v>20876.630852420545</v>
      </c>
      <c r="G731" s="176">
        <f t="shared" si="648"/>
        <v>414.71095884993377</v>
      </c>
      <c r="H731" s="176">
        <f t="shared" si="648"/>
        <v>0</v>
      </c>
      <c r="I731" s="176">
        <f t="shared" si="648"/>
        <v>0</v>
      </c>
      <c r="J731" s="176">
        <f t="shared" si="648"/>
        <v>885.38288875796661</v>
      </c>
      <c r="K731" s="176">
        <f t="shared" si="648"/>
        <v>3.645159837972701</v>
      </c>
      <c r="L731" s="176">
        <f t="shared" si="648"/>
        <v>0.51297859603123375</v>
      </c>
      <c r="M731" s="176">
        <f t="shared" si="656"/>
        <v>0</v>
      </c>
      <c r="N731" s="176">
        <f t="shared" si="656"/>
        <v>0</v>
      </c>
      <c r="O731" s="176">
        <f t="shared" si="649"/>
        <v>265.3206908904728</v>
      </c>
      <c r="P731" s="176">
        <f t="shared" si="656"/>
        <v>4518.8465718535626</v>
      </c>
      <c r="Q731" s="175">
        <f t="shared" si="650"/>
        <v>26965.050101206481</v>
      </c>
      <c r="R731" s="176">
        <f t="shared" si="656"/>
        <v>0</v>
      </c>
      <c r="S731" s="176">
        <f t="shared" si="656"/>
        <v>1874.9701315339089</v>
      </c>
      <c r="T731" s="176">
        <f t="shared" ca="1" si="656"/>
        <v>543.79174909765254</v>
      </c>
      <c r="U731" s="176">
        <f t="shared" ca="1" si="656"/>
        <v>30.986984812152567</v>
      </c>
    </row>
    <row r="732" spans="3:21" ht="19.5" thickBot="1" x14ac:dyDescent="0.3">
      <c r="C732" s="294">
        <f t="shared" si="644"/>
        <v>1</v>
      </c>
      <c r="D732" s="115" t="s">
        <v>124</v>
      </c>
      <c r="E732" s="116" t="s">
        <v>49</v>
      </c>
      <c r="F732" s="269">
        <f t="shared" ref="F732:U732" si="657">SUBTOTAL(9,F723:F731)</f>
        <v>216401.92463030227</v>
      </c>
      <c r="G732" s="269">
        <f t="shared" ref="G732:L732" si="658">SUBTOTAL(9,G723:G731)</f>
        <v>4811.5359801602426</v>
      </c>
      <c r="H732" s="269">
        <f t="shared" si="658"/>
        <v>0</v>
      </c>
      <c r="I732" s="269">
        <f t="shared" si="658"/>
        <v>5603.8147238886941</v>
      </c>
      <c r="J732" s="269">
        <f t="shared" si="658"/>
        <v>1527.8315514218887</v>
      </c>
      <c r="K732" s="269">
        <f t="shared" si="658"/>
        <v>198.63164140490326</v>
      </c>
      <c r="L732" s="269">
        <f t="shared" si="658"/>
        <v>0.51297859603123375</v>
      </c>
      <c r="M732" s="269">
        <f t="shared" si="657"/>
        <v>0</v>
      </c>
      <c r="N732" s="269">
        <f t="shared" si="657"/>
        <v>0</v>
      </c>
      <c r="O732" s="269">
        <f>SUBTOTAL(9,O723:O731)</f>
        <v>270.80967332952321</v>
      </c>
      <c r="P732" s="269">
        <f t="shared" si="657"/>
        <v>4518.8465718535626</v>
      </c>
      <c r="Q732" s="183">
        <f>SUBTOTAL(9,Q723:Q731)</f>
        <v>233333.90775095712</v>
      </c>
      <c r="R732" s="269">
        <f t="shared" si="657"/>
        <v>0</v>
      </c>
      <c r="S732" s="269">
        <f t="shared" si="657"/>
        <v>17623.251548085904</v>
      </c>
      <c r="T732" s="269">
        <f t="shared" ca="1" si="657"/>
        <v>7246.8504203536904</v>
      </c>
      <c r="U732" s="269">
        <f t="shared" ca="1" si="657"/>
        <v>5012.567507790689</v>
      </c>
    </row>
    <row r="733" spans="3:21" ht="15.75" hidden="1" thickBot="1" x14ac:dyDescent="0.3"/>
    <row r="734" spans="3:21" ht="93.75" x14ac:dyDescent="0.25">
      <c r="C734" s="294">
        <f>IF($E$734&gt;0,1,0)</f>
        <v>1</v>
      </c>
      <c r="D734" s="96" t="str">
        <f>A55</f>
        <v>Suffolk</v>
      </c>
      <c r="E734" s="166">
        <f>IFERROR(SUMIF(A:A,D734,B:B),0)</f>
        <v>4.7178453804958088E-2</v>
      </c>
      <c r="F734" s="98" t="s">
        <v>356</v>
      </c>
      <c r="G734" s="98" t="s">
        <v>373</v>
      </c>
      <c r="H734" s="98" t="s">
        <v>358</v>
      </c>
      <c r="I734" s="98" t="s">
        <v>109</v>
      </c>
      <c r="J734" s="98" t="s">
        <v>111</v>
      </c>
      <c r="K734" s="98" t="s">
        <v>469</v>
      </c>
      <c r="L734" s="98" t="s">
        <v>470</v>
      </c>
      <c r="M734" s="98" t="s">
        <v>357</v>
      </c>
      <c r="N734" s="557" t="s">
        <v>471</v>
      </c>
      <c r="O734" s="557" t="s">
        <v>473</v>
      </c>
      <c r="P734" s="98" t="s">
        <v>110</v>
      </c>
      <c r="Q734" s="99" t="s">
        <v>116</v>
      </c>
      <c r="R734" s="98" t="s">
        <v>112</v>
      </c>
      <c r="S734" s="98" t="s">
        <v>113</v>
      </c>
      <c r="T734" s="98" t="s">
        <v>114</v>
      </c>
      <c r="U734" s="98" t="s">
        <v>115</v>
      </c>
    </row>
    <row r="735" spans="3:21" ht="18.75" x14ac:dyDescent="0.25">
      <c r="C735" s="294">
        <f>C734</f>
        <v>1</v>
      </c>
      <c r="D735" s="101"/>
      <c r="E735" s="102"/>
      <c r="F735" s="84" t="s">
        <v>57</v>
      </c>
      <c r="G735" s="84" t="s">
        <v>56</v>
      </c>
      <c r="H735" s="84" t="s">
        <v>55</v>
      </c>
      <c r="I735" s="84" t="s">
        <v>54</v>
      </c>
      <c r="J735" s="84" t="s">
        <v>53</v>
      </c>
      <c r="K735" s="84" t="s">
        <v>52</v>
      </c>
      <c r="L735" s="84" t="s">
        <v>51</v>
      </c>
      <c r="M735" s="84" t="s">
        <v>50</v>
      </c>
      <c r="N735" s="84" t="s">
        <v>49</v>
      </c>
      <c r="O735" s="84" t="s">
        <v>47</v>
      </c>
      <c r="P735" s="84" t="s">
        <v>77</v>
      </c>
      <c r="Q735" s="84" t="s">
        <v>78</v>
      </c>
      <c r="R735" s="84" t="s">
        <v>79</v>
      </c>
      <c r="S735" s="84" t="s">
        <v>81</v>
      </c>
      <c r="T735" s="84" t="s">
        <v>83</v>
      </c>
      <c r="U735" s="84" t="s">
        <v>85</v>
      </c>
    </row>
    <row r="736" spans="3:21" ht="18.75" x14ac:dyDescent="0.25">
      <c r="C736" s="294">
        <f>C734</f>
        <v>1</v>
      </c>
      <c r="D736" s="103" t="s">
        <v>26</v>
      </c>
      <c r="E736" s="122"/>
      <c r="F736" s="123"/>
      <c r="G736" s="123"/>
      <c r="H736" s="107"/>
      <c r="I736" s="107"/>
      <c r="J736" s="107"/>
      <c r="K736" s="107"/>
      <c r="L736" s="107"/>
      <c r="M736" s="123"/>
      <c r="N736" s="107"/>
      <c r="O736" s="107"/>
      <c r="P736" s="107"/>
      <c r="Q736" s="108"/>
      <c r="R736" s="107"/>
      <c r="S736" s="107"/>
      <c r="T736" s="107"/>
      <c r="U736" s="107"/>
    </row>
    <row r="737" spans="3:21" ht="18.75" x14ac:dyDescent="0.25">
      <c r="C737" s="294">
        <f t="shared" ref="C737:C746" si="659">C735</f>
        <v>1</v>
      </c>
      <c r="D737" s="124" t="s">
        <v>105</v>
      </c>
      <c r="E737" s="76" t="s">
        <v>57</v>
      </c>
      <c r="F737" s="176">
        <f t="shared" ref="F737:L737" si="660">F6*$E$734</f>
        <v>3327514.8285511872</v>
      </c>
      <c r="G737" s="176">
        <f t="shared" si="660"/>
        <v>74826.638407076418</v>
      </c>
      <c r="H737" s="176">
        <f t="shared" si="660"/>
        <v>0</v>
      </c>
      <c r="I737" s="176">
        <f t="shared" si="660"/>
        <v>95367.592754398283</v>
      </c>
      <c r="J737" s="176">
        <f t="shared" si="660"/>
        <v>10933.406160870365</v>
      </c>
      <c r="K737" s="176">
        <f t="shared" si="660"/>
        <v>3318.345142179146</v>
      </c>
      <c r="L737" s="176">
        <f t="shared" si="660"/>
        <v>0</v>
      </c>
      <c r="M737" s="176">
        <f t="shared" ref="M737:U737" si="661">M6*$E$734</f>
        <v>0</v>
      </c>
      <c r="N737" s="176">
        <f t="shared" si="661"/>
        <v>0</v>
      </c>
      <c r="O737" s="176">
        <f>O6*$E$734</f>
        <v>93.413338533817011</v>
      </c>
      <c r="P737" s="176">
        <f t="shared" si="661"/>
        <v>0</v>
      </c>
      <c r="Q737" s="175">
        <f>SUM(F737:P737)</f>
        <v>3512054.2243542452</v>
      </c>
      <c r="R737" s="176">
        <f t="shared" si="661"/>
        <v>0</v>
      </c>
      <c r="S737" s="176">
        <f t="shared" si="661"/>
        <v>268009.51900015387</v>
      </c>
      <c r="T737" s="176">
        <f t="shared" ca="1" si="661"/>
        <v>114074.89381190344</v>
      </c>
      <c r="U737" s="176">
        <f t="shared" ca="1" si="661"/>
        <v>84778.203062891931</v>
      </c>
    </row>
    <row r="738" spans="3:21" ht="18.75" x14ac:dyDescent="0.25">
      <c r="C738" s="294">
        <f t="shared" si="659"/>
        <v>1</v>
      </c>
      <c r="D738" s="112" t="s">
        <v>31</v>
      </c>
      <c r="E738" s="76"/>
      <c r="F738" s="177"/>
      <c r="G738" s="177"/>
      <c r="H738" s="178"/>
      <c r="I738" s="178"/>
      <c r="J738" s="178"/>
      <c r="K738" s="178"/>
      <c r="L738" s="178"/>
      <c r="M738" s="177"/>
      <c r="N738" s="178"/>
      <c r="O738" s="178"/>
      <c r="P738" s="178"/>
      <c r="Q738" s="179"/>
      <c r="R738" s="178"/>
      <c r="S738" s="178"/>
      <c r="T738" s="178"/>
      <c r="U738" s="178"/>
    </row>
    <row r="739" spans="3:21" ht="18.75" x14ac:dyDescent="0.3">
      <c r="C739" s="294">
        <f t="shared" si="659"/>
        <v>1</v>
      </c>
      <c r="D739" s="113" t="s">
        <v>118</v>
      </c>
      <c r="E739" s="76" t="s">
        <v>56</v>
      </c>
      <c r="F739" s="176">
        <f t="shared" ref="F739:U739" si="662">F8*$E$734</f>
        <v>0</v>
      </c>
      <c r="G739" s="176">
        <f t="shared" ref="G739:L745" si="663">G8*$E$734</f>
        <v>0</v>
      </c>
      <c r="H739" s="176">
        <f t="shared" si="663"/>
        <v>0</v>
      </c>
      <c r="I739" s="176">
        <f t="shared" si="663"/>
        <v>0</v>
      </c>
      <c r="J739" s="176">
        <f t="shared" si="663"/>
        <v>0</v>
      </c>
      <c r="K739" s="176">
        <f t="shared" si="663"/>
        <v>0</v>
      </c>
      <c r="L739" s="176">
        <f t="shared" si="663"/>
        <v>0</v>
      </c>
      <c r="M739" s="176">
        <f t="shared" si="662"/>
        <v>0</v>
      </c>
      <c r="N739" s="176">
        <f t="shared" si="662"/>
        <v>0</v>
      </c>
      <c r="O739" s="176">
        <f t="shared" ref="O739:O745" si="664">O8*$E$734</f>
        <v>0</v>
      </c>
      <c r="P739" s="176">
        <f t="shared" si="662"/>
        <v>0</v>
      </c>
      <c r="Q739" s="175">
        <f t="shared" ref="Q739:Q745" si="665">SUM(F739:P739)</f>
        <v>0</v>
      </c>
      <c r="R739" s="176">
        <f t="shared" si="662"/>
        <v>0</v>
      </c>
      <c r="S739" s="176">
        <f t="shared" si="662"/>
        <v>0</v>
      </c>
      <c r="T739" s="176">
        <f t="shared" si="662"/>
        <v>0</v>
      </c>
      <c r="U739" s="176">
        <f t="shared" si="662"/>
        <v>0</v>
      </c>
    </row>
    <row r="740" spans="3:21" ht="18.75" x14ac:dyDescent="0.3">
      <c r="C740" s="294">
        <f t="shared" si="659"/>
        <v>1</v>
      </c>
      <c r="D740" s="113" t="s">
        <v>119</v>
      </c>
      <c r="E740" s="76" t="s">
        <v>55</v>
      </c>
      <c r="F740" s="176">
        <f t="shared" ref="F740:U740" si="666">F9*$E$734</f>
        <v>0</v>
      </c>
      <c r="G740" s="176">
        <f t="shared" si="663"/>
        <v>0</v>
      </c>
      <c r="H740" s="176">
        <f t="shared" si="663"/>
        <v>0</v>
      </c>
      <c r="I740" s="176">
        <f t="shared" si="663"/>
        <v>0</v>
      </c>
      <c r="J740" s="176">
        <f t="shared" si="663"/>
        <v>0</v>
      </c>
      <c r="K740" s="176">
        <f t="shared" si="663"/>
        <v>0</v>
      </c>
      <c r="L740" s="176">
        <f t="shared" si="663"/>
        <v>0</v>
      </c>
      <c r="M740" s="176">
        <f t="shared" si="666"/>
        <v>0</v>
      </c>
      <c r="N740" s="176">
        <f t="shared" si="666"/>
        <v>0</v>
      </c>
      <c r="O740" s="176">
        <f t="shared" si="664"/>
        <v>0</v>
      </c>
      <c r="P740" s="176">
        <f t="shared" si="666"/>
        <v>0</v>
      </c>
      <c r="Q740" s="175">
        <f t="shared" si="665"/>
        <v>0</v>
      </c>
      <c r="R740" s="176">
        <f t="shared" si="666"/>
        <v>0</v>
      </c>
      <c r="S740" s="176">
        <f t="shared" si="666"/>
        <v>0</v>
      </c>
      <c r="T740" s="176">
        <f t="shared" si="666"/>
        <v>0</v>
      </c>
      <c r="U740" s="176">
        <f t="shared" si="666"/>
        <v>0</v>
      </c>
    </row>
    <row r="741" spans="3:21" ht="18.75" x14ac:dyDescent="0.3">
      <c r="C741" s="294">
        <f t="shared" si="659"/>
        <v>1</v>
      </c>
      <c r="D741" s="113" t="s">
        <v>120</v>
      </c>
      <c r="E741" s="76" t="s">
        <v>54</v>
      </c>
      <c r="F741" s="176">
        <f t="shared" ref="F741:U741" si="667">F10*$E$734</f>
        <v>0</v>
      </c>
      <c r="G741" s="176">
        <f t="shared" si="663"/>
        <v>0</v>
      </c>
      <c r="H741" s="176">
        <f t="shared" si="663"/>
        <v>0</v>
      </c>
      <c r="I741" s="176">
        <f t="shared" si="663"/>
        <v>0</v>
      </c>
      <c r="J741" s="176">
        <f t="shared" si="663"/>
        <v>0</v>
      </c>
      <c r="K741" s="176">
        <f t="shared" si="663"/>
        <v>0</v>
      </c>
      <c r="L741" s="176">
        <f t="shared" si="663"/>
        <v>0</v>
      </c>
      <c r="M741" s="176">
        <f t="shared" si="667"/>
        <v>0</v>
      </c>
      <c r="N741" s="176">
        <f t="shared" si="667"/>
        <v>0</v>
      </c>
      <c r="O741" s="176">
        <f t="shared" si="664"/>
        <v>0</v>
      </c>
      <c r="P741" s="176">
        <f t="shared" si="667"/>
        <v>0</v>
      </c>
      <c r="Q741" s="175">
        <f t="shared" si="665"/>
        <v>0</v>
      </c>
      <c r="R741" s="176">
        <f t="shared" si="667"/>
        <v>0</v>
      </c>
      <c r="S741" s="176">
        <f t="shared" si="667"/>
        <v>0</v>
      </c>
      <c r="T741" s="176">
        <f t="shared" si="667"/>
        <v>0</v>
      </c>
      <c r="U741" s="176">
        <f t="shared" si="667"/>
        <v>0</v>
      </c>
    </row>
    <row r="742" spans="3:21" ht="18.75" x14ac:dyDescent="0.3">
      <c r="C742" s="294">
        <f t="shared" si="659"/>
        <v>1</v>
      </c>
      <c r="D742" s="113" t="s">
        <v>121</v>
      </c>
      <c r="E742" s="76" t="s">
        <v>53</v>
      </c>
      <c r="F742" s="176">
        <f t="shared" ref="F742:U742" si="668">F11*$E$734</f>
        <v>0</v>
      </c>
      <c r="G742" s="176">
        <f t="shared" si="663"/>
        <v>0</v>
      </c>
      <c r="H742" s="176">
        <f t="shared" si="663"/>
        <v>0</v>
      </c>
      <c r="I742" s="176">
        <f t="shared" si="663"/>
        <v>0</v>
      </c>
      <c r="J742" s="176">
        <f t="shared" si="663"/>
        <v>0</v>
      </c>
      <c r="K742" s="176">
        <f t="shared" si="663"/>
        <v>0</v>
      </c>
      <c r="L742" s="176">
        <f t="shared" si="663"/>
        <v>0</v>
      </c>
      <c r="M742" s="176">
        <f t="shared" si="668"/>
        <v>0</v>
      </c>
      <c r="N742" s="176">
        <f t="shared" si="668"/>
        <v>0</v>
      </c>
      <c r="O742" s="176">
        <f t="shared" si="664"/>
        <v>0</v>
      </c>
      <c r="P742" s="176">
        <f t="shared" si="668"/>
        <v>0</v>
      </c>
      <c r="Q742" s="175">
        <f t="shared" si="665"/>
        <v>0</v>
      </c>
      <c r="R742" s="176">
        <f t="shared" si="668"/>
        <v>0</v>
      </c>
      <c r="S742" s="176">
        <f t="shared" si="668"/>
        <v>0</v>
      </c>
      <c r="T742" s="176">
        <f t="shared" si="668"/>
        <v>0</v>
      </c>
      <c r="U742" s="176">
        <f t="shared" si="668"/>
        <v>0</v>
      </c>
    </row>
    <row r="743" spans="3:21" ht="18.75" x14ac:dyDescent="0.3">
      <c r="C743" s="294">
        <f t="shared" si="659"/>
        <v>1</v>
      </c>
      <c r="D743" s="113" t="s">
        <v>122</v>
      </c>
      <c r="E743" s="76" t="s">
        <v>52</v>
      </c>
      <c r="F743" s="176">
        <f t="shared" ref="F743:U743" si="669">F12*$E$734</f>
        <v>0</v>
      </c>
      <c r="G743" s="176">
        <f t="shared" si="663"/>
        <v>0</v>
      </c>
      <c r="H743" s="176">
        <f t="shared" si="663"/>
        <v>0</v>
      </c>
      <c r="I743" s="176">
        <f t="shared" si="663"/>
        <v>0</v>
      </c>
      <c r="J743" s="176">
        <f t="shared" si="663"/>
        <v>0</v>
      </c>
      <c r="K743" s="176">
        <f t="shared" si="663"/>
        <v>0</v>
      </c>
      <c r="L743" s="176">
        <f t="shared" si="663"/>
        <v>0</v>
      </c>
      <c r="M743" s="176">
        <f t="shared" si="669"/>
        <v>0</v>
      </c>
      <c r="N743" s="176">
        <f t="shared" si="669"/>
        <v>0</v>
      </c>
      <c r="O743" s="176">
        <f t="shared" si="664"/>
        <v>0</v>
      </c>
      <c r="P743" s="176">
        <f t="shared" si="669"/>
        <v>0</v>
      </c>
      <c r="Q743" s="175">
        <f t="shared" si="665"/>
        <v>0</v>
      </c>
      <c r="R743" s="176">
        <f t="shared" si="669"/>
        <v>0</v>
      </c>
      <c r="S743" s="176">
        <f t="shared" si="669"/>
        <v>0</v>
      </c>
      <c r="T743" s="176">
        <f t="shared" si="669"/>
        <v>0</v>
      </c>
      <c r="U743" s="176">
        <f t="shared" si="669"/>
        <v>0</v>
      </c>
    </row>
    <row r="744" spans="3:21" ht="18.75" x14ac:dyDescent="0.3">
      <c r="C744" s="294">
        <f t="shared" si="659"/>
        <v>1</v>
      </c>
      <c r="D744" s="125" t="s">
        <v>123</v>
      </c>
      <c r="E744" s="76" t="s">
        <v>51</v>
      </c>
      <c r="F744" s="176">
        <f t="shared" ref="F744:U744" si="670">F13*$E$734</f>
        <v>0</v>
      </c>
      <c r="G744" s="176">
        <f t="shared" si="663"/>
        <v>0</v>
      </c>
      <c r="H744" s="176">
        <f t="shared" si="663"/>
        <v>0</v>
      </c>
      <c r="I744" s="176">
        <f t="shared" si="663"/>
        <v>0</v>
      </c>
      <c r="J744" s="176">
        <f t="shared" si="663"/>
        <v>0</v>
      </c>
      <c r="K744" s="176">
        <f t="shared" si="663"/>
        <v>0</v>
      </c>
      <c r="L744" s="176">
        <f t="shared" si="663"/>
        <v>0</v>
      </c>
      <c r="M744" s="176">
        <f t="shared" si="670"/>
        <v>0</v>
      </c>
      <c r="N744" s="176">
        <f t="shared" si="670"/>
        <v>0</v>
      </c>
      <c r="O744" s="176">
        <f t="shared" si="664"/>
        <v>0</v>
      </c>
      <c r="P744" s="176">
        <f t="shared" si="670"/>
        <v>0</v>
      </c>
      <c r="Q744" s="175">
        <f t="shared" si="665"/>
        <v>0</v>
      </c>
      <c r="R744" s="176">
        <f t="shared" si="670"/>
        <v>0</v>
      </c>
      <c r="S744" s="176">
        <f t="shared" si="670"/>
        <v>0</v>
      </c>
      <c r="T744" s="176">
        <f t="shared" si="670"/>
        <v>0</v>
      </c>
      <c r="U744" s="176">
        <f t="shared" si="670"/>
        <v>0</v>
      </c>
    </row>
    <row r="745" spans="3:21" ht="19.5" thickBot="1" x14ac:dyDescent="0.35">
      <c r="C745" s="294">
        <f t="shared" si="659"/>
        <v>1</v>
      </c>
      <c r="D745" s="114" t="s">
        <v>16</v>
      </c>
      <c r="E745" s="70" t="s">
        <v>50</v>
      </c>
      <c r="F745" s="176">
        <f t="shared" ref="F745:U745" si="671">F14*$E$734</f>
        <v>355285.48449866532</v>
      </c>
      <c r="G745" s="176">
        <f t="shared" si="663"/>
        <v>7057.6897672557789</v>
      </c>
      <c r="H745" s="176">
        <f t="shared" si="663"/>
        <v>0</v>
      </c>
      <c r="I745" s="176">
        <f t="shared" si="663"/>
        <v>0</v>
      </c>
      <c r="J745" s="176">
        <f t="shared" si="663"/>
        <v>15067.742052005002</v>
      </c>
      <c r="K745" s="176">
        <f t="shared" si="663"/>
        <v>62.034548977956852</v>
      </c>
      <c r="L745" s="176">
        <f t="shared" si="663"/>
        <v>8.7300412751835648</v>
      </c>
      <c r="M745" s="176">
        <f t="shared" si="671"/>
        <v>0</v>
      </c>
      <c r="N745" s="176">
        <f t="shared" si="671"/>
        <v>0</v>
      </c>
      <c r="O745" s="176">
        <f t="shared" si="664"/>
        <v>4515.3162345452265</v>
      </c>
      <c r="P745" s="176">
        <f t="shared" si="671"/>
        <v>76903.241955345395</v>
      </c>
      <c r="Q745" s="175">
        <f t="shared" si="665"/>
        <v>458900.2390980699</v>
      </c>
      <c r="R745" s="176">
        <f t="shared" si="671"/>
        <v>0</v>
      </c>
      <c r="S745" s="176">
        <f t="shared" si="671"/>
        <v>31908.868644162198</v>
      </c>
      <c r="T745" s="176">
        <f t="shared" ca="1" si="671"/>
        <v>9254.4298172583422</v>
      </c>
      <c r="U745" s="176">
        <f t="shared" ca="1" si="671"/>
        <v>527.34686884890436</v>
      </c>
    </row>
    <row r="746" spans="3:21" ht="19.5" thickBot="1" x14ac:dyDescent="0.3">
      <c r="C746" s="294">
        <f t="shared" si="659"/>
        <v>1</v>
      </c>
      <c r="D746" s="115" t="s">
        <v>124</v>
      </c>
      <c r="E746" s="116" t="s">
        <v>49</v>
      </c>
      <c r="F746" s="269">
        <f t="shared" ref="F746:U746" si="672">SUBTOTAL(9,F737:F745)</f>
        <v>3682800.3130498524</v>
      </c>
      <c r="G746" s="269">
        <f t="shared" ref="G746:L746" si="673">SUBTOTAL(9,G737:G745)</f>
        <v>81884.3281743322</v>
      </c>
      <c r="H746" s="269">
        <f t="shared" si="673"/>
        <v>0</v>
      </c>
      <c r="I746" s="269">
        <f t="shared" si="673"/>
        <v>95367.592754398283</v>
      </c>
      <c r="J746" s="269">
        <f t="shared" si="673"/>
        <v>26001.148212875367</v>
      </c>
      <c r="K746" s="269">
        <f t="shared" si="673"/>
        <v>3380.379691157103</v>
      </c>
      <c r="L746" s="269">
        <f t="shared" si="673"/>
        <v>8.7300412751835648</v>
      </c>
      <c r="M746" s="269">
        <f t="shared" si="672"/>
        <v>0</v>
      </c>
      <c r="N746" s="269">
        <f t="shared" si="672"/>
        <v>0</v>
      </c>
      <c r="O746" s="269">
        <f>SUBTOTAL(9,O737:O745)</f>
        <v>4608.7295730790438</v>
      </c>
      <c r="P746" s="269">
        <f t="shared" si="672"/>
        <v>76903.241955345395</v>
      </c>
      <c r="Q746" s="183">
        <f>SUBTOTAL(9,Q737:Q745)</f>
        <v>3970954.463452315</v>
      </c>
      <c r="R746" s="269">
        <f t="shared" si="672"/>
        <v>0</v>
      </c>
      <c r="S746" s="269">
        <f t="shared" si="672"/>
        <v>299918.38764431607</v>
      </c>
      <c r="T746" s="269">
        <f t="shared" ca="1" si="672"/>
        <v>123329.32362916178</v>
      </c>
      <c r="U746" s="269">
        <f t="shared" ca="1" si="672"/>
        <v>85305.549931740839</v>
      </c>
    </row>
    <row r="747" spans="3:21" ht="15.75" hidden="1" thickBot="1" x14ac:dyDescent="0.3"/>
    <row r="748" spans="3:21" ht="93.75" x14ac:dyDescent="0.25">
      <c r="C748" s="294">
        <f>IF($E$748&gt;0,1,0)</f>
        <v>1</v>
      </c>
      <c r="D748" s="96" t="str">
        <f>A56</f>
        <v>Sullivan</v>
      </c>
      <c r="E748" s="166">
        <f>IFERROR(SUMIF(A:A,D748,B:B),0)</f>
        <v>2.5908175693671806E-3</v>
      </c>
      <c r="F748" s="98" t="s">
        <v>356</v>
      </c>
      <c r="G748" s="98" t="s">
        <v>373</v>
      </c>
      <c r="H748" s="98" t="s">
        <v>358</v>
      </c>
      <c r="I748" s="98" t="s">
        <v>109</v>
      </c>
      <c r="J748" s="98" t="s">
        <v>111</v>
      </c>
      <c r="K748" s="98" t="s">
        <v>469</v>
      </c>
      <c r="L748" s="98" t="s">
        <v>470</v>
      </c>
      <c r="M748" s="98" t="s">
        <v>357</v>
      </c>
      <c r="N748" s="557" t="s">
        <v>471</v>
      </c>
      <c r="O748" s="557" t="s">
        <v>473</v>
      </c>
      <c r="P748" s="98" t="s">
        <v>110</v>
      </c>
      <c r="Q748" s="99" t="s">
        <v>116</v>
      </c>
      <c r="R748" s="98" t="s">
        <v>112</v>
      </c>
      <c r="S748" s="98" t="s">
        <v>113</v>
      </c>
      <c r="T748" s="98" t="s">
        <v>114</v>
      </c>
      <c r="U748" s="98" t="s">
        <v>115</v>
      </c>
    </row>
    <row r="749" spans="3:21" ht="18.75" x14ac:dyDescent="0.25">
      <c r="C749" s="294">
        <f>C748</f>
        <v>1</v>
      </c>
      <c r="D749" s="101"/>
      <c r="E749" s="102"/>
      <c r="F749" s="84" t="s">
        <v>57</v>
      </c>
      <c r="G749" s="84" t="s">
        <v>56</v>
      </c>
      <c r="H749" s="84" t="s">
        <v>55</v>
      </c>
      <c r="I749" s="84" t="s">
        <v>54</v>
      </c>
      <c r="J749" s="84" t="s">
        <v>53</v>
      </c>
      <c r="K749" s="84" t="s">
        <v>52</v>
      </c>
      <c r="L749" s="84" t="s">
        <v>51</v>
      </c>
      <c r="M749" s="84" t="s">
        <v>50</v>
      </c>
      <c r="N749" s="84" t="s">
        <v>49</v>
      </c>
      <c r="O749" s="84" t="s">
        <v>47</v>
      </c>
      <c r="P749" s="84" t="s">
        <v>77</v>
      </c>
      <c r="Q749" s="84" t="s">
        <v>78</v>
      </c>
      <c r="R749" s="84" t="s">
        <v>79</v>
      </c>
      <c r="S749" s="84" t="s">
        <v>81</v>
      </c>
      <c r="T749" s="84" t="s">
        <v>83</v>
      </c>
      <c r="U749" s="84" t="s">
        <v>85</v>
      </c>
    </row>
    <row r="750" spans="3:21" ht="18.75" x14ac:dyDescent="0.25">
      <c r="C750" s="294">
        <f>C748</f>
        <v>1</v>
      </c>
      <c r="D750" s="103" t="s">
        <v>26</v>
      </c>
      <c r="E750" s="122"/>
      <c r="F750" s="123"/>
      <c r="G750" s="123"/>
      <c r="H750" s="107"/>
      <c r="I750" s="107"/>
      <c r="J750" s="107"/>
      <c r="K750" s="107"/>
      <c r="L750" s="107"/>
      <c r="M750" s="123"/>
      <c r="N750" s="107"/>
      <c r="O750" s="107"/>
      <c r="P750" s="107"/>
      <c r="Q750" s="108"/>
      <c r="R750" s="107"/>
      <c r="S750" s="107"/>
      <c r="T750" s="107"/>
      <c r="U750" s="107"/>
    </row>
    <row r="751" spans="3:21" ht="18.75" x14ac:dyDescent="0.25">
      <c r="C751" s="294">
        <f t="shared" ref="C751:C760" si="674">C749</f>
        <v>1</v>
      </c>
      <c r="D751" s="124" t="s">
        <v>105</v>
      </c>
      <c r="E751" s="76" t="s">
        <v>57</v>
      </c>
      <c r="F751" s="176">
        <f t="shared" ref="F751:L751" si="675">F6*$E$748</f>
        <v>182731.37809434187</v>
      </c>
      <c r="G751" s="176">
        <f t="shared" si="675"/>
        <v>4109.1251155281661</v>
      </c>
      <c r="H751" s="176">
        <f t="shared" si="675"/>
        <v>0</v>
      </c>
      <c r="I751" s="176">
        <f t="shared" si="675"/>
        <v>5237.1371871958872</v>
      </c>
      <c r="J751" s="176">
        <f t="shared" si="675"/>
        <v>600.41096072617427</v>
      </c>
      <c r="K751" s="176">
        <f t="shared" si="675"/>
        <v>182.22782228353708</v>
      </c>
      <c r="L751" s="176">
        <f t="shared" si="675"/>
        <v>0</v>
      </c>
      <c r="M751" s="176">
        <f t="shared" ref="M751:U751" si="676">M6*$E$748</f>
        <v>0</v>
      </c>
      <c r="N751" s="176">
        <f t="shared" si="676"/>
        <v>0</v>
      </c>
      <c r="O751" s="176">
        <f>O6*$E$748</f>
        <v>5.129818787347018</v>
      </c>
      <c r="P751" s="176">
        <f t="shared" si="676"/>
        <v>0</v>
      </c>
      <c r="Q751" s="175">
        <f>SUM(F751:P751)</f>
        <v>192865.40899886299</v>
      </c>
      <c r="R751" s="176">
        <f t="shared" si="676"/>
        <v>0</v>
      </c>
      <c r="S751" s="176">
        <f t="shared" si="676"/>
        <v>14717.815328451346</v>
      </c>
      <c r="T751" s="176">
        <f t="shared" ca="1" si="676"/>
        <v>6264.4536917934183</v>
      </c>
      <c r="U751" s="176">
        <f t="shared" ca="1" si="676"/>
        <v>4655.6179840644963</v>
      </c>
    </row>
    <row r="752" spans="3:21" ht="18.75" x14ac:dyDescent="0.25">
      <c r="C752" s="294">
        <f t="shared" si="674"/>
        <v>1</v>
      </c>
      <c r="D752" s="112" t="s">
        <v>31</v>
      </c>
      <c r="E752" s="76"/>
      <c r="F752" s="177"/>
      <c r="G752" s="177"/>
      <c r="H752" s="178"/>
      <c r="I752" s="178"/>
      <c r="J752" s="178"/>
      <c r="K752" s="178"/>
      <c r="L752" s="178"/>
      <c r="M752" s="177"/>
      <c r="N752" s="178"/>
      <c r="O752" s="178"/>
      <c r="P752" s="178"/>
      <c r="Q752" s="179"/>
      <c r="R752" s="178"/>
      <c r="S752" s="178"/>
      <c r="T752" s="178"/>
      <c r="U752" s="178"/>
    </row>
    <row r="753" spans="3:21" ht="18.75" x14ac:dyDescent="0.3">
      <c r="C753" s="294">
        <f t="shared" si="674"/>
        <v>1</v>
      </c>
      <c r="D753" s="113" t="s">
        <v>118</v>
      </c>
      <c r="E753" s="76" t="s">
        <v>56</v>
      </c>
      <c r="F753" s="176">
        <f t="shared" ref="F753:U753" si="677">F8*$E$748</f>
        <v>0</v>
      </c>
      <c r="G753" s="176">
        <f t="shared" ref="G753:L759" si="678">G8*$E$748</f>
        <v>0</v>
      </c>
      <c r="H753" s="176">
        <f t="shared" si="678"/>
        <v>0</v>
      </c>
      <c r="I753" s="176">
        <f t="shared" si="678"/>
        <v>0</v>
      </c>
      <c r="J753" s="176">
        <f t="shared" si="678"/>
        <v>0</v>
      </c>
      <c r="K753" s="176">
        <f t="shared" si="678"/>
        <v>0</v>
      </c>
      <c r="L753" s="176">
        <f t="shared" si="678"/>
        <v>0</v>
      </c>
      <c r="M753" s="176">
        <f t="shared" si="677"/>
        <v>0</v>
      </c>
      <c r="N753" s="176">
        <f t="shared" si="677"/>
        <v>0</v>
      </c>
      <c r="O753" s="176">
        <f t="shared" ref="O753:O759" si="679">O8*$E$748</f>
        <v>0</v>
      </c>
      <c r="P753" s="176">
        <f t="shared" si="677"/>
        <v>0</v>
      </c>
      <c r="Q753" s="175">
        <f t="shared" ref="Q753:Q759" si="680">SUM(F753:P753)</f>
        <v>0</v>
      </c>
      <c r="R753" s="176">
        <f t="shared" si="677"/>
        <v>0</v>
      </c>
      <c r="S753" s="176">
        <f t="shared" si="677"/>
        <v>0</v>
      </c>
      <c r="T753" s="176">
        <f t="shared" si="677"/>
        <v>0</v>
      </c>
      <c r="U753" s="176">
        <f t="shared" si="677"/>
        <v>0</v>
      </c>
    </row>
    <row r="754" spans="3:21" ht="18.75" x14ac:dyDescent="0.3">
      <c r="C754" s="294">
        <f t="shared" si="674"/>
        <v>1</v>
      </c>
      <c r="D754" s="113" t="s">
        <v>119</v>
      </c>
      <c r="E754" s="76" t="s">
        <v>55</v>
      </c>
      <c r="F754" s="176">
        <f t="shared" ref="F754:U754" si="681">F9*$E$748</f>
        <v>0</v>
      </c>
      <c r="G754" s="176">
        <f t="shared" si="678"/>
        <v>0</v>
      </c>
      <c r="H754" s="176">
        <f t="shared" si="678"/>
        <v>0</v>
      </c>
      <c r="I754" s="176">
        <f t="shared" si="678"/>
        <v>0</v>
      </c>
      <c r="J754" s="176">
        <f t="shared" si="678"/>
        <v>0</v>
      </c>
      <c r="K754" s="176">
        <f t="shared" si="678"/>
        <v>0</v>
      </c>
      <c r="L754" s="176">
        <f t="shared" si="678"/>
        <v>0</v>
      </c>
      <c r="M754" s="176">
        <f t="shared" si="681"/>
        <v>0</v>
      </c>
      <c r="N754" s="176">
        <f t="shared" si="681"/>
        <v>0</v>
      </c>
      <c r="O754" s="176">
        <f t="shared" si="679"/>
        <v>0</v>
      </c>
      <c r="P754" s="176">
        <f t="shared" si="681"/>
        <v>0</v>
      </c>
      <c r="Q754" s="175">
        <f t="shared" si="680"/>
        <v>0</v>
      </c>
      <c r="R754" s="176">
        <f t="shared" si="681"/>
        <v>0</v>
      </c>
      <c r="S754" s="176">
        <f t="shared" si="681"/>
        <v>0</v>
      </c>
      <c r="T754" s="176">
        <f t="shared" si="681"/>
        <v>0</v>
      </c>
      <c r="U754" s="176">
        <f t="shared" si="681"/>
        <v>0</v>
      </c>
    </row>
    <row r="755" spans="3:21" ht="18.75" x14ac:dyDescent="0.3">
      <c r="C755" s="294">
        <f t="shared" si="674"/>
        <v>1</v>
      </c>
      <c r="D755" s="113" t="s">
        <v>120</v>
      </c>
      <c r="E755" s="76" t="s">
        <v>54</v>
      </c>
      <c r="F755" s="176">
        <f t="shared" ref="F755:U755" si="682">F10*$E$748</f>
        <v>0</v>
      </c>
      <c r="G755" s="176">
        <f t="shared" si="678"/>
        <v>0</v>
      </c>
      <c r="H755" s="176">
        <f t="shared" si="678"/>
        <v>0</v>
      </c>
      <c r="I755" s="176">
        <f t="shared" si="678"/>
        <v>0</v>
      </c>
      <c r="J755" s="176">
        <f t="shared" si="678"/>
        <v>0</v>
      </c>
      <c r="K755" s="176">
        <f t="shared" si="678"/>
        <v>0</v>
      </c>
      <c r="L755" s="176">
        <f t="shared" si="678"/>
        <v>0</v>
      </c>
      <c r="M755" s="176">
        <f t="shared" si="682"/>
        <v>0</v>
      </c>
      <c r="N755" s="176">
        <f t="shared" si="682"/>
        <v>0</v>
      </c>
      <c r="O755" s="176">
        <f t="shared" si="679"/>
        <v>0</v>
      </c>
      <c r="P755" s="176">
        <f t="shared" si="682"/>
        <v>0</v>
      </c>
      <c r="Q755" s="175">
        <f t="shared" si="680"/>
        <v>0</v>
      </c>
      <c r="R755" s="176">
        <f t="shared" si="682"/>
        <v>0</v>
      </c>
      <c r="S755" s="176">
        <f t="shared" si="682"/>
        <v>0</v>
      </c>
      <c r="T755" s="176">
        <f t="shared" si="682"/>
        <v>0</v>
      </c>
      <c r="U755" s="176">
        <f t="shared" si="682"/>
        <v>0</v>
      </c>
    </row>
    <row r="756" spans="3:21" ht="18.75" x14ac:dyDescent="0.3">
      <c r="C756" s="294">
        <f t="shared" si="674"/>
        <v>1</v>
      </c>
      <c r="D756" s="113" t="s">
        <v>121</v>
      </c>
      <c r="E756" s="76" t="s">
        <v>53</v>
      </c>
      <c r="F756" s="176">
        <f t="shared" ref="F756:U756" si="683">F11*$E$748</f>
        <v>0</v>
      </c>
      <c r="G756" s="176">
        <f t="shared" si="678"/>
        <v>0</v>
      </c>
      <c r="H756" s="176">
        <f t="shared" si="678"/>
        <v>0</v>
      </c>
      <c r="I756" s="176">
        <f t="shared" si="678"/>
        <v>0</v>
      </c>
      <c r="J756" s="176">
        <f t="shared" si="678"/>
        <v>0</v>
      </c>
      <c r="K756" s="176">
        <f t="shared" si="678"/>
        <v>0</v>
      </c>
      <c r="L756" s="176">
        <f t="shared" si="678"/>
        <v>0</v>
      </c>
      <c r="M756" s="176">
        <f t="shared" si="683"/>
        <v>0</v>
      </c>
      <c r="N756" s="176">
        <f t="shared" si="683"/>
        <v>0</v>
      </c>
      <c r="O756" s="176">
        <f t="shared" si="679"/>
        <v>0</v>
      </c>
      <c r="P756" s="176">
        <f t="shared" si="683"/>
        <v>0</v>
      </c>
      <c r="Q756" s="175">
        <f t="shared" si="680"/>
        <v>0</v>
      </c>
      <c r="R756" s="176">
        <f t="shared" si="683"/>
        <v>0</v>
      </c>
      <c r="S756" s="176">
        <f t="shared" si="683"/>
        <v>0</v>
      </c>
      <c r="T756" s="176">
        <f t="shared" si="683"/>
        <v>0</v>
      </c>
      <c r="U756" s="176">
        <f t="shared" si="683"/>
        <v>0</v>
      </c>
    </row>
    <row r="757" spans="3:21" ht="18.75" x14ac:dyDescent="0.3">
      <c r="C757" s="294">
        <f t="shared" si="674"/>
        <v>1</v>
      </c>
      <c r="D757" s="113" t="s">
        <v>122</v>
      </c>
      <c r="E757" s="76" t="s">
        <v>52</v>
      </c>
      <c r="F757" s="176">
        <f t="shared" ref="F757:U757" si="684">F12*$E$748</f>
        <v>0</v>
      </c>
      <c r="G757" s="176">
        <f t="shared" si="678"/>
        <v>0</v>
      </c>
      <c r="H757" s="176">
        <f t="shared" si="678"/>
        <v>0</v>
      </c>
      <c r="I757" s="176">
        <f t="shared" si="678"/>
        <v>0</v>
      </c>
      <c r="J757" s="176">
        <f t="shared" si="678"/>
        <v>0</v>
      </c>
      <c r="K757" s="176">
        <f t="shared" si="678"/>
        <v>0</v>
      </c>
      <c r="L757" s="176">
        <f t="shared" si="678"/>
        <v>0</v>
      </c>
      <c r="M757" s="176">
        <f t="shared" si="684"/>
        <v>0</v>
      </c>
      <c r="N757" s="176">
        <f t="shared" si="684"/>
        <v>0</v>
      </c>
      <c r="O757" s="176">
        <f t="shared" si="679"/>
        <v>0</v>
      </c>
      <c r="P757" s="176">
        <f t="shared" si="684"/>
        <v>0</v>
      </c>
      <c r="Q757" s="175">
        <f t="shared" si="680"/>
        <v>0</v>
      </c>
      <c r="R757" s="176">
        <f t="shared" si="684"/>
        <v>0</v>
      </c>
      <c r="S757" s="176">
        <f t="shared" si="684"/>
        <v>0</v>
      </c>
      <c r="T757" s="176">
        <f t="shared" si="684"/>
        <v>0</v>
      </c>
      <c r="U757" s="176">
        <f t="shared" si="684"/>
        <v>0</v>
      </c>
    </row>
    <row r="758" spans="3:21" ht="18.75" x14ac:dyDescent="0.3">
      <c r="C758" s="294">
        <f t="shared" si="674"/>
        <v>1</v>
      </c>
      <c r="D758" s="125" t="s">
        <v>123</v>
      </c>
      <c r="E758" s="76" t="s">
        <v>51</v>
      </c>
      <c r="F758" s="176">
        <f t="shared" ref="F758:U758" si="685">F13*$E$748</f>
        <v>0</v>
      </c>
      <c r="G758" s="176">
        <f t="shared" si="678"/>
        <v>0</v>
      </c>
      <c r="H758" s="176">
        <f t="shared" si="678"/>
        <v>0</v>
      </c>
      <c r="I758" s="176">
        <f t="shared" si="678"/>
        <v>0</v>
      </c>
      <c r="J758" s="176">
        <f t="shared" si="678"/>
        <v>0</v>
      </c>
      <c r="K758" s="176">
        <f t="shared" si="678"/>
        <v>0</v>
      </c>
      <c r="L758" s="176">
        <f t="shared" si="678"/>
        <v>0</v>
      </c>
      <c r="M758" s="176">
        <f t="shared" si="685"/>
        <v>0</v>
      </c>
      <c r="N758" s="176">
        <f t="shared" si="685"/>
        <v>0</v>
      </c>
      <c r="O758" s="176">
        <f t="shared" si="679"/>
        <v>0</v>
      </c>
      <c r="P758" s="176">
        <f t="shared" si="685"/>
        <v>0</v>
      </c>
      <c r="Q758" s="175">
        <f t="shared" si="680"/>
        <v>0</v>
      </c>
      <c r="R758" s="176">
        <f t="shared" si="685"/>
        <v>0</v>
      </c>
      <c r="S758" s="176">
        <f t="shared" si="685"/>
        <v>0</v>
      </c>
      <c r="T758" s="176">
        <f t="shared" si="685"/>
        <v>0</v>
      </c>
      <c r="U758" s="176">
        <f t="shared" si="685"/>
        <v>0</v>
      </c>
    </row>
    <row r="759" spans="3:21" ht="19.5" thickBot="1" x14ac:dyDescent="0.35">
      <c r="C759" s="294">
        <f t="shared" si="674"/>
        <v>1</v>
      </c>
      <c r="D759" s="114" t="s">
        <v>16</v>
      </c>
      <c r="E759" s="70" t="s">
        <v>50</v>
      </c>
      <c r="F759" s="176">
        <f t="shared" ref="F759:U759" si="686">F14*$E$748</f>
        <v>19510.598613207156</v>
      </c>
      <c r="G759" s="176">
        <f t="shared" si="678"/>
        <v>387.57494520152352</v>
      </c>
      <c r="H759" s="176">
        <f t="shared" si="678"/>
        <v>0</v>
      </c>
      <c r="I759" s="176">
        <f t="shared" si="678"/>
        <v>0</v>
      </c>
      <c r="J759" s="176">
        <f t="shared" si="678"/>
        <v>827.44913600633276</v>
      </c>
      <c r="K759" s="176">
        <f t="shared" si="678"/>
        <v>3.4066440596866072</v>
      </c>
      <c r="L759" s="176">
        <f t="shared" si="678"/>
        <v>0.47941258122938474</v>
      </c>
      <c r="M759" s="176">
        <f t="shared" si="686"/>
        <v>0</v>
      </c>
      <c r="N759" s="176">
        <f t="shared" si="686"/>
        <v>0</v>
      </c>
      <c r="O759" s="176">
        <f t="shared" si="679"/>
        <v>247.95981403017552</v>
      </c>
      <c r="P759" s="176">
        <f t="shared" si="686"/>
        <v>4223.1623618463163</v>
      </c>
      <c r="Q759" s="175">
        <f t="shared" si="680"/>
        <v>25200.630926932419</v>
      </c>
      <c r="R759" s="176">
        <f t="shared" si="686"/>
        <v>0</v>
      </c>
      <c r="S759" s="176">
        <f t="shared" si="686"/>
        <v>1752.2841643707486</v>
      </c>
      <c r="T759" s="176">
        <f t="shared" ca="1" si="686"/>
        <v>508.20952005232255</v>
      </c>
      <c r="U759" s="176">
        <f t="shared" ca="1" si="686"/>
        <v>28.959396139025831</v>
      </c>
    </row>
    <row r="760" spans="3:21" ht="19.5" thickBot="1" x14ac:dyDescent="0.3">
      <c r="C760" s="294">
        <f t="shared" si="674"/>
        <v>1</v>
      </c>
      <c r="D760" s="115" t="s">
        <v>124</v>
      </c>
      <c r="E760" s="116" t="s">
        <v>49</v>
      </c>
      <c r="F760" s="269">
        <f t="shared" ref="F760:U760" si="687">SUBTOTAL(9,F751:F759)</f>
        <v>202241.97670754901</v>
      </c>
      <c r="G760" s="269">
        <f t="shared" ref="G760:L760" si="688">SUBTOTAL(9,G751:G759)</f>
        <v>4496.7000607296895</v>
      </c>
      <c r="H760" s="269">
        <f t="shared" si="688"/>
        <v>0</v>
      </c>
      <c r="I760" s="269">
        <f t="shared" si="688"/>
        <v>5237.1371871958872</v>
      </c>
      <c r="J760" s="269">
        <f t="shared" si="688"/>
        <v>1427.8600967325069</v>
      </c>
      <c r="K760" s="269">
        <f t="shared" si="688"/>
        <v>185.63446634322369</v>
      </c>
      <c r="L760" s="269">
        <f t="shared" si="688"/>
        <v>0.47941258122938474</v>
      </c>
      <c r="M760" s="269">
        <f t="shared" si="687"/>
        <v>0</v>
      </c>
      <c r="N760" s="269">
        <f t="shared" si="687"/>
        <v>0</v>
      </c>
      <c r="O760" s="269">
        <f>SUBTOTAL(9,O751:O759)</f>
        <v>253.08963281752253</v>
      </c>
      <c r="P760" s="269">
        <f t="shared" si="687"/>
        <v>4223.1623618463163</v>
      </c>
      <c r="Q760" s="183">
        <f>SUBTOTAL(9,Q751:Q759)</f>
        <v>218066.0399257954</v>
      </c>
      <c r="R760" s="269">
        <f t="shared" si="687"/>
        <v>0</v>
      </c>
      <c r="S760" s="269">
        <f t="shared" si="687"/>
        <v>16470.099492822093</v>
      </c>
      <c r="T760" s="269">
        <f t="shared" ca="1" si="687"/>
        <v>6772.663211845741</v>
      </c>
      <c r="U760" s="269">
        <f t="shared" ca="1" si="687"/>
        <v>4684.5773802035219</v>
      </c>
    </row>
    <row r="761" spans="3:21" ht="15.75" hidden="1" thickBot="1" x14ac:dyDescent="0.3"/>
    <row r="762" spans="3:21" ht="93.75" x14ac:dyDescent="0.25">
      <c r="C762" s="294">
        <f>IF($E$762&gt;0,1,0)</f>
        <v>1</v>
      </c>
      <c r="D762" s="96" t="str">
        <f>A57</f>
        <v>Tioga</v>
      </c>
      <c r="E762" s="166">
        <f>IFERROR(SUMIF(A:A,D762,B:B),0)</f>
        <v>1.4345881213713213E-3</v>
      </c>
      <c r="F762" s="98" t="s">
        <v>356</v>
      </c>
      <c r="G762" s="98" t="s">
        <v>373</v>
      </c>
      <c r="H762" s="98" t="s">
        <v>358</v>
      </c>
      <c r="I762" s="98" t="s">
        <v>109</v>
      </c>
      <c r="J762" s="98" t="s">
        <v>111</v>
      </c>
      <c r="K762" s="98" t="s">
        <v>469</v>
      </c>
      <c r="L762" s="98" t="s">
        <v>470</v>
      </c>
      <c r="M762" s="98" t="s">
        <v>357</v>
      </c>
      <c r="N762" s="557" t="s">
        <v>471</v>
      </c>
      <c r="O762" s="557" t="s">
        <v>473</v>
      </c>
      <c r="P762" s="98" t="s">
        <v>110</v>
      </c>
      <c r="Q762" s="99" t="s">
        <v>116</v>
      </c>
      <c r="R762" s="98" t="s">
        <v>112</v>
      </c>
      <c r="S762" s="98" t="s">
        <v>113</v>
      </c>
      <c r="T762" s="98" t="s">
        <v>114</v>
      </c>
      <c r="U762" s="98" t="s">
        <v>115</v>
      </c>
    </row>
    <row r="763" spans="3:21" ht="18.75" x14ac:dyDescent="0.25">
      <c r="C763" s="294">
        <f>C762</f>
        <v>1</v>
      </c>
      <c r="D763" s="101"/>
      <c r="E763" s="102"/>
      <c r="F763" s="84" t="s">
        <v>57</v>
      </c>
      <c r="G763" s="84" t="s">
        <v>56</v>
      </c>
      <c r="H763" s="84" t="s">
        <v>55</v>
      </c>
      <c r="I763" s="84" t="s">
        <v>54</v>
      </c>
      <c r="J763" s="84" t="s">
        <v>53</v>
      </c>
      <c r="K763" s="84" t="s">
        <v>52</v>
      </c>
      <c r="L763" s="84" t="s">
        <v>51</v>
      </c>
      <c r="M763" s="84" t="s">
        <v>50</v>
      </c>
      <c r="N763" s="84" t="s">
        <v>49</v>
      </c>
      <c r="O763" s="84" t="s">
        <v>47</v>
      </c>
      <c r="P763" s="84" t="s">
        <v>77</v>
      </c>
      <c r="Q763" s="84" t="s">
        <v>78</v>
      </c>
      <c r="R763" s="84" t="s">
        <v>79</v>
      </c>
      <c r="S763" s="84" t="s">
        <v>81</v>
      </c>
      <c r="T763" s="84" t="s">
        <v>83</v>
      </c>
      <c r="U763" s="84" t="s">
        <v>85</v>
      </c>
    </row>
    <row r="764" spans="3:21" ht="18.75" x14ac:dyDescent="0.25">
      <c r="C764" s="294">
        <f>C762</f>
        <v>1</v>
      </c>
      <c r="D764" s="103" t="s">
        <v>26</v>
      </c>
      <c r="E764" s="122"/>
      <c r="F764" s="123"/>
      <c r="G764" s="123"/>
      <c r="H764" s="107"/>
      <c r="I764" s="107"/>
      <c r="J764" s="107"/>
      <c r="K764" s="107"/>
      <c r="L764" s="107"/>
      <c r="M764" s="123"/>
      <c r="N764" s="107"/>
      <c r="O764" s="107"/>
      <c r="P764" s="107"/>
      <c r="Q764" s="108"/>
      <c r="R764" s="107"/>
      <c r="S764" s="107"/>
      <c r="T764" s="107"/>
      <c r="U764" s="107"/>
    </row>
    <row r="765" spans="3:21" ht="18.75" x14ac:dyDescent="0.25">
      <c r="C765" s="294">
        <f t="shared" ref="C765:C774" si="689">C763</f>
        <v>1</v>
      </c>
      <c r="D765" s="124" t="s">
        <v>105</v>
      </c>
      <c r="E765" s="76" t="s">
        <v>57</v>
      </c>
      <c r="F765" s="176">
        <f t="shared" ref="F765:L765" si="690">F6*$E$762</f>
        <v>101182.06218586995</v>
      </c>
      <c r="G765" s="176">
        <f t="shared" si="690"/>
        <v>2275.3057373333791</v>
      </c>
      <c r="H765" s="176">
        <f t="shared" si="690"/>
        <v>0</v>
      </c>
      <c r="I765" s="176">
        <f t="shared" si="690"/>
        <v>2899.9088502315321</v>
      </c>
      <c r="J765" s="176">
        <f t="shared" si="690"/>
        <v>332.45970012828786</v>
      </c>
      <c r="K765" s="176">
        <f t="shared" si="690"/>
        <v>100.90323314241689</v>
      </c>
      <c r="L765" s="176">
        <f t="shared" si="690"/>
        <v>0</v>
      </c>
      <c r="M765" s="176">
        <f t="shared" ref="M765:U765" si="691">M6*$E$762</f>
        <v>0</v>
      </c>
      <c r="N765" s="176">
        <f t="shared" si="691"/>
        <v>0</v>
      </c>
      <c r="O765" s="176">
        <f>O6*$E$762</f>
        <v>2.8404844803152161</v>
      </c>
      <c r="P765" s="176">
        <f t="shared" si="691"/>
        <v>0</v>
      </c>
      <c r="Q765" s="175">
        <f>SUM(F765:P765)</f>
        <v>106793.48019118587</v>
      </c>
      <c r="R765" s="176">
        <f t="shared" si="691"/>
        <v>0</v>
      </c>
      <c r="S765" s="176">
        <f t="shared" si="691"/>
        <v>8149.5522079118246</v>
      </c>
      <c r="T765" s="176">
        <f t="shared" ca="1" si="691"/>
        <v>3468.7547897564446</v>
      </c>
      <c r="U765" s="176">
        <f t="shared" ca="1" si="691"/>
        <v>2577.9098986166655</v>
      </c>
    </row>
    <row r="766" spans="3:21" ht="18.75" x14ac:dyDescent="0.25">
      <c r="C766" s="294">
        <f t="shared" si="689"/>
        <v>1</v>
      </c>
      <c r="D766" s="112" t="s">
        <v>31</v>
      </c>
      <c r="E766" s="76"/>
      <c r="F766" s="177"/>
      <c r="G766" s="177"/>
      <c r="H766" s="178"/>
      <c r="I766" s="178"/>
      <c r="J766" s="178"/>
      <c r="K766" s="178"/>
      <c r="L766" s="178"/>
      <c r="M766" s="177"/>
      <c r="N766" s="178"/>
      <c r="O766" s="178"/>
      <c r="P766" s="178"/>
      <c r="Q766" s="179"/>
      <c r="R766" s="178"/>
      <c r="S766" s="178"/>
      <c r="T766" s="178"/>
      <c r="U766" s="178"/>
    </row>
    <row r="767" spans="3:21" ht="18.75" x14ac:dyDescent="0.3">
      <c r="C767" s="294">
        <f t="shared" si="689"/>
        <v>1</v>
      </c>
      <c r="D767" s="113" t="s">
        <v>118</v>
      </c>
      <c r="E767" s="76" t="s">
        <v>56</v>
      </c>
      <c r="F767" s="176">
        <f t="shared" ref="F767:U767" si="692">F8*$E$762</f>
        <v>0</v>
      </c>
      <c r="G767" s="176">
        <f t="shared" ref="G767:L773" si="693">G8*$E$762</f>
        <v>0</v>
      </c>
      <c r="H767" s="176">
        <f t="shared" si="693"/>
        <v>0</v>
      </c>
      <c r="I767" s="176">
        <f t="shared" si="693"/>
        <v>0</v>
      </c>
      <c r="J767" s="176">
        <f t="shared" si="693"/>
        <v>0</v>
      </c>
      <c r="K767" s="176">
        <f t="shared" si="693"/>
        <v>0</v>
      </c>
      <c r="L767" s="176">
        <f t="shared" si="693"/>
        <v>0</v>
      </c>
      <c r="M767" s="176">
        <f t="shared" si="692"/>
        <v>0</v>
      </c>
      <c r="N767" s="176">
        <f t="shared" si="692"/>
        <v>0</v>
      </c>
      <c r="O767" s="176">
        <f t="shared" ref="O767:O773" si="694">O8*$E$762</f>
        <v>0</v>
      </c>
      <c r="P767" s="176">
        <f t="shared" si="692"/>
        <v>0</v>
      </c>
      <c r="Q767" s="175">
        <f t="shared" ref="Q767:Q773" si="695">SUM(F767:P767)</f>
        <v>0</v>
      </c>
      <c r="R767" s="176">
        <f t="shared" si="692"/>
        <v>0</v>
      </c>
      <c r="S767" s="176">
        <f t="shared" si="692"/>
        <v>0</v>
      </c>
      <c r="T767" s="176">
        <f t="shared" si="692"/>
        <v>0</v>
      </c>
      <c r="U767" s="176">
        <f t="shared" si="692"/>
        <v>0</v>
      </c>
    </row>
    <row r="768" spans="3:21" ht="18.75" x14ac:dyDescent="0.3">
      <c r="C768" s="294">
        <f t="shared" si="689"/>
        <v>1</v>
      </c>
      <c r="D768" s="113" t="s">
        <v>119</v>
      </c>
      <c r="E768" s="76" t="s">
        <v>55</v>
      </c>
      <c r="F768" s="176">
        <f t="shared" ref="F768:U768" si="696">F9*$E$762</f>
        <v>0</v>
      </c>
      <c r="G768" s="176">
        <f t="shared" si="693"/>
        <v>0</v>
      </c>
      <c r="H768" s="176">
        <f t="shared" si="693"/>
        <v>0</v>
      </c>
      <c r="I768" s="176">
        <f t="shared" si="693"/>
        <v>0</v>
      </c>
      <c r="J768" s="176">
        <f t="shared" si="693"/>
        <v>0</v>
      </c>
      <c r="K768" s="176">
        <f t="shared" si="693"/>
        <v>0</v>
      </c>
      <c r="L768" s="176">
        <f t="shared" si="693"/>
        <v>0</v>
      </c>
      <c r="M768" s="176">
        <f t="shared" si="696"/>
        <v>0</v>
      </c>
      <c r="N768" s="176">
        <f t="shared" si="696"/>
        <v>0</v>
      </c>
      <c r="O768" s="176">
        <f t="shared" si="694"/>
        <v>0</v>
      </c>
      <c r="P768" s="176">
        <f t="shared" si="696"/>
        <v>0</v>
      </c>
      <c r="Q768" s="175">
        <f t="shared" si="695"/>
        <v>0</v>
      </c>
      <c r="R768" s="176">
        <f t="shared" si="696"/>
        <v>0</v>
      </c>
      <c r="S768" s="176">
        <f t="shared" si="696"/>
        <v>0</v>
      </c>
      <c r="T768" s="176">
        <f t="shared" si="696"/>
        <v>0</v>
      </c>
      <c r="U768" s="176">
        <f t="shared" si="696"/>
        <v>0</v>
      </c>
    </row>
    <row r="769" spans="3:21" ht="18.75" x14ac:dyDescent="0.3">
      <c r="C769" s="294">
        <f t="shared" si="689"/>
        <v>1</v>
      </c>
      <c r="D769" s="113" t="s">
        <v>120</v>
      </c>
      <c r="E769" s="76" t="s">
        <v>54</v>
      </c>
      <c r="F769" s="176">
        <f t="shared" ref="F769:U769" si="697">F10*$E$762</f>
        <v>0</v>
      </c>
      <c r="G769" s="176">
        <f t="shared" si="693"/>
        <v>0</v>
      </c>
      <c r="H769" s="176">
        <f t="shared" si="693"/>
        <v>0</v>
      </c>
      <c r="I769" s="176">
        <f t="shared" si="693"/>
        <v>0</v>
      </c>
      <c r="J769" s="176">
        <f t="shared" si="693"/>
        <v>0</v>
      </c>
      <c r="K769" s="176">
        <f t="shared" si="693"/>
        <v>0</v>
      </c>
      <c r="L769" s="176">
        <f t="shared" si="693"/>
        <v>0</v>
      </c>
      <c r="M769" s="176">
        <f t="shared" si="697"/>
        <v>0</v>
      </c>
      <c r="N769" s="176">
        <f t="shared" si="697"/>
        <v>0</v>
      </c>
      <c r="O769" s="176">
        <f t="shared" si="694"/>
        <v>0</v>
      </c>
      <c r="P769" s="176">
        <f t="shared" si="697"/>
        <v>0</v>
      </c>
      <c r="Q769" s="175">
        <f t="shared" si="695"/>
        <v>0</v>
      </c>
      <c r="R769" s="176">
        <f t="shared" si="697"/>
        <v>0</v>
      </c>
      <c r="S769" s="176">
        <f t="shared" si="697"/>
        <v>0</v>
      </c>
      <c r="T769" s="176">
        <f t="shared" si="697"/>
        <v>0</v>
      </c>
      <c r="U769" s="176">
        <f t="shared" si="697"/>
        <v>0</v>
      </c>
    </row>
    <row r="770" spans="3:21" ht="18.75" x14ac:dyDescent="0.3">
      <c r="C770" s="294">
        <f t="shared" si="689"/>
        <v>1</v>
      </c>
      <c r="D770" s="113" t="s">
        <v>121</v>
      </c>
      <c r="E770" s="76" t="s">
        <v>53</v>
      </c>
      <c r="F770" s="176">
        <f t="shared" ref="F770:U770" si="698">F11*$E$762</f>
        <v>0</v>
      </c>
      <c r="G770" s="176">
        <f t="shared" si="693"/>
        <v>0</v>
      </c>
      <c r="H770" s="176">
        <f t="shared" si="693"/>
        <v>0</v>
      </c>
      <c r="I770" s="176">
        <f t="shared" si="693"/>
        <v>0</v>
      </c>
      <c r="J770" s="176">
        <f t="shared" si="693"/>
        <v>0</v>
      </c>
      <c r="K770" s="176">
        <f t="shared" si="693"/>
        <v>0</v>
      </c>
      <c r="L770" s="176">
        <f t="shared" si="693"/>
        <v>0</v>
      </c>
      <c r="M770" s="176">
        <f t="shared" si="698"/>
        <v>0</v>
      </c>
      <c r="N770" s="176">
        <f t="shared" si="698"/>
        <v>0</v>
      </c>
      <c r="O770" s="176">
        <f t="shared" si="694"/>
        <v>0</v>
      </c>
      <c r="P770" s="176">
        <f t="shared" si="698"/>
        <v>0</v>
      </c>
      <c r="Q770" s="175">
        <f t="shared" si="695"/>
        <v>0</v>
      </c>
      <c r="R770" s="176">
        <f t="shared" si="698"/>
        <v>0</v>
      </c>
      <c r="S770" s="176">
        <f t="shared" si="698"/>
        <v>0</v>
      </c>
      <c r="T770" s="176">
        <f t="shared" si="698"/>
        <v>0</v>
      </c>
      <c r="U770" s="176">
        <f t="shared" si="698"/>
        <v>0</v>
      </c>
    </row>
    <row r="771" spans="3:21" ht="18.75" x14ac:dyDescent="0.3">
      <c r="C771" s="294">
        <f t="shared" si="689"/>
        <v>1</v>
      </c>
      <c r="D771" s="113" t="s">
        <v>122</v>
      </c>
      <c r="E771" s="76" t="s">
        <v>52</v>
      </c>
      <c r="F771" s="176">
        <f t="shared" ref="F771:U771" si="699">F12*$E$762</f>
        <v>0</v>
      </c>
      <c r="G771" s="176">
        <f t="shared" si="693"/>
        <v>0</v>
      </c>
      <c r="H771" s="176">
        <f t="shared" si="693"/>
        <v>0</v>
      </c>
      <c r="I771" s="176">
        <f t="shared" si="693"/>
        <v>0</v>
      </c>
      <c r="J771" s="176">
        <f t="shared" si="693"/>
        <v>0</v>
      </c>
      <c r="K771" s="176">
        <f t="shared" si="693"/>
        <v>0</v>
      </c>
      <c r="L771" s="176">
        <f t="shared" si="693"/>
        <v>0</v>
      </c>
      <c r="M771" s="176">
        <f t="shared" si="699"/>
        <v>0</v>
      </c>
      <c r="N771" s="176">
        <f t="shared" si="699"/>
        <v>0</v>
      </c>
      <c r="O771" s="176">
        <f t="shared" si="694"/>
        <v>0</v>
      </c>
      <c r="P771" s="176">
        <f t="shared" si="699"/>
        <v>0</v>
      </c>
      <c r="Q771" s="175">
        <f t="shared" si="695"/>
        <v>0</v>
      </c>
      <c r="R771" s="176">
        <f t="shared" si="699"/>
        <v>0</v>
      </c>
      <c r="S771" s="176">
        <f t="shared" si="699"/>
        <v>0</v>
      </c>
      <c r="T771" s="176">
        <f t="shared" si="699"/>
        <v>0</v>
      </c>
      <c r="U771" s="176">
        <f t="shared" si="699"/>
        <v>0</v>
      </c>
    </row>
    <row r="772" spans="3:21" ht="18.75" x14ac:dyDescent="0.3">
      <c r="C772" s="294">
        <f t="shared" si="689"/>
        <v>1</v>
      </c>
      <c r="D772" s="125" t="s">
        <v>123</v>
      </c>
      <c r="E772" s="76" t="s">
        <v>51</v>
      </c>
      <c r="F772" s="176">
        <f t="shared" ref="F772:U772" si="700">F13*$E$762</f>
        <v>0</v>
      </c>
      <c r="G772" s="176">
        <f t="shared" si="693"/>
        <v>0</v>
      </c>
      <c r="H772" s="176">
        <f t="shared" si="693"/>
        <v>0</v>
      </c>
      <c r="I772" s="176">
        <f t="shared" si="693"/>
        <v>0</v>
      </c>
      <c r="J772" s="176">
        <f t="shared" si="693"/>
        <v>0</v>
      </c>
      <c r="K772" s="176">
        <f t="shared" si="693"/>
        <v>0</v>
      </c>
      <c r="L772" s="176">
        <f t="shared" si="693"/>
        <v>0</v>
      </c>
      <c r="M772" s="176">
        <f t="shared" si="700"/>
        <v>0</v>
      </c>
      <c r="N772" s="176">
        <f t="shared" si="700"/>
        <v>0</v>
      </c>
      <c r="O772" s="176">
        <f t="shared" si="694"/>
        <v>0</v>
      </c>
      <c r="P772" s="176">
        <f t="shared" si="700"/>
        <v>0</v>
      </c>
      <c r="Q772" s="175">
        <f t="shared" si="695"/>
        <v>0</v>
      </c>
      <c r="R772" s="176">
        <f t="shared" si="700"/>
        <v>0</v>
      </c>
      <c r="S772" s="176">
        <f t="shared" si="700"/>
        <v>0</v>
      </c>
      <c r="T772" s="176">
        <f t="shared" si="700"/>
        <v>0</v>
      </c>
      <c r="U772" s="176">
        <f t="shared" si="700"/>
        <v>0</v>
      </c>
    </row>
    <row r="773" spans="3:21" ht="19.5" thickBot="1" x14ac:dyDescent="0.35">
      <c r="C773" s="294">
        <f t="shared" si="689"/>
        <v>1</v>
      </c>
      <c r="D773" s="114" t="s">
        <v>16</v>
      </c>
      <c r="E773" s="70" t="s">
        <v>50</v>
      </c>
      <c r="F773" s="176">
        <f t="shared" ref="F773:U773" si="701">F14*$E$762</f>
        <v>10803.41330948569</v>
      </c>
      <c r="G773" s="176">
        <f t="shared" si="693"/>
        <v>214.60809093673646</v>
      </c>
      <c r="H773" s="176">
        <f t="shared" si="693"/>
        <v>0</v>
      </c>
      <c r="I773" s="176">
        <f t="shared" si="693"/>
        <v>0</v>
      </c>
      <c r="J773" s="176">
        <f t="shared" si="693"/>
        <v>458.17533260112566</v>
      </c>
      <c r="K773" s="176">
        <f t="shared" si="693"/>
        <v>1.8863277598353967</v>
      </c>
      <c r="L773" s="176">
        <f t="shared" si="693"/>
        <v>0.26546044862418761</v>
      </c>
      <c r="M773" s="176">
        <f t="shared" si="701"/>
        <v>0</v>
      </c>
      <c r="N773" s="176">
        <f t="shared" si="701"/>
        <v>0</v>
      </c>
      <c r="O773" s="176">
        <f t="shared" si="694"/>
        <v>137.30036726283976</v>
      </c>
      <c r="P773" s="176">
        <f t="shared" si="701"/>
        <v>2338.4504685163906</v>
      </c>
      <c r="Q773" s="175">
        <f t="shared" si="695"/>
        <v>13954.09935701124</v>
      </c>
      <c r="R773" s="176">
        <f t="shared" si="701"/>
        <v>0</v>
      </c>
      <c r="S773" s="176">
        <f t="shared" si="701"/>
        <v>970.27520470588615</v>
      </c>
      <c r="T773" s="176">
        <f t="shared" ca="1" si="701"/>
        <v>281.40589644563869</v>
      </c>
      <c r="U773" s="176">
        <f t="shared" ca="1" si="701"/>
        <v>16.035403725195703</v>
      </c>
    </row>
    <row r="774" spans="3:21" ht="19.5" thickBot="1" x14ac:dyDescent="0.3">
      <c r="C774" s="294">
        <f t="shared" si="689"/>
        <v>1</v>
      </c>
      <c r="D774" s="115" t="s">
        <v>124</v>
      </c>
      <c r="E774" s="116" t="s">
        <v>49</v>
      </c>
      <c r="F774" s="269">
        <f t="shared" ref="F774:U774" si="702">SUBTOTAL(9,F765:F773)</f>
        <v>111985.47549535564</v>
      </c>
      <c r="G774" s="269">
        <f t="shared" ref="G774:L774" si="703">SUBTOTAL(9,G765:G773)</f>
        <v>2489.9138282701156</v>
      </c>
      <c r="H774" s="269">
        <f t="shared" si="703"/>
        <v>0</v>
      </c>
      <c r="I774" s="269">
        <f t="shared" si="703"/>
        <v>2899.9088502315321</v>
      </c>
      <c r="J774" s="269">
        <f t="shared" si="703"/>
        <v>790.63503272941352</v>
      </c>
      <c r="K774" s="269">
        <f t="shared" si="703"/>
        <v>102.78956090225229</v>
      </c>
      <c r="L774" s="269">
        <f t="shared" si="703"/>
        <v>0.26546044862418761</v>
      </c>
      <c r="M774" s="269">
        <f t="shared" si="702"/>
        <v>0</v>
      </c>
      <c r="N774" s="269">
        <f t="shared" si="702"/>
        <v>0</v>
      </c>
      <c r="O774" s="269">
        <f>SUBTOTAL(9,O765:O773)</f>
        <v>140.14085174315497</v>
      </c>
      <c r="P774" s="269">
        <f t="shared" si="702"/>
        <v>2338.4504685163906</v>
      </c>
      <c r="Q774" s="183">
        <f>SUBTOTAL(9,Q765:Q773)</f>
        <v>120747.5795481971</v>
      </c>
      <c r="R774" s="269">
        <f t="shared" si="702"/>
        <v>0</v>
      </c>
      <c r="S774" s="269">
        <f t="shared" si="702"/>
        <v>9119.8274126177112</v>
      </c>
      <c r="T774" s="269">
        <f t="shared" ca="1" si="702"/>
        <v>3750.1606862020831</v>
      </c>
      <c r="U774" s="269">
        <f t="shared" ca="1" si="702"/>
        <v>2593.9453023418614</v>
      </c>
    </row>
    <row r="775" spans="3:21" ht="15.75" hidden="1" thickBot="1" x14ac:dyDescent="0.3"/>
    <row r="776" spans="3:21" ht="93.75" x14ac:dyDescent="0.25">
      <c r="C776" s="294">
        <f>IF($E$776&gt;0,1,0)</f>
        <v>1</v>
      </c>
      <c r="D776" s="96" t="str">
        <f>A58</f>
        <v>Tompkins</v>
      </c>
      <c r="E776" s="166">
        <f>IFERROR(SUMIF(A:A,D776,B:B),0)</f>
        <v>1.0364555405231305E-3</v>
      </c>
      <c r="F776" s="98" t="s">
        <v>356</v>
      </c>
      <c r="G776" s="98" t="s">
        <v>373</v>
      </c>
      <c r="H776" s="98" t="s">
        <v>358</v>
      </c>
      <c r="I776" s="98" t="s">
        <v>109</v>
      </c>
      <c r="J776" s="98" t="s">
        <v>111</v>
      </c>
      <c r="K776" s="98" t="s">
        <v>469</v>
      </c>
      <c r="L776" s="98" t="s">
        <v>470</v>
      </c>
      <c r="M776" s="98" t="s">
        <v>357</v>
      </c>
      <c r="N776" s="557" t="s">
        <v>471</v>
      </c>
      <c r="O776" s="557" t="s">
        <v>473</v>
      </c>
      <c r="P776" s="98" t="s">
        <v>110</v>
      </c>
      <c r="Q776" s="99" t="s">
        <v>116</v>
      </c>
      <c r="R776" s="98" t="s">
        <v>112</v>
      </c>
      <c r="S776" s="98" t="s">
        <v>113</v>
      </c>
      <c r="T776" s="98" t="s">
        <v>114</v>
      </c>
      <c r="U776" s="98" t="s">
        <v>115</v>
      </c>
    </row>
    <row r="777" spans="3:21" ht="18.75" x14ac:dyDescent="0.25">
      <c r="C777" s="294">
        <f>C776</f>
        <v>1</v>
      </c>
      <c r="D777" s="101"/>
      <c r="E777" s="102"/>
      <c r="F777" s="84" t="s">
        <v>57</v>
      </c>
      <c r="G777" s="84" t="s">
        <v>56</v>
      </c>
      <c r="H777" s="84" t="s">
        <v>55</v>
      </c>
      <c r="I777" s="84" t="s">
        <v>54</v>
      </c>
      <c r="J777" s="84" t="s">
        <v>53</v>
      </c>
      <c r="K777" s="84" t="s">
        <v>52</v>
      </c>
      <c r="L777" s="84" t="s">
        <v>51</v>
      </c>
      <c r="M777" s="84" t="s">
        <v>50</v>
      </c>
      <c r="N777" s="84" t="s">
        <v>49</v>
      </c>
      <c r="O777" s="84" t="s">
        <v>47</v>
      </c>
      <c r="P777" s="84" t="s">
        <v>77</v>
      </c>
      <c r="Q777" s="84" t="s">
        <v>78</v>
      </c>
      <c r="R777" s="84" t="s">
        <v>79</v>
      </c>
      <c r="S777" s="84" t="s">
        <v>81</v>
      </c>
      <c r="T777" s="84" t="s">
        <v>83</v>
      </c>
      <c r="U777" s="84" t="s">
        <v>85</v>
      </c>
    </row>
    <row r="778" spans="3:21" ht="18.75" x14ac:dyDescent="0.25">
      <c r="C778" s="294">
        <f>C776</f>
        <v>1</v>
      </c>
      <c r="D778" s="103" t="s">
        <v>26</v>
      </c>
      <c r="E778" s="122"/>
      <c r="F778" s="123"/>
      <c r="G778" s="123"/>
      <c r="H778" s="107"/>
      <c r="I778" s="107"/>
      <c r="J778" s="107"/>
      <c r="K778" s="107"/>
      <c r="L778" s="107"/>
      <c r="M778" s="123"/>
      <c r="N778" s="107"/>
      <c r="O778" s="107"/>
      <c r="P778" s="107"/>
      <c r="Q778" s="108"/>
      <c r="R778" s="107"/>
      <c r="S778" s="107"/>
      <c r="T778" s="107"/>
      <c r="U778" s="107"/>
    </row>
    <row r="779" spans="3:21" ht="18.75" x14ac:dyDescent="0.25">
      <c r="C779" s="294">
        <f t="shared" ref="C779:C788" si="704">C777</f>
        <v>1</v>
      </c>
      <c r="D779" s="124" t="s">
        <v>105</v>
      </c>
      <c r="E779" s="76" t="s">
        <v>57</v>
      </c>
      <c r="F779" s="176">
        <f t="shared" ref="F779:L779" si="705">F6*$E$776</f>
        <v>73101.615294189833</v>
      </c>
      <c r="G779" s="176">
        <f t="shared" si="705"/>
        <v>1643.8538718618383</v>
      </c>
      <c r="H779" s="176">
        <f t="shared" si="705"/>
        <v>0</v>
      </c>
      <c r="I779" s="176">
        <f t="shared" si="705"/>
        <v>2095.1146535086718</v>
      </c>
      <c r="J779" s="176">
        <f t="shared" si="705"/>
        <v>240.19416658018827</v>
      </c>
      <c r="K779" s="176">
        <f t="shared" si="705"/>
        <v>72.900167991901128</v>
      </c>
      <c r="L779" s="176">
        <f t="shared" si="705"/>
        <v>0</v>
      </c>
      <c r="M779" s="176">
        <f t="shared" ref="M779:U779" si="706">M6*$E$776</f>
        <v>0</v>
      </c>
      <c r="N779" s="176">
        <f t="shared" si="706"/>
        <v>0</v>
      </c>
      <c r="O779" s="176">
        <f>O6*$E$776</f>
        <v>2.0521819702357984</v>
      </c>
      <c r="P779" s="176">
        <f t="shared" si="706"/>
        <v>0</v>
      </c>
      <c r="Q779" s="175">
        <f>SUM(F779:P779)</f>
        <v>77155.730336102672</v>
      </c>
      <c r="R779" s="176">
        <f t="shared" si="706"/>
        <v>0</v>
      </c>
      <c r="S779" s="176">
        <f t="shared" si="706"/>
        <v>5887.8561817440532</v>
      </c>
      <c r="T779" s="176">
        <f t="shared" ca="1" si="706"/>
        <v>2506.0922135076348</v>
      </c>
      <c r="U779" s="176">
        <f t="shared" ca="1" si="706"/>
        <v>1862.4781270575479</v>
      </c>
    </row>
    <row r="780" spans="3:21" ht="18.75" x14ac:dyDescent="0.25">
      <c r="C780" s="294">
        <f t="shared" si="704"/>
        <v>1</v>
      </c>
      <c r="D780" s="112" t="s">
        <v>31</v>
      </c>
      <c r="E780" s="76"/>
      <c r="F780" s="177"/>
      <c r="G780" s="177"/>
      <c r="H780" s="178"/>
      <c r="I780" s="178"/>
      <c r="J780" s="178"/>
      <c r="K780" s="178"/>
      <c r="L780" s="178"/>
      <c r="M780" s="177"/>
      <c r="N780" s="178"/>
      <c r="O780" s="178"/>
      <c r="P780" s="178"/>
      <c r="Q780" s="179"/>
      <c r="R780" s="178"/>
      <c r="S780" s="178"/>
      <c r="T780" s="178"/>
      <c r="U780" s="178"/>
    </row>
    <row r="781" spans="3:21" ht="18.75" x14ac:dyDescent="0.3">
      <c r="C781" s="294">
        <f t="shared" si="704"/>
        <v>1</v>
      </c>
      <c r="D781" s="113" t="s">
        <v>118</v>
      </c>
      <c r="E781" s="76" t="s">
        <v>56</v>
      </c>
      <c r="F781" s="176">
        <f t="shared" ref="F781:U781" si="707">F8*$E$776</f>
        <v>0</v>
      </c>
      <c r="G781" s="176">
        <f t="shared" ref="G781:L787" si="708">G8*$E$776</f>
        <v>0</v>
      </c>
      <c r="H781" s="176">
        <f t="shared" si="708"/>
        <v>0</v>
      </c>
      <c r="I781" s="176">
        <f t="shared" si="708"/>
        <v>0</v>
      </c>
      <c r="J781" s="176">
        <f t="shared" si="708"/>
        <v>0</v>
      </c>
      <c r="K781" s="176">
        <f t="shared" si="708"/>
        <v>0</v>
      </c>
      <c r="L781" s="176">
        <f t="shared" si="708"/>
        <v>0</v>
      </c>
      <c r="M781" s="176">
        <f t="shared" si="707"/>
        <v>0</v>
      </c>
      <c r="N781" s="176">
        <f t="shared" si="707"/>
        <v>0</v>
      </c>
      <c r="O781" s="176">
        <f t="shared" ref="O781:O787" si="709">O8*$E$776</f>
        <v>0</v>
      </c>
      <c r="P781" s="176">
        <f t="shared" si="707"/>
        <v>0</v>
      </c>
      <c r="Q781" s="175">
        <f t="shared" ref="Q781:Q787" si="710">SUM(F781:P781)</f>
        <v>0</v>
      </c>
      <c r="R781" s="176">
        <f t="shared" si="707"/>
        <v>0</v>
      </c>
      <c r="S781" s="176">
        <f t="shared" si="707"/>
        <v>0</v>
      </c>
      <c r="T781" s="176">
        <f t="shared" si="707"/>
        <v>0</v>
      </c>
      <c r="U781" s="176">
        <f t="shared" si="707"/>
        <v>0</v>
      </c>
    </row>
    <row r="782" spans="3:21" ht="18.75" x14ac:dyDescent="0.3">
      <c r="C782" s="294">
        <f t="shared" si="704"/>
        <v>1</v>
      </c>
      <c r="D782" s="113" t="s">
        <v>119</v>
      </c>
      <c r="E782" s="76" t="s">
        <v>55</v>
      </c>
      <c r="F782" s="176">
        <f t="shared" ref="F782:U782" si="711">F9*$E$776</f>
        <v>0</v>
      </c>
      <c r="G782" s="176">
        <f t="shared" si="708"/>
        <v>0</v>
      </c>
      <c r="H782" s="176">
        <f t="shared" si="708"/>
        <v>0</v>
      </c>
      <c r="I782" s="176">
        <f t="shared" si="708"/>
        <v>0</v>
      </c>
      <c r="J782" s="176">
        <f t="shared" si="708"/>
        <v>0</v>
      </c>
      <c r="K782" s="176">
        <f t="shared" si="708"/>
        <v>0</v>
      </c>
      <c r="L782" s="176">
        <f t="shared" si="708"/>
        <v>0</v>
      </c>
      <c r="M782" s="176">
        <f t="shared" si="711"/>
        <v>0</v>
      </c>
      <c r="N782" s="176">
        <f t="shared" si="711"/>
        <v>0</v>
      </c>
      <c r="O782" s="176">
        <f t="shared" si="709"/>
        <v>0</v>
      </c>
      <c r="P782" s="176">
        <f t="shared" si="711"/>
        <v>0</v>
      </c>
      <c r="Q782" s="175">
        <f t="shared" si="710"/>
        <v>0</v>
      </c>
      <c r="R782" s="176">
        <f t="shared" si="711"/>
        <v>0</v>
      </c>
      <c r="S782" s="176">
        <f t="shared" si="711"/>
        <v>0</v>
      </c>
      <c r="T782" s="176">
        <f t="shared" si="711"/>
        <v>0</v>
      </c>
      <c r="U782" s="176">
        <f t="shared" si="711"/>
        <v>0</v>
      </c>
    </row>
    <row r="783" spans="3:21" ht="18.75" x14ac:dyDescent="0.3">
      <c r="C783" s="294">
        <f t="shared" si="704"/>
        <v>1</v>
      </c>
      <c r="D783" s="113" t="s">
        <v>120</v>
      </c>
      <c r="E783" s="76" t="s">
        <v>54</v>
      </c>
      <c r="F783" s="176">
        <f t="shared" ref="F783:U783" si="712">F10*$E$776</f>
        <v>0</v>
      </c>
      <c r="G783" s="176">
        <f t="shared" si="708"/>
        <v>0</v>
      </c>
      <c r="H783" s="176">
        <f t="shared" si="708"/>
        <v>0</v>
      </c>
      <c r="I783" s="176">
        <f t="shared" si="708"/>
        <v>0</v>
      </c>
      <c r="J783" s="176">
        <f t="shared" si="708"/>
        <v>0</v>
      </c>
      <c r="K783" s="176">
        <f t="shared" si="708"/>
        <v>0</v>
      </c>
      <c r="L783" s="176">
        <f t="shared" si="708"/>
        <v>0</v>
      </c>
      <c r="M783" s="176">
        <f t="shared" si="712"/>
        <v>0</v>
      </c>
      <c r="N783" s="176">
        <f t="shared" si="712"/>
        <v>0</v>
      </c>
      <c r="O783" s="176">
        <f t="shared" si="709"/>
        <v>0</v>
      </c>
      <c r="P783" s="176">
        <f t="shared" si="712"/>
        <v>0</v>
      </c>
      <c r="Q783" s="175">
        <f t="shared" si="710"/>
        <v>0</v>
      </c>
      <c r="R783" s="176">
        <f t="shared" si="712"/>
        <v>0</v>
      </c>
      <c r="S783" s="176">
        <f t="shared" si="712"/>
        <v>0</v>
      </c>
      <c r="T783" s="176">
        <f t="shared" si="712"/>
        <v>0</v>
      </c>
      <c r="U783" s="176">
        <f t="shared" si="712"/>
        <v>0</v>
      </c>
    </row>
    <row r="784" spans="3:21" ht="18.75" x14ac:dyDescent="0.3">
      <c r="C784" s="294">
        <f t="shared" si="704"/>
        <v>1</v>
      </c>
      <c r="D784" s="113" t="s">
        <v>121</v>
      </c>
      <c r="E784" s="76" t="s">
        <v>53</v>
      </c>
      <c r="F784" s="176">
        <f t="shared" ref="F784:U784" si="713">F11*$E$776</f>
        <v>0</v>
      </c>
      <c r="G784" s="176">
        <f t="shared" si="708"/>
        <v>0</v>
      </c>
      <c r="H784" s="176">
        <f t="shared" si="708"/>
        <v>0</v>
      </c>
      <c r="I784" s="176">
        <f t="shared" si="708"/>
        <v>0</v>
      </c>
      <c r="J784" s="176">
        <f t="shared" si="708"/>
        <v>0</v>
      </c>
      <c r="K784" s="176">
        <f t="shared" si="708"/>
        <v>0</v>
      </c>
      <c r="L784" s="176">
        <f t="shared" si="708"/>
        <v>0</v>
      </c>
      <c r="M784" s="176">
        <f t="shared" si="713"/>
        <v>0</v>
      </c>
      <c r="N784" s="176">
        <f t="shared" si="713"/>
        <v>0</v>
      </c>
      <c r="O784" s="176">
        <f t="shared" si="709"/>
        <v>0</v>
      </c>
      <c r="P784" s="176">
        <f t="shared" si="713"/>
        <v>0</v>
      </c>
      <c r="Q784" s="175">
        <f t="shared" si="710"/>
        <v>0</v>
      </c>
      <c r="R784" s="176">
        <f t="shared" si="713"/>
        <v>0</v>
      </c>
      <c r="S784" s="176">
        <f t="shared" si="713"/>
        <v>0</v>
      </c>
      <c r="T784" s="176">
        <f t="shared" si="713"/>
        <v>0</v>
      </c>
      <c r="U784" s="176">
        <f t="shared" si="713"/>
        <v>0</v>
      </c>
    </row>
    <row r="785" spans="3:21" ht="18.75" x14ac:dyDescent="0.3">
      <c r="C785" s="294">
        <f t="shared" si="704"/>
        <v>1</v>
      </c>
      <c r="D785" s="113" t="s">
        <v>122</v>
      </c>
      <c r="E785" s="76" t="s">
        <v>52</v>
      </c>
      <c r="F785" s="176">
        <f t="shared" ref="F785:U785" si="714">F12*$E$776</f>
        <v>0</v>
      </c>
      <c r="G785" s="176">
        <f t="shared" si="708"/>
        <v>0</v>
      </c>
      <c r="H785" s="176">
        <f t="shared" si="708"/>
        <v>0</v>
      </c>
      <c r="I785" s="176">
        <f t="shared" si="708"/>
        <v>0</v>
      </c>
      <c r="J785" s="176">
        <f t="shared" si="708"/>
        <v>0</v>
      </c>
      <c r="K785" s="176">
        <f t="shared" si="708"/>
        <v>0</v>
      </c>
      <c r="L785" s="176">
        <f t="shared" si="708"/>
        <v>0</v>
      </c>
      <c r="M785" s="176">
        <f t="shared" si="714"/>
        <v>0</v>
      </c>
      <c r="N785" s="176">
        <f t="shared" si="714"/>
        <v>0</v>
      </c>
      <c r="O785" s="176">
        <f t="shared" si="709"/>
        <v>0</v>
      </c>
      <c r="P785" s="176">
        <f t="shared" si="714"/>
        <v>0</v>
      </c>
      <c r="Q785" s="175">
        <f t="shared" si="710"/>
        <v>0</v>
      </c>
      <c r="R785" s="176">
        <f t="shared" si="714"/>
        <v>0</v>
      </c>
      <c r="S785" s="176">
        <f t="shared" si="714"/>
        <v>0</v>
      </c>
      <c r="T785" s="176">
        <f t="shared" si="714"/>
        <v>0</v>
      </c>
      <c r="U785" s="176">
        <f t="shared" si="714"/>
        <v>0</v>
      </c>
    </row>
    <row r="786" spans="3:21" ht="18.75" x14ac:dyDescent="0.3">
      <c r="C786" s="294">
        <f t="shared" si="704"/>
        <v>1</v>
      </c>
      <c r="D786" s="125" t="s">
        <v>123</v>
      </c>
      <c r="E786" s="76" t="s">
        <v>51</v>
      </c>
      <c r="F786" s="176">
        <f t="shared" ref="F786:U786" si="715">F13*$E$776</f>
        <v>0</v>
      </c>
      <c r="G786" s="176">
        <f t="shared" si="708"/>
        <v>0</v>
      </c>
      <c r="H786" s="176">
        <f t="shared" si="708"/>
        <v>0</v>
      </c>
      <c r="I786" s="176">
        <f t="shared" si="708"/>
        <v>0</v>
      </c>
      <c r="J786" s="176">
        <f t="shared" si="708"/>
        <v>0</v>
      </c>
      <c r="K786" s="176">
        <f t="shared" si="708"/>
        <v>0</v>
      </c>
      <c r="L786" s="176">
        <f t="shared" si="708"/>
        <v>0</v>
      </c>
      <c r="M786" s="176">
        <f t="shared" si="715"/>
        <v>0</v>
      </c>
      <c r="N786" s="176">
        <f t="shared" si="715"/>
        <v>0</v>
      </c>
      <c r="O786" s="176">
        <f t="shared" si="709"/>
        <v>0</v>
      </c>
      <c r="P786" s="176">
        <f t="shared" si="715"/>
        <v>0</v>
      </c>
      <c r="Q786" s="175">
        <f t="shared" si="710"/>
        <v>0</v>
      </c>
      <c r="R786" s="176">
        <f t="shared" si="715"/>
        <v>0</v>
      </c>
      <c r="S786" s="176">
        <f t="shared" si="715"/>
        <v>0</v>
      </c>
      <c r="T786" s="176">
        <f t="shared" si="715"/>
        <v>0</v>
      </c>
      <c r="U786" s="176">
        <f t="shared" si="715"/>
        <v>0</v>
      </c>
    </row>
    <row r="787" spans="3:21" ht="19.5" thickBot="1" x14ac:dyDescent="0.35">
      <c r="C787" s="294">
        <f t="shared" si="704"/>
        <v>1</v>
      </c>
      <c r="D787" s="114" t="s">
        <v>16</v>
      </c>
      <c r="E787" s="70" t="s">
        <v>50</v>
      </c>
      <c r="F787" s="176">
        <f t="shared" ref="F787:U787" si="716">F14*$E$776</f>
        <v>7805.2072329124867</v>
      </c>
      <c r="G787" s="176">
        <f t="shared" si="708"/>
        <v>155.04920302828805</v>
      </c>
      <c r="H787" s="176">
        <f t="shared" si="708"/>
        <v>0</v>
      </c>
      <c r="I787" s="176">
        <f t="shared" si="708"/>
        <v>0</v>
      </c>
      <c r="J787" s="176">
        <f t="shared" si="708"/>
        <v>331.02069850650167</v>
      </c>
      <c r="K787" s="176">
        <f t="shared" si="708"/>
        <v>1.3628266042347466</v>
      </c>
      <c r="L787" s="176">
        <f t="shared" si="708"/>
        <v>0.19178881287772756</v>
      </c>
      <c r="M787" s="176">
        <f t="shared" si="716"/>
        <v>0</v>
      </c>
      <c r="N787" s="176">
        <f t="shared" si="716"/>
        <v>0</v>
      </c>
      <c r="O787" s="176">
        <f t="shared" si="709"/>
        <v>99.196225206020117</v>
      </c>
      <c r="P787" s="176">
        <f t="shared" si="716"/>
        <v>1689.474426998539</v>
      </c>
      <c r="Q787" s="175">
        <f t="shared" si="710"/>
        <v>10081.502402068947</v>
      </c>
      <c r="R787" s="176">
        <f t="shared" si="716"/>
        <v>0</v>
      </c>
      <c r="S787" s="176">
        <f t="shared" si="716"/>
        <v>701.00058460565901</v>
      </c>
      <c r="T787" s="176">
        <f t="shared" ca="1" si="716"/>
        <v>203.30901682648715</v>
      </c>
      <c r="U787" s="176">
        <f t="shared" ca="1" si="716"/>
        <v>11.585194933593419</v>
      </c>
    </row>
    <row r="788" spans="3:21" ht="19.5" thickBot="1" x14ac:dyDescent="0.3">
      <c r="C788" s="294">
        <f t="shared" si="704"/>
        <v>1</v>
      </c>
      <c r="D788" s="115" t="s">
        <v>124</v>
      </c>
      <c r="E788" s="116" t="s">
        <v>49</v>
      </c>
      <c r="F788" s="269">
        <f t="shared" ref="F788:U788" si="717">SUBTOTAL(9,F779:F787)</f>
        <v>80906.822527102326</v>
      </c>
      <c r="G788" s="269">
        <f t="shared" ref="G788:L788" si="718">SUBTOTAL(9,G779:G787)</f>
        <v>1798.9030748901264</v>
      </c>
      <c r="H788" s="269">
        <f t="shared" si="718"/>
        <v>0</v>
      </c>
      <c r="I788" s="269">
        <f t="shared" si="718"/>
        <v>2095.1146535086718</v>
      </c>
      <c r="J788" s="269">
        <f t="shared" si="718"/>
        <v>571.21486508669</v>
      </c>
      <c r="K788" s="269">
        <f t="shared" si="718"/>
        <v>74.262994596135869</v>
      </c>
      <c r="L788" s="269">
        <f t="shared" si="718"/>
        <v>0.19178881287772756</v>
      </c>
      <c r="M788" s="269">
        <f t="shared" si="717"/>
        <v>0</v>
      </c>
      <c r="N788" s="269">
        <f t="shared" si="717"/>
        <v>0</v>
      </c>
      <c r="O788" s="269">
        <f>SUBTOTAL(9,O779:O787)</f>
        <v>101.24840717625591</v>
      </c>
      <c r="P788" s="269">
        <f t="shared" si="717"/>
        <v>1689.474426998539</v>
      </c>
      <c r="Q788" s="183">
        <f>SUBTOTAL(9,Q779:Q787)</f>
        <v>87237.232738171617</v>
      </c>
      <c r="R788" s="269">
        <f t="shared" si="717"/>
        <v>0</v>
      </c>
      <c r="S788" s="269">
        <f t="shared" si="717"/>
        <v>6588.8567663497124</v>
      </c>
      <c r="T788" s="269">
        <f t="shared" ca="1" si="717"/>
        <v>2709.4012303341219</v>
      </c>
      <c r="U788" s="269">
        <f t="shared" ca="1" si="717"/>
        <v>1874.0633219911413</v>
      </c>
    </row>
    <row r="789" spans="3:21" ht="15.75" hidden="1" thickBot="1" x14ac:dyDescent="0.3"/>
    <row r="790" spans="3:21" ht="93.75" x14ac:dyDescent="0.25">
      <c r="C790" s="294">
        <f>IF($E$790&gt;0,1,0)</f>
        <v>1</v>
      </c>
      <c r="D790" s="96" t="str">
        <f>A59</f>
        <v>Ulster</v>
      </c>
      <c r="E790" s="166">
        <f>IFERROR(SUMIF(A:A,D790,B:B),0)</f>
        <v>8.5279793197240439E-3</v>
      </c>
      <c r="F790" s="98" t="s">
        <v>356</v>
      </c>
      <c r="G790" s="98" t="s">
        <v>373</v>
      </c>
      <c r="H790" s="98" t="s">
        <v>358</v>
      </c>
      <c r="I790" s="98" t="s">
        <v>109</v>
      </c>
      <c r="J790" s="98" t="s">
        <v>111</v>
      </c>
      <c r="K790" s="98" t="s">
        <v>469</v>
      </c>
      <c r="L790" s="98" t="s">
        <v>470</v>
      </c>
      <c r="M790" s="98" t="s">
        <v>357</v>
      </c>
      <c r="N790" s="557" t="s">
        <v>471</v>
      </c>
      <c r="O790" s="557" t="s">
        <v>473</v>
      </c>
      <c r="P790" s="98" t="s">
        <v>110</v>
      </c>
      <c r="Q790" s="99" t="s">
        <v>116</v>
      </c>
      <c r="R790" s="98" t="s">
        <v>112</v>
      </c>
      <c r="S790" s="98" t="s">
        <v>113</v>
      </c>
      <c r="T790" s="98" t="s">
        <v>114</v>
      </c>
      <c r="U790" s="98" t="s">
        <v>115</v>
      </c>
    </row>
    <row r="791" spans="3:21" ht="18.75" x14ac:dyDescent="0.25">
      <c r="C791" s="294">
        <f>C790</f>
        <v>1</v>
      </c>
      <c r="D791" s="101"/>
      <c r="E791" s="102"/>
      <c r="F791" s="84" t="s">
        <v>57</v>
      </c>
      <c r="G791" s="84" t="s">
        <v>56</v>
      </c>
      <c r="H791" s="84" t="s">
        <v>55</v>
      </c>
      <c r="I791" s="84" t="s">
        <v>54</v>
      </c>
      <c r="J791" s="84" t="s">
        <v>53</v>
      </c>
      <c r="K791" s="84" t="s">
        <v>52</v>
      </c>
      <c r="L791" s="84" t="s">
        <v>51</v>
      </c>
      <c r="M791" s="84" t="s">
        <v>50</v>
      </c>
      <c r="N791" s="84" t="s">
        <v>49</v>
      </c>
      <c r="O791" s="84" t="s">
        <v>47</v>
      </c>
      <c r="P791" s="84" t="s">
        <v>77</v>
      </c>
      <c r="Q791" s="84" t="s">
        <v>78</v>
      </c>
      <c r="R791" s="84" t="s">
        <v>79</v>
      </c>
      <c r="S791" s="84" t="s">
        <v>81</v>
      </c>
      <c r="T791" s="84" t="s">
        <v>83</v>
      </c>
      <c r="U791" s="84" t="s">
        <v>85</v>
      </c>
    </row>
    <row r="792" spans="3:21" ht="18.75" x14ac:dyDescent="0.25">
      <c r="C792" s="294">
        <f>C790</f>
        <v>1</v>
      </c>
      <c r="D792" s="103" t="s">
        <v>26</v>
      </c>
      <c r="E792" s="122"/>
      <c r="F792" s="123"/>
      <c r="G792" s="123"/>
      <c r="H792" s="107"/>
      <c r="I792" s="107"/>
      <c r="J792" s="107"/>
      <c r="K792" s="107"/>
      <c r="L792" s="107"/>
      <c r="M792" s="123"/>
      <c r="N792" s="107"/>
      <c r="O792" s="107"/>
      <c r="P792" s="107"/>
      <c r="Q792" s="108"/>
      <c r="R792" s="107"/>
      <c r="S792" s="107"/>
      <c r="T792" s="107"/>
      <c r="U792" s="107"/>
    </row>
    <row r="793" spans="3:21" ht="18.75" x14ac:dyDescent="0.25">
      <c r="C793" s="294">
        <f t="shared" ref="C793:C802" si="719">C791</f>
        <v>1</v>
      </c>
      <c r="D793" s="124" t="s">
        <v>105</v>
      </c>
      <c r="E793" s="76" t="s">
        <v>57</v>
      </c>
      <c r="F793" s="176">
        <f t="shared" ref="F793:L793" si="720">F6*$E$790</f>
        <v>601481.7221707555</v>
      </c>
      <c r="G793" s="176">
        <f t="shared" si="720"/>
        <v>13525.666346296308</v>
      </c>
      <c r="H793" s="176">
        <f t="shared" si="720"/>
        <v>0</v>
      </c>
      <c r="I793" s="176">
        <f t="shared" si="720"/>
        <v>17238.650129222809</v>
      </c>
      <c r="J793" s="176">
        <f t="shared" si="720"/>
        <v>1976.3229634339384</v>
      </c>
      <c r="K793" s="176">
        <f t="shared" si="720"/>
        <v>599.82420927148996</v>
      </c>
      <c r="L793" s="176">
        <f t="shared" si="720"/>
        <v>0</v>
      </c>
      <c r="M793" s="176">
        <f t="shared" ref="M793:U793" si="721">M6*$E$790</f>
        <v>0</v>
      </c>
      <c r="N793" s="176">
        <f t="shared" si="721"/>
        <v>0</v>
      </c>
      <c r="O793" s="176">
        <f>O6*$E$790</f>
        <v>16.885399053053607</v>
      </c>
      <c r="P793" s="176">
        <f t="shared" si="721"/>
        <v>0</v>
      </c>
      <c r="Q793" s="175">
        <f>SUM(F793:P793)</f>
        <v>634839.07121803309</v>
      </c>
      <c r="R793" s="176">
        <f t="shared" si="721"/>
        <v>0</v>
      </c>
      <c r="S793" s="176">
        <f t="shared" si="721"/>
        <v>48445.412072455496</v>
      </c>
      <c r="T793" s="176">
        <f t="shared" ca="1" si="721"/>
        <v>20620.182665363063</v>
      </c>
      <c r="U793" s="176">
        <f t="shared" ca="1" si="721"/>
        <v>15324.511597447217</v>
      </c>
    </row>
    <row r="794" spans="3:21" ht="18.75" x14ac:dyDescent="0.25">
      <c r="C794" s="294">
        <f t="shared" si="719"/>
        <v>1</v>
      </c>
      <c r="D794" s="112" t="s">
        <v>31</v>
      </c>
      <c r="E794" s="76"/>
      <c r="F794" s="177"/>
      <c r="G794" s="177"/>
      <c r="H794" s="178"/>
      <c r="I794" s="178"/>
      <c r="J794" s="178"/>
      <c r="K794" s="178"/>
      <c r="L794" s="178"/>
      <c r="M794" s="177"/>
      <c r="N794" s="178"/>
      <c r="O794" s="178"/>
      <c r="P794" s="178"/>
      <c r="Q794" s="179"/>
      <c r="R794" s="178"/>
      <c r="S794" s="178"/>
      <c r="T794" s="178"/>
      <c r="U794" s="178"/>
    </row>
    <row r="795" spans="3:21" ht="18.75" x14ac:dyDescent="0.3">
      <c r="C795" s="294">
        <f t="shared" si="719"/>
        <v>1</v>
      </c>
      <c r="D795" s="113" t="s">
        <v>118</v>
      </c>
      <c r="E795" s="76" t="s">
        <v>56</v>
      </c>
      <c r="F795" s="176">
        <f t="shared" ref="F795:U795" si="722">F8*$E$790</f>
        <v>0</v>
      </c>
      <c r="G795" s="176">
        <f t="shared" ref="G795:L801" si="723">G8*$E$790</f>
        <v>0</v>
      </c>
      <c r="H795" s="176">
        <f t="shared" si="723"/>
        <v>0</v>
      </c>
      <c r="I795" s="176">
        <f t="shared" si="723"/>
        <v>0</v>
      </c>
      <c r="J795" s="176">
        <f t="shared" si="723"/>
        <v>0</v>
      </c>
      <c r="K795" s="176">
        <f t="shared" si="723"/>
        <v>0</v>
      </c>
      <c r="L795" s="176">
        <f t="shared" si="723"/>
        <v>0</v>
      </c>
      <c r="M795" s="176">
        <f t="shared" si="722"/>
        <v>0</v>
      </c>
      <c r="N795" s="176">
        <f t="shared" si="722"/>
        <v>0</v>
      </c>
      <c r="O795" s="176">
        <f t="shared" ref="O795:O801" si="724">O8*$E$790</f>
        <v>0</v>
      </c>
      <c r="P795" s="176">
        <f t="shared" si="722"/>
        <v>0</v>
      </c>
      <c r="Q795" s="175">
        <f t="shared" ref="Q795:Q801" si="725">SUM(F795:P795)</f>
        <v>0</v>
      </c>
      <c r="R795" s="176">
        <f t="shared" si="722"/>
        <v>0</v>
      </c>
      <c r="S795" s="176">
        <f t="shared" si="722"/>
        <v>0</v>
      </c>
      <c r="T795" s="176">
        <f t="shared" si="722"/>
        <v>0</v>
      </c>
      <c r="U795" s="176">
        <f t="shared" si="722"/>
        <v>0</v>
      </c>
    </row>
    <row r="796" spans="3:21" ht="18.75" x14ac:dyDescent="0.3">
      <c r="C796" s="294">
        <f t="shared" si="719"/>
        <v>1</v>
      </c>
      <c r="D796" s="113" t="s">
        <v>119</v>
      </c>
      <c r="E796" s="76" t="s">
        <v>55</v>
      </c>
      <c r="F796" s="176">
        <f t="shared" ref="F796:U796" si="726">F9*$E$790</f>
        <v>0</v>
      </c>
      <c r="G796" s="176">
        <f t="shared" si="723"/>
        <v>0</v>
      </c>
      <c r="H796" s="176">
        <f t="shared" si="723"/>
        <v>0</v>
      </c>
      <c r="I796" s="176">
        <f t="shared" si="723"/>
        <v>0</v>
      </c>
      <c r="J796" s="176">
        <f t="shared" si="723"/>
        <v>0</v>
      </c>
      <c r="K796" s="176">
        <f t="shared" si="723"/>
        <v>0</v>
      </c>
      <c r="L796" s="176">
        <f t="shared" si="723"/>
        <v>0</v>
      </c>
      <c r="M796" s="176">
        <f t="shared" si="726"/>
        <v>0</v>
      </c>
      <c r="N796" s="176">
        <f t="shared" si="726"/>
        <v>0</v>
      </c>
      <c r="O796" s="176">
        <f t="shared" si="724"/>
        <v>0</v>
      </c>
      <c r="P796" s="176">
        <f t="shared" si="726"/>
        <v>0</v>
      </c>
      <c r="Q796" s="175">
        <f t="shared" si="725"/>
        <v>0</v>
      </c>
      <c r="R796" s="176">
        <f t="shared" si="726"/>
        <v>0</v>
      </c>
      <c r="S796" s="176">
        <f t="shared" si="726"/>
        <v>0</v>
      </c>
      <c r="T796" s="176">
        <f t="shared" si="726"/>
        <v>0</v>
      </c>
      <c r="U796" s="176">
        <f t="shared" si="726"/>
        <v>0</v>
      </c>
    </row>
    <row r="797" spans="3:21" ht="18.75" x14ac:dyDescent="0.3">
      <c r="C797" s="294">
        <f t="shared" si="719"/>
        <v>1</v>
      </c>
      <c r="D797" s="113" t="s">
        <v>120</v>
      </c>
      <c r="E797" s="76" t="s">
        <v>54</v>
      </c>
      <c r="F797" s="176">
        <f t="shared" ref="F797:U797" si="727">F10*$E$790</f>
        <v>0</v>
      </c>
      <c r="G797" s="176">
        <f t="shared" si="723"/>
        <v>0</v>
      </c>
      <c r="H797" s="176">
        <f t="shared" si="723"/>
        <v>0</v>
      </c>
      <c r="I797" s="176">
        <f t="shared" si="723"/>
        <v>0</v>
      </c>
      <c r="J797" s="176">
        <f t="shared" si="723"/>
        <v>0</v>
      </c>
      <c r="K797" s="176">
        <f t="shared" si="723"/>
        <v>0</v>
      </c>
      <c r="L797" s="176">
        <f t="shared" si="723"/>
        <v>0</v>
      </c>
      <c r="M797" s="176">
        <f t="shared" si="727"/>
        <v>0</v>
      </c>
      <c r="N797" s="176">
        <f t="shared" si="727"/>
        <v>0</v>
      </c>
      <c r="O797" s="176">
        <f t="shared" si="724"/>
        <v>0</v>
      </c>
      <c r="P797" s="176">
        <f t="shared" si="727"/>
        <v>0</v>
      </c>
      <c r="Q797" s="175">
        <f t="shared" si="725"/>
        <v>0</v>
      </c>
      <c r="R797" s="176">
        <f t="shared" si="727"/>
        <v>0</v>
      </c>
      <c r="S797" s="176">
        <f t="shared" si="727"/>
        <v>0</v>
      </c>
      <c r="T797" s="176">
        <f t="shared" si="727"/>
        <v>0</v>
      </c>
      <c r="U797" s="176">
        <f t="shared" si="727"/>
        <v>0</v>
      </c>
    </row>
    <row r="798" spans="3:21" ht="18.75" x14ac:dyDescent="0.3">
      <c r="C798" s="294">
        <f t="shared" si="719"/>
        <v>1</v>
      </c>
      <c r="D798" s="113" t="s">
        <v>121</v>
      </c>
      <c r="E798" s="76" t="s">
        <v>53</v>
      </c>
      <c r="F798" s="176">
        <f t="shared" ref="F798:U798" si="728">F11*$E$790</f>
        <v>0</v>
      </c>
      <c r="G798" s="176">
        <f t="shared" si="723"/>
        <v>0</v>
      </c>
      <c r="H798" s="176">
        <f t="shared" si="723"/>
        <v>0</v>
      </c>
      <c r="I798" s="176">
        <f t="shared" si="723"/>
        <v>0</v>
      </c>
      <c r="J798" s="176">
        <f t="shared" si="723"/>
        <v>0</v>
      </c>
      <c r="K798" s="176">
        <f t="shared" si="723"/>
        <v>0</v>
      </c>
      <c r="L798" s="176">
        <f t="shared" si="723"/>
        <v>0</v>
      </c>
      <c r="M798" s="176">
        <f t="shared" si="728"/>
        <v>0</v>
      </c>
      <c r="N798" s="176">
        <f t="shared" si="728"/>
        <v>0</v>
      </c>
      <c r="O798" s="176">
        <f t="shared" si="724"/>
        <v>0</v>
      </c>
      <c r="P798" s="176">
        <f t="shared" si="728"/>
        <v>0</v>
      </c>
      <c r="Q798" s="175">
        <f t="shared" si="725"/>
        <v>0</v>
      </c>
      <c r="R798" s="176">
        <f t="shared" si="728"/>
        <v>0</v>
      </c>
      <c r="S798" s="176">
        <f t="shared" si="728"/>
        <v>0</v>
      </c>
      <c r="T798" s="176">
        <f t="shared" si="728"/>
        <v>0</v>
      </c>
      <c r="U798" s="176">
        <f t="shared" si="728"/>
        <v>0</v>
      </c>
    </row>
    <row r="799" spans="3:21" ht="18.75" x14ac:dyDescent="0.3">
      <c r="C799" s="294">
        <f t="shared" si="719"/>
        <v>1</v>
      </c>
      <c r="D799" s="113" t="s">
        <v>122</v>
      </c>
      <c r="E799" s="76" t="s">
        <v>52</v>
      </c>
      <c r="F799" s="176">
        <f t="shared" ref="F799:U799" si="729">F12*$E$790</f>
        <v>0</v>
      </c>
      <c r="G799" s="176">
        <f t="shared" si="723"/>
        <v>0</v>
      </c>
      <c r="H799" s="176">
        <f t="shared" si="723"/>
        <v>0</v>
      </c>
      <c r="I799" s="176">
        <f t="shared" si="723"/>
        <v>0</v>
      </c>
      <c r="J799" s="176">
        <f t="shared" si="723"/>
        <v>0</v>
      </c>
      <c r="K799" s="176">
        <f t="shared" si="723"/>
        <v>0</v>
      </c>
      <c r="L799" s="176">
        <f t="shared" si="723"/>
        <v>0</v>
      </c>
      <c r="M799" s="176">
        <f t="shared" si="729"/>
        <v>0</v>
      </c>
      <c r="N799" s="176">
        <f t="shared" si="729"/>
        <v>0</v>
      </c>
      <c r="O799" s="176">
        <f t="shared" si="724"/>
        <v>0</v>
      </c>
      <c r="P799" s="176">
        <f t="shared" si="729"/>
        <v>0</v>
      </c>
      <c r="Q799" s="175">
        <f t="shared" si="725"/>
        <v>0</v>
      </c>
      <c r="R799" s="176">
        <f t="shared" si="729"/>
        <v>0</v>
      </c>
      <c r="S799" s="176">
        <f t="shared" si="729"/>
        <v>0</v>
      </c>
      <c r="T799" s="176">
        <f t="shared" si="729"/>
        <v>0</v>
      </c>
      <c r="U799" s="176">
        <f t="shared" si="729"/>
        <v>0</v>
      </c>
    </row>
    <row r="800" spans="3:21" ht="18.75" x14ac:dyDescent="0.3">
      <c r="C800" s="294">
        <f t="shared" si="719"/>
        <v>1</v>
      </c>
      <c r="D800" s="125" t="s">
        <v>123</v>
      </c>
      <c r="E800" s="76" t="s">
        <v>51</v>
      </c>
      <c r="F800" s="176">
        <f t="shared" ref="F800:U800" si="730">F13*$E$790</f>
        <v>0</v>
      </c>
      <c r="G800" s="176">
        <f t="shared" si="723"/>
        <v>0</v>
      </c>
      <c r="H800" s="176">
        <f t="shared" si="723"/>
        <v>0</v>
      </c>
      <c r="I800" s="176">
        <f t="shared" si="723"/>
        <v>0</v>
      </c>
      <c r="J800" s="176">
        <f t="shared" si="723"/>
        <v>0</v>
      </c>
      <c r="K800" s="176">
        <f t="shared" si="723"/>
        <v>0</v>
      </c>
      <c r="L800" s="176">
        <f t="shared" si="723"/>
        <v>0</v>
      </c>
      <c r="M800" s="176">
        <f t="shared" si="730"/>
        <v>0</v>
      </c>
      <c r="N800" s="176">
        <f t="shared" si="730"/>
        <v>0</v>
      </c>
      <c r="O800" s="176">
        <f t="shared" si="724"/>
        <v>0</v>
      </c>
      <c r="P800" s="176">
        <f t="shared" si="730"/>
        <v>0</v>
      </c>
      <c r="Q800" s="175">
        <f t="shared" si="725"/>
        <v>0</v>
      </c>
      <c r="R800" s="176">
        <f t="shared" si="730"/>
        <v>0</v>
      </c>
      <c r="S800" s="176">
        <f t="shared" si="730"/>
        <v>0</v>
      </c>
      <c r="T800" s="176">
        <f t="shared" si="730"/>
        <v>0</v>
      </c>
      <c r="U800" s="176">
        <f t="shared" si="730"/>
        <v>0</v>
      </c>
    </row>
    <row r="801" spans="3:21" ht="19.5" thickBot="1" x14ac:dyDescent="0.35">
      <c r="C801" s="294">
        <f t="shared" si="719"/>
        <v>1</v>
      </c>
      <c r="D801" s="114" t="s">
        <v>16</v>
      </c>
      <c r="E801" s="70" t="s">
        <v>50</v>
      </c>
      <c r="F801" s="176">
        <f t="shared" ref="F801:U801" si="731">F14*$E$790</f>
        <v>64221.419314177263</v>
      </c>
      <c r="G801" s="176">
        <f t="shared" si="723"/>
        <v>1275.7483030073361</v>
      </c>
      <c r="H801" s="176">
        <f t="shared" si="723"/>
        <v>0</v>
      </c>
      <c r="I801" s="176">
        <f t="shared" si="723"/>
        <v>0</v>
      </c>
      <c r="J801" s="176">
        <f t="shared" si="723"/>
        <v>2723.6456952502099</v>
      </c>
      <c r="K801" s="176">
        <f t="shared" si="723"/>
        <v>11.213367716108312</v>
      </c>
      <c r="L801" s="176">
        <f t="shared" si="723"/>
        <v>1.5780426328274175</v>
      </c>
      <c r="M801" s="176">
        <f t="shared" si="731"/>
        <v>0</v>
      </c>
      <c r="N801" s="176">
        <f t="shared" si="731"/>
        <v>0</v>
      </c>
      <c r="O801" s="176">
        <f t="shared" si="724"/>
        <v>816.1887549220445</v>
      </c>
      <c r="P801" s="176">
        <f t="shared" si="731"/>
        <v>13901.03329215078</v>
      </c>
      <c r="Q801" s="175">
        <f t="shared" si="725"/>
        <v>82950.826769856561</v>
      </c>
      <c r="R801" s="176">
        <f t="shared" si="731"/>
        <v>0</v>
      </c>
      <c r="S801" s="176">
        <f t="shared" si="731"/>
        <v>5767.8484555296873</v>
      </c>
      <c r="T801" s="176">
        <f t="shared" ca="1" si="731"/>
        <v>1672.8311280333367</v>
      </c>
      <c r="U801" s="176">
        <f t="shared" ca="1" si="731"/>
        <v>95.323242479643596</v>
      </c>
    </row>
    <row r="802" spans="3:21" ht="19.5" thickBot="1" x14ac:dyDescent="0.3">
      <c r="C802" s="294">
        <f t="shared" si="719"/>
        <v>1</v>
      </c>
      <c r="D802" s="115" t="s">
        <v>124</v>
      </c>
      <c r="E802" s="116" t="s">
        <v>49</v>
      </c>
      <c r="F802" s="269">
        <f t="shared" ref="F802:U802" si="732">SUBTOTAL(9,F793:F801)</f>
        <v>665703.14148493274</v>
      </c>
      <c r="G802" s="269">
        <f t="shared" ref="G802:L802" si="733">SUBTOTAL(9,G793:G801)</f>
        <v>14801.414649303644</v>
      </c>
      <c r="H802" s="269">
        <f t="shared" si="733"/>
        <v>0</v>
      </c>
      <c r="I802" s="269">
        <f t="shared" si="733"/>
        <v>17238.650129222809</v>
      </c>
      <c r="J802" s="269">
        <f t="shared" si="733"/>
        <v>4699.9686586841481</v>
      </c>
      <c r="K802" s="269">
        <f t="shared" si="733"/>
        <v>611.0375769875983</v>
      </c>
      <c r="L802" s="269">
        <f t="shared" si="733"/>
        <v>1.5780426328274175</v>
      </c>
      <c r="M802" s="269">
        <f t="shared" si="732"/>
        <v>0</v>
      </c>
      <c r="N802" s="269">
        <f t="shared" si="732"/>
        <v>0</v>
      </c>
      <c r="O802" s="269">
        <f>SUBTOTAL(9,O793:O801)</f>
        <v>833.07415397509806</v>
      </c>
      <c r="P802" s="269">
        <f t="shared" si="732"/>
        <v>13901.03329215078</v>
      </c>
      <c r="Q802" s="183">
        <f>SUBTOTAL(9,Q793:Q801)</f>
        <v>717789.89798788959</v>
      </c>
      <c r="R802" s="269">
        <f t="shared" si="732"/>
        <v>0</v>
      </c>
      <c r="S802" s="269">
        <f t="shared" si="732"/>
        <v>54213.260527985185</v>
      </c>
      <c r="T802" s="269">
        <f t="shared" ca="1" si="732"/>
        <v>22293.0137933964</v>
      </c>
      <c r="U802" s="269">
        <f t="shared" ca="1" si="732"/>
        <v>15419.834839926862</v>
      </c>
    </row>
    <row r="803" spans="3:21" ht="15.75" hidden="1" thickBot="1" x14ac:dyDescent="0.3"/>
    <row r="804" spans="3:21" ht="93.75" x14ac:dyDescent="0.25">
      <c r="C804" s="294">
        <f>IF($E$804&gt;0,1,0)</f>
        <v>1</v>
      </c>
      <c r="D804" s="96" t="str">
        <f>A60</f>
        <v>Warren</v>
      </c>
      <c r="E804" s="166">
        <f>IFERROR(SUMIF(A:A,D804,B:B),0)</f>
        <v>1.4283552517227942E-3</v>
      </c>
      <c r="F804" s="98" t="s">
        <v>356</v>
      </c>
      <c r="G804" s="98" t="s">
        <v>373</v>
      </c>
      <c r="H804" s="98" t="s">
        <v>358</v>
      </c>
      <c r="I804" s="98" t="s">
        <v>109</v>
      </c>
      <c r="J804" s="98" t="s">
        <v>111</v>
      </c>
      <c r="K804" s="98" t="s">
        <v>469</v>
      </c>
      <c r="L804" s="98" t="s">
        <v>470</v>
      </c>
      <c r="M804" s="98" t="s">
        <v>357</v>
      </c>
      <c r="N804" s="557" t="s">
        <v>471</v>
      </c>
      <c r="O804" s="557" t="s">
        <v>473</v>
      </c>
      <c r="P804" s="98" t="s">
        <v>110</v>
      </c>
      <c r="Q804" s="99" t="s">
        <v>116</v>
      </c>
      <c r="R804" s="98" t="s">
        <v>112</v>
      </c>
      <c r="S804" s="98" t="s">
        <v>113</v>
      </c>
      <c r="T804" s="98" t="s">
        <v>114</v>
      </c>
      <c r="U804" s="98" t="s">
        <v>115</v>
      </c>
    </row>
    <row r="805" spans="3:21" ht="18.75" x14ac:dyDescent="0.25">
      <c r="C805" s="294">
        <f>C804</f>
        <v>1</v>
      </c>
      <c r="D805" s="101"/>
      <c r="E805" s="102"/>
      <c r="F805" s="84" t="s">
        <v>57</v>
      </c>
      <c r="G805" s="84" t="s">
        <v>56</v>
      </c>
      <c r="H805" s="84" t="s">
        <v>55</v>
      </c>
      <c r="I805" s="84" t="s">
        <v>54</v>
      </c>
      <c r="J805" s="84" t="s">
        <v>53</v>
      </c>
      <c r="K805" s="84" t="s">
        <v>52</v>
      </c>
      <c r="L805" s="84" t="s">
        <v>51</v>
      </c>
      <c r="M805" s="84" t="s">
        <v>50</v>
      </c>
      <c r="N805" s="84" t="s">
        <v>49</v>
      </c>
      <c r="O805" s="84" t="s">
        <v>47</v>
      </c>
      <c r="P805" s="84" t="s">
        <v>77</v>
      </c>
      <c r="Q805" s="84" t="s">
        <v>78</v>
      </c>
      <c r="R805" s="84" t="s">
        <v>79</v>
      </c>
      <c r="S805" s="84" t="s">
        <v>81</v>
      </c>
      <c r="T805" s="84" t="s">
        <v>83</v>
      </c>
      <c r="U805" s="84" t="s">
        <v>85</v>
      </c>
    </row>
    <row r="806" spans="3:21" ht="18.75" x14ac:dyDescent="0.25">
      <c r="C806" s="294">
        <f>C804</f>
        <v>1</v>
      </c>
      <c r="D806" s="103" t="s">
        <v>26</v>
      </c>
      <c r="E806" s="122"/>
      <c r="F806" s="123"/>
      <c r="G806" s="123"/>
      <c r="H806" s="107"/>
      <c r="I806" s="107"/>
      <c r="J806" s="107"/>
      <c r="K806" s="107"/>
      <c r="L806" s="107"/>
      <c r="M806" s="123"/>
      <c r="N806" s="107"/>
      <c r="O806" s="107"/>
      <c r="P806" s="107"/>
      <c r="Q806" s="108"/>
      <c r="R806" s="107"/>
      <c r="S806" s="107"/>
      <c r="T806" s="107"/>
      <c r="U806" s="107"/>
    </row>
    <row r="807" spans="3:21" ht="18.75" x14ac:dyDescent="0.25">
      <c r="C807" s="294">
        <f t="shared" ref="C807:C816" si="734">C805</f>
        <v>1</v>
      </c>
      <c r="D807" s="124" t="s">
        <v>105</v>
      </c>
      <c r="E807" s="76" t="s">
        <v>57</v>
      </c>
      <c r="F807" s="176">
        <f t="shared" ref="F807:L807" si="735">F6*$E$804</f>
        <v>100742.45544789497</v>
      </c>
      <c r="G807" s="176">
        <f t="shared" si="735"/>
        <v>2265.4201932806454</v>
      </c>
      <c r="H807" s="176">
        <f t="shared" si="735"/>
        <v>0</v>
      </c>
      <c r="I807" s="176">
        <f t="shared" si="735"/>
        <v>2887.3095866611452</v>
      </c>
      <c r="J807" s="176">
        <f t="shared" si="735"/>
        <v>331.01525907693775</v>
      </c>
      <c r="K807" s="176">
        <f t="shared" si="735"/>
        <v>100.464837835832</v>
      </c>
      <c r="L807" s="176">
        <f t="shared" si="735"/>
        <v>0</v>
      </c>
      <c r="M807" s="176">
        <f t="shared" ref="M807:U807" si="736">M6*$E$804</f>
        <v>0</v>
      </c>
      <c r="N807" s="176">
        <f t="shared" si="736"/>
        <v>0</v>
      </c>
      <c r="O807" s="176">
        <f>O6*$E$804</f>
        <v>2.8281433984111324</v>
      </c>
      <c r="P807" s="176">
        <f t="shared" si="736"/>
        <v>0</v>
      </c>
      <c r="Q807" s="175">
        <f>SUM(F807:P807)</f>
        <v>106329.49346814794</v>
      </c>
      <c r="R807" s="176">
        <f t="shared" si="736"/>
        <v>0</v>
      </c>
      <c r="S807" s="176">
        <f t="shared" si="736"/>
        <v>8114.144765281374</v>
      </c>
      <c r="T807" s="176">
        <f t="shared" ca="1" si="736"/>
        <v>3453.6840554284695</v>
      </c>
      <c r="U807" s="176">
        <f t="shared" ca="1" si="736"/>
        <v>2566.7096271768278</v>
      </c>
    </row>
    <row r="808" spans="3:21" ht="18.75" x14ac:dyDescent="0.25">
      <c r="C808" s="294">
        <f t="shared" si="734"/>
        <v>1</v>
      </c>
      <c r="D808" s="112" t="s">
        <v>31</v>
      </c>
      <c r="E808" s="76"/>
      <c r="F808" s="177"/>
      <c r="G808" s="177"/>
      <c r="H808" s="178"/>
      <c r="I808" s="178"/>
      <c r="J808" s="178"/>
      <c r="K808" s="178"/>
      <c r="L808" s="178"/>
      <c r="M808" s="177"/>
      <c r="N808" s="178"/>
      <c r="O808" s="178"/>
      <c r="P808" s="178"/>
      <c r="Q808" s="179"/>
      <c r="R808" s="178"/>
      <c r="S808" s="178"/>
      <c r="T808" s="178"/>
      <c r="U808" s="178"/>
    </row>
    <row r="809" spans="3:21" ht="18.75" x14ac:dyDescent="0.3">
      <c r="C809" s="294">
        <f t="shared" si="734"/>
        <v>1</v>
      </c>
      <c r="D809" s="113" t="s">
        <v>118</v>
      </c>
      <c r="E809" s="76" t="s">
        <v>56</v>
      </c>
      <c r="F809" s="176">
        <f t="shared" ref="F809:U809" si="737">F8*$E$804</f>
        <v>0</v>
      </c>
      <c r="G809" s="176">
        <f t="shared" ref="G809:L815" si="738">G8*$E$804</f>
        <v>0</v>
      </c>
      <c r="H809" s="176">
        <f t="shared" si="738"/>
        <v>0</v>
      </c>
      <c r="I809" s="176">
        <f t="shared" si="738"/>
        <v>0</v>
      </c>
      <c r="J809" s="176">
        <f t="shared" si="738"/>
        <v>0</v>
      </c>
      <c r="K809" s="176">
        <f t="shared" si="738"/>
        <v>0</v>
      </c>
      <c r="L809" s="176">
        <f t="shared" si="738"/>
        <v>0</v>
      </c>
      <c r="M809" s="176">
        <f t="shared" si="737"/>
        <v>0</v>
      </c>
      <c r="N809" s="176">
        <f t="shared" si="737"/>
        <v>0</v>
      </c>
      <c r="O809" s="176">
        <f t="shared" ref="O809:O815" si="739">O8*$E$804</f>
        <v>0</v>
      </c>
      <c r="P809" s="176">
        <f t="shared" si="737"/>
        <v>0</v>
      </c>
      <c r="Q809" s="175">
        <f t="shared" ref="Q809:Q815" si="740">SUM(F809:P809)</f>
        <v>0</v>
      </c>
      <c r="R809" s="176">
        <f t="shared" si="737"/>
        <v>0</v>
      </c>
      <c r="S809" s="176">
        <f t="shared" si="737"/>
        <v>0</v>
      </c>
      <c r="T809" s="176">
        <f t="shared" si="737"/>
        <v>0</v>
      </c>
      <c r="U809" s="176">
        <f t="shared" si="737"/>
        <v>0</v>
      </c>
    </row>
    <row r="810" spans="3:21" ht="18.75" x14ac:dyDescent="0.3">
      <c r="C810" s="294">
        <f t="shared" si="734"/>
        <v>1</v>
      </c>
      <c r="D810" s="113" t="s">
        <v>119</v>
      </c>
      <c r="E810" s="76" t="s">
        <v>55</v>
      </c>
      <c r="F810" s="176">
        <f t="shared" ref="F810:U810" si="741">F9*$E$804</f>
        <v>0</v>
      </c>
      <c r="G810" s="176">
        <f t="shared" si="738"/>
        <v>0</v>
      </c>
      <c r="H810" s="176">
        <f t="shared" si="738"/>
        <v>0</v>
      </c>
      <c r="I810" s="176">
        <f t="shared" si="738"/>
        <v>0</v>
      </c>
      <c r="J810" s="176">
        <f t="shared" si="738"/>
        <v>0</v>
      </c>
      <c r="K810" s="176">
        <f t="shared" si="738"/>
        <v>0</v>
      </c>
      <c r="L810" s="176">
        <f t="shared" si="738"/>
        <v>0</v>
      </c>
      <c r="M810" s="176">
        <f t="shared" si="741"/>
        <v>0</v>
      </c>
      <c r="N810" s="176">
        <f t="shared" si="741"/>
        <v>0</v>
      </c>
      <c r="O810" s="176">
        <f t="shared" si="739"/>
        <v>0</v>
      </c>
      <c r="P810" s="176">
        <f t="shared" si="741"/>
        <v>0</v>
      </c>
      <c r="Q810" s="175">
        <f t="shared" si="740"/>
        <v>0</v>
      </c>
      <c r="R810" s="176">
        <f t="shared" si="741"/>
        <v>0</v>
      </c>
      <c r="S810" s="176">
        <f t="shared" si="741"/>
        <v>0</v>
      </c>
      <c r="T810" s="176">
        <f t="shared" si="741"/>
        <v>0</v>
      </c>
      <c r="U810" s="176">
        <f t="shared" si="741"/>
        <v>0</v>
      </c>
    </row>
    <row r="811" spans="3:21" ht="18.75" x14ac:dyDescent="0.3">
      <c r="C811" s="294">
        <f t="shared" si="734"/>
        <v>1</v>
      </c>
      <c r="D811" s="113" t="s">
        <v>120</v>
      </c>
      <c r="E811" s="76" t="s">
        <v>54</v>
      </c>
      <c r="F811" s="176">
        <f t="shared" ref="F811:U811" si="742">F10*$E$804</f>
        <v>0</v>
      </c>
      <c r="G811" s="176">
        <f t="shared" si="738"/>
        <v>0</v>
      </c>
      <c r="H811" s="176">
        <f t="shared" si="738"/>
        <v>0</v>
      </c>
      <c r="I811" s="176">
        <f t="shared" si="738"/>
        <v>0</v>
      </c>
      <c r="J811" s="176">
        <f t="shared" si="738"/>
        <v>0</v>
      </c>
      <c r="K811" s="176">
        <f t="shared" si="738"/>
        <v>0</v>
      </c>
      <c r="L811" s="176">
        <f t="shared" si="738"/>
        <v>0</v>
      </c>
      <c r="M811" s="176">
        <f t="shared" si="742"/>
        <v>0</v>
      </c>
      <c r="N811" s="176">
        <f t="shared" si="742"/>
        <v>0</v>
      </c>
      <c r="O811" s="176">
        <f t="shared" si="739"/>
        <v>0</v>
      </c>
      <c r="P811" s="176">
        <f t="shared" si="742"/>
        <v>0</v>
      </c>
      <c r="Q811" s="175">
        <f t="shared" si="740"/>
        <v>0</v>
      </c>
      <c r="R811" s="176">
        <f t="shared" si="742"/>
        <v>0</v>
      </c>
      <c r="S811" s="176">
        <f t="shared" si="742"/>
        <v>0</v>
      </c>
      <c r="T811" s="176">
        <f t="shared" si="742"/>
        <v>0</v>
      </c>
      <c r="U811" s="176">
        <f t="shared" si="742"/>
        <v>0</v>
      </c>
    </row>
    <row r="812" spans="3:21" ht="18.75" x14ac:dyDescent="0.3">
      <c r="C812" s="294">
        <f t="shared" si="734"/>
        <v>1</v>
      </c>
      <c r="D812" s="113" t="s">
        <v>121</v>
      </c>
      <c r="E812" s="76" t="s">
        <v>53</v>
      </c>
      <c r="F812" s="176">
        <f t="shared" ref="F812:U812" si="743">F11*$E$804</f>
        <v>0</v>
      </c>
      <c r="G812" s="176">
        <f t="shared" si="738"/>
        <v>0</v>
      </c>
      <c r="H812" s="176">
        <f t="shared" si="738"/>
        <v>0</v>
      </c>
      <c r="I812" s="176">
        <f t="shared" si="738"/>
        <v>0</v>
      </c>
      <c r="J812" s="176">
        <f t="shared" si="738"/>
        <v>0</v>
      </c>
      <c r="K812" s="176">
        <f t="shared" si="738"/>
        <v>0</v>
      </c>
      <c r="L812" s="176">
        <f t="shared" si="738"/>
        <v>0</v>
      </c>
      <c r="M812" s="176">
        <f t="shared" si="743"/>
        <v>0</v>
      </c>
      <c r="N812" s="176">
        <f t="shared" si="743"/>
        <v>0</v>
      </c>
      <c r="O812" s="176">
        <f t="shared" si="739"/>
        <v>0</v>
      </c>
      <c r="P812" s="176">
        <f t="shared" si="743"/>
        <v>0</v>
      </c>
      <c r="Q812" s="175">
        <f t="shared" si="740"/>
        <v>0</v>
      </c>
      <c r="R812" s="176">
        <f t="shared" si="743"/>
        <v>0</v>
      </c>
      <c r="S812" s="176">
        <f t="shared" si="743"/>
        <v>0</v>
      </c>
      <c r="T812" s="176">
        <f t="shared" si="743"/>
        <v>0</v>
      </c>
      <c r="U812" s="176">
        <f t="shared" si="743"/>
        <v>0</v>
      </c>
    </row>
    <row r="813" spans="3:21" ht="18.75" x14ac:dyDescent="0.3">
      <c r="C813" s="294">
        <f t="shared" si="734"/>
        <v>1</v>
      </c>
      <c r="D813" s="113" t="s">
        <v>122</v>
      </c>
      <c r="E813" s="76" t="s">
        <v>52</v>
      </c>
      <c r="F813" s="176">
        <f t="shared" ref="F813:U813" si="744">F12*$E$804</f>
        <v>0</v>
      </c>
      <c r="G813" s="176">
        <f t="shared" si="738"/>
        <v>0</v>
      </c>
      <c r="H813" s="176">
        <f t="shared" si="738"/>
        <v>0</v>
      </c>
      <c r="I813" s="176">
        <f t="shared" si="738"/>
        <v>0</v>
      </c>
      <c r="J813" s="176">
        <f t="shared" si="738"/>
        <v>0</v>
      </c>
      <c r="K813" s="176">
        <f t="shared" si="738"/>
        <v>0</v>
      </c>
      <c r="L813" s="176">
        <f t="shared" si="738"/>
        <v>0</v>
      </c>
      <c r="M813" s="176">
        <f t="shared" si="744"/>
        <v>0</v>
      </c>
      <c r="N813" s="176">
        <f t="shared" si="744"/>
        <v>0</v>
      </c>
      <c r="O813" s="176">
        <f t="shared" si="739"/>
        <v>0</v>
      </c>
      <c r="P813" s="176">
        <f t="shared" si="744"/>
        <v>0</v>
      </c>
      <c r="Q813" s="175">
        <f t="shared" si="740"/>
        <v>0</v>
      </c>
      <c r="R813" s="176">
        <f t="shared" si="744"/>
        <v>0</v>
      </c>
      <c r="S813" s="176">
        <f t="shared" si="744"/>
        <v>0</v>
      </c>
      <c r="T813" s="176">
        <f t="shared" si="744"/>
        <v>0</v>
      </c>
      <c r="U813" s="176">
        <f t="shared" si="744"/>
        <v>0</v>
      </c>
    </row>
    <row r="814" spans="3:21" ht="18.75" x14ac:dyDescent="0.3">
      <c r="C814" s="294">
        <f t="shared" si="734"/>
        <v>1</v>
      </c>
      <c r="D814" s="125" t="s">
        <v>123</v>
      </c>
      <c r="E814" s="76" t="s">
        <v>51</v>
      </c>
      <c r="F814" s="176">
        <f t="shared" ref="F814:U814" si="745">F13*$E$804</f>
        <v>0</v>
      </c>
      <c r="G814" s="176">
        <f t="shared" si="738"/>
        <v>0</v>
      </c>
      <c r="H814" s="176">
        <f t="shared" si="738"/>
        <v>0</v>
      </c>
      <c r="I814" s="176">
        <f t="shared" si="738"/>
        <v>0</v>
      </c>
      <c r="J814" s="176">
        <f t="shared" si="738"/>
        <v>0</v>
      </c>
      <c r="K814" s="176">
        <f t="shared" si="738"/>
        <v>0</v>
      </c>
      <c r="L814" s="176">
        <f t="shared" si="738"/>
        <v>0</v>
      </c>
      <c r="M814" s="176">
        <f t="shared" si="745"/>
        <v>0</v>
      </c>
      <c r="N814" s="176">
        <f t="shared" si="745"/>
        <v>0</v>
      </c>
      <c r="O814" s="176">
        <f t="shared" si="739"/>
        <v>0</v>
      </c>
      <c r="P814" s="176">
        <f t="shared" si="745"/>
        <v>0</v>
      </c>
      <c r="Q814" s="175">
        <f t="shared" si="740"/>
        <v>0</v>
      </c>
      <c r="R814" s="176">
        <f t="shared" si="745"/>
        <v>0</v>
      </c>
      <c r="S814" s="176">
        <f t="shared" si="745"/>
        <v>0</v>
      </c>
      <c r="T814" s="176">
        <f t="shared" si="745"/>
        <v>0</v>
      </c>
      <c r="U814" s="176">
        <f t="shared" si="745"/>
        <v>0</v>
      </c>
    </row>
    <row r="815" spans="3:21" ht="19.5" thickBot="1" x14ac:dyDescent="0.35">
      <c r="C815" s="294">
        <f t="shared" si="734"/>
        <v>1</v>
      </c>
      <c r="D815" s="114" t="s">
        <v>16</v>
      </c>
      <c r="E815" s="70" t="s">
        <v>50</v>
      </c>
      <c r="F815" s="176">
        <f t="shared" ref="F815:U815" si="746">F14*$E$804</f>
        <v>10756.475609448957</v>
      </c>
      <c r="G815" s="176">
        <f t="shared" si="738"/>
        <v>213.67568097432209</v>
      </c>
      <c r="H815" s="176">
        <f t="shared" si="738"/>
        <v>0</v>
      </c>
      <c r="I815" s="176">
        <f t="shared" si="738"/>
        <v>0</v>
      </c>
      <c r="J815" s="176">
        <f t="shared" si="738"/>
        <v>456.18469355865011</v>
      </c>
      <c r="K815" s="176">
        <f t="shared" si="738"/>
        <v>1.878132212370377</v>
      </c>
      <c r="L815" s="176">
        <f t="shared" si="738"/>
        <v>0.2643070999044641</v>
      </c>
      <c r="M815" s="176">
        <f t="shared" si="746"/>
        <v>0</v>
      </c>
      <c r="N815" s="176">
        <f t="shared" si="746"/>
        <v>0</v>
      </c>
      <c r="O815" s="176">
        <f t="shared" si="739"/>
        <v>136.70383695626916</v>
      </c>
      <c r="P815" s="176">
        <f t="shared" si="746"/>
        <v>2328.2905789057982</v>
      </c>
      <c r="Q815" s="175">
        <f t="shared" si="740"/>
        <v>13893.472839156271</v>
      </c>
      <c r="R815" s="176">
        <f t="shared" si="746"/>
        <v>0</v>
      </c>
      <c r="S815" s="176">
        <f t="shared" si="746"/>
        <v>966.0596401239427</v>
      </c>
      <c r="T815" s="176">
        <f t="shared" ca="1" si="746"/>
        <v>280.18326937606838</v>
      </c>
      <c r="U815" s="176">
        <f t="shared" ca="1" si="746"/>
        <v>15.965734543016003</v>
      </c>
    </row>
    <row r="816" spans="3:21" ht="19.5" thickBot="1" x14ac:dyDescent="0.3">
      <c r="C816" s="294">
        <f t="shared" si="734"/>
        <v>1</v>
      </c>
      <c r="D816" s="115" t="s">
        <v>124</v>
      </c>
      <c r="E816" s="116" t="s">
        <v>49</v>
      </c>
      <c r="F816" s="269">
        <f t="shared" ref="F816:U816" si="747">SUBTOTAL(9,F807:F815)</f>
        <v>111498.93105734393</v>
      </c>
      <c r="G816" s="269">
        <f t="shared" ref="G816:L816" si="748">SUBTOTAL(9,G807:G815)</f>
        <v>2479.0958742549674</v>
      </c>
      <c r="H816" s="269">
        <f t="shared" si="748"/>
        <v>0</v>
      </c>
      <c r="I816" s="269">
        <f t="shared" si="748"/>
        <v>2887.3095866611452</v>
      </c>
      <c r="J816" s="269">
        <f t="shared" si="748"/>
        <v>787.19995263558781</v>
      </c>
      <c r="K816" s="269">
        <f t="shared" si="748"/>
        <v>102.34297004820237</v>
      </c>
      <c r="L816" s="269">
        <f t="shared" si="748"/>
        <v>0.2643070999044641</v>
      </c>
      <c r="M816" s="269">
        <f t="shared" si="747"/>
        <v>0</v>
      </c>
      <c r="N816" s="269">
        <f t="shared" si="747"/>
        <v>0</v>
      </c>
      <c r="O816" s="269">
        <f>SUBTOTAL(9,O807:O815)</f>
        <v>139.53198035468029</v>
      </c>
      <c r="P816" s="269">
        <f t="shared" si="747"/>
        <v>2328.2905789057982</v>
      </c>
      <c r="Q816" s="183">
        <f>SUBTOTAL(9,Q807:Q815)</f>
        <v>120222.9663073042</v>
      </c>
      <c r="R816" s="269">
        <f t="shared" si="747"/>
        <v>0</v>
      </c>
      <c r="S816" s="269">
        <f t="shared" si="747"/>
        <v>9080.2044054053167</v>
      </c>
      <c r="T816" s="269">
        <f t="shared" ca="1" si="747"/>
        <v>3733.8673248045379</v>
      </c>
      <c r="U816" s="269">
        <f t="shared" ca="1" si="747"/>
        <v>2582.6753617198437</v>
      </c>
    </row>
    <row r="817" spans="3:21" ht="15.75" hidden="1" thickBot="1" x14ac:dyDescent="0.3"/>
    <row r="818" spans="3:21" ht="93.75" x14ac:dyDescent="0.25">
      <c r="C818" s="294">
        <f>IF($E$818&gt;0,1,0)</f>
        <v>1</v>
      </c>
      <c r="D818" s="96" t="str">
        <f>A61</f>
        <v>Washington</v>
      </c>
      <c r="E818" s="166">
        <f>IFERROR(SUMIF(A:A,D818,B:B),0)</f>
        <v>2.2537928136298082E-3</v>
      </c>
      <c r="F818" s="98" t="s">
        <v>356</v>
      </c>
      <c r="G818" s="98" t="s">
        <v>373</v>
      </c>
      <c r="H818" s="98" t="s">
        <v>358</v>
      </c>
      <c r="I818" s="98" t="s">
        <v>109</v>
      </c>
      <c r="J818" s="98" t="s">
        <v>111</v>
      </c>
      <c r="K818" s="98" t="s">
        <v>469</v>
      </c>
      <c r="L818" s="98" t="s">
        <v>470</v>
      </c>
      <c r="M818" s="98" t="s">
        <v>357</v>
      </c>
      <c r="N818" s="557" t="s">
        <v>471</v>
      </c>
      <c r="O818" s="557" t="s">
        <v>473</v>
      </c>
      <c r="P818" s="98" t="s">
        <v>110</v>
      </c>
      <c r="Q818" s="99" t="s">
        <v>116</v>
      </c>
      <c r="R818" s="98" t="s">
        <v>112</v>
      </c>
      <c r="S818" s="98" t="s">
        <v>113</v>
      </c>
      <c r="T818" s="98" t="s">
        <v>114</v>
      </c>
      <c r="U818" s="98" t="s">
        <v>115</v>
      </c>
    </row>
    <row r="819" spans="3:21" ht="18.75" x14ac:dyDescent="0.25">
      <c r="C819" s="294">
        <f>C818</f>
        <v>1</v>
      </c>
      <c r="D819" s="101"/>
      <c r="E819" s="102"/>
      <c r="F819" s="84" t="s">
        <v>57</v>
      </c>
      <c r="G819" s="84" t="s">
        <v>56</v>
      </c>
      <c r="H819" s="84" t="s">
        <v>55</v>
      </c>
      <c r="I819" s="84" t="s">
        <v>54</v>
      </c>
      <c r="J819" s="84" t="s">
        <v>53</v>
      </c>
      <c r="K819" s="84" t="s">
        <v>52</v>
      </c>
      <c r="L819" s="84" t="s">
        <v>51</v>
      </c>
      <c r="M819" s="84" t="s">
        <v>50</v>
      </c>
      <c r="N819" s="84" t="s">
        <v>49</v>
      </c>
      <c r="O819" s="84" t="s">
        <v>47</v>
      </c>
      <c r="P819" s="84" t="s">
        <v>77</v>
      </c>
      <c r="Q819" s="84" t="s">
        <v>78</v>
      </c>
      <c r="R819" s="84" t="s">
        <v>79</v>
      </c>
      <c r="S819" s="84" t="s">
        <v>81</v>
      </c>
      <c r="T819" s="84" t="s">
        <v>83</v>
      </c>
      <c r="U819" s="84" t="s">
        <v>85</v>
      </c>
    </row>
    <row r="820" spans="3:21" ht="18.75" x14ac:dyDescent="0.25">
      <c r="C820" s="294">
        <f>C818</f>
        <v>1</v>
      </c>
      <c r="D820" s="103" t="s">
        <v>26</v>
      </c>
      <c r="E820" s="122"/>
      <c r="F820" s="123"/>
      <c r="G820" s="123"/>
      <c r="H820" s="107"/>
      <c r="I820" s="107"/>
      <c r="J820" s="107"/>
      <c r="K820" s="107"/>
      <c r="L820" s="107"/>
      <c r="M820" s="123"/>
      <c r="N820" s="107"/>
      <c r="O820" s="107"/>
      <c r="P820" s="107"/>
      <c r="Q820" s="108"/>
      <c r="R820" s="107"/>
      <c r="S820" s="107"/>
      <c r="T820" s="107"/>
      <c r="U820" s="107"/>
    </row>
    <row r="821" spans="3:21" ht="18.75" x14ac:dyDescent="0.25">
      <c r="C821" s="294">
        <f t="shared" ref="C821:C830" si="749">C819</f>
        <v>1</v>
      </c>
      <c r="D821" s="124" t="s">
        <v>105</v>
      </c>
      <c r="E821" s="76" t="s">
        <v>57</v>
      </c>
      <c r="F821" s="176">
        <f t="shared" ref="F821:L821" si="750">F6*$E$818</f>
        <v>158960.89004610718</v>
      </c>
      <c r="G821" s="176">
        <f t="shared" si="750"/>
        <v>3574.5923469035329</v>
      </c>
      <c r="H821" s="176">
        <f t="shared" si="750"/>
        <v>0</v>
      </c>
      <c r="I821" s="176">
        <f t="shared" si="750"/>
        <v>4555.8677291888825</v>
      </c>
      <c r="J821" s="176">
        <f t="shared" si="750"/>
        <v>522.3069059392501</v>
      </c>
      <c r="K821" s="176">
        <f t="shared" si="750"/>
        <v>158.52283895325058</v>
      </c>
      <c r="L821" s="176">
        <f t="shared" si="750"/>
        <v>0</v>
      </c>
      <c r="M821" s="176">
        <f t="shared" ref="M821:U821" si="751">M6*$E$818</f>
        <v>0</v>
      </c>
      <c r="N821" s="176">
        <f t="shared" si="751"/>
        <v>0</v>
      </c>
      <c r="O821" s="176">
        <f>O6*$E$818</f>
        <v>4.4625097709870198</v>
      </c>
      <c r="P821" s="176">
        <f t="shared" si="751"/>
        <v>0</v>
      </c>
      <c r="Q821" s="175">
        <f>SUM(F821:P821)</f>
        <v>167776.64237686305</v>
      </c>
      <c r="R821" s="176">
        <f t="shared" si="751"/>
        <v>0</v>
      </c>
      <c r="S821" s="176">
        <f t="shared" si="751"/>
        <v>12803.258250134697</v>
      </c>
      <c r="T821" s="176">
        <f t="shared" ca="1" si="751"/>
        <v>5449.546459316819</v>
      </c>
      <c r="U821" s="176">
        <f t="shared" ca="1" si="751"/>
        <v>4049.9950593021385</v>
      </c>
    </row>
    <row r="822" spans="3:21" ht="18.75" x14ac:dyDescent="0.25">
      <c r="C822" s="294">
        <f t="shared" si="749"/>
        <v>1</v>
      </c>
      <c r="D822" s="112" t="s">
        <v>31</v>
      </c>
      <c r="E822" s="76"/>
      <c r="F822" s="177"/>
      <c r="G822" s="177"/>
      <c r="H822" s="178"/>
      <c r="I822" s="178"/>
      <c r="J822" s="178"/>
      <c r="K822" s="178"/>
      <c r="L822" s="178"/>
      <c r="M822" s="177"/>
      <c r="N822" s="178"/>
      <c r="O822" s="178"/>
      <c r="P822" s="178"/>
      <c r="Q822" s="179"/>
      <c r="R822" s="178"/>
      <c r="S822" s="178"/>
      <c r="T822" s="178"/>
      <c r="U822" s="178"/>
    </row>
    <row r="823" spans="3:21" ht="18.75" x14ac:dyDescent="0.3">
      <c r="C823" s="294">
        <f t="shared" si="749"/>
        <v>1</v>
      </c>
      <c r="D823" s="113" t="s">
        <v>118</v>
      </c>
      <c r="E823" s="76" t="s">
        <v>56</v>
      </c>
      <c r="F823" s="176">
        <f t="shared" ref="F823:U823" si="752">F8*$E$818</f>
        <v>0</v>
      </c>
      <c r="G823" s="176">
        <f t="shared" ref="G823:L829" si="753">G8*$E$818</f>
        <v>0</v>
      </c>
      <c r="H823" s="176">
        <f t="shared" si="753"/>
        <v>0</v>
      </c>
      <c r="I823" s="176">
        <f t="shared" si="753"/>
        <v>0</v>
      </c>
      <c r="J823" s="176">
        <f t="shared" si="753"/>
        <v>0</v>
      </c>
      <c r="K823" s="176">
        <f t="shared" si="753"/>
        <v>0</v>
      </c>
      <c r="L823" s="176">
        <f t="shared" si="753"/>
        <v>0</v>
      </c>
      <c r="M823" s="176">
        <f t="shared" si="752"/>
        <v>0</v>
      </c>
      <c r="N823" s="176">
        <f t="shared" si="752"/>
        <v>0</v>
      </c>
      <c r="O823" s="176">
        <f t="shared" ref="O823:O829" si="754">O8*$E$818</f>
        <v>0</v>
      </c>
      <c r="P823" s="176">
        <f t="shared" si="752"/>
        <v>0</v>
      </c>
      <c r="Q823" s="175">
        <f t="shared" ref="Q823:Q829" si="755">SUM(F823:P823)</f>
        <v>0</v>
      </c>
      <c r="R823" s="176">
        <f t="shared" si="752"/>
        <v>0</v>
      </c>
      <c r="S823" s="176">
        <f t="shared" si="752"/>
        <v>0</v>
      </c>
      <c r="T823" s="176">
        <f t="shared" si="752"/>
        <v>0</v>
      </c>
      <c r="U823" s="176">
        <f t="shared" si="752"/>
        <v>0</v>
      </c>
    </row>
    <row r="824" spans="3:21" ht="18.75" x14ac:dyDescent="0.3">
      <c r="C824" s="294">
        <f t="shared" si="749"/>
        <v>1</v>
      </c>
      <c r="D824" s="113" t="s">
        <v>119</v>
      </c>
      <c r="E824" s="76" t="s">
        <v>55</v>
      </c>
      <c r="F824" s="176">
        <f t="shared" ref="F824:U824" si="756">F9*$E$818</f>
        <v>0</v>
      </c>
      <c r="G824" s="176">
        <f t="shared" si="753"/>
        <v>0</v>
      </c>
      <c r="H824" s="176">
        <f t="shared" si="753"/>
        <v>0</v>
      </c>
      <c r="I824" s="176">
        <f t="shared" si="753"/>
        <v>0</v>
      </c>
      <c r="J824" s="176">
        <f t="shared" si="753"/>
        <v>0</v>
      </c>
      <c r="K824" s="176">
        <f t="shared" si="753"/>
        <v>0</v>
      </c>
      <c r="L824" s="176">
        <f t="shared" si="753"/>
        <v>0</v>
      </c>
      <c r="M824" s="176">
        <f t="shared" si="756"/>
        <v>0</v>
      </c>
      <c r="N824" s="176">
        <f t="shared" si="756"/>
        <v>0</v>
      </c>
      <c r="O824" s="176">
        <f t="shared" si="754"/>
        <v>0</v>
      </c>
      <c r="P824" s="176">
        <f t="shared" si="756"/>
        <v>0</v>
      </c>
      <c r="Q824" s="175">
        <f t="shared" si="755"/>
        <v>0</v>
      </c>
      <c r="R824" s="176">
        <f t="shared" si="756"/>
        <v>0</v>
      </c>
      <c r="S824" s="176">
        <f t="shared" si="756"/>
        <v>0</v>
      </c>
      <c r="T824" s="176">
        <f t="shared" si="756"/>
        <v>0</v>
      </c>
      <c r="U824" s="176">
        <f t="shared" si="756"/>
        <v>0</v>
      </c>
    </row>
    <row r="825" spans="3:21" ht="18.75" x14ac:dyDescent="0.3">
      <c r="C825" s="294">
        <f t="shared" si="749"/>
        <v>1</v>
      </c>
      <c r="D825" s="113" t="s">
        <v>120</v>
      </c>
      <c r="E825" s="76" t="s">
        <v>54</v>
      </c>
      <c r="F825" s="176">
        <f t="shared" ref="F825:U825" si="757">F10*$E$818</f>
        <v>0</v>
      </c>
      <c r="G825" s="176">
        <f t="shared" si="753"/>
        <v>0</v>
      </c>
      <c r="H825" s="176">
        <f t="shared" si="753"/>
        <v>0</v>
      </c>
      <c r="I825" s="176">
        <f t="shared" si="753"/>
        <v>0</v>
      </c>
      <c r="J825" s="176">
        <f t="shared" si="753"/>
        <v>0</v>
      </c>
      <c r="K825" s="176">
        <f t="shared" si="753"/>
        <v>0</v>
      </c>
      <c r="L825" s="176">
        <f t="shared" si="753"/>
        <v>0</v>
      </c>
      <c r="M825" s="176">
        <f t="shared" si="757"/>
        <v>0</v>
      </c>
      <c r="N825" s="176">
        <f t="shared" si="757"/>
        <v>0</v>
      </c>
      <c r="O825" s="176">
        <f t="shared" si="754"/>
        <v>0</v>
      </c>
      <c r="P825" s="176">
        <f t="shared" si="757"/>
        <v>0</v>
      </c>
      <c r="Q825" s="175">
        <f t="shared" si="755"/>
        <v>0</v>
      </c>
      <c r="R825" s="176">
        <f t="shared" si="757"/>
        <v>0</v>
      </c>
      <c r="S825" s="176">
        <f t="shared" si="757"/>
        <v>0</v>
      </c>
      <c r="T825" s="176">
        <f t="shared" si="757"/>
        <v>0</v>
      </c>
      <c r="U825" s="176">
        <f t="shared" si="757"/>
        <v>0</v>
      </c>
    </row>
    <row r="826" spans="3:21" ht="18.75" x14ac:dyDescent="0.3">
      <c r="C826" s="294">
        <f t="shared" si="749"/>
        <v>1</v>
      </c>
      <c r="D826" s="113" t="s">
        <v>121</v>
      </c>
      <c r="E826" s="76" t="s">
        <v>53</v>
      </c>
      <c r="F826" s="176">
        <f t="shared" ref="F826:U826" si="758">F11*$E$818</f>
        <v>0</v>
      </c>
      <c r="G826" s="176">
        <f t="shared" si="753"/>
        <v>0</v>
      </c>
      <c r="H826" s="176">
        <f t="shared" si="753"/>
        <v>0</v>
      </c>
      <c r="I826" s="176">
        <f t="shared" si="753"/>
        <v>0</v>
      </c>
      <c r="J826" s="176">
        <f t="shared" si="753"/>
        <v>0</v>
      </c>
      <c r="K826" s="176">
        <f t="shared" si="753"/>
        <v>0</v>
      </c>
      <c r="L826" s="176">
        <f t="shared" si="753"/>
        <v>0</v>
      </c>
      <c r="M826" s="176">
        <f t="shared" si="758"/>
        <v>0</v>
      </c>
      <c r="N826" s="176">
        <f t="shared" si="758"/>
        <v>0</v>
      </c>
      <c r="O826" s="176">
        <f t="shared" si="754"/>
        <v>0</v>
      </c>
      <c r="P826" s="176">
        <f t="shared" si="758"/>
        <v>0</v>
      </c>
      <c r="Q826" s="175">
        <f t="shared" si="755"/>
        <v>0</v>
      </c>
      <c r="R826" s="176">
        <f t="shared" si="758"/>
        <v>0</v>
      </c>
      <c r="S826" s="176">
        <f t="shared" si="758"/>
        <v>0</v>
      </c>
      <c r="T826" s="176">
        <f t="shared" si="758"/>
        <v>0</v>
      </c>
      <c r="U826" s="176">
        <f t="shared" si="758"/>
        <v>0</v>
      </c>
    </row>
    <row r="827" spans="3:21" ht="18.75" x14ac:dyDescent="0.3">
      <c r="C827" s="294">
        <f t="shared" si="749"/>
        <v>1</v>
      </c>
      <c r="D827" s="113" t="s">
        <v>122</v>
      </c>
      <c r="E827" s="76" t="s">
        <v>52</v>
      </c>
      <c r="F827" s="176">
        <f t="shared" ref="F827:U827" si="759">F12*$E$818</f>
        <v>0</v>
      </c>
      <c r="G827" s="176">
        <f t="shared" si="753"/>
        <v>0</v>
      </c>
      <c r="H827" s="176">
        <f t="shared" si="753"/>
        <v>0</v>
      </c>
      <c r="I827" s="176">
        <f t="shared" si="753"/>
        <v>0</v>
      </c>
      <c r="J827" s="176">
        <f t="shared" si="753"/>
        <v>0</v>
      </c>
      <c r="K827" s="176">
        <f t="shared" si="753"/>
        <v>0</v>
      </c>
      <c r="L827" s="176">
        <f t="shared" si="753"/>
        <v>0</v>
      </c>
      <c r="M827" s="176">
        <f t="shared" si="759"/>
        <v>0</v>
      </c>
      <c r="N827" s="176">
        <f t="shared" si="759"/>
        <v>0</v>
      </c>
      <c r="O827" s="176">
        <f t="shared" si="754"/>
        <v>0</v>
      </c>
      <c r="P827" s="176">
        <f t="shared" si="759"/>
        <v>0</v>
      </c>
      <c r="Q827" s="175">
        <f t="shared" si="755"/>
        <v>0</v>
      </c>
      <c r="R827" s="176">
        <f t="shared" si="759"/>
        <v>0</v>
      </c>
      <c r="S827" s="176">
        <f t="shared" si="759"/>
        <v>0</v>
      </c>
      <c r="T827" s="176">
        <f t="shared" si="759"/>
        <v>0</v>
      </c>
      <c r="U827" s="176">
        <f t="shared" si="759"/>
        <v>0</v>
      </c>
    </row>
    <row r="828" spans="3:21" ht="18.75" x14ac:dyDescent="0.3">
      <c r="C828" s="294">
        <f t="shared" si="749"/>
        <v>1</v>
      </c>
      <c r="D828" s="125" t="s">
        <v>123</v>
      </c>
      <c r="E828" s="76" t="s">
        <v>51</v>
      </c>
      <c r="F828" s="176">
        <f t="shared" ref="F828:U828" si="760">F13*$E$818</f>
        <v>0</v>
      </c>
      <c r="G828" s="176">
        <f t="shared" si="753"/>
        <v>0</v>
      </c>
      <c r="H828" s="176">
        <f t="shared" si="753"/>
        <v>0</v>
      </c>
      <c r="I828" s="176">
        <f t="shared" si="753"/>
        <v>0</v>
      </c>
      <c r="J828" s="176">
        <f t="shared" si="753"/>
        <v>0</v>
      </c>
      <c r="K828" s="176">
        <f t="shared" si="753"/>
        <v>0</v>
      </c>
      <c r="L828" s="176">
        <f t="shared" si="753"/>
        <v>0</v>
      </c>
      <c r="M828" s="176">
        <f t="shared" si="760"/>
        <v>0</v>
      </c>
      <c r="N828" s="176">
        <f t="shared" si="760"/>
        <v>0</v>
      </c>
      <c r="O828" s="176">
        <f t="shared" si="754"/>
        <v>0</v>
      </c>
      <c r="P828" s="176">
        <f t="shared" si="760"/>
        <v>0</v>
      </c>
      <c r="Q828" s="175">
        <f t="shared" si="755"/>
        <v>0</v>
      </c>
      <c r="R828" s="176">
        <f t="shared" si="760"/>
        <v>0</v>
      </c>
      <c r="S828" s="176">
        <f t="shared" si="760"/>
        <v>0</v>
      </c>
      <c r="T828" s="176">
        <f t="shared" si="760"/>
        <v>0</v>
      </c>
      <c r="U828" s="176">
        <f t="shared" si="760"/>
        <v>0</v>
      </c>
    </row>
    <row r="829" spans="3:21" ht="19.5" thickBot="1" x14ac:dyDescent="0.35">
      <c r="C829" s="294">
        <f t="shared" si="749"/>
        <v>1</v>
      </c>
      <c r="D829" s="114" t="s">
        <v>16</v>
      </c>
      <c r="E829" s="70" t="s">
        <v>50</v>
      </c>
      <c r="F829" s="176">
        <f t="shared" ref="F829:U829" si="761">F14*$E$818</f>
        <v>16972.57555451987</v>
      </c>
      <c r="G829" s="176">
        <f t="shared" si="753"/>
        <v>337.1575199142718</v>
      </c>
      <c r="H829" s="176">
        <f t="shared" si="753"/>
        <v>0</v>
      </c>
      <c r="I829" s="176">
        <f t="shared" si="753"/>
        <v>0</v>
      </c>
      <c r="J829" s="176">
        <f t="shared" si="753"/>
        <v>719.81097334876301</v>
      </c>
      <c r="K829" s="176">
        <f t="shared" si="753"/>
        <v>2.9634930653151725</v>
      </c>
      <c r="L829" s="176">
        <f t="shared" si="753"/>
        <v>0.4170485190134095</v>
      </c>
      <c r="M829" s="176">
        <f t="shared" si="761"/>
        <v>0</v>
      </c>
      <c r="N829" s="176">
        <f t="shared" si="761"/>
        <v>0</v>
      </c>
      <c r="O829" s="176">
        <f t="shared" si="754"/>
        <v>215.7041288965379</v>
      </c>
      <c r="P829" s="176">
        <f t="shared" si="761"/>
        <v>3673.7951349642749</v>
      </c>
      <c r="Q829" s="175">
        <f t="shared" si="755"/>
        <v>21922.423853228047</v>
      </c>
      <c r="R829" s="176">
        <f t="shared" si="761"/>
        <v>0</v>
      </c>
      <c r="S829" s="176">
        <f t="shared" si="761"/>
        <v>1524.3394609450399</v>
      </c>
      <c r="T829" s="176">
        <f t="shared" ca="1" si="761"/>
        <v>442.09942747607175</v>
      </c>
      <c r="U829" s="176">
        <f t="shared" ca="1" si="761"/>
        <v>25.192232628381227</v>
      </c>
    </row>
    <row r="830" spans="3:21" ht="19.5" thickBot="1" x14ac:dyDescent="0.3">
      <c r="C830" s="294">
        <f t="shared" si="749"/>
        <v>1</v>
      </c>
      <c r="D830" s="115" t="s">
        <v>124</v>
      </c>
      <c r="E830" s="116" t="s">
        <v>49</v>
      </c>
      <c r="F830" s="269">
        <f t="shared" ref="F830:U830" si="762">SUBTOTAL(9,F821:F829)</f>
        <v>175933.46560062704</v>
      </c>
      <c r="G830" s="269">
        <f t="shared" ref="G830:L830" si="763">SUBTOTAL(9,G821:G829)</f>
        <v>3911.7498668178046</v>
      </c>
      <c r="H830" s="269">
        <f t="shared" si="763"/>
        <v>0</v>
      </c>
      <c r="I830" s="269">
        <f t="shared" si="763"/>
        <v>4555.8677291888825</v>
      </c>
      <c r="J830" s="269">
        <f t="shared" si="763"/>
        <v>1242.1178792880132</v>
      </c>
      <c r="K830" s="269">
        <f t="shared" si="763"/>
        <v>161.48633201856575</v>
      </c>
      <c r="L830" s="269">
        <f t="shared" si="763"/>
        <v>0.4170485190134095</v>
      </c>
      <c r="M830" s="269">
        <f t="shared" si="762"/>
        <v>0</v>
      </c>
      <c r="N830" s="269">
        <f t="shared" si="762"/>
        <v>0</v>
      </c>
      <c r="O830" s="269">
        <f>SUBTOTAL(9,O821:O829)</f>
        <v>220.16663866752492</v>
      </c>
      <c r="P830" s="269">
        <f t="shared" si="762"/>
        <v>3673.7951349642749</v>
      </c>
      <c r="Q830" s="183">
        <f>SUBTOTAL(9,Q821:Q829)</f>
        <v>189699.06623009109</v>
      </c>
      <c r="R830" s="269">
        <f t="shared" si="762"/>
        <v>0</v>
      </c>
      <c r="S830" s="269">
        <f t="shared" si="762"/>
        <v>14327.597711079738</v>
      </c>
      <c r="T830" s="269">
        <f t="shared" ca="1" si="762"/>
        <v>5891.6458867928905</v>
      </c>
      <c r="U830" s="269">
        <f t="shared" ca="1" si="762"/>
        <v>4075.1872919305197</v>
      </c>
    </row>
    <row r="831" spans="3:21" ht="15.75" hidden="1" thickBot="1" x14ac:dyDescent="0.3"/>
    <row r="832" spans="3:21" ht="93.75" x14ac:dyDescent="0.25">
      <c r="C832" s="294">
        <f>IF($E$832&gt;0,1,0)</f>
        <v>1</v>
      </c>
      <c r="D832" s="96" t="str">
        <f>A62</f>
        <v>Wayne</v>
      </c>
      <c r="E832" s="166">
        <f>IFERROR(SUMIF(A:A,D832,B:B),0)</f>
        <v>8.7420816049703603E-4</v>
      </c>
      <c r="F832" s="98" t="s">
        <v>356</v>
      </c>
      <c r="G832" s="98" t="s">
        <v>373</v>
      </c>
      <c r="H832" s="98" t="s">
        <v>358</v>
      </c>
      <c r="I832" s="98" t="s">
        <v>109</v>
      </c>
      <c r="J832" s="98" t="s">
        <v>111</v>
      </c>
      <c r="K832" s="98" t="s">
        <v>469</v>
      </c>
      <c r="L832" s="98" t="s">
        <v>470</v>
      </c>
      <c r="M832" s="98" t="s">
        <v>357</v>
      </c>
      <c r="N832" s="557" t="s">
        <v>471</v>
      </c>
      <c r="O832" s="557" t="s">
        <v>473</v>
      </c>
      <c r="P832" s="98" t="s">
        <v>110</v>
      </c>
      <c r="Q832" s="99" t="s">
        <v>116</v>
      </c>
      <c r="R832" s="98" t="s">
        <v>112</v>
      </c>
      <c r="S832" s="98" t="s">
        <v>113</v>
      </c>
      <c r="T832" s="98" t="s">
        <v>114</v>
      </c>
      <c r="U832" s="98" t="s">
        <v>115</v>
      </c>
    </row>
    <row r="833" spans="3:21" ht="18.75" x14ac:dyDescent="0.25">
      <c r="C833" s="294">
        <f>C832</f>
        <v>1</v>
      </c>
      <c r="D833" s="101"/>
      <c r="E833" s="102"/>
      <c r="F833" s="84" t="s">
        <v>57</v>
      </c>
      <c r="G833" s="84" t="s">
        <v>56</v>
      </c>
      <c r="H833" s="84" t="s">
        <v>55</v>
      </c>
      <c r="I833" s="84" t="s">
        <v>54</v>
      </c>
      <c r="J833" s="84" t="s">
        <v>53</v>
      </c>
      <c r="K833" s="84" t="s">
        <v>52</v>
      </c>
      <c r="L833" s="84" t="s">
        <v>51</v>
      </c>
      <c r="M833" s="84" t="s">
        <v>50</v>
      </c>
      <c r="N833" s="84" t="s">
        <v>49</v>
      </c>
      <c r="O833" s="84" t="s">
        <v>47</v>
      </c>
      <c r="P833" s="84" t="s">
        <v>77</v>
      </c>
      <c r="Q833" s="84" t="s">
        <v>78</v>
      </c>
      <c r="R833" s="84" t="s">
        <v>79</v>
      </c>
      <c r="S833" s="84" t="s">
        <v>81</v>
      </c>
      <c r="T833" s="84" t="s">
        <v>83</v>
      </c>
      <c r="U833" s="84" t="s">
        <v>85</v>
      </c>
    </row>
    <row r="834" spans="3:21" ht="18.75" x14ac:dyDescent="0.25">
      <c r="C834" s="294">
        <f>C832</f>
        <v>1</v>
      </c>
      <c r="D834" s="103" t="s">
        <v>26</v>
      </c>
      <c r="E834" s="122"/>
      <c r="F834" s="123"/>
      <c r="G834" s="123"/>
      <c r="H834" s="107"/>
      <c r="I834" s="107"/>
      <c r="J834" s="107"/>
      <c r="K834" s="107"/>
      <c r="L834" s="107"/>
      <c r="M834" s="123"/>
      <c r="N834" s="107"/>
      <c r="O834" s="107"/>
      <c r="P834" s="107"/>
      <c r="Q834" s="108"/>
      <c r="R834" s="107"/>
      <c r="S834" s="107"/>
      <c r="T834" s="107"/>
      <c r="U834" s="107"/>
    </row>
    <row r="835" spans="3:21" ht="18.75" x14ac:dyDescent="0.25">
      <c r="C835" s="294">
        <f t="shared" ref="C835:C844" si="764">C833</f>
        <v>1</v>
      </c>
      <c r="D835" s="124" t="s">
        <v>105</v>
      </c>
      <c r="E835" s="76" t="s">
        <v>57</v>
      </c>
      <c r="F835" s="176">
        <f t="shared" ref="F835:U835" si="765">F6*$E$832</f>
        <v>61658.244022160739</v>
      </c>
      <c r="G835" s="176">
        <f t="shared" ref="G835:L835" si="766">G6*$E$832</f>
        <v>1386.5239880148984</v>
      </c>
      <c r="H835" s="176">
        <f t="shared" si="766"/>
        <v>0</v>
      </c>
      <c r="I835" s="176">
        <f t="shared" si="766"/>
        <v>1767.1441327331358</v>
      </c>
      <c r="J835" s="176">
        <f t="shared" si="766"/>
        <v>202.594025810506</v>
      </c>
      <c r="K835" s="176">
        <f t="shared" si="766"/>
        <v>61.488331402964342</v>
      </c>
      <c r="L835" s="176">
        <f t="shared" si="766"/>
        <v>0</v>
      </c>
      <c r="M835" s="176">
        <f t="shared" si="765"/>
        <v>0</v>
      </c>
      <c r="N835" s="176">
        <f t="shared" si="765"/>
        <v>0</v>
      </c>
      <c r="O835" s="176">
        <f>O6*$E$832</f>
        <v>1.7309321577841315</v>
      </c>
      <c r="P835" s="176">
        <f t="shared" si="765"/>
        <v>0</v>
      </c>
      <c r="Q835" s="175">
        <f>SUM(F835:P835)</f>
        <v>65077.725432280029</v>
      </c>
      <c r="R835" s="176">
        <f t="shared" si="765"/>
        <v>0</v>
      </c>
      <c r="S835" s="176">
        <f t="shared" si="765"/>
        <v>4966.167597807058</v>
      </c>
      <c r="T835" s="176">
        <f t="shared" ca="1" si="765"/>
        <v>2113.7870157948773</v>
      </c>
      <c r="U835" s="176">
        <f t="shared" ca="1" si="765"/>
        <v>1570.9246694741437</v>
      </c>
    </row>
    <row r="836" spans="3:21" ht="18.75" x14ac:dyDescent="0.25">
      <c r="C836" s="294">
        <f t="shared" si="764"/>
        <v>1</v>
      </c>
      <c r="D836" s="112" t="s">
        <v>31</v>
      </c>
      <c r="E836" s="76"/>
      <c r="F836" s="177"/>
      <c r="G836" s="177"/>
      <c r="H836" s="178"/>
      <c r="I836" s="178"/>
      <c r="J836" s="178"/>
      <c r="K836" s="178"/>
      <c r="L836" s="178"/>
      <c r="M836" s="177"/>
      <c r="N836" s="178"/>
      <c r="O836" s="178"/>
      <c r="P836" s="178"/>
      <c r="Q836" s="179"/>
      <c r="R836" s="178"/>
      <c r="S836" s="178"/>
      <c r="T836" s="178"/>
      <c r="U836" s="178"/>
    </row>
    <row r="837" spans="3:21" ht="18.75" x14ac:dyDescent="0.3">
      <c r="C837" s="294">
        <f t="shared" si="764"/>
        <v>1</v>
      </c>
      <c r="D837" s="113" t="s">
        <v>118</v>
      </c>
      <c r="E837" s="76" t="s">
        <v>56</v>
      </c>
      <c r="F837" s="176">
        <f t="shared" ref="F837:L837" si="767">F8*$E$832</f>
        <v>0</v>
      </c>
      <c r="G837" s="176">
        <f t="shared" si="767"/>
        <v>0</v>
      </c>
      <c r="H837" s="176">
        <f t="shared" si="767"/>
        <v>0</v>
      </c>
      <c r="I837" s="176">
        <f t="shared" si="767"/>
        <v>0</v>
      </c>
      <c r="J837" s="176">
        <f t="shared" si="767"/>
        <v>0</v>
      </c>
      <c r="K837" s="176">
        <f t="shared" si="767"/>
        <v>0</v>
      </c>
      <c r="L837" s="176">
        <f t="shared" si="767"/>
        <v>0</v>
      </c>
      <c r="M837" s="176">
        <f t="shared" ref="M837:U837" si="768">M8*$E$832</f>
        <v>0</v>
      </c>
      <c r="N837" s="176">
        <f t="shared" si="768"/>
        <v>0</v>
      </c>
      <c r="O837" s="176">
        <f t="shared" ref="O837:O843" si="769">O8*$E$832</f>
        <v>0</v>
      </c>
      <c r="P837" s="176">
        <f t="shared" si="768"/>
        <v>0</v>
      </c>
      <c r="Q837" s="175">
        <f t="shared" ref="Q837:Q843" si="770">SUM(F837:P837)</f>
        <v>0</v>
      </c>
      <c r="R837" s="176">
        <f t="shared" si="768"/>
        <v>0</v>
      </c>
      <c r="S837" s="176">
        <f t="shared" si="768"/>
        <v>0</v>
      </c>
      <c r="T837" s="176">
        <f t="shared" si="768"/>
        <v>0</v>
      </c>
      <c r="U837" s="176">
        <f t="shared" si="768"/>
        <v>0</v>
      </c>
    </row>
    <row r="838" spans="3:21" ht="18.75" x14ac:dyDescent="0.3">
      <c r="C838" s="294">
        <f t="shared" si="764"/>
        <v>1</v>
      </c>
      <c r="D838" s="113" t="s">
        <v>119</v>
      </c>
      <c r="E838" s="76" t="s">
        <v>55</v>
      </c>
      <c r="F838" s="176">
        <f t="shared" ref="F838:U838" si="771">F9*$E$832</f>
        <v>0</v>
      </c>
      <c r="G838" s="176">
        <f t="shared" ref="G838:L843" si="772">G9*$E$832</f>
        <v>0</v>
      </c>
      <c r="H838" s="176">
        <f t="shared" si="772"/>
        <v>0</v>
      </c>
      <c r="I838" s="176">
        <f t="shared" si="772"/>
        <v>0</v>
      </c>
      <c r="J838" s="176">
        <f t="shared" si="772"/>
        <v>0</v>
      </c>
      <c r="K838" s="176">
        <f t="shared" si="772"/>
        <v>0</v>
      </c>
      <c r="L838" s="176">
        <f t="shared" si="772"/>
        <v>0</v>
      </c>
      <c r="M838" s="176">
        <f t="shared" si="771"/>
        <v>0</v>
      </c>
      <c r="N838" s="176">
        <f t="shared" si="771"/>
        <v>0</v>
      </c>
      <c r="O838" s="176">
        <f t="shared" si="769"/>
        <v>0</v>
      </c>
      <c r="P838" s="176">
        <f t="shared" si="771"/>
        <v>0</v>
      </c>
      <c r="Q838" s="175">
        <f t="shared" si="770"/>
        <v>0</v>
      </c>
      <c r="R838" s="176">
        <f t="shared" si="771"/>
        <v>0</v>
      </c>
      <c r="S838" s="176">
        <f t="shared" si="771"/>
        <v>0</v>
      </c>
      <c r="T838" s="176">
        <f t="shared" si="771"/>
        <v>0</v>
      </c>
      <c r="U838" s="176">
        <f t="shared" si="771"/>
        <v>0</v>
      </c>
    </row>
    <row r="839" spans="3:21" ht="18.75" x14ac:dyDescent="0.3">
      <c r="C839" s="294">
        <f t="shared" si="764"/>
        <v>1</v>
      </c>
      <c r="D839" s="113" t="s">
        <v>120</v>
      </c>
      <c r="E839" s="76" t="s">
        <v>54</v>
      </c>
      <c r="F839" s="176">
        <f t="shared" ref="F839:U839" si="773">F10*$E$832</f>
        <v>0</v>
      </c>
      <c r="G839" s="176">
        <f t="shared" si="772"/>
        <v>0</v>
      </c>
      <c r="H839" s="176">
        <f t="shared" si="772"/>
        <v>0</v>
      </c>
      <c r="I839" s="176">
        <f t="shared" si="772"/>
        <v>0</v>
      </c>
      <c r="J839" s="176">
        <f t="shared" si="772"/>
        <v>0</v>
      </c>
      <c r="K839" s="176">
        <f t="shared" si="772"/>
        <v>0</v>
      </c>
      <c r="L839" s="176">
        <f t="shared" si="772"/>
        <v>0</v>
      </c>
      <c r="M839" s="176">
        <f t="shared" si="773"/>
        <v>0</v>
      </c>
      <c r="N839" s="176">
        <f t="shared" si="773"/>
        <v>0</v>
      </c>
      <c r="O839" s="176">
        <f t="shared" si="769"/>
        <v>0</v>
      </c>
      <c r="P839" s="176">
        <f t="shared" si="773"/>
        <v>0</v>
      </c>
      <c r="Q839" s="175">
        <f t="shared" si="770"/>
        <v>0</v>
      </c>
      <c r="R839" s="176">
        <f t="shared" si="773"/>
        <v>0</v>
      </c>
      <c r="S839" s="176">
        <f t="shared" si="773"/>
        <v>0</v>
      </c>
      <c r="T839" s="176">
        <f t="shared" si="773"/>
        <v>0</v>
      </c>
      <c r="U839" s="176">
        <f t="shared" si="773"/>
        <v>0</v>
      </c>
    </row>
    <row r="840" spans="3:21" ht="18.75" x14ac:dyDescent="0.3">
      <c r="C840" s="294">
        <f t="shared" si="764"/>
        <v>1</v>
      </c>
      <c r="D840" s="113" t="s">
        <v>121</v>
      </c>
      <c r="E840" s="76" t="s">
        <v>53</v>
      </c>
      <c r="F840" s="176">
        <f t="shared" ref="F840:U840" si="774">F11*$E$832</f>
        <v>0</v>
      </c>
      <c r="G840" s="176">
        <f t="shared" si="772"/>
        <v>0</v>
      </c>
      <c r="H840" s="176">
        <f t="shared" si="772"/>
        <v>0</v>
      </c>
      <c r="I840" s="176">
        <f t="shared" si="772"/>
        <v>0</v>
      </c>
      <c r="J840" s="176">
        <f t="shared" si="772"/>
        <v>0</v>
      </c>
      <c r="K840" s="176">
        <f t="shared" si="772"/>
        <v>0</v>
      </c>
      <c r="L840" s="176">
        <f t="shared" si="772"/>
        <v>0</v>
      </c>
      <c r="M840" s="176">
        <f t="shared" si="774"/>
        <v>0</v>
      </c>
      <c r="N840" s="176">
        <f t="shared" si="774"/>
        <v>0</v>
      </c>
      <c r="O840" s="176">
        <f t="shared" si="769"/>
        <v>0</v>
      </c>
      <c r="P840" s="176">
        <f t="shared" si="774"/>
        <v>0</v>
      </c>
      <c r="Q840" s="175">
        <f t="shared" si="770"/>
        <v>0</v>
      </c>
      <c r="R840" s="176">
        <f t="shared" si="774"/>
        <v>0</v>
      </c>
      <c r="S840" s="176">
        <f t="shared" si="774"/>
        <v>0</v>
      </c>
      <c r="T840" s="176">
        <f t="shared" si="774"/>
        <v>0</v>
      </c>
      <c r="U840" s="176">
        <f t="shared" si="774"/>
        <v>0</v>
      </c>
    </row>
    <row r="841" spans="3:21" ht="18.75" x14ac:dyDescent="0.3">
      <c r="C841" s="294">
        <f t="shared" si="764"/>
        <v>1</v>
      </c>
      <c r="D841" s="113" t="s">
        <v>122</v>
      </c>
      <c r="E841" s="76" t="s">
        <v>52</v>
      </c>
      <c r="F841" s="176">
        <f t="shared" ref="F841:U841" si="775">F12*$E$832</f>
        <v>0</v>
      </c>
      <c r="G841" s="176">
        <f t="shared" si="772"/>
        <v>0</v>
      </c>
      <c r="H841" s="176">
        <f t="shared" si="772"/>
        <v>0</v>
      </c>
      <c r="I841" s="176">
        <f t="shared" si="772"/>
        <v>0</v>
      </c>
      <c r="J841" s="176">
        <f t="shared" si="772"/>
        <v>0</v>
      </c>
      <c r="K841" s="176">
        <f t="shared" si="772"/>
        <v>0</v>
      </c>
      <c r="L841" s="176">
        <f t="shared" si="772"/>
        <v>0</v>
      </c>
      <c r="M841" s="176">
        <f t="shared" si="775"/>
        <v>0</v>
      </c>
      <c r="N841" s="176">
        <f t="shared" si="775"/>
        <v>0</v>
      </c>
      <c r="O841" s="176">
        <f t="shared" si="769"/>
        <v>0</v>
      </c>
      <c r="P841" s="176">
        <f t="shared" si="775"/>
        <v>0</v>
      </c>
      <c r="Q841" s="175">
        <f t="shared" si="770"/>
        <v>0</v>
      </c>
      <c r="R841" s="176">
        <f t="shared" si="775"/>
        <v>0</v>
      </c>
      <c r="S841" s="176">
        <f t="shared" si="775"/>
        <v>0</v>
      </c>
      <c r="T841" s="176">
        <f t="shared" si="775"/>
        <v>0</v>
      </c>
      <c r="U841" s="176">
        <f t="shared" si="775"/>
        <v>0</v>
      </c>
    </row>
    <row r="842" spans="3:21" ht="18.75" x14ac:dyDescent="0.3">
      <c r="C842" s="294">
        <f t="shared" si="764"/>
        <v>1</v>
      </c>
      <c r="D842" s="125" t="s">
        <v>123</v>
      </c>
      <c r="E842" s="76" t="s">
        <v>51</v>
      </c>
      <c r="F842" s="176">
        <f t="shared" ref="F842:U842" si="776">F13*$E$832</f>
        <v>0</v>
      </c>
      <c r="G842" s="176">
        <f t="shared" si="772"/>
        <v>0</v>
      </c>
      <c r="H842" s="176">
        <f t="shared" si="772"/>
        <v>0</v>
      </c>
      <c r="I842" s="176">
        <f t="shared" si="772"/>
        <v>0</v>
      </c>
      <c r="J842" s="176">
        <f t="shared" si="772"/>
        <v>0</v>
      </c>
      <c r="K842" s="176">
        <f t="shared" si="772"/>
        <v>0</v>
      </c>
      <c r="L842" s="176">
        <f t="shared" si="772"/>
        <v>0</v>
      </c>
      <c r="M842" s="176">
        <f t="shared" si="776"/>
        <v>0</v>
      </c>
      <c r="N842" s="176">
        <f t="shared" si="776"/>
        <v>0</v>
      </c>
      <c r="O842" s="176">
        <f t="shared" si="769"/>
        <v>0</v>
      </c>
      <c r="P842" s="176">
        <f t="shared" si="776"/>
        <v>0</v>
      </c>
      <c r="Q842" s="175">
        <f t="shared" si="770"/>
        <v>0</v>
      </c>
      <c r="R842" s="176">
        <f t="shared" si="776"/>
        <v>0</v>
      </c>
      <c r="S842" s="176">
        <f t="shared" si="776"/>
        <v>0</v>
      </c>
      <c r="T842" s="176">
        <f t="shared" si="776"/>
        <v>0</v>
      </c>
      <c r="U842" s="176">
        <f t="shared" si="776"/>
        <v>0</v>
      </c>
    </row>
    <row r="843" spans="3:21" ht="19.5" thickBot="1" x14ac:dyDescent="0.35">
      <c r="C843" s="294">
        <f t="shared" si="764"/>
        <v>1</v>
      </c>
      <c r="D843" s="114" t="s">
        <v>16</v>
      </c>
      <c r="E843" s="70" t="s">
        <v>50</v>
      </c>
      <c r="F843" s="176">
        <f t="shared" ref="F843:U843" si="777">F14*$E$832</f>
        <v>6583.3753505129807</v>
      </c>
      <c r="G843" s="176">
        <f t="shared" si="772"/>
        <v>130.77770658399621</v>
      </c>
      <c r="H843" s="176">
        <f t="shared" si="772"/>
        <v>0</v>
      </c>
      <c r="I843" s="176">
        <f t="shared" si="772"/>
        <v>0</v>
      </c>
      <c r="J843" s="176">
        <f t="shared" si="772"/>
        <v>279.20251724618447</v>
      </c>
      <c r="K843" s="176">
        <f t="shared" si="772"/>
        <v>1.1494888996040749</v>
      </c>
      <c r="L843" s="176">
        <f t="shared" si="772"/>
        <v>0.16176607558595682</v>
      </c>
      <c r="M843" s="176">
        <f t="shared" si="777"/>
        <v>0</v>
      </c>
      <c r="N843" s="176">
        <f t="shared" si="777"/>
        <v>0</v>
      </c>
      <c r="O843" s="176">
        <f t="shared" si="769"/>
        <v>83.667987844259386</v>
      </c>
      <c r="P843" s="176">
        <f t="shared" si="777"/>
        <v>1425.0030737331135</v>
      </c>
      <c r="Q843" s="175">
        <f t="shared" si="770"/>
        <v>8503.3378908957238</v>
      </c>
      <c r="R843" s="176">
        <f t="shared" si="777"/>
        <v>0</v>
      </c>
      <c r="S843" s="176">
        <f t="shared" si="777"/>
        <v>591.26552718908817</v>
      </c>
      <c r="T843" s="176">
        <f t="shared" ca="1" si="777"/>
        <v>171.48289980932162</v>
      </c>
      <c r="U843" s="176">
        <f t="shared" ca="1" si="777"/>
        <v>9.771641479946588</v>
      </c>
    </row>
    <row r="844" spans="3:21" ht="19.5" thickBot="1" x14ac:dyDescent="0.3">
      <c r="C844" s="294">
        <f t="shared" si="764"/>
        <v>1</v>
      </c>
      <c r="D844" s="115" t="s">
        <v>124</v>
      </c>
      <c r="E844" s="116" t="s">
        <v>49</v>
      </c>
      <c r="F844" s="269">
        <f t="shared" ref="F844:U844" si="778">SUBTOTAL(9,F835:F843)</f>
        <v>68241.619372673726</v>
      </c>
      <c r="G844" s="269">
        <f t="shared" ref="G844:L844" si="779">SUBTOTAL(9,G835:G843)</f>
        <v>1517.3016945988945</v>
      </c>
      <c r="H844" s="269">
        <f t="shared" si="779"/>
        <v>0</v>
      </c>
      <c r="I844" s="269">
        <f t="shared" si="779"/>
        <v>1767.1441327331358</v>
      </c>
      <c r="J844" s="269">
        <f t="shared" si="779"/>
        <v>481.79654305669044</v>
      </c>
      <c r="K844" s="269">
        <f t="shared" si="779"/>
        <v>62.637820302568414</v>
      </c>
      <c r="L844" s="269">
        <f t="shared" si="779"/>
        <v>0.16176607558595682</v>
      </c>
      <c r="M844" s="269">
        <f t="shared" si="778"/>
        <v>0</v>
      </c>
      <c r="N844" s="269">
        <f t="shared" si="778"/>
        <v>0</v>
      </c>
      <c r="O844" s="269">
        <f>SUBTOTAL(9,O835:O843)</f>
        <v>85.398920002043511</v>
      </c>
      <c r="P844" s="269">
        <f t="shared" si="778"/>
        <v>1425.0030737331135</v>
      </c>
      <c r="Q844" s="183">
        <f>SUBTOTAL(9,Q835:Q843)</f>
        <v>73581.063323175753</v>
      </c>
      <c r="R844" s="269">
        <f t="shared" si="778"/>
        <v>0</v>
      </c>
      <c r="S844" s="269">
        <f t="shared" si="778"/>
        <v>5557.433124996146</v>
      </c>
      <c r="T844" s="269">
        <f t="shared" ca="1" si="778"/>
        <v>2285.269915604199</v>
      </c>
      <c r="U844" s="269">
        <f t="shared" ca="1" si="778"/>
        <v>1580.6963109540902</v>
      </c>
    </row>
    <row r="845" spans="3:21" ht="15.75" hidden="1" thickBot="1" x14ac:dyDescent="0.3"/>
    <row r="846" spans="3:21" ht="93.75" x14ac:dyDescent="0.25">
      <c r="C846" s="294">
        <f>IF($E$846&gt;0,1,0)</f>
        <v>1</v>
      </c>
      <c r="D846" s="96" t="str">
        <f>A63</f>
        <v>Westchester</v>
      </c>
      <c r="E846" s="166">
        <f>IFERROR(SUMIF(A:A,D846,B:B),0)</f>
        <v>2.408470791134289E-2</v>
      </c>
      <c r="F846" s="98" t="s">
        <v>356</v>
      </c>
      <c r="G846" s="98" t="s">
        <v>373</v>
      </c>
      <c r="H846" s="98" t="s">
        <v>358</v>
      </c>
      <c r="I846" s="98" t="s">
        <v>109</v>
      </c>
      <c r="J846" s="98" t="s">
        <v>111</v>
      </c>
      <c r="K846" s="98" t="s">
        <v>469</v>
      </c>
      <c r="L846" s="98" t="s">
        <v>470</v>
      </c>
      <c r="M846" s="98" t="s">
        <v>357</v>
      </c>
      <c r="N846" s="557" t="s">
        <v>471</v>
      </c>
      <c r="O846" s="557" t="s">
        <v>473</v>
      </c>
      <c r="P846" s="98" t="s">
        <v>110</v>
      </c>
      <c r="Q846" s="99" t="s">
        <v>116</v>
      </c>
      <c r="R846" s="98" t="s">
        <v>112</v>
      </c>
      <c r="S846" s="98" t="s">
        <v>113</v>
      </c>
      <c r="T846" s="98" t="s">
        <v>114</v>
      </c>
      <c r="U846" s="98" t="s">
        <v>115</v>
      </c>
    </row>
    <row r="847" spans="3:21" ht="18.75" x14ac:dyDescent="0.25">
      <c r="C847" s="294">
        <f>C846</f>
        <v>1</v>
      </c>
      <c r="D847" s="101"/>
      <c r="E847" s="102"/>
      <c r="F847" s="84" t="s">
        <v>57</v>
      </c>
      <c r="G847" s="84" t="s">
        <v>56</v>
      </c>
      <c r="H847" s="84" t="s">
        <v>55</v>
      </c>
      <c r="I847" s="84" t="s">
        <v>54</v>
      </c>
      <c r="J847" s="84" t="s">
        <v>53</v>
      </c>
      <c r="K847" s="84" t="s">
        <v>52</v>
      </c>
      <c r="L847" s="84" t="s">
        <v>51</v>
      </c>
      <c r="M847" s="84" t="s">
        <v>50</v>
      </c>
      <c r="N847" s="84" t="s">
        <v>49</v>
      </c>
      <c r="O847" s="84" t="s">
        <v>47</v>
      </c>
      <c r="P847" s="84" t="s">
        <v>77</v>
      </c>
      <c r="Q847" s="84" t="s">
        <v>78</v>
      </c>
      <c r="R847" s="84" t="s">
        <v>79</v>
      </c>
      <c r="S847" s="84" t="s">
        <v>81</v>
      </c>
      <c r="T847" s="84" t="s">
        <v>83</v>
      </c>
      <c r="U847" s="84" t="s">
        <v>85</v>
      </c>
    </row>
    <row r="848" spans="3:21" ht="18.75" x14ac:dyDescent="0.25">
      <c r="C848" s="294">
        <f>C846</f>
        <v>1</v>
      </c>
      <c r="D848" s="103" t="s">
        <v>26</v>
      </c>
      <c r="E848" s="122"/>
      <c r="F848" s="123"/>
      <c r="G848" s="123"/>
      <c r="H848" s="107"/>
      <c r="I848" s="107"/>
      <c r="J848" s="107"/>
      <c r="K848" s="107"/>
      <c r="L848" s="107"/>
      <c r="M848" s="123"/>
      <c r="N848" s="107"/>
      <c r="O848" s="107"/>
      <c r="P848" s="107"/>
      <c r="Q848" s="108"/>
      <c r="R848" s="107"/>
      <c r="S848" s="107"/>
      <c r="T848" s="107"/>
      <c r="U848" s="107"/>
    </row>
    <row r="849" spans="3:21" ht="18.75" x14ac:dyDescent="0.25">
      <c r="C849" s="294">
        <f t="shared" ref="C849:C858" si="780">C847</f>
        <v>1</v>
      </c>
      <c r="D849" s="124" t="s">
        <v>105</v>
      </c>
      <c r="E849" s="76" t="s">
        <v>57</v>
      </c>
      <c r="F849" s="176">
        <f t="shared" ref="F849:L849" si="781">F6*$E$846</f>
        <v>1698703.8839304911</v>
      </c>
      <c r="G849" s="176">
        <f t="shared" si="781"/>
        <v>38199.168999317917</v>
      </c>
      <c r="H849" s="176">
        <f t="shared" si="781"/>
        <v>0</v>
      </c>
      <c r="I849" s="176">
        <f t="shared" si="781"/>
        <v>48685.372886387318</v>
      </c>
      <c r="J849" s="176">
        <f t="shared" si="781"/>
        <v>5581.5286984450913</v>
      </c>
      <c r="K849" s="176">
        <f t="shared" si="781"/>
        <v>1694.0227381934508</v>
      </c>
      <c r="L849" s="176">
        <f t="shared" si="781"/>
        <v>0</v>
      </c>
      <c r="M849" s="176">
        <f t="shared" ref="M849:U849" si="782">M6*$E$846</f>
        <v>0</v>
      </c>
      <c r="N849" s="176">
        <f t="shared" si="782"/>
        <v>0</v>
      </c>
      <c r="O849" s="176">
        <f>O6*$E$846</f>
        <v>47.68772166445892</v>
      </c>
      <c r="P849" s="176">
        <f t="shared" si="782"/>
        <v>0</v>
      </c>
      <c r="Q849" s="175">
        <f>SUM(F849:P849)</f>
        <v>1792911.6649744993</v>
      </c>
      <c r="R849" s="176">
        <f t="shared" si="782"/>
        <v>0</v>
      </c>
      <c r="S849" s="176">
        <f t="shared" si="782"/>
        <v>136819.46867660689</v>
      </c>
      <c r="T849" s="176">
        <f t="shared" ca="1" si="782"/>
        <v>58235.492600828184</v>
      </c>
      <c r="U849" s="176">
        <f t="shared" ca="1" si="782"/>
        <v>43279.465377555127</v>
      </c>
    </row>
    <row r="850" spans="3:21" ht="18.75" x14ac:dyDescent="0.25">
      <c r="C850" s="294">
        <f t="shared" si="780"/>
        <v>1</v>
      </c>
      <c r="D850" s="112" t="s">
        <v>31</v>
      </c>
      <c r="E850" s="76"/>
      <c r="F850" s="177"/>
      <c r="G850" s="177"/>
      <c r="H850" s="178"/>
      <c r="I850" s="178"/>
      <c r="J850" s="178"/>
      <c r="K850" s="178"/>
      <c r="L850" s="178"/>
      <c r="M850" s="177"/>
      <c r="N850" s="178"/>
      <c r="O850" s="178"/>
      <c r="P850" s="178"/>
      <c r="Q850" s="179"/>
      <c r="R850" s="178"/>
      <c r="S850" s="178"/>
      <c r="T850" s="178"/>
      <c r="U850" s="178"/>
    </row>
    <row r="851" spans="3:21" ht="18.75" x14ac:dyDescent="0.3">
      <c r="C851" s="294">
        <f t="shared" si="780"/>
        <v>1</v>
      </c>
      <c r="D851" s="113" t="s">
        <v>118</v>
      </c>
      <c r="E851" s="76" t="s">
        <v>56</v>
      </c>
      <c r="F851" s="176">
        <f t="shared" ref="F851:U851" si="783">F8*$E$846</f>
        <v>0</v>
      </c>
      <c r="G851" s="176">
        <f t="shared" ref="G851:L857" si="784">G8*$E$846</f>
        <v>0</v>
      </c>
      <c r="H851" s="176">
        <f t="shared" si="784"/>
        <v>0</v>
      </c>
      <c r="I851" s="176">
        <f t="shared" si="784"/>
        <v>0</v>
      </c>
      <c r="J851" s="176">
        <f t="shared" si="784"/>
        <v>0</v>
      </c>
      <c r="K851" s="176">
        <f t="shared" si="784"/>
        <v>0</v>
      </c>
      <c r="L851" s="176">
        <f t="shared" si="784"/>
        <v>0</v>
      </c>
      <c r="M851" s="176">
        <f t="shared" si="783"/>
        <v>0</v>
      </c>
      <c r="N851" s="176">
        <f t="shared" si="783"/>
        <v>0</v>
      </c>
      <c r="O851" s="176">
        <f t="shared" ref="O851:O857" si="785">O8*$E$846</f>
        <v>0</v>
      </c>
      <c r="P851" s="176">
        <f t="shared" si="783"/>
        <v>0</v>
      </c>
      <c r="Q851" s="175">
        <f t="shared" ref="Q851:Q857" si="786">SUM(F851:P851)</f>
        <v>0</v>
      </c>
      <c r="R851" s="176">
        <f t="shared" si="783"/>
        <v>0</v>
      </c>
      <c r="S851" s="176">
        <f t="shared" si="783"/>
        <v>0</v>
      </c>
      <c r="T851" s="176">
        <f t="shared" si="783"/>
        <v>0</v>
      </c>
      <c r="U851" s="176">
        <f t="shared" si="783"/>
        <v>0</v>
      </c>
    </row>
    <row r="852" spans="3:21" ht="18.75" x14ac:dyDescent="0.3">
      <c r="C852" s="294">
        <f t="shared" si="780"/>
        <v>1</v>
      </c>
      <c r="D852" s="113" t="s">
        <v>119</v>
      </c>
      <c r="E852" s="76" t="s">
        <v>55</v>
      </c>
      <c r="F852" s="176">
        <f t="shared" ref="F852:U852" si="787">F9*$E$846</f>
        <v>0</v>
      </c>
      <c r="G852" s="176">
        <f t="shared" si="784"/>
        <v>0</v>
      </c>
      <c r="H852" s="176">
        <f t="shared" si="784"/>
        <v>0</v>
      </c>
      <c r="I852" s="176">
        <f t="shared" si="784"/>
        <v>0</v>
      </c>
      <c r="J852" s="176">
        <f t="shared" si="784"/>
        <v>0</v>
      </c>
      <c r="K852" s="176">
        <f t="shared" si="784"/>
        <v>0</v>
      </c>
      <c r="L852" s="176">
        <f t="shared" si="784"/>
        <v>0</v>
      </c>
      <c r="M852" s="176">
        <f t="shared" si="787"/>
        <v>0</v>
      </c>
      <c r="N852" s="176">
        <f t="shared" si="787"/>
        <v>0</v>
      </c>
      <c r="O852" s="176">
        <f t="shared" si="785"/>
        <v>0</v>
      </c>
      <c r="P852" s="176">
        <f t="shared" si="787"/>
        <v>0</v>
      </c>
      <c r="Q852" s="175">
        <f t="shared" si="786"/>
        <v>0</v>
      </c>
      <c r="R852" s="176">
        <f t="shared" si="787"/>
        <v>0</v>
      </c>
      <c r="S852" s="176">
        <f t="shared" si="787"/>
        <v>0</v>
      </c>
      <c r="T852" s="176">
        <f t="shared" si="787"/>
        <v>0</v>
      </c>
      <c r="U852" s="176">
        <f t="shared" si="787"/>
        <v>0</v>
      </c>
    </row>
    <row r="853" spans="3:21" ht="18.75" x14ac:dyDescent="0.3">
      <c r="C853" s="294">
        <f t="shared" si="780"/>
        <v>1</v>
      </c>
      <c r="D853" s="113" t="s">
        <v>120</v>
      </c>
      <c r="E853" s="76" t="s">
        <v>54</v>
      </c>
      <c r="F853" s="176">
        <f t="shared" ref="F853:U853" si="788">F10*$E$846</f>
        <v>0</v>
      </c>
      <c r="G853" s="176">
        <f t="shared" si="784"/>
        <v>0</v>
      </c>
      <c r="H853" s="176">
        <f t="shared" si="784"/>
        <v>0</v>
      </c>
      <c r="I853" s="176">
        <f t="shared" si="784"/>
        <v>0</v>
      </c>
      <c r="J853" s="176">
        <f t="shared" si="784"/>
        <v>0</v>
      </c>
      <c r="K853" s="176">
        <f t="shared" si="784"/>
        <v>0</v>
      </c>
      <c r="L853" s="176">
        <f t="shared" si="784"/>
        <v>0</v>
      </c>
      <c r="M853" s="176">
        <f t="shared" si="788"/>
        <v>0</v>
      </c>
      <c r="N853" s="176">
        <f t="shared" si="788"/>
        <v>0</v>
      </c>
      <c r="O853" s="176">
        <f t="shared" si="785"/>
        <v>0</v>
      </c>
      <c r="P853" s="176">
        <f t="shared" si="788"/>
        <v>0</v>
      </c>
      <c r="Q853" s="175">
        <f t="shared" si="786"/>
        <v>0</v>
      </c>
      <c r="R853" s="176">
        <f t="shared" si="788"/>
        <v>0</v>
      </c>
      <c r="S853" s="176">
        <f t="shared" si="788"/>
        <v>0</v>
      </c>
      <c r="T853" s="176">
        <f t="shared" si="788"/>
        <v>0</v>
      </c>
      <c r="U853" s="176">
        <f t="shared" si="788"/>
        <v>0</v>
      </c>
    </row>
    <row r="854" spans="3:21" ht="18.75" x14ac:dyDescent="0.3">
      <c r="C854" s="294">
        <f t="shared" si="780"/>
        <v>1</v>
      </c>
      <c r="D854" s="113" t="s">
        <v>121</v>
      </c>
      <c r="E854" s="76" t="s">
        <v>53</v>
      </c>
      <c r="F854" s="176">
        <f t="shared" ref="F854:U854" si="789">F11*$E$846</f>
        <v>0</v>
      </c>
      <c r="G854" s="176">
        <f t="shared" si="784"/>
        <v>0</v>
      </c>
      <c r="H854" s="176">
        <f t="shared" si="784"/>
        <v>0</v>
      </c>
      <c r="I854" s="176">
        <f t="shared" si="784"/>
        <v>0</v>
      </c>
      <c r="J854" s="176">
        <f t="shared" si="784"/>
        <v>0</v>
      </c>
      <c r="K854" s="176">
        <f t="shared" si="784"/>
        <v>0</v>
      </c>
      <c r="L854" s="176">
        <f t="shared" si="784"/>
        <v>0</v>
      </c>
      <c r="M854" s="176">
        <f t="shared" si="789"/>
        <v>0</v>
      </c>
      <c r="N854" s="176">
        <f t="shared" si="789"/>
        <v>0</v>
      </c>
      <c r="O854" s="176">
        <f t="shared" si="785"/>
        <v>0</v>
      </c>
      <c r="P854" s="176">
        <f t="shared" si="789"/>
        <v>0</v>
      </c>
      <c r="Q854" s="175">
        <f t="shared" si="786"/>
        <v>0</v>
      </c>
      <c r="R854" s="176">
        <f t="shared" si="789"/>
        <v>0</v>
      </c>
      <c r="S854" s="176">
        <f t="shared" si="789"/>
        <v>0</v>
      </c>
      <c r="T854" s="176">
        <f t="shared" si="789"/>
        <v>0</v>
      </c>
      <c r="U854" s="176">
        <f t="shared" si="789"/>
        <v>0</v>
      </c>
    </row>
    <row r="855" spans="3:21" ht="18.75" x14ac:dyDescent="0.3">
      <c r="C855" s="294">
        <f t="shared" si="780"/>
        <v>1</v>
      </c>
      <c r="D855" s="113" t="s">
        <v>122</v>
      </c>
      <c r="E855" s="76" t="s">
        <v>52</v>
      </c>
      <c r="F855" s="176">
        <f t="shared" ref="F855:U855" si="790">F12*$E$846</f>
        <v>0</v>
      </c>
      <c r="G855" s="176">
        <f t="shared" si="784"/>
        <v>0</v>
      </c>
      <c r="H855" s="176">
        <f t="shared" si="784"/>
        <v>0</v>
      </c>
      <c r="I855" s="176">
        <f t="shared" si="784"/>
        <v>0</v>
      </c>
      <c r="J855" s="176">
        <f t="shared" si="784"/>
        <v>0</v>
      </c>
      <c r="K855" s="176">
        <f t="shared" si="784"/>
        <v>0</v>
      </c>
      <c r="L855" s="176">
        <f t="shared" si="784"/>
        <v>0</v>
      </c>
      <c r="M855" s="176">
        <f t="shared" si="790"/>
        <v>0</v>
      </c>
      <c r="N855" s="176">
        <f t="shared" si="790"/>
        <v>0</v>
      </c>
      <c r="O855" s="176">
        <f t="shared" si="785"/>
        <v>0</v>
      </c>
      <c r="P855" s="176">
        <f t="shared" si="790"/>
        <v>0</v>
      </c>
      <c r="Q855" s="175">
        <f t="shared" si="786"/>
        <v>0</v>
      </c>
      <c r="R855" s="176">
        <f t="shared" si="790"/>
        <v>0</v>
      </c>
      <c r="S855" s="176">
        <f t="shared" si="790"/>
        <v>0</v>
      </c>
      <c r="T855" s="176">
        <f t="shared" si="790"/>
        <v>0</v>
      </c>
      <c r="U855" s="176">
        <f t="shared" si="790"/>
        <v>0</v>
      </c>
    </row>
    <row r="856" spans="3:21" ht="18.75" x14ac:dyDescent="0.3">
      <c r="C856" s="294">
        <f t="shared" si="780"/>
        <v>1</v>
      </c>
      <c r="D856" s="125" t="s">
        <v>123</v>
      </c>
      <c r="E856" s="76" t="s">
        <v>51</v>
      </c>
      <c r="F856" s="176">
        <f t="shared" ref="F856:U856" si="791">F13*$E$846</f>
        <v>0</v>
      </c>
      <c r="G856" s="176">
        <f t="shared" si="784"/>
        <v>0</v>
      </c>
      <c r="H856" s="176">
        <f t="shared" si="784"/>
        <v>0</v>
      </c>
      <c r="I856" s="176">
        <f t="shared" si="784"/>
        <v>0</v>
      </c>
      <c r="J856" s="176">
        <f t="shared" si="784"/>
        <v>0</v>
      </c>
      <c r="K856" s="176">
        <f t="shared" si="784"/>
        <v>0</v>
      </c>
      <c r="L856" s="176">
        <f t="shared" si="784"/>
        <v>0</v>
      </c>
      <c r="M856" s="176">
        <f t="shared" si="791"/>
        <v>0</v>
      </c>
      <c r="N856" s="176">
        <f t="shared" si="791"/>
        <v>0</v>
      </c>
      <c r="O856" s="176">
        <f t="shared" si="785"/>
        <v>0</v>
      </c>
      <c r="P856" s="176">
        <f t="shared" si="791"/>
        <v>0</v>
      </c>
      <c r="Q856" s="175">
        <f t="shared" si="786"/>
        <v>0</v>
      </c>
      <c r="R856" s="176">
        <f t="shared" si="791"/>
        <v>0</v>
      </c>
      <c r="S856" s="176">
        <f t="shared" si="791"/>
        <v>0</v>
      </c>
      <c r="T856" s="176">
        <f t="shared" si="791"/>
        <v>0</v>
      </c>
      <c r="U856" s="176">
        <f t="shared" si="791"/>
        <v>0</v>
      </c>
    </row>
    <row r="857" spans="3:21" ht="19.5" thickBot="1" x14ac:dyDescent="0.35">
      <c r="C857" s="294">
        <f t="shared" si="780"/>
        <v>1</v>
      </c>
      <c r="D857" s="114" t="s">
        <v>16</v>
      </c>
      <c r="E857" s="70" t="s">
        <v>50</v>
      </c>
      <c r="F857" s="176">
        <f t="shared" ref="F857:U857" si="792">F14*$E$846</f>
        <v>181374.04745534557</v>
      </c>
      <c r="G857" s="176">
        <f t="shared" si="784"/>
        <v>3602.9666694029129</v>
      </c>
      <c r="H857" s="176">
        <f t="shared" si="784"/>
        <v>0</v>
      </c>
      <c r="I857" s="176">
        <f t="shared" si="784"/>
        <v>0</v>
      </c>
      <c r="J857" s="176">
        <f t="shared" si="784"/>
        <v>7692.1165688533147</v>
      </c>
      <c r="K857" s="176">
        <f t="shared" si="784"/>
        <v>31.668778267357478</v>
      </c>
      <c r="L857" s="176">
        <f t="shared" si="784"/>
        <v>4.4567059157133047</v>
      </c>
      <c r="M857" s="176">
        <f t="shared" si="792"/>
        <v>0</v>
      </c>
      <c r="N857" s="176">
        <f t="shared" si="792"/>
        <v>0</v>
      </c>
      <c r="O857" s="176">
        <f t="shared" si="785"/>
        <v>2305.0792017464892</v>
      </c>
      <c r="P857" s="176">
        <f t="shared" si="792"/>
        <v>39259.279831149805</v>
      </c>
      <c r="Q857" s="175">
        <f t="shared" si="786"/>
        <v>234269.61521068116</v>
      </c>
      <c r="R857" s="176">
        <f t="shared" si="792"/>
        <v>0</v>
      </c>
      <c r="S857" s="176">
        <f t="shared" si="792"/>
        <v>16289.549976631266</v>
      </c>
      <c r="T857" s="176">
        <f t="shared" ca="1" si="792"/>
        <v>4724.4074584586215</v>
      </c>
      <c r="U857" s="176">
        <f t="shared" ca="1" si="792"/>
        <v>269.21177528824256</v>
      </c>
    </row>
    <row r="858" spans="3:21" ht="19.5" thickBot="1" x14ac:dyDescent="0.3">
      <c r="C858" s="294">
        <f t="shared" si="780"/>
        <v>1</v>
      </c>
      <c r="D858" s="115" t="s">
        <v>124</v>
      </c>
      <c r="E858" s="116" t="s">
        <v>49</v>
      </c>
      <c r="F858" s="269">
        <f t="shared" ref="F858:U858" si="793">SUBTOTAL(9,F849:F857)</f>
        <v>1880077.9313858366</v>
      </c>
      <c r="G858" s="269">
        <f t="shared" ref="G858:L858" si="794">SUBTOTAL(9,G849:G857)</f>
        <v>41802.135668720832</v>
      </c>
      <c r="H858" s="269">
        <f t="shared" si="794"/>
        <v>0</v>
      </c>
      <c r="I858" s="269">
        <f t="shared" si="794"/>
        <v>48685.372886387318</v>
      </c>
      <c r="J858" s="269">
        <f t="shared" si="794"/>
        <v>13273.645267298405</v>
      </c>
      <c r="K858" s="269">
        <f t="shared" si="794"/>
        <v>1725.6915164608083</v>
      </c>
      <c r="L858" s="269">
        <f t="shared" si="794"/>
        <v>4.4567059157133047</v>
      </c>
      <c r="M858" s="269">
        <f t="shared" si="793"/>
        <v>0</v>
      </c>
      <c r="N858" s="269">
        <f t="shared" si="793"/>
        <v>0</v>
      </c>
      <c r="O858" s="269">
        <f>SUBTOTAL(9,O849:O857)</f>
        <v>2352.766923410948</v>
      </c>
      <c r="P858" s="269">
        <f t="shared" si="793"/>
        <v>39259.279831149805</v>
      </c>
      <c r="Q858" s="183">
        <f>SUBTOTAL(9,Q849:Q857)</f>
        <v>2027181.2801851805</v>
      </c>
      <c r="R858" s="269">
        <f t="shared" si="793"/>
        <v>0</v>
      </c>
      <c r="S858" s="269">
        <f t="shared" si="793"/>
        <v>153109.01865323816</v>
      </c>
      <c r="T858" s="269">
        <f t="shared" ca="1" si="793"/>
        <v>62959.900059286803</v>
      </c>
      <c r="U858" s="269">
        <f t="shared" ca="1" si="793"/>
        <v>43548.677152843367</v>
      </c>
    </row>
    <row r="859" spans="3:21" ht="15.75" hidden="1" thickBot="1" x14ac:dyDescent="0.3"/>
    <row r="860" spans="3:21" ht="93.75" x14ac:dyDescent="0.25">
      <c r="C860" s="294">
        <f>IF($E$860&gt;0,1,0)</f>
        <v>1</v>
      </c>
      <c r="D860" s="96" t="str">
        <f>A64</f>
        <v>Wyoming</v>
      </c>
      <c r="E860" s="166">
        <f>IFERROR(SUMIF(A:A,D860,B:B),0)</f>
        <v>6.0201810038197211E-4</v>
      </c>
      <c r="F860" s="98" t="s">
        <v>356</v>
      </c>
      <c r="G860" s="98" t="s">
        <v>373</v>
      </c>
      <c r="H860" s="98" t="s">
        <v>358</v>
      </c>
      <c r="I860" s="98" t="s">
        <v>109</v>
      </c>
      <c r="J860" s="98" t="s">
        <v>111</v>
      </c>
      <c r="K860" s="98" t="s">
        <v>469</v>
      </c>
      <c r="L860" s="98" t="s">
        <v>470</v>
      </c>
      <c r="M860" s="98" t="s">
        <v>357</v>
      </c>
      <c r="N860" s="557" t="s">
        <v>471</v>
      </c>
      <c r="O860" s="557" t="s">
        <v>473</v>
      </c>
      <c r="P860" s="98" t="s">
        <v>110</v>
      </c>
      <c r="Q860" s="99" t="s">
        <v>116</v>
      </c>
      <c r="R860" s="98" t="s">
        <v>112</v>
      </c>
      <c r="S860" s="98" t="s">
        <v>113</v>
      </c>
      <c r="T860" s="98" t="s">
        <v>114</v>
      </c>
      <c r="U860" s="98" t="s">
        <v>115</v>
      </c>
    </row>
    <row r="861" spans="3:21" ht="18.75" x14ac:dyDescent="0.25">
      <c r="C861" s="294">
        <f>C860</f>
        <v>1</v>
      </c>
      <c r="D861" s="101"/>
      <c r="E861" s="102"/>
      <c r="F861" s="84" t="s">
        <v>57</v>
      </c>
      <c r="G861" s="84" t="s">
        <v>56</v>
      </c>
      <c r="H861" s="84" t="s">
        <v>55</v>
      </c>
      <c r="I861" s="84" t="s">
        <v>54</v>
      </c>
      <c r="J861" s="84" t="s">
        <v>53</v>
      </c>
      <c r="K861" s="84" t="s">
        <v>52</v>
      </c>
      <c r="L861" s="84" t="s">
        <v>51</v>
      </c>
      <c r="M861" s="84" t="s">
        <v>50</v>
      </c>
      <c r="N861" s="84" t="s">
        <v>49</v>
      </c>
      <c r="O861" s="84" t="s">
        <v>47</v>
      </c>
      <c r="P861" s="84" t="s">
        <v>77</v>
      </c>
      <c r="Q861" s="84" t="s">
        <v>78</v>
      </c>
      <c r="R861" s="84" t="s">
        <v>79</v>
      </c>
      <c r="S861" s="84" t="s">
        <v>81</v>
      </c>
      <c r="T861" s="84" t="s">
        <v>83</v>
      </c>
      <c r="U861" s="84" t="s">
        <v>85</v>
      </c>
    </row>
    <row r="862" spans="3:21" ht="18.75" x14ac:dyDescent="0.25">
      <c r="C862" s="294">
        <f>C860</f>
        <v>1</v>
      </c>
      <c r="D862" s="103" t="s">
        <v>26</v>
      </c>
      <c r="E862" s="122"/>
      <c r="F862" s="123"/>
      <c r="G862" s="123"/>
      <c r="H862" s="107"/>
      <c r="I862" s="107"/>
      <c r="J862" s="107"/>
      <c r="K862" s="107"/>
      <c r="L862" s="107"/>
      <c r="M862" s="123"/>
      <c r="N862" s="107"/>
      <c r="O862" s="107"/>
      <c r="P862" s="107"/>
      <c r="Q862" s="108"/>
      <c r="R862" s="107"/>
      <c r="S862" s="107"/>
      <c r="T862" s="107"/>
      <c r="U862" s="107"/>
    </row>
    <row r="863" spans="3:21" ht="18.75" x14ac:dyDescent="0.25">
      <c r="C863" s="294">
        <f t="shared" ref="C863:C872" si="795">C861</f>
        <v>1</v>
      </c>
      <c r="D863" s="124" t="s">
        <v>105</v>
      </c>
      <c r="E863" s="76" t="s">
        <v>57</v>
      </c>
      <c r="F863" s="176">
        <f t="shared" ref="F863:L863" si="796">F6*$E$860</f>
        <v>42460.572454511137</v>
      </c>
      <c r="G863" s="176">
        <f t="shared" si="796"/>
        <v>954.82126010375475</v>
      </c>
      <c r="H863" s="176">
        <f t="shared" si="796"/>
        <v>0</v>
      </c>
      <c r="I863" s="176">
        <f t="shared" si="796"/>
        <v>1216.9329937211871</v>
      </c>
      <c r="J863" s="176">
        <f t="shared" si="796"/>
        <v>139.51513618659541</v>
      </c>
      <c r="K863" s="176">
        <f t="shared" si="796"/>
        <v>42.3435631690094</v>
      </c>
      <c r="L863" s="176">
        <f t="shared" si="796"/>
        <v>0</v>
      </c>
      <c r="M863" s="176">
        <f t="shared" ref="M863:U863" si="797">M6*$E$860</f>
        <v>0</v>
      </c>
      <c r="N863" s="176">
        <f t="shared" si="797"/>
        <v>0</v>
      </c>
      <c r="O863" s="176">
        <f>O6*$E$860</f>
        <v>1.1919958387563048</v>
      </c>
      <c r="P863" s="176">
        <f t="shared" si="797"/>
        <v>0</v>
      </c>
      <c r="Q863" s="175">
        <f>SUM(F863:P863)</f>
        <v>44815.377403530438</v>
      </c>
      <c r="R863" s="176">
        <f t="shared" si="797"/>
        <v>0</v>
      </c>
      <c r="S863" s="176">
        <f t="shared" si="797"/>
        <v>3419.9209278834492</v>
      </c>
      <c r="T863" s="176">
        <f t="shared" ca="1" si="797"/>
        <v>1455.6464940082474</v>
      </c>
      <c r="U863" s="176">
        <f t="shared" ca="1" si="797"/>
        <v>1081.8076610292726</v>
      </c>
    </row>
    <row r="864" spans="3:21" ht="18.75" x14ac:dyDescent="0.25">
      <c r="C864" s="294">
        <f t="shared" si="795"/>
        <v>1</v>
      </c>
      <c r="D864" s="112" t="s">
        <v>31</v>
      </c>
      <c r="E864" s="76"/>
      <c r="F864" s="177"/>
      <c r="G864" s="177"/>
      <c r="H864" s="178"/>
      <c r="I864" s="178"/>
      <c r="J864" s="178"/>
      <c r="K864" s="178"/>
      <c r="L864" s="178"/>
      <c r="M864" s="177"/>
      <c r="N864" s="178"/>
      <c r="O864" s="178"/>
      <c r="P864" s="178"/>
      <c r="Q864" s="179"/>
      <c r="R864" s="178"/>
      <c r="S864" s="178"/>
      <c r="T864" s="178"/>
      <c r="U864" s="178"/>
    </row>
    <row r="865" spans="3:21" ht="18.75" x14ac:dyDescent="0.3">
      <c r="C865" s="294">
        <f t="shared" si="795"/>
        <v>1</v>
      </c>
      <c r="D865" s="113" t="s">
        <v>118</v>
      </c>
      <c r="E865" s="76" t="s">
        <v>56</v>
      </c>
      <c r="F865" s="176">
        <f t="shared" ref="F865:U865" si="798">F8*$E$860</f>
        <v>0</v>
      </c>
      <c r="G865" s="176">
        <f t="shared" ref="G865:L871" si="799">G8*$E$860</f>
        <v>0</v>
      </c>
      <c r="H865" s="176">
        <f t="shared" si="799"/>
        <v>0</v>
      </c>
      <c r="I865" s="176">
        <f t="shared" si="799"/>
        <v>0</v>
      </c>
      <c r="J865" s="176">
        <f t="shared" si="799"/>
        <v>0</v>
      </c>
      <c r="K865" s="176">
        <f t="shared" si="799"/>
        <v>0</v>
      </c>
      <c r="L865" s="176">
        <f t="shared" si="799"/>
        <v>0</v>
      </c>
      <c r="M865" s="176">
        <f t="shared" si="798"/>
        <v>0</v>
      </c>
      <c r="N865" s="176">
        <f t="shared" si="798"/>
        <v>0</v>
      </c>
      <c r="O865" s="176">
        <f t="shared" ref="O865:O871" si="800">O8*$E$860</f>
        <v>0</v>
      </c>
      <c r="P865" s="176">
        <f t="shared" si="798"/>
        <v>0</v>
      </c>
      <c r="Q865" s="175">
        <f t="shared" ref="Q865:Q871" si="801">SUM(F865:P865)</f>
        <v>0</v>
      </c>
      <c r="R865" s="176">
        <f t="shared" si="798"/>
        <v>0</v>
      </c>
      <c r="S865" s="176">
        <f t="shared" si="798"/>
        <v>0</v>
      </c>
      <c r="T865" s="176">
        <f t="shared" si="798"/>
        <v>0</v>
      </c>
      <c r="U865" s="176">
        <f t="shared" si="798"/>
        <v>0</v>
      </c>
    </row>
    <row r="866" spans="3:21" ht="18.75" x14ac:dyDescent="0.3">
      <c r="C866" s="294">
        <f t="shared" si="795"/>
        <v>1</v>
      </c>
      <c r="D866" s="113" t="s">
        <v>119</v>
      </c>
      <c r="E866" s="76" t="s">
        <v>55</v>
      </c>
      <c r="F866" s="176">
        <f t="shared" ref="F866:U866" si="802">F9*$E$860</f>
        <v>0</v>
      </c>
      <c r="G866" s="176">
        <f t="shared" si="799"/>
        <v>0</v>
      </c>
      <c r="H866" s="176">
        <f t="shared" si="799"/>
        <v>0</v>
      </c>
      <c r="I866" s="176">
        <f t="shared" si="799"/>
        <v>0</v>
      </c>
      <c r="J866" s="176">
        <f t="shared" si="799"/>
        <v>0</v>
      </c>
      <c r="K866" s="176">
        <f t="shared" si="799"/>
        <v>0</v>
      </c>
      <c r="L866" s="176">
        <f t="shared" si="799"/>
        <v>0</v>
      </c>
      <c r="M866" s="176">
        <f t="shared" si="802"/>
        <v>0</v>
      </c>
      <c r="N866" s="176">
        <f t="shared" si="802"/>
        <v>0</v>
      </c>
      <c r="O866" s="176">
        <f t="shared" si="800"/>
        <v>0</v>
      </c>
      <c r="P866" s="176">
        <f t="shared" si="802"/>
        <v>0</v>
      </c>
      <c r="Q866" s="175">
        <f t="shared" si="801"/>
        <v>0</v>
      </c>
      <c r="R866" s="176">
        <f t="shared" si="802"/>
        <v>0</v>
      </c>
      <c r="S866" s="176">
        <f t="shared" si="802"/>
        <v>0</v>
      </c>
      <c r="T866" s="176">
        <f t="shared" si="802"/>
        <v>0</v>
      </c>
      <c r="U866" s="176">
        <f t="shared" si="802"/>
        <v>0</v>
      </c>
    </row>
    <row r="867" spans="3:21" ht="18.75" x14ac:dyDescent="0.3">
      <c r="C867" s="294">
        <f t="shared" si="795"/>
        <v>1</v>
      </c>
      <c r="D867" s="113" t="s">
        <v>120</v>
      </c>
      <c r="E867" s="76" t="s">
        <v>54</v>
      </c>
      <c r="F867" s="176">
        <f t="shared" ref="F867:U867" si="803">F10*$E$860</f>
        <v>0</v>
      </c>
      <c r="G867" s="176">
        <f t="shared" si="799"/>
        <v>0</v>
      </c>
      <c r="H867" s="176">
        <f t="shared" si="799"/>
        <v>0</v>
      </c>
      <c r="I867" s="176">
        <f t="shared" si="799"/>
        <v>0</v>
      </c>
      <c r="J867" s="176">
        <f t="shared" si="799"/>
        <v>0</v>
      </c>
      <c r="K867" s="176">
        <f t="shared" si="799"/>
        <v>0</v>
      </c>
      <c r="L867" s="176">
        <f t="shared" si="799"/>
        <v>0</v>
      </c>
      <c r="M867" s="176">
        <f t="shared" si="803"/>
        <v>0</v>
      </c>
      <c r="N867" s="176">
        <f t="shared" si="803"/>
        <v>0</v>
      </c>
      <c r="O867" s="176">
        <f t="shared" si="800"/>
        <v>0</v>
      </c>
      <c r="P867" s="176">
        <f t="shared" si="803"/>
        <v>0</v>
      </c>
      <c r="Q867" s="175">
        <f t="shared" si="801"/>
        <v>0</v>
      </c>
      <c r="R867" s="176">
        <f t="shared" si="803"/>
        <v>0</v>
      </c>
      <c r="S867" s="176">
        <f t="shared" si="803"/>
        <v>0</v>
      </c>
      <c r="T867" s="176">
        <f t="shared" si="803"/>
        <v>0</v>
      </c>
      <c r="U867" s="176">
        <f t="shared" si="803"/>
        <v>0</v>
      </c>
    </row>
    <row r="868" spans="3:21" ht="18.75" x14ac:dyDescent="0.3">
      <c r="C868" s="294">
        <f t="shared" si="795"/>
        <v>1</v>
      </c>
      <c r="D868" s="113" t="s">
        <v>121</v>
      </c>
      <c r="E868" s="76" t="s">
        <v>53</v>
      </c>
      <c r="F868" s="176">
        <f t="shared" ref="F868:U868" si="804">F11*$E$860</f>
        <v>0</v>
      </c>
      <c r="G868" s="176">
        <f t="shared" si="799"/>
        <v>0</v>
      </c>
      <c r="H868" s="176">
        <f t="shared" si="799"/>
        <v>0</v>
      </c>
      <c r="I868" s="176">
        <f t="shared" si="799"/>
        <v>0</v>
      </c>
      <c r="J868" s="176">
        <f t="shared" si="799"/>
        <v>0</v>
      </c>
      <c r="K868" s="176">
        <f t="shared" si="799"/>
        <v>0</v>
      </c>
      <c r="L868" s="176">
        <f t="shared" si="799"/>
        <v>0</v>
      </c>
      <c r="M868" s="176">
        <f t="shared" si="804"/>
        <v>0</v>
      </c>
      <c r="N868" s="176">
        <f t="shared" si="804"/>
        <v>0</v>
      </c>
      <c r="O868" s="176">
        <f t="shared" si="800"/>
        <v>0</v>
      </c>
      <c r="P868" s="176">
        <f t="shared" si="804"/>
        <v>0</v>
      </c>
      <c r="Q868" s="175">
        <f t="shared" si="801"/>
        <v>0</v>
      </c>
      <c r="R868" s="176">
        <f t="shared" si="804"/>
        <v>0</v>
      </c>
      <c r="S868" s="176">
        <f t="shared" si="804"/>
        <v>0</v>
      </c>
      <c r="T868" s="176">
        <f t="shared" si="804"/>
        <v>0</v>
      </c>
      <c r="U868" s="176">
        <f t="shared" si="804"/>
        <v>0</v>
      </c>
    </row>
    <row r="869" spans="3:21" ht="18.75" x14ac:dyDescent="0.3">
      <c r="C869" s="294">
        <f t="shared" si="795"/>
        <v>1</v>
      </c>
      <c r="D869" s="113" t="s">
        <v>122</v>
      </c>
      <c r="E869" s="76" t="s">
        <v>52</v>
      </c>
      <c r="F869" s="176">
        <f t="shared" ref="F869:U869" si="805">F12*$E$860</f>
        <v>0</v>
      </c>
      <c r="G869" s="176">
        <f t="shared" si="799"/>
        <v>0</v>
      </c>
      <c r="H869" s="176">
        <f t="shared" si="799"/>
        <v>0</v>
      </c>
      <c r="I869" s="176">
        <f t="shared" si="799"/>
        <v>0</v>
      </c>
      <c r="J869" s="176">
        <f t="shared" si="799"/>
        <v>0</v>
      </c>
      <c r="K869" s="176">
        <f t="shared" si="799"/>
        <v>0</v>
      </c>
      <c r="L869" s="176">
        <f t="shared" si="799"/>
        <v>0</v>
      </c>
      <c r="M869" s="176">
        <f t="shared" si="805"/>
        <v>0</v>
      </c>
      <c r="N869" s="176">
        <f t="shared" si="805"/>
        <v>0</v>
      </c>
      <c r="O869" s="176">
        <f t="shared" si="800"/>
        <v>0</v>
      </c>
      <c r="P869" s="176">
        <f t="shared" si="805"/>
        <v>0</v>
      </c>
      <c r="Q869" s="175">
        <f t="shared" si="801"/>
        <v>0</v>
      </c>
      <c r="R869" s="176">
        <f t="shared" si="805"/>
        <v>0</v>
      </c>
      <c r="S869" s="176">
        <f t="shared" si="805"/>
        <v>0</v>
      </c>
      <c r="T869" s="176">
        <f t="shared" si="805"/>
        <v>0</v>
      </c>
      <c r="U869" s="176">
        <f t="shared" si="805"/>
        <v>0</v>
      </c>
    </row>
    <row r="870" spans="3:21" ht="18.75" x14ac:dyDescent="0.3">
      <c r="C870" s="294">
        <f t="shared" si="795"/>
        <v>1</v>
      </c>
      <c r="D870" s="125" t="s">
        <v>123</v>
      </c>
      <c r="E870" s="76" t="s">
        <v>51</v>
      </c>
      <c r="F870" s="176">
        <f t="shared" ref="F870:U870" si="806">F13*$E$860</f>
        <v>0</v>
      </c>
      <c r="G870" s="176">
        <f t="shared" si="799"/>
        <v>0</v>
      </c>
      <c r="H870" s="176">
        <f t="shared" si="799"/>
        <v>0</v>
      </c>
      <c r="I870" s="176">
        <f t="shared" si="799"/>
        <v>0</v>
      </c>
      <c r="J870" s="176">
        <f t="shared" si="799"/>
        <v>0</v>
      </c>
      <c r="K870" s="176">
        <f t="shared" si="799"/>
        <v>0</v>
      </c>
      <c r="L870" s="176">
        <f t="shared" si="799"/>
        <v>0</v>
      </c>
      <c r="M870" s="176">
        <f t="shared" si="806"/>
        <v>0</v>
      </c>
      <c r="N870" s="176">
        <f t="shared" si="806"/>
        <v>0</v>
      </c>
      <c r="O870" s="176">
        <f t="shared" si="800"/>
        <v>0</v>
      </c>
      <c r="P870" s="176">
        <f t="shared" si="806"/>
        <v>0</v>
      </c>
      <c r="Q870" s="175">
        <f t="shared" si="801"/>
        <v>0</v>
      </c>
      <c r="R870" s="176">
        <f t="shared" si="806"/>
        <v>0</v>
      </c>
      <c r="S870" s="176">
        <f t="shared" si="806"/>
        <v>0</v>
      </c>
      <c r="T870" s="176">
        <f t="shared" si="806"/>
        <v>0</v>
      </c>
      <c r="U870" s="176">
        <f t="shared" si="806"/>
        <v>0</v>
      </c>
    </row>
    <row r="871" spans="3:21" ht="19.5" thickBot="1" x14ac:dyDescent="0.35">
      <c r="C871" s="294">
        <f t="shared" si="795"/>
        <v>1</v>
      </c>
      <c r="D871" s="114" t="s">
        <v>16</v>
      </c>
      <c r="E871" s="70" t="s">
        <v>50</v>
      </c>
      <c r="F871" s="176">
        <f t="shared" ref="F871:U871" si="807">F14*$E$860</f>
        <v>4533.6011509706814</v>
      </c>
      <c r="G871" s="176">
        <f t="shared" si="799"/>
        <v>90.059267400621877</v>
      </c>
      <c r="H871" s="176">
        <f t="shared" si="799"/>
        <v>0</v>
      </c>
      <c r="I871" s="176">
        <f t="shared" si="799"/>
        <v>0</v>
      </c>
      <c r="J871" s="176">
        <f t="shared" si="799"/>
        <v>192.27110504075725</v>
      </c>
      <c r="K871" s="176">
        <f t="shared" si="799"/>
        <v>0.79158849690485678</v>
      </c>
      <c r="L871" s="176">
        <f t="shared" si="799"/>
        <v>0.11139921809370301</v>
      </c>
      <c r="M871" s="176">
        <f t="shared" si="807"/>
        <v>0</v>
      </c>
      <c r="N871" s="176">
        <f t="shared" si="807"/>
        <v>0</v>
      </c>
      <c r="O871" s="176">
        <f t="shared" si="800"/>
        <v>57.617447858351056</v>
      </c>
      <c r="P871" s="176">
        <f t="shared" si="807"/>
        <v>981.31964702723565</v>
      </c>
      <c r="Q871" s="175">
        <f t="shared" si="801"/>
        <v>5855.7716060126459</v>
      </c>
      <c r="R871" s="176">
        <f t="shared" si="807"/>
        <v>0</v>
      </c>
      <c r="S871" s="176">
        <f t="shared" si="807"/>
        <v>407.17138730132797</v>
      </c>
      <c r="T871" s="176">
        <f t="shared" ca="1" si="807"/>
        <v>118.09064963715798</v>
      </c>
      <c r="U871" s="176">
        <f t="shared" ca="1" si="807"/>
        <v>6.7291811117691722</v>
      </c>
    </row>
    <row r="872" spans="3:21" ht="19.5" thickBot="1" x14ac:dyDescent="0.3">
      <c r="C872" s="294">
        <f t="shared" si="795"/>
        <v>1</v>
      </c>
      <c r="D872" s="115" t="s">
        <v>124</v>
      </c>
      <c r="E872" s="116" t="s">
        <v>49</v>
      </c>
      <c r="F872" s="269">
        <f t="shared" ref="F872:U872" si="808">SUBTOTAL(9,F863:F871)</f>
        <v>46994.173605481818</v>
      </c>
      <c r="G872" s="269">
        <f t="shared" ref="G872:L872" si="809">SUBTOTAL(9,G863:G871)</f>
        <v>1044.8805275043767</v>
      </c>
      <c r="H872" s="269">
        <f t="shared" si="809"/>
        <v>0</v>
      </c>
      <c r="I872" s="269">
        <f t="shared" si="809"/>
        <v>1216.9329937211871</v>
      </c>
      <c r="J872" s="269">
        <f t="shared" si="809"/>
        <v>331.78624122735266</v>
      </c>
      <c r="K872" s="269">
        <f t="shared" si="809"/>
        <v>43.135151665914258</v>
      </c>
      <c r="L872" s="269">
        <f t="shared" si="809"/>
        <v>0.11139921809370301</v>
      </c>
      <c r="M872" s="269">
        <f t="shared" si="808"/>
        <v>0</v>
      </c>
      <c r="N872" s="269">
        <f t="shared" si="808"/>
        <v>0</v>
      </c>
      <c r="O872" s="269">
        <f>SUBTOTAL(9,O863:O871)</f>
        <v>58.809443697107362</v>
      </c>
      <c r="P872" s="269">
        <f t="shared" si="808"/>
        <v>981.31964702723565</v>
      </c>
      <c r="Q872" s="183">
        <f>SUBTOTAL(9,Q863:Q871)</f>
        <v>50671.149009543085</v>
      </c>
      <c r="R872" s="269">
        <f t="shared" si="808"/>
        <v>0</v>
      </c>
      <c r="S872" s="269">
        <f t="shared" si="808"/>
        <v>3827.0923151847774</v>
      </c>
      <c r="T872" s="269">
        <f t="shared" ca="1" si="808"/>
        <v>1573.7371436454055</v>
      </c>
      <c r="U872" s="269">
        <f t="shared" ca="1" si="808"/>
        <v>1088.5368421410417</v>
      </c>
    </row>
    <row r="873" spans="3:21" ht="15.75" hidden="1" thickBot="1" x14ac:dyDescent="0.3"/>
    <row r="874" spans="3:21" ht="93.75" x14ac:dyDescent="0.25">
      <c r="C874" s="294">
        <f>IF($E$874&gt;0,1,0)</f>
        <v>1</v>
      </c>
      <c r="D874" s="96" t="str">
        <f>A65</f>
        <v>Yates</v>
      </c>
      <c r="E874" s="166">
        <f>IFERROR(SUMIF(A:A,D874,B:B),0)</f>
        <v>8.2460222886133507E-4</v>
      </c>
      <c r="F874" s="98" t="s">
        <v>356</v>
      </c>
      <c r="G874" s="98" t="s">
        <v>373</v>
      </c>
      <c r="H874" s="98" t="s">
        <v>358</v>
      </c>
      <c r="I874" s="98" t="s">
        <v>109</v>
      </c>
      <c r="J874" s="98" t="s">
        <v>111</v>
      </c>
      <c r="K874" s="98" t="s">
        <v>469</v>
      </c>
      <c r="L874" s="98" t="s">
        <v>470</v>
      </c>
      <c r="M874" s="98" t="s">
        <v>357</v>
      </c>
      <c r="N874" s="557" t="s">
        <v>471</v>
      </c>
      <c r="O874" s="557" t="s">
        <v>473</v>
      </c>
      <c r="P874" s="98" t="s">
        <v>110</v>
      </c>
      <c r="Q874" s="99" t="s">
        <v>116</v>
      </c>
      <c r="R874" s="98" t="s">
        <v>112</v>
      </c>
      <c r="S874" s="98" t="s">
        <v>113</v>
      </c>
      <c r="T874" s="98" t="s">
        <v>114</v>
      </c>
      <c r="U874" s="98" t="s">
        <v>115</v>
      </c>
    </row>
    <row r="875" spans="3:21" ht="18.75" x14ac:dyDescent="0.25">
      <c r="C875" s="294">
        <f>C874</f>
        <v>1</v>
      </c>
      <c r="D875" s="101"/>
      <c r="E875" s="102"/>
      <c r="F875" s="84" t="s">
        <v>57</v>
      </c>
      <c r="G875" s="84" t="s">
        <v>56</v>
      </c>
      <c r="H875" s="84" t="s">
        <v>55</v>
      </c>
      <c r="I875" s="84" t="s">
        <v>54</v>
      </c>
      <c r="J875" s="84" t="s">
        <v>53</v>
      </c>
      <c r="K875" s="84" t="s">
        <v>52</v>
      </c>
      <c r="L875" s="84" t="s">
        <v>51</v>
      </c>
      <c r="M875" s="84" t="s">
        <v>50</v>
      </c>
      <c r="N875" s="84" t="s">
        <v>49</v>
      </c>
      <c r="O875" s="84" t="s">
        <v>47</v>
      </c>
      <c r="P875" s="84" t="s">
        <v>77</v>
      </c>
      <c r="Q875" s="84" t="s">
        <v>78</v>
      </c>
      <c r="R875" s="84" t="s">
        <v>79</v>
      </c>
      <c r="S875" s="84" t="s">
        <v>81</v>
      </c>
      <c r="T875" s="84" t="s">
        <v>83</v>
      </c>
      <c r="U875" s="84" t="s">
        <v>85</v>
      </c>
    </row>
    <row r="876" spans="3:21" ht="18.75" x14ac:dyDescent="0.25">
      <c r="C876" s="294">
        <f>C874</f>
        <v>1</v>
      </c>
      <c r="D876" s="103" t="s">
        <v>26</v>
      </c>
      <c r="E876" s="122"/>
      <c r="F876" s="123"/>
      <c r="G876" s="123"/>
      <c r="H876" s="107"/>
      <c r="I876" s="107"/>
      <c r="J876" s="107"/>
      <c r="K876" s="107"/>
      <c r="L876" s="107"/>
      <c r="M876" s="123"/>
      <c r="N876" s="107"/>
      <c r="O876" s="107"/>
      <c r="P876" s="107"/>
      <c r="Q876" s="108"/>
      <c r="R876" s="107"/>
      <c r="S876" s="107"/>
      <c r="T876" s="107"/>
      <c r="U876" s="107"/>
    </row>
    <row r="877" spans="3:21" ht="18.75" x14ac:dyDescent="0.25">
      <c r="C877" s="294">
        <f t="shared" ref="C877:C886" si="810">C875</f>
        <v>1</v>
      </c>
      <c r="D877" s="124" t="s">
        <v>105</v>
      </c>
      <c r="E877" s="76" t="s">
        <v>57</v>
      </c>
      <c r="F877" s="176">
        <f t="shared" ref="F877:L877" si="811">F6*$E$874</f>
        <v>58159.518231267095</v>
      </c>
      <c r="G877" s="176">
        <f t="shared" si="811"/>
        <v>1307.8472868941706</v>
      </c>
      <c r="H877" s="176">
        <f t="shared" si="811"/>
        <v>0</v>
      </c>
      <c r="I877" s="176">
        <f t="shared" si="811"/>
        <v>1666.869581430675</v>
      </c>
      <c r="J877" s="176">
        <f t="shared" si="811"/>
        <v>191.09806197914173</v>
      </c>
      <c r="K877" s="176">
        <f t="shared" si="811"/>
        <v>57.99924710725773</v>
      </c>
      <c r="L877" s="176">
        <f t="shared" si="811"/>
        <v>0</v>
      </c>
      <c r="M877" s="176">
        <f t="shared" ref="M877:U877" si="812">M6*$E$874</f>
        <v>0</v>
      </c>
      <c r="N877" s="176">
        <f t="shared" si="812"/>
        <v>0</v>
      </c>
      <c r="O877" s="176">
        <f>O6*$E$874</f>
        <v>1.6327124131454434</v>
      </c>
      <c r="P877" s="176">
        <f t="shared" si="812"/>
        <v>0</v>
      </c>
      <c r="Q877" s="175">
        <f>SUM(F877:P877)</f>
        <v>61384.965121091482</v>
      </c>
      <c r="R877" s="176">
        <f t="shared" si="812"/>
        <v>0</v>
      </c>
      <c r="S877" s="176">
        <f t="shared" si="812"/>
        <v>4684.3681574904795</v>
      </c>
      <c r="T877" s="176">
        <f t="shared" ca="1" si="812"/>
        <v>1993.8426147516104</v>
      </c>
      <c r="U877" s="176">
        <f t="shared" ca="1" si="812"/>
        <v>1481.7843648189405</v>
      </c>
    </row>
    <row r="878" spans="3:21" ht="18.75" x14ac:dyDescent="0.25">
      <c r="C878" s="294">
        <f t="shared" si="810"/>
        <v>1</v>
      </c>
      <c r="D878" s="112" t="s">
        <v>31</v>
      </c>
      <c r="E878" s="76"/>
      <c r="F878" s="177"/>
      <c r="G878" s="177"/>
      <c r="H878" s="178"/>
      <c r="I878" s="178"/>
      <c r="J878" s="178"/>
      <c r="K878" s="178"/>
      <c r="L878" s="178"/>
      <c r="M878" s="177"/>
      <c r="N878" s="178"/>
      <c r="O878" s="178"/>
      <c r="P878" s="178"/>
      <c r="Q878" s="179"/>
      <c r="R878" s="178"/>
      <c r="S878" s="178"/>
      <c r="T878" s="178"/>
      <c r="U878" s="178"/>
    </row>
    <row r="879" spans="3:21" ht="18.75" x14ac:dyDescent="0.3">
      <c r="C879" s="294">
        <f t="shared" si="810"/>
        <v>1</v>
      </c>
      <c r="D879" s="113" t="s">
        <v>118</v>
      </c>
      <c r="E879" s="76" t="s">
        <v>56</v>
      </c>
      <c r="F879" s="176">
        <f t="shared" ref="F879:U879" si="813">F8*$E$874</f>
        <v>0</v>
      </c>
      <c r="G879" s="176">
        <f t="shared" ref="G879:L885" si="814">G8*$E$874</f>
        <v>0</v>
      </c>
      <c r="H879" s="176">
        <f t="shared" si="814"/>
        <v>0</v>
      </c>
      <c r="I879" s="176">
        <f t="shared" si="814"/>
        <v>0</v>
      </c>
      <c r="J879" s="176">
        <f t="shared" si="814"/>
        <v>0</v>
      </c>
      <c r="K879" s="176">
        <f t="shared" si="814"/>
        <v>0</v>
      </c>
      <c r="L879" s="176">
        <f t="shared" si="814"/>
        <v>0</v>
      </c>
      <c r="M879" s="176">
        <f t="shared" si="813"/>
        <v>0</v>
      </c>
      <c r="N879" s="176">
        <f t="shared" si="813"/>
        <v>0</v>
      </c>
      <c r="O879" s="176">
        <f t="shared" ref="O879:O885" si="815">O8*$E$874</f>
        <v>0</v>
      </c>
      <c r="P879" s="176">
        <f t="shared" si="813"/>
        <v>0</v>
      </c>
      <c r="Q879" s="175">
        <f t="shared" ref="Q879:Q885" si="816">SUM(F879:P879)</f>
        <v>0</v>
      </c>
      <c r="R879" s="176">
        <f t="shared" si="813"/>
        <v>0</v>
      </c>
      <c r="S879" s="176">
        <f t="shared" si="813"/>
        <v>0</v>
      </c>
      <c r="T879" s="176">
        <f t="shared" si="813"/>
        <v>0</v>
      </c>
      <c r="U879" s="176">
        <f t="shared" si="813"/>
        <v>0</v>
      </c>
    </row>
    <row r="880" spans="3:21" ht="18.75" x14ac:dyDescent="0.3">
      <c r="C880" s="294">
        <f t="shared" si="810"/>
        <v>1</v>
      </c>
      <c r="D880" s="113" t="s">
        <v>119</v>
      </c>
      <c r="E880" s="76" t="s">
        <v>55</v>
      </c>
      <c r="F880" s="176">
        <f t="shared" ref="F880:U880" si="817">F9*$E$874</f>
        <v>0</v>
      </c>
      <c r="G880" s="176">
        <f t="shared" si="814"/>
        <v>0</v>
      </c>
      <c r="H880" s="176">
        <f t="shared" si="814"/>
        <v>0</v>
      </c>
      <c r="I880" s="176">
        <f t="shared" si="814"/>
        <v>0</v>
      </c>
      <c r="J880" s="176">
        <f t="shared" si="814"/>
        <v>0</v>
      </c>
      <c r="K880" s="176">
        <f t="shared" si="814"/>
        <v>0</v>
      </c>
      <c r="L880" s="176">
        <f t="shared" si="814"/>
        <v>0</v>
      </c>
      <c r="M880" s="176">
        <f t="shared" si="817"/>
        <v>0</v>
      </c>
      <c r="N880" s="176">
        <f t="shared" si="817"/>
        <v>0</v>
      </c>
      <c r="O880" s="176">
        <f t="shared" si="815"/>
        <v>0</v>
      </c>
      <c r="P880" s="176">
        <f t="shared" si="817"/>
        <v>0</v>
      </c>
      <c r="Q880" s="175">
        <f t="shared" si="816"/>
        <v>0</v>
      </c>
      <c r="R880" s="176">
        <f t="shared" si="817"/>
        <v>0</v>
      </c>
      <c r="S880" s="176">
        <f t="shared" si="817"/>
        <v>0</v>
      </c>
      <c r="T880" s="176">
        <f t="shared" si="817"/>
        <v>0</v>
      </c>
      <c r="U880" s="176">
        <f t="shared" si="817"/>
        <v>0</v>
      </c>
    </row>
    <row r="881" spans="3:21" ht="18.75" x14ac:dyDescent="0.3">
      <c r="C881" s="294">
        <f t="shared" si="810"/>
        <v>1</v>
      </c>
      <c r="D881" s="113" t="s">
        <v>120</v>
      </c>
      <c r="E881" s="76" t="s">
        <v>54</v>
      </c>
      <c r="F881" s="176">
        <f t="shared" ref="F881:U881" si="818">F10*$E$874</f>
        <v>0</v>
      </c>
      <c r="G881" s="176">
        <f t="shared" si="814"/>
        <v>0</v>
      </c>
      <c r="H881" s="176">
        <f t="shared" si="814"/>
        <v>0</v>
      </c>
      <c r="I881" s="176">
        <f t="shared" si="814"/>
        <v>0</v>
      </c>
      <c r="J881" s="176">
        <f t="shared" si="814"/>
        <v>0</v>
      </c>
      <c r="K881" s="176">
        <f t="shared" si="814"/>
        <v>0</v>
      </c>
      <c r="L881" s="176">
        <f t="shared" si="814"/>
        <v>0</v>
      </c>
      <c r="M881" s="176">
        <f t="shared" si="818"/>
        <v>0</v>
      </c>
      <c r="N881" s="176">
        <f t="shared" si="818"/>
        <v>0</v>
      </c>
      <c r="O881" s="176">
        <f t="shared" si="815"/>
        <v>0</v>
      </c>
      <c r="P881" s="176">
        <f t="shared" si="818"/>
        <v>0</v>
      </c>
      <c r="Q881" s="175">
        <f t="shared" si="816"/>
        <v>0</v>
      </c>
      <c r="R881" s="176">
        <f t="shared" si="818"/>
        <v>0</v>
      </c>
      <c r="S881" s="176">
        <f t="shared" si="818"/>
        <v>0</v>
      </c>
      <c r="T881" s="176">
        <f t="shared" si="818"/>
        <v>0</v>
      </c>
      <c r="U881" s="176">
        <f t="shared" si="818"/>
        <v>0</v>
      </c>
    </row>
    <row r="882" spans="3:21" ht="18.75" x14ac:dyDescent="0.3">
      <c r="C882" s="294">
        <f t="shared" si="810"/>
        <v>1</v>
      </c>
      <c r="D882" s="113" t="s">
        <v>121</v>
      </c>
      <c r="E882" s="76" t="s">
        <v>53</v>
      </c>
      <c r="F882" s="176">
        <f t="shared" ref="F882:U882" si="819">F11*$E$874</f>
        <v>0</v>
      </c>
      <c r="G882" s="176">
        <f t="shared" si="814"/>
        <v>0</v>
      </c>
      <c r="H882" s="176">
        <f t="shared" si="814"/>
        <v>0</v>
      </c>
      <c r="I882" s="176">
        <f t="shared" si="814"/>
        <v>0</v>
      </c>
      <c r="J882" s="176">
        <f t="shared" si="814"/>
        <v>0</v>
      </c>
      <c r="K882" s="176">
        <f t="shared" si="814"/>
        <v>0</v>
      </c>
      <c r="L882" s="176">
        <f t="shared" si="814"/>
        <v>0</v>
      </c>
      <c r="M882" s="176">
        <f t="shared" si="819"/>
        <v>0</v>
      </c>
      <c r="N882" s="176">
        <f t="shared" si="819"/>
        <v>0</v>
      </c>
      <c r="O882" s="176">
        <f t="shared" si="815"/>
        <v>0</v>
      </c>
      <c r="P882" s="176">
        <f t="shared" si="819"/>
        <v>0</v>
      </c>
      <c r="Q882" s="175">
        <f t="shared" si="816"/>
        <v>0</v>
      </c>
      <c r="R882" s="176">
        <f t="shared" si="819"/>
        <v>0</v>
      </c>
      <c r="S882" s="176">
        <f t="shared" si="819"/>
        <v>0</v>
      </c>
      <c r="T882" s="176">
        <f t="shared" si="819"/>
        <v>0</v>
      </c>
      <c r="U882" s="176">
        <f t="shared" si="819"/>
        <v>0</v>
      </c>
    </row>
    <row r="883" spans="3:21" ht="18.75" x14ac:dyDescent="0.3">
      <c r="C883" s="294">
        <f t="shared" si="810"/>
        <v>1</v>
      </c>
      <c r="D883" s="113" t="s">
        <v>122</v>
      </c>
      <c r="E883" s="76" t="s">
        <v>52</v>
      </c>
      <c r="F883" s="176">
        <f t="shared" ref="F883:U883" si="820">F12*$E$874</f>
        <v>0</v>
      </c>
      <c r="G883" s="176">
        <f t="shared" si="814"/>
        <v>0</v>
      </c>
      <c r="H883" s="176">
        <f t="shared" si="814"/>
        <v>0</v>
      </c>
      <c r="I883" s="176">
        <f t="shared" si="814"/>
        <v>0</v>
      </c>
      <c r="J883" s="176">
        <f t="shared" si="814"/>
        <v>0</v>
      </c>
      <c r="K883" s="176">
        <f t="shared" si="814"/>
        <v>0</v>
      </c>
      <c r="L883" s="176">
        <f t="shared" si="814"/>
        <v>0</v>
      </c>
      <c r="M883" s="176">
        <f t="shared" si="820"/>
        <v>0</v>
      </c>
      <c r="N883" s="176">
        <f t="shared" si="820"/>
        <v>0</v>
      </c>
      <c r="O883" s="176">
        <f t="shared" si="815"/>
        <v>0</v>
      </c>
      <c r="P883" s="176">
        <f t="shared" si="820"/>
        <v>0</v>
      </c>
      <c r="Q883" s="175">
        <f t="shared" si="816"/>
        <v>0</v>
      </c>
      <c r="R883" s="176">
        <f t="shared" si="820"/>
        <v>0</v>
      </c>
      <c r="S883" s="176">
        <f t="shared" si="820"/>
        <v>0</v>
      </c>
      <c r="T883" s="176">
        <f t="shared" si="820"/>
        <v>0</v>
      </c>
      <c r="U883" s="176">
        <f t="shared" si="820"/>
        <v>0</v>
      </c>
    </row>
    <row r="884" spans="3:21" ht="18.75" x14ac:dyDescent="0.3">
      <c r="C884" s="294">
        <f t="shared" si="810"/>
        <v>1</v>
      </c>
      <c r="D884" s="125" t="s">
        <v>123</v>
      </c>
      <c r="E884" s="76" t="s">
        <v>51</v>
      </c>
      <c r="F884" s="176">
        <f t="shared" ref="F884:U884" si="821">F13*$E$874</f>
        <v>0</v>
      </c>
      <c r="G884" s="176">
        <f t="shared" si="814"/>
        <v>0</v>
      </c>
      <c r="H884" s="176">
        <f t="shared" si="814"/>
        <v>0</v>
      </c>
      <c r="I884" s="176">
        <f t="shared" si="814"/>
        <v>0</v>
      </c>
      <c r="J884" s="176">
        <f t="shared" si="814"/>
        <v>0</v>
      </c>
      <c r="K884" s="176">
        <f t="shared" si="814"/>
        <v>0</v>
      </c>
      <c r="L884" s="176">
        <f t="shared" si="814"/>
        <v>0</v>
      </c>
      <c r="M884" s="176">
        <f t="shared" si="821"/>
        <v>0</v>
      </c>
      <c r="N884" s="176">
        <f t="shared" si="821"/>
        <v>0</v>
      </c>
      <c r="O884" s="176">
        <f t="shared" si="815"/>
        <v>0</v>
      </c>
      <c r="P884" s="176">
        <f t="shared" si="821"/>
        <v>0</v>
      </c>
      <c r="Q884" s="175">
        <f t="shared" si="816"/>
        <v>0</v>
      </c>
      <c r="R884" s="176">
        <f t="shared" si="821"/>
        <v>0</v>
      </c>
      <c r="S884" s="176">
        <f t="shared" si="821"/>
        <v>0</v>
      </c>
      <c r="T884" s="176">
        <f t="shared" si="821"/>
        <v>0</v>
      </c>
      <c r="U884" s="176">
        <f t="shared" si="821"/>
        <v>0</v>
      </c>
    </row>
    <row r="885" spans="3:21" ht="19.5" thickBot="1" x14ac:dyDescent="0.35">
      <c r="C885" s="294">
        <f t="shared" si="810"/>
        <v>1</v>
      </c>
      <c r="D885" s="114" t="s">
        <v>16</v>
      </c>
      <c r="E885" s="70" t="s">
        <v>50</v>
      </c>
      <c r="F885" s="176">
        <f t="shared" ref="F885:U885" si="822">F14*$E$874</f>
        <v>6209.8093254783598</v>
      </c>
      <c r="G885" s="176">
        <f t="shared" si="814"/>
        <v>123.35687678003848</v>
      </c>
      <c r="H885" s="176">
        <f t="shared" si="814"/>
        <v>0</v>
      </c>
      <c r="I885" s="176">
        <f t="shared" si="814"/>
        <v>0</v>
      </c>
      <c r="J885" s="176">
        <f t="shared" si="814"/>
        <v>263.35949311431716</v>
      </c>
      <c r="K885" s="176">
        <f t="shared" si="814"/>
        <v>1.0842624806041228</v>
      </c>
      <c r="L885" s="176">
        <f t="shared" si="814"/>
        <v>0.15258684660011643</v>
      </c>
      <c r="M885" s="176">
        <f t="shared" si="822"/>
        <v>0</v>
      </c>
      <c r="N885" s="176">
        <f t="shared" si="822"/>
        <v>0</v>
      </c>
      <c r="O885" s="176">
        <f t="shared" si="815"/>
        <v>78.920344579594314</v>
      </c>
      <c r="P885" s="176">
        <f t="shared" si="822"/>
        <v>1344.1429213683975</v>
      </c>
      <c r="Q885" s="175">
        <f t="shared" si="816"/>
        <v>8020.8258106479125</v>
      </c>
      <c r="R885" s="176">
        <f t="shared" si="822"/>
        <v>0</v>
      </c>
      <c r="S885" s="176">
        <f t="shared" si="822"/>
        <v>557.71484824825939</v>
      </c>
      <c r="T885" s="176">
        <f t="shared" ca="1" si="822"/>
        <v>161.75230086387538</v>
      </c>
      <c r="U885" s="176">
        <f t="shared" ca="1" si="822"/>
        <v>9.217160978475162</v>
      </c>
    </row>
    <row r="886" spans="3:21" ht="19.5" thickBot="1" x14ac:dyDescent="0.3">
      <c r="C886" s="294">
        <f t="shared" si="810"/>
        <v>1</v>
      </c>
      <c r="D886" s="115" t="s">
        <v>124</v>
      </c>
      <c r="E886" s="116" t="s">
        <v>49</v>
      </c>
      <c r="F886" s="269">
        <f t="shared" ref="F886:U886" si="823">SUBTOTAL(9,F877:F885)</f>
        <v>64369.327556745455</v>
      </c>
      <c r="G886" s="269">
        <f t="shared" ref="G886:L886" si="824">SUBTOTAL(9,G877:G885)</f>
        <v>1431.204163674209</v>
      </c>
      <c r="H886" s="269">
        <f t="shared" si="824"/>
        <v>0</v>
      </c>
      <c r="I886" s="269">
        <f t="shared" si="824"/>
        <v>1666.869581430675</v>
      </c>
      <c r="J886" s="269">
        <f t="shared" si="824"/>
        <v>454.45755509345889</v>
      </c>
      <c r="K886" s="269">
        <f t="shared" si="824"/>
        <v>59.083509587861855</v>
      </c>
      <c r="L886" s="269">
        <f t="shared" si="824"/>
        <v>0.15258684660011643</v>
      </c>
      <c r="M886" s="269">
        <f t="shared" si="823"/>
        <v>0</v>
      </c>
      <c r="N886" s="269">
        <f t="shared" si="823"/>
        <v>0</v>
      </c>
      <c r="O886" s="269">
        <f>SUBTOTAL(9,O877:O885)</f>
        <v>80.553056992739755</v>
      </c>
      <c r="P886" s="269">
        <f t="shared" si="823"/>
        <v>1344.1429213683975</v>
      </c>
      <c r="Q886" s="183">
        <f>SUBTOTAL(9,Q877:Q885)</f>
        <v>69405.790931739393</v>
      </c>
      <c r="R886" s="269">
        <f t="shared" si="823"/>
        <v>0</v>
      </c>
      <c r="S886" s="269">
        <f t="shared" si="823"/>
        <v>5242.0830057387393</v>
      </c>
      <c r="T886" s="269">
        <f t="shared" ca="1" si="823"/>
        <v>2155.5949156154857</v>
      </c>
      <c r="U886" s="269">
        <f t="shared" ca="1" si="823"/>
        <v>1491.0015257974158</v>
      </c>
    </row>
    <row r="887" spans="3:21" x14ac:dyDescent="0.25">
      <c r="C887" s="294">
        <v>1</v>
      </c>
    </row>
    <row r="888" spans="3:21" x14ac:dyDescent="0.25">
      <c r="C888" s="294">
        <v>1</v>
      </c>
      <c r="D888" s="117" t="s">
        <v>369</v>
      </c>
      <c r="E888" s="303">
        <f>SUM(E1:E887)</f>
        <v>0.99999999999999978</v>
      </c>
    </row>
    <row r="889" spans="3:21" x14ac:dyDescent="0.25">
      <c r="C889" s="294">
        <v>1</v>
      </c>
    </row>
    <row r="890" spans="3:21" x14ac:dyDescent="0.25">
      <c r="C890" s="294">
        <v>1</v>
      </c>
      <c r="E890" s="67" t="s">
        <v>68</v>
      </c>
      <c r="F890" s="66">
        <f t="shared" ref="F890:K890" si="825">SUBTOTAL(9,F23:F888)</f>
        <v>78061064.236548111</v>
      </c>
      <c r="G890" s="66">
        <f t="shared" si="825"/>
        <v>1735629.7540579159</v>
      </c>
      <c r="H890" s="66">
        <f t="shared" si="825"/>
        <v>0</v>
      </c>
      <c r="I890" s="66">
        <f t="shared" si="825"/>
        <v>2021422.6000000008</v>
      </c>
      <c r="J890" s="66">
        <f t="shared" si="825"/>
        <v>551123.3649234781</v>
      </c>
      <c r="K890" s="66">
        <f t="shared" si="825"/>
        <v>71650.921523033263</v>
      </c>
      <c r="L890" s="66"/>
      <c r="M890" s="66">
        <f t="shared" ref="M890:U890" si="826">SUBTOTAL(9,M23:M888)</f>
        <v>0</v>
      </c>
      <c r="N890" s="66">
        <f t="shared" si="826"/>
        <v>0</v>
      </c>
      <c r="O890" s="66"/>
      <c r="P890" s="66">
        <f t="shared" si="826"/>
        <v>1630050.070595223</v>
      </c>
      <c r="Q890" s="66">
        <f>SUBTOTAL(9,Q23:Q888)</f>
        <v>84168813.159260362</v>
      </c>
      <c r="R890" s="66">
        <f t="shared" si="826"/>
        <v>0</v>
      </c>
      <c r="S890" s="66">
        <f t="shared" si="826"/>
        <v>6357105.0650413018</v>
      </c>
      <c r="T890" s="66">
        <f t="shared" ca="1" si="826"/>
        <v>2614102.7033022624</v>
      </c>
      <c r="U890" s="66">
        <f t="shared" ca="1" si="826"/>
        <v>1808146.3687726003</v>
      </c>
    </row>
    <row r="891" spans="3:21" x14ac:dyDescent="0.25">
      <c r="C891" s="294">
        <v>1</v>
      </c>
      <c r="E891" s="65" t="s">
        <v>69</v>
      </c>
      <c r="F891" s="306">
        <f t="shared" ref="F891:K891" si="827">+F890-F15</f>
        <v>0</v>
      </c>
      <c r="G891" s="306">
        <f t="shared" si="827"/>
        <v>0</v>
      </c>
      <c r="H891" s="306">
        <f t="shared" si="827"/>
        <v>0</v>
      </c>
      <c r="I891" s="306">
        <f t="shared" si="827"/>
        <v>0</v>
      </c>
      <c r="J891" s="306">
        <f t="shared" si="827"/>
        <v>0</v>
      </c>
      <c r="K891" s="306">
        <f t="shared" si="827"/>
        <v>0</v>
      </c>
      <c r="L891" s="306"/>
      <c r="M891" s="306">
        <f t="shared" ref="M891:U891" si="828">+M890-M15</f>
        <v>0</v>
      </c>
      <c r="N891" s="306">
        <f t="shared" si="828"/>
        <v>0</v>
      </c>
      <c r="O891" s="306"/>
      <c r="P891" s="306">
        <f t="shared" si="828"/>
        <v>0</v>
      </c>
      <c r="Q891" s="306">
        <f>+Q890-Q15</f>
        <v>0</v>
      </c>
      <c r="R891" s="306">
        <f t="shared" si="828"/>
        <v>0</v>
      </c>
      <c r="S891" s="306">
        <f t="shared" si="828"/>
        <v>0</v>
      </c>
      <c r="T891" s="306">
        <f t="shared" ca="1" si="828"/>
        <v>0</v>
      </c>
      <c r="U891" s="306">
        <f t="shared" ca="1" si="828"/>
        <v>0</v>
      </c>
    </row>
  </sheetData>
  <autoFilter ref="A1:X891" xr:uid="{00000000-0009-0000-0000-000016000000}">
    <filterColumn colId="2">
      <customFilters>
        <customFilter operator="notEqual" val=" "/>
      </customFilters>
    </filterColumn>
    <filterColumn colId="4" showButton="0"/>
    <filterColumn colId="5" showButton="0"/>
    <filterColumn colId="6" hiddenButton="1" showButton="0"/>
    <filterColumn colId="12" showButton="0"/>
  </autoFilter>
  <customSheetViews>
    <customSheetView guid="{DE5AAEC6-B417-4CB5-A2E1-8776196B56AA}" scale="49" showPageBreaks="1" fitToPage="1" printArea="1">
      <selection activeCell="A4" sqref="A4:B13"/>
      <pageMargins left="0.7" right="0.7" top="0.75" bottom="0.75" header="0.3" footer="0.3"/>
      <pageSetup paperSize="17" scale="50" orientation="landscape" r:id="rId1"/>
    </customSheetView>
    <customSheetView guid="{3ACE1F12-3844-4D90-9B24-992DA32A7B7A}" scale="49" fitToPage="1">
      <selection activeCell="A4" sqref="A4:B13"/>
      <pageMargins left="0.7" right="0.7" top="0.75" bottom="0.75" header="0.3" footer="0.3"/>
      <pageSetup paperSize="17" scale="50" orientation="landscape" r:id="rId2"/>
    </customSheetView>
  </customSheetViews>
  <phoneticPr fontId="100" type="noConversion"/>
  <conditionalFormatting sqref="E888">
    <cfRule type="cellIs" dxfId="466" priority="8" operator="lessThan">
      <formula>1</formula>
    </cfRule>
    <cfRule type="cellIs" dxfId="465" priority="9" operator="equal">
      <formula>1</formula>
    </cfRule>
  </conditionalFormatting>
  <conditionalFormatting sqref="F891:U891">
    <cfRule type="cellIs" dxfId="464" priority="5" operator="lessThan">
      <formula>0</formula>
    </cfRule>
    <cfRule type="cellIs" dxfId="463" priority="6" operator="greaterThan">
      <formula>0</formula>
    </cfRule>
    <cfRule type="cellIs" dxfId="462" priority="7" operator="equal">
      <formula>0</formula>
    </cfRule>
  </conditionalFormatting>
  <conditionalFormatting sqref="V6">
    <cfRule type="containsText" dxfId="461" priority="3" operator="containsText" text="TRUE">
      <formula>NOT(ISERROR(SEARCH("TRUE",V6)))</formula>
    </cfRule>
    <cfRule type="containsText" dxfId="460" priority="4" operator="containsText" text="FALSE">
      <formula>NOT(ISERROR(SEARCH("FALSE",V6)))</formula>
    </cfRule>
  </conditionalFormatting>
  <conditionalFormatting sqref="V14">
    <cfRule type="containsText" dxfId="459" priority="1" operator="containsText" text="TRUE">
      <formula>NOT(ISERROR(SEARCH("TRUE",V14)))</formula>
    </cfRule>
    <cfRule type="containsText" dxfId="458" priority="2" operator="containsText" text="FALSE">
      <formula>NOT(ISERROR(SEARCH("FALSE",V14)))</formula>
    </cfRule>
  </conditionalFormatting>
  <pageMargins left="0.7" right="0.7" top="0.75" bottom="0.75" header="0.3" footer="0.3"/>
  <pageSetup paperSize="17" scale="18" orientation="landscape"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0" filterMode="1">
    <tabColor rgb="FF92D050"/>
    <pageSetUpPr fitToPage="1"/>
  </sheetPr>
  <dimension ref="A1:T1080"/>
  <sheetViews>
    <sheetView zoomScale="85" zoomScaleNormal="85" workbookViewId="0"/>
  </sheetViews>
  <sheetFormatPr defaultColWidth="7.28515625" defaultRowHeight="15" x14ac:dyDescent="0.25"/>
  <cols>
    <col min="1" max="1" width="16.28515625" style="119" bestFit="1" customWidth="1"/>
    <col min="2" max="2" width="15.7109375" style="310" bestFit="1" customWidth="1"/>
    <col min="3" max="3" width="2.7109375" style="119" customWidth="1"/>
    <col min="4" max="4" width="56.42578125" style="117" bestFit="1" customWidth="1"/>
    <col min="5" max="5" width="9.7109375" style="132" bestFit="1" customWidth="1"/>
    <col min="6" max="7" width="22" style="117" customWidth="1"/>
    <col min="8" max="17" width="22" style="118" customWidth="1"/>
    <col min="18" max="18" width="9" style="628" bestFit="1" customWidth="1"/>
    <col min="19" max="19" width="8" style="628" bestFit="1" customWidth="1"/>
    <col min="20" max="20" width="9" style="628" bestFit="1" customWidth="1"/>
    <col min="21" max="16384" width="7.28515625" style="119"/>
  </cols>
  <sheetData>
    <row r="1" spans="1:20" ht="18.75" x14ac:dyDescent="0.25">
      <c r="A1" s="289" t="s">
        <v>20</v>
      </c>
      <c r="B1" s="307"/>
      <c r="C1" s="119">
        <v>1</v>
      </c>
      <c r="D1" s="94" t="s">
        <v>64</v>
      </c>
      <c r="E1" s="957"/>
      <c r="F1" s="958"/>
      <c r="G1" s="958"/>
      <c r="H1" s="959"/>
      <c r="I1" s="90"/>
      <c r="J1" s="90"/>
      <c r="K1" s="90"/>
      <c r="L1" s="90"/>
      <c r="M1" s="90"/>
      <c r="N1" s="90"/>
      <c r="O1" s="90"/>
      <c r="P1" s="90"/>
      <c r="Q1" s="90"/>
    </row>
    <row r="2" spans="1:20" ht="19.5" thickBot="1" x14ac:dyDescent="0.3">
      <c r="A2" s="62"/>
      <c r="B2" s="307"/>
      <c r="C2" s="119">
        <v>1</v>
      </c>
      <c r="D2" s="95" t="s">
        <v>63</v>
      </c>
      <c r="E2" s="960"/>
      <c r="F2" s="961"/>
      <c r="G2" s="961"/>
      <c r="H2" s="962"/>
      <c r="I2" s="90"/>
      <c r="J2" s="90"/>
      <c r="K2" s="90"/>
      <c r="L2" s="90"/>
      <c r="M2" s="90"/>
      <c r="N2" s="90"/>
      <c r="O2" s="90"/>
      <c r="P2" s="90"/>
      <c r="Q2" s="90"/>
    </row>
    <row r="3" spans="1:20" ht="45" x14ac:dyDescent="0.25">
      <c r="A3" s="100"/>
      <c r="B3" s="308"/>
      <c r="C3" s="119">
        <v>1</v>
      </c>
      <c r="D3" s="96" t="s">
        <v>130</v>
      </c>
      <c r="E3" s="166"/>
      <c r="F3" s="98" t="s">
        <v>97</v>
      </c>
      <c r="G3" s="98" t="s">
        <v>126</v>
      </c>
      <c r="H3" s="98" t="s">
        <v>127</v>
      </c>
      <c r="I3" s="99" t="s">
        <v>128</v>
      </c>
      <c r="J3" s="99" t="s">
        <v>131</v>
      </c>
      <c r="K3" s="560" t="s">
        <v>474</v>
      </c>
      <c r="L3" s="560" t="s">
        <v>475</v>
      </c>
      <c r="M3" s="560" t="s">
        <v>476</v>
      </c>
      <c r="N3" s="560" t="s">
        <v>477</v>
      </c>
      <c r="O3" s="560" t="s">
        <v>478</v>
      </c>
      <c r="P3" s="560" t="s">
        <v>479</v>
      </c>
      <c r="Q3" s="99" t="s">
        <v>129</v>
      </c>
    </row>
    <row r="4" spans="1:20" ht="18.75" x14ac:dyDescent="0.25">
      <c r="A4" s="60" t="s">
        <v>303</v>
      </c>
      <c r="B4" s="309">
        <f>IFERROR(+GETPIVOTDATA("Unique Billed Hours",'County allocation'!$A$3,"County",A4,"HHA/CDPAP","HHA"),0)</f>
        <v>1.0414062357525667E-2</v>
      </c>
      <c r="C4" s="119">
        <v>1</v>
      </c>
      <c r="D4" s="127"/>
      <c r="E4" s="128"/>
      <c r="F4" s="84" t="s">
        <v>57</v>
      </c>
      <c r="G4" s="84" t="s">
        <v>56</v>
      </c>
      <c r="H4" s="84" t="s">
        <v>55</v>
      </c>
      <c r="I4" s="84" t="s">
        <v>54</v>
      </c>
      <c r="J4" s="129" t="s">
        <v>53</v>
      </c>
      <c r="K4" s="129" t="s">
        <v>52</v>
      </c>
      <c r="L4" s="129" t="s">
        <v>51</v>
      </c>
      <c r="M4" s="129" t="s">
        <v>50</v>
      </c>
      <c r="N4" s="129" t="s">
        <v>49</v>
      </c>
      <c r="O4" s="129" t="s">
        <v>47</v>
      </c>
      <c r="P4" s="129" t="s">
        <v>77</v>
      </c>
      <c r="Q4" s="129" t="s">
        <v>78</v>
      </c>
    </row>
    <row r="5" spans="1:20" ht="18.75" x14ac:dyDescent="0.25">
      <c r="A5" s="60" t="s">
        <v>304</v>
      </c>
      <c r="B5" s="309">
        <f>IFERROR(+GETPIVOTDATA("Unique Billed Hours",'County allocation'!$A$3,"County",A5,"HHA/CDPAP","HHA"),0)</f>
        <v>0</v>
      </c>
      <c r="C5" s="119">
        <v>1</v>
      </c>
      <c r="D5" s="133" t="s">
        <v>26</v>
      </c>
      <c r="E5" s="134"/>
      <c r="F5" s="135"/>
      <c r="G5" s="135"/>
      <c r="H5" s="136"/>
      <c r="I5" s="136"/>
      <c r="J5" s="137"/>
      <c r="K5" s="137"/>
      <c r="L5" s="137"/>
      <c r="M5" s="137"/>
      <c r="N5" s="137"/>
      <c r="O5" s="137"/>
      <c r="P5" s="137"/>
      <c r="Q5" s="138"/>
    </row>
    <row r="6" spans="1:20" ht="18.75" x14ac:dyDescent="0.25">
      <c r="A6" s="60" t="s">
        <v>305</v>
      </c>
      <c r="B6" s="309">
        <f>IFERROR(+GETPIVOTDATA("Unique Billed Hours",'County allocation'!$A$3,"County",A6,"HHA/CDPAP","HHA"),0)</f>
        <v>0.11142587660428063</v>
      </c>
      <c r="C6" s="119">
        <v>1</v>
      </c>
      <c r="D6" s="109" t="s">
        <v>93</v>
      </c>
      <c r="E6" s="76" t="s">
        <v>57</v>
      </c>
      <c r="F6" s="168">
        <f>'Payroll Reports Input'!W26</f>
        <v>3486.8306105769238</v>
      </c>
      <c r="G6" s="186">
        <f>'Payroll Reports Input'!X26</f>
        <v>6701440.2700000005</v>
      </c>
      <c r="H6" s="186">
        <f>'Payroll Reports Input'!Y26</f>
        <v>312221.11999999994</v>
      </c>
      <c r="I6" s="186">
        <f>'Payroll Reports Input'!Z26</f>
        <v>1061.83</v>
      </c>
      <c r="J6" s="186">
        <f>'Payroll Reports Input'!AA26</f>
        <v>112038.55</v>
      </c>
      <c r="K6" s="186">
        <f>'Payroll Reports Input'!AB26</f>
        <v>122949.15</v>
      </c>
      <c r="L6" s="186">
        <f>'Payroll Reports Input'!AC26</f>
        <v>2872.75</v>
      </c>
      <c r="M6" s="186">
        <f>'Payroll Reports Input'!AD26</f>
        <v>0</v>
      </c>
      <c r="N6" s="186">
        <f>'Payroll Reports Input'!AE26</f>
        <v>24</v>
      </c>
      <c r="O6" s="186">
        <f>'Payroll Reports Input'!AF26</f>
        <v>0</v>
      </c>
      <c r="P6" s="186">
        <f>'Payroll Reports Input'!AG26</f>
        <v>0</v>
      </c>
      <c r="Q6" s="190">
        <f>SUM(G6:P6)</f>
        <v>7252607.6700000009</v>
      </c>
      <c r="R6" s="628">
        <f>'Schedule 11b'!Q6/'Schedule 12b'!Q6</f>
        <v>19.472438081019206</v>
      </c>
      <c r="S6" s="628">
        <f ca="1">SUM('Schedule 11b'!S6:U6)/'Schedule 12b'!Q6</f>
        <v>2.5593712386747245</v>
      </c>
      <c r="T6" s="628">
        <f ca="1">SUBTOTAL(9,R6:S6)</f>
        <v>22.031809319693931</v>
      </c>
    </row>
    <row r="7" spans="1:20" ht="18.75" x14ac:dyDescent="0.25">
      <c r="A7" s="60" t="s">
        <v>306</v>
      </c>
      <c r="B7" s="309">
        <f>IFERROR(+GETPIVOTDATA("Unique Billed Hours",'County allocation'!$A$3,"County",A7,"HHA/CDPAP","HHA"),0)</f>
        <v>0</v>
      </c>
      <c r="C7" s="119">
        <v>1</v>
      </c>
      <c r="D7" s="110" t="s">
        <v>132</v>
      </c>
      <c r="E7" s="76" t="s">
        <v>56</v>
      </c>
      <c r="F7" s="191"/>
      <c r="G7" s="192"/>
      <c r="H7" s="192"/>
      <c r="I7" s="192"/>
      <c r="J7" s="192"/>
      <c r="K7" s="192"/>
      <c r="L7" s="192"/>
      <c r="M7" s="192"/>
      <c r="N7" s="192"/>
      <c r="O7" s="192"/>
      <c r="P7" s="192"/>
      <c r="Q7" s="190">
        <f t="shared" ref="Q7:Q17" si="0">SUM(G7:P7)</f>
        <v>0</v>
      </c>
    </row>
    <row r="8" spans="1:20" ht="18.75" x14ac:dyDescent="0.25">
      <c r="A8" s="60" t="s">
        <v>307</v>
      </c>
      <c r="B8" s="309">
        <f>IFERROR(+GETPIVOTDATA("Unique Billed Hours",'County allocation'!$A$3,"County",A8,"HHA/CDPAP","HHA"),0)</f>
        <v>0</v>
      </c>
      <c r="C8" s="119">
        <v>1</v>
      </c>
      <c r="D8" s="109" t="s">
        <v>91</v>
      </c>
      <c r="E8" s="76" t="s">
        <v>55</v>
      </c>
      <c r="F8" s="191">
        <f>'Payroll Reports Input'!W32</f>
        <v>4.357572115384615</v>
      </c>
      <c r="G8" s="192">
        <f>'Payroll Reports Input'!X32</f>
        <v>8888.75</v>
      </c>
      <c r="H8" s="192">
        <f>'Payroll Reports Input'!Y32</f>
        <v>0</v>
      </c>
      <c r="I8" s="192">
        <f>'Payroll Reports Input'!Z32</f>
        <v>0</v>
      </c>
      <c r="J8" s="192">
        <f>'Payroll Reports Input'!AA32</f>
        <v>135</v>
      </c>
      <c r="K8" s="192">
        <f>'Payroll Reports Input'!AB32</f>
        <v>40</v>
      </c>
      <c r="L8" s="192">
        <f>'Payroll Reports Input'!AC32</f>
        <v>0</v>
      </c>
      <c r="M8" s="192">
        <f>'Payroll Reports Input'!AD32</f>
        <v>0</v>
      </c>
      <c r="N8" s="192">
        <f>'Payroll Reports Input'!AE32</f>
        <v>0</v>
      </c>
      <c r="O8" s="192">
        <f>'Payroll Reports Input'!AF32</f>
        <v>0</v>
      </c>
      <c r="P8" s="192">
        <f>'Payroll Reports Input'!AG32</f>
        <v>0</v>
      </c>
      <c r="Q8" s="190">
        <f t="shared" si="0"/>
        <v>9063.75</v>
      </c>
      <c r="R8" s="628">
        <f>'Schedule 11b'!Q8/'Schedule 12b'!Q8</f>
        <v>129.75699903461592</v>
      </c>
      <c r="S8" s="628">
        <f ca="1">SUM('Schedule 11b'!S8:U8)/'Schedule 12b'!Q8</f>
        <v>5.4316558392152441</v>
      </c>
      <c r="T8" s="628">
        <f ca="1">SUBTOTAL(9,R8:S8)</f>
        <v>135.18865487383115</v>
      </c>
    </row>
    <row r="9" spans="1:20" ht="18.75" x14ac:dyDescent="0.25">
      <c r="A9" s="60" t="s">
        <v>308</v>
      </c>
      <c r="B9" s="309">
        <f>IFERROR(+GETPIVOTDATA("Unique Billed Hours",'County allocation'!$A$3,"County",A9,"HHA/CDPAP","HHA"),0)</f>
        <v>0</v>
      </c>
      <c r="C9" s="119">
        <v>1</v>
      </c>
      <c r="D9" s="130" t="s">
        <v>117</v>
      </c>
      <c r="E9" s="76" t="s">
        <v>54</v>
      </c>
      <c r="F9" s="191"/>
      <c r="G9" s="184"/>
      <c r="H9" s="184"/>
      <c r="I9" s="184"/>
      <c r="J9" s="184"/>
      <c r="K9" s="184"/>
      <c r="L9" s="184"/>
      <c r="M9" s="184"/>
      <c r="N9" s="184"/>
      <c r="O9" s="184"/>
      <c r="P9" s="184"/>
      <c r="Q9" s="190">
        <f t="shared" si="0"/>
        <v>0</v>
      </c>
    </row>
    <row r="10" spans="1:20" ht="15.75" customHeight="1" x14ac:dyDescent="0.25">
      <c r="A10" s="60" t="s">
        <v>309</v>
      </c>
      <c r="B10" s="309">
        <f>IFERROR(+GETPIVOTDATA("Unique Billed Hours",'County allocation'!$A$3,"County",A10,"HHA/CDPAP","HHA"),0)</f>
        <v>0</v>
      </c>
      <c r="C10" s="119">
        <v>1</v>
      </c>
      <c r="D10" s="112" t="s">
        <v>31</v>
      </c>
      <c r="E10" s="76"/>
      <c r="F10" s="167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5">
        <f t="shared" si="0"/>
        <v>0</v>
      </c>
    </row>
    <row r="11" spans="1:20" ht="15.75" customHeight="1" x14ac:dyDescent="0.3">
      <c r="A11" s="60" t="s">
        <v>310</v>
      </c>
      <c r="B11" s="309">
        <f>IFERROR(+GETPIVOTDATA("Unique Billed Hours",'County allocation'!$A$3,"County",A11,"HHA/CDPAP","HHA"),0)</f>
        <v>0</v>
      </c>
      <c r="C11" s="119">
        <v>1</v>
      </c>
      <c r="D11" s="125" t="s">
        <v>118</v>
      </c>
      <c r="E11" s="76" t="s">
        <v>53</v>
      </c>
      <c r="F11" s="168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90">
        <f t="shared" si="0"/>
        <v>0</v>
      </c>
    </row>
    <row r="12" spans="1:20" ht="15.75" customHeight="1" x14ac:dyDescent="0.3">
      <c r="A12" s="60" t="s">
        <v>360</v>
      </c>
      <c r="B12" s="309">
        <f>IFERROR(+GETPIVOTDATA("Unique Billed Hours",'County allocation'!$A$3,"County",A12,"HHA/CDPAP","HHA"),0)</f>
        <v>0</v>
      </c>
      <c r="C12" s="119">
        <v>1</v>
      </c>
      <c r="D12" s="125" t="s">
        <v>119</v>
      </c>
      <c r="E12" s="76" t="s">
        <v>52</v>
      </c>
      <c r="F12" s="168"/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90">
        <f t="shared" si="0"/>
        <v>0</v>
      </c>
    </row>
    <row r="13" spans="1:20" ht="15.75" customHeight="1" x14ac:dyDescent="0.3">
      <c r="A13" s="60" t="s">
        <v>311</v>
      </c>
      <c r="B13" s="309">
        <f>IFERROR(+GETPIVOTDATA("Unique Billed Hours",'County allocation'!$A$3,"County",A13,"HHA/CDPAP","HHA"),0)</f>
        <v>0</v>
      </c>
      <c r="C13" s="119">
        <v>1</v>
      </c>
      <c r="D13" s="125" t="s">
        <v>120</v>
      </c>
      <c r="E13" s="76" t="s">
        <v>51</v>
      </c>
      <c r="F13" s="168"/>
      <c r="G13" s="186"/>
      <c r="H13" s="186"/>
      <c r="I13" s="186"/>
      <c r="J13" s="186"/>
      <c r="K13" s="186"/>
      <c r="L13" s="186"/>
      <c r="M13" s="186"/>
      <c r="N13" s="186"/>
      <c r="O13" s="186"/>
      <c r="P13" s="186"/>
      <c r="Q13" s="190">
        <f t="shared" si="0"/>
        <v>0</v>
      </c>
    </row>
    <row r="14" spans="1:20" ht="15.75" customHeight="1" x14ac:dyDescent="0.3">
      <c r="A14" s="60" t="s">
        <v>312</v>
      </c>
      <c r="B14" s="309">
        <f>IFERROR(+GETPIVOTDATA("Unique Billed Hours",'County allocation'!$A$3,"County",A14,"HHA/CDPAP","HHA"),0)</f>
        <v>1.1018389345949667E-4</v>
      </c>
      <c r="C14" s="119">
        <v>1</v>
      </c>
      <c r="D14" s="125" t="s">
        <v>121</v>
      </c>
      <c r="E14" s="76" t="s">
        <v>50</v>
      </c>
      <c r="F14" s="168"/>
      <c r="G14" s="186"/>
      <c r="H14" s="186"/>
      <c r="I14" s="186"/>
      <c r="J14" s="186"/>
      <c r="K14" s="186"/>
      <c r="L14" s="186"/>
      <c r="M14" s="186"/>
      <c r="N14" s="186"/>
      <c r="O14" s="186"/>
      <c r="P14" s="186"/>
      <c r="Q14" s="190">
        <f t="shared" si="0"/>
        <v>0</v>
      </c>
    </row>
    <row r="15" spans="1:20" ht="15.75" customHeight="1" x14ac:dyDescent="0.3">
      <c r="A15" s="60" t="s">
        <v>313</v>
      </c>
      <c r="B15" s="309">
        <f>IFERROR(+GETPIVOTDATA("Unique Billed Hours",'County allocation'!$A$3,"County",A15,"HHA/CDPAP","HHA"),0)</f>
        <v>0</v>
      </c>
      <c r="C15" s="119">
        <v>1</v>
      </c>
      <c r="D15" s="125" t="s">
        <v>122</v>
      </c>
      <c r="E15" s="76" t="s">
        <v>49</v>
      </c>
      <c r="F15" s="168"/>
      <c r="G15" s="186"/>
      <c r="H15" s="186"/>
      <c r="I15" s="186"/>
      <c r="J15" s="186"/>
      <c r="K15" s="186"/>
      <c r="L15" s="186"/>
      <c r="M15" s="186"/>
      <c r="N15" s="186"/>
      <c r="O15" s="186"/>
      <c r="P15" s="186"/>
      <c r="Q15" s="190">
        <f t="shared" si="0"/>
        <v>0</v>
      </c>
    </row>
    <row r="16" spans="1:20" ht="15.75" customHeight="1" x14ac:dyDescent="0.3">
      <c r="A16" s="60" t="s">
        <v>314</v>
      </c>
      <c r="B16" s="309">
        <f>IFERROR(+GETPIVOTDATA("Unique Billed Hours",'County allocation'!$A$3,"County",A16,"HHA/CDPAP","HHA"),0)</f>
        <v>0</v>
      </c>
      <c r="C16" s="119">
        <v>1</v>
      </c>
      <c r="D16" s="125" t="s">
        <v>123</v>
      </c>
      <c r="E16" s="76" t="s">
        <v>47</v>
      </c>
      <c r="F16" s="168"/>
      <c r="G16" s="186"/>
      <c r="H16" s="186"/>
      <c r="I16" s="186"/>
      <c r="J16" s="186"/>
      <c r="K16" s="186"/>
      <c r="L16" s="186"/>
      <c r="M16" s="186"/>
      <c r="N16" s="186"/>
      <c r="O16" s="186"/>
      <c r="P16" s="186"/>
      <c r="Q16" s="190">
        <f t="shared" si="0"/>
        <v>0</v>
      </c>
    </row>
    <row r="17" spans="1:20" ht="15.75" customHeight="1" thickBot="1" x14ac:dyDescent="0.35">
      <c r="A17" s="60" t="s">
        <v>315</v>
      </c>
      <c r="B17" s="309">
        <f>IFERROR(+GETPIVOTDATA("Unique Billed Hours",'County allocation'!$A$3,"County",A17,"HHA/CDPAP","HHA"),0)</f>
        <v>0</v>
      </c>
      <c r="C17" s="119">
        <v>1</v>
      </c>
      <c r="D17" s="125" t="s">
        <v>16</v>
      </c>
      <c r="E17" s="70" t="s">
        <v>77</v>
      </c>
      <c r="F17" s="168">
        <f>'Payroll Reports Input'!W29</f>
        <v>230.47019608415465</v>
      </c>
      <c r="G17" s="186">
        <f>'Payroll Reports Input'!X29</f>
        <v>415953.34719033638</v>
      </c>
      <c r="H17" s="186">
        <f>'Payroll Reports Input'!Y29</f>
        <v>8105.1073556172532</v>
      </c>
      <c r="I17" s="186">
        <f>'Payroll Reports Input'!Z29</f>
        <v>0</v>
      </c>
      <c r="J17" s="186">
        <f>'Payroll Reports Input'!AA29</f>
        <v>0</v>
      </c>
      <c r="K17" s="186">
        <f>'Payroll Reports Input'!AB29</f>
        <v>29044.043456880849</v>
      </c>
      <c r="L17" s="186">
        <f>'Payroll Reports Input'!AC29</f>
        <v>0</v>
      </c>
      <c r="M17" s="186">
        <f>'Payroll Reports Input'!AD29</f>
        <v>15.588955848290507</v>
      </c>
      <c r="N17" s="186">
        <f>'Payroll Reports Input'!AE29</f>
        <v>0</v>
      </c>
      <c r="O17" s="186">
        <f>'Payroll Reports Input'!AF29</f>
        <v>0</v>
      </c>
      <c r="P17" s="186">
        <f>'Payroll Reports Input'!AG29</f>
        <v>26259.920896358864</v>
      </c>
      <c r="Q17" s="190">
        <f t="shared" si="0"/>
        <v>479378.00785504165</v>
      </c>
      <c r="R17" s="628">
        <f>'Schedule 11b'!Q17/'Schedule 12b'!Q17</f>
        <v>37.606558238672861</v>
      </c>
      <c r="S17" s="628">
        <f ca="1">SUM('Schedule 11b'!S17:U17)/'Schedule 12b'!Q17</f>
        <v>3.4165196442305072</v>
      </c>
      <c r="T17" s="628">
        <f ca="1">SUBTOTAL(9,R17:S17)</f>
        <v>41.023077882903365</v>
      </c>
    </row>
    <row r="18" spans="1:20" ht="15.75" customHeight="1" thickBot="1" x14ac:dyDescent="0.3">
      <c r="A18" s="60" t="s">
        <v>316</v>
      </c>
      <c r="B18" s="309">
        <f>IFERROR(+GETPIVOTDATA("Unique Billed Hours",'County allocation'!$A$3,"County",A18,"HHA/CDPAP","HHA"),0)</f>
        <v>0</v>
      </c>
      <c r="C18" s="119">
        <v>1</v>
      </c>
      <c r="D18" s="131" t="s">
        <v>124</v>
      </c>
      <c r="E18" s="116" t="s">
        <v>78</v>
      </c>
      <c r="F18" s="169">
        <f>SUBTOTAL(9,F6:F17)</f>
        <v>3721.6583787764635</v>
      </c>
      <c r="G18" s="170">
        <f>SUBTOTAL(9,G6:G17)</f>
        <v>7126282.3671903368</v>
      </c>
      <c r="H18" s="170">
        <f t="shared" ref="H18:Q18" si="1">SUBTOTAL(9,H6:H17)</f>
        <v>320326.22735561721</v>
      </c>
      <c r="I18" s="170">
        <f t="shared" si="1"/>
        <v>1061.83</v>
      </c>
      <c r="J18" s="170">
        <f t="shared" si="1"/>
        <v>112173.55</v>
      </c>
      <c r="K18" s="170">
        <f t="shared" ref="K18:P18" si="2">SUBTOTAL(9,K6:K17)</f>
        <v>152033.19345688084</v>
      </c>
      <c r="L18" s="170">
        <f t="shared" si="2"/>
        <v>2872.75</v>
      </c>
      <c r="M18" s="170">
        <f t="shared" si="2"/>
        <v>15.588955848290507</v>
      </c>
      <c r="N18" s="170">
        <f t="shared" si="2"/>
        <v>24</v>
      </c>
      <c r="O18" s="170">
        <f t="shared" si="2"/>
        <v>0</v>
      </c>
      <c r="P18" s="170">
        <f t="shared" si="2"/>
        <v>26259.920896358864</v>
      </c>
      <c r="Q18" s="170">
        <f t="shared" si="1"/>
        <v>7741049.4278550427</v>
      </c>
    </row>
    <row r="19" spans="1:20" ht="19.5" thickBot="1" x14ac:dyDescent="0.3">
      <c r="A19" s="60" t="s">
        <v>317</v>
      </c>
      <c r="B19" s="309">
        <f>IFERROR(+GETPIVOTDATA("Unique Billed Hours",'County allocation'!$A$3,"County",A19,"HHA/CDPAP","HHA"),0)</f>
        <v>0</v>
      </c>
      <c r="C19" s="119">
        <v>1</v>
      </c>
      <c r="D19" s="139"/>
      <c r="E19" s="140"/>
      <c r="F19" s="141"/>
      <c r="G19" s="141"/>
      <c r="H19" s="141"/>
      <c r="I19" s="142"/>
      <c r="J19" s="142"/>
      <c r="K19" s="142"/>
      <c r="L19" s="142"/>
      <c r="M19" s="142"/>
      <c r="N19" s="142"/>
      <c r="O19" s="142"/>
      <c r="P19" s="142"/>
      <c r="Q19" s="142"/>
    </row>
    <row r="20" spans="1:20" ht="15.75" hidden="1" thickBot="1" x14ac:dyDescent="0.3">
      <c r="A20" s="60" t="s">
        <v>318</v>
      </c>
      <c r="B20" s="309">
        <f>IFERROR(+GETPIVOTDATA("Unique Billed Hours",'County allocation'!$A$3,"County",A20,"HHA/CDPAP","HHA"),0)</f>
        <v>0</v>
      </c>
      <c r="R20" s="119"/>
      <c r="S20" s="119"/>
      <c r="T20" s="119"/>
    </row>
    <row r="21" spans="1:20" ht="19.5" hidden="1" thickBot="1" x14ac:dyDescent="0.3">
      <c r="A21" s="119" t="s">
        <v>319</v>
      </c>
      <c r="B21" s="309">
        <f>IFERROR(+GETPIVOTDATA("Unique Billed Hours",'County allocation'!$A$3,"County",A21,"HHA/CDPAP","HHA"),0)</f>
        <v>0</v>
      </c>
      <c r="D21" s="139"/>
      <c r="E21" s="140"/>
      <c r="F21" s="141"/>
      <c r="G21" s="141"/>
      <c r="H21" s="141"/>
      <c r="I21" s="142"/>
      <c r="J21" s="142"/>
      <c r="K21" s="142"/>
      <c r="L21" s="142"/>
      <c r="M21" s="142"/>
      <c r="N21" s="142"/>
      <c r="O21" s="142"/>
      <c r="P21" s="142"/>
      <c r="Q21" s="142"/>
      <c r="R21" s="119"/>
      <c r="S21" s="119"/>
      <c r="T21" s="119"/>
    </row>
    <row r="22" spans="1:20" ht="45" x14ac:dyDescent="0.25">
      <c r="A22" s="119" t="s">
        <v>320</v>
      </c>
      <c r="B22" s="309">
        <f>IFERROR(+GETPIVOTDATA("Unique Billed Hours",'County allocation'!$A$3,"County",A22,"HHA/CDPAP","HHA"),0)</f>
        <v>0</v>
      </c>
      <c r="C22" s="119">
        <f>IF(E22&gt;0,1,0)</f>
        <v>1</v>
      </c>
      <c r="D22" s="96" t="str">
        <f>+A4</f>
        <v>Albany</v>
      </c>
      <c r="E22" s="166">
        <f>+SUMIF(A:A,D22,B:B)</f>
        <v>1.0414062357525667E-2</v>
      </c>
      <c r="F22" s="98" t="s">
        <v>97</v>
      </c>
      <c r="G22" s="98" t="s">
        <v>126</v>
      </c>
      <c r="H22" s="98" t="s">
        <v>127</v>
      </c>
      <c r="I22" s="99" t="s">
        <v>128</v>
      </c>
      <c r="J22" s="99" t="s">
        <v>131</v>
      </c>
      <c r="K22" s="560" t="s">
        <v>474</v>
      </c>
      <c r="L22" s="560" t="s">
        <v>475</v>
      </c>
      <c r="M22" s="560" t="s">
        <v>476</v>
      </c>
      <c r="N22" s="560" t="s">
        <v>477</v>
      </c>
      <c r="O22" s="560" t="s">
        <v>478</v>
      </c>
      <c r="P22" s="560" t="s">
        <v>479</v>
      </c>
      <c r="Q22" s="99" t="s">
        <v>129</v>
      </c>
      <c r="R22" s="119"/>
      <c r="S22" s="119"/>
      <c r="T22" s="119"/>
    </row>
    <row r="23" spans="1:20" ht="18.75" x14ac:dyDescent="0.25">
      <c r="A23" s="119" t="s">
        <v>321</v>
      </c>
      <c r="B23" s="309">
        <f>IFERROR(+GETPIVOTDATA("Unique Billed Hours",'County allocation'!$A$3,"County",A23,"HHA/CDPAP","HHA"),0)</f>
        <v>0</v>
      </c>
      <c r="C23" s="119">
        <f>C22</f>
        <v>1</v>
      </c>
      <c r="D23" s="127"/>
      <c r="E23" s="128"/>
      <c r="F23" s="84" t="s">
        <v>57</v>
      </c>
      <c r="G23" s="84" t="s">
        <v>56</v>
      </c>
      <c r="H23" s="84" t="s">
        <v>55</v>
      </c>
      <c r="I23" s="84" t="s">
        <v>54</v>
      </c>
      <c r="J23" s="129" t="s">
        <v>53</v>
      </c>
      <c r="K23" s="129" t="s">
        <v>52</v>
      </c>
      <c r="L23" s="129" t="s">
        <v>51</v>
      </c>
      <c r="M23" s="129" t="s">
        <v>50</v>
      </c>
      <c r="N23" s="129" t="s">
        <v>49</v>
      </c>
      <c r="O23" s="129" t="s">
        <v>47</v>
      </c>
      <c r="P23" s="129" t="s">
        <v>77</v>
      </c>
      <c r="Q23" s="129" t="s">
        <v>78</v>
      </c>
      <c r="R23" s="119"/>
      <c r="S23" s="119"/>
      <c r="T23" s="119"/>
    </row>
    <row r="24" spans="1:20" ht="18.75" x14ac:dyDescent="0.25">
      <c r="A24" s="119" t="s">
        <v>322</v>
      </c>
      <c r="B24" s="309">
        <f>IFERROR(+GETPIVOTDATA("Unique Billed Hours",'County allocation'!$A$3,"County",A24,"HHA/CDPAP","HHA"),0)</f>
        <v>0</v>
      </c>
      <c r="C24" s="119">
        <f>C23</f>
        <v>1</v>
      </c>
      <c r="D24" s="133" t="s">
        <v>26</v>
      </c>
      <c r="E24" s="134"/>
      <c r="F24" s="135"/>
      <c r="G24" s="135"/>
      <c r="H24" s="136"/>
      <c r="I24" s="136"/>
      <c r="J24" s="137"/>
      <c r="K24" s="137"/>
      <c r="L24" s="137"/>
      <c r="M24" s="137"/>
      <c r="N24" s="137"/>
      <c r="O24" s="137"/>
      <c r="P24" s="137"/>
      <c r="Q24" s="138"/>
      <c r="R24" s="119"/>
      <c r="S24" s="119"/>
      <c r="T24" s="119"/>
    </row>
    <row r="25" spans="1:20" ht="18.75" x14ac:dyDescent="0.25">
      <c r="A25" s="119" t="s">
        <v>323</v>
      </c>
      <c r="B25" s="309">
        <f>IFERROR(+GETPIVOTDATA("Unique Billed Hours",'County allocation'!$A$3,"County",A25,"HHA/CDPAP","HHA"),0)</f>
        <v>0</v>
      </c>
      <c r="C25" s="119">
        <f t="shared" ref="C25:C37" si="3">C24</f>
        <v>1</v>
      </c>
      <c r="D25" s="109" t="s">
        <v>93</v>
      </c>
      <c r="E25" s="76" t="s">
        <v>57</v>
      </c>
      <c r="F25" s="168">
        <f>+F6*$E$22</f>
        <v>36.312071408677383</v>
      </c>
      <c r="G25" s="186">
        <f t="shared" ref="G25:J25" si="4">+G6*$E$22</f>
        <v>69789.216857013642</v>
      </c>
      <c r="H25" s="186">
        <f>+$H$6*E22</f>
        <v>3251.4902130165037</v>
      </c>
      <c r="I25" s="186">
        <f t="shared" si="4"/>
        <v>11.057963833091478</v>
      </c>
      <c r="J25" s="186">
        <f t="shared" si="4"/>
        <v>1166.7764461467573</v>
      </c>
      <c r="K25" s="186">
        <f t="shared" ref="K25:P25" si="5">+K6*$E$22</f>
        <v>1280.4001149047767</v>
      </c>
      <c r="L25" s="186">
        <f t="shared" si="5"/>
        <v>29.916997637581861</v>
      </c>
      <c r="M25" s="186">
        <f t="shared" si="5"/>
        <v>0</v>
      </c>
      <c r="N25" s="186">
        <f t="shared" si="5"/>
        <v>0.24993749658061601</v>
      </c>
      <c r="O25" s="186">
        <f t="shared" si="5"/>
        <v>0</v>
      </c>
      <c r="P25" s="186">
        <f t="shared" si="5"/>
        <v>0</v>
      </c>
      <c r="Q25" s="190">
        <f>SUM(G25:P25)</f>
        <v>75529.10853004895</v>
      </c>
      <c r="R25" s="119"/>
      <c r="S25" s="119"/>
      <c r="T25" s="119"/>
    </row>
    <row r="26" spans="1:20" ht="18.75" x14ac:dyDescent="0.25">
      <c r="A26" s="119" t="s">
        <v>324</v>
      </c>
      <c r="B26" s="309">
        <f>IFERROR(+GETPIVOTDATA("Unique Billed Hours",'County allocation'!$A$3,"County",A26,"HHA/CDPAP","HHA"),0)</f>
        <v>0</v>
      </c>
      <c r="C26" s="119">
        <f t="shared" si="3"/>
        <v>1</v>
      </c>
      <c r="D26" s="110" t="s">
        <v>132</v>
      </c>
      <c r="E26" s="76" t="s">
        <v>56</v>
      </c>
      <c r="F26" s="191">
        <f t="shared" ref="F26:J28" si="6">+F7*$E$22</f>
        <v>0</v>
      </c>
      <c r="G26" s="192">
        <f t="shared" si="6"/>
        <v>0</v>
      </c>
      <c r="H26" s="192">
        <f t="shared" si="6"/>
        <v>0</v>
      </c>
      <c r="I26" s="192">
        <f t="shared" si="6"/>
        <v>0</v>
      </c>
      <c r="J26" s="192">
        <f t="shared" si="6"/>
        <v>0</v>
      </c>
      <c r="K26" s="192">
        <f t="shared" ref="K26:P26" si="7">+K7*$E$22</f>
        <v>0</v>
      </c>
      <c r="L26" s="192">
        <f t="shared" si="7"/>
        <v>0</v>
      </c>
      <c r="M26" s="192">
        <f t="shared" si="7"/>
        <v>0</v>
      </c>
      <c r="N26" s="192">
        <f t="shared" si="7"/>
        <v>0</v>
      </c>
      <c r="O26" s="192">
        <f t="shared" si="7"/>
        <v>0</v>
      </c>
      <c r="P26" s="192">
        <f t="shared" si="7"/>
        <v>0</v>
      </c>
      <c r="Q26" s="190">
        <f>SUM(G26:P26)</f>
        <v>0</v>
      </c>
      <c r="R26" s="119"/>
      <c r="S26" s="119"/>
      <c r="T26" s="119"/>
    </row>
    <row r="27" spans="1:20" ht="18.75" x14ac:dyDescent="0.25">
      <c r="A27" s="302" t="s">
        <v>365</v>
      </c>
      <c r="B27" s="309">
        <f>IFERROR(+GETPIVOTDATA("Unique Billed Hours",'County allocation'!$A$3,"County",A27,"HHA/CDPAP","HHA"),0)</f>
        <v>0.29256738892740358</v>
      </c>
      <c r="C27" s="119">
        <f t="shared" si="3"/>
        <v>1</v>
      </c>
      <c r="D27" s="109" t="s">
        <v>91</v>
      </c>
      <c r="E27" s="76" t="s">
        <v>55</v>
      </c>
      <c r="F27" s="191">
        <f t="shared" si="6"/>
        <v>4.5380027737030412E-2</v>
      </c>
      <c r="G27" s="192">
        <f t="shared" si="6"/>
        <v>92.567996780456269</v>
      </c>
      <c r="H27" s="192">
        <f t="shared" si="6"/>
        <v>0</v>
      </c>
      <c r="I27" s="192">
        <f t="shared" si="6"/>
        <v>0</v>
      </c>
      <c r="J27" s="192">
        <f t="shared" si="6"/>
        <v>1.4058984182659651</v>
      </c>
      <c r="K27" s="192">
        <f t="shared" ref="K27:P27" si="8">+K8*$E$22</f>
        <v>0.41656249430102665</v>
      </c>
      <c r="L27" s="192">
        <f t="shared" si="8"/>
        <v>0</v>
      </c>
      <c r="M27" s="192">
        <f t="shared" si="8"/>
        <v>0</v>
      </c>
      <c r="N27" s="192">
        <f t="shared" si="8"/>
        <v>0</v>
      </c>
      <c r="O27" s="192">
        <f t="shared" si="8"/>
        <v>0</v>
      </c>
      <c r="P27" s="192">
        <f t="shared" si="8"/>
        <v>0</v>
      </c>
      <c r="Q27" s="190">
        <f>SUM(G27:P27)</f>
        <v>94.390457693023265</v>
      </c>
      <c r="R27" s="119"/>
      <c r="S27" s="119"/>
      <c r="T27" s="119"/>
    </row>
    <row r="28" spans="1:20" ht="18.75" x14ac:dyDescent="0.25">
      <c r="A28" s="119" t="s">
        <v>325</v>
      </c>
      <c r="B28" s="309">
        <f>IFERROR(+GETPIVOTDATA("Unique Billed Hours",'County allocation'!$A$3,"County",A28,"HHA/CDPAP","HHA"),0)</f>
        <v>0</v>
      </c>
      <c r="C28" s="119">
        <f t="shared" si="3"/>
        <v>1</v>
      </c>
      <c r="D28" s="130" t="s">
        <v>117</v>
      </c>
      <c r="E28" s="76" t="s">
        <v>54</v>
      </c>
      <c r="F28" s="191">
        <f t="shared" si="6"/>
        <v>0</v>
      </c>
      <c r="G28" s="184">
        <f t="shared" si="6"/>
        <v>0</v>
      </c>
      <c r="H28" s="184">
        <f t="shared" si="6"/>
        <v>0</v>
      </c>
      <c r="I28" s="184">
        <f t="shared" si="6"/>
        <v>0</v>
      </c>
      <c r="J28" s="184">
        <f t="shared" si="6"/>
        <v>0</v>
      </c>
      <c r="K28" s="184">
        <f t="shared" ref="K28:P28" si="9">+K9*$E$22</f>
        <v>0</v>
      </c>
      <c r="L28" s="184">
        <f t="shared" si="9"/>
        <v>0</v>
      </c>
      <c r="M28" s="184">
        <f t="shared" si="9"/>
        <v>0</v>
      </c>
      <c r="N28" s="184">
        <f t="shared" si="9"/>
        <v>0</v>
      </c>
      <c r="O28" s="184">
        <f t="shared" si="9"/>
        <v>0</v>
      </c>
      <c r="P28" s="184">
        <f t="shared" si="9"/>
        <v>0</v>
      </c>
      <c r="Q28" s="190">
        <f>SUM(G28:P28)</f>
        <v>0</v>
      </c>
      <c r="R28" s="119"/>
      <c r="S28" s="119"/>
      <c r="T28" s="119"/>
    </row>
    <row r="29" spans="1:20" ht="18.75" x14ac:dyDescent="0.25">
      <c r="A29" s="119" t="s">
        <v>326</v>
      </c>
      <c r="B29" s="309">
        <f>IFERROR(+GETPIVOTDATA("Unique Billed Hours",'County allocation'!$A$3,"County",A29,"HHA/CDPAP","HHA"),0)</f>
        <v>0</v>
      </c>
      <c r="C29" s="119">
        <f t="shared" si="3"/>
        <v>1</v>
      </c>
      <c r="D29" s="112" t="s">
        <v>31</v>
      </c>
      <c r="E29" s="76"/>
      <c r="F29" s="167"/>
      <c r="G29" s="185"/>
      <c r="H29" s="185"/>
      <c r="I29" s="185"/>
      <c r="J29" s="185"/>
      <c r="K29" s="185"/>
      <c r="L29" s="185"/>
      <c r="M29" s="185"/>
      <c r="N29" s="185"/>
      <c r="O29" s="185"/>
      <c r="P29" s="185"/>
      <c r="Q29" s="171"/>
      <c r="R29" s="119"/>
      <c r="S29" s="119"/>
      <c r="T29" s="119"/>
    </row>
    <row r="30" spans="1:20" ht="18.75" x14ac:dyDescent="0.3">
      <c r="A30" s="119" t="s">
        <v>327</v>
      </c>
      <c r="B30" s="309">
        <f>IFERROR(+GETPIVOTDATA("Unique Billed Hours",'County allocation'!$A$3,"County",A30,"HHA/CDPAP","HHA"),0)</f>
        <v>0</v>
      </c>
      <c r="C30" s="119">
        <f t="shared" si="3"/>
        <v>1</v>
      </c>
      <c r="D30" s="125" t="s">
        <v>118</v>
      </c>
      <c r="E30" s="76" t="s">
        <v>53</v>
      </c>
      <c r="F30" s="168">
        <f t="shared" ref="F30:J36" si="10">+F11*$E$22</f>
        <v>0</v>
      </c>
      <c r="G30" s="186">
        <f t="shared" si="10"/>
        <v>0</v>
      </c>
      <c r="H30" s="186">
        <f t="shared" si="10"/>
        <v>0</v>
      </c>
      <c r="I30" s="186">
        <f t="shared" si="10"/>
        <v>0</v>
      </c>
      <c r="J30" s="186">
        <f t="shared" si="10"/>
        <v>0</v>
      </c>
      <c r="K30" s="186">
        <f t="shared" ref="K30:P30" si="11">+K11*$E$22</f>
        <v>0</v>
      </c>
      <c r="L30" s="186">
        <f t="shared" si="11"/>
        <v>0</v>
      </c>
      <c r="M30" s="186">
        <f t="shared" si="11"/>
        <v>0</v>
      </c>
      <c r="N30" s="186">
        <f t="shared" si="11"/>
        <v>0</v>
      </c>
      <c r="O30" s="186">
        <f t="shared" si="11"/>
        <v>0</v>
      </c>
      <c r="P30" s="186">
        <f t="shared" si="11"/>
        <v>0</v>
      </c>
      <c r="Q30" s="190">
        <f t="shared" ref="Q30:Q36" si="12">SUM(G30:P30)</f>
        <v>0</v>
      </c>
      <c r="R30" s="119"/>
      <c r="S30" s="119"/>
      <c r="T30" s="119"/>
    </row>
    <row r="31" spans="1:20" ht="18.75" x14ac:dyDescent="0.3">
      <c r="A31" s="119" t="s">
        <v>285</v>
      </c>
      <c r="B31" s="309">
        <f>IFERROR(+GETPIVOTDATA("Unique Billed Hours",'County allocation'!$A$3,"County",A31,"HHA/CDPAP","HHA"),0)</f>
        <v>0</v>
      </c>
      <c r="C31" s="119">
        <f t="shared" si="3"/>
        <v>1</v>
      </c>
      <c r="D31" s="125" t="s">
        <v>119</v>
      </c>
      <c r="E31" s="76" t="s">
        <v>52</v>
      </c>
      <c r="F31" s="168">
        <f t="shared" si="10"/>
        <v>0</v>
      </c>
      <c r="G31" s="186">
        <f t="shared" si="10"/>
        <v>0</v>
      </c>
      <c r="H31" s="186">
        <f t="shared" si="10"/>
        <v>0</v>
      </c>
      <c r="I31" s="186">
        <f t="shared" si="10"/>
        <v>0</v>
      </c>
      <c r="J31" s="186">
        <f t="shared" si="10"/>
        <v>0</v>
      </c>
      <c r="K31" s="186">
        <f t="shared" ref="K31:P31" si="13">+K12*$E$22</f>
        <v>0</v>
      </c>
      <c r="L31" s="186">
        <f t="shared" si="13"/>
        <v>0</v>
      </c>
      <c r="M31" s="186">
        <f t="shared" si="13"/>
        <v>0</v>
      </c>
      <c r="N31" s="186">
        <f t="shared" si="13"/>
        <v>0</v>
      </c>
      <c r="O31" s="186">
        <f t="shared" si="13"/>
        <v>0</v>
      </c>
      <c r="P31" s="186">
        <f t="shared" si="13"/>
        <v>0</v>
      </c>
      <c r="Q31" s="190">
        <f t="shared" si="12"/>
        <v>0</v>
      </c>
      <c r="R31" s="119"/>
      <c r="S31" s="119"/>
      <c r="T31" s="119"/>
    </row>
    <row r="32" spans="1:20" ht="18.75" x14ac:dyDescent="0.3">
      <c r="A32" s="119" t="s">
        <v>328</v>
      </c>
      <c r="B32" s="309">
        <f>IFERROR(+GETPIVOTDATA("Unique Billed Hours",'County allocation'!$A$3,"County",A32,"HHA/CDPAP","HHA"),0)</f>
        <v>1.7109272327241044E-4</v>
      </c>
      <c r="C32" s="119">
        <f t="shared" si="3"/>
        <v>1</v>
      </c>
      <c r="D32" s="125" t="s">
        <v>120</v>
      </c>
      <c r="E32" s="76" t="s">
        <v>51</v>
      </c>
      <c r="F32" s="168">
        <f t="shared" si="10"/>
        <v>0</v>
      </c>
      <c r="G32" s="186">
        <f t="shared" si="10"/>
        <v>0</v>
      </c>
      <c r="H32" s="186">
        <f t="shared" si="10"/>
        <v>0</v>
      </c>
      <c r="I32" s="186">
        <f t="shared" si="10"/>
        <v>0</v>
      </c>
      <c r="J32" s="186">
        <f t="shared" si="10"/>
        <v>0</v>
      </c>
      <c r="K32" s="186">
        <f t="shared" ref="K32:P32" si="14">+K13*$E$22</f>
        <v>0</v>
      </c>
      <c r="L32" s="186">
        <f t="shared" si="14"/>
        <v>0</v>
      </c>
      <c r="M32" s="186">
        <f t="shared" si="14"/>
        <v>0</v>
      </c>
      <c r="N32" s="186">
        <f t="shared" si="14"/>
        <v>0</v>
      </c>
      <c r="O32" s="186">
        <f t="shared" si="14"/>
        <v>0</v>
      </c>
      <c r="P32" s="186">
        <f t="shared" si="14"/>
        <v>0</v>
      </c>
      <c r="Q32" s="190">
        <f t="shared" si="12"/>
        <v>0</v>
      </c>
      <c r="R32" s="119"/>
      <c r="S32" s="119"/>
      <c r="T32" s="119"/>
    </row>
    <row r="33" spans="1:17" s="119" customFormat="1" ht="18.75" x14ac:dyDescent="0.3">
      <c r="A33" s="119" t="s">
        <v>329</v>
      </c>
      <c r="B33" s="309">
        <f>IFERROR(+GETPIVOTDATA("Unique Billed Hours",'County allocation'!$A$3,"County",A33,"HHA/CDPAP","HHA"),0)</f>
        <v>0.12769760760357801</v>
      </c>
      <c r="C33" s="119">
        <f t="shared" si="3"/>
        <v>1</v>
      </c>
      <c r="D33" s="125" t="s">
        <v>121</v>
      </c>
      <c r="E33" s="76" t="s">
        <v>50</v>
      </c>
      <c r="F33" s="168">
        <f t="shared" si="10"/>
        <v>0</v>
      </c>
      <c r="G33" s="186">
        <f t="shared" si="10"/>
        <v>0</v>
      </c>
      <c r="H33" s="186">
        <f t="shared" si="10"/>
        <v>0</v>
      </c>
      <c r="I33" s="186">
        <f t="shared" si="10"/>
        <v>0</v>
      </c>
      <c r="J33" s="186">
        <f t="shared" si="10"/>
        <v>0</v>
      </c>
      <c r="K33" s="186">
        <f t="shared" ref="K33:P33" si="15">+K14*$E$22</f>
        <v>0</v>
      </c>
      <c r="L33" s="186">
        <f t="shared" si="15"/>
        <v>0</v>
      </c>
      <c r="M33" s="186">
        <f t="shared" si="15"/>
        <v>0</v>
      </c>
      <c r="N33" s="186">
        <f t="shared" si="15"/>
        <v>0</v>
      </c>
      <c r="O33" s="186">
        <f t="shared" si="15"/>
        <v>0</v>
      </c>
      <c r="P33" s="186">
        <f t="shared" si="15"/>
        <v>0</v>
      </c>
      <c r="Q33" s="190">
        <f t="shared" si="12"/>
        <v>0</v>
      </c>
    </row>
    <row r="34" spans="1:17" s="119" customFormat="1" ht="18.75" x14ac:dyDescent="0.3">
      <c r="A34" s="302" t="s">
        <v>366</v>
      </c>
      <c r="B34" s="309">
        <f>IFERROR(+GETPIVOTDATA("Unique Billed Hours",'County allocation'!$A$3,"County",A34,"HHA/CDPAP","HHA"),0)</f>
        <v>0.11860817754043497</v>
      </c>
      <c r="C34" s="119">
        <f t="shared" si="3"/>
        <v>1</v>
      </c>
      <c r="D34" s="125" t="s">
        <v>122</v>
      </c>
      <c r="E34" s="76" t="s">
        <v>49</v>
      </c>
      <c r="F34" s="168">
        <f t="shared" si="10"/>
        <v>0</v>
      </c>
      <c r="G34" s="186">
        <f t="shared" si="10"/>
        <v>0</v>
      </c>
      <c r="H34" s="186">
        <f>+H15*$E$22</f>
        <v>0</v>
      </c>
      <c r="I34" s="186">
        <f t="shared" si="10"/>
        <v>0</v>
      </c>
      <c r="J34" s="186">
        <f t="shared" si="10"/>
        <v>0</v>
      </c>
      <c r="K34" s="186">
        <f t="shared" ref="K34:P34" si="16">+K15*$E$22</f>
        <v>0</v>
      </c>
      <c r="L34" s="186">
        <f t="shared" si="16"/>
        <v>0</v>
      </c>
      <c r="M34" s="186">
        <f t="shared" si="16"/>
        <v>0</v>
      </c>
      <c r="N34" s="186">
        <f t="shared" si="16"/>
        <v>0</v>
      </c>
      <c r="O34" s="186">
        <f t="shared" si="16"/>
        <v>0</v>
      </c>
      <c r="P34" s="186">
        <f t="shared" si="16"/>
        <v>0</v>
      </c>
      <c r="Q34" s="190">
        <f t="shared" si="12"/>
        <v>0</v>
      </c>
    </row>
    <row r="35" spans="1:17" s="119" customFormat="1" ht="18.75" x14ac:dyDescent="0.3">
      <c r="A35" s="119" t="s">
        <v>330</v>
      </c>
      <c r="B35" s="309">
        <f>IFERROR(+GETPIVOTDATA("Unique Billed Hours",'County allocation'!$A$3,"County",A35,"HHA/CDPAP","HHA"),0)</f>
        <v>0</v>
      </c>
      <c r="C35" s="119">
        <f t="shared" si="3"/>
        <v>1</v>
      </c>
      <c r="D35" s="125" t="s">
        <v>123</v>
      </c>
      <c r="E35" s="76" t="s">
        <v>47</v>
      </c>
      <c r="F35" s="168">
        <f t="shared" si="10"/>
        <v>0</v>
      </c>
      <c r="G35" s="186">
        <f t="shared" si="10"/>
        <v>0</v>
      </c>
      <c r="H35" s="186">
        <f t="shared" si="10"/>
        <v>0</v>
      </c>
      <c r="I35" s="186">
        <f t="shared" si="10"/>
        <v>0</v>
      </c>
      <c r="J35" s="186">
        <f t="shared" si="10"/>
        <v>0</v>
      </c>
      <c r="K35" s="186">
        <f t="shared" ref="K35:P35" si="17">+K16*$E$22</f>
        <v>0</v>
      </c>
      <c r="L35" s="186">
        <f t="shared" si="17"/>
        <v>0</v>
      </c>
      <c r="M35" s="186">
        <f t="shared" si="17"/>
        <v>0</v>
      </c>
      <c r="N35" s="186">
        <f t="shared" si="17"/>
        <v>0</v>
      </c>
      <c r="O35" s="186">
        <f t="shared" si="17"/>
        <v>0</v>
      </c>
      <c r="P35" s="186">
        <f t="shared" si="17"/>
        <v>0</v>
      </c>
      <c r="Q35" s="190">
        <f t="shared" si="12"/>
        <v>0</v>
      </c>
    </row>
    <row r="36" spans="1:17" s="119" customFormat="1" ht="19.5" thickBot="1" x14ac:dyDescent="0.35">
      <c r="A36" s="119" t="s">
        <v>331</v>
      </c>
      <c r="B36" s="309">
        <f>IFERROR(+GETPIVOTDATA("Unique Billed Hours",'County allocation'!$A$3,"County",A36,"HHA/CDPAP","HHA"),0)</f>
        <v>0</v>
      </c>
      <c r="C36" s="119">
        <f t="shared" si="3"/>
        <v>1</v>
      </c>
      <c r="D36" s="125" t="s">
        <v>16</v>
      </c>
      <c r="E36" s="70" t="s">
        <v>77</v>
      </c>
      <c r="F36" s="168">
        <f t="shared" si="10"/>
        <v>2.4001309935715542</v>
      </c>
      <c r="G36" s="186">
        <f t="shared" si="10"/>
        <v>4331.7640954616872</v>
      </c>
      <c r="H36" s="186">
        <f t="shared" si="10"/>
        <v>84.407093415838034</v>
      </c>
      <c r="I36" s="186">
        <f t="shared" si="10"/>
        <v>0</v>
      </c>
      <c r="J36" s="186">
        <f t="shared" si="10"/>
        <v>0</v>
      </c>
      <c r="K36" s="186">
        <f t="shared" ref="K36:P36" si="18">+K17*$E$22</f>
        <v>302.46647967464247</v>
      </c>
      <c r="L36" s="186">
        <f t="shared" si="18"/>
        <v>0</v>
      </c>
      <c r="M36" s="186">
        <f t="shared" si="18"/>
        <v>0.16234435829281177</v>
      </c>
      <c r="N36" s="186">
        <f t="shared" si="18"/>
        <v>0</v>
      </c>
      <c r="O36" s="186">
        <f t="shared" si="18"/>
        <v>0</v>
      </c>
      <c r="P36" s="186">
        <f t="shared" si="18"/>
        <v>273.47245371837255</v>
      </c>
      <c r="Q36" s="190">
        <f t="shared" si="12"/>
        <v>4992.2724666288341</v>
      </c>
    </row>
    <row r="37" spans="1:17" s="119" customFormat="1" ht="19.5" thickBot="1" x14ac:dyDescent="0.3">
      <c r="A37" s="119" t="s">
        <v>332</v>
      </c>
      <c r="B37" s="309">
        <f>IFERROR(+GETPIVOTDATA("Unique Billed Hours",'County allocation'!$A$3,"County",A37,"HHA/CDPAP","HHA"),0)</f>
        <v>0</v>
      </c>
      <c r="C37" s="119">
        <f t="shared" si="3"/>
        <v>1</v>
      </c>
      <c r="D37" s="131" t="s">
        <v>124</v>
      </c>
      <c r="E37" s="116" t="s">
        <v>78</v>
      </c>
      <c r="F37" s="169">
        <f t="shared" ref="F37:Q37" si="19">SUBTOTAL(9,F25:F36)</f>
        <v>38.757582429985966</v>
      </c>
      <c r="G37" s="170">
        <f t="shared" si="19"/>
        <v>74213.548949255783</v>
      </c>
      <c r="H37" s="170">
        <f t="shared" si="19"/>
        <v>3335.8973064323418</v>
      </c>
      <c r="I37" s="170">
        <f t="shared" si="19"/>
        <v>11.057963833091478</v>
      </c>
      <c r="J37" s="170">
        <f t="shared" si="19"/>
        <v>1168.1823445650232</v>
      </c>
      <c r="K37" s="170">
        <f t="shared" ref="K37:P37" si="20">SUBTOTAL(9,K25:K36)</f>
        <v>1583.2831570737201</v>
      </c>
      <c r="L37" s="170">
        <f t="shared" si="20"/>
        <v>29.916997637581861</v>
      </c>
      <c r="M37" s="170">
        <f t="shared" si="20"/>
        <v>0.16234435829281177</v>
      </c>
      <c r="N37" s="170">
        <f t="shared" si="20"/>
        <v>0.24993749658061601</v>
      </c>
      <c r="O37" s="170">
        <f t="shared" si="20"/>
        <v>0</v>
      </c>
      <c r="P37" s="170">
        <f t="shared" si="20"/>
        <v>273.47245371837255</v>
      </c>
      <c r="Q37" s="170">
        <f t="shared" si="19"/>
        <v>80615.771454370813</v>
      </c>
    </row>
    <row r="38" spans="1:17" s="119" customFormat="1" ht="19.5" hidden="1" thickBot="1" x14ac:dyDescent="0.3">
      <c r="A38" s="119" t="s">
        <v>333</v>
      </c>
      <c r="B38" s="309">
        <f>IFERROR(+GETPIVOTDATA("Unique Billed Hours",'County allocation'!$A$3,"County",A38,"HHA/CDPAP","HHA"),0)</f>
        <v>0</v>
      </c>
      <c r="D38" s="139"/>
      <c r="E38" s="140"/>
      <c r="F38" s="141"/>
      <c r="G38" s="141"/>
      <c r="H38" s="141"/>
      <c r="I38" s="142"/>
      <c r="J38" s="142"/>
      <c r="K38" s="142"/>
      <c r="L38" s="142"/>
      <c r="M38" s="142"/>
      <c r="N38" s="142"/>
      <c r="O38" s="142"/>
      <c r="P38" s="142"/>
      <c r="Q38" s="142"/>
    </row>
    <row r="39" spans="1:17" s="119" customFormat="1" ht="45.75" hidden="1" thickBot="1" x14ac:dyDescent="0.3">
      <c r="A39" s="119" t="s">
        <v>334</v>
      </c>
      <c r="B39" s="309">
        <f>IFERROR(+GETPIVOTDATA("Unique Billed Hours",'County allocation'!$A$3,"County",A39,"HHA/CDPAP","HHA"),0)</f>
        <v>1.886556675621223E-6</v>
      </c>
      <c r="C39" s="119">
        <f>IF(E39&gt;0,1,0)</f>
        <v>0</v>
      </c>
      <c r="D39" s="96" t="str">
        <f>+A5</f>
        <v>Allegany</v>
      </c>
      <c r="E39" s="166">
        <f>+SUMIF(A:A,D39,B:B)</f>
        <v>0</v>
      </c>
      <c r="F39" s="98" t="s">
        <v>97</v>
      </c>
      <c r="G39" s="98" t="s">
        <v>126</v>
      </c>
      <c r="H39" s="98" t="s">
        <v>127</v>
      </c>
      <c r="I39" s="99" t="s">
        <v>128</v>
      </c>
      <c r="J39" s="99" t="s">
        <v>131</v>
      </c>
      <c r="K39" s="560" t="s">
        <v>474</v>
      </c>
      <c r="L39" s="560" t="s">
        <v>475</v>
      </c>
      <c r="M39" s="560" t="s">
        <v>476</v>
      </c>
      <c r="N39" s="560" t="s">
        <v>477</v>
      </c>
      <c r="O39" s="560" t="s">
        <v>478</v>
      </c>
      <c r="P39" s="560" t="s">
        <v>479</v>
      </c>
      <c r="Q39" s="99" t="s">
        <v>129</v>
      </c>
    </row>
    <row r="40" spans="1:17" s="119" customFormat="1" ht="19.5" hidden="1" thickBot="1" x14ac:dyDescent="0.3">
      <c r="A40" s="119" t="s">
        <v>335</v>
      </c>
      <c r="B40" s="309">
        <f>IFERROR(+GETPIVOTDATA("Unique Billed Hours",'County allocation'!$A$3,"County",A40,"HHA/CDPAP","HHA"),0)</f>
        <v>0</v>
      </c>
      <c r="C40" s="119">
        <f>C39</f>
        <v>0</v>
      </c>
      <c r="D40" s="127"/>
      <c r="E40" s="128"/>
      <c r="F40" s="84" t="s">
        <v>57</v>
      </c>
      <c r="G40" s="84" t="s">
        <v>56</v>
      </c>
      <c r="H40" s="84" t="s">
        <v>55</v>
      </c>
      <c r="I40" s="84" t="s">
        <v>54</v>
      </c>
      <c r="J40" s="129" t="s">
        <v>53</v>
      </c>
      <c r="K40" s="129" t="s">
        <v>52</v>
      </c>
      <c r="L40" s="129" t="s">
        <v>51</v>
      </c>
      <c r="M40" s="129" t="s">
        <v>50</v>
      </c>
      <c r="N40" s="129" t="s">
        <v>49</v>
      </c>
      <c r="O40" s="129" t="s">
        <v>47</v>
      </c>
      <c r="P40" s="129" t="s">
        <v>77</v>
      </c>
      <c r="Q40" s="129" t="s">
        <v>78</v>
      </c>
    </row>
    <row r="41" spans="1:17" s="119" customFormat="1" ht="19.5" hidden="1" thickBot="1" x14ac:dyDescent="0.3">
      <c r="A41" s="119" t="s">
        <v>336</v>
      </c>
      <c r="B41" s="309">
        <f>IFERROR(+GETPIVOTDATA("Unique Billed Hours",'County allocation'!$A$3,"County",A41,"HHA/CDPAP","HHA"),0)</f>
        <v>0</v>
      </c>
      <c r="C41" s="119">
        <f>C40</f>
        <v>0</v>
      </c>
      <c r="D41" s="133" t="s">
        <v>26</v>
      </c>
      <c r="E41" s="134"/>
      <c r="F41" s="135"/>
      <c r="G41" s="135"/>
      <c r="H41" s="136"/>
      <c r="I41" s="136"/>
      <c r="J41" s="137"/>
      <c r="K41" s="137"/>
      <c r="L41" s="137"/>
      <c r="M41" s="137"/>
      <c r="N41" s="137"/>
      <c r="O41" s="137"/>
      <c r="P41" s="137"/>
      <c r="Q41" s="138"/>
    </row>
    <row r="42" spans="1:17" s="119" customFormat="1" ht="19.5" hidden="1" thickBot="1" x14ac:dyDescent="0.3">
      <c r="A42" s="119" t="s">
        <v>337</v>
      </c>
      <c r="B42" s="309">
        <f>IFERROR(+GETPIVOTDATA("Unique Billed Hours",'County allocation'!$A$3,"County",A42,"HHA/CDPAP","HHA"),0)</f>
        <v>0</v>
      </c>
      <c r="C42" s="119">
        <f t="shared" ref="C42:C54" si="21">C41</f>
        <v>0</v>
      </c>
      <c r="D42" s="109" t="s">
        <v>93</v>
      </c>
      <c r="E42" s="76" t="s">
        <v>57</v>
      </c>
      <c r="F42" s="168">
        <f>+F6*$E$39</f>
        <v>0</v>
      </c>
      <c r="G42" s="186">
        <f t="shared" ref="G42:J42" si="22">+G6*$E$39</f>
        <v>0</v>
      </c>
      <c r="H42" s="186">
        <f t="shared" si="22"/>
        <v>0</v>
      </c>
      <c r="I42" s="186">
        <f t="shared" si="22"/>
        <v>0</v>
      </c>
      <c r="J42" s="186">
        <f t="shared" si="22"/>
        <v>0</v>
      </c>
      <c r="K42" s="186">
        <f t="shared" ref="K42:P42" si="23">+K6*$E$39</f>
        <v>0</v>
      </c>
      <c r="L42" s="186">
        <f t="shared" si="23"/>
        <v>0</v>
      </c>
      <c r="M42" s="186">
        <f t="shared" si="23"/>
        <v>0</v>
      </c>
      <c r="N42" s="186">
        <f t="shared" si="23"/>
        <v>0</v>
      </c>
      <c r="O42" s="186">
        <f t="shared" si="23"/>
        <v>0</v>
      </c>
      <c r="P42" s="186">
        <f t="shared" si="23"/>
        <v>0</v>
      </c>
      <c r="Q42" s="190">
        <f>SUM(G42:P42)</f>
        <v>0</v>
      </c>
    </row>
    <row r="43" spans="1:17" s="119" customFormat="1" ht="19.5" hidden="1" thickBot="1" x14ac:dyDescent="0.3">
      <c r="A43" s="119" t="s">
        <v>338</v>
      </c>
      <c r="B43" s="309">
        <f>IFERROR(+GETPIVOTDATA("Unique Billed Hours",'County allocation'!$A$3,"County",A43,"HHA/CDPAP","HHA"),0)</f>
        <v>0</v>
      </c>
      <c r="C43" s="119">
        <f t="shared" si="21"/>
        <v>0</v>
      </c>
      <c r="D43" s="110" t="s">
        <v>132</v>
      </c>
      <c r="E43" s="76" t="s">
        <v>56</v>
      </c>
      <c r="F43" s="191">
        <f t="shared" ref="F43:J45" si="24">+F7*$E$39</f>
        <v>0</v>
      </c>
      <c r="G43" s="192">
        <f t="shared" si="24"/>
        <v>0</v>
      </c>
      <c r="H43" s="192">
        <f t="shared" si="24"/>
        <v>0</v>
      </c>
      <c r="I43" s="192">
        <f t="shared" si="24"/>
        <v>0</v>
      </c>
      <c r="J43" s="192">
        <f t="shared" si="24"/>
        <v>0</v>
      </c>
      <c r="K43" s="192">
        <f t="shared" ref="K43:P43" si="25">+K7*$E$39</f>
        <v>0</v>
      </c>
      <c r="L43" s="192">
        <f t="shared" si="25"/>
        <v>0</v>
      </c>
      <c r="M43" s="192">
        <f t="shared" si="25"/>
        <v>0</v>
      </c>
      <c r="N43" s="192">
        <f t="shared" si="25"/>
        <v>0</v>
      </c>
      <c r="O43" s="192">
        <f t="shared" si="25"/>
        <v>0</v>
      </c>
      <c r="P43" s="192">
        <f t="shared" si="25"/>
        <v>0</v>
      </c>
      <c r="Q43" s="190">
        <f>SUM(G43:P43)</f>
        <v>0</v>
      </c>
    </row>
    <row r="44" spans="1:17" s="119" customFormat="1" ht="19.5" hidden="1" thickBot="1" x14ac:dyDescent="0.3">
      <c r="A44" s="119" t="s">
        <v>339</v>
      </c>
      <c r="B44" s="309">
        <f>IFERROR(+GETPIVOTDATA("Unique Billed Hours",'County allocation'!$A$3,"County",A44,"HHA/CDPAP","HHA"),0)</f>
        <v>0.18616689504483311</v>
      </c>
      <c r="C44" s="119">
        <f t="shared" si="21"/>
        <v>0</v>
      </c>
      <c r="D44" s="109" t="s">
        <v>91</v>
      </c>
      <c r="E44" s="76" t="s">
        <v>55</v>
      </c>
      <c r="F44" s="191">
        <f t="shared" si="24"/>
        <v>0</v>
      </c>
      <c r="G44" s="192">
        <f t="shared" si="24"/>
        <v>0</v>
      </c>
      <c r="H44" s="192">
        <f t="shared" si="24"/>
        <v>0</v>
      </c>
      <c r="I44" s="192">
        <f t="shared" si="24"/>
        <v>0</v>
      </c>
      <c r="J44" s="192">
        <f t="shared" si="24"/>
        <v>0</v>
      </c>
      <c r="K44" s="192">
        <f t="shared" ref="K44:P44" si="26">+K8*$E$39</f>
        <v>0</v>
      </c>
      <c r="L44" s="192">
        <f t="shared" si="26"/>
        <v>0</v>
      </c>
      <c r="M44" s="192">
        <f t="shared" si="26"/>
        <v>0</v>
      </c>
      <c r="N44" s="192">
        <f t="shared" si="26"/>
        <v>0</v>
      </c>
      <c r="O44" s="192">
        <f t="shared" si="26"/>
        <v>0</v>
      </c>
      <c r="P44" s="192">
        <f t="shared" si="26"/>
        <v>0</v>
      </c>
      <c r="Q44" s="190">
        <f>SUM(G44:P44)</f>
        <v>0</v>
      </c>
    </row>
    <row r="45" spans="1:17" s="119" customFormat="1" ht="19.5" hidden="1" thickBot="1" x14ac:dyDescent="0.3">
      <c r="A45" s="119" t="s">
        <v>340</v>
      </c>
      <c r="B45" s="309">
        <f>IFERROR(+GETPIVOTDATA("Unique Billed Hours",'County allocation'!$A$3,"County",A45,"HHA/CDPAP","HHA"),0)</f>
        <v>1.5563194213553365E-3</v>
      </c>
      <c r="C45" s="119">
        <f t="shared" si="21"/>
        <v>0</v>
      </c>
      <c r="D45" s="130" t="s">
        <v>117</v>
      </c>
      <c r="E45" s="76" t="s">
        <v>54</v>
      </c>
      <c r="F45" s="191">
        <f t="shared" si="24"/>
        <v>0</v>
      </c>
      <c r="G45" s="184">
        <f t="shared" si="24"/>
        <v>0</v>
      </c>
      <c r="H45" s="184">
        <f t="shared" si="24"/>
        <v>0</v>
      </c>
      <c r="I45" s="184">
        <f t="shared" si="24"/>
        <v>0</v>
      </c>
      <c r="J45" s="184">
        <f t="shared" si="24"/>
        <v>0</v>
      </c>
      <c r="K45" s="184">
        <f t="shared" ref="K45:P45" si="27">+K9*$E$39</f>
        <v>0</v>
      </c>
      <c r="L45" s="184">
        <f t="shared" si="27"/>
        <v>0</v>
      </c>
      <c r="M45" s="184">
        <f t="shared" si="27"/>
        <v>0</v>
      </c>
      <c r="N45" s="184">
        <f t="shared" si="27"/>
        <v>0</v>
      </c>
      <c r="O45" s="184">
        <f t="shared" si="27"/>
        <v>0</v>
      </c>
      <c r="P45" s="184">
        <f t="shared" si="27"/>
        <v>0</v>
      </c>
      <c r="Q45" s="190">
        <f>SUM(G45:P45)</f>
        <v>0</v>
      </c>
    </row>
    <row r="46" spans="1:17" s="119" customFormat="1" ht="19.5" hidden="1" thickBot="1" x14ac:dyDescent="0.3">
      <c r="A46" s="302" t="s">
        <v>367</v>
      </c>
      <c r="B46" s="309">
        <f>IFERROR(+GETPIVOTDATA("Unique Billed Hours",'County allocation'!$A$3,"County",A46,"HHA/CDPAP","HHA"),0)</f>
        <v>0.11418343852982973</v>
      </c>
      <c r="C46" s="119">
        <f t="shared" si="21"/>
        <v>0</v>
      </c>
      <c r="D46" s="112" t="s">
        <v>31</v>
      </c>
      <c r="E46" s="76"/>
      <c r="F46" s="167"/>
      <c r="G46" s="185"/>
      <c r="H46" s="185"/>
      <c r="I46" s="185"/>
      <c r="J46" s="185"/>
      <c r="K46" s="185"/>
      <c r="L46" s="185"/>
      <c r="M46" s="185"/>
      <c r="N46" s="185"/>
      <c r="O46" s="185"/>
      <c r="P46" s="185"/>
      <c r="Q46" s="171"/>
    </row>
    <row r="47" spans="1:17" s="119" customFormat="1" ht="19.5" hidden="1" thickBot="1" x14ac:dyDescent="0.35">
      <c r="A47" s="119" t="s">
        <v>341</v>
      </c>
      <c r="B47" s="309">
        <f>IFERROR(+GETPIVOTDATA("Unique Billed Hours",'County allocation'!$A$3,"County",A47,"HHA/CDPAP","HHA"),0)</f>
        <v>0</v>
      </c>
      <c r="C47" s="119">
        <f t="shared" si="21"/>
        <v>0</v>
      </c>
      <c r="D47" s="125" t="s">
        <v>118</v>
      </c>
      <c r="E47" s="76" t="s">
        <v>53</v>
      </c>
      <c r="F47" s="168">
        <f t="shared" ref="F47:J53" si="28">+F11*$E$39</f>
        <v>0</v>
      </c>
      <c r="G47" s="186">
        <f t="shared" si="28"/>
        <v>0</v>
      </c>
      <c r="H47" s="186">
        <f t="shared" si="28"/>
        <v>0</v>
      </c>
      <c r="I47" s="186">
        <f t="shared" si="28"/>
        <v>0</v>
      </c>
      <c r="J47" s="186">
        <f t="shared" si="28"/>
        <v>0</v>
      </c>
      <c r="K47" s="186">
        <f t="shared" ref="K47:P47" si="29">+K11*$E$39</f>
        <v>0</v>
      </c>
      <c r="L47" s="186">
        <f t="shared" si="29"/>
        <v>0</v>
      </c>
      <c r="M47" s="186">
        <f t="shared" si="29"/>
        <v>0</v>
      </c>
      <c r="N47" s="186">
        <f t="shared" si="29"/>
        <v>0</v>
      </c>
      <c r="O47" s="186">
        <f t="shared" si="29"/>
        <v>0</v>
      </c>
      <c r="P47" s="186">
        <f t="shared" si="29"/>
        <v>0</v>
      </c>
      <c r="Q47" s="190">
        <f t="shared" ref="Q47:Q53" si="30">SUM(G47:P47)</f>
        <v>0</v>
      </c>
    </row>
    <row r="48" spans="1:17" s="119" customFormat="1" ht="19.5" hidden="1" thickBot="1" x14ac:dyDescent="0.35">
      <c r="A48" s="119" t="s">
        <v>342</v>
      </c>
      <c r="B48" s="309">
        <f>IFERROR(+GETPIVOTDATA("Unique Billed Hours",'County allocation'!$A$3,"County",A48,"HHA/CDPAP","HHA"),0)</f>
        <v>0</v>
      </c>
      <c r="C48" s="119">
        <f t="shared" si="21"/>
        <v>0</v>
      </c>
      <c r="D48" s="125" t="s">
        <v>119</v>
      </c>
      <c r="E48" s="76" t="s">
        <v>52</v>
      </c>
      <c r="F48" s="168">
        <f t="shared" si="28"/>
        <v>0</v>
      </c>
      <c r="G48" s="186">
        <f t="shared" si="28"/>
        <v>0</v>
      </c>
      <c r="H48" s="186">
        <f t="shared" si="28"/>
        <v>0</v>
      </c>
      <c r="I48" s="186">
        <f t="shared" si="28"/>
        <v>0</v>
      </c>
      <c r="J48" s="186">
        <f t="shared" si="28"/>
        <v>0</v>
      </c>
      <c r="K48" s="186">
        <f t="shared" ref="K48:P48" si="31">+K12*$E$39</f>
        <v>0</v>
      </c>
      <c r="L48" s="186">
        <f t="shared" si="31"/>
        <v>0</v>
      </c>
      <c r="M48" s="186">
        <f t="shared" si="31"/>
        <v>0</v>
      </c>
      <c r="N48" s="186">
        <f t="shared" si="31"/>
        <v>0</v>
      </c>
      <c r="O48" s="186">
        <f t="shared" si="31"/>
        <v>0</v>
      </c>
      <c r="P48" s="186">
        <f t="shared" si="31"/>
        <v>0</v>
      </c>
      <c r="Q48" s="190">
        <f t="shared" si="30"/>
        <v>0</v>
      </c>
    </row>
    <row r="49" spans="1:20" ht="19.5" hidden="1" thickBot="1" x14ac:dyDescent="0.35">
      <c r="A49" s="119" t="s">
        <v>343</v>
      </c>
      <c r="B49" s="309">
        <f>IFERROR(+GETPIVOTDATA("Unique Billed Hours",'County allocation'!$A$3,"County",A49,"HHA/CDPAP","HHA"),0)</f>
        <v>2.3438220793789384E-4</v>
      </c>
      <c r="C49" s="119">
        <f t="shared" si="21"/>
        <v>0</v>
      </c>
      <c r="D49" s="125" t="s">
        <v>120</v>
      </c>
      <c r="E49" s="76" t="s">
        <v>51</v>
      </c>
      <c r="F49" s="168">
        <f t="shared" si="28"/>
        <v>0</v>
      </c>
      <c r="G49" s="186">
        <f t="shared" si="28"/>
        <v>0</v>
      </c>
      <c r="H49" s="186">
        <f t="shared" si="28"/>
        <v>0</v>
      </c>
      <c r="I49" s="186">
        <f t="shared" si="28"/>
        <v>0</v>
      </c>
      <c r="J49" s="186">
        <f t="shared" si="28"/>
        <v>0</v>
      </c>
      <c r="K49" s="186">
        <f t="shared" ref="K49:P49" si="32">+K13*$E$39</f>
        <v>0</v>
      </c>
      <c r="L49" s="186">
        <f t="shared" si="32"/>
        <v>0</v>
      </c>
      <c r="M49" s="186">
        <f t="shared" si="32"/>
        <v>0</v>
      </c>
      <c r="N49" s="186">
        <f t="shared" si="32"/>
        <v>0</v>
      </c>
      <c r="O49" s="186">
        <f t="shared" si="32"/>
        <v>0</v>
      </c>
      <c r="P49" s="186">
        <f t="shared" si="32"/>
        <v>0</v>
      </c>
      <c r="Q49" s="190">
        <f t="shared" si="30"/>
        <v>0</v>
      </c>
      <c r="R49" s="119"/>
      <c r="S49" s="119"/>
      <c r="T49" s="119"/>
    </row>
    <row r="50" spans="1:20" ht="19.5" hidden="1" thickBot="1" x14ac:dyDescent="0.35">
      <c r="A50" s="119" t="s">
        <v>344</v>
      </c>
      <c r="B50" s="309">
        <f>IFERROR(+GETPIVOTDATA("Unique Billed Hours",'County allocation'!$A$3,"County",A50,"HHA/CDPAP","HHA"),0)</f>
        <v>4.4993927533405302E-3</v>
      </c>
      <c r="C50" s="119">
        <f t="shared" si="21"/>
        <v>0</v>
      </c>
      <c r="D50" s="125" t="s">
        <v>121</v>
      </c>
      <c r="E50" s="76" t="s">
        <v>50</v>
      </c>
      <c r="F50" s="168">
        <f t="shared" si="28"/>
        <v>0</v>
      </c>
      <c r="G50" s="186">
        <f t="shared" si="28"/>
        <v>0</v>
      </c>
      <c r="H50" s="186">
        <f t="shared" si="28"/>
        <v>0</v>
      </c>
      <c r="I50" s="186">
        <f t="shared" si="28"/>
        <v>0</v>
      </c>
      <c r="J50" s="186">
        <f t="shared" si="28"/>
        <v>0</v>
      </c>
      <c r="K50" s="186">
        <f t="shared" ref="K50:P50" si="33">+K14*$E$39</f>
        <v>0</v>
      </c>
      <c r="L50" s="186">
        <f t="shared" si="33"/>
        <v>0</v>
      </c>
      <c r="M50" s="186">
        <f t="shared" si="33"/>
        <v>0</v>
      </c>
      <c r="N50" s="186">
        <f t="shared" si="33"/>
        <v>0</v>
      </c>
      <c r="O50" s="186">
        <f t="shared" si="33"/>
        <v>0</v>
      </c>
      <c r="P50" s="186">
        <f t="shared" si="33"/>
        <v>0</v>
      </c>
      <c r="Q50" s="190">
        <f t="shared" si="30"/>
        <v>0</v>
      </c>
      <c r="R50" s="119"/>
      <c r="S50" s="119"/>
      <c r="T50" s="119"/>
    </row>
    <row r="51" spans="1:20" ht="19.5" hidden="1" thickBot="1" x14ac:dyDescent="0.35">
      <c r="A51" s="119" t="s">
        <v>345</v>
      </c>
      <c r="B51" s="309">
        <f>IFERROR(+GETPIVOTDATA("Unique Billed Hours",'County allocation'!$A$3,"County",A51,"HHA/CDPAP","HHA"),0)</f>
        <v>0</v>
      </c>
      <c r="C51" s="119">
        <f t="shared" si="21"/>
        <v>0</v>
      </c>
      <c r="D51" s="125" t="s">
        <v>122</v>
      </c>
      <c r="E51" s="76" t="s">
        <v>49</v>
      </c>
      <c r="F51" s="168">
        <f t="shared" si="28"/>
        <v>0</v>
      </c>
      <c r="G51" s="186">
        <f t="shared" si="28"/>
        <v>0</v>
      </c>
      <c r="H51" s="186">
        <f t="shared" si="28"/>
        <v>0</v>
      </c>
      <c r="I51" s="186">
        <f t="shared" si="28"/>
        <v>0</v>
      </c>
      <c r="J51" s="186">
        <f t="shared" si="28"/>
        <v>0</v>
      </c>
      <c r="K51" s="186">
        <f t="shared" ref="K51:P51" si="34">+K15*$E$39</f>
        <v>0</v>
      </c>
      <c r="L51" s="186">
        <f t="shared" si="34"/>
        <v>0</v>
      </c>
      <c r="M51" s="186">
        <f t="shared" si="34"/>
        <v>0</v>
      </c>
      <c r="N51" s="186">
        <f t="shared" si="34"/>
        <v>0</v>
      </c>
      <c r="O51" s="186">
        <f t="shared" si="34"/>
        <v>0</v>
      </c>
      <c r="P51" s="186">
        <f t="shared" si="34"/>
        <v>0</v>
      </c>
      <c r="Q51" s="190">
        <f t="shared" si="30"/>
        <v>0</v>
      </c>
      <c r="R51" s="119"/>
      <c r="S51" s="119"/>
      <c r="T51" s="119"/>
    </row>
    <row r="52" spans="1:20" ht="19.5" hidden="1" thickBot="1" x14ac:dyDescent="0.35">
      <c r="A52" s="119" t="s">
        <v>346</v>
      </c>
      <c r="B52" s="309">
        <f>IFERROR(+GETPIVOTDATA("Unique Billed Hours",'County allocation'!$A$3,"County",A52,"HHA/CDPAP","HHA"),0)</f>
        <v>0</v>
      </c>
      <c r="C52" s="119">
        <f t="shared" si="21"/>
        <v>0</v>
      </c>
      <c r="D52" s="125" t="s">
        <v>123</v>
      </c>
      <c r="E52" s="76" t="s">
        <v>47</v>
      </c>
      <c r="F52" s="168">
        <f t="shared" si="28"/>
        <v>0</v>
      </c>
      <c r="G52" s="186">
        <f t="shared" si="28"/>
        <v>0</v>
      </c>
      <c r="H52" s="186">
        <f t="shared" si="28"/>
        <v>0</v>
      </c>
      <c r="I52" s="186">
        <f t="shared" si="28"/>
        <v>0</v>
      </c>
      <c r="J52" s="186">
        <f t="shared" si="28"/>
        <v>0</v>
      </c>
      <c r="K52" s="186">
        <f t="shared" ref="K52:P52" si="35">+K16*$E$39</f>
        <v>0</v>
      </c>
      <c r="L52" s="186">
        <f t="shared" si="35"/>
        <v>0</v>
      </c>
      <c r="M52" s="186">
        <f t="shared" si="35"/>
        <v>0</v>
      </c>
      <c r="N52" s="186">
        <f t="shared" si="35"/>
        <v>0</v>
      </c>
      <c r="O52" s="186">
        <f t="shared" si="35"/>
        <v>0</v>
      </c>
      <c r="P52" s="186">
        <f t="shared" si="35"/>
        <v>0</v>
      </c>
      <c r="Q52" s="190">
        <f t="shared" si="30"/>
        <v>0</v>
      </c>
      <c r="R52" s="119"/>
      <c r="S52" s="119"/>
      <c r="T52" s="119"/>
    </row>
    <row r="53" spans="1:20" ht="19.5" hidden="1" thickBot="1" x14ac:dyDescent="0.35">
      <c r="A53" s="119" t="s">
        <v>347</v>
      </c>
      <c r="B53" s="309">
        <f>IFERROR(+GETPIVOTDATA("Unique Billed Hours",'County allocation'!$A$3,"County",A53,"HHA/CDPAP","HHA"),0)</f>
        <v>0</v>
      </c>
      <c r="C53" s="119">
        <f t="shared" si="21"/>
        <v>0</v>
      </c>
      <c r="D53" s="125" t="s">
        <v>16</v>
      </c>
      <c r="E53" s="70" t="s">
        <v>77</v>
      </c>
      <c r="F53" s="168">
        <f t="shared" si="28"/>
        <v>0</v>
      </c>
      <c r="G53" s="186">
        <f t="shared" si="28"/>
        <v>0</v>
      </c>
      <c r="H53" s="186">
        <f t="shared" si="28"/>
        <v>0</v>
      </c>
      <c r="I53" s="186">
        <f t="shared" si="28"/>
        <v>0</v>
      </c>
      <c r="J53" s="186">
        <f t="shared" si="28"/>
        <v>0</v>
      </c>
      <c r="K53" s="186">
        <f t="shared" ref="K53:P53" si="36">+K17*$E$39</f>
        <v>0</v>
      </c>
      <c r="L53" s="186">
        <f t="shared" si="36"/>
        <v>0</v>
      </c>
      <c r="M53" s="186">
        <f t="shared" si="36"/>
        <v>0</v>
      </c>
      <c r="N53" s="186">
        <f t="shared" si="36"/>
        <v>0</v>
      </c>
      <c r="O53" s="186">
        <f t="shared" si="36"/>
        <v>0</v>
      </c>
      <c r="P53" s="186">
        <f t="shared" si="36"/>
        <v>0</v>
      </c>
      <c r="Q53" s="190">
        <f t="shared" si="30"/>
        <v>0</v>
      </c>
      <c r="R53" s="119"/>
      <c r="S53" s="119"/>
      <c r="T53" s="119"/>
    </row>
    <row r="54" spans="1:20" ht="19.5" hidden="1" thickBot="1" x14ac:dyDescent="0.3">
      <c r="A54" s="119" t="s">
        <v>348</v>
      </c>
      <c r="B54" s="309">
        <f>IFERROR(+GETPIVOTDATA("Unique Billed Hours",'County allocation'!$A$3,"County",A54,"HHA/CDPAP","HHA"),0)</f>
        <v>0</v>
      </c>
      <c r="C54" s="119">
        <f t="shared" si="21"/>
        <v>0</v>
      </c>
      <c r="D54" s="131" t="s">
        <v>124</v>
      </c>
      <c r="E54" s="116" t="s">
        <v>78</v>
      </c>
      <c r="F54" s="169">
        <f t="shared" ref="F54:Q54" si="37">SUBTOTAL(9,F42:F53)</f>
        <v>0</v>
      </c>
      <c r="G54" s="170">
        <f t="shared" si="37"/>
        <v>0</v>
      </c>
      <c r="H54" s="170">
        <f t="shared" si="37"/>
        <v>0</v>
      </c>
      <c r="I54" s="170">
        <f t="shared" si="37"/>
        <v>0</v>
      </c>
      <c r="J54" s="170">
        <f t="shared" si="37"/>
        <v>0</v>
      </c>
      <c r="K54" s="170">
        <f t="shared" ref="K54:P54" si="38">SUBTOTAL(9,K42:K53)</f>
        <v>0</v>
      </c>
      <c r="L54" s="170">
        <f t="shared" si="38"/>
        <v>0</v>
      </c>
      <c r="M54" s="170">
        <f t="shared" si="38"/>
        <v>0</v>
      </c>
      <c r="N54" s="170">
        <f t="shared" si="38"/>
        <v>0</v>
      </c>
      <c r="O54" s="170">
        <f t="shared" si="38"/>
        <v>0</v>
      </c>
      <c r="P54" s="170">
        <f t="shared" si="38"/>
        <v>0</v>
      </c>
      <c r="Q54" s="170">
        <f t="shared" si="37"/>
        <v>0</v>
      </c>
      <c r="R54" s="119"/>
      <c r="S54" s="119"/>
      <c r="T54" s="119"/>
    </row>
    <row r="55" spans="1:20" ht="19.5" hidden="1" thickBot="1" x14ac:dyDescent="0.3">
      <c r="A55" s="119" t="s">
        <v>349</v>
      </c>
      <c r="B55" s="309">
        <f>IFERROR(+GETPIVOTDATA("Unique Billed Hours",'County allocation'!$A$3,"County",A55,"HHA/CDPAP","HHA"),0)</f>
        <v>1.3789830938469415E-5</v>
      </c>
      <c r="D55" s="139"/>
      <c r="E55" s="140"/>
      <c r="F55" s="141"/>
      <c r="G55" s="141"/>
      <c r="H55" s="141"/>
      <c r="I55" s="142"/>
      <c r="J55" s="142"/>
      <c r="K55" s="142"/>
      <c r="L55" s="142"/>
      <c r="M55" s="142"/>
      <c r="N55" s="142"/>
      <c r="O55" s="142"/>
      <c r="P55" s="142"/>
      <c r="Q55" s="142"/>
      <c r="R55" s="119"/>
      <c r="S55" s="119"/>
      <c r="T55" s="119"/>
    </row>
    <row r="56" spans="1:20" ht="45" x14ac:dyDescent="0.25">
      <c r="A56" s="119" t="s">
        <v>350</v>
      </c>
      <c r="B56" s="309">
        <f>IFERROR(+GETPIVOTDATA("Unique Billed Hours",'County allocation'!$A$3,"County",A56,"HHA/CDPAP","HHA"),0)</f>
        <v>0</v>
      </c>
      <c r="C56" s="119">
        <f>IF(E56&gt;0,1,0)</f>
        <v>1</v>
      </c>
      <c r="D56" s="96" t="str">
        <f>+A6</f>
        <v>Bronx</v>
      </c>
      <c r="E56" s="166">
        <f>+SUMIF(A:A,D56,B:B)</f>
        <v>0.11142587660428063</v>
      </c>
      <c r="F56" s="98" t="s">
        <v>97</v>
      </c>
      <c r="G56" s="98" t="s">
        <v>126</v>
      </c>
      <c r="H56" s="98" t="s">
        <v>127</v>
      </c>
      <c r="I56" s="99" t="s">
        <v>128</v>
      </c>
      <c r="J56" s="99" t="s">
        <v>131</v>
      </c>
      <c r="K56" s="560" t="s">
        <v>474</v>
      </c>
      <c r="L56" s="560" t="s">
        <v>475</v>
      </c>
      <c r="M56" s="560" t="s">
        <v>476</v>
      </c>
      <c r="N56" s="560" t="s">
        <v>477</v>
      </c>
      <c r="O56" s="560" t="s">
        <v>478</v>
      </c>
      <c r="P56" s="560" t="s">
        <v>479</v>
      </c>
      <c r="Q56" s="99" t="s">
        <v>129</v>
      </c>
    </row>
    <row r="57" spans="1:20" ht="18.75" x14ac:dyDescent="0.25">
      <c r="A57" s="119" t="s">
        <v>351</v>
      </c>
      <c r="B57" s="309">
        <f>IFERROR(+GETPIVOTDATA("Unique Billed Hours",'County allocation'!$A$3,"County",A57,"HHA/CDPAP","HHA"),0)</f>
        <v>0</v>
      </c>
      <c r="C57" s="119">
        <f>C56</f>
        <v>1</v>
      </c>
      <c r="D57" s="127"/>
      <c r="E57" s="128"/>
      <c r="F57" s="84" t="s">
        <v>57</v>
      </c>
      <c r="G57" s="84" t="s">
        <v>56</v>
      </c>
      <c r="H57" s="84" t="s">
        <v>55</v>
      </c>
      <c r="I57" s="84" t="s">
        <v>54</v>
      </c>
      <c r="J57" s="129" t="s">
        <v>53</v>
      </c>
      <c r="K57" s="129" t="s">
        <v>52</v>
      </c>
      <c r="L57" s="129" t="s">
        <v>51</v>
      </c>
      <c r="M57" s="129" t="s">
        <v>50</v>
      </c>
      <c r="N57" s="129" t="s">
        <v>49</v>
      </c>
      <c r="O57" s="129" t="s">
        <v>47</v>
      </c>
      <c r="P57" s="129" t="s">
        <v>77</v>
      </c>
      <c r="Q57" s="129" t="s">
        <v>78</v>
      </c>
    </row>
    <row r="58" spans="1:20" ht="18.75" x14ac:dyDescent="0.25">
      <c r="A58" s="119" t="s">
        <v>352</v>
      </c>
      <c r="B58" s="309">
        <f>IFERROR(+GETPIVOTDATA("Unique Billed Hours",'County allocation'!$A$3,"County",A58,"HHA/CDPAP","HHA"),0)</f>
        <v>0</v>
      </c>
      <c r="C58" s="119">
        <f>C57</f>
        <v>1</v>
      </c>
      <c r="D58" s="133" t="s">
        <v>26</v>
      </c>
      <c r="E58" s="134"/>
      <c r="F58" s="135"/>
      <c r="G58" s="135"/>
      <c r="H58" s="136"/>
      <c r="I58" s="136"/>
      <c r="J58" s="137"/>
      <c r="K58" s="137"/>
      <c r="L58" s="137"/>
      <c r="M58" s="137"/>
      <c r="N58" s="137"/>
      <c r="O58" s="137"/>
      <c r="P58" s="137"/>
      <c r="Q58" s="138"/>
    </row>
    <row r="59" spans="1:20" ht="18.75" x14ac:dyDescent="0.25">
      <c r="A59" s="119" t="s">
        <v>353</v>
      </c>
      <c r="B59" s="309">
        <f>IFERROR(+GETPIVOTDATA("Unique Billed Hours",'County allocation'!$A$3,"County",A59,"HHA/CDPAP","HHA"),0)</f>
        <v>0</v>
      </c>
      <c r="C59" s="119">
        <f t="shared" ref="C59:C71" si="39">C58</f>
        <v>1</v>
      </c>
      <c r="D59" s="109" t="s">
        <v>93</v>
      </c>
      <c r="E59" s="76" t="s">
        <v>57</v>
      </c>
      <c r="F59" s="168">
        <f>+F6*$E$56</f>
        <v>388.52315735417284</v>
      </c>
      <c r="G59" s="186">
        <f t="shared" ref="G59:J59" si="40">+G6*$E$56</f>
        <v>746713.85659597709</v>
      </c>
      <c r="H59" s="186">
        <f t="shared" si="40"/>
        <v>34789.511990370287</v>
      </c>
      <c r="I59" s="186">
        <f t="shared" si="40"/>
        <v>118.3153385547233</v>
      </c>
      <c r="J59" s="186">
        <f t="shared" si="40"/>
        <v>12483.993647222525</v>
      </c>
      <c r="K59" s="186">
        <f t="shared" ref="K59:P59" si="41">+K6*$E$56</f>
        <v>13699.71681650119</v>
      </c>
      <c r="L59" s="186">
        <f t="shared" si="41"/>
        <v>320.09868701494719</v>
      </c>
      <c r="M59" s="186">
        <f t="shared" si="41"/>
        <v>0</v>
      </c>
      <c r="N59" s="186">
        <f t="shared" si="41"/>
        <v>2.6742210385027354</v>
      </c>
      <c r="O59" s="186">
        <f t="shared" si="41"/>
        <v>0</v>
      </c>
      <c r="P59" s="186">
        <f t="shared" si="41"/>
        <v>0</v>
      </c>
      <c r="Q59" s="190">
        <f>SUM(G59:P59)</f>
        <v>808128.16729667922</v>
      </c>
    </row>
    <row r="60" spans="1:20" ht="18.75" x14ac:dyDescent="0.25">
      <c r="A60" s="119" t="s">
        <v>354</v>
      </c>
      <c r="B60" s="309">
        <f>IFERROR(+GETPIVOTDATA("Unique Billed Hours",'County allocation'!$A$3,"County",A60,"HHA/CDPAP","HHA"),0)</f>
        <v>0</v>
      </c>
      <c r="C60" s="119">
        <f t="shared" si="39"/>
        <v>1</v>
      </c>
      <c r="D60" s="110" t="s">
        <v>132</v>
      </c>
      <c r="E60" s="76" t="s">
        <v>56</v>
      </c>
      <c r="F60" s="191">
        <f t="shared" ref="F60:J62" si="42">+F7*$E$56</f>
        <v>0</v>
      </c>
      <c r="G60" s="192">
        <f t="shared" si="42"/>
        <v>0</v>
      </c>
      <c r="H60" s="192">
        <f t="shared" si="42"/>
        <v>0</v>
      </c>
      <c r="I60" s="192">
        <f t="shared" si="42"/>
        <v>0</v>
      </c>
      <c r="J60" s="192">
        <f t="shared" si="42"/>
        <v>0</v>
      </c>
      <c r="K60" s="192">
        <f t="shared" ref="K60:P60" si="43">+K7*$E$56</f>
        <v>0</v>
      </c>
      <c r="L60" s="192">
        <f t="shared" si="43"/>
        <v>0</v>
      </c>
      <c r="M60" s="192">
        <f t="shared" si="43"/>
        <v>0</v>
      </c>
      <c r="N60" s="192">
        <f t="shared" si="43"/>
        <v>0</v>
      </c>
      <c r="O60" s="192">
        <f t="shared" si="43"/>
        <v>0</v>
      </c>
      <c r="P60" s="192">
        <f t="shared" si="43"/>
        <v>0</v>
      </c>
      <c r="Q60" s="190">
        <f>SUM(G60:P60)</f>
        <v>0</v>
      </c>
    </row>
    <row r="61" spans="1:20" ht="18.75" x14ac:dyDescent="0.25">
      <c r="A61" s="119" t="s">
        <v>355</v>
      </c>
      <c r="B61" s="309">
        <f>IFERROR(+GETPIVOTDATA("Unique Billed Hours",'County allocation'!$A$3,"County",A61,"HHA/CDPAP","HHA"),0)</f>
        <v>0</v>
      </c>
      <c r="C61" s="119">
        <f t="shared" si="39"/>
        <v>1</v>
      </c>
      <c r="D61" s="109" t="s">
        <v>91</v>
      </c>
      <c r="E61" s="76" t="s">
        <v>55</v>
      </c>
      <c r="F61" s="191">
        <f t="shared" si="42"/>
        <v>0.48554629282310025</v>
      </c>
      <c r="G61" s="192">
        <f t="shared" si="42"/>
        <v>990.43676066629951</v>
      </c>
      <c r="H61" s="192">
        <f t="shared" si="42"/>
        <v>0</v>
      </c>
      <c r="I61" s="192">
        <f t="shared" si="42"/>
        <v>0</v>
      </c>
      <c r="J61" s="192">
        <f t="shared" si="42"/>
        <v>15.042493341577885</v>
      </c>
      <c r="K61" s="192">
        <f t="shared" ref="K61:P61" si="44">+K8*$E$56</f>
        <v>4.4570350641712251</v>
      </c>
      <c r="L61" s="192">
        <f t="shared" si="44"/>
        <v>0</v>
      </c>
      <c r="M61" s="192">
        <f t="shared" si="44"/>
        <v>0</v>
      </c>
      <c r="N61" s="192">
        <f t="shared" si="44"/>
        <v>0</v>
      </c>
      <c r="O61" s="192">
        <f t="shared" si="44"/>
        <v>0</v>
      </c>
      <c r="P61" s="192">
        <f t="shared" si="44"/>
        <v>0</v>
      </c>
      <c r="Q61" s="190">
        <f>SUM(G61:P61)</f>
        <v>1009.9362890720487</v>
      </c>
    </row>
    <row r="62" spans="1:20" ht="18.75" x14ac:dyDescent="0.25">
      <c r="A62" s="119" t="s">
        <v>361</v>
      </c>
      <c r="B62" s="309">
        <f>IFERROR(+GETPIVOTDATA("Unique Billed Hours",'County allocation'!$A$3,"County",A62,"HHA/CDPAP","HHA"),0)</f>
        <v>0</v>
      </c>
      <c r="C62" s="119">
        <f t="shared" si="39"/>
        <v>1</v>
      </c>
      <c r="D62" s="130" t="s">
        <v>117</v>
      </c>
      <c r="E62" s="76" t="s">
        <v>54</v>
      </c>
      <c r="F62" s="191">
        <f t="shared" si="42"/>
        <v>0</v>
      </c>
      <c r="G62" s="184">
        <f t="shared" si="42"/>
        <v>0</v>
      </c>
      <c r="H62" s="184">
        <f t="shared" si="42"/>
        <v>0</v>
      </c>
      <c r="I62" s="184">
        <f t="shared" si="42"/>
        <v>0</v>
      </c>
      <c r="J62" s="184">
        <f t="shared" si="42"/>
        <v>0</v>
      </c>
      <c r="K62" s="184">
        <f t="shared" ref="K62:P62" si="45">+K9*$E$56</f>
        <v>0</v>
      </c>
      <c r="L62" s="184">
        <f t="shared" si="45"/>
        <v>0</v>
      </c>
      <c r="M62" s="184">
        <f t="shared" si="45"/>
        <v>0</v>
      </c>
      <c r="N62" s="184">
        <f t="shared" si="45"/>
        <v>0</v>
      </c>
      <c r="O62" s="184">
        <f t="shared" si="45"/>
        <v>0</v>
      </c>
      <c r="P62" s="184">
        <f t="shared" si="45"/>
        <v>0</v>
      </c>
      <c r="Q62" s="190">
        <f>SUM(G62:P62)</f>
        <v>0</v>
      </c>
    </row>
    <row r="63" spans="1:20" ht="18.75" x14ac:dyDescent="0.25">
      <c r="A63" s="119" t="s">
        <v>362</v>
      </c>
      <c r="B63" s="309">
        <f>IFERROR(+GETPIVOTDATA("Unique Billed Hours",'County allocation'!$A$3,"County",A63,"HHA/CDPAP","HHA"),0)</f>
        <v>3.234950600513449E-2</v>
      </c>
      <c r="C63" s="119">
        <f t="shared" si="39"/>
        <v>1</v>
      </c>
      <c r="D63" s="112" t="s">
        <v>31</v>
      </c>
      <c r="E63" s="76"/>
      <c r="F63" s="167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71"/>
    </row>
    <row r="64" spans="1:20" ht="18.75" x14ac:dyDescent="0.3">
      <c r="A64" s="119" t="s">
        <v>363</v>
      </c>
      <c r="B64" s="309">
        <f>IFERROR(+GETPIVOTDATA("Unique Billed Hours",'County allocation'!$A$3,"County",A64,"HHA/CDPAP","HHA"),0)</f>
        <v>0</v>
      </c>
      <c r="C64" s="119">
        <f t="shared" si="39"/>
        <v>1</v>
      </c>
      <c r="D64" s="125" t="s">
        <v>118</v>
      </c>
      <c r="E64" s="76" t="s">
        <v>53</v>
      </c>
      <c r="F64" s="168">
        <f t="shared" ref="F64:J70" si="46">+F11*$E$56</f>
        <v>0</v>
      </c>
      <c r="G64" s="186">
        <f t="shared" si="46"/>
        <v>0</v>
      </c>
      <c r="H64" s="186">
        <f t="shared" si="46"/>
        <v>0</v>
      </c>
      <c r="I64" s="186">
        <f t="shared" si="46"/>
        <v>0</v>
      </c>
      <c r="J64" s="186">
        <f t="shared" si="46"/>
        <v>0</v>
      </c>
      <c r="K64" s="186">
        <f t="shared" ref="K64:P64" si="47">+K11*$E$56</f>
        <v>0</v>
      </c>
      <c r="L64" s="186">
        <f t="shared" si="47"/>
        <v>0</v>
      </c>
      <c r="M64" s="186">
        <f t="shared" si="47"/>
        <v>0</v>
      </c>
      <c r="N64" s="186">
        <f t="shared" si="47"/>
        <v>0</v>
      </c>
      <c r="O64" s="186">
        <f t="shared" si="47"/>
        <v>0</v>
      </c>
      <c r="P64" s="186">
        <f t="shared" si="47"/>
        <v>0</v>
      </c>
      <c r="Q64" s="190">
        <f t="shared" ref="Q64:Q70" si="48">SUM(G64:P64)</f>
        <v>0</v>
      </c>
    </row>
    <row r="65" spans="1:20" ht="18.75" x14ac:dyDescent="0.3">
      <c r="A65" s="119" t="s">
        <v>364</v>
      </c>
      <c r="B65" s="309">
        <f>IFERROR(+GETPIVOTDATA("Unique Billed Hours",'County allocation'!$A$3,"County",A65,"HHA/CDPAP","HHA"),0)</f>
        <v>0</v>
      </c>
      <c r="C65" s="119">
        <f t="shared" si="39"/>
        <v>1</v>
      </c>
      <c r="D65" s="125" t="s">
        <v>119</v>
      </c>
      <c r="E65" s="76" t="s">
        <v>52</v>
      </c>
      <c r="F65" s="168">
        <f t="shared" si="46"/>
        <v>0</v>
      </c>
      <c r="G65" s="186">
        <f t="shared" si="46"/>
        <v>0</v>
      </c>
      <c r="H65" s="186">
        <f t="shared" si="46"/>
        <v>0</v>
      </c>
      <c r="I65" s="186">
        <f t="shared" si="46"/>
        <v>0</v>
      </c>
      <c r="J65" s="186">
        <f t="shared" si="46"/>
        <v>0</v>
      </c>
      <c r="K65" s="186">
        <f t="shared" ref="K65:P65" si="49">+K12*$E$56</f>
        <v>0</v>
      </c>
      <c r="L65" s="186">
        <f t="shared" si="49"/>
        <v>0</v>
      </c>
      <c r="M65" s="186">
        <f t="shared" si="49"/>
        <v>0</v>
      </c>
      <c r="N65" s="186">
        <f t="shared" si="49"/>
        <v>0</v>
      </c>
      <c r="O65" s="186">
        <f t="shared" si="49"/>
        <v>0</v>
      </c>
      <c r="P65" s="186">
        <f t="shared" si="49"/>
        <v>0</v>
      </c>
      <c r="Q65" s="190">
        <f t="shared" si="48"/>
        <v>0</v>
      </c>
    </row>
    <row r="66" spans="1:20" ht="18.75" x14ac:dyDescent="0.3">
      <c r="B66" s="309"/>
      <c r="C66" s="119">
        <f t="shared" si="39"/>
        <v>1</v>
      </c>
      <c r="D66" s="125" t="s">
        <v>120</v>
      </c>
      <c r="E66" s="76" t="s">
        <v>51</v>
      </c>
      <c r="F66" s="168">
        <f t="shared" si="46"/>
        <v>0</v>
      </c>
      <c r="G66" s="186">
        <f t="shared" si="46"/>
        <v>0</v>
      </c>
      <c r="H66" s="186">
        <f t="shared" si="46"/>
        <v>0</v>
      </c>
      <c r="I66" s="186">
        <f t="shared" si="46"/>
        <v>0</v>
      </c>
      <c r="J66" s="186">
        <f t="shared" si="46"/>
        <v>0</v>
      </c>
      <c r="K66" s="186">
        <f t="shared" ref="K66:P66" si="50">+K13*$E$56</f>
        <v>0</v>
      </c>
      <c r="L66" s="186">
        <f t="shared" si="50"/>
        <v>0</v>
      </c>
      <c r="M66" s="186">
        <f t="shared" si="50"/>
        <v>0</v>
      </c>
      <c r="N66" s="186">
        <f t="shared" si="50"/>
        <v>0</v>
      </c>
      <c r="O66" s="186">
        <f t="shared" si="50"/>
        <v>0</v>
      </c>
      <c r="P66" s="186">
        <f t="shared" si="50"/>
        <v>0</v>
      </c>
      <c r="Q66" s="190">
        <f t="shared" si="48"/>
        <v>0</v>
      </c>
    </row>
    <row r="67" spans="1:20" ht="18.75" x14ac:dyDescent="0.3">
      <c r="C67" s="119">
        <f t="shared" si="39"/>
        <v>1</v>
      </c>
      <c r="D67" s="125" t="s">
        <v>121</v>
      </c>
      <c r="E67" s="76" t="s">
        <v>50</v>
      </c>
      <c r="F67" s="168">
        <f t="shared" si="46"/>
        <v>0</v>
      </c>
      <c r="G67" s="186">
        <f t="shared" si="46"/>
        <v>0</v>
      </c>
      <c r="H67" s="186">
        <f t="shared" si="46"/>
        <v>0</v>
      </c>
      <c r="I67" s="186">
        <f t="shared" si="46"/>
        <v>0</v>
      </c>
      <c r="J67" s="186">
        <f t="shared" si="46"/>
        <v>0</v>
      </c>
      <c r="K67" s="186">
        <f t="shared" ref="K67:P67" si="51">+K14*$E$56</f>
        <v>0</v>
      </c>
      <c r="L67" s="186">
        <f t="shared" si="51"/>
        <v>0</v>
      </c>
      <c r="M67" s="186">
        <f t="shared" si="51"/>
        <v>0</v>
      </c>
      <c r="N67" s="186">
        <f t="shared" si="51"/>
        <v>0</v>
      </c>
      <c r="O67" s="186">
        <f t="shared" si="51"/>
        <v>0</v>
      </c>
      <c r="P67" s="186">
        <f t="shared" si="51"/>
        <v>0</v>
      </c>
      <c r="Q67" s="190">
        <f t="shared" si="48"/>
        <v>0</v>
      </c>
    </row>
    <row r="68" spans="1:20" ht="18.75" x14ac:dyDescent="0.3">
      <c r="C68" s="119">
        <f t="shared" si="39"/>
        <v>1</v>
      </c>
      <c r="D68" s="125" t="s">
        <v>122</v>
      </c>
      <c r="E68" s="76" t="s">
        <v>49</v>
      </c>
      <c r="F68" s="168">
        <f t="shared" si="46"/>
        <v>0</v>
      </c>
      <c r="G68" s="186">
        <f t="shared" si="46"/>
        <v>0</v>
      </c>
      <c r="H68" s="186">
        <f t="shared" si="46"/>
        <v>0</v>
      </c>
      <c r="I68" s="186">
        <f t="shared" si="46"/>
        <v>0</v>
      </c>
      <c r="J68" s="186">
        <f t="shared" si="46"/>
        <v>0</v>
      </c>
      <c r="K68" s="186">
        <f t="shared" ref="K68:P68" si="52">+K15*$E$56</f>
        <v>0</v>
      </c>
      <c r="L68" s="186">
        <f t="shared" si="52"/>
        <v>0</v>
      </c>
      <c r="M68" s="186">
        <f t="shared" si="52"/>
        <v>0</v>
      </c>
      <c r="N68" s="186">
        <f t="shared" si="52"/>
        <v>0</v>
      </c>
      <c r="O68" s="186">
        <f t="shared" si="52"/>
        <v>0</v>
      </c>
      <c r="P68" s="186">
        <f t="shared" si="52"/>
        <v>0</v>
      </c>
      <c r="Q68" s="190">
        <f t="shared" si="48"/>
        <v>0</v>
      </c>
    </row>
    <row r="69" spans="1:20" ht="18.75" x14ac:dyDescent="0.3">
      <c r="C69" s="119">
        <f t="shared" si="39"/>
        <v>1</v>
      </c>
      <c r="D69" s="125" t="s">
        <v>123</v>
      </c>
      <c r="E69" s="76" t="s">
        <v>47</v>
      </c>
      <c r="F69" s="168">
        <f t="shared" si="46"/>
        <v>0</v>
      </c>
      <c r="G69" s="186">
        <f t="shared" si="46"/>
        <v>0</v>
      </c>
      <c r="H69" s="186">
        <f t="shared" si="46"/>
        <v>0</v>
      </c>
      <c r="I69" s="186">
        <f t="shared" si="46"/>
        <v>0</v>
      </c>
      <c r="J69" s="186">
        <f t="shared" si="46"/>
        <v>0</v>
      </c>
      <c r="K69" s="186">
        <f t="shared" ref="K69:P69" si="53">+K16*$E$56</f>
        <v>0</v>
      </c>
      <c r="L69" s="186">
        <f t="shared" si="53"/>
        <v>0</v>
      </c>
      <c r="M69" s="186">
        <f t="shared" si="53"/>
        <v>0</v>
      </c>
      <c r="N69" s="186">
        <f t="shared" si="53"/>
        <v>0</v>
      </c>
      <c r="O69" s="186">
        <f t="shared" si="53"/>
        <v>0</v>
      </c>
      <c r="P69" s="186">
        <f t="shared" si="53"/>
        <v>0</v>
      </c>
      <c r="Q69" s="190">
        <f t="shared" si="48"/>
        <v>0</v>
      </c>
    </row>
    <row r="70" spans="1:20" ht="19.5" thickBot="1" x14ac:dyDescent="0.35">
      <c r="C70" s="119">
        <f t="shared" si="39"/>
        <v>1</v>
      </c>
      <c r="D70" s="125" t="s">
        <v>16</v>
      </c>
      <c r="E70" s="70" t="s">
        <v>77</v>
      </c>
      <c r="F70" s="168">
        <f t="shared" si="46"/>
        <v>25.680343629837378</v>
      </c>
      <c r="G70" s="186">
        <f t="shared" si="46"/>
        <v>46347.96633716792</v>
      </c>
      <c r="H70" s="186">
        <f t="shared" si="46"/>
        <v>903.11869207145537</v>
      </c>
      <c r="I70" s="186">
        <f t="shared" si="46"/>
        <v>0</v>
      </c>
      <c r="J70" s="186">
        <f t="shared" si="46"/>
        <v>0</v>
      </c>
      <c r="K70" s="186">
        <f t="shared" ref="K70:P70" si="54">+K17*$E$56</f>
        <v>3236.2580023157698</v>
      </c>
      <c r="L70" s="186">
        <f t="shared" si="54"/>
        <v>0</v>
      </c>
      <c r="M70" s="186">
        <f t="shared" si="54"/>
        <v>1.7370130707411968</v>
      </c>
      <c r="N70" s="186">
        <f t="shared" si="54"/>
        <v>0</v>
      </c>
      <c r="O70" s="186">
        <f t="shared" si="54"/>
        <v>0</v>
      </c>
      <c r="P70" s="186">
        <f t="shared" si="54"/>
        <v>2926.0347054358531</v>
      </c>
      <c r="Q70" s="190">
        <f t="shared" si="48"/>
        <v>53415.114750061737</v>
      </c>
    </row>
    <row r="71" spans="1:20" ht="19.5" thickBot="1" x14ac:dyDescent="0.3">
      <c r="C71" s="119">
        <f t="shared" si="39"/>
        <v>1</v>
      </c>
      <c r="D71" s="131" t="s">
        <v>124</v>
      </c>
      <c r="E71" s="116" t="s">
        <v>78</v>
      </c>
      <c r="F71" s="169">
        <f t="shared" ref="F71:Q71" si="55">SUBTOTAL(9,F59:F70)</f>
        <v>414.68904727683326</v>
      </c>
      <c r="G71" s="170">
        <f t="shared" si="55"/>
        <v>794052.2596938113</v>
      </c>
      <c r="H71" s="170">
        <f t="shared" si="55"/>
        <v>35692.630682441741</v>
      </c>
      <c r="I71" s="170">
        <f t="shared" si="55"/>
        <v>118.3153385547233</v>
      </c>
      <c r="J71" s="170">
        <f t="shared" si="55"/>
        <v>12499.036140564103</v>
      </c>
      <c r="K71" s="170">
        <f t="shared" ref="K71:P71" si="56">SUBTOTAL(9,K59:K70)</f>
        <v>16940.431853881131</v>
      </c>
      <c r="L71" s="170">
        <f t="shared" si="56"/>
        <v>320.09868701494719</v>
      </c>
      <c r="M71" s="170">
        <f t="shared" si="56"/>
        <v>1.7370130707411968</v>
      </c>
      <c r="N71" s="170">
        <f t="shared" si="56"/>
        <v>2.6742210385027354</v>
      </c>
      <c r="O71" s="170">
        <f t="shared" si="56"/>
        <v>0</v>
      </c>
      <c r="P71" s="170">
        <f t="shared" si="56"/>
        <v>2926.0347054358531</v>
      </c>
      <c r="Q71" s="170">
        <f t="shared" si="55"/>
        <v>862553.21833581303</v>
      </c>
    </row>
    <row r="72" spans="1:20" ht="19.5" hidden="1" thickBot="1" x14ac:dyDescent="0.3">
      <c r="D72" s="139"/>
      <c r="E72" s="140"/>
      <c r="F72" s="141"/>
      <c r="G72" s="141"/>
      <c r="H72" s="141"/>
      <c r="I72" s="142"/>
      <c r="J72" s="142"/>
      <c r="K72" s="142"/>
      <c r="L72" s="142"/>
      <c r="M72" s="142"/>
      <c r="N72" s="142"/>
      <c r="O72" s="142"/>
      <c r="P72" s="142"/>
      <c r="Q72" s="142"/>
      <c r="R72" s="119"/>
      <c r="S72" s="119"/>
      <c r="T72" s="119"/>
    </row>
    <row r="73" spans="1:20" ht="45.75" hidden="1" thickBot="1" x14ac:dyDescent="0.3">
      <c r="C73" s="119">
        <f>IF(E73&gt;0,1,0)</f>
        <v>0</v>
      </c>
      <c r="D73" s="96" t="str">
        <f>+A7</f>
        <v>Broome</v>
      </c>
      <c r="E73" s="166">
        <f>+SUMIF(A:A,D73,B:B)</f>
        <v>0</v>
      </c>
      <c r="F73" s="98" t="s">
        <v>97</v>
      </c>
      <c r="G73" s="98" t="s">
        <v>126</v>
      </c>
      <c r="H73" s="98" t="s">
        <v>127</v>
      </c>
      <c r="I73" s="99" t="s">
        <v>128</v>
      </c>
      <c r="J73" s="99" t="s">
        <v>131</v>
      </c>
      <c r="K73" s="560" t="s">
        <v>474</v>
      </c>
      <c r="L73" s="560" t="s">
        <v>475</v>
      </c>
      <c r="M73" s="560" t="s">
        <v>476</v>
      </c>
      <c r="N73" s="560" t="s">
        <v>477</v>
      </c>
      <c r="O73" s="560" t="s">
        <v>478</v>
      </c>
      <c r="P73" s="560" t="s">
        <v>479</v>
      </c>
      <c r="Q73" s="99" t="s">
        <v>129</v>
      </c>
      <c r="R73" s="119"/>
      <c r="S73" s="119"/>
      <c r="T73" s="119"/>
    </row>
    <row r="74" spans="1:20" ht="19.5" hidden="1" thickBot="1" x14ac:dyDescent="0.3">
      <c r="C74" s="119">
        <f>C73</f>
        <v>0</v>
      </c>
      <c r="D74" s="127"/>
      <c r="E74" s="128"/>
      <c r="F74" s="84" t="s">
        <v>57</v>
      </c>
      <c r="G74" s="84" t="s">
        <v>56</v>
      </c>
      <c r="H74" s="84" t="s">
        <v>55</v>
      </c>
      <c r="I74" s="84" t="s">
        <v>54</v>
      </c>
      <c r="J74" s="129" t="s">
        <v>53</v>
      </c>
      <c r="K74" s="129" t="s">
        <v>52</v>
      </c>
      <c r="L74" s="129" t="s">
        <v>51</v>
      </c>
      <c r="M74" s="129" t="s">
        <v>50</v>
      </c>
      <c r="N74" s="129" t="s">
        <v>49</v>
      </c>
      <c r="O74" s="129" t="s">
        <v>47</v>
      </c>
      <c r="P74" s="129" t="s">
        <v>77</v>
      </c>
      <c r="Q74" s="129" t="s">
        <v>78</v>
      </c>
      <c r="R74" s="119"/>
      <c r="S74" s="119"/>
      <c r="T74" s="119"/>
    </row>
    <row r="75" spans="1:20" ht="19.5" hidden="1" thickBot="1" x14ac:dyDescent="0.3">
      <c r="C75" s="119">
        <f>C74</f>
        <v>0</v>
      </c>
      <c r="D75" s="133" t="s">
        <v>26</v>
      </c>
      <c r="E75" s="134"/>
      <c r="F75" s="135"/>
      <c r="G75" s="135"/>
      <c r="H75" s="136"/>
      <c r="I75" s="136"/>
      <c r="J75" s="137"/>
      <c r="K75" s="137"/>
      <c r="L75" s="137"/>
      <c r="M75" s="137"/>
      <c r="N75" s="137"/>
      <c r="O75" s="137"/>
      <c r="P75" s="137"/>
      <c r="Q75" s="138"/>
      <c r="R75" s="119"/>
      <c r="S75" s="119"/>
      <c r="T75" s="119"/>
    </row>
    <row r="76" spans="1:20" ht="19.5" hidden="1" thickBot="1" x14ac:dyDescent="0.3">
      <c r="C76" s="119">
        <f t="shared" ref="C76:C88" si="57">C75</f>
        <v>0</v>
      </c>
      <c r="D76" s="109" t="s">
        <v>93</v>
      </c>
      <c r="E76" s="76" t="s">
        <v>57</v>
      </c>
      <c r="F76" s="168">
        <f>+F6*$E$73</f>
        <v>0</v>
      </c>
      <c r="G76" s="186">
        <f t="shared" ref="G76:J76" si="58">+G6*$E$73</f>
        <v>0</v>
      </c>
      <c r="H76" s="186">
        <f t="shared" si="58"/>
        <v>0</v>
      </c>
      <c r="I76" s="186">
        <f t="shared" si="58"/>
        <v>0</v>
      </c>
      <c r="J76" s="186">
        <f t="shared" si="58"/>
        <v>0</v>
      </c>
      <c r="K76" s="186">
        <f t="shared" ref="K76:P76" si="59">+K6*$E$73</f>
        <v>0</v>
      </c>
      <c r="L76" s="186">
        <f t="shared" si="59"/>
        <v>0</v>
      </c>
      <c r="M76" s="186">
        <f t="shared" si="59"/>
        <v>0</v>
      </c>
      <c r="N76" s="186">
        <f t="shared" si="59"/>
        <v>0</v>
      </c>
      <c r="O76" s="186">
        <f t="shared" si="59"/>
        <v>0</v>
      </c>
      <c r="P76" s="186">
        <f t="shared" si="59"/>
        <v>0</v>
      </c>
      <c r="Q76" s="190">
        <f>SUM(G76:P76)</f>
        <v>0</v>
      </c>
      <c r="R76" s="119"/>
      <c r="S76" s="119"/>
      <c r="T76" s="119"/>
    </row>
    <row r="77" spans="1:20" ht="19.5" hidden="1" thickBot="1" x14ac:dyDescent="0.3">
      <c r="C77" s="119">
        <f t="shared" si="57"/>
        <v>0</v>
      </c>
      <c r="D77" s="110" t="s">
        <v>132</v>
      </c>
      <c r="E77" s="76" t="s">
        <v>56</v>
      </c>
      <c r="F77" s="191">
        <f t="shared" ref="F77:J79" si="60">+F7*$E$73</f>
        <v>0</v>
      </c>
      <c r="G77" s="192">
        <f t="shared" si="60"/>
        <v>0</v>
      </c>
      <c r="H77" s="192">
        <f t="shared" si="60"/>
        <v>0</v>
      </c>
      <c r="I77" s="192">
        <f t="shared" si="60"/>
        <v>0</v>
      </c>
      <c r="J77" s="192">
        <f t="shared" si="60"/>
        <v>0</v>
      </c>
      <c r="K77" s="192">
        <f t="shared" ref="K77:P77" si="61">+K7*$E$73</f>
        <v>0</v>
      </c>
      <c r="L77" s="192">
        <f t="shared" si="61"/>
        <v>0</v>
      </c>
      <c r="M77" s="192">
        <f t="shared" si="61"/>
        <v>0</v>
      </c>
      <c r="N77" s="192">
        <f t="shared" si="61"/>
        <v>0</v>
      </c>
      <c r="O77" s="192">
        <f t="shared" si="61"/>
        <v>0</v>
      </c>
      <c r="P77" s="192">
        <f t="shared" si="61"/>
        <v>0</v>
      </c>
      <c r="Q77" s="190">
        <f>SUM(G77:P77)</f>
        <v>0</v>
      </c>
      <c r="R77" s="119"/>
      <c r="S77" s="119"/>
      <c r="T77" s="119"/>
    </row>
    <row r="78" spans="1:20" ht="19.5" hidden="1" thickBot="1" x14ac:dyDescent="0.3">
      <c r="C78" s="119">
        <f t="shared" si="57"/>
        <v>0</v>
      </c>
      <c r="D78" s="109" t="s">
        <v>91</v>
      </c>
      <c r="E78" s="76" t="s">
        <v>55</v>
      </c>
      <c r="F78" s="191">
        <f t="shared" si="60"/>
        <v>0</v>
      </c>
      <c r="G78" s="192">
        <f t="shared" si="60"/>
        <v>0</v>
      </c>
      <c r="H78" s="192">
        <f t="shared" si="60"/>
        <v>0</v>
      </c>
      <c r="I78" s="192">
        <f t="shared" si="60"/>
        <v>0</v>
      </c>
      <c r="J78" s="192">
        <f t="shared" si="60"/>
        <v>0</v>
      </c>
      <c r="K78" s="192">
        <f t="shared" ref="K78:P78" si="62">+K8*$E$73</f>
        <v>0</v>
      </c>
      <c r="L78" s="192">
        <f t="shared" si="62"/>
        <v>0</v>
      </c>
      <c r="M78" s="192">
        <f t="shared" si="62"/>
        <v>0</v>
      </c>
      <c r="N78" s="192">
        <f t="shared" si="62"/>
        <v>0</v>
      </c>
      <c r="O78" s="192">
        <f t="shared" si="62"/>
        <v>0</v>
      </c>
      <c r="P78" s="192">
        <f t="shared" si="62"/>
        <v>0</v>
      </c>
      <c r="Q78" s="190">
        <f>SUM(G78:P78)</f>
        <v>0</v>
      </c>
      <c r="R78" s="119"/>
      <c r="S78" s="119"/>
      <c r="T78" s="119"/>
    </row>
    <row r="79" spans="1:20" ht="19.5" hidden="1" thickBot="1" x14ac:dyDescent="0.3">
      <c r="C79" s="119">
        <f t="shared" si="57"/>
        <v>0</v>
      </c>
      <c r="D79" s="130" t="s">
        <v>117</v>
      </c>
      <c r="E79" s="76" t="s">
        <v>54</v>
      </c>
      <c r="F79" s="191">
        <f t="shared" si="60"/>
        <v>0</v>
      </c>
      <c r="G79" s="184">
        <f t="shared" si="60"/>
        <v>0</v>
      </c>
      <c r="H79" s="184">
        <f t="shared" si="60"/>
        <v>0</v>
      </c>
      <c r="I79" s="184">
        <f t="shared" si="60"/>
        <v>0</v>
      </c>
      <c r="J79" s="184">
        <f t="shared" si="60"/>
        <v>0</v>
      </c>
      <c r="K79" s="184">
        <f t="shared" ref="K79:P79" si="63">+K9*$E$73</f>
        <v>0</v>
      </c>
      <c r="L79" s="184">
        <f t="shared" si="63"/>
        <v>0</v>
      </c>
      <c r="M79" s="184">
        <f t="shared" si="63"/>
        <v>0</v>
      </c>
      <c r="N79" s="184">
        <f t="shared" si="63"/>
        <v>0</v>
      </c>
      <c r="O79" s="184">
        <f t="shared" si="63"/>
        <v>0</v>
      </c>
      <c r="P79" s="184">
        <f t="shared" si="63"/>
        <v>0</v>
      </c>
      <c r="Q79" s="190">
        <f>SUM(G79:P79)</f>
        <v>0</v>
      </c>
      <c r="R79" s="119"/>
      <c r="S79" s="119"/>
      <c r="T79" s="119"/>
    </row>
    <row r="80" spans="1:20" ht="19.5" hidden="1" thickBot="1" x14ac:dyDescent="0.3">
      <c r="C80" s="119">
        <f t="shared" si="57"/>
        <v>0</v>
      </c>
      <c r="D80" s="112" t="s">
        <v>31</v>
      </c>
      <c r="E80" s="76"/>
      <c r="F80" s="167"/>
      <c r="G80" s="185"/>
      <c r="H80" s="185"/>
      <c r="I80" s="185"/>
      <c r="J80" s="185"/>
      <c r="K80" s="185"/>
      <c r="L80" s="185"/>
      <c r="M80" s="185"/>
      <c r="N80" s="185"/>
      <c r="O80" s="185"/>
      <c r="P80" s="185"/>
      <c r="Q80" s="171"/>
      <c r="R80" s="119"/>
      <c r="S80" s="119"/>
      <c r="T80" s="119"/>
    </row>
    <row r="81" spans="2:17" s="119" customFormat="1" ht="19.5" hidden="1" thickBot="1" x14ac:dyDescent="0.35">
      <c r="B81" s="310"/>
      <c r="C81" s="119">
        <f t="shared" si="57"/>
        <v>0</v>
      </c>
      <c r="D81" s="125" t="s">
        <v>118</v>
      </c>
      <c r="E81" s="76" t="s">
        <v>53</v>
      </c>
      <c r="F81" s="168">
        <f t="shared" ref="F81:J87" si="64">+F11*$E$73</f>
        <v>0</v>
      </c>
      <c r="G81" s="186">
        <f t="shared" si="64"/>
        <v>0</v>
      </c>
      <c r="H81" s="186">
        <f t="shared" si="64"/>
        <v>0</v>
      </c>
      <c r="I81" s="186">
        <f t="shared" si="64"/>
        <v>0</v>
      </c>
      <c r="J81" s="186">
        <f t="shared" si="64"/>
        <v>0</v>
      </c>
      <c r="K81" s="186">
        <f t="shared" ref="K81:P81" si="65">+K11*$E$73</f>
        <v>0</v>
      </c>
      <c r="L81" s="186">
        <f t="shared" si="65"/>
        <v>0</v>
      </c>
      <c r="M81" s="186">
        <f t="shared" si="65"/>
        <v>0</v>
      </c>
      <c r="N81" s="186">
        <f t="shared" si="65"/>
        <v>0</v>
      </c>
      <c r="O81" s="186">
        <f t="shared" si="65"/>
        <v>0</v>
      </c>
      <c r="P81" s="186">
        <f t="shared" si="65"/>
        <v>0</v>
      </c>
      <c r="Q81" s="190">
        <f t="shared" ref="Q81:Q87" si="66">SUM(G81:P81)</f>
        <v>0</v>
      </c>
    </row>
    <row r="82" spans="2:17" s="119" customFormat="1" ht="19.5" hidden="1" thickBot="1" x14ac:dyDescent="0.35">
      <c r="B82" s="310"/>
      <c r="C82" s="119">
        <f t="shared" si="57"/>
        <v>0</v>
      </c>
      <c r="D82" s="125" t="s">
        <v>119</v>
      </c>
      <c r="E82" s="76" t="s">
        <v>52</v>
      </c>
      <c r="F82" s="168">
        <f t="shared" si="64"/>
        <v>0</v>
      </c>
      <c r="G82" s="186">
        <f t="shared" si="64"/>
        <v>0</v>
      </c>
      <c r="H82" s="186">
        <f t="shared" si="64"/>
        <v>0</v>
      </c>
      <c r="I82" s="186">
        <f t="shared" si="64"/>
        <v>0</v>
      </c>
      <c r="J82" s="186">
        <f t="shared" si="64"/>
        <v>0</v>
      </c>
      <c r="K82" s="186">
        <f t="shared" ref="K82:P82" si="67">+K12*$E$73</f>
        <v>0</v>
      </c>
      <c r="L82" s="186">
        <f t="shared" si="67"/>
        <v>0</v>
      </c>
      <c r="M82" s="186">
        <f t="shared" si="67"/>
        <v>0</v>
      </c>
      <c r="N82" s="186">
        <f t="shared" si="67"/>
        <v>0</v>
      </c>
      <c r="O82" s="186">
        <f t="shared" si="67"/>
        <v>0</v>
      </c>
      <c r="P82" s="186">
        <f t="shared" si="67"/>
        <v>0</v>
      </c>
      <c r="Q82" s="190">
        <f t="shared" si="66"/>
        <v>0</v>
      </c>
    </row>
    <row r="83" spans="2:17" s="119" customFormat="1" ht="19.5" hidden="1" thickBot="1" x14ac:dyDescent="0.35">
      <c r="B83" s="310"/>
      <c r="C83" s="119">
        <f t="shared" si="57"/>
        <v>0</v>
      </c>
      <c r="D83" s="125" t="s">
        <v>120</v>
      </c>
      <c r="E83" s="76" t="s">
        <v>51</v>
      </c>
      <c r="F83" s="168">
        <f t="shared" si="64"/>
        <v>0</v>
      </c>
      <c r="G83" s="186">
        <f t="shared" si="64"/>
        <v>0</v>
      </c>
      <c r="H83" s="186">
        <f>+H13*$E$73</f>
        <v>0</v>
      </c>
      <c r="I83" s="186">
        <f t="shared" si="64"/>
        <v>0</v>
      </c>
      <c r="J83" s="186">
        <f t="shared" si="64"/>
        <v>0</v>
      </c>
      <c r="K83" s="186">
        <f t="shared" ref="K83:P83" si="68">+K13*$E$73</f>
        <v>0</v>
      </c>
      <c r="L83" s="186">
        <f t="shared" si="68"/>
        <v>0</v>
      </c>
      <c r="M83" s="186">
        <f t="shared" si="68"/>
        <v>0</v>
      </c>
      <c r="N83" s="186">
        <f t="shared" si="68"/>
        <v>0</v>
      </c>
      <c r="O83" s="186">
        <f t="shared" si="68"/>
        <v>0</v>
      </c>
      <c r="P83" s="186">
        <f t="shared" si="68"/>
        <v>0</v>
      </c>
      <c r="Q83" s="190">
        <f t="shared" si="66"/>
        <v>0</v>
      </c>
    </row>
    <row r="84" spans="2:17" s="119" customFormat="1" ht="19.5" hidden="1" thickBot="1" x14ac:dyDescent="0.35">
      <c r="B84" s="310"/>
      <c r="C84" s="119">
        <f t="shared" si="57"/>
        <v>0</v>
      </c>
      <c r="D84" s="125" t="s">
        <v>121</v>
      </c>
      <c r="E84" s="76" t="s">
        <v>50</v>
      </c>
      <c r="F84" s="168">
        <f t="shared" si="64"/>
        <v>0</v>
      </c>
      <c r="G84" s="186">
        <f t="shared" si="64"/>
        <v>0</v>
      </c>
      <c r="H84" s="186">
        <f t="shared" si="64"/>
        <v>0</v>
      </c>
      <c r="I84" s="186">
        <f t="shared" si="64"/>
        <v>0</v>
      </c>
      <c r="J84" s="186">
        <f t="shared" si="64"/>
        <v>0</v>
      </c>
      <c r="K84" s="186">
        <f t="shared" ref="K84:P84" si="69">+K14*$E$73</f>
        <v>0</v>
      </c>
      <c r="L84" s="186">
        <f t="shared" si="69"/>
        <v>0</v>
      </c>
      <c r="M84" s="186">
        <f t="shared" si="69"/>
        <v>0</v>
      </c>
      <c r="N84" s="186">
        <f t="shared" si="69"/>
        <v>0</v>
      </c>
      <c r="O84" s="186">
        <f t="shared" si="69"/>
        <v>0</v>
      </c>
      <c r="P84" s="186">
        <f t="shared" si="69"/>
        <v>0</v>
      </c>
      <c r="Q84" s="190">
        <f t="shared" si="66"/>
        <v>0</v>
      </c>
    </row>
    <row r="85" spans="2:17" s="119" customFormat="1" ht="19.5" hidden="1" thickBot="1" x14ac:dyDescent="0.35">
      <c r="B85" s="310"/>
      <c r="C85" s="119">
        <f t="shared" si="57"/>
        <v>0</v>
      </c>
      <c r="D85" s="125" t="s">
        <v>122</v>
      </c>
      <c r="E85" s="76" t="s">
        <v>49</v>
      </c>
      <c r="F85" s="168">
        <f t="shared" si="64"/>
        <v>0</v>
      </c>
      <c r="G85" s="186">
        <f t="shared" si="64"/>
        <v>0</v>
      </c>
      <c r="H85" s="186">
        <f t="shared" si="64"/>
        <v>0</v>
      </c>
      <c r="I85" s="186">
        <f t="shared" si="64"/>
        <v>0</v>
      </c>
      <c r="J85" s="186">
        <f t="shared" si="64"/>
        <v>0</v>
      </c>
      <c r="K85" s="186">
        <f t="shared" ref="K85:P85" si="70">+K15*$E$73</f>
        <v>0</v>
      </c>
      <c r="L85" s="186">
        <f t="shared" si="70"/>
        <v>0</v>
      </c>
      <c r="M85" s="186">
        <f t="shared" si="70"/>
        <v>0</v>
      </c>
      <c r="N85" s="186">
        <f t="shared" si="70"/>
        <v>0</v>
      </c>
      <c r="O85" s="186">
        <f t="shared" si="70"/>
        <v>0</v>
      </c>
      <c r="P85" s="186">
        <f t="shared" si="70"/>
        <v>0</v>
      </c>
      <c r="Q85" s="190">
        <f t="shared" si="66"/>
        <v>0</v>
      </c>
    </row>
    <row r="86" spans="2:17" s="119" customFormat="1" ht="19.5" hidden="1" thickBot="1" x14ac:dyDescent="0.35">
      <c r="B86" s="310"/>
      <c r="C86" s="119">
        <f t="shared" si="57"/>
        <v>0</v>
      </c>
      <c r="D86" s="125" t="s">
        <v>123</v>
      </c>
      <c r="E86" s="76" t="s">
        <v>47</v>
      </c>
      <c r="F86" s="168">
        <f t="shared" si="64"/>
        <v>0</v>
      </c>
      <c r="G86" s="186">
        <f t="shared" si="64"/>
        <v>0</v>
      </c>
      <c r="H86" s="186">
        <f t="shared" si="64"/>
        <v>0</v>
      </c>
      <c r="I86" s="186">
        <f t="shared" si="64"/>
        <v>0</v>
      </c>
      <c r="J86" s="186">
        <f t="shared" si="64"/>
        <v>0</v>
      </c>
      <c r="K86" s="186">
        <f t="shared" ref="K86:P86" si="71">+K16*$E$73</f>
        <v>0</v>
      </c>
      <c r="L86" s="186">
        <f t="shared" si="71"/>
        <v>0</v>
      </c>
      <c r="M86" s="186">
        <f t="shared" si="71"/>
        <v>0</v>
      </c>
      <c r="N86" s="186">
        <f t="shared" si="71"/>
        <v>0</v>
      </c>
      <c r="O86" s="186">
        <f t="shared" si="71"/>
        <v>0</v>
      </c>
      <c r="P86" s="186">
        <f t="shared" si="71"/>
        <v>0</v>
      </c>
      <c r="Q86" s="190">
        <f t="shared" si="66"/>
        <v>0</v>
      </c>
    </row>
    <row r="87" spans="2:17" s="119" customFormat="1" ht="19.5" hidden="1" thickBot="1" x14ac:dyDescent="0.35">
      <c r="B87" s="310"/>
      <c r="C87" s="119">
        <f t="shared" si="57"/>
        <v>0</v>
      </c>
      <c r="D87" s="125" t="s">
        <v>16</v>
      </c>
      <c r="E87" s="70" t="s">
        <v>77</v>
      </c>
      <c r="F87" s="168">
        <f t="shared" si="64"/>
        <v>0</v>
      </c>
      <c r="G87" s="186">
        <f t="shared" si="64"/>
        <v>0</v>
      </c>
      <c r="H87" s="186">
        <f t="shared" si="64"/>
        <v>0</v>
      </c>
      <c r="I87" s="186">
        <f t="shared" si="64"/>
        <v>0</v>
      </c>
      <c r="J87" s="186">
        <f t="shared" si="64"/>
        <v>0</v>
      </c>
      <c r="K87" s="186">
        <f t="shared" ref="K87:P87" si="72">+K17*$E$73</f>
        <v>0</v>
      </c>
      <c r="L87" s="186">
        <f t="shared" si="72"/>
        <v>0</v>
      </c>
      <c r="M87" s="186">
        <f t="shared" si="72"/>
        <v>0</v>
      </c>
      <c r="N87" s="186">
        <f t="shared" si="72"/>
        <v>0</v>
      </c>
      <c r="O87" s="186">
        <f t="shared" si="72"/>
        <v>0</v>
      </c>
      <c r="P87" s="186">
        <f t="shared" si="72"/>
        <v>0</v>
      </c>
      <c r="Q87" s="190">
        <f t="shared" si="66"/>
        <v>0</v>
      </c>
    </row>
    <row r="88" spans="2:17" s="119" customFormat="1" ht="19.5" hidden="1" thickBot="1" x14ac:dyDescent="0.3">
      <c r="B88" s="310"/>
      <c r="C88" s="119">
        <f t="shared" si="57"/>
        <v>0</v>
      </c>
      <c r="D88" s="131" t="s">
        <v>124</v>
      </c>
      <c r="E88" s="116" t="s">
        <v>78</v>
      </c>
      <c r="F88" s="169">
        <f t="shared" ref="F88:Q88" si="73">SUBTOTAL(9,F76:F87)</f>
        <v>0</v>
      </c>
      <c r="G88" s="170">
        <f t="shared" si="73"/>
        <v>0</v>
      </c>
      <c r="H88" s="170">
        <f t="shared" si="73"/>
        <v>0</v>
      </c>
      <c r="I88" s="170">
        <f t="shared" si="73"/>
        <v>0</v>
      </c>
      <c r="J88" s="170">
        <f t="shared" si="73"/>
        <v>0</v>
      </c>
      <c r="K88" s="170">
        <f t="shared" ref="K88:P88" si="74">SUBTOTAL(9,K76:K87)</f>
        <v>0</v>
      </c>
      <c r="L88" s="170">
        <f t="shared" si="74"/>
        <v>0</v>
      </c>
      <c r="M88" s="170">
        <f t="shared" si="74"/>
        <v>0</v>
      </c>
      <c r="N88" s="170">
        <f t="shared" si="74"/>
        <v>0</v>
      </c>
      <c r="O88" s="170">
        <f t="shared" si="74"/>
        <v>0</v>
      </c>
      <c r="P88" s="170">
        <f t="shared" si="74"/>
        <v>0</v>
      </c>
      <c r="Q88" s="170">
        <f t="shared" si="73"/>
        <v>0</v>
      </c>
    </row>
    <row r="89" spans="2:17" s="119" customFormat="1" ht="19.5" hidden="1" thickBot="1" x14ac:dyDescent="0.3">
      <c r="B89" s="310"/>
      <c r="D89" s="139"/>
      <c r="E89" s="140"/>
      <c r="F89" s="141"/>
      <c r="G89" s="141"/>
      <c r="H89" s="141"/>
      <c r="I89" s="142"/>
      <c r="J89" s="142"/>
      <c r="K89" s="142"/>
      <c r="L89" s="142"/>
      <c r="M89" s="142"/>
      <c r="N89" s="142"/>
      <c r="O89" s="142"/>
      <c r="P89" s="142"/>
      <c r="Q89" s="142"/>
    </row>
    <row r="90" spans="2:17" s="119" customFormat="1" ht="45.75" hidden="1" thickBot="1" x14ac:dyDescent="0.3">
      <c r="B90" s="310"/>
      <c r="C90" s="119">
        <f>IF(E90&gt;0,1,0)</f>
        <v>0</v>
      </c>
      <c r="D90" s="96" t="str">
        <f>+A8</f>
        <v>Cattaraugus</v>
      </c>
      <c r="E90" s="166">
        <f>+SUMIF(A:A,D90,B:B)</f>
        <v>0</v>
      </c>
      <c r="F90" s="98" t="s">
        <v>97</v>
      </c>
      <c r="G90" s="98" t="s">
        <v>126</v>
      </c>
      <c r="H90" s="98" t="s">
        <v>127</v>
      </c>
      <c r="I90" s="99" t="s">
        <v>128</v>
      </c>
      <c r="J90" s="99" t="s">
        <v>131</v>
      </c>
      <c r="K90" s="560" t="s">
        <v>474</v>
      </c>
      <c r="L90" s="560" t="s">
        <v>475</v>
      </c>
      <c r="M90" s="560" t="s">
        <v>476</v>
      </c>
      <c r="N90" s="560" t="s">
        <v>477</v>
      </c>
      <c r="O90" s="560" t="s">
        <v>478</v>
      </c>
      <c r="P90" s="560" t="s">
        <v>479</v>
      </c>
      <c r="Q90" s="99" t="s">
        <v>129</v>
      </c>
    </row>
    <row r="91" spans="2:17" s="119" customFormat="1" ht="19.5" hidden="1" thickBot="1" x14ac:dyDescent="0.3">
      <c r="B91" s="310"/>
      <c r="C91" s="119">
        <f>C90</f>
        <v>0</v>
      </c>
      <c r="D91" s="127"/>
      <c r="E91" s="128"/>
      <c r="F91" s="84" t="s">
        <v>57</v>
      </c>
      <c r="G91" s="84" t="s">
        <v>56</v>
      </c>
      <c r="H91" s="84" t="s">
        <v>55</v>
      </c>
      <c r="I91" s="84" t="s">
        <v>54</v>
      </c>
      <c r="J91" s="129" t="s">
        <v>53</v>
      </c>
      <c r="K91" s="129" t="s">
        <v>52</v>
      </c>
      <c r="L91" s="129" t="s">
        <v>51</v>
      </c>
      <c r="M91" s="129" t="s">
        <v>50</v>
      </c>
      <c r="N91" s="129" t="s">
        <v>49</v>
      </c>
      <c r="O91" s="129" t="s">
        <v>47</v>
      </c>
      <c r="P91" s="129" t="s">
        <v>77</v>
      </c>
      <c r="Q91" s="129" t="s">
        <v>78</v>
      </c>
    </row>
    <row r="92" spans="2:17" s="119" customFormat="1" ht="19.5" hidden="1" thickBot="1" x14ac:dyDescent="0.3">
      <c r="B92" s="310"/>
      <c r="C92" s="119">
        <f>C91</f>
        <v>0</v>
      </c>
      <c r="D92" s="133" t="s">
        <v>26</v>
      </c>
      <c r="E92" s="134"/>
      <c r="F92" s="135"/>
      <c r="G92" s="135"/>
      <c r="H92" s="136"/>
      <c r="I92" s="136"/>
      <c r="J92" s="137"/>
      <c r="K92" s="137"/>
      <c r="L92" s="137"/>
      <c r="M92" s="137"/>
      <c r="N92" s="137"/>
      <c r="O92" s="137"/>
      <c r="P92" s="137"/>
      <c r="Q92" s="138"/>
    </row>
    <row r="93" spans="2:17" s="119" customFormat="1" ht="19.5" hidden="1" thickBot="1" x14ac:dyDescent="0.3">
      <c r="B93" s="310"/>
      <c r="C93" s="119">
        <f t="shared" ref="C93:C105" si="75">C92</f>
        <v>0</v>
      </c>
      <c r="D93" s="109" t="s">
        <v>93</v>
      </c>
      <c r="E93" s="76" t="s">
        <v>57</v>
      </c>
      <c r="F93" s="168">
        <f>+F6*$E$90</f>
        <v>0</v>
      </c>
      <c r="G93" s="186">
        <f t="shared" ref="G93:J93" si="76">+G6*$E$90</f>
        <v>0</v>
      </c>
      <c r="H93" s="186">
        <f t="shared" si="76"/>
        <v>0</v>
      </c>
      <c r="I93" s="186">
        <f t="shared" si="76"/>
        <v>0</v>
      </c>
      <c r="J93" s="186">
        <f t="shared" si="76"/>
        <v>0</v>
      </c>
      <c r="K93" s="186">
        <f t="shared" ref="K93:P93" si="77">+K6*$E$90</f>
        <v>0</v>
      </c>
      <c r="L93" s="186">
        <f t="shared" si="77"/>
        <v>0</v>
      </c>
      <c r="M93" s="186">
        <f t="shared" si="77"/>
        <v>0</v>
      </c>
      <c r="N93" s="186">
        <f t="shared" si="77"/>
        <v>0</v>
      </c>
      <c r="O93" s="186">
        <f t="shared" si="77"/>
        <v>0</v>
      </c>
      <c r="P93" s="186">
        <f t="shared" si="77"/>
        <v>0</v>
      </c>
      <c r="Q93" s="190">
        <f>SUM(G93:P93)</f>
        <v>0</v>
      </c>
    </row>
    <row r="94" spans="2:17" s="119" customFormat="1" ht="19.5" hidden="1" thickBot="1" x14ac:dyDescent="0.3">
      <c r="B94" s="310"/>
      <c r="C94" s="119">
        <f t="shared" si="75"/>
        <v>0</v>
      </c>
      <c r="D94" s="110" t="s">
        <v>132</v>
      </c>
      <c r="E94" s="76" t="s">
        <v>56</v>
      </c>
      <c r="F94" s="191">
        <f t="shared" ref="F94:J96" si="78">+F7*$E$90</f>
        <v>0</v>
      </c>
      <c r="G94" s="192">
        <f t="shared" si="78"/>
        <v>0</v>
      </c>
      <c r="H94" s="192">
        <f t="shared" si="78"/>
        <v>0</v>
      </c>
      <c r="I94" s="192">
        <f t="shared" si="78"/>
        <v>0</v>
      </c>
      <c r="J94" s="192">
        <f t="shared" si="78"/>
        <v>0</v>
      </c>
      <c r="K94" s="192">
        <f t="shared" ref="K94:P94" si="79">+K7*$E$90</f>
        <v>0</v>
      </c>
      <c r="L94" s="192">
        <f t="shared" si="79"/>
        <v>0</v>
      </c>
      <c r="M94" s="192">
        <f t="shared" si="79"/>
        <v>0</v>
      </c>
      <c r="N94" s="192">
        <f t="shared" si="79"/>
        <v>0</v>
      </c>
      <c r="O94" s="192">
        <f t="shared" si="79"/>
        <v>0</v>
      </c>
      <c r="P94" s="192">
        <f t="shared" si="79"/>
        <v>0</v>
      </c>
      <c r="Q94" s="190">
        <f>SUM(G94:P94)</f>
        <v>0</v>
      </c>
    </row>
    <row r="95" spans="2:17" s="119" customFormat="1" ht="19.5" hidden="1" thickBot="1" x14ac:dyDescent="0.3">
      <c r="B95" s="310"/>
      <c r="C95" s="119">
        <f t="shared" si="75"/>
        <v>0</v>
      </c>
      <c r="D95" s="109" t="s">
        <v>91</v>
      </c>
      <c r="E95" s="76" t="s">
        <v>55</v>
      </c>
      <c r="F95" s="191">
        <f t="shared" si="78"/>
        <v>0</v>
      </c>
      <c r="G95" s="192">
        <f t="shared" si="78"/>
        <v>0</v>
      </c>
      <c r="H95" s="192">
        <f t="shared" si="78"/>
        <v>0</v>
      </c>
      <c r="I95" s="192">
        <f t="shared" si="78"/>
        <v>0</v>
      </c>
      <c r="J95" s="192">
        <f t="shared" si="78"/>
        <v>0</v>
      </c>
      <c r="K95" s="192">
        <f t="shared" ref="K95:P95" si="80">+K8*$E$90</f>
        <v>0</v>
      </c>
      <c r="L95" s="192">
        <f t="shared" si="80"/>
        <v>0</v>
      </c>
      <c r="M95" s="192">
        <f t="shared" si="80"/>
        <v>0</v>
      </c>
      <c r="N95" s="192">
        <f t="shared" si="80"/>
        <v>0</v>
      </c>
      <c r="O95" s="192">
        <f t="shared" si="80"/>
        <v>0</v>
      </c>
      <c r="P95" s="192">
        <f t="shared" si="80"/>
        <v>0</v>
      </c>
      <c r="Q95" s="190">
        <f>SUM(G95:P95)</f>
        <v>0</v>
      </c>
    </row>
    <row r="96" spans="2:17" s="119" customFormat="1" ht="19.5" hidden="1" thickBot="1" x14ac:dyDescent="0.3">
      <c r="B96" s="310"/>
      <c r="C96" s="119">
        <f t="shared" si="75"/>
        <v>0</v>
      </c>
      <c r="D96" s="130" t="s">
        <v>117</v>
      </c>
      <c r="E96" s="76" t="s">
        <v>54</v>
      </c>
      <c r="F96" s="191">
        <f t="shared" si="78"/>
        <v>0</v>
      </c>
      <c r="G96" s="184">
        <f t="shared" si="78"/>
        <v>0</v>
      </c>
      <c r="H96" s="184">
        <f t="shared" si="78"/>
        <v>0</v>
      </c>
      <c r="I96" s="184">
        <f t="shared" si="78"/>
        <v>0</v>
      </c>
      <c r="J96" s="184">
        <f t="shared" si="78"/>
        <v>0</v>
      </c>
      <c r="K96" s="184">
        <f t="shared" ref="K96:P96" si="81">+K9*$E$90</f>
        <v>0</v>
      </c>
      <c r="L96" s="184">
        <f t="shared" si="81"/>
        <v>0</v>
      </c>
      <c r="M96" s="184">
        <f t="shared" si="81"/>
        <v>0</v>
      </c>
      <c r="N96" s="184">
        <f t="shared" si="81"/>
        <v>0</v>
      </c>
      <c r="O96" s="184">
        <f t="shared" si="81"/>
        <v>0</v>
      </c>
      <c r="P96" s="184">
        <f t="shared" si="81"/>
        <v>0</v>
      </c>
      <c r="Q96" s="190">
        <f>SUM(G96:P96)</f>
        <v>0</v>
      </c>
    </row>
    <row r="97" spans="2:17" s="119" customFormat="1" ht="19.5" hidden="1" thickBot="1" x14ac:dyDescent="0.3">
      <c r="B97" s="310"/>
      <c r="C97" s="119">
        <f t="shared" si="75"/>
        <v>0</v>
      </c>
      <c r="D97" s="112" t="s">
        <v>31</v>
      </c>
      <c r="E97" s="76"/>
      <c r="F97" s="167"/>
      <c r="G97" s="185"/>
      <c r="H97" s="185"/>
      <c r="I97" s="185"/>
      <c r="J97" s="185"/>
      <c r="K97" s="185"/>
      <c r="L97" s="185"/>
      <c r="M97" s="185"/>
      <c r="N97" s="185"/>
      <c r="O97" s="185"/>
      <c r="P97" s="185"/>
      <c r="Q97" s="171"/>
    </row>
    <row r="98" spans="2:17" s="119" customFormat="1" ht="19.5" hidden="1" thickBot="1" x14ac:dyDescent="0.35">
      <c r="B98" s="310"/>
      <c r="C98" s="119">
        <f t="shared" si="75"/>
        <v>0</v>
      </c>
      <c r="D98" s="125" t="s">
        <v>118</v>
      </c>
      <c r="E98" s="76" t="s">
        <v>53</v>
      </c>
      <c r="F98" s="168">
        <f t="shared" ref="F98:J104" si="82">+F11*$E$90</f>
        <v>0</v>
      </c>
      <c r="G98" s="186">
        <f t="shared" si="82"/>
        <v>0</v>
      </c>
      <c r="H98" s="186">
        <f t="shared" si="82"/>
        <v>0</v>
      </c>
      <c r="I98" s="186">
        <f t="shared" si="82"/>
        <v>0</v>
      </c>
      <c r="J98" s="186">
        <f t="shared" si="82"/>
        <v>0</v>
      </c>
      <c r="K98" s="186">
        <f t="shared" ref="K98:P98" si="83">+K11*$E$90</f>
        <v>0</v>
      </c>
      <c r="L98" s="186">
        <f t="shared" si="83"/>
        <v>0</v>
      </c>
      <c r="M98" s="186">
        <f t="shared" si="83"/>
        <v>0</v>
      </c>
      <c r="N98" s="186">
        <f t="shared" si="83"/>
        <v>0</v>
      </c>
      <c r="O98" s="186">
        <f t="shared" si="83"/>
        <v>0</v>
      </c>
      <c r="P98" s="186">
        <f t="shared" si="83"/>
        <v>0</v>
      </c>
      <c r="Q98" s="190">
        <f t="shared" ref="Q98:Q104" si="84">SUM(G98:P98)</f>
        <v>0</v>
      </c>
    </row>
    <row r="99" spans="2:17" s="119" customFormat="1" ht="19.5" hidden="1" thickBot="1" x14ac:dyDescent="0.35">
      <c r="B99" s="310"/>
      <c r="C99" s="119">
        <f t="shared" si="75"/>
        <v>0</v>
      </c>
      <c r="D99" s="125" t="s">
        <v>119</v>
      </c>
      <c r="E99" s="76" t="s">
        <v>52</v>
      </c>
      <c r="F99" s="168">
        <f t="shared" si="82"/>
        <v>0</v>
      </c>
      <c r="G99" s="186">
        <f t="shared" si="82"/>
        <v>0</v>
      </c>
      <c r="H99" s="186">
        <f t="shared" si="82"/>
        <v>0</v>
      </c>
      <c r="I99" s="186">
        <f t="shared" si="82"/>
        <v>0</v>
      </c>
      <c r="J99" s="186">
        <f t="shared" si="82"/>
        <v>0</v>
      </c>
      <c r="K99" s="186">
        <f t="shared" ref="K99:P99" si="85">+K12*$E$90</f>
        <v>0</v>
      </c>
      <c r="L99" s="186">
        <f t="shared" si="85"/>
        <v>0</v>
      </c>
      <c r="M99" s="186">
        <f t="shared" si="85"/>
        <v>0</v>
      </c>
      <c r="N99" s="186">
        <f t="shared" si="85"/>
        <v>0</v>
      </c>
      <c r="O99" s="186">
        <f t="shared" si="85"/>
        <v>0</v>
      </c>
      <c r="P99" s="186">
        <f t="shared" si="85"/>
        <v>0</v>
      </c>
      <c r="Q99" s="190">
        <f t="shared" si="84"/>
        <v>0</v>
      </c>
    </row>
    <row r="100" spans="2:17" s="119" customFormat="1" ht="19.5" hidden="1" thickBot="1" x14ac:dyDescent="0.35">
      <c r="B100" s="310"/>
      <c r="C100" s="119">
        <f t="shared" si="75"/>
        <v>0</v>
      </c>
      <c r="D100" s="125" t="s">
        <v>120</v>
      </c>
      <c r="E100" s="76" t="s">
        <v>51</v>
      </c>
      <c r="F100" s="168">
        <f t="shared" si="82"/>
        <v>0</v>
      </c>
      <c r="G100" s="186">
        <f t="shared" si="82"/>
        <v>0</v>
      </c>
      <c r="H100" s="186">
        <f t="shared" si="82"/>
        <v>0</v>
      </c>
      <c r="I100" s="186">
        <f t="shared" si="82"/>
        <v>0</v>
      </c>
      <c r="J100" s="186">
        <f t="shared" si="82"/>
        <v>0</v>
      </c>
      <c r="K100" s="186">
        <f t="shared" ref="K100:P100" si="86">+K13*$E$90</f>
        <v>0</v>
      </c>
      <c r="L100" s="186">
        <f t="shared" si="86"/>
        <v>0</v>
      </c>
      <c r="M100" s="186">
        <f t="shared" si="86"/>
        <v>0</v>
      </c>
      <c r="N100" s="186">
        <f t="shared" si="86"/>
        <v>0</v>
      </c>
      <c r="O100" s="186">
        <f t="shared" si="86"/>
        <v>0</v>
      </c>
      <c r="P100" s="186">
        <f t="shared" si="86"/>
        <v>0</v>
      </c>
      <c r="Q100" s="190">
        <f t="shared" si="84"/>
        <v>0</v>
      </c>
    </row>
    <row r="101" spans="2:17" s="119" customFormat="1" ht="19.5" hidden="1" thickBot="1" x14ac:dyDescent="0.35">
      <c r="B101" s="310"/>
      <c r="C101" s="119">
        <f t="shared" si="75"/>
        <v>0</v>
      </c>
      <c r="D101" s="125" t="s">
        <v>121</v>
      </c>
      <c r="E101" s="76" t="s">
        <v>50</v>
      </c>
      <c r="F101" s="168">
        <f t="shared" si="82"/>
        <v>0</v>
      </c>
      <c r="G101" s="186">
        <f t="shared" si="82"/>
        <v>0</v>
      </c>
      <c r="H101" s="186">
        <f t="shared" si="82"/>
        <v>0</v>
      </c>
      <c r="I101" s="186">
        <f t="shared" si="82"/>
        <v>0</v>
      </c>
      <c r="J101" s="186">
        <f t="shared" si="82"/>
        <v>0</v>
      </c>
      <c r="K101" s="186">
        <f t="shared" ref="K101:P101" si="87">+K14*$E$90</f>
        <v>0</v>
      </c>
      <c r="L101" s="186">
        <f t="shared" si="87"/>
        <v>0</v>
      </c>
      <c r="M101" s="186">
        <f t="shared" si="87"/>
        <v>0</v>
      </c>
      <c r="N101" s="186">
        <f t="shared" si="87"/>
        <v>0</v>
      </c>
      <c r="O101" s="186">
        <f t="shared" si="87"/>
        <v>0</v>
      </c>
      <c r="P101" s="186">
        <f t="shared" si="87"/>
        <v>0</v>
      </c>
      <c r="Q101" s="190">
        <f t="shared" si="84"/>
        <v>0</v>
      </c>
    </row>
    <row r="102" spans="2:17" s="119" customFormat="1" ht="19.5" hidden="1" thickBot="1" x14ac:dyDescent="0.35">
      <c r="B102" s="310"/>
      <c r="C102" s="119">
        <f t="shared" si="75"/>
        <v>0</v>
      </c>
      <c r="D102" s="125" t="s">
        <v>122</v>
      </c>
      <c r="E102" s="76" t="s">
        <v>49</v>
      </c>
      <c r="F102" s="168">
        <f t="shared" si="82"/>
        <v>0</v>
      </c>
      <c r="G102" s="186">
        <f t="shared" si="82"/>
        <v>0</v>
      </c>
      <c r="H102" s="186">
        <f t="shared" si="82"/>
        <v>0</v>
      </c>
      <c r="I102" s="186">
        <f t="shared" si="82"/>
        <v>0</v>
      </c>
      <c r="J102" s="186">
        <f t="shared" si="82"/>
        <v>0</v>
      </c>
      <c r="K102" s="186">
        <f t="shared" ref="K102:P102" si="88">+K15*$E$90</f>
        <v>0</v>
      </c>
      <c r="L102" s="186">
        <f t="shared" si="88"/>
        <v>0</v>
      </c>
      <c r="M102" s="186">
        <f t="shared" si="88"/>
        <v>0</v>
      </c>
      <c r="N102" s="186">
        <f t="shared" si="88"/>
        <v>0</v>
      </c>
      <c r="O102" s="186">
        <f t="shared" si="88"/>
        <v>0</v>
      </c>
      <c r="P102" s="186">
        <f t="shared" si="88"/>
        <v>0</v>
      </c>
      <c r="Q102" s="190">
        <f t="shared" si="84"/>
        <v>0</v>
      </c>
    </row>
    <row r="103" spans="2:17" s="119" customFormat="1" ht="19.5" hidden="1" thickBot="1" x14ac:dyDescent="0.35">
      <c r="B103" s="310"/>
      <c r="C103" s="119">
        <f t="shared" si="75"/>
        <v>0</v>
      </c>
      <c r="D103" s="125" t="s">
        <v>123</v>
      </c>
      <c r="E103" s="76" t="s">
        <v>47</v>
      </c>
      <c r="F103" s="168">
        <f t="shared" si="82"/>
        <v>0</v>
      </c>
      <c r="G103" s="186">
        <f t="shared" si="82"/>
        <v>0</v>
      </c>
      <c r="H103" s="186">
        <f t="shared" si="82"/>
        <v>0</v>
      </c>
      <c r="I103" s="186">
        <f t="shared" si="82"/>
        <v>0</v>
      </c>
      <c r="J103" s="186">
        <f t="shared" si="82"/>
        <v>0</v>
      </c>
      <c r="K103" s="186">
        <f t="shared" ref="K103:P103" si="89">+K16*$E$90</f>
        <v>0</v>
      </c>
      <c r="L103" s="186">
        <f t="shared" si="89"/>
        <v>0</v>
      </c>
      <c r="M103" s="186">
        <f t="shared" si="89"/>
        <v>0</v>
      </c>
      <c r="N103" s="186">
        <f t="shared" si="89"/>
        <v>0</v>
      </c>
      <c r="O103" s="186">
        <f t="shared" si="89"/>
        <v>0</v>
      </c>
      <c r="P103" s="186">
        <f t="shared" si="89"/>
        <v>0</v>
      </c>
      <c r="Q103" s="190">
        <f t="shared" si="84"/>
        <v>0</v>
      </c>
    </row>
    <row r="104" spans="2:17" s="119" customFormat="1" ht="19.5" hidden="1" thickBot="1" x14ac:dyDescent="0.35">
      <c r="B104" s="310"/>
      <c r="C104" s="119">
        <f t="shared" si="75"/>
        <v>0</v>
      </c>
      <c r="D104" s="125" t="s">
        <v>16</v>
      </c>
      <c r="E104" s="70" t="s">
        <v>77</v>
      </c>
      <c r="F104" s="168">
        <f t="shared" si="82"/>
        <v>0</v>
      </c>
      <c r="G104" s="186">
        <f t="shared" si="82"/>
        <v>0</v>
      </c>
      <c r="H104" s="186">
        <f t="shared" si="82"/>
        <v>0</v>
      </c>
      <c r="I104" s="186">
        <f t="shared" si="82"/>
        <v>0</v>
      </c>
      <c r="J104" s="186">
        <f t="shared" si="82"/>
        <v>0</v>
      </c>
      <c r="K104" s="186">
        <f t="shared" ref="K104:P104" si="90">+K17*$E$90</f>
        <v>0</v>
      </c>
      <c r="L104" s="186">
        <f t="shared" si="90"/>
        <v>0</v>
      </c>
      <c r="M104" s="186">
        <f t="shared" si="90"/>
        <v>0</v>
      </c>
      <c r="N104" s="186">
        <f t="shared" si="90"/>
        <v>0</v>
      </c>
      <c r="O104" s="186">
        <f t="shared" si="90"/>
        <v>0</v>
      </c>
      <c r="P104" s="186">
        <f t="shared" si="90"/>
        <v>0</v>
      </c>
      <c r="Q104" s="190">
        <f t="shared" si="84"/>
        <v>0</v>
      </c>
    </row>
    <row r="105" spans="2:17" s="119" customFormat="1" ht="19.5" hidden="1" thickBot="1" x14ac:dyDescent="0.3">
      <c r="B105" s="310"/>
      <c r="C105" s="119">
        <f t="shared" si="75"/>
        <v>0</v>
      </c>
      <c r="D105" s="131" t="s">
        <v>124</v>
      </c>
      <c r="E105" s="116" t="s">
        <v>78</v>
      </c>
      <c r="F105" s="169">
        <f t="shared" ref="F105:Q105" si="91">SUBTOTAL(9,F93:F104)</f>
        <v>0</v>
      </c>
      <c r="G105" s="170">
        <f t="shared" si="91"/>
        <v>0</v>
      </c>
      <c r="H105" s="170">
        <f t="shared" si="91"/>
        <v>0</v>
      </c>
      <c r="I105" s="170">
        <f t="shared" si="91"/>
        <v>0</v>
      </c>
      <c r="J105" s="170">
        <f t="shared" si="91"/>
        <v>0</v>
      </c>
      <c r="K105" s="170">
        <f t="shared" ref="K105:P105" si="92">SUBTOTAL(9,K93:K104)</f>
        <v>0</v>
      </c>
      <c r="L105" s="170">
        <f t="shared" si="92"/>
        <v>0</v>
      </c>
      <c r="M105" s="170">
        <f t="shared" si="92"/>
        <v>0</v>
      </c>
      <c r="N105" s="170">
        <f t="shared" si="92"/>
        <v>0</v>
      </c>
      <c r="O105" s="170">
        <f t="shared" si="92"/>
        <v>0</v>
      </c>
      <c r="P105" s="170">
        <f t="shared" si="92"/>
        <v>0</v>
      </c>
      <c r="Q105" s="170">
        <f t="shared" si="91"/>
        <v>0</v>
      </c>
    </row>
    <row r="106" spans="2:17" s="119" customFormat="1" ht="19.5" hidden="1" thickBot="1" x14ac:dyDescent="0.3">
      <c r="B106" s="310"/>
      <c r="D106" s="139"/>
      <c r="E106" s="140"/>
      <c r="F106" s="141"/>
      <c r="G106" s="141"/>
      <c r="H106" s="141"/>
      <c r="I106" s="142"/>
      <c r="J106" s="142"/>
      <c r="K106" s="142"/>
      <c r="L106" s="142"/>
      <c r="M106" s="142"/>
      <c r="N106" s="142"/>
      <c r="O106" s="142"/>
      <c r="P106" s="142"/>
      <c r="Q106" s="142"/>
    </row>
    <row r="107" spans="2:17" s="119" customFormat="1" ht="45.75" hidden="1" thickBot="1" x14ac:dyDescent="0.3">
      <c r="B107" s="310"/>
      <c r="C107" s="119">
        <f>IF(E107&gt;0,1,0)</f>
        <v>0</v>
      </c>
      <c r="D107" s="96" t="str">
        <f>+A9</f>
        <v>Cayuga</v>
      </c>
      <c r="E107" s="166">
        <f>+SUMIF(A:A,D107,B:B)</f>
        <v>0</v>
      </c>
      <c r="F107" s="98" t="s">
        <v>97</v>
      </c>
      <c r="G107" s="98" t="s">
        <v>126</v>
      </c>
      <c r="H107" s="98" t="s">
        <v>127</v>
      </c>
      <c r="I107" s="99" t="s">
        <v>128</v>
      </c>
      <c r="J107" s="99" t="s">
        <v>131</v>
      </c>
      <c r="K107" s="560" t="s">
        <v>474</v>
      </c>
      <c r="L107" s="560" t="s">
        <v>475</v>
      </c>
      <c r="M107" s="560" t="s">
        <v>476</v>
      </c>
      <c r="N107" s="560" t="s">
        <v>477</v>
      </c>
      <c r="O107" s="560" t="s">
        <v>478</v>
      </c>
      <c r="P107" s="560" t="s">
        <v>479</v>
      </c>
      <c r="Q107" s="99" t="s">
        <v>129</v>
      </c>
    </row>
    <row r="108" spans="2:17" s="119" customFormat="1" ht="19.5" hidden="1" thickBot="1" x14ac:dyDescent="0.3">
      <c r="B108" s="310"/>
      <c r="C108" s="119">
        <f>C107</f>
        <v>0</v>
      </c>
      <c r="D108" s="127"/>
      <c r="E108" s="128"/>
      <c r="F108" s="84" t="s">
        <v>57</v>
      </c>
      <c r="G108" s="84" t="s">
        <v>56</v>
      </c>
      <c r="H108" s="84" t="s">
        <v>55</v>
      </c>
      <c r="I108" s="84" t="s">
        <v>54</v>
      </c>
      <c r="J108" s="129" t="s">
        <v>53</v>
      </c>
      <c r="K108" s="129" t="s">
        <v>52</v>
      </c>
      <c r="L108" s="129" t="s">
        <v>51</v>
      </c>
      <c r="M108" s="129" t="s">
        <v>50</v>
      </c>
      <c r="N108" s="129" t="s">
        <v>49</v>
      </c>
      <c r="O108" s="129" t="s">
        <v>47</v>
      </c>
      <c r="P108" s="129" t="s">
        <v>77</v>
      </c>
      <c r="Q108" s="129" t="s">
        <v>78</v>
      </c>
    </row>
    <row r="109" spans="2:17" s="119" customFormat="1" ht="19.5" hidden="1" thickBot="1" x14ac:dyDescent="0.3">
      <c r="B109" s="310"/>
      <c r="C109" s="119">
        <f>C108</f>
        <v>0</v>
      </c>
      <c r="D109" s="133" t="s">
        <v>26</v>
      </c>
      <c r="E109" s="134"/>
      <c r="F109" s="135"/>
      <c r="G109" s="135"/>
      <c r="H109" s="136"/>
      <c r="I109" s="136"/>
      <c r="J109" s="137"/>
      <c r="K109" s="137"/>
      <c r="L109" s="137"/>
      <c r="M109" s="137"/>
      <c r="N109" s="137"/>
      <c r="O109" s="137"/>
      <c r="P109" s="137"/>
      <c r="Q109" s="138"/>
    </row>
    <row r="110" spans="2:17" s="119" customFormat="1" ht="19.5" hidden="1" thickBot="1" x14ac:dyDescent="0.3">
      <c r="B110" s="310"/>
      <c r="C110" s="119">
        <f t="shared" ref="C110:C122" si="93">C109</f>
        <v>0</v>
      </c>
      <c r="D110" s="109" t="s">
        <v>93</v>
      </c>
      <c r="E110" s="76" t="s">
        <v>57</v>
      </c>
      <c r="F110" s="168">
        <f>+F6*$E$107</f>
        <v>0</v>
      </c>
      <c r="G110" s="186">
        <f t="shared" ref="G110:J110" si="94">+G6*$E$107</f>
        <v>0</v>
      </c>
      <c r="H110" s="186">
        <f t="shared" si="94"/>
        <v>0</v>
      </c>
      <c r="I110" s="186">
        <f t="shared" si="94"/>
        <v>0</v>
      </c>
      <c r="J110" s="186">
        <f t="shared" si="94"/>
        <v>0</v>
      </c>
      <c r="K110" s="186">
        <f t="shared" ref="K110:P110" si="95">+K6*$E$107</f>
        <v>0</v>
      </c>
      <c r="L110" s="186">
        <f t="shared" si="95"/>
        <v>0</v>
      </c>
      <c r="M110" s="186">
        <f t="shared" si="95"/>
        <v>0</v>
      </c>
      <c r="N110" s="186">
        <f t="shared" si="95"/>
        <v>0</v>
      </c>
      <c r="O110" s="186">
        <f t="shared" si="95"/>
        <v>0</v>
      </c>
      <c r="P110" s="186">
        <f t="shared" si="95"/>
        <v>0</v>
      </c>
      <c r="Q110" s="190">
        <f>SUM(G110:P110)</f>
        <v>0</v>
      </c>
    </row>
    <row r="111" spans="2:17" s="119" customFormat="1" ht="19.5" hidden="1" thickBot="1" x14ac:dyDescent="0.3">
      <c r="B111" s="310"/>
      <c r="C111" s="119">
        <f t="shared" si="93"/>
        <v>0</v>
      </c>
      <c r="D111" s="110" t="s">
        <v>132</v>
      </c>
      <c r="E111" s="76" t="s">
        <v>56</v>
      </c>
      <c r="F111" s="191">
        <f t="shared" ref="F111:J113" si="96">+F7*$E$107</f>
        <v>0</v>
      </c>
      <c r="G111" s="192">
        <f t="shared" si="96"/>
        <v>0</v>
      </c>
      <c r="H111" s="192">
        <f t="shared" si="96"/>
        <v>0</v>
      </c>
      <c r="I111" s="192">
        <f t="shared" si="96"/>
        <v>0</v>
      </c>
      <c r="J111" s="192">
        <f t="shared" si="96"/>
        <v>0</v>
      </c>
      <c r="K111" s="192">
        <f t="shared" ref="K111:P111" si="97">+K7*$E$107</f>
        <v>0</v>
      </c>
      <c r="L111" s="192">
        <f t="shared" si="97"/>
        <v>0</v>
      </c>
      <c r="M111" s="192">
        <f t="shared" si="97"/>
        <v>0</v>
      </c>
      <c r="N111" s="192">
        <f t="shared" si="97"/>
        <v>0</v>
      </c>
      <c r="O111" s="192">
        <f t="shared" si="97"/>
        <v>0</v>
      </c>
      <c r="P111" s="192">
        <f t="shared" si="97"/>
        <v>0</v>
      </c>
      <c r="Q111" s="190">
        <f>SUM(G111:P111)</f>
        <v>0</v>
      </c>
    </row>
    <row r="112" spans="2:17" s="119" customFormat="1" ht="19.5" hidden="1" thickBot="1" x14ac:dyDescent="0.3">
      <c r="B112" s="310"/>
      <c r="C112" s="119">
        <f t="shared" si="93"/>
        <v>0</v>
      </c>
      <c r="D112" s="109" t="s">
        <v>91</v>
      </c>
      <c r="E112" s="76" t="s">
        <v>55</v>
      </c>
      <c r="F112" s="191">
        <f t="shared" si="96"/>
        <v>0</v>
      </c>
      <c r="G112" s="192">
        <f t="shared" si="96"/>
        <v>0</v>
      </c>
      <c r="H112" s="192">
        <f t="shared" si="96"/>
        <v>0</v>
      </c>
      <c r="I112" s="192">
        <f t="shared" si="96"/>
        <v>0</v>
      </c>
      <c r="J112" s="192">
        <f t="shared" si="96"/>
        <v>0</v>
      </c>
      <c r="K112" s="192">
        <f t="shared" ref="K112:P112" si="98">+K8*$E$107</f>
        <v>0</v>
      </c>
      <c r="L112" s="192">
        <f t="shared" si="98"/>
        <v>0</v>
      </c>
      <c r="M112" s="192">
        <f t="shared" si="98"/>
        <v>0</v>
      </c>
      <c r="N112" s="192">
        <f t="shared" si="98"/>
        <v>0</v>
      </c>
      <c r="O112" s="192">
        <f t="shared" si="98"/>
        <v>0</v>
      </c>
      <c r="P112" s="192">
        <f t="shared" si="98"/>
        <v>0</v>
      </c>
      <c r="Q112" s="190">
        <f>SUM(G112:P112)</f>
        <v>0</v>
      </c>
    </row>
    <row r="113" spans="2:17" s="119" customFormat="1" ht="19.5" hidden="1" thickBot="1" x14ac:dyDescent="0.3">
      <c r="B113" s="310"/>
      <c r="C113" s="119">
        <f t="shared" si="93"/>
        <v>0</v>
      </c>
      <c r="D113" s="130" t="s">
        <v>117</v>
      </c>
      <c r="E113" s="76" t="s">
        <v>54</v>
      </c>
      <c r="F113" s="191">
        <f t="shared" si="96"/>
        <v>0</v>
      </c>
      <c r="G113" s="184">
        <f t="shared" si="96"/>
        <v>0</v>
      </c>
      <c r="H113" s="184">
        <f t="shared" si="96"/>
        <v>0</v>
      </c>
      <c r="I113" s="184">
        <f t="shared" si="96"/>
        <v>0</v>
      </c>
      <c r="J113" s="184">
        <f t="shared" si="96"/>
        <v>0</v>
      </c>
      <c r="K113" s="184">
        <f t="shared" ref="K113:P113" si="99">+K9*$E$107</f>
        <v>0</v>
      </c>
      <c r="L113" s="184">
        <f t="shared" si="99"/>
        <v>0</v>
      </c>
      <c r="M113" s="184">
        <f t="shared" si="99"/>
        <v>0</v>
      </c>
      <c r="N113" s="184">
        <f t="shared" si="99"/>
        <v>0</v>
      </c>
      <c r="O113" s="184">
        <f t="shared" si="99"/>
        <v>0</v>
      </c>
      <c r="P113" s="184">
        <f t="shared" si="99"/>
        <v>0</v>
      </c>
      <c r="Q113" s="190">
        <f>SUM(G113:P113)</f>
        <v>0</v>
      </c>
    </row>
    <row r="114" spans="2:17" s="119" customFormat="1" ht="19.5" hidden="1" thickBot="1" x14ac:dyDescent="0.3">
      <c r="B114" s="310"/>
      <c r="C114" s="119">
        <f t="shared" si="93"/>
        <v>0</v>
      </c>
      <c r="D114" s="112" t="s">
        <v>31</v>
      </c>
      <c r="E114" s="76"/>
      <c r="F114" s="167"/>
      <c r="G114" s="185"/>
      <c r="H114" s="185"/>
      <c r="I114" s="185"/>
      <c r="J114" s="185"/>
      <c r="K114" s="185"/>
      <c r="L114" s="185"/>
      <c r="M114" s="185"/>
      <c r="N114" s="185"/>
      <c r="O114" s="185"/>
      <c r="P114" s="185"/>
      <c r="Q114" s="171"/>
    </row>
    <row r="115" spans="2:17" s="119" customFormat="1" ht="19.5" hidden="1" thickBot="1" x14ac:dyDescent="0.35">
      <c r="B115" s="310"/>
      <c r="C115" s="119">
        <f t="shared" si="93"/>
        <v>0</v>
      </c>
      <c r="D115" s="125" t="s">
        <v>118</v>
      </c>
      <c r="E115" s="76" t="s">
        <v>53</v>
      </c>
      <c r="F115" s="168">
        <f t="shared" ref="F115:J121" si="100">+F11*$E$107</f>
        <v>0</v>
      </c>
      <c r="G115" s="186">
        <f t="shared" si="100"/>
        <v>0</v>
      </c>
      <c r="H115" s="186">
        <f t="shared" si="100"/>
        <v>0</v>
      </c>
      <c r="I115" s="186">
        <f t="shared" si="100"/>
        <v>0</v>
      </c>
      <c r="J115" s="186">
        <f t="shared" si="100"/>
        <v>0</v>
      </c>
      <c r="K115" s="186">
        <f t="shared" ref="K115:P115" si="101">+K11*$E$107</f>
        <v>0</v>
      </c>
      <c r="L115" s="186">
        <f t="shared" si="101"/>
        <v>0</v>
      </c>
      <c r="M115" s="186">
        <f t="shared" si="101"/>
        <v>0</v>
      </c>
      <c r="N115" s="186">
        <f t="shared" si="101"/>
        <v>0</v>
      </c>
      <c r="O115" s="186">
        <f t="shared" si="101"/>
        <v>0</v>
      </c>
      <c r="P115" s="186">
        <f t="shared" si="101"/>
        <v>0</v>
      </c>
      <c r="Q115" s="190">
        <f t="shared" ref="Q115:Q121" si="102">SUM(G115:P115)</f>
        <v>0</v>
      </c>
    </row>
    <row r="116" spans="2:17" s="119" customFormat="1" ht="19.5" hidden="1" thickBot="1" x14ac:dyDescent="0.35">
      <c r="B116" s="310"/>
      <c r="C116" s="119">
        <f t="shared" si="93"/>
        <v>0</v>
      </c>
      <c r="D116" s="125" t="s">
        <v>119</v>
      </c>
      <c r="E116" s="76" t="s">
        <v>52</v>
      </c>
      <c r="F116" s="168">
        <f t="shared" si="100"/>
        <v>0</v>
      </c>
      <c r="G116" s="186">
        <f t="shared" si="100"/>
        <v>0</v>
      </c>
      <c r="H116" s="186">
        <f t="shared" si="100"/>
        <v>0</v>
      </c>
      <c r="I116" s="186">
        <f t="shared" si="100"/>
        <v>0</v>
      </c>
      <c r="J116" s="186">
        <f t="shared" si="100"/>
        <v>0</v>
      </c>
      <c r="K116" s="186">
        <f t="shared" ref="K116:P116" si="103">+K12*$E$107</f>
        <v>0</v>
      </c>
      <c r="L116" s="186">
        <f t="shared" si="103"/>
        <v>0</v>
      </c>
      <c r="M116" s="186">
        <f t="shared" si="103"/>
        <v>0</v>
      </c>
      <c r="N116" s="186">
        <f t="shared" si="103"/>
        <v>0</v>
      </c>
      <c r="O116" s="186">
        <f t="shared" si="103"/>
        <v>0</v>
      </c>
      <c r="P116" s="186">
        <f t="shared" si="103"/>
        <v>0</v>
      </c>
      <c r="Q116" s="190">
        <f t="shared" si="102"/>
        <v>0</v>
      </c>
    </row>
    <row r="117" spans="2:17" s="119" customFormat="1" ht="19.5" hidden="1" thickBot="1" x14ac:dyDescent="0.35">
      <c r="B117" s="310"/>
      <c r="C117" s="119">
        <f t="shared" si="93"/>
        <v>0</v>
      </c>
      <c r="D117" s="125" t="s">
        <v>120</v>
      </c>
      <c r="E117" s="76" t="s">
        <v>51</v>
      </c>
      <c r="F117" s="168">
        <f t="shared" si="100"/>
        <v>0</v>
      </c>
      <c r="G117" s="186">
        <f t="shared" si="100"/>
        <v>0</v>
      </c>
      <c r="H117" s="186">
        <f t="shared" si="100"/>
        <v>0</v>
      </c>
      <c r="I117" s="186">
        <f t="shared" si="100"/>
        <v>0</v>
      </c>
      <c r="J117" s="186">
        <f t="shared" si="100"/>
        <v>0</v>
      </c>
      <c r="K117" s="186">
        <f t="shared" ref="K117:P117" si="104">+K13*$E$107</f>
        <v>0</v>
      </c>
      <c r="L117" s="186">
        <f t="shared" si="104"/>
        <v>0</v>
      </c>
      <c r="M117" s="186">
        <f t="shared" si="104"/>
        <v>0</v>
      </c>
      <c r="N117" s="186">
        <f t="shared" si="104"/>
        <v>0</v>
      </c>
      <c r="O117" s="186">
        <f t="shared" si="104"/>
        <v>0</v>
      </c>
      <c r="P117" s="186">
        <f t="shared" si="104"/>
        <v>0</v>
      </c>
      <c r="Q117" s="190">
        <f t="shared" si="102"/>
        <v>0</v>
      </c>
    </row>
    <row r="118" spans="2:17" s="119" customFormat="1" ht="19.5" hidden="1" thickBot="1" x14ac:dyDescent="0.35">
      <c r="B118" s="310"/>
      <c r="C118" s="119">
        <f t="shared" si="93"/>
        <v>0</v>
      </c>
      <c r="D118" s="125" t="s">
        <v>121</v>
      </c>
      <c r="E118" s="76" t="s">
        <v>50</v>
      </c>
      <c r="F118" s="168">
        <f t="shared" si="100"/>
        <v>0</v>
      </c>
      <c r="G118" s="186">
        <f t="shared" si="100"/>
        <v>0</v>
      </c>
      <c r="H118" s="186">
        <f t="shared" si="100"/>
        <v>0</v>
      </c>
      <c r="I118" s="186">
        <f t="shared" si="100"/>
        <v>0</v>
      </c>
      <c r="J118" s="186">
        <f t="shared" si="100"/>
        <v>0</v>
      </c>
      <c r="K118" s="186">
        <f t="shared" ref="K118:P118" si="105">+K14*$E$107</f>
        <v>0</v>
      </c>
      <c r="L118" s="186">
        <f t="shared" si="105"/>
        <v>0</v>
      </c>
      <c r="M118" s="186">
        <f t="shared" si="105"/>
        <v>0</v>
      </c>
      <c r="N118" s="186">
        <f t="shared" si="105"/>
        <v>0</v>
      </c>
      <c r="O118" s="186">
        <f t="shared" si="105"/>
        <v>0</v>
      </c>
      <c r="P118" s="186">
        <f t="shared" si="105"/>
        <v>0</v>
      </c>
      <c r="Q118" s="190">
        <f t="shared" si="102"/>
        <v>0</v>
      </c>
    </row>
    <row r="119" spans="2:17" s="119" customFormat="1" ht="19.5" hidden="1" thickBot="1" x14ac:dyDescent="0.35">
      <c r="B119" s="310"/>
      <c r="C119" s="119">
        <f t="shared" si="93"/>
        <v>0</v>
      </c>
      <c r="D119" s="125" t="s">
        <v>122</v>
      </c>
      <c r="E119" s="76" t="s">
        <v>49</v>
      </c>
      <c r="F119" s="168">
        <f t="shared" si="100"/>
        <v>0</v>
      </c>
      <c r="G119" s="186">
        <f t="shared" si="100"/>
        <v>0</v>
      </c>
      <c r="H119" s="186">
        <f t="shared" si="100"/>
        <v>0</v>
      </c>
      <c r="I119" s="186">
        <f t="shared" si="100"/>
        <v>0</v>
      </c>
      <c r="J119" s="186">
        <f t="shared" si="100"/>
        <v>0</v>
      </c>
      <c r="K119" s="186">
        <f t="shared" ref="K119:P119" si="106">+K15*$E$107</f>
        <v>0</v>
      </c>
      <c r="L119" s="186">
        <f t="shared" si="106"/>
        <v>0</v>
      </c>
      <c r="M119" s="186">
        <f t="shared" si="106"/>
        <v>0</v>
      </c>
      <c r="N119" s="186">
        <f t="shared" si="106"/>
        <v>0</v>
      </c>
      <c r="O119" s="186">
        <f t="shared" si="106"/>
        <v>0</v>
      </c>
      <c r="P119" s="186">
        <f t="shared" si="106"/>
        <v>0</v>
      </c>
      <c r="Q119" s="190">
        <f t="shared" si="102"/>
        <v>0</v>
      </c>
    </row>
    <row r="120" spans="2:17" s="119" customFormat="1" ht="19.5" hidden="1" thickBot="1" x14ac:dyDescent="0.35">
      <c r="B120" s="310"/>
      <c r="C120" s="119">
        <f t="shared" si="93"/>
        <v>0</v>
      </c>
      <c r="D120" s="125" t="s">
        <v>123</v>
      </c>
      <c r="E120" s="76" t="s">
        <v>47</v>
      </c>
      <c r="F120" s="168">
        <f t="shared" si="100"/>
        <v>0</v>
      </c>
      <c r="G120" s="186">
        <f t="shared" si="100"/>
        <v>0</v>
      </c>
      <c r="H120" s="186">
        <f t="shared" si="100"/>
        <v>0</v>
      </c>
      <c r="I120" s="186">
        <f t="shared" si="100"/>
        <v>0</v>
      </c>
      <c r="J120" s="186">
        <f t="shared" si="100"/>
        <v>0</v>
      </c>
      <c r="K120" s="186">
        <f t="shared" ref="K120:P120" si="107">+K16*$E$107</f>
        <v>0</v>
      </c>
      <c r="L120" s="186">
        <f t="shared" si="107"/>
        <v>0</v>
      </c>
      <c r="M120" s="186">
        <f t="shared" si="107"/>
        <v>0</v>
      </c>
      <c r="N120" s="186">
        <f t="shared" si="107"/>
        <v>0</v>
      </c>
      <c r="O120" s="186">
        <f t="shared" si="107"/>
        <v>0</v>
      </c>
      <c r="P120" s="186">
        <f t="shared" si="107"/>
        <v>0</v>
      </c>
      <c r="Q120" s="190">
        <f t="shared" si="102"/>
        <v>0</v>
      </c>
    </row>
    <row r="121" spans="2:17" s="119" customFormat="1" ht="19.5" hidden="1" thickBot="1" x14ac:dyDescent="0.35">
      <c r="B121" s="310"/>
      <c r="C121" s="119">
        <f t="shared" si="93"/>
        <v>0</v>
      </c>
      <c r="D121" s="125" t="s">
        <v>16</v>
      </c>
      <c r="E121" s="70" t="s">
        <v>77</v>
      </c>
      <c r="F121" s="168">
        <f t="shared" si="100"/>
        <v>0</v>
      </c>
      <c r="G121" s="186">
        <f t="shared" si="100"/>
        <v>0</v>
      </c>
      <c r="H121" s="186">
        <f t="shared" si="100"/>
        <v>0</v>
      </c>
      <c r="I121" s="186">
        <f t="shared" si="100"/>
        <v>0</v>
      </c>
      <c r="J121" s="186">
        <f t="shared" si="100"/>
        <v>0</v>
      </c>
      <c r="K121" s="186">
        <f t="shared" ref="K121:P121" si="108">+K17*$E$107</f>
        <v>0</v>
      </c>
      <c r="L121" s="186">
        <f t="shared" si="108"/>
        <v>0</v>
      </c>
      <c r="M121" s="186">
        <f t="shared" si="108"/>
        <v>0</v>
      </c>
      <c r="N121" s="186">
        <f t="shared" si="108"/>
        <v>0</v>
      </c>
      <c r="O121" s="186">
        <f t="shared" si="108"/>
        <v>0</v>
      </c>
      <c r="P121" s="186">
        <f t="shared" si="108"/>
        <v>0</v>
      </c>
      <c r="Q121" s="190">
        <f t="shared" si="102"/>
        <v>0</v>
      </c>
    </row>
    <row r="122" spans="2:17" s="119" customFormat="1" ht="19.5" hidden="1" thickBot="1" x14ac:dyDescent="0.3">
      <c r="B122" s="310"/>
      <c r="C122" s="119">
        <f t="shared" si="93"/>
        <v>0</v>
      </c>
      <c r="D122" s="131" t="s">
        <v>124</v>
      </c>
      <c r="E122" s="116" t="s">
        <v>78</v>
      </c>
      <c r="F122" s="169">
        <f t="shared" ref="F122:Q122" si="109">SUBTOTAL(9,F110:F121)</f>
        <v>0</v>
      </c>
      <c r="G122" s="170">
        <f t="shared" si="109"/>
        <v>0</v>
      </c>
      <c r="H122" s="170">
        <f t="shared" si="109"/>
        <v>0</v>
      </c>
      <c r="I122" s="170">
        <f t="shared" si="109"/>
        <v>0</v>
      </c>
      <c r="J122" s="170">
        <f t="shared" si="109"/>
        <v>0</v>
      </c>
      <c r="K122" s="170">
        <f t="shared" ref="K122:P122" si="110">SUBTOTAL(9,K110:K121)</f>
        <v>0</v>
      </c>
      <c r="L122" s="170">
        <f t="shared" si="110"/>
        <v>0</v>
      </c>
      <c r="M122" s="170">
        <f t="shared" si="110"/>
        <v>0</v>
      </c>
      <c r="N122" s="170">
        <f t="shared" si="110"/>
        <v>0</v>
      </c>
      <c r="O122" s="170">
        <f t="shared" si="110"/>
        <v>0</v>
      </c>
      <c r="P122" s="170">
        <f t="shared" si="110"/>
        <v>0</v>
      </c>
      <c r="Q122" s="170">
        <f t="shared" si="109"/>
        <v>0</v>
      </c>
    </row>
    <row r="123" spans="2:17" s="119" customFormat="1" ht="19.5" hidden="1" thickBot="1" x14ac:dyDescent="0.3">
      <c r="B123" s="310"/>
      <c r="D123" s="139"/>
      <c r="E123" s="140"/>
      <c r="F123" s="141"/>
      <c r="G123" s="141"/>
      <c r="H123" s="141"/>
      <c r="I123" s="142"/>
      <c r="J123" s="142"/>
      <c r="K123" s="142"/>
      <c r="L123" s="142"/>
      <c r="M123" s="142"/>
      <c r="N123" s="142"/>
      <c r="O123" s="142"/>
      <c r="P123" s="142"/>
      <c r="Q123" s="142"/>
    </row>
    <row r="124" spans="2:17" s="119" customFormat="1" ht="45.75" hidden="1" thickBot="1" x14ac:dyDescent="0.3">
      <c r="B124" s="310"/>
      <c r="C124" s="119">
        <f>IF(E124&gt;0,1,0)</f>
        <v>0</v>
      </c>
      <c r="D124" s="96" t="str">
        <f>+A10</f>
        <v>Chautauqua</v>
      </c>
      <c r="E124" s="166">
        <f>+SUMIF(A:A,D124,B:B)</f>
        <v>0</v>
      </c>
      <c r="F124" s="98" t="s">
        <v>97</v>
      </c>
      <c r="G124" s="98" t="s">
        <v>126</v>
      </c>
      <c r="H124" s="98" t="s">
        <v>127</v>
      </c>
      <c r="I124" s="99" t="s">
        <v>128</v>
      </c>
      <c r="J124" s="99" t="s">
        <v>131</v>
      </c>
      <c r="K124" s="560" t="s">
        <v>474</v>
      </c>
      <c r="L124" s="560" t="s">
        <v>475</v>
      </c>
      <c r="M124" s="560" t="s">
        <v>476</v>
      </c>
      <c r="N124" s="560" t="s">
        <v>477</v>
      </c>
      <c r="O124" s="560" t="s">
        <v>478</v>
      </c>
      <c r="P124" s="560" t="s">
        <v>479</v>
      </c>
      <c r="Q124" s="99" t="s">
        <v>129</v>
      </c>
    </row>
    <row r="125" spans="2:17" s="119" customFormat="1" ht="19.5" hidden="1" thickBot="1" x14ac:dyDescent="0.3">
      <c r="B125" s="310"/>
      <c r="C125" s="119">
        <f>C124</f>
        <v>0</v>
      </c>
      <c r="D125" s="127"/>
      <c r="E125" s="128"/>
      <c r="F125" s="84" t="s">
        <v>57</v>
      </c>
      <c r="G125" s="84" t="s">
        <v>56</v>
      </c>
      <c r="H125" s="84" t="s">
        <v>55</v>
      </c>
      <c r="I125" s="84" t="s">
        <v>54</v>
      </c>
      <c r="J125" s="129" t="s">
        <v>53</v>
      </c>
      <c r="K125" s="129" t="s">
        <v>52</v>
      </c>
      <c r="L125" s="129" t="s">
        <v>51</v>
      </c>
      <c r="M125" s="129" t="s">
        <v>50</v>
      </c>
      <c r="N125" s="129" t="s">
        <v>49</v>
      </c>
      <c r="O125" s="129" t="s">
        <v>47</v>
      </c>
      <c r="P125" s="129" t="s">
        <v>77</v>
      </c>
      <c r="Q125" s="129" t="s">
        <v>78</v>
      </c>
    </row>
    <row r="126" spans="2:17" s="119" customFormat="1" ht="19.5" hidden="1" thickBot="1" x14ac:dyDescent="0.3">
      <c r="B126" s="310"/>
      <c r="C126" s="119">
        <f>C125</f>
        <v>0</v>
      </c>
      <c r="D126" s="133" t="s">
        <v>26</v>
      </c>
      <c r="E126" s="134"/>
      <c r="F126" s="135"/>
      <c r="G126" s="135"/>
      <c r="H126" s="136"/>
      <c r="I126" s="136"/>
      <c r="J126" s="137"/>
      <c r="K126" s="137"/>
      <c r="L126" s="137"/>
      <c r="M126" s="137"/>
      <c r="N126" s="137"/>
      <c r="O126" s="137"/>
      <c r="P126" s="137"/>
      <c r="Q126" s="138"/>
    </row>
    <row r="127" spans="2:17" s="119" customFormat="1" ht="19.5" hidden="1" thickBot="1" x14ac:dyDescent="0.3">
      <c r="B127" s="310"/>
      <c r="C127" s="119">
        <f t="shared" ref="C127:C139" si="111">C126</f>
        <v>0</v>
      </c>
      <c r="D127" s="109" t="s">
        <v>93</v>
      </c>
      <c r="E127" s="76" t="s">
        <v>57</v>
      </c>
      <c r="F127" s="168">
        <f>+F6*$E$124</f>
        <v>0</v>
      </c>
      <c r="G127" s="186">
        <f t="shared" ref="G127:J127" si="112">+G6*$E$124</f>
        <v>0</v>
      </c>
      <c r="H127" s="186">
        <f t="shared" si="112"/>
        <v>0</v>
      </c>
      <c r="I127" s="186">
        <f t="shared" si="112"/>
        <v>0</v>
      </c>
      <c r="J127" s="186">
        <f t="shared" si="112"/>
        <v>0</v>
      </c>
      <c r="K127" s="186">
        <f t="shared" ref="K127:P127" si="113">+K6*$E$124</f>
        <v>0</v>
      </c>
      <c r="L127" s="186">
        <f t="shared" si="113"/>
        <v>0</v>
      </c>
      <c r="M127" s="186">
        <f t="shared" si="113"/>
        <v>0</v>
      </c>
      <c r="N127" s="186">
        <f t="shared" si="113"/>
        <v>0</v>
      </c>
      <c r="O127" s="186">
        <f t="shared" si="113"/>
        <v>0</v>
      </c>
      <c r="P127" s="186">
        <f t="shared" si="113"/>
        <v>0</v>
      </c>
      <c r="Q127" s="190">
        <f>SUM(G127:P127)</f>
        <v>0</v>
      </c>
    </row>
    <row r="128" spans="2:17" s="119" customFormat="1" ht="19.5" hidden="1" thickBot="1" x14ac:dyDescent="0.3">
      <c r="B128" s="310"/>
      <c r="C128" s="119">
        <f t="shared" si="111"/>
        <v>0</v>
      </c>
      <c r="D128" s="110" t="s">
        <v>132</v>
      </c>
      <c r="E128" s="76" t="s">
        <v>56</v>
      </c>
      <c r="F128" s="191">
        <f t="shared" ref="F128:J130" si="114">+F7*$E$124</f>
        <v>0</v>
      </c>
      <c r="G128" s="192">
        <f t="shared" si="114"/>
        <v>0</v>
      </c>
      <c r="H128" s="192">
        <f t="shared" si="114"/>
        <v>0</v>
      </c>
      <c r="I128" s="192">
        <f t="shared" si="114"/>
        <v>0</v>
      </c>
      <c r="J128" s="192">
        <f t="shared" si="114"/>
        <v>0</v>
      </c>
      <c r="K128" s="192">
        <f t="shared" ref="K128:P128" si="115">+K7*$E$124</f>
        <v>0</v>
      </c>
      <c r="L128" s="192">
        <f t="shared" si="115"/>
        <v>0</v>
      </c>
      <c r="M128" s="192">
        <f t="shared" si="115"/>
        <v>0</v>
      </c>
      <c r="N128" s="192">
        <f t="shared" si="115"/>
        <v>0</v>
      </c>
      <c r="O128" s="192">
        <f t="shared" si="115"/>
        <v>0</v>
      </c>
      <c r="P128" s="192">
        <f t="shared" si="115"/>
        <v>0</v>
      </c>
      <c r="Q128" s="190">
        <f>SUM(G128:P128)</f>
        <v>0</v>
      </c>
    </row>
    <row r="129" spans="2:17" s="119" customFormat="1" ht="19.5" hidden="1" thickBot="1" x14ac:dyDescent="0.3">
      <c r="B129" s="310"/>
      <c r="C129" s="119">
        <f t="shared" si="111"/>
        <v>0</v>
      </c>
      <c r="D129" s="109" t="s">
        <v>91</v>
      </c>
      <c r="E129" s="76" t="s">
        <v>55</v>
      </c>
      <c r="F129" s="191">
        <f t="shared" si="114"/>
        <v>0</v>
      </c>
      <c r="G129" s="192">
        <f t="shared" si="114"/>
        <v>0</v>
      </c>
      <c r="H129" s="192">
        <f t="shared" si="114"/>
        <v>0</v>
      </c>
      <c r="I129" s="192">
        <f t="shared" si="114"/>
        <v>0</v>
      </c>
      <c r="J129" s="192">
        <f t="shared" si="114"/>
        <v>0</v>
      </c>
      <c r="K129" s="192">
        <f t="shared" ref="K129:P129" si="116">+K8*$E$124</f>
        <v>0</v>
      </c>
      <c r="L129" s="192">
        <f t="shared" si="116"/>
        <v>0</v>
      </c>
      <c r="M129" s="192">
        <f t="shared" si="116"/>
        <v>0</v>
      </c>
      <c r="N129" s="192">
        <f t="shared" si="116"/>
        <v>0</v>
      </c>
      <c r="O129" s="192">
        <f t="shared" si="116"/>
        <v>0</v>
      </c>
      <c r="P129" s="192">
        <f t="shared" si="116"/>
        <v>0</v>
      </c>
      <c r="Q129" s="190">
        <f>SUM(G129:P129)</f>
        <v>0</v>
      </c>
    </row>
    <row r="130" spans="2:17" s="119" customFormat="1" ht="19.5" hidden="1" thickBot="1" x14ac:dyDescent="0.3">
      <c r="B130" s="310"/>
      <c r="C130" s="119">
        <f t="shared" si="111"/>
        <v>0</v>
      </c>
      <c r="D130" s="130" t="s">
        <v>117</v>
      </c>
      <c r="E130" s="76" t="s">
        <v>54</v>
      </c>
      <c r="F130" s="191">
        <f t="shared" si="114"/>
        <v>0</v>
      </c>
      <c r="G130" s="184">
        <f t="shared" si="114"/>
        <v>0</v>
      </c>
      <c r="H130" s="184">
        <f t="shared" si="114"/>
        <v>0</v>
      </c>
      <c r="I130" s="184">
        <f t="shared" si="114"/>
        <v>0</v>
      </c>
      <c r="J130" s="184">
        <f t="shared" si="114"/>
        <v>0</v>
      </c>
      <c r="K130" s="184">
        <f t="shared" ref="K130:P130" si="117">+K9*$E$124</f>
        <v>0</v>
      </c>
      <c r="L130" s="184">
        <f t="shared" si="117"/>
        <v>0</v>
      </c>
      <c r="M130" s="184">
        <f t="shared" si="117"/>
        <v>0</v>
      </c>
      <c r="N130" s="184">
        <f t="shared" si="117"/>
        <v>0</v>
      </c>
      <c r="O130" s="184">
        <f t="shared" si="117"/>
        <v>0</v>
      </c>
      <c r="P130" s="184">
        <f t="shared" si="117"/>
        <v>0</v>
      </c>
      <c r="Q130" s="190">
        <f>SUM(G130:P130)</f>
        <v>0</v>
      </c>
    </row>
    <row r="131" spans="2:17" s="119" customFormat="1" ht="19.5" hidden="1" thickBot="1" x14ac:dyDescent="0.3">
      <c r="B131" s="310"/>
      <c r="C131" s="119">
        <f t="shared" si="111"/>
        <v>0</v>
      </c>
      <c r="D131" s="112" t="s">
        <v>31</v>
      </c>
      <c r="E131" s="76"/>
      <c r="F131" s="167"/>
      <c r="G131" s="185"/>
      <c r="H131" s="185"/>
      <c r="I131" s="185"/>
      <c r="J131" s="185"/>
      <c r="K131" s="185"/>
      <c r="L131" s="185"/>
      <c r="M131" s="185"/>
      <c r="N131" s="185"/>
      <c r="O131" s="185"/>
      <c r="P131" s="185"/>
      <c r="Q131" s="171"/>
    </row>
    <row r="132" spans="2:17" s="119" customFormat="1" ht="19.5" hidden="1" thickBot="1" x14ac:dyDescent="0.35">
      <c r="B132" s="310"/>
      <c r="C132" s="119">
        <f t="shared" si="111"/>
        <v>0</v>
      </c>
      <c r="D132" s="125" t="s">
        <v>118</v>
      </c>
      <c r="E132" s="76" t="s">
        <v>53</v>
      </c>
      <c r="F132" s="168">
        <f t="shared" ref="F132:J138" si="118">+F11*$E$124</f>
        <v>0</v>
      </c>
      <c r="G132" s="186">
        <f t="shared" si="118"/>
        <v>0</v>
      </c>
      <c r="H132" s="186">
        <f t="shared" si="118"/>
        <v>0</v>
      </c>
      <c r="I132" s="186">
        <f t="shared" si="118"/>
        <v>0</v>
      </c>
      <c r="J132" s="186">
        <f t="shared" si="118"/>
        <v>0</v>
      </c>
      <c r="K132" s="186">
        <f t="shared" ref="K132:P132" si="119">+K11*$E$124</f>
        <v>0</v>
      </c>
      <c r="L132" s="186">
        <f t="shared" si="119"/>
        <v>0</v>
      </c>
      <c r="M132" s="186">
        <f t="shared" si="119"/>
        <v>0</v>
      </c>
      <c r="N132" s="186">
        <f t="shared" si="119"/>
        <v>0</v>
      </c>
      <c r="O132" s="186">
        <f t="shared" si="119"/>
        <v>0</v>
      </c>
      <c r="P132" s="186">
        <f t="shared" si="119"/>
        <v>0</v>
      </c>
      <c r="Q132" s="190">
        <f t="shared" ref="Q132:Q138" si="120">SUM(G132:P132)</f>
        <v>0</v>
      </c>
    </row>
    <row r="133" spans="2:17" s="119" customFormat="1" ht="19.5" hidden="1" thickBot="1" x14ac:dyDescent="0.35">
      <c r="B133" s="310"/>
      <c r="C133" s="119">
        <f t="shared" si="111"/>
        <v>0</v>
      </c>
      <c r="D133" s="125" t="s">
        <v>119</v>
      </c>
      <c r="E133" s="76" t="s">
        <v>52</v>
      </c>
      <c r="F133" s="168">
        <f t="shared" si="118"/>
        <v>0</v>
      </c>
      <c r="G133" s="186">
        <f t="shared" si="118"/>
        <v>0</v>
      </c>
      <c r="H133" s="186">
        <f t="shared" si="118"/>
        <v>0</v>
      </c>
      <c r="I133" s="186">
        <f t="shared" si="118"/>
        <v>0</v>
      </c>
      <c r="J133" s="186">
        <f t="shared" si="118"/>
        <v>0</v>
      </c>
      <c r="K133" s="186">
        <f t="shared" ref="K133:P133" si="121">+K12*$E$124</f>
        <v>0</v>
      </c>
      <c r="L133" s="186">
        <f t="shared" si="121"/>
        <v>0</v>
      </c>
      <c r="M133" s="186">
        <f t="shared" si="121"/>
        <v>0</v>
      </c>
      <c r="N133" s="186">
        <f t="shared" si="121"/>
        <v>0</v>
      </c>
      <c r="O133" s="186">
        <f t="shared" si="121"/>
        <v>0</v>
      </c>
      <c r="P133" s="186">
        <f t="shared" si="121"/>
        <v>0</v>
      </c>
      <c r="Q133" s="190">
        <f t="shared" si="120"/>
        <v>0</v>
      </c>
    </row>
    <row r="134" spans="2:17" s="119" customFormat="1" ht="19.5" hidden="1" thickBot="1" x14ac:dyDescent="0.35">
      <c r="B134" s="310"/>
      <c r="C134" s="119">
        <f t="shared" si="111"/>
        <v>0</v>
      </c>
      <c r="D134" s="125" t="s">
        <v>120</v>
      </c>
      <c r="E134" s="76" t="s">
        <v>51</v>
      </c>
      <c r="F134" s="168">
        <f t="shared" si="118"/>
        <v>0</v>
      </c>
      <c r="G134" s="186">
        <f t="shared" si="118"/>
        <v>0</v>
      </c>
      <c r="H134" s="186">
        <f t="shared" si="118"/>
        <v>0</v>
      </c>
      <c r="I134" s="186">
        <f t="shared" si="118"/>
        <v>0</v>
      </c>
      <c r="J134" s="186">
        <f t="shared" si="118"/>
        <v>0</v>
      </c>
      <c r="K134" s="186">
        <f t="shared" ref="K134:P134" si="122">+K13*$E$124</f>
        <v>0</v>
      </c>
      <c r="L134" s="186">
        <f t="shared" si="122"/>
        <v>0</v>
      </c>
      <c r="M134" s="186">
        <f t="shared" si="122"/>
        <v>0</v>
      </c>
      <c r="N134" s="186">
        <f t="shared" si="122"/>
        <v>0</v>
      </c>
      <c r="O134" s="186">
        <f t="shared" si="122"/>
        <v>0</v>
      </c>
      <c r="P134" s="186">
        <f t="shared" si="122"/>
        <v>0</v>
      </c>
      <c r="Q134" s="190">
        <f t="shared" si="120"/>
        <v>0</v>
      </c>
    </row>
    <row r="135" spans="2:17" s="119" customFormat="1" ht="19.5" hidden="1" thickBot="1" x14ac:dyDescent="0.35">
      <c r="B135" s="310"/>
      <c r="C135" s="119">
        <f t="shared" si="111"/>
        <v>0</v>
      </c>
      <c r="D135" s="125" t="s">
        <v>121</v>
      </c>
      <c r="E135" s="76" t="s">
        <v>50</v>
      </c>
      <c r="F135" s="168">
        <f t="shared" si="118"/>
        <v>0</v>
      </c>
      <c r="G135" s="186">
        <f t="shared" si="118"/>
        <v>0</v>
      </c>
      <c r="H135" s="186">
        <f t="shared" si="118"/>
        <v>0</v>
      </c>
      <c r="I135" s="186">
        <f t="shared" si="118"/>
        <v>0</v>
      </c>
      <c r="J135" s="186">
        <f t="shared" si="118"/>
        <v>0</v>
      </c>
      <c r="K135" s="186">
        <f t="shared" ref="K135:P135" si="123">+K14*$E$124</f>
        <v>0</v>
      </c>
      <c r="L135" s="186">
        <f t="shared" si="123"/>
        <v>0</v>
      </c>
      <c r="M135" s="186">
        <f t="shared" si="123"/>
        <v>0</v>
      </c>
      <c r="N135" s="186">
        <f t="shared" si="123"/>
        <v>0</v>
      </c>
      <c r="O135" s="186">
        <f t="shared" si="123"/>
        <v>0</v>
      </c>
      <c r="P135" s="186">
        <f t="shared" si="123"/>
        <v>0</v>
      </c>
      <c r="Q135" s="190">
        <f t="shared" si="120"/>
        <v>0</v>
      </c>
    </row>
    <row r="136" spans="2:17" s="119" customFormat="1" ht="19.5" hidden="1" thickBot="1" x14ac:dyDescent="0.35">
      <c r="B136" s="310"/>
      <c r="C136" s="119">
        <f t="shared" si="111"/>
        <v>0</v>
      </c>
      <c r="D136" s="125" t="s">
        <v>122</v>
      </c>
      <c r="E136" s="76" t="s">
        <v>49</v>
      </c>
      <c r="F136" s="168">
        <f t="shared" si="118"/>
        <v>0</v>
      </c>
      <c r="G136" s="186">
        <f t="shared" si="118"/>
        <v>0</v>
      </c>
      <c r="H136" s="186">
        <f t="shared" si="118"/>
        <v>0</v>
      </c>
      <c r="I136" s="186">
        <f t="shared" si="118"/>
        <v>0</v>
      </c>
      <c r="J136" s="186">
        <f t="shared" si="118"/>
        <v>0</v>
      </c>
      <c r="K136" s="186">
        <f t="shared" ref="K136:P136" si="124">+K15*$E$124</f>
        <v>0</v>
      </c>
      <c r="L136" s="186">
        <f t="shared" si="124"/>
        <v>0</v>
      </c>
      <c r="M136" s="186">
        <f t="shared" si="124"/>
        <v>0</v>
      </c>
      <c r="N136" s="186">
        <f t="shared" si="124"/>
        <v>0</v>
      </c>
      <c r="O136" s="186">
        <f t="shared" si="124"/>
        <v>0</v>
      </c>
      <c r="P136" s="186">
        <f t="shared" si="124"/>
        <v>0</v>
      </c>
      <c r="Q136" s="190">
        <f t="shared" si="120"/>
        <v>0</v>
      </c>
    </row>
    <row r="137" spans="2:17" s="119" customFormat="1" ht="19.5" hidden="1" thickBot="1" x14ac:dyDescent="0.35">
      <c r="B137" s="310"/>
      <c r="C137" s="119">
        <f t="shared" si="111"/>
        <v>0</v>
      </c>
      <c r="D137" s="125" t="s">
        <v>123</v>
      </c>
      <c r="E137" s="76" t="s">
        <v>47</v>
      </c>
      <c r="F137" s="168">
        <f t="shared" si="118"/>
        <v>0</v>
      </c>
      <c r="G137" s="186">
        <f t="shared" si="118"/>
        <v>0</v>
      </c>
      <c r="H137" s="186">
        <f t="shared" si="118"/>
        <v>0</v>
      </c>
      <c r="I137" s="186">
        <f t="shared" si="118"/>
        <v>0</v>
      </c>
      <c r="J137" s="186">
        <f t="shared" si="118"/>
        <v>0</v>
      </c>
      <c r="K137" s="186">
        <f t="shared" ref="K137:P137" si="125">+K16*$E$124</f>
        <v>0</v>
      </c>
      <c r="L137" s="186">
        <f t="shared" si="125"/>
        <v>0</v>
      </c>
      <c r="M137" s="186">
        <f t="shared" si="125"/>
        <v>0</v>
      </c>
      <c r="N137" s="186">
        <f t="shared" si="125"/>
        <v>0</v>
      </c>
      <c r="O137" s="186">
        <f t="shared" si="125"/>
        <v>0</v>
      </c>
      <c r="P137" s="186">
        <f t="shared" si="125"/>
        <v>0</v>
      </c>
      <c r="Q137" s="190">
        <f t="shared" si="120"/>
        <v>0</v>
      </c>
    </row>
    <row r="138" spans="2:17" s="119" customFormat="1" ht="19.5" hidden="1" thickBot="1" x14ac:dyDescent="0.35">
      <c r="B138" s="310"/>
      <c r="C138" s="119">
        <f t="shared" si="111"/>
        <v>0</v>
      </c>
      <c r="D138" s="125" t="s">
        <v>16</v>
      </c>
      <c r="E138" s="70" t="s">
        <v>77</v>
      </c>
      <c r="F138" s="168">
        <f t="shared" si="118"/>
        <v>0</v>
      </c>
      <c r="G138" s="186">
        <f t="shared" si="118"/>
        <v>0</v>
      </c>
      <c r="H138" s="186">
        <f t="shared" si="118"/>
        <v>0</v>
      </c>
      <c r="I138" s="186">
        <f t="shared" si="118"/>
        <v>0</v>
      </c>
      <c r="J138" s="186">
        <f t="shared" si="118"/>
        <v>0</v>
      </c>
      <c r="K138" s="186">
        <f t="shared" ref="K138:P138" si="126">+K17*$E$124</f>
        <v>0</v>
      </c>
      <c r="L138" s="186">
        <f t="shared" si="126"/>
        <v>0</v>
      </c>
      <c r="M138" s="186">
        <f t="shared" si="126"/>
        <v>0</v>
      </c>
      <c r="N138" s="186">
        <f t="shared" si="126"/>
        <v>0</v>
      </c>
      <c r="O138" s="186">
        <f t="shared" si="126"/>
        <v>0</v>
      </c>
      <c r="P138" s="186">
        <f t="shared" si="126"/>
        <v>0</v>
      </c>
      <c r="Q138" s="190">
        <f t="shared" si="120"/>
        <v>0</v>
      </c>
    </row>
    <row r="139" spans="2:17" s="119" customFormat="1" ht="19.5" hidden="1" thickBot="1" x14ac:dyDescent="0.3">
      <c r="B139" s="310"/>
      <c r="C139" s="119">
        <f t="shared" si="111"/>
        <v>0</v>
      </c>
      <c r="D139" s="131" t="s">
        <v>124</v>
      </c>
      <c r="E139" s="116" t="s">
        <v>78</v>
      </c>
      <c r="F139" s="169">
        <f t="shared" ref="F139:Q139" si="127">SUBTOTAL(9,F127:F138)</f>
        <v>0</v>
      </c>
      <c r="G139" s="170">
        <f t="shared" si="127"/>
        <v>0</v>
      </c>
      <c r="H139" s="170">
        <f t="shared" si="127"/>
        <v>0</v>
      </c>
      <c r="I139" s="170">
        <f t="shared" si="127"/>
        <v>0</v>
      </c>
      <c r="J139" s="170">
        <f t="shared" si="127"/>
        <v>0</v>
      </c>
      <c r="K139" s="170">
        <f t="shared" ref="K139:P139" si="128">SUBTOTAL(9,K127:K138)</f>
        <v>0</v>
      </c>
      <c r="L139" s="170">
        <f t="shared" si="128"/>
        <v>0</v>
      </c>
      <c r="M139" s="170">
        <f t="shared" si="128"/>
        <v>0</v>
      </c>
      <c r="N139" s="170">
        <f t="shared" si="128"/>
        <v>0</v>
      </c>
      <c r="O139" s="170">
        <f t="shared" si="128"/>
        <v>0</v>
      </c>
      <c r="P139" s="170">
        <f t="shared" si="128"/>
        <v>0</v>
      </c>
      <c r="Q139" s="170">
        <f t="shared" si="127"/>
        <v>0</v>
      </c>
    </row>
    <row r="140" spans="2:17" s="119" customFormat="1" ht="19.5" hidden="1" thickBot="1" x14ac:dyDescent="0.3">
      <c r="B140" s="310"/>
      <c r="D140" s="139"/>
      <c r="E140" s="140"/>
      <c r="F140" s="141"/>
      <c r="G140" s="141"/>
      <c r="H140" s="141"/>
      <c r="I140" s="142"/>
      <c r="J140" s="142"/>
      <c r="K140" s="142"/>
      <c r="L140" s="142"/>
      <c r="M140" s="142"/>
      <c r="N140" s="142"/>
      <c r="O140" s="142"/>
      <c r="P140" s="142"/>
      <c r="Q140" s="142"/>
    </row>
    <row r="141" spans="2:17" s="119" customFormat="1" ht="45.75" hidden="1" thickBot="1" x14ac:dyDescent="0.3">
      <c r="B141" s="310"/>
      <c r="C141" s="119">
        <f>IF(E141&gt;0,1,0)</f>
        <v>0</v>
      </c>
      <c r="D141" s="96" t="str">
        <f>+A11</f>
        <v>Chemung</v>
      </c>
      <c r="E141" s="166">
        <f>+SUMIF(A:A,D141,B:B)</f>
        <v>0</v>
      </c>
      <c r="F141" s="98" t="s">
        <v>97</v>
      </c>
      <c r="G141" s="98" t="s">
        <v>126</v>
      </c>
      <c r="H141" s="98" t="s">
        <v>127</v>
      </c>
      <c r="I141" s="99" t="s">
        <v>128</v>
      </c>
      <c r="J141" s="99" t="s">
        <v>131</v>
      </c>
      <c r="K141" s="560" t="s">
        <v>474</v>
      </c>
      <c r="L141" s="560" t="s">
        <v>475</v>
      </c>
      <c r="M141" s="560" t="s">
        <v>476</v>
      </c>
      <c r="N141" s="560" t="s">
        <v>477</v>
      </c>
      <c r="O141" s="560" t="s">
        <v>478</v>
      </c>
      <c r="P141" s="560" t="s">
        <v>479</v>
      </c>
      <c r="Q141" s="99" t="s">
        <v>129</v>
      </c>
    </row>
    <row r="142" spans="2:17" s="119" customFormat="1" ht="19.5" hidden="1" thickBot="1" x14ac:dyDescent="0.3">
      <c r="B142" s="310"/>
      <c r="C142" s="119">
        <f>C141</f>
        <v>0</v>
      </c>
      <c r="D142" s="127"/>
      <c r="E142" s="128"/>
      <c r="F142" s="84" t="s">
        <v>57</v>
      </c>
      <c r="G142" s="84" t="s">
        <v>56</v>
      </c>
      <c r="H142" s="84" t="s">
        <v>55</v>
      </c>
      <c r="I142" s="84" t="s">
        <v>54</v>
      </c>
      <c r="J142" s="129" t="s">
        <v>53</v>
      </c>
      <c r="K142" s="129" t="s">
        <v>52</v>
      </c>
      <c r="L142" s="129" t="s">
        <v>51</v>
      </c>
      <c r="M142" s="129" t="s">
        <v>50</v>
      </c>
      <c r="N142" s="129" t="s">
        <v>49</v>
      </c>
      <c r="O142" s="129" t="s">
        <v>47</v>
      </c>
      <c r="P142" s="129" t="s">
        <v>77</v>
      </c>
      <c r="Q142" s="129" t="s">
        <v>78</v>
      </c>
    </row>
    <row r="143" spans="2:17" s="119" customFormat="1" ht="19.5" hidden="1" thickBot="1" x14ac:dyDescent="0.3">
      <c r="B143" s="310"/>
      <c r="C143" s="119">
        <f>C142</f>
        <v>0</v>
      </c>
      <c r="D143" s="133" t="s">
        <v>26</v>
      </c>
      <c r="E143" s="134"/>
      <c r="F143" s="135"/>
      <c r="G143" s="135"/>
      <c r="H143" s="136"/>
      <c r="I143" s="136"/>
      <c r="J143" s="137"/>
      <c r="K143" s="137"/>
      <c r="L143" s="137"/>
      <c r="M143" s="137"/>
      <c r="N143" s="137"/>
      <c r="O143" s="137"/>
      <c r="P143" s="137"/>
      <c r="Q143" s="138"/>
    </row>
    <row r="144" spans="2:17" s="119" customFormat="1" ht="19.5" hidden="1" thickBot="1" x14ac:dyDescent="0.3">
      <c r="B144" s="310"/>
      <c r="C144" s="119">
        <f t="shared" ref="C144:C156" si="129">C143</f>
        <v>0</v>
      </c>
      <c r="D144" s="109" t="s">
        <v>93</v>
      </c>
      <c r="E144" s="76" t="s">
        <v>57</v>
      </c>
      <c r="F144" s="168">
        <f>+F6*$E$141</f>
        <v>0</v>
      </c>
      <c r="G144" s="186">
        <f t="shared" ref="G144:J144" si="130">+G6*$E$141</f>
        <v>0</v>
      </c>
      <c r="H144" s="186">
        <f t="shared" si="130"/>
        <v>0</v>
      </c>
      <c r="I144" s="186">
        <f t="shared" si="130"/>
        <v>0</v>
      </c>
      <c r="J144" s="186">
        <f t="shared" si="130"/>
        <v>0</v>
      </c>
      <c r="K144" s="186">
        <f t="shared" ref="K144:P144" si="131">+K6*$E$141</f>
        <v>0</v>
      </c>
      <c r="L144" s="186">
        <f t="shared" si="131"/>
        <v>0</v>
      </c>
      <c r="M144" s="186">
        <f t="shared" si="131"/>
        <v>0</v>
      </c>
      <c r="N144" s="186">
        <f t="shared" si="131"/>
        <v>0</v>
      </c>
      <c r="O144" s="186">
        <f t="shared" si="131"/>
        <v>0</v>
      </c>
      <c r="P144" s="186">
        <f t="shared" si="131"/>
        <v>0</v>
      </c>
      <c r="Q144" s="190">
        <f>SUM(G144:P144)</f>
        <v>0</v>
      </c>
    </row>
    <row r="145" spans="2:17" s="119" customFormat="1" ht="19.5" hidden="1" thickBot="1" x14ac:dyDescent="0.3">
      <c r="B145" s="310"/>
      <c r="C145" s="119">
        <f t="shared" si="129"/>
        <v>0</v>
      </c>
      <c r="D145" s="110" t="s">
        <v>132</v>
      </c>
      <c r="E145" s="76" t="s">
        <v>56</v>
      </c>
      <c r="F145" s="191">
        <f t="shared" ref="F145:J147" si="132">+F7*$E$141</f>
        <v>0</v>
      </c>
      <c r="G145" s="192">
        <f t="shared" si="132"/>
        <v>0</v>
      </c>
      <c r="H145" s="192">
        <f t="shared" si="132"/>
        <v>0</v>
      </c>
      <c r="I145" s="192">
        <f t="shared" si="132"/>
        <v>0</v>
      </c>
      <c r="J145" s="192">
        <f t="shared" si="132"/>
        <v>0</v>
      </c>
      <c r="K145" s="192">
        <f t="shared" ref="K145:P145" si="133">+K7*$E$141</f>
        <v>0</v>
      </c>
      <c r="L145" s="192">
        <f t="shared" si="133"/>
        <v>0</v>
      </c>
      <c r="M145" s="192">
        <f t="shared" si="133"/>
        <v>0</v>
      </c>
      <c r="N145" s="192">
        <f t="shared" si="133"/>
        <v>0</v>
      </c>
      <c r="O145" s="192">
        <f t="shared" si="133"/>
        <v>0</v>
      </c>
      <c r="P145" s="192">
        <f t="shared" si="133"/>
        <v>0</v>
      </c>
      <c r="Q145" s="190">
        <f>SUM(G145:P145)</f>
        <v>0</v>
      </c>
    </row>
    <row r="146" spans="2:17" s="119" customFormat="1" ht="19.5" hidden="1" thickBot="1" x14ac:dyDescent="0.3">
      <c r="B146" s="310"/>
      <c r="C146" s="119">
        <f t="shared" si="129"/>
        <v>0</v>
      </c>
      <c r="D146" s="109" t="s">
        <v>91</v>
      </c>
      <c r="E146" s="76" t="s">
        <v>55</v>
      </c>
      <c r="F146" s="191">
        <f t="shared" si="132"/>
        <v>0</v>
      </c>
      <c r="G146" s="192">
        <f t="shared" si="132"/>
        <v>0</v>
      </c>
      <c r="H146" s="192">
        <f t="shared" si="132"/>
        <v>0</v>
      </c>
      <c r="I146" s="192">
        <f t="shared" si="132"/>
        <v>0</v>
      </c>
      <c r="J146" s="192">
        <f t="shared" si="132"/>
        <v>0</v>
      </c>
      <c r="K146" s="192">
        <f t="shared" ref="K146:P146" si="134">+K8*$E$141</f>
        <v>0</v>
      </c>
      <c r="L146" s="192">
        <f t="shared" si="134"/>
        <v>0</v>
      </c>
      <c r="M146" s="192">
        <f t="shared" si="134"/>
        <v>0</v>
      </c>
      <c r="N146" s="192">
        <f t="shared" si="134"/>
        <v>0</v>
      </c>
      <c r="O146" s="192">
        <f t="shared" si="134"/>
        <v>0</v>
      </c>
      <c r="P146" s="192">
        <f t="shared" si="134"/>
        <v>0</v>
      </c>
      <c r="Q146" s="190">
        <f>SUM(G146:P146)</f>
        <v>0</v>
      </c>
    </row>
    <row r="147" spans="2:17" s="119" customFormat="1" ht="19.5" hidden="1" thickBot="1" x14ac:dyDescent="0.3">
      <c r="B147" s="310"/>
      <c r="C147" s="119">
        <f t="shared" si="129"/>
        <v>0</v>
      </c>
      <c r="D147" s="130" t="s">
        <v>117</v>
      </c>
      <c r="E147" s="76" t="s">
        <v>54</v>
      </c>
      <c r="F147" s="191">
        <f t="shared" si="132"/>
        <v>0</v>
      </c>
      <c r="G147" s="184">
        <f t="shared" si="132"/>
        <v>0</v>
      </c>
      <c r="H147" s="184">
        <f t="shared" si="132"/>
        <v>0</v>
      </c>
      <c r="I147" s="184">
        <f t="shared" si="132"/>
        <v>0</v>
      </c>
      <c r="J147" s="184">
        <f t="shared" si="132"/>
        <v>0</v>
      </c>
      <c r="K147" s="184">
        <f t="shared" ref="K147:P147" si="135">+K9*$E$141</f>
        <v>0</v>
      </c>
      <c r="L147" s="184">
        <f t="shared" si="135"/>
        <v>0</v>
      </c>
      <c r="M147" s="184">
        <f t="shared" si="135"/>
        <v>0</v>
      </c>
      <c r="N147" s="184">
        <f t="shared" si="135"/>
        <v>0</v>
      </c>
      <c r="O147" s="184">
        <f t="shared" si="135"/>
        <v>0</v>
      </c>
      <c r="P147" s="184">
        <f t="shared" si="135"/>
        <v>0</v>
      </c>
      <c r="Q147" s="190">
        <f>SUM(G147:P147)</f>
        <v>0</v>
      </c>
    </row>
    <row r="148" spans="2:17" s="119" customFormat="1" ht="19.5" hidden="1" thickBot="1" x14ac:dyDescent="0.3">
      <c r="B148" s="310"/>
      <c r="C148" s="119">
        <f t="shared" si="129"/>
        <v>0</v>
      </c>
      <c r="D148" s="112" t="s">
        <v>31</v>
      </c>
      <c r="E148" s="76"/>
      <c r="F148" s="167"/>
      <c r="G148" s="185"/>
      <c r="H148" s="185"/>
      <c r="I148" s="185"/>
      <c r="J148" s="185"/>
      <c r="K148" s="185"/>
      <c r="L148" s="185"/>
      <c r="M148" s="185"/>
      <c r="N148" s="185"/>
      <c r="O148" s="185"/>
      <c r="P148" s="185"/>
      <c r="Q148" s="171"/>
    </row>
    <row r="149" spans="2:17" s="119" customFormat="1" ht="19.5" hidden="1" thickBot="1" x14ac:dyDescent="0.35">
      <c r="B149" s="310"/>
      <c r="C149" s="119">
        <f t="shared" si="129"/>
        <v>0</v>
      </c>
      <c r="D149" s="125" t="s">
        <v>118</v>
      </c>
      <c r="E149" s="76" t="s">
        <v>53</v>
      </c>
      <c r="F149" s="168">
        <f t="shared" ref="F149:J155" si="136">+F11*$E$141</f>
        <v>0</v>
      </c>
      <c r="G149" s="186">
        <f t="shared" si="136"/>
        <v>0</v>
      </c>
      <c r="H149" s="186">
        <f t="shared" si="136"/>
        <v>0</v>
      </c>
      <c r="I149" s="186">
        <f t="shared" si="136"/>
        <v>0</v>
      </c>
      <c r="J149" s="186">
        <f t="shared" si="136"/>
        <v>0</v>
      </c>
      <c r="K149" s="186">
        <f t="shared" ref="K149:P149" si="137">+K11*$E$141</f>
        <v>0</v>
      </c>
      <c r="L149" s="186">
        <f t="shared" si="137"/>
        <v>0</v>
      </c>
      <c r="M149" s="186">
        <f t="shared" si="137"/>
        <v>0</v>
      </c>
      <c r="N149" s="186">
        <f t="shared" si="137"/>
        <v>0</v>
      </c>
      <c r="O149" s="186">
        <f t="shared" si="137"/>
        <v>0</v>
      </c>
      <c r="P149" s="186">
        <f t="shared" si="137"/>
        <v>0</v>
      </c>
      <c r="Q149" s="190">
        <f t="shared" ref="Q149:Q155" si="138">SUM(G149:P149)</f>
        <v>0</v>
      </c>
    </row>
    <row r="150" spans="2:17" s="119" customFormat="1" ht="19.5" hidden="1" thickBot="1" x14ac:dyDescent="0.35">
      <c r="B150" s="310"/>
      <c r="C150" s="119">
        <f t="shared" si="129"/>
        <v>0</v>
      </c>
      <c r="D150" s="125" t="s">
        <v>119</v>
      </c>
      <c r="E150" s="76" t="s">
        <v>52</v>
      </c>
      <c r="F150" s="168">
        <f t="shared" si="136"/>
        <v>0</v>
      </c>
      <c r="G150" s="186">
        <f t="shared" si="136"/>
        <v>0</v>
      </c>
      <c r="H150" s="186">
        <f t="shared" si="136"/>
        <v>0</v>
      </c>
      <c r="I150" s="186">
        <f t="shared" si="136"/>
        <v>0</v>
      </c>
      <c r="J150" s="186">
        <f t="shared" si="136"/>
        <v>0</v>
      </c>
      <c r="K150" s="186">
        <f t="shared" ref="K150:P150" si="139">+K12*$E$141</f>
        <v>0</v>
      </c>
      <c r="L150" s="186">
        <f t="shared" si="139"/>
        <v>0</v>
      </c>
      <c r="M150" s="186">
        <f t="shared" si="139"/>
        <v>0</v>
      </c>
      <c r="N150" s="186">
        <f t="shared" si="139"/>
        <v>0</v>
      </c>
      <c r="O150" s="186">
        <f t="shared" si="139"/>
        <v>0</v>
      </c>
      <c r="P150" s="186">
        <f t="shared" si="139"/>
        <v>0</v>
      </c>
      <c r="Q150" s="190">
        <f t="shared" si="138"/>
        <v>0</v>
      </c>
    </row>
    <row r="151" spans="2:17" s="119" customFormat="1" ht="19.5" hidden="1" thickBot="1" x14ac:dyDescent="0.35">
      <c r="B151" s="310"/>
      <c r="C151" s="119">
        <f t="shared" si="129"/>
        <v>0</v>
      </c>
      <c r="D151" s="125" t="s">
        <v>120</v>
      </c>
      <c r="E151" s="76" t="s">
        <v>51</v>
      </c>
      <c r="F151" s="168">
        <f t="shared" si="136"/>
        <v>0</v>
      </c>
      <c r="G151" s="186">
        <f t="shared" si="136"/>
        <v>0</v>
      </c>
      <c r="H151" s="186">
        <f t="shared" si="136"/>
        <v>0</v>
      </c>
      <c r="I151" s="186">
        <f t="shared" si="136"/>
        <v>0</v>
      </c>
      <c r="J151" s="186">
        <f t="shared" si="136"/>
        <v>0</v>
      </c>
      <c r="K151" s="186">
        <f t="shared" ref="K151:P151" si="140">+K13*$E$141</f>
        <v>0</v>
      </c>
      <c r="L151" s="186">
        <f t="shared" si="140"/>
        <v>0</v>
      </c>
      <c r="M151" s="186">
        <f t="shared" si="140"/>
        <v>0</v>
      </c>
      <c r="N151" s="186">
        <f t="shared" si="140"/>
        <v>0</v>
      </c>
      <c r="O151" s="186">
        <f t="shared" si="140"/>
        <v>0</v>
      </c>
      <c r="P151" s="186">
        <f t="shared" si="140"/>
        <v>0</v>
      </c>
      <c r="Q151" s="190">
        <f t="shared" si="138"/>
        <v>0</v>
      </c>
    </row>
    <row r="152" spans="2:17" s="119" customFormat="1" ht="19.5" hidden="1" thickBot="1" x14ac:dyDescent="0.35">
      <c r="B152" s="310"/>
      <c r="C152" s="119">
        <f t="shared" si="129"/>
        <v>0</v>
      </c>
      <c r="D152" s="125" t="s">
        <v>121</v>
      </c>
      <c r="E152" s="76" t="s">
        <v>50</v>
      </c>
      <c r="F152" s="168">
        <f t="shared" si="136"/>
        <v>0</v>
      </c>
      <c r="G152" s="186">
        <f t="shared" si="136"/>
        <v>0</v>
      </c>
      <c r="H152" s="186">
        <f t="shared" si="136"/>
        <v>0</v>
      </c>
      <c r="I152" s="186">
        <f t="shared" si="136"/>
        <v>0</v>
      </c>
      <c r="J152" s="186">
        <f t="shared" si="136"/>
        <v>0</v>
      </c>
      <c r="K152" s="186">
        <f t="shared" ref="K152:P152" si="141">+K14*$E$141</f>
        <v>0</v>
      </c>
      <c r="L152" s="186">
        <f t="shared" si="141"/>
        <v>0</v>
      </c>
      <c r="M152" s="186">
        <f t="shared" si="141"/>
        <v>0</v>
      </c>
      <c r="N152" s="186">
        <f t="shared" si="141"/>
        <v>0</v>
      </c>
      <c r="O152" s="186">
        <f t="shared" si="141"/>
        <v>0</v>
      </c>
      <c r="P152" s="186">
        <f t="shared" si="141"/>
        <v>0</v>
      </c>
      <c r="Q152" s="190">
        <f t="shared" si="138"/>
        <v>0</v>
      </c>
    </row>
    <row r="153" spans="2:17" s="119" customFormat="1" ht="19.5" hidden="1" thickBot="1" x14ac:dyDescent="0.35">
      <c r="B153" s="310"/>
      <c r="C153" s="119">
        <f t="shared" si="129"/>
        <v>0</v>
      </c>
      <c r="D153" s="125" t="s">
        <v>122</v>
      </c>
      <c r="E153" s="76" t="s">
        <v>49</v>
      </c>
      <c r="F153" s="168">
        <f t="shared" si="136"/>
        <v>0</v>
      </c>
      <c r="G153" s="186">
        <f t="shared" si="136"/>
        <v>0</v>
      </c>
      <c r="H153" s="186">
        <f t="shared" si="136"/>
        <v>0</v>
      </c>
      <c r="I153" s="186">
        <f t="shared" si="136"/>
        <v>0</v>
      </c>
      <c r="J153" s="186">
        <f t="shared" si="136"/>
        <v>0</v>
      </c>
      <c r="K153" s="186">
        <f t="shared" ref="K153:P153" si="142">+K15*$E$141</f>
        <v>0</v>
      </c>
      <c r="L153" s="186">
        <f t="shared" si="142"/>
        <v>0</v>
      </c>
      <c r="M153" s="186">
        <f t="shared" si="142"/>
        <v>0</v>
      </c>
      <c r="N153" s="186">
        <f t="shared" si="142"/>
        <v>0</v>
      </c>
      <c r="O153" s="186">
        <f t="shared" si="142"/>
        <v>0</v>
      </c>
      <c r="P153" s="186">
        <f t="shared" si="142"/>
        <v>0</v>
      </c>
      <c r="Q153" s="190">
        <f t="shared" si="138"/>
        <v>0</v>
      </c>
    </row>
    <row r="154" spans="2:17" s="119" customFormat="1" ht="19.5" hidden="1" thickBot="1" x14ac:dyDescent="0.35">
      <c r="B154" s="310"/>
      <c r="C154" s="119">
        <f t="shared" si="129"/>
        <v>0</v>
      </c>
      <c r="D154" s="125" t="s">
        <v>123</v>
      </c>
      <c r="E154" s="76" t="s">
        <v>47</v>
      </c>
      <c r="F154" s="168">
        <f t="shared" si="136"/>
        <v>0</v>
      </c>
      <c r="G154" s="186">
        <f t="shared" si="136"/>
        <v>0</v>
      </c>
      <c r="H154" s="186">
        <f t="shared" si="136"/>
        <v>0</v>
      </c>
      <c r="I154" s="186">
        <f t="shared" si="136"/>
        <v>0</v>
      </c>
      <c r="J154" s="186">
        <f t="shared" si="136"/>
        <v>0</v>
      </c>
      <c r="K154" s="186">
        <f t="shared" ref="K154:P154" si="143">+K16*$E$141</f>
        <v>0</v>
      </c>
      <c r="L154" s="186">
        <f t="shared" si="143"/>
        <v>0</v>
      </c>
      <c r="M154" s="186">
        <f t="shared" si="143"/>
        <v>0</v>
      </c>
      <c r="N154" s="186">
        <f t="shared" si="143"/>
        <v>0</v>
      </c>
      <c r="O154" s="186">
        <f t="shared" si="143"/>
        <v>0</v>
      </c>
      <c r="P154" s="186">
        <f t="shared" si="143"/>
        <v>0</v>
      </c>
      <c r="Q154" s="190">
        <f t="shared" si="138"/>
        <v>0</v>
      </c>
    </row>
    <row r="155" spans="2:17" s="119" customFormat="1" ht="19.5" hidden="1" thickBot="1" x14ac:dyDescent="0.35">
      <c r="B155" s="310"/>
      <c r="C155" s="119">
        <f t="shared" si="129"/>
        <v>0</v>
      </c>
      <c r="D155" s="125" t="s">
        <v>16</v>
      </c>
      <c r="E155" s="70" t="s">
        <v>77</v>
      </c>
      <c r="F155" s="168">
        <f t="shared" si="136"/>
        <v>0</v>
      </c>
      <c r="G155" s="186">
        <f t="shared" si="136"/>
        <v>0</v>
      </c>
      <c r="H155" s="186">
        <f t="shared" si="136"/>
        <v>0</v>
      </c>
      <c r="I155" s="186">
        <f t="shared" si="136"/>
        <v>0</v>
      </c>
      <c r="J155" s="186">
        <f t="shared" si="136"/>
        <v>0</v>
      </c>
      <c r="K155" s="186">
        <f t="shared" ref="K155:P155" si="144">+K17*$E$141</f>
        <v>0</v>
      </c>
      <c r="L155" s="186">
        <f t="shared" si="144"/>
        <v>0</v>
      </c>
      <c r="M155" s="186">
        <f t="shared" si="144"/>
        <v>0</v>
      </c>
      <c r="N155" s="186">
        <f t="shared" si="144"/>
        <v>0</v>
      </c>
      <c r="O155" s="186">
        <f t="shared" si="144"/>
        <v>0</v>
      </c>
      <c r="P155" s="186">
        <f t="shared" si="144"/>
        <v>0</v>
      </c>
      <c r="Q155" s="190">
        <f t="shared" si="138"/>
        <v>0</v>
      </c>
    </row>
    <row r="156" spans="2:17" s="119" customFormat="1" ht="19.5" hidden="1" thickBot="1" x14ac:dyDescent="0.3">
      <c r="B156" s="310"/>
      <c r="C156" s="119">
        <f t="shared" si="129"/>
        <v>0</v>
      </c>
      <c r="D156" s="131" t="s">
        <v>124</v>
      </c>
      <c r="E156" s="116" t="s">
        <v>78</v>
      </c>
      <c r="F156" s="169">
        <f t="shared" ref="F156:Q156" si="145">SUBTOTAL(9,F144:F155)</f>
        <v>0</v>
      </c>
      <c r="G156" s="170">
        <f t="shared" si="145"/>
        <v>0</v>
      </c>
      <c r="H156" s="170">
        <f t="shared" si="145"/>
        <v>0</v>
      </c>
      <c r="I156" s="170">
        <f t="shared" si="145"/>
        <v>0</v>
      </c>
      <c r="J156" s="170">
        <f t="shared" si="145"/>
        <v>0</v>
      </c>
      <c r="K156" s="170">
        <f t="shared" ref="K156:P156" si="146">SUBTOTAL(9,K144:K155)</f>
        <v>0</v>
      </c>
      <c r="L156" s="170">
        <f t="shared" si="146"/>
        <v>0</v>
      </c>
      <c r="M156" s="170">
        <f t="shared" si="146"/>
        <v>0</v>
      </c>
      <c r="N156" s="170">
        <f t="shared" si="146"/>
        <v>0</v>
      </c>
      <c r="O156" s="170">
        <f t="shared" si="146"/>
        <v>0</v>
      </c>
      <c r="P156" s="170">
        <f t="shared" si="146"/>
        <v>0</v>
      </c>
      <c r="Q156" s="170">
        <f t="shared" si="145"/>
        <v>0</v>
      </c>
    </row>
    <row r="157" spans="2:17" s="119" customFormat="1" ht="19.5" hidden="1" thickBot="1" x14ac:dyDescent="0.3">
      <c r="B157" s="310"/>
      <c r="D157" s="139"/>
      <c r="E157" s="140"/>
      <c r="F157" s="141"/>
      <c r="G157" s="141"/>
      <c r="H157" s="141"/>
      <c r="I157" s="142"/>
      <c r="J157" s="142"/>
      <c r="K157" s="142"/>
      <c r="L157" s="142"/>
      <c r="M157" s="142"/>
      <c r="N157" s="142"/>
      <c r="O157" s="142"/>
      <c r="P157" s="142"/>
      <c r="Q157" s="142"/>
    </row>
    <row r="158" spans="2:17" s="119" customFormat="1" ht="45.75" hidden="1" thickBot="1" x14ac:dyDescent="0.3">
      <c r="B158" s="310"/>
      <c r="C158" s="119">
        <f>IF(E158&gt;0,1,0)</f>
        <v>0</v>
      </c>
      <c r="D158" s="96" t="str">
        <f>+A12</f>
        <v>Chenango</v>
      </c>
      <c r="E158" s="166">
        <f>+SUMIF(A:A,D158,B:B)</f>
        <v>0</v>
      </c>
      <c r="F158" s="98" t="s">
        <v>97</v>
      </c>
      <c r="G158" s="98" t="s">
        <v>126</v>
      </c>
      <c r="H158" s="98" t="s">
        <v>127</v>
      </c>
      <c r="I158" s="99" t="s">
        <v>128</v>
      </c>
      <c r="J158" s="99" t="s">
        <v>131</v>
      </c>
      <c r="K158" s="560" t="s">
        <v>474</v>
      </c>
      <c r="L158" s="560" t="s">
        <v>475</v>
      </c>
      <c r="M158" s="560" t="s">
        <v>476</v>
      </c>
      <c r="N158" s="560" t="s">
        <v>477</v>
      </c>
      <c r="O158" s="560" t="s">
        <v>478</v>
      </c>
      <c r="P158" s="560" t="s">
        <v>479</v>
      </c>
      <c r="Q158" s="99" t="s">
        <v>129</v>
      </c>
    </row>
    <row r="159" spans="2:17" s="119" customFormat="1" ht="19.5" hidden="1" thickBot="1" x14ac:dyDescent="0.3">
      <c r="B159" s="310"/>
      <c r="C159" s="119">
        <f>C158</f>
        <v>0</v>
      </c>
      <c r="D159" s="127"/>
      <c r="E159" s="128"/>
      <c r="F159" s="84" t="s">
        <v>57</v>
      </c>
      <c r="G159" s="84" t="s">
        <v>56</v>
      </c>
      <c r="H159" s="84" t="s">
        <v>55</v>
      </c>
      <c r="I159" s="84" t="s">
        <v>54</v>
      </c>
      <c r="J159" s="129" t="s">
        <v>53</v>
      </c>
      <c r="K159" s="129" t="s">
        <v>52</v>
      </c>
      <c r="L159" s="129" t="s">
        <v>51</v>
      </c>
      <c r="M159" s="129" t="s">
        <v>50</v>
      </c>
      <c r="N159" s="129" t="s">
        <v>49</v>
      </c>
      <c r="O159" s="129" t="s">
        <v>47</v>
      </c>
      <c r="P159" s="129" t="s">
        <v>77</v>
      </c>
      <c r="Q159" s="129" t="s">
        <v>78</v>
      </c>
    </row>
    <row r="160" spans="2:17" s="119" customFormat="1" ht="19.5" hidden="1" thickBot="1" x14ac:dyDescent="0.3">
      <c r="B160" s="310"/>
      <c r="C160" s="119">
        <f>C159</f>
        <v>0</v>
      </c>
      <c r="D160" s="133" t="s">
        <v>26</v>
      </c>
      <c r="E160" s="134"/>
      <c r="F160" s="135"/>
      <c r="G160" s="135"/>
      <c r="H160" s="136"/>
      <c r="I160" s="136"/>
      <c r="J160" s="137"/>
      <c r="K160" s="137"/>
      <c r="L160" s="137"/>
      <c r="M160" s="137"/>
      <c r="N160" s="137"/>
      <c r="O160" s="137"/>
      <c r="P160" s="137"/>
      <c r="Q160" s="138"/>
    </row>
    <row r="161" spans="2:17" s="119" customFormat="1" ht="19.5" hidden="1" thickBot="1" x14ac:dyDescent="0.3">
      <c r="B161" s="310"/>
      <c r="C161" s="119">
        <f t="shared" ref="C161:C173" si="147">C160</f>
        <v>0</v>
      </c>
      <c r="D161" s="109" t="s">
        <v>93</v>
      </c>
      <c r="E161" s="76" t="s">
        <v>57</v>
      </c>
      <c r="F161" s="168">
        <f>+F6*$E$158</f>
        <v>0</v>
      </c>
      <c r="G161" s="186">
        <f t="shared" ref="G161:J161" si="148">+G6*$E$158</f>
        <v>0</v>
      </c>
      <c r="H161" s="186">
        <f t="shared" si="148"/>
        <v>0</v>
      </c>
      <c r="I161" s="186">
        <f t="shared" si="148"/>
        <v>0</v>
      </c>
      <c r="J161" s="186">
        <f t="shared" si="148"/>
        <v>0</v>
      </c>
      <c r="K161" s="186">
        <f t="shared" ref="K161:P161" si="149">+K6*$E$158</f>
        <v>0</v>
      </c>
      <c r="L161" s="186">
        <f t="shared" si="149"/>
        <v>0</v>
      </c>
      <c r="M161" s="186">
        <f t="shared" si="149"/>
        <v>0</v>
      </c>
      <c r="N161" s="186">
        <f t="shared" si="149"/>
        <v>0</v>
      </c>
      <c r="O161" s="186">
        <f t="shared" si="149"/>
        <v>0</v>
      </c>
      <c r="P161" s="186">
        <f t="shared" si="149"/>
        <v>0</v>
      </c>
      <c r="Q161" s="190">
        <f>SUM(G161:P161)</f>
        <v>0</v>
      </c>
    </row>
    <row r="162" spans="2:17" s="119" customFormat="1" ht="19.5" hidden="1" thickBot="1" x14ac:dyDescent="0.3">
      <c r="B162" s="310"/>
      <c r="C162" s="119">
        <f t="shared" si="147"/>
        <v>0</v>
      </c>
      <c r="D162" s="110" t="s">
        <v>132</v>
      </c>
      <c r="E162" s="76" t="s">
        <v>56</v>
      </c>
      <c r="F162" s="191">
        <f t="shared" ref="F162:J164" si="150">+F7*$E$158</f>
        <v>0</v>
      </c>
      <c r="G162" s="192">
        <f t="shared" si="150"/>
        <v>0</v>
      </c>
      <c r="H162" s="192">
        <f t="shared" si="150"/>
        <v>0</v>
      </c>
      <c r="I162" s="192">
        <f t="shared" si="150"/>
        <v>0</v>
      </c>
      <c r="J162" s="192">
        <f t="shared" si="150"/>
        <v>0</v>
      </c>
      <c r="K162" s="192">
        <f t="shared" ref="K162:P162" si="151">+K7*$E$158</f>
        <v>0</v>
      </c>
      <c r="L162" s="192">
        <f t="shared" si="151"/>
        <v>0</v>
      </c>
      <c r="M162" s="192">
        <f t="shared" si="151"/>
        <v>0</v>
      </c>
      <c r="N162" s="192">
        <f t="shared" si="151"/>
        <v>0</v>
      </c>
      <c r="O162" s="192">
        <f t="shared" si="151"/>
        <v>0</v>
      </c>
      <c r="P162" s="192">
        <f t="shared" si="151"/>
        <v>0</v>
      </c>
      <c r="Q162" s="190">
        <f>SUM(G162:P162)</f>
        <v>0</v>
      </c>
    </row>
    <row r="163" spans="2:17" s="119" customFormat="1" ht="19.5" hidden="1" thickBot="1" x14ac:dyDescent="0.3">
      <c r="B163" s="310"/>
      <c r="C163" s="119">
        <f t="shared" si="147"/>
        <v>0</v>
      </c>
      <c r="D163" s="109" t="s">
        <v>91</v>
      </c>
      <c r="E163" s="76" t="s">
        <v>55</v>
      </c>
      <c r="F163" s="191">
        <f t="shared" si="150"/>
        <v>0</v>
      </c>
      <c r="G163" s="192">
        <f t="shared" si="150"/>
        <v>0</v>
      </c>
      <c r="H163" s="192">
        <f t="shared" si="150"/>
        <v>0</v>
      </c>
      <c r="I163" s="192">
        <f t="shared" si="150"/>
        <v>0</v>
      </c>
      <c r="J163" s="192">
        <f t="shared" si="150"/>
        <v>0</v>
      </c>
      <c r="K163" s="192">
        <f t="shared" ref="K163:P163" si="152">+K8*$E$158</f>
        <v>0</v>
      </c>
      <c r="L163" s="192">
        <f t="shared" si="152"/>
        <v>0</v>
      </c>
      <c r="M163" s="192">
        <f t="shared" si="152"/>
        <v>0</v>
      </c>
      <c r="N163" s="192">
        <f t="shared" si="152"/>
        <v>0</v>
      </c>
      <c r="O163" s="192">
        <f t="shared" si="152"/>
        <v>0</v>
      </c>
      <c r="P163" s="192">
        <f t="shared" si="152"/>
        <v>0</v>
      </c>
      <c r="Q163" s="190">
        <f>SUM(G163:P163)</f>
        <v>0</v>
      </c>
    </row>
    <row r="164" spans="2:17" s="119" customFormat="1" ht="19.5" hidden="1" thickBot="1" x14ac:dyDescent="0.3">
      <c r="B164" s="310"/>
      <c r="C164" s="119">
        <f t="shared" si="147"/>
        <v>0</v>
      </c>
      <c r="D164" s="130" t="s">
        <v>117</v>
      </c>
      <c r="E164" s="76" t="s">
        <v>54</v>
      </c>
      <c r="F164" s="191">
        <f t="shared" si="150"/>
        <v>0</v>
      </c>
      <c r="G164" s="184">
        <f t="shared" si="150"/>
        <v>0</v>
      </c>
      <c r="H164" s="184">
        <f t="shared" si="150"/>
        <v>0</v>
      </c>
      <c r="I164" s="184">
        <f t="shared" si="150"/>
        <v>0</v>
      </c>
      <c r="J164" s="184">
        <f t="shared" si="150"/>
        <v>0</v>
      </c>
      <c r="K164" s="184">
        <f t="shared" ref="K164:P164" si="153">+K9*$E$158</f>
        <v>0</v>
      </c>
      <c r="L164" s="184">
        <f t="shared" si="153"/>
        <v>0</v>
      </c>
      <c r="M164" s="184">
        <f t="shared" si="153"/>
        <v>0</v>
      </c>
      <c r="N164" s="184">
        <f t="shared" si="153"/>
        <v>0</v>
      </c>
      <c r="O164" s="184">
        <f t="shared" si="153"/>
        <v>0</v>
      </c>
      <c r="P164" s="184">
        <f t="shared" si="153"/>
        <v>0</v>
      </c>
      <c r="Q164" s="190">
        <f>SUM(G164:P164)</f>
        <v>0</v>
      </c>
    </row>
    <row r="165" spans="2:17" s="119" customFormat="1" ht="19.5" hidden="1" thickBot="1" x14ac:dyDescent="0.3">
      <c r="B165" s="310"/>
      <c r="C165" s="119">
        <f t="shared" si="147"/>
        <v>0</v>
      </c>
      <c r="D165" s="112" t="s">
        <v>31</v>
      </c>
      <c r="E165" s="76"/>
      <c r="F165" s="167"/>
      <c r="G165" s="185"/>
      <c r="H165" s="185"/>
      <c r="I165" s="185"/>
      <c r="J165" s="185"/>
      <c r="K165" s="185"/>
      <c r="L165" s="185"/>
      <c r="M165" s="185"/>
      <c r="N165" s="185"/>
      <c r="O165" s="185"/>
      <c r="P165" s="185"/>
      <c r="Q165" s="171"/>
    </row>
    <row r="166" spans="2:17" s="119" customFormat="1" ht="19.5" hidden="1" thickBot="1" x14ac:dyDescent="0.35">
      <c r="B166" s="310"/>
      <c r="C166" s="119">
        <f t="shared" si="147"/>
        <v>0</v>
      </c>
      <c r="D166" s="125" t="s">
        <v>118</v>
      </c>
      <c r="E166" s="76" t="s">
        <v>53</v>
      </c>
      <c r="F166" s="168">
        <f t="shared" ref="F166:J172" si="154">+F11*$E$158</f>
        <v>0</v>
      </c>
      <c r="G166" s="186">
        <f t="shared" si="154"/>
        <v>0</v>
      </c>
      <c r="H166" s="186">
        <f t="shared" si="154"/>
        <v>0</v>
      </c>
      <c r="I166" s="186">
        <f t="shared" si="154"/>
        <v>0</v>
      </c>
      <c r="J166" s="186">
        <f t="shared" si="154"/>
        <v>0</v>
      </c>
      <c r="K166" s="186">
        <f t="shared" ref="K166:P166" si="155">+K11*$E$158</f>
        <v>0</v>
      </c>
      <c r="L166" s="186">
        <f t="shared" si="155"/>
        <v>0</v>
      </c>
      <c r="M166" s="186">
        <f t="shared" si="155"/>
        <v>0</v>
      </c>
      <c r="N166" s="186">
        <f t="shared" si="155"/>
        <v>0</v>
      </c>
      <c r="O166" s="186">
        <f t="shared" si="155"/>
        <v>0</v>
      </c>
      <c r="P166" s="186">
        <f t="shared" si="155"/>
        <v>0</v>
      </c>
      <c r="Q166" s="190">
        <f t="shared" ref="Q166:Q172" si="156">SUM(G166:P166)</f>
        <v>0</v>
      </c>
    </row>
    <row r="167" spans="2:17" s="119" customFormat="1" ht="19.5" hidden="1" thickBot="1" x14ac:dyDescent="0.35">
      <c r="B167" s="310"/>
      <c r="C167" s="119">
        <f t="shared" si="147"/>
        <v>0</v>
      </c>
      <c r="D167" s="125" t="s">
        <v>119</v>
      </c>
      <c r="E167" s="76" t="s">
        <v>52</v>
      </c>
      <c r="F167" s="168">
        <f t="shared" si="154"/>
        <v>0</v>
      </c>
      <c r="G167" s="186">
        <f t="shared" si="154"/>
        <v>0</v>
      </c>
      <c r="H167" s="186">
        <f t="shared" si="154"/>
        <v>0</v>
      </c>
      <c r="I167" s="186">
        <f t="shared" si="154"/>
        <v>0</v>
      </c>
      <c r="J167" s="186">
        <f t="shared" si="154"/>
        <v>0</v>
      </c>
      <c r="K167" s="186">
        <f t="shared" ref="K167:P167" si="157">+K12*$E$158</f>
        <v>0</v>
      </c>
      <c r="L167" s="186">
        <f t="shared" si="157"/>
        <v>0</v>
      </c>
      <c r="M167" s="186">
        <f t="shared" si="157"/>
        <v>0</v>
      </c>
      <c r="N167" s="186">
        <f t="shared" si="157"/>
        <v>0</v>
      </c>
      <c r="O167" s="186">
        <f t="shared" si="157"/>
        <v>0</v>
      </c>
      <c r="P167" s="186">
        <f t="shared" si="157"/>
        <v>0</v>
      </c>
      <c r="Q167" s="190">
        <f t="shared" si="156"/>
        <v>0</v>
      </c>
    </row>
    <row r="168" spans="2:17" s="119" customFormat="1" ht="19.5" hidden="1" thickBot="1" x14ac:dyDescent="0.35">
      <c r="B168" s="310"/>
      <c r="C168" s="119">
        <f t="shared" si="147"/>
        <v>0</v>
      </c>
      <c r="D168" s="125" t="s">
        <v>120</v>
      </c>
      <c r="E168" s="76" t="s">
        <v>51</v>
      </c>
      <c r="F168" s="168">
        <f t="shared" si="154"/>
        <v>0</v>
      </c>
      <c r="G168" s="186">
        <f t="shared" si="154"/>
        <v>0</v>
      </c>
      <c r="H168" s="186">
        <f t="shared" si="154"/>
        <v>0</v>
      </c>
      <c r="I168" s="186">
        <f t="shared" si="154"/>
        <v>0</v>
      </c>
      <c r="J168" s="186">
        <f t="shared" si="154"/>
        <v>0</v>
      </c>
      <c r="K168" s="186">
        <f t="shared" ref="K168:P168" si="158">+K13*$E$158</f>
        <v>0</v>
      </c>
      <c r="L168" s="186">
        <f t="shared" si="158"/>
        <v>0</v>
      </c>
      <c r="M168" s="186">
        <f t="shared" si="158"/>
        <v>0</v>
      </c>
      <c r="N168" s="186">
        <f t="shared" si="158"/>
        <v>0</v>
      </c>
      <c r="O168" s="186">
        <f t="shared" si="158"/>
        <v>0</v>
      </c>
      <c r="P168" s="186">
        <f t="shared" si="158"/>
        <v>0</v>
      </c>
      <c r="Q168" s="190">
        <f t="shared" si="156"/>
        <v>0</v>
      </c>
    </row>
    <row r="169" spans="2:17" s="119" customFormat="1" ht="19.5" hidden="1" thickBot="1" x14ac:dyDescent="0.35">
      <c r="B169" s="310"/>
      <c r="C169" s="119">
        <f t="shared" si="147"/>
        <v>0</v>
      </c>
      <c r="D169" s="125" t="s">
        <v>121</v>
      </c>
      <c r="E169" s="76" t="s">
        <v>50</v>
      </c>
      <c r="F169" s="168">
        <f t="shared" si="154"/>
        <v>0</v>
      </c>
      <c r="G169" s="186">
        <f t="shared" si="154"/>
        <v>0</v>
      </c>
      <c r="H169" s="186">
        <f t="shared" si="154"/>
        <v>0</v>
      </c>
      <c r="I169" s="186">
        <f t="shared" si="154"/>
        <v>0</v>
      </c>
      <c r="J169" s="186">
        <f t="shared" si="154"/>
        <v>0</v>
      </c>
      <c r="K169" s="186">
        <f t="shared" ref="K169:P169" si="159">+K14*$E$158</f>
        <v>0</v>
      </c>
      <c r="L169" s="186">
        <f t="shared" si="159"/>
        <v>0</v>
      </c>
      <c r="M169" s="186">
        <f t="shared" si="159"/>
        <v>0</v>
      </c>
      <c r="N169" s="186">
        <f t="shared" si="159"/>
        <v>0</v>
      </c>
      <c r="O169" s="186">
        <f t="shared" si="159"/>
        <v>0</v>
      </c>
      <c r="P169" s="186">
        <f t="shared" si="159"/>
        <v>0</v>
      </c>
      <c r="Q169" s="190">
        <f t="shared" si="156"/>
        <v>0</v>
      </c>
    </row>
    <row r="170" spans="2:17" s="119" customFormat="1" ht="19.5" hidden="1" thickBot="1" x14ac:dyDescent="0.35">
      <c r="B170" s="310"/>
      <c r="C170" s="119">
        <f t="shared" si="147"/>
        <v>0</v>
      </c>
      <c r="D170" s="125" t="s">
        <v>122</v>
      </c>
      <c r="E170" s="76" t="s">
        <v>49</v>
      </c>
      <c r="F170" s="168">
        <f t="shared" si="154"/>
        <v>0</v>
      </c>
      <c r="G170" s="186">
        <f t="shared" si="154"/>
        <v>0</v>
      </c>
      <c r="H170" s="186">
        <f t="shared" si="154"/>
        <v>0</v>
      </c>
      <c r="I170" s="186">
        <f t="shared" si="154"/>
        <v>0</v>
      </c>
      <c r="J170" s="186">
        <f t="shared" si="154"/>
        <v>0</v>
      </c>
      <c r="K170" s="186">
        <f t="shared" ref="K170:P170" si="160">+K15*$E$158</f>
        <v>0</v>
      </c>
      <c r="L170" s="186">
        <f t="shared" si="160"/>
        <v>0</v>
      </c>
      <c r="M170" s="186">
        <f t="shared" si="160"/>
        <v>0</v>
      </c>
      <c r="N170" s="186">
        <f t="shared" si="160"/>
        <v>0</v>
      </c>
      <c r="O170" s="186">
        <f t="shared" si="160"/>
        <v>0</v>
      </c>
      <c r="P170" s="186">
        <f t="shared" si="160"/>
        <v>0</v>
      </c>
      <c r="Q170" s="190">
        <f t="shared" si="156"/>
        <v>0</v>
      </c>
    </row>
    <row r="171" spans="2:17" s="119" customFormat="1" ht="19.5" hidden="1" thickBot="1" x14ac:dyDescent="0.35">
      <c r="B171" s="310"/>
      <c r="C171" s="119">
        <f t="shared" si="147"/>
        <v>0</v>
      </c>
      <c r="D171" s="125" t="s">
        <v>123</v>
      </c>
      <c r="E171" s="76" t="s">
        <v>47</v>
      </c>
      <c r="F171" s="168">
        <f t="shared" si="154"/>
        <v>0</v>
      </c>
      <c r="G171" s="186">
        <f t="shared" si="154"/>
        <v>0</v>
      </c>
      <c r="H171" s="186">
        <f t="shared" si="154"/>
        <v>0</v>
      </c>
      <c r="I171" s="186">
        <f t="shared" si="154"/>
        <v>0</v>
      </c>
      <c r="J171" s="186">
        <f t="shared" si="154"/>
        <v>0</v>
      </c>
      <c r="K171" s="186">
        <f t="shared" ref="K171:P171" si="161">+K16*$E$158</f>
        <v>0</v>
      </c>
      <c r="L171" s="186">
        <f t="shared" si="161"/>
        <v>0</v>
      </c>
      <c r="M171" s="186">
        <f t="shared" si="161"/>
        <v>0</v>
      </c>
      <c r="N171" s="186">
        <f t="shared" si="161"/>
        <v>0</v>
      </c>
      <c r="O171" s="186">
        <f t="shared" si="161"/>
        <v>0</v>
      </c>
      <c r="P171" s="186">
        <f t="shared" si="161"/>
        <v>0</v>
      </c>
      <c r="Q171" s="190">
        <f t="shared" si="156"/>
        <v>0</v>
      </c>
    </row>
    <row r="172" spans="2:17" s="119" customFormat="1" ht="19.5" hidden="1" thickBot="1" x14ac:dyDescent="0.35">
      <c r="B172" s="310"/>
      <c r="C172" s="119">
        <f t="shared" si="147"/>
        <v>0</v>
      </c>
      <c r="D172" s="125" t="s">
        <v>16</v>
      </c>
      <c r="E172" s="70" t="s">
        <v>77</v>
      </c>
      <c r="F172" s="168">
        <f t="shared" si="154"/>
        <v>0</v>
      </c>
      <c r="G172" s="186">
        <f t="shared" si="154"/>
        <v>0</v>
      </c>
      <c r="H172" s="186">
        <f t="shared" si="154"/>
        <v>0</v>
      </c>
      <c r="I172" s="186">
        <f t="shared" si="154"/>
        <v>0</v>
      </c>
      <c r="J172" s="186">
        <f t="shared" si="154"/>
        <v>0</v>
      </c>
      <c r="K172" s="186">
        <f t="shared" ref="K172:P172" si="162">+K17*$E$158</f>
        <v>0</v>
      </c>
      <c r="L172" s="186">
        <f t="shared" si="162"/>
        <v>0</v>
      </c>
      <c r="M172" s="186">
        <f t="shared" si="162"/>
        <v>0</v>
      </c>
      <c r="N172" s="186">
        <f t="shared" si="162"/>
        <v>0</v>
      </c>
      <c r="O172" s="186">
        <f t="shared" si="162"/>
        <v>0</v>
      </c>
      <c r="P172" s="186">
        <f t="shared" si="162"/>
        <v>0</v>
      </c>
      <c r="Q172" s="190">
        <f t="shared" si="156"/>
        <v>0</v>
      </c>
    </row>
    <row r="173" spans="2:17" s="119" customFormat="1" ht="19.5" hidden="1" thickBot="1" x14ac:dyDescent="0.3">
      <c r="B173" s="310"/>
      <c r="C173" s="119">
        <f t="shared" si="147"/>
        <v>0</v>
      </c>
      <c r="D173" s="131" t="s">
        <v>124</v>
      </c>
      <c r="E173" s="116" t="s">
        <v>78</v>
      </c>
      <c r="F173" s="169">
        <f t="shared" ref="F173:Q173" si="163">SUBTOTAL(9,F161:F172)</f>
        <v>0</v>
      </c>
      <c r="G173" s="170">
        <f t="shared" si="163"/>
        <v>0</v>
      </c>
      <c r="H173" s="170">
        <f t="shared" si="163"/>
        <v>0</v>
      </c>
      <c r="I173" s="170">
        <f t="shared" si="163"/>
        <v>0</v>
      </c>
      <c r="J173" s="170">
        <f t="shared" si="163"/>
        <v>0</v>
      </c>
      <c r="K173" s="170">
        <f t="shared" ref="K173:P173" si="164">SUBTOTAL(9,K161:K172)</f>
        <v>0</v>
      </c>
      <c r="L173" s="170">
        <f t="shared" si="164"/>
        <v>0</v>
      </c>
      <c r="M173" s="170">
        <f t="shared" si="164"/>
        <v>0</v>
      </c>
      <c r="N173" s="170">
        <f t="shared" si="164"/>
        <v>0</v>
      </c>
      <c r="O173" s="170">
        <f t="shared" si="164"/>
        <v>0</v>
      </c>
      <c r="P173" s="170">
        <f t="shared" si="164"/>
        <v>0</v>
      </c>
      <c r="Q173" s="170">
        <f t="shared" si="163"/>
        <v>0</v>
      </c>
    </row>
    <row r="174" spans="2:17" s="119" customFormat="1" ht="19.5" hidden="1" thickBot="1" x14ac:dyDescent="0.3">
      <c r="B174" s="310"/>
      <c r="D174" s="139"/>
      <c r="E174" s="140"/>
      <c r="F174" s="141"/>
      <c r="G174" s="141"/>
      <c r="H174" s="141"/>
      <c r="I174" s="142"/>
      <c r="J174" s="142"/>
      <c r="K174" s="142"/>
      <c r="L174" s="142"/>
      <c r="M174" s="142"/>
      <c r="N174" s="142"/>
      <c r="O174" s="142"/>
      <c r="P174" s="142"/>
      <c r="Q174" s="142"/>
    </row>
    <row r="175" spans="2:17" s="119" customFormat="1" ht="45.75" hidden="1" thickBot="1" x14ac:dyDescent="0.3">
      <c r="B175" s="310"/>
      <c r="C175" s="119">
        <f>IF(E175&gt;0,1,0)</f>
        <v>0</v>
      </c>
      <c r="D175" s="96" t="str">
        <f>+A13</f>
        <v>Clinton</v>
      </c>
      <c r="E175" s="166">
        <f>+SUMIF(A:A,D175,B:B)</f>
        <v>0</v>
      </c>
      <c r="F175" s="98" t="s">
        <v>97</v>
      </c>
      <c r="G175" s="98" t="s">
        <v>126</v>
      </c>
      <c r="H175" s="98" t="s">
        <v>127</v>
      </c>
      <c r="I175" s="99" t="s">
        <v>128</v>
      </c>
      <c r="J175" s="99" t="s">
        <v>131</v>
      </c>
      <c r="K175" s="560" t="s">
        <v>474</v>
      </c>
      <c r="L175" s="560" t="s">
        <v>475</v>
      </c>
      <c r="M175" s="560" t="s">
        <v>476</v>
      </c>
      <c r="N175" s="560" t="s">
        <v>477</v>
      </c>
      <c r="O175" s="560" t="s">
        <v>478</v>
      </c>
      <c r="P175" s="560" t="s">
        <v>479</v>
      </c>
      <c r="Q175" s="99" t="s">
        <v>129</v>
      </c>
    </row>
    <row r="176" spans="2:17" s="119" customFormat="1" ht="19.5" hidden="1" thickBot="1" x14ac:dyDescent="0.3">
      <c r="B176" s="310"/>
      <c r="C176" s="119">
        <f>C175</f>
        <v>0</v>
      </c>
      <c r="D176" s="127"/>
      <c r="E176" s="128"/>
      <c r="F176" s="84" t="s">
        <v>57</v>
      </c>
      <c r="G176" s="84" t="s">
        <v>56</v>
      </c>
      <c r="H176" s="84" t="s">
        <v>55</v>
      </c>
      <c r="I176" s="84" t="s">
        <v>54</v>
      </c>
      <c r="J176" s="129" t="s">
        <v>53</v>
      </c>
      <c r="K176" s="129" t="s">
        <v>52</v>
      </c>
      <c r="L176" s="129" t="s">
        <v>51</v>
      </c>
      <c r="M176" s="129" t="s">
        <v>50</v>
      </c>
      <c r="N176" s="129" t="s">
        <v>49</v>
      </c>
      <c r="O176" s="129" t="s">
        <v>47</v>
      </c>
      <c r="P176" s="129" t="s">
        <v>77</v>
      </c>
      <c r="Q176" s="129" t="s">
        <v>78</v>
      </c>
    </row>
    <row r="177" spans="2:17" s="119" customFormat="1" ht="19.5" hidden="1" thickBot="1" x14ac:dyDescent="0.3">
      <c r="B177" s="310"/>
      <c r="C177" s="119">
        <f>C176</f>
        <v>0</v>
      </c>
      <c r="D177" s="133" t="s">
        <v>26</v>
      </c>
      <c r="E177" s="134"/>
      <c r="F177" s="135"/>
      <c r="G177" s="135"/>
      <c r="H177" s="136"/>
      <c r="I177" s="136"/>
      <c r="J177" s="137"/>
      <c r="K177" s="137"/>
      <c r="L177" s="137"/>
      <c r="M177" s="137"/>
      <c r="N177" s="137"/>
      <c r="O177" s="137"/>
      <c r="P177" s="137"/>
      <c r="Q177" s="138"/>
    </row>
    <row r="178" spans="2:17" s="119" customFormat="1" ht="19.5" hidden="1" thickBot="1" x14ac:dyDescent="0.3">
      <c r="B178" s="310"/>
      <c r="C178" s="119">
        <f t="shared" ref="C178:C190" si="165">C177</f>
        <v>0</v>
      </c>
      <c r="D178" s="109" t="s">
        <v>93</v>
      </c>
      <c r="E178" s="76" t="s">
        <v>57</v>
      </c>
      <c r="F178" s="168">
        <f>+F6*$E$175</f>
        <v>0</v>
      </c>
      <c r="G178" s="186">
        <f t="shared" ref="G178:J178" si="166">+G6*$E$175</f>
        <v>0</v>
      </c>
      <c r="H178" s="186">
        <f t="shared" si="166"/>
        <v>0</v>
      </c>
      <c r="I178" s="186">
        <f t="shared" si="166"/>
        <v>0</v>
      </c>
      <c r="J178" s="186">
        <f t="shared" si="166"/>
        <v>0</v>
      </c>
      <c r="K178" s="186">
        <f t="shared" ref="K178:P178" si="167">+K6*$E$175</f>
        <v>0</v>
      </c>
      <c r="L178" s="186">
        <f t="shared" si="167"/>
        <v>0</v>
      </c>
      <c r="M178" s="186">
        <f t="shared" si="167"/>
        <v>0</v>
      </c>
      <c r="N178" s="186">
        <f t="shared" si="167"/>
        <v>0</v>
      </c>
      <c r="O178" s="186">
        <f t="shared" si="167"/>
        <v>0</v>
      </c>
      <c r="P178" s="186">
        <f t="shared" si="167"/>
        <v>0</v>
      </c>
      <c r="Q178" s="190">
        <f>SUM(G178:P178)</f>
        <v>0</v>
      </c>
    </row>
    <row r="179" spans="2:17" s="119" customFormat="1" ht="19.5" hidden="1" thickBot="1" x14ac:dyDescent="0.3">
      <c r="B179" s="310"/>
      <c r="C179" s="119">
        <f t="shared" si="165"/>
        <v>0</v>
      </c>
      <c r="D179" s="110" t="s">
        <v>132</v>
      </c>
      <c r="E179" s="76" t="s">
        <v>56</v>
      </c>
      <c r="F179" s="191">
        <f t="shared" ref="F179:J181" si="168">+F7*$E$175</f>
        <v>0</v>
      </c>
      <c r="G179" s="192">
        <f t="shared" si="168"/>
        <v>0</v>
      </c>
      <c r="H179" s="192">
        <f t="shared" si="168"/>
        <v>0</v>
      </c>
      <c r="I179" s="192">
        <f t="shared" si="168"/>
        <v>0</v>
      </c>
      <c r="J179" s="192">
        <f t="shared" si="168"/>
        <v>0</v>
      </c>
      <c r="K179" s="192">
        <f t="shared" ref="K179:P179" si="169">+K7*$E$175</f>
        <v>0</v>
      </c>
      <c r="L179" s="192">
        <f t="shared" si="169"/>
        <v>0</v>
      </c>
      <c r="M179" s="192">
        <f t="shared" si="169"/>
        <v>0</v>
      </c>
      <c r="N179" s="192">
        <f t="shared" si="169"/>
        <v>0</v>
      </c>
      <c r="O179" s="192">
        <f t="shared" si="169"/>
        <v>0</v>
      </c>
      <c r="P179" s="192">
        <f t="shared" si="169"/>
        <v>0</v>
      </c>
      <c r="Q179" s="190">
        <f>SUM(G179:P179)</f>
        <v>0</v>
      </c>
    </row>
    <row r="180" spans="2:17" s="119" customFormat="1" ht="19.5" hidden="1" thickBot="1" x14ac:dyDescent="0.3">
      <c r="B180" s="310"/>
      <c r="C180" s="119">
        <f t="shared" si="165"/>
        <v>0</v>
      </c>
      <c r="D180" s="109" t="s">
        <v>91</v>
      </c>
      <c r="E180" s="76" t="s">
        <v>55</v>
      </c>
      <c r="F180" s="191">
        <f t="shared" si="168"/>
        <v>0</v>
      </c>
      <c r="G180" s="192">
        <f t="shared" si="168"/>
        <v>0</v>
      </c>
      <c r="H180" s="192">
        <f t="shared" si="168"/>
        <v>0</v>
      </c>
      <c r="I180" s="192">
        <f t="shared" si="168"/>
        <v>0</v>
      </c>
      <c r="J180" s="192">
        <f t="shared" si="168"/>
        <v>0</v>
      </c>
      <c r="K180" s="192">
        <f t="shared" ref="K180:P180" si="170">+K8*$E$175</f>
        <v>0</v>
      </c>
      <c r="L180" s="192">
        <f t="shared" si="170"/>
        <v>0</v>
      </c>
      <c r="M180" s="192">
        <f t="shared" si="170"/>
        <v>0</v>
      </c>
      <c r="N180" s="192">
        <f t="shared" si="170"/>
        <v>0</v>
      </c>
      <c r="O180" s="192">
        <f t="shared" si="170"/>
        <v>0</v>
      </c>
      <c r="P180" s="192">
        <f t="shared" si="170"/>
        <v>0</v>
      </c>
      <c r="Q180" s="190">
        <f>SUM(G180:P180)</f>
        <v>0</v>
      </c>
    </row>
    <row r="181" spans="2:17" s="119" customFormat="1" ht="19.5" hidden="1" thickBot="1" x14ac:dyDescent="0.3">
      <c r="B181" s="310"/>
      <c r="C181" s="119">
        <f t="shared" si="165"/>
        <v>0</v>
      </c>
      <c r="D181" s="130" t="s">
        <v>117</v>
      </c>
      <c r="E181" s="76" t="s">
        <v>54</v>
      </c>
      <c r="F181" s="191">
        <f t="shared" si="168"/>
        <v>0</v>
      </c>
      <c r="G181" s="184">
        <f t="shared" si="168"/>
        <v>0</v>
      </c>
      <c r="H181" s="184">
        <f t="shared" si="168"/>
        <v>0</v>
      </c>
      <c r="I181" s="184">
        <f t="shared" si="168"/>
        <v>0</v>
      </c>
      <c r="J181" s="184">
        <f t="shared" si="168"/>
        <v>0</v>
      </c>
      <c r="K181" s="184">
        <f t="shared" ref="K181:P181" si="171">+K9*$E$175</f>
        <v>0</v>
      </c>
      <c r="L181" s="184">
        <f t="shared" si="171"/>
        <v>0</v>
      </c>
      <c r="M181" s="184">
        <f t="shared" si="171"/>
        <v>0</v>
      </c>
      <c r="N181" s="184">
        <f t="shared" si="171"/>
        <v>0</v>
      </c>
      <c r="O181" s="184">
        <f t="shared" si="171"/>
        <v>0</v>
      </c>
      <c r="P181" s="184">
        <f t="shared" si="171"/>
        <v>0</v>
      </c>
      <c r="Q181" s="190">
        <f>SUM(G181:P181)</f>
        <v>0</v>
      </c>
    </row>
    <row r="182" spans="2:17" s="119" customFormat="1" ht="19.5" hidden="1" thickBot="1" x14ac:dyDescent="0.3">
      <c r="B182" s="310"/>
      <c r="C182" s="119">
        <f t="shared" si="165"/>
        <v>0</v>
      </c>
      <c r="D182" s="112" t="s">
        <v>31</v>
      </c>
      <c r="E182" s="76"/>
      <c r="F182" s="167"/>
      <c r="G182" s="185"/>
      <c r="H182" s="185"/>
      <c r="I182" s="185"/>
      <c r="J182" s="185"/>
      <c r="K182" s="185"/>
      <c r="L182" s="185"/>
      <c r="M182" s="185"/>
      <c r="N182" s="185"/>
      <c r="O182" s="185"/>
      <c r="P182" s="185"/>
      <c r="Q182" s="171"/>
    </row>
    <row r="183" spans="2:17" s="119" customFormat="1" ht="19.5" hidden="1" thickBot="1" x14ac:dyDescent="0.35">
      <c r="B183" s="310"/>
      <c r="C183" s="119">
        <f t="shared" si="165"/>
        <v>0</v>
      </c>
      <c r="D183" s="125" t="s">
        <v>118</v>
      </c>
      <c r="E183" s="76" t="s">
        <v>53</v>
      </c>
      <c r="F183" s="168">
        <f t="shared" ref="F183:J189" si="172">+F11*$E$175</f>
        <v>0</v>
      </c>
      <c r="G183" s="186">
        <f t="shared" si="172"/>
        <v>0</v>
      </c>
      <c r="H183" s="186">
        <f t="shared" si="172"/>
        <v>0</v>
      </c>
      <c r="I183" s="186">
        <f t="shared" si="172"/>
        <v>0</v>
      </c>
      <c r="J183" s="186">
        <f t="shared" si="172"/>
        <v>0</v>
      </c>
      <c r="K183" s="186">
        <f t="shared" ref="K183:P183" si="173">+K11*$E$175</f>
        <v>0</v>
      </c>
      <c r="L183" s="186">
        <f t="shared" si="173"/>
        <v>0</v>
      </c>
      <c r="M183" s="186">
        <f t="shared" si="173"/>
        <v>0</v>
      </c>
      <c r="N183" s="186">
        <f t="shared" si="173"/>
        <v>0</v>
      </c>
      <c r="O183" s="186">
        <f t="shared" si="173"/>
        <v>0</v>
      </c>
      <c r="P183" s="186">
        <f t="shared" si="173"/>
        <v>0</v>
      </c>
      <c r="Q183" s="190">
        <f t="shared" ref="Q183:Q189" si="174">SUM(G183:P183)</f>
        <v>0</v>
      </c>
    </row>
    <row r="184" spans="2:17" s="119" customFormat="1" ht="19.5" hidden="1" thickBot="1" x14ac:dyDescent="0.35">
      <c r="B184" s="310"/>
      <c r="C184" s="119">
        <f t="shared" si="165"/>
        <v>0</v>
      </c>
      <c r="D184" s="125" t="s">
        <v>119</v>
      </c>
      <c r="E184" s="76" t="s">
        <v>52</v>
      </c>
      <c r="F184" s="168">
        <f t="shared" si="172"/>
        <v>0</v>
      </c>
      <c r="G184" s="186">
        <f t="shared" si="172"/>
        <v>0</v>
      </c>
      <c r="H184" s="186">
        <f t="shared" si="172"/>
        <v>0</v>
      </c>
      <c r="I184" s="186">
        <f t="shared" si="172"/>
        <v>0</v>
      </c>
      <c r="J184" s="186">
        <f t="shared" si="172"/>
        <v>0</v>
      </c>
      <c r="K184" s="186">
        <f t="shared" ref="K184:P184" si="175">+K12*$E$175</f>
        <v>0</v>
      </c>
      <c r="L184" s="186">
        <f t="shared" si="175"/>
        <v>0</v>
      </c>
      <c r="M184" s="186">
        <f t="shared" si="175"/>
        <v>0</v>
      </c>
      <c r="N184" s="186">
        <f t="shared" si="175"/>
        <v>0</v>
      </c>
      <c r="O184" s="186">
        <f t="shared" si="175"/>
        <v>0</v>
      </c>
      <c r="P184" s="186">
        <f t="shared" si="175"/>
        <v>0</v>
      </c>
      <c r="Q184" s="190">
        <f t="shared" si="174"/>
        <v>0</v>
      </c>
    </row>
    <row r="185" spans="2:17" s="119" customFormat="1" ht="19.5" hidden="1" thickBot="1" x14ac:dyDescent="0.35">
      <c r="B185" s="310"/>
      <c r="C185" s="119">
        <f t="shared" si="165"/>
        <v>0</v>
      </c>
      <c r="D185" s="125" t="s">
        <v>120</v>
      </c>
      <c r="E185" s="76" t="s">
        <v>51</v>
      </c>
      <c r="F185" s="168">
        <f t="shared" si="172"/>
        <v>0</v>
      </c>
      <c r="G185" s="186">
        <f t="shared" si="172"/>
        <v>0</v>
      </c>
      <c r="H185" s="186">
        <f t="shared" si="172"/>
        <v>0</v>
      </c>
      <c r="I185" s="186">
        <f t="shared" si="172"/>
        <v>0</v>
      </c>
      <c r="J185" s="186">
        <f t="shared" si="172"/>
        <v>0</v>
      </c>
      <c r="K185" s="186">
        <f t="shared" ref="K185:P185" si="176">+K13*$E$175</f>
        <v>0</v>
      </c>
      <c r="L185" s="186">
        <f t="shared" si="176"/>
        <v>0</v>
      </c>
      <c r="M185" s="186">
        <f t="shared" si="176"/>
        <v>0</v>
      </c>
      <c r="N185" s="186">
        <f t="shared" si="176"/>
        <v>0</v>
      </c>
      <c r="O185" s="186">
        <f t="shared" si="176"/>
        <v>0</v>
      </c>
      <c r="P185" s="186">
        <f t="shared" si="176"/>
        <v>0</v>
      </c>
      <c r="Q185" s="190">
        <f t="shared" si="174"/>
        <v>0</v>
      </c>
    </row>
    <row r="186" spans="2:17" s="119" customFormat="1" ht="19.5" hidden="1" thickBot="1" x14ac:dyDescent="0.35">
      <c r="B186" s="310"/>
      <c r="C186" s="119">
        <f t="shared" si="165"/>
        <v>0</v>
      </c>
      <c r="D186" s="125" t="s">
        <v>121</v>
      </c>
      <c r="E186" s="76" t="s">
        <v>50</v>
      </c>
      <c r="F186" s="168">
        <f t="shared" si="172"/>
        <v>0</v>
      </c>
      <c r="G186" s="186">
        <f t="shared" si="172"/>
        <v>0</v>
      </c>
      <c r="H186" s="186">
        <f t="shared" si="172"/>
        <v>0</v>
      </c>
      <c r="I186" s="186">
        <f t="shared" si="172"/>
        <v>0</v>
      </c>
      <c r="J186" s="186">
        <f t="shared" si="172"/>
        <v>0</v>
      </c>
      <c r="K186" s="186">
        <f t="shared" ref="K186:P186" si="177">+K14*$E$175</f>
        <v>0</v>
      </c>
      <c r="L186" s="186">
        <f t="shared" si="177"/>
        <v>0</v>
      </c>
      <c r="M186" s="186">
        <f t="shared" si="177"/>
        <v>0</v>
      </c>
      <c r="N186" s="186">
        <f t="shared" si="177"/>
        <v>0</v>
      </c>
      <c r="O186" s="186">
        <f t="shared" si="177"/>
        <v>0</v>
      </c>
      <c r="P186" s="186">
        <f t="shared" si="177"/>
        <v>0</v>
      </c>
      <c r="Q186" s="190">
        <f t="shared" si="174"/>
        <v>0</v>
      </c>
    </row>
    <row r="187" spans="2:17" s="119" customFormat="1" ht="19.5" hidden="1" thickBot="1" x14ac:dyDescent="0.35">
      <c r="B187" s="310"/>
      <c r="C187" s="119">
        <f t="shared" si="165"/>
        <v>0</v>
      </c>
      <c r="D187" s="125" t="s">
        <v>122</v>
      </c>
      <c r="E187" s="76" t="s">
        <v>49</v>
      </c>
      <c r="F187" s="168">
        <f t="shared" si="172"/>
        <v>0</v>
      </c>
      <c r="G187" s="186">
        <f t="shared" si="172"/>
        <v>0</v>
      </c>
      <c r="H187" s="186">
        <f t="shared" si="172"/>
        <v>0</v>
      </c>
      <c r="I187" s="186">
        <f t="shared" si="172"/>
        <v>0</v>
      </c>
      <c r="J187" s="186">
        <f t="shared" si="172"/>
        <v>0</v>
      </c>
      <c r="K187" s="186">
        <f t="shared" ref="K187:P187" si="178">+K15*$E$175</f>
        <v>0</v>
      </c>
      <c r="L187" s="186">
        <f t="shared" si="178"/>
        <v>0</v>
      </c>
      <c r="M187" s="186">
        <f t="shared" si="178"/>
        <v>0</v>
      </c>
      <c r="N187" s="186">
        <f t="shared" si="178"/>
        <v>0</v>
      </c>
      <c r="O187" s="186">
        <f t="shared" si="178"/>
        <v>0</v>
      </c>
      <c r="P187" s="186">
        <f t="shared" si="178"/>
        <v>0</v>
      </c>
      <c r="Q187" s="190">
        <f t="shared" si="174"/>
        <v>0</v>
      </c>
    </row>
    <row r="188" spans="2:17" s="119" customFormat="1" ht="19.5" hidden="1" thickBot="1" x14ac:dyDescent="0.35">
      <c r="B188" s="310"/>
      <c r="C188" s="119">
        <f t="shared" si="165"/>
        <v>0</v>
      </c>
      <c r="D188" s="125" t="s">
        <v>123</v>
      </c>
      <c r="E188" s="76" t="s">
        <v>47</v>
      </c>
      <c r="F188" s="168">
        <f t="shared" si="172"/>
        <v>0</v>
      </c>
      <c r="G188" s="186">
        <f t="shared" si="172"/>
        <v>0</v>
      </c>
      <c r="H188" s="186">
        <f t="shared" si="172"/>
        <v>0</v>
      </c>
      <c r="I188" s="186">
        <f t="shared" si="172"/>
        <v>0</v>
      </c>
      <c r="J188" s="186">
        <f t="shared" si="172"/>
        <v>0</v>
      </c>
      <c r="K188" s="186">
        <f t="shared" ref="K188:P188" si="179">+K16*$E$175</f>
        <v>0</v>
      </c>
      <c r="L188" s="186">
        <f t="shared" si="179"/>
        <v>0</v>
      </c>
      <c r="M188" s="186">
        <f t="shared" si="179"/>
        <v>0</v>
      </c>
      <c r="N188" s="186">
        <f t="shared" si="179"/>
        <v>0</v>
      </c>
      <c r="O188" s="186">
        <f t="shared" si="179"/>
        <v>0</v>
      </c>
      <c r="P188" s="186">
        <f t="shared" si="179"/>
        <v>0</v>
      </c>
      <c r="Q188" s="190">
        <f t="shared" si="174"/>
        <v>0</v>
      </c>
    </row>
    <row r="189" spans="2:17" s="119" customFormat="1" ht="19.5" hidden="1" thickBot="1" x14ac:dyDescent="0.35">
      <c r="B189" s="310"/>
      <c r="C189" s="119">
        <f t="shared" si="165"/>
        <v>0</v>
      </c>
      <c r="D189" s="125" t="s">
        <v>16</v>
      </c>
      <c r="E189" s="70" t="s">
        <v>77</v>
      </c>
      <c r="F189" s="168">
        <f t="shared" si="172"/>
        <v>0</v>
      </c>
      <c r="G189" s="186">
        <f t="shared" si="172"/>
        <v>0</v>
      </c>
      <c r="H189" s="186">
        <f t="shared" si="172"/>
        <v>0</v>
      </c>
      <c r="I189" s="186">
        <f t="shared" si="172"/>
        <v>0</v>
      </c>
      <c r="J189" s="186">
        <f t="shared" si="172"/>
        <v>0</v>
      </c>
      <c r="K189" s="186">
        <f t="shared" ref="K189:P189" si="180">+K17*$E$175</f>
        <v>0</v>
      </c>
      <c r="L189" s="186">
        <f t="shared" si="180"/>
        <v>0</v>
      </c>
      <c r="M189" s="186">
        <f t="shared" si="180"/>
        <v>0</v>
      </c>
      <c r="N189" s="186">
        <f t="shared" si="180"/>
        <v>0</v>
      </c>
      <c r="O189" s="186">
        <f t="shared" si="180"/>
        <v>0</v>
      </c>
      <c r="P189" s="186">
        <f t="shared" si="180"/>
        <v>0</v>
      </c>
      <c r="Q189" s="190">
        <f t="shared" si="174"/>
        <v>0</v>
      </c>
    </row>
    <row r="190" spans="2:17" s="119" customFormat="1" ht="19.5" hidden="1" thickBot="1" x14ac:dyDescent="0.3">
      <c r="B190" s="310"/>
      <c r="C190" s="119">
        <f t="shared" si="165"/>
        <v>0</v>
      </c>
      <c r="D190" s="131" t="s">
        <v>124</v>
      </c>
      <c r="E190" s="116" t="s">
        <v>78</v>
      </c>
      <c r="F190" s="169">
        <f t="shared" ref="F190:Q190" si="181">SUBTOTAL(9,F178:F189)</f>
        <v>0</v>
      </c>
      <c r="G190" s="170">
        <f t="shared" si="181"/>
        <v>0</v>
      </c>
      <c r="H190" s="170">
        <f t="shared" si="181"/>
        <v>0</v>
      </c>
      <c r="I190" s="170">
        <f t="shared" si="181"/>
        <v>0</v>
      </c>
      <c r="J190" s="170">
        <f t="shared" si="181"/>
        <v>0</v>
      </c>
      <c r="K190" s="170">
        <f t="shared" ref="K190:P190" si="182">SUBTOTAL(9,K178:K189)</f>
        <v>0</v>
      </c>
      <c r="L190" s="170">
        <f t="shared" si="182"/>
        <v>0</v>
      </c>
      <c r="M190" s="170">
        <f t="shared" si="182"/>
        <v>0</v>
      </c>
      <c r="N190" s="170">
        <f t="shared" si="182"/>
        <v>0</v>
      </c>
      <c r="O190" s="170">
        <f t="shared" si="182"/>
        <v>0</v>
      </c>
      <c r="P190" s="170">
        <f t="shared" si="182"/>
        <v>0</v>
      </c>
      <c r="Q190" s="170">
        <f t="shared" si="181"/>
        <v>0</v>
      </c>
    </row>
    <row r="191" spans="2:17" s="119" customFormat="1" ht="19.5" hidden="1" thickBot="1" x14ac:dyDescent="0.3">
      <c r="B191" s="310"/>
      <c r="D191" s="139"/>
      <c r="E191" s="140"/>
      <c r="F191" s="141"/>
      <c r="G191" s="141"/>
      <c r="H191" s="141"/>
      <c r="I191" s="142"/>
      <c r="J191" s="142"/>
      <c r="K191" s="142"/>
      <c r="L191" s="142"/>
      <c r="M191" s="142"/>
      <c r="N191" s="142"/>
      <c r="O191" s="142"/>
      <c r="P191" s="142"/>
      <c r="Q191" s="142"/>
    </row>
    <row r="192" spans="2:17" s="119" customFormat="1" ht="45" x14ac:dyDescent="0.25">
      <c r="B192" s="310"/>
      <c r="C192" s="119">
        <f>IF(E192&gt;0,1,0)</f>
        <v>1</v>
      </c>
      <c r="D192" s="96" t="str">
        <f>+A14</f>
        <v>Columbia</v>
      </c>
      <c r="E192" s="166">
        <f>+SUMIF(A:A,D192,B:B)</f>
        <v>1.1018389345949667E-4</v>
      </c>
      <c r="F192" s="98" t="s">
        <v>97</v>
      </c>
      <c r="G192" s="98" t="s">
        <v>126</v>
      </c>
      <c r="H192" s="98" t="s">
        <v>127</v>
      </c>
      <c r="I192" s="99" t="s">
        <v>128</v>
      </c>
      <c r="J192" s="99" t="s">
        <v>131</v>
      </c>
      <c r="K192" s="560" t="s">
        <v>474</v>
      </c>
      <c r="L192" s="560" t="s">
        <v>475</v>
      </c>
      <c r="M192" s="560" t="s">
        <v>476</v>
      </c>
      <c r="N192" s="560" t="s">
        <v>477</v>
      </c>
      <c r="O192" s="560" t="s">
        <v>478</v>
      </c>
      <c r="P192" s="560" t="s">
        <v>479</v>
      </c>
      <c r="Q192" s="99" t="s">
        <v>129</v>
      </c>
    </row>
    <row r="193" spans="2:17" s="119" customFormat="1" ht="18.75" x14ac:dyDescent="0.25">
      <c r="B193" s="310"/>
      <c r="C193" s="119">
        <f>C192</f>
        <v>1</v>
      </c>
      <c r="D193" s="127"/>
      <c r="E193" s="128"/>
      <c r="F193" s="84" t="s">
        <v>57</v>
      </c>
      <c r="G193" s="84" t="s">
        <v>56</v>
      </c>
      <c r="H193" s="84" t="s">
        <v>55</v>
      </c>
      <c r="I193" s="84" t="s">
        <v>54</v>
      </c>
      <c r="J193" s="129" t="s">
        <v>53</v>
      </c>
      <c r="K193" s="129" t="s">
        <v>52</v>
      </c>
      <c r="L193" s="129" t="s">
        <v>51</v>
      </c>
      <c r="M193" s="129" t="s">
        <v>50</v>
      </c>
      <c r="N193" s="129" t="s">
        <v>49</v>
      </c>
      <c r="O193" s="129" t="s">
        <v>47</v>
      </c>
      <c r="P193" s="129" t="s">
        <v>77</v>
      </c>
      <c r="Q193" s="129" t="s">
        <v>78</v>
      </c>
    </row>
    <row r="194" spans="2:17" s="119" customFormat="1" ht="18.75" x14ac:dyDescent="0.25">
      <c r="B194" s="310"/>
      <c r="C194" s="119">
        <f>C193</f>
        <v>1</v>
      </c>
      <c r="D194" s="133" t="s">
        <v>26</v>
      </c>
      <c r="E194" s="134"/>
      <c r="F194" s="135"/>
      <c r="G194" s="135"/>
      <c r="H194" s="136"/>
      <c r="I194" s="136"/>
      <c r="J194" s="137"/>
      <c r="K194" s="137"/>
      <c r="L194" s="137"/>
      <c r="M194" s="137"/>
      <c r="N194" s="137"/>
      <c r="O194" s="137"/>
      <c r="P194" s="137"/>
      <c r="Q194" s="138"/>
    </row>
    <row r="195" spans="2:17" s="119" customFormat="1" ht="18.75" x14ac:dyDescent="0.25">
      <c r="B195" s="310"/>
      <c r="C195" s="119">
        <f t="shared" ref="C195:C207" si="183">C194</f>
        <v>1</v>
      </c>
      <c r="D195" s="109" t="s">
        <v>93</v>
      </c>
      <c r="E195" s="76" t="s">
        <v>57</v>
      </c>
      <c r="F195" s="168">
        <f>+F6*$E$192</f>
        <v>0.38419257250711947</v>
      </c>
      <c r="G195" s="186">
        <f t="shared" ref="G195:J195" si="184">+G6*$E$192</f>
        <v>738.39078073486064</v>
      </c>
      <c r="H195" s="186">
        <f t="shared" si="184"/>
        <v>34.401738621884718</v>
      </c>
      <c r="I195" s="186">
        <f t="shared" si="184"/>
        <v>0.11699656359209734</v>
      </c>
      <c r="J195" s="186">
        <f t="shared" si="184"/>
        <v>12.34484365655649</v>
      </c>
      <c r="K195" s="186">
        <f t="shared" ref="K195:P195" si="185">+K6*$E$192</f>
        <v>13.547016044535674</v>
      </c>
      <c r="L195" s="186">
        <f t="shared" si="185"/>
        <v>0.31653077993576906</v>
      </c>
      <c r="M195" s="186">
        <f t="shared" si="185"/>
        <v>0</v>
      </c>
      <c r="N195" s="186">
        <f t="shared" si="185"/>
        <v>2.6444134430279199E-3</v>
      </c>
      <c r="O195" s="186">
        <f t="shared" si="185"/>
        <v>0</v>
      </c>
      <c r="P195" s="186">
        <f t="shared" si="185"/>
        <v>0</v>
      </c>
      <c r="Q195" s="190">
        <f>SUM(G195:P195)</f>
        <v>799.12055081480844</v>
      </c>
    </row>
    <row r="196" spans="2:17" s="119" customFormat="1" ht="18.75" x14ac:dyDescent="0.25">
      <c r="B196" s="310"/>
      <c r="C196" s="119">
        <f t="shared" si="183"/>
        <v>1</v>
      </c>
      <c r="D196" s="110" t="s">
        <v>132</v>
      </c>
      <c r="E196" s="76" t="s">
        <v>56</v>
      </c>
      <c r="F196" s="191">
        <f t="shared" ref="F196:J198" si="186">+F7*$E$192</f>
        <v>0</v>
      </c>
      <c r="G196" s="192">
        <f t="shared" si="186"/>
        <v>0</v>
      </c>
      <c r="H196" s="192">
        <f t="shared" si="186"/>
        <v>0</v>
      </c>
      <c r="I196" s="192">
        <f t="shared" si="186"/>
        <v>0</v>
      </c>
      <c r="J196" s="192">
        <f t="shared" si="186"/>
        <v>0</v>
      </c>
      <c r="K196" s="192">
        <f t="shared" ref="K196:P196" si="187">+K7*$E$192</f>
        <v>0</v>
      </c>
      <c r="L196" s="192">
        <f t="shared" si="187"/>
        <v>0</v>
      </c>
      <c r="M196" s="192">
        <f t="shared" si="187"/>
        <v>0</v>
      </c>
      <c r="N196" s="192">
        <f t="shared" si="187"/>
        <v>0</v>
      </c>
      <c r="O196" s="192">
        <f t="shared" si="187"/>
        <v>0</v>
      </c>
      <c r="P196" s="192">
        <f t="shared" si="187"/>
        <v>0</v>
      </c>
      <c r="Q196" s="190">
        <f>SUM(G196:P196)</f>
        <v>0</v>
      </c>
    </row>
    <row r="197" spans="2:17" s="119" customFormat="1" ht="18.75" x14ac:dyDescent="0.25">
      <c r="B197" s="310"/>
      <c r="C197" s="119">
        <f t="shared" si="183"/>
        <v>1</v>
      </c>
      <c r="D197" s="109" t="s">
        <v>91</v>
      </c>
      <c r="E197" s="76" t="s">
        <v>55</v>
      </c>
      <c r="F197" s="191">
        <f t="shared" si="186"/>
        <v>4.8013426170361191E-4</v>
      </c>
      <c r="G197" s="192">
        <f t="shared" si="186"/>
        <v>0.97939708298810102</v>
      </c>
      <c r="H197" s="192">
        <f t="shared" si="186"/>
        <v>0</v>
      </c>
      <c r="I197" s="192">
        <f t="shared" si="186"/>
        <v>0</v>
      </c>
      <c r="J197" s="192">
        <f t="shared" si="186"/>
        <v>1.487482561703205E-2</v>
      </c>
      <c r="K197" s="192">
        <f t="shared" ref="K197:P197" si="188">+K8*$E$192</f>
        <v>4.4073557383798668E-3</v>
      </c>
      <c r="L197" s="192">
        <f t="shared" si="188"/>
        <v>0</v>
      </c>
      <c r="M197" s="192">
        <f t="shared" si="188"/>
        <v>0</v>
      </c>
      <c r="N197" s="192">
        <f t="shared" si="188"/>
        <v>0</v>
      </c>
      <c r="O197" s="192">
        <f t="shared" si="188"/>
        <v>0</v>
      </c>
      <c r="P197" s="192">
        <f t="shared" si="188"/>
        <v>0</v>
      </c>
      <c r="Q197" s="190">
        <f>SUM(G197:P197)</f>
        <v>0.99867926434351295</v>
      </c>
    </row>
    <row r="198" spans="2:17" s="119" customFormat="1" ht="18.75" x14ac:dyDescent="0.25">
      <c r="B198" s="310"/>
      <c r="C198" s="119">
        <f t="shared" si="183"/>
        <v>1</v>
      </c>
      <c r="D198" s="130" t="s">
        <v>117</v>
      </c>
      <c r="E198" s="76" t="s">
        <v>54</v>
      </c>
      <c r="F198" s="191">
        <f t="shared" si="186"/>
        <v>0</v>
      </c>
      <c r="G198" s="184">
        <f t="shared" si="186"/>
        <v>0</v>
      </c>
      <c r="H198" s="184">
        <f t="shared" si="186"/>
        <v>0</v>
      </c>
      <c r="I198" s="184">
        <f t="shared" si="186"/>
        <v>0</v>
      </c>
      <c r="J198" s="184">
        <f t="shared" si="186"/>
        <v>0</v>
      </c>
      <c r="K198" s="184">
        <f t="shared" ref="K198:P198" si="189">+K9*$E$192</f>
        <v>0</v>
      </c>
      <c r="L198" s="184">
        <f t="shared" si="189"/>
        <v>0</v>
      </c>
      <c r="M198" s="184">
        <f t="shared" si="189"/>
        <v>0</v>
      </c>
      <c r="N198" s="184">
        <f t="shared" si="189"/>
        <v>0</v>
      </c>
      <c r="O198" s="184">
        <f t="shared" si="189"/>
        <v>0</v>
      </c>
      <c r="P198" s="184">
        <f t="shared" si="189"/>
        <v>0</v>
      </c>
      <c r="Q198" s="190">
        <f>SUM(G198:P198)</f>
        <v>0</v>
      </c>
    </row>
    <row r="199" spans="2:17" s="119" customFormat="1" ht="18.75" x14ac:dyDescent="0.25">
      <c r="B199" s="310"/>
      <c r="C199" s="119">
        <f t="shared" si="183"/>
        <v>1</v>
      </c>
      <c r="D199" s="112" t="s">
        <v>31</v>
      </c>
      <c r="E199" s="76"/>
      <c r="F199" s="167"/>
      <c r="G199" s="185"/>
      <c r="H199" s="185"/>
      <c r="I199" s="185"/>
      <c r="J199" s="185"/>
      <c r="K199" s="185"/>
      <c r="L199" s="185"/>
      <c r="M199" s="185"/>
      <c r="N199" s="185"/>
      <c r="O199" s="185"/>
      <c r="P199" s="185"/>
      <c r="Q199" s="171"/>
    </row>
    <row r="200" spans="2:17" s="119" customFormat="1" ht="18.75" x14ac:dyDescent="0.3">
      <c r="B200" s="310"/>
      <c r="C200" s="119">
        <f t="shared" si="183"/>
        <v>1</v>
      </c>
      <c r="D200" s="125" t="s">
        <v>118</v>
      </c>
      <c r="E200" s="76" t="s">
        <v>53</v>
      </c>
      <c r="F200" s="168">
        <f t="shared" ref="F200:J206" si="190">+F11*$E$192</f>
        <v>0</v>
      </c>
      <c r="G200" s="186">
        <f t="shared" si="190"/>
        <v>0</v>
      </c>
      <c r="H200" s="186">
        <f t="shared" si="190"/>
        <v>0</v>
      </c>
      <c r="I200" s="186">
        <f t="shared" si="190"/>
        <v>0</v>
      </c>
      <c r="J200" s="186">
        <f t="shared" si="190"/>
        <v>0</v>
      </c>
      <c r="K200" s="186">
        <f t="shared" ref="K200:P200" si="191">+K11*$E$192</f>
        <v>0</v>
      </c>
      <c r="L200" s="186">
        <f t="shared" si="191"/>
        <v>0</v>
      </c>
      <c r="M200" s="186">
        <f t="shared" si="191"/>
        <v>0</v>
      </c>
      <c r="N200" s="186">
        <f t="shared" si="191"/>
        <v>0</v>
      </c>
      <c r="O200" s="186">
        <f t="shared" si="191"/>
        <v>0</v>
      </c>
      <c r="P200" s="186">
        <f t="shared" si="191"/>
        <v>0</v>
      </c>
      <c r="Q200" s="190">
        <f t="shared" ref="Q200:Q206" si="192">SUM(G200:P200)</f>
        <v>0</v>
      </c>
    </row>
    <row r="201" spans="2:17" s="119" customFormat="1" ht="18.75" x14ac:dyDescent="0.3">
      <c r="B201" s="310"/>
      <c r="C201" s="119">
        <f t="shared" si="183"/>
        <v>1</v>
      </c>
      <c r="D201" s="125" t="s">
        <v>119</v>
      </c>
      <c r="E201" s="76" t="s">
        <v>52</v>
      </c>
      <c r="F201" s="168">
        <f t="shared" si="190"/>
        <v>0</v>
      </c>
      <c r="G201" s="186">
        <f t="shared" si="190"/>
        <v>0</v>
      </c>
      <c r="H201" s="186">
        <f t="shared" si="190"/>
        <v>0</v>
      </c>
      <c r="I201" s="186">
        <f t="shared" si="190"/>
        <v>0</v>
      </c>
      <c r="J201" s="186">
        <f t="shared" si="190"/>
        <v>0</v>
      </c>
      <c r="K201" s="186">
        <f t="shared" ref="K201:P201" si="193">+K12*$E$192</f>
        <v>0</v>
      </c>
      <c r="L201" s="186">
        <f t="shared" si="193"/>
        <v>0</v>
      </c>
      <c r="M201" s="186">
        <f t="shared" si="193"/>
        <v>0</v>
      </c>
      <c r="N201" s="186">
        <f t="shared" si="193"/>
        <v>0</v>
      </c>
      <c r="O201" s="186">
        <f t="shared" si="193"/>
        <v>0</v>
      </c>
      <c r="P201" s="186">
        <f t="shared" si="193"/>
        <v>0</v>
      </c>
      <c r="Q201" s="190">
        <f t="shared" si="192"/>
        <v>0</v>
      </c>
    </row>
    <row r="202" spans="2:17" s="119" customFormat="1" ht="18.75" x14ac:dyDescent="0.3">
      <c r="B202" s="310"/>
      <c r="C202" s="119">
        <f t="shared" si="183"/>
        <v>1</v>
      </c>
      <c r="D202" s="125" t="s">
        <v>120</v>
      </c>
      <c r="E202" s="76" t="s">
        <v>51</v>
      </c>
      <c r="F202" s="168">
        <f t="shared" si="190"/>
        <v>0</v>
      </c>
      <c r="G202" s="186">
        <f t="shared" si="190"/>
        <v>0</v>
      </c>
      <c r="H202" s="186">
        <f t="shared" si="190"/>
        <v>0</v>
      </c>
      <c r="I202" s="186">
        <f t="shared" si="190"/>
        <v>0</v>
      </c>
      <c r="J202" s="186">
        <f t="shared" si="190"/>
        <v>0</v>
      </c>
      <c r="K202" s="186">
        <f t="shared" ref="K202:P202" si="194">+K13*$E$192</f>
        <v>0</v>
      </c>
      <c r="L202" s="186">
        <f t="shared" si="194"/>
        <v>0</v>
      </c>
      <c r="M202" s="186">
        <f t="shared" si="194"/>
        <v>0</v>
      </c>
      <c r="N202" s="186">
        <f t="shared" si="194"/>
        <v>0</v>
      </c>
      <c r="O202" s="186">
        <f t="shared" si="194"/>
        <v>0</v>
      </c>
      <c r="P202" s="186">
        <f t="shared" si="194"/>
        <v>0</v>
      </c>
      <c r="Q202" s="190">
        <f t="shared" si="192"/>
        <v>0</v>
      </c>
    </row>
    <row r="203" spans="2:17" s="119" customFormat="1" ht="18.75" x14ac:dyDescent="0.3">
      <c r="B203" s="310"/>
      <c r="C203" s="119">
        <f t="shared" si="183"/>
        <v>1</v>
      </c>
      <c r="D203" s="125" t="s">
        <v>121</v>
      </c>
      <c r="E203" s="76" t="s">
        <v>50</v>
      </c>
      <c r="F203" s="168">
        <f t="shared" si="190"/>
        <v>0</v>
      </c>
      <c r="G203" s="186">
        <f t="shared" si="190"/>
        <v>0</v>
      </c>
      <c r="H203" s="186">
        <f t="shared" si="190"/>
        <v>0</v>
      </c>
      <c r="I203" s="186">
        <f t="shared" si="190"/>
        <v>0</v>
      </c>
      <c r="J203" s="186">
        <f t="shared" si="190"/>
        <v>0</v>
      </c>
      <c r="K203" s="186">
        <f t="shared" ref="K203:P203" si="195">+K14*$E$192</f>
        <v>0</v>
      </c>
      <c r="L203" s="186">
        <f t="shared" si="195"/>
        <v>0</v>
      </c>
      <c r="M203" s="186">
        <f t="shared" si="195"/>
        <v>0</v>
      </c>
      <c r="N203" s="186">
        <f t="shared" si="195"/>
        <v>0</v>
      </c>
      <c r="O203" s="186">
        <f t="shared" si="195"/>
        <v>0</v>
      </c>
      <c r="P203" s="186">
        <f t="shared" si="195"/>
        <v>0</v>
      </c>
      <c r="Q203" s="190">
        <f t="shared" si="192"/>
        <v>0</v>
      </c>
    </row>
    <row r="204" spans="2:17" s="119" customFormat="1" ht="18.75" x14ac:dyDescent="0.3">
      <c r="B204" s="310"/>
      <c r="C204" s="119">
        <f t="shared" si="183"/>
        <v>1</v>
      </c>
      <c r="D204" s="125" t="s">
        <v>122</v>
      </c>
      <c r="E204" s="76" t="s">
        <v>49</v>
      </c>
      <c r="F204" s="168">
        <f t="shared" si="190"/>
        <v>0</v>
      </c>
      <c r="G204" s="186">
        <f t="shared" si="190"/>
        <v>0</v>
      </c>
      <c r="H204" s="186">
        <f t="shared" si="190"/>
        <v>0</v>
      </c>
      <c r="I204" s="186">
        <f t="shared" si="190"/>
        <v>0</v>
      </c>
      <c r="J204" s="186">
        <f t="shared" si="190"/>
        <v>0</v>
      </c>
      <c r="K204" s="186">
        <f t="shared" ref="K204:P204" si="196">+K15*$E$192</f>
        <v>0</v>
      </c>
      <c r="L204" s="186">
        <f t="shared" si="196"/>
        <v>0</v>
      </c>
      <c r="M204" s="186">
        <f t="shared" si="196"/>
        <v>0</v>
      </c>
      <c r="N204" s="186">
        <f t="shared" si="196"/>
        <v>0</v>
      </c>
      <c r="O204" s="186">
        <f t="shared" si="196"/>
        <v>0</v>
      </c>
      <c r="P204" s="186">
        <f t="shared" si="196"/>
        <v>0</v>
      </c>
      <c r="Q204" s="190">
        <f t="shared" si="192"/>
        <v>0</v>
      </c>
    </row>
    <row r="205" spans="2:17" s="119" customFormat="1" ht="18.75" x14ac:dyDescent="0.3">
      <c r="B205" s="310"/>
      <c r="C205" s="119">
        <f t="shared" si="183"/>
        <v>1</v>
      </c>
      <c r="D205" s="125" t="s">
        <v>123</v>
      </c>
      <c r="E205" s="76" t="s">
        <v>47</v>
      </c>
      <c r="F205" s="168">
        <f t="shared" si="190"/>
        <v>0</v>
      </c>
      <c r="G205" s="186">
        <f t="shared" si="190"/>
        <v>0</v>
      </c>
      <c r="H205" s="186">
        <f t="shared" si="190"/>
        <v>0</v>
      </c>
      <c r="I205" s="186">
        <f t="shared" si="190"/>
        <v>0</v>
      </c>
      <c r="J205" s="186">
        <f t="shared" si="190"/>
        <v>0</v>
      </c>
      <c r="K205" s="186">
        <f t="shared" ref="K205:P205" si="197">+K16*$E$192</f>
        <v>0</v>
      </c>
      <c r="L205" s="186">
        <f t="shared" si="197"/>
        <v>0</v>
      </c>
      <c r="M205" s="186">
        <f t="shared" si="197"/>
        <v>0</v>
      </c>
      <c r="N205" s="186">
        <f t="shared" si="197"/>
        <v>0</v>
      </c>
      <c r="O205" s="186">
        <f t="shared" si="197"/>
        <v>0</v>
      </c>
      <c r="P205" s="186">
        <f t="shared" si="197"/>
        <v>0</v>
      </c>
      <c r="Q205" s="190">
        <f t="shared" si="192"/>
        <v>0</v>
      </c>
    </row>
    <row r="206" spans="2:17" s="119" customFormat="1" ht="19.5" thickBot="1" x14ac:dyDescent="0.35">
      <c r="B206" s="310"/>
      <c r="C206" s="119">
        <f t="shared" si="183"/>
        <v>1</v>
      </c>
      <c r="D206" s="125" t="s">
        <v>16</v>
      </c>
      <c r="E206" s="70" t="s">
        <v>77</v>
      </c>
      <c r="F206" s="168">
        <f t="shared" si="190"/>
        <v>2.5394103530925801E-2</v>
      </c>
      <c r="G206" s="186">
        <f t="shared" si="190"/>
        <v>45.831359290941052</v>
      </c>
      <c r="H206" s="186">
        <f t="shared" si="190"/>
        <v>0.89305228534911418</v>
      </c>
      <c r="I206" s="186">
        <f t="shared" si="190"/>
        <v>0</v>
      </c>
      <c r="J206" s="186">
        <f t="shared" si="190"/>
        <v>0</v>
      </c>
      <c r="K206" s="186">
        <f t="shared" ref="K206:P206" si="198">+K17*$E$192</f>
        <v>3.2001857898859507</v>
      </c>
      <c r="L206" s="186">
        <f t="shared" si="198"/>
        <v>0</v>
      </c>
      <c r="M206" s="186">
        <f t="shared" si="198"/>
        <v>1.7176518503328386E-3</v>
      </c>
      <c r="N206" s="186">
        <f t="shared" si="198"/>
        <v>0</v>
      </c>
      <c r="O206" s="186">
        <f t="shared" si="198"/>
        <v>0</v>
      </c>
      <c r="P206" s="186">
        <f t="shared" si="198"/>
        <v>2.8934203262992155</v>
      </c>
      <c r="Q206" s="190">
        <f t="shared" si="192"/>
        <v>52.819735344325665</v>
      </c>
    </row>
    <row r="207" spans="2:17" s="119" customFormat="1" ht="19.5" thickBot="1" x14ac:dyDescent="0.3">
      <c r="B207" s="310"/>
      <c r="C207" s="119">
        <f t="shared" si="183"/>
        <v>1</v>
      </c>
      <c r="D207" s="131" t="s">
        <v>124</v>
      </c>
      <c r="E207" s="116" t="s">
        <v>78</v>
      </c>
      <c r="F207" s="169">
        <f t="shared" ref="F207:Q207" si="199">SUBTOTAL(9,F195:F206)</f>
        <v>0.4100668102997489</v>
      </c>
      <c r="G207" s="170">
        <f t="shared" si="199"/>
        <v>785.20153710878981</v>
      </c>
      <c r="H207" s="170">
        <f t="shared" si="199"/>
        <v>35.294790907233832</v>
      </c>
      <c r="I207" s="170">
        <f t="shared" si="199"/>
        <v>0.11699656359209734</v>
      </c>
      <c r="J207" s="170">
        <f t="shared" si="199"/>
        <v>12.359718482173522</v>
      </c>
      <c r="K207" s="170">
        <f t="shared" ref="K207:P207" si="200">SUBTOTAL(9,K195:K206)</f>
        <v>16.751609190160003</v>
      </c>
      <c r="L207" s="170">
        <f t="shared" si="200"/>
        <v>0.31653077993576906</v>
      </c>
      <c r="M207" s="170">
        <f t="shared" si="200"/>
        <v>1.7176518503328386E-3</v>
      </c>
      <c r="N207" s="170">
        <f t="shared" si="200"/>
        <v>2.6444134430279199E-3</v>
      </c>
      <c r="O207" s="170">
        <f t="shared" si="200"/>
        <v>0</v>
      </c>
      <c r="P207" s="170">
        <f t="shared" si="200"/>
        <v>2.8934203262992155</v>
      </c>
      <c r="Q207" s="170">
        <f t="shared" si="199"/>
        <v>852.93896542347761</v>
      </c>
    </row>
    <row r="208" spans="2:17" s="119" customFormat="1" ht="19.5" hidden="1" thickBot="1" x14ac:dyDescent="0.3">
      <c r="B208" s="310"/>
      <c r="D208" s="139"/>
      <c r="E208" s="140"/>
      <c r="F208" s="141"/>
      <c r="G208" s="141"/>
      <c r="H208" s="141"/>
      <c r="I208" s="142"/>
      <c r="J208" s="142"/>
      <c r="K208" s="142"/>
      <c r="L208" s="142"/>
      <c r="M208" s="142"/>
      <c r="N208" s="142"/>
      <c r="O208" s="142"/>
      <c r="P208" s="142"/>
      <c r="Q208" s="142"/>
    </row>
    <row r="209" spans="2:17" s="119" customFormat="1" ht="45.75" hidden="1" thickBot="1" x14ac:dyDescent="0.3">
      <c r="B209" s="310"/>
      <c r="C209" s="119">
        <f>IF(E209&gt;0,1,0)</f>
        <v>0</v>
      </c>
      <c r="D209" s="96" t="str">
        <f>+A15</f>
        <v>Cortland</v>
      </c>
      <c r="E209" s="166">
        <f>+SUMIF(A:A,D209,B:B)</f>
        <v>0</v>
      </c>
      <c r="F209" s="98" t="s">
        <v>97</v>
      </c>
      <c r="G209" s="98" t="s">
        <v>126</v>
      </c>
      <c r="H209" s="98" t="s">
        <v>127</v>
      </c>
      <c r="I209" s="99" t="s">
        <v>128</v>
      </c>
      <c r="J209" s="99" t="s">
        <v>131</v>
      </c>
      <c r="K209" s="560" t="s">
        <v>474</v>
      </c>
      <c r="L209" s="560" t="s">
        <v>475</v>
      </c>
      <c r="M209" s="560" t="s">
        <v>476</v>
      </c>
      <c r="N209" s="560" t="s">
        <v>477</v>
      </c>
      <c r="O209" s="560" t="s">
        <v>478</v>
      </c>
      <c r="P209" s="560" t="s">
        <v>479</v>
      </c>
      <c r="Q209" s="99" t="s">
        <v>129</v>
      </c>
    </row>
    <row r="210" spans="2:17" s="119" customFormat="1" ht="19.5" hidden="1" thickBot="1" x14ac:dyDescent="0.3">
      <c r="B210" s="310"/>
      <c r="C210" s="119">
        <f>C209</f>
        <v>0</v>
      </c>
      <c r="D210" s="127"/>
      <c r="E210" s="128"/>
      <c r="F210" s="84" t="s">
        <v>57</v>
      </c>
      <c r="G210" s="84" t="s">
        <v>56</v>
      </c>
      <c r="H210" s="84" t="s">
        <v>55</v>
      </c>
      <c r="I210" s="84" t="s">
        <v>54</v>
      </c>
      <c r="J210" s="129" t="s">
        <v>53</v>
      </c>
      <c r="K210" s="129" t="s">
        <v>52</v>
      </c>
      <c r="L210" s="129" t="s">
        <v>51</v>
      </c>
      <c r="M210" s="129" t="s">
        <v>50</v>
      </c>
      <c r="N210" s="129" t="s">
        <v>49</v>
      </c>
      <c r="O210" s="129" t="s">
        <v>47</v>
      </c>
      <c r="P210" s="129" t="s">
        <v>77</v>
      </c>
      <c r="Q210" s="129" t="s">
        <v>78</v>
      </c>
    </row>
    <row r="211" spans="2:17" s="119" customFormat="1" ht="19.5" hidden="1" thickBot="1" x14ac:dyDescent="0.3">
      <c r="B211" s="310"/>
      <c r="C211" s="119">
        <f>C210</f>
        <v>0</v>
      </c>
      <c r="D211" s="133" t="s">
        <v>26</v>
      </c>
      <c r="E211" s="134"/>
      <c r="F211" s="135"/>
      <c r="G211" s="135"/>
      <c r="H211" s="136"/>
      <c r="I211" s="136"/>
      <c r="J211" s="137"/>
      <c r="K211" s="137"/>
      <c r="L211" s="137"/>
      <c r="M211" s="137"/>
      <c r="N211" s="137"/>
      <c r="O211" s="137"/>
      <c r="P211" s="137"/>
      <c r="Q211" s="138"/>
    </row>
    <row r="212" spans="2:17" s="119" customFormat="1" ht="19.5" hidden="1" thickBot="1" x14ac:dyDescent="0.3">
      <c r="B212" s="310"/>
      <c r="C212" s="119">
        <f t="shared" ref="C212:C224" si="201">C211</f>
        <v>0</v>
      </c>
      <c r="D212" s="109" t="s">
        <v>93</v>
      </c>
      <c r="E212" s="76" t="s">
        <v>57</v>
      </c>
      <c r="F212" s="168">
        <f>+F6*$E$209</f>
        <v>0</v>
      </c>
      <c r="G212" s="186">
        <f t="shared" ref="G212:J212" si="202">+G6*$E$209</f>
        <v>0</v>
      </c>
      <c r="H212" s="186">
        <f t="shared" si="202"/>
        <v>0</v>
      </c>
      <c r="I212" s="186">
        <f t="shared" si="202"/>
        <v>0</v>
      </c>
      <c r="J212" s="186">
        <f t="shared" si="202"/>
        <v>0</v>
      </c>
      <c r="K212" s="186">
        <f t="shared" ref="K212:P212" si="203">+K6*$E$209</f>
        <v>0</v>
      </c>
      <c r="L212" s="186">
        <f t="shared" si="203"/>
        <v>0</v>
      </c>
      <c r="M212" s="186">
        <f t="shared" si="203"/>
        <v>0</v>
      </c>
      <c r="N212" s="186">
        <f t="shared" si="203"/>
        <v>0</v>
      </c>
      <c r="O212" s="186">
        <f t="shared" si="203"/>
        <v>0</v>
      </c>
      <c r="P212" s="186">
        <f t="shared" si="203"/>
        <v>0</v>
      </c>
      <c r="Q212" s="190">
        <f>SUM(G212:P212)</f>
        <v>0</v>
      </c>
    </row>
    <row r="213" spans="2:17" s="119" customFormat="1" ht="19.5" hidden="1" thickBot="1" x14ac:dyDescent="0.3">
      <c r="B213" s="310"/>
      <c r="C213" s="119">
        <f t="shared" si="201"/>
        <v>0</v>
      </c>
      <c r="D213" s="110" t="s">
        <v>132</v>
      </c>
      <c r="E213" s="76" t="s">
        <v>56</v>
      </c>
      <c r="F213" s="191">
        <f t="shared" ref="F213:J215" si="204">+F7*$E$209</f>
        <v>0</v>
      </c>
      <c r="G213" s="192">
        <f t="shared" si="204"/>
        <v>0</v>
      </c>
      <c r="H213" s="192">
        <f t="shared" si="204"/>
        <v>0</v>
      </c>
      <c r="I213" s="192">
        <f t="shared" si="204"/>
        <v>0</v>
      </c>
      <c r="J213" s="192">
        <f t="shared" si="204"/>
        <v>0</v>
      </c>
      <c r="K213" s="192">
        <f t="shared" ref="K213:P213" si="205">+K7*$E$209</f>
        <v>0</v>
      </c>
      <c r="L213" s="192">
        <f t="shared" si="205"/>
        <v>0</v>
      </c>
      <c r="M213" s="192">
        <f t="shared" si="205"/>
        <v>0</v>
      </c>
      <c r="N213" s="192">
        <f t="shared" si="205"/>
        <v>0</v>
      </c>
      <c r="O213" s="192">
        <f t="shared" si="205"/>
        <v>0</v>
      </c>
      <c r="P213" s="192">
        <f t="shared" si="205"/>
        <v>0</v>
      </c>
      <c r="Q213" s="190">
        <f>SUM(G213:P213)</f>
        <v>0</v>
      </c>
    </row>
    <row r="214" spans="2:17" s="119" customFormat="1" ht="19.5" hidden="1" thickBot="1" x14ac:dyDescent="0.3">
      <c r="B214" s="310"/>
      <c r="C214" s="119">
        <f t="shared" si="201"/>
        <v>0</v>
      </c>
      <c r="D214" s="109" t="s">
        <v>91</v>
      </c>
      <c r="E214" s="76" t="s">
        <v>55</v>
      </c>
      <c r="F214" s="191">
        <f t="shared" si="204"/>
        <v>0</v>
      </c>
      <c r="G214" s="192">
        <f t="shared" si="204"/>
        <v>0</v>
      </c>
      <c r="H214" s="192">
        <f t="shared" si="204"/>
        <v>0</v>
      </c>
      <c r="I214" s="192">
        <f t="shared" si="204"/>
        <v>0</v>
      </c>
      <c r="J214" s="192">
        <f t="shared" si="204"/>
        <v>0</v>
      </c>
      <c r="K214" s="192">
        <f t="shared" ref="K214:P214" si="206">+K8*$E$209</f>
        <v>0</v>
      </c>
      <c r="L214" s="192">
        <f t="shared" si="206"/>
        <v>0</v>
      </c>
      <c r="M214" s="192">
        <f t="shared" si="206"/>
        <v>0</v>
      </c>
      <c r="N214" s="192">
        <f t="shared" si="206"/>
        <v>0</v>
      </c>
      <c r="O214" s="192">
        <f t="shared" si="206"/>
        <v>0</v>
      </c>
      <c r="P214" s="192">
        <f t="shared" si="206"/>
        <v>0</v>
      </c>
      <c r="Q214" s="190">
        <f>SUM(G214:P214)</f>
        <v>0</v>
      </c>
    </row>
    <row r="215" spans="2:17" s="119" customFormat="1" ht="19.5" hidden="1" thickBot="1" x14ac:dyDescent="0.3">
      <c r="B215" s="310"/>
      <c r="C215" s="119">
        <f t="shared" si="201"/>
        <v>0</v>
      </c>
      <c r="D215" s="130" t="s">
        <v>117</v>
      </c>
      <c r="E215" s="76" t="s">
        <v>54</v>
      </c>
      <c r="F215" s="191">
        <f t="shared" si="204"/>
        <v>0</v>
      </c>
      <c r="G215" s="184">
        <f t="shared" si="204"/>
        <v>0</v>
      </c>
      <c r="H215" s="184">
        <f t="shared" si="204"/>
        <v>0</v>
      </c>
      <c r="I215" s="184">
        <f t="shared" si="204"/>
        <v>0</v>
      </c>
      <c r="J215" s="184">
        <f t="shared" si="204"/>
        <v>0</v>
      </c>
      <c r="K215" s="184">
        <f t="shared" ref="K215:P215" si="207">+K9*$E$209</f>
        <v>0</v>
      </c>
      <c r="L215" s="184">
        <f t="shared" si="207"/>
        <v>0</v>
      </c>
      <c r="M215" s="184">
        <f t="shared" si="207"/>
        <v>0</v>
      </c>
      <c r="N215" s="184">
        <f t="shared" si="207"/>
        <v>0</v>
      </c>
      <c r="O215" s="184">
        <f t="shared" si="207"/>
        <v>0</v>
      </c>
      <c r="P215" s="184">
        <f t="shared" si="207"/>
        <v>0</v>
      </c>
      <c r="Q215" s="190">
        <f>SUM(G215:P215)</f>
        <v>0</v>
      </c>
    </row>
    <row r="216" spans="2:17" s="119" customFormat="1" ht="19.5" hidden="1" thickBot="1" x14ac:dyDescent="0.3">
      <c r="B216" s="310"/>
      <c r="C216" s="119">
        <f t="shared" si="201"/>
        <v>0</v>
      </c>
      <c r="D216" s="112" t="s">
        <v>31</v>
      </c>
      <c r="E216" s="76"/>
      <c r="F216" s="167"/>
      <c r="G216" s="185"/>
      <c r="H216" s="185"/>
      <c r="I216" s="185"/>
      <c r="J216" s="185"/>
      <c r="K216" s="185"/>
      <c r="L216" s="185"/>
      <c r="M216" s="185"/>
      <c r="N216" s="185"/>
      <c r="O216" s="185"/>
      <c r="P216" s="185"/>
      <c r="Q216" s="171"/>
    </row>
    <row r="217" spans="2:17" s="119" customFormat="1" ht="19.5" hidden="1" thickBot="1" x14ac:dyDescent="0.35">
      <c r="B217" s="310"/>
      <c r="C217" s="119">
        <f t="shared" si="201"/>
        <v>0</v>
      </c>
      <c r="D217" s="125" t="s">
        <v>118</v>
      </c>
      <c r="E217" s="76" t="s">
        <v>53</v>
      </c>
      <c r="F217" s="168">
        <f t="shared" ref="F217:J223" si="208">+F11*$E$209</f>
        <v>0</v>
      </c>
      <c r="G217" s="186">
        <f t="shared" si="208"/>
        <v>0</v>
      </c>
      <c r="H217" s="186">
        <f t="shared" si="208"/>
        <v>0</v>
      </c>
      <c r="I217" s="186">
        <f t="shared" si="208"/>
        <v>0</v>
      </c>
      <c r="J217" s="186">
        <f t="shared" si="208"/>
        <v>0</v>
      </c>
      <c r="K217" s="186">
        <f t="shared" ref="K217:P217" si="209">+K11*$E$209</f>
        <v>0</v>
      </c>
      <c r="L217" s="186">
        <f t="shared" si="209"/>
        <v>0</v>
      </c>
      <c r="M217" s="186">
        <f t="shared" si="209"/>
        <v>0</v>
      </c>
      <c r="N217" s="186">
        <f t="shared" si="209"/>
        <v>0</v>
      </c>
      <c r="O217" s="186">
        <f t="shared" si="209"/>
        <v>0</v>
      </c>
      <c r="P217" s="186">
        <f t="shared" si="209"/>
        <v>0</v>
      </c>
      <c r="Q217" s="190">
        <f t="shared" ref="Q217:Q223" si="210">SUM(G217:P217)</f>
        <v>0</v>
      </c>
    </row>
    <row r="218" spans="2:17" s="119" customFormat="1" ht="19.5" hidden="1" thickBot="1" x14ac:dyDescent="0.35">
      <c r="B218" s="310"/>
      <c r="C218" s="119">
        <f t="shared" si="201"/>
        <v>0</v>
      </c>
      <c r="D218" s="125" t="s">
        <v>119</v>
      </c>
      <c r="E218" s="76" t="s">
        <v>52</v>
      </c>
      <c r="F218" s="168">
        <f t="shared" si="208"/>
        <v>0</v>
      </c>
      <c r="G218" s="186">
        <f t="shared" si="208"/>
        <v>0</v>
      </c>
      <c r="H218" s="186">
        <f t="shared" si="208"/>
        <v>0</v>
      </c>
      <c r="I218" s="186">
        <f t="shared" si="208"/>
        <v>0</v>
      </c>
      <c r="J218" s="186">
        <f t="shared" si="208"/>
        <v>0</v>
      </c>
      <c r="K218" s="186">
        <f t="shared" ref="K218:P218" si="211">+K12*$E$209</f>
        <v>0</v>
      </c>
      <c r="L218" s="186">
        <f t="shared" si="211"/>
        <v>0</v>
      </c>
      <c r="M218" s="186">
        <f t="shared" si="211"/>
        <v>0</v>
      </c>
      <c r="N218" s="186">
        <f t="shared" si="211"/>
        <v>0</v>
      </c>
      <c r="O218" s="186">
        <f t="shared" si="211"/>
        <v>0</v>
      </c>
      <c r="P218" s="186">
        <f t="shared" si="211"/>
        <v>0</v>
      </c>
      <c r="Q218" s="190">
        <f t="shared" si="210"/>
        <v>0</v>
      </c>
    </row>
    <row r="219" spans="2:17" s="119" customFormat="1" ht="19.5" hidden="1" thickBot="1" x14ac:dyDescent="0.35">
      <c r="B219" s="310"/>
      <c r="C219" s="119">
        <f t="shared" si="201"/>
        <v>0</v>
      </c>
      <c r="D219" s="125" t="s">
        <v>120</v>
      </c>
      <c r="E219" s="76" t="s">
        <v>51</v>
      </c>
      <c r="F219" s="168">
        <f t="shared" si="208"/>
        <v>0</v>
      </c>
      <c r="G219" s="186">
        <f t="shared" si="208"/>
        <v>0</v>
      </c>
      <c r="H219" s="186">
        <f t="shared" si="208"/>
        <v>0</v>
      </c>
      <c r="I219" s="186">
        <f t="shared" si="208"/>
        <v>0</v>
      </c>
      <c r="J219" s="186">
        <f t="shared" si="208"/>
        <v>0</v>
      </c>
      <c r="K219" s="186">
        <f t="shared" ref="K219:P219" si="212">+K13*$E$209</f>
        <v>0</v>
      </c>
      <c r="L219" s="186">
        <f t="shared" si="212"/>
        <v>0</v>
      </c>
      <c r="M219" s="186">
        <f t="shared" si="212"/>
        <v>0</v>
      </c>
      <c r="N219" s="186">
        <f t="shared" si="212"/>
        <v>0</v>
      </c>
      <c r="O219" s="186">
        <f t="shared" si="212"/>
        <v>0</v>
      </c>
      <c r="P219" s="186">
        <f t="shared" si="212"/>
        <v>0</v>
      </c>
      <c r="Q219" s="190">
        <f t="shared" si="210"/>
        <v>0</v>
      </c>
    </row>
    <row r="220" spans="2:17" s="119" customFormat="1" ht="19.5" hidden="1" thickBot="1" x14ac:dyDescent="0.35">
      <c r="B220" s="310"/>
      <c r="C220" s="119">
        <f t="shared" si="201"/>
        <v>0</v>
      </c>
      <c r="D220" s="125" t="s">
        <v>121</v>
      </c>
      <c r="E220" s="76" t="s">
        <v>50</v>
      </c>
      <c r="F220" s="168">
        <f t="shared" si="208"/>
        <v>0</v>
      </c>
      <c r="G220" s="186">
        <f t="shared" si="208"/>
        <v>0</v>
      </c>
      <c r="H220" s="186">
        <f t="shared" si="208"/>
        <v>0</v>
      </c>
      <c r="I220" s="186">
        <f t="shared" si="208"/>
        <v>0</v>
      </c>
      <c r="J220" s="186">
        <f t="shared" si="208"/>
        <v>0</v>
      </c>
      <c r="K220" s="186">
        <f t="shared" ref="K220:P220" si="213">+K14*$E$209</f>
        <v>0</v>
      </c>
      <c r="L220" s="186">
        <f t="shared" si="213"/>
        <v>0</v>
      </c>
      <c r="M220" s="186">
        <f t="shared" si="213"/>
        <v>0</v>
      </c>
      <c r="N220" s="186">
        <f t="shared" si="213"/>
        <v>0</v>
      </c>
      <c r="O220" s="186">
        <f t="shared" si="213"/>
        <v>0</v>
      </c>
      <c r="P220" s="186">
        <f t="shared" si="213"/>
        <v>0</v>
      </c>
      <c r="Q220" s="190">
        <f t="shared" si="210"/>
        <v>0</v>
      </c>
    </row>
    <row r="221" spans="2:17" s="119" customFormat="1" ht="19.5" hidden="1" thickBot="1" x14ac:dyDescent="0.35">
      <c r="B221" s="310"/>
      <c r="C221" s="119">
        <f t="shared" si="201"/>
        <v>0</v>
      </c>
      <c r="D221" s="125" t="s">
        <v>122</v>
      </c>
      <c r="E221" s="76" t="s">
        <v>49</v>
      </c>
      <c r="F221" s="168">
        <f t="shared" si="208"/>
        <v>0</v>
      </c>
      <c r="G221" s="186">
        <f t="shared" si="208"/>
        <v>0</v>
      </c>
      <c r="H221" s="186">
        <f t="shared" si="208"/>
        <v>0</v>
      </c>
      <c r="I221" s="186">
        <f t="shared" si="208"/>
        <v>0</v>
      </c>
      <c r="J221" s="186">
        <f t="shared" si="208"/>
        <v>0</v>
      </c>
      <c r="K221" s="186">
        <f t="shared" ref="K221:P221" si="214">+K15*$E$209</f>
        <v>0</v>
      </c>
      <c r="L221" s="186">
        <f t="shared" si="214"/>
        <v>0</v>
      </c>
      <c r="M221" s="186">
        <f t="shared" si="214"/>
        <v>0</v>
      </c>
      <c r="N221" s="186">
        <f t="shared" si="214"/>
        <v>0</v>
      </c>
      <c r="O221" s="186">
        <f t="shared" si="214"/>
        <v>0</v>
      </c>
      <c r="P221" s="186">
        <f t="shared" si="214"/>
        <v>0</v>
      </c>
      <c r="Q221" s="190">
        <f t="shared" si="210"/>
        <v>0</v>
      </c>
    </row>
    <row r="222" spans="2:17" s="119" customFormat="1" ht="19.5" hidden="1" thickBot="1" x14ac:dyDescent="0.35">
      <c r="B222" s="310"/>
      <c r="C222" s="119">
        <f t="shared" si="201"/>
        <v>0</v>
      </c>
      <c r="D222" s="125" t="s">
        <v>123</v>
      </c>
      <c r="E222" s="76" t="s">
        <v>47</v>
      </c>
      <c r="F222" s="168">
        <f t="shared" si="208"/>
        <v>0</v>
      </c>
      <c r="G222" s="186">
        <f t="shared" si="208"/>
        <v>0</v>
      </c>
      <c r="H222" s="186">
        <f t="shared" si="208"/>
        <v>0</v>
      </c>
      <c r="I222" s="186">
        <f t="shared" si="208"/>
        <v>0</v>
      </c>
      <c r="J222" s="186">
        <f t="shared" si="208"/>
        <v>0</v>
      </c>
      <c r="K222" s="186">
        <f t="shared" ref="K222:P222" si="215">+K16*$E$209</f>
        <v>0</v>
      </c>
      <c r="L222" s="186">
        <f t="shared" si="215"/>
        <v>0</v>
      </c>
      <c r="M222" s="186">
        <f t="shared" si="215"/>
        <v>0</v>
      </c>
      <c r="N222" s="186">
        <f t="shared" si="215"/>
        <v>0</v>
      </c>
      <c r="O222" s="186">
        <f t="shared" si="215"/>
        <v>0</v>
      </c>
      <c r="P222" s="186">
        <f t="shared" si="215"/>
        <v>0</v>
      </c>
      <c r="Q222" s="190">
        <f t="shared" si="210"/>
        <v>0</v>
      </c>
    </row>
    <row r="223" spans="2:17" s="119" customFormat="1" ht="19.5" hidden="1" thickBot="1" x14ac:dyDescent="0.35">
      <c r="B223" s="310"/>
      <c r="C223" s="119">
        <f t="shared" si="201"/>
        <v>0</v>
      </c>
      <c r="D223" s="125" t="s">
        <v>16</v>
      </c>
      <c r="E223" s="70" t="s">
        <v>77</v>
      </c>
      <c r="F223" s="168">
        <f t="shared" si="208"/>
        <v>0</v>
      </c>
      <c r="G223" s="186">
        <f t="shared" si="208"/>
        <v>0</v>
      </c>
      <c r="H223" s="186">
        <f t="shared" si="208"/>
        <v>0</v>
      </c>
      <c r="I223" s="186">
        <f t="shared" si="208"/>
        <v>0</v>
      </c>
      <c r="J223" s="186">
        <f t="shared" si="208"/>
        <v>0</v>
      </c>
      <c r="K223" s="186">
        <f t="shared" ref="K223:P223" si="216">+K17*$E$209</f>
        <v>0</v>
      </c>
      <c r="L223" s="186">
        <f t="shared" si="216"/>
        <v>0</v>
      </c>
      <c r="M223" s="186">
        <f t="shared" si="216"/>
        <v>0</v>
      </c>
      <c r="N223" s="186">
        <f t="shared" si="216"/>
        <v>0</v>
      </c>
      <c r="O223" s="186">
        <f t="shared" si="216"/>
        <v>0</v>
      </c>
      <c r="P223" s="186">
        <f t="shared" si="216"/>
        <v>0</v>
      </c>
      <c r="Q223" s="190">
        <f t="shared" si="210"/>
        <v>0</v>
      </c>
    </row>
    <row r="224" spans="2:17" s="119" customFormat="1" ht="19.5" hidden="1" thickBot="1" x14ac:dyDescent="0.3">
      <c r="B224" s="310"/>
      <c r="C224" s="119">
        <f t="shared" si="201"/>
        <v>0</v>
      </c>
      <c r="D224" s="131" t="s">
        <v>124</v>
      </c>
      <c r="E224" s="116" t="s">
        <v>78</v>
      </c>
      <c r="F224" s="169">
        <f t="shared" ref="F224:Q224" si="217">SUBTOTAL(9,F212:F223)</f>
        <v>0</v>
      </c>
      <c r="G224" s="170">
        <f t="shared" si="217"/>
        <v>0</v>
      </c>
      <c r="H224" s="170">
        <f t="shared" si="217"/>
        <v>0</v>
      </c>
      <c r="I224" s="170">
        <f t="shared" si="217"/>
        <v>0</v>
      </c>
      <c r="J224" s="170">
        <f t="shared" si="217"/>
        <v>0</v>
      </c>
      <c r="K224" s="170">
        <f t="shared" ref="K224:P224" si="218">SUBTOTAL(9,K212:K223)</f>
        <v>0</v>
      </c>
      <c r="L224" s="170">
        <f t="shared" si="218"/>
        <v>0</v>
      </c>
      <c r="M224" s="170">
        <f t="shared" si="218"/>
        <v>0</v>
      </c>
      <c r="N224" s="170">
        <f t="shared" si="218"/>
        <v>0</v>
      </c>
      <c r="O224" s="170">
        <f t="shared" si="218"/>
        <v>0</v>
      </c>
      <c r="P224" s="170">
        <f t="shared" si="218"/>
        <v>0</v>
      </c>
      <c r="Q224" s="170">
        <f t="shared" si="217"/>
        <v>0</v>
      </c>
    </row>
    <row r="225" spans="2:17" s="119" customFormat="1" ht="19.5" hidden="1" thickBot="1" x14ac:dyDescent="0.3">
      <c r="B225" s="310"/>
      <c r="D225" s="139"/>
      <c r="E225" s="140"/>
      <c r="F225" s="141"/>
      <c r="G225" s="141"/>
      <c r="H225" s="141"/>
      <c r="I225" s="142"/>
      <c r="J225" s="142"/>
      <c r="K225" s="142"/>
      <c r="L225" s="142"/>
      <c r="M225" s="142"/>
      <c r="N225" s="142"/>
      <c r="O225" s="142"/>
      <c r="P225" s="142"/>
      <c r="Q225" s="142"/>
    </row>
    <row r="226" spans="2:17" s="119" customFormat="1" ht="45.75" hidden="1" thickBot="1" x14ac:dyDescent="0.3">
      <c r="B226" s="310"/>
      <c r="C226" s="119">
        <f>IF(E226&gt;0,1,0)</f>
        <v>0</v>
      </c>
      <c r="D226" s="96" t="str">
        <f>+A16</f>
        <v>Delaware</v>
      </c>
      <c r="E226" s="166">
        <f>+SUMIF(A:A,D226,B:B)</f>
        <v>0</v>
      </c>
      <c r="F226" s="98" t="s">
        <v>97</v>
      </c>
      <c r="G226" s="98" t="s">
        <v>126</v>
      </c>
      <c r="H226" s="98" t="s">
        <v>127</v>
      </c>
      <c r="I226" s="99" t="s">
        <v>128</v>
      </c>
      <c r="J226" s="99" t="s">
        <v>131</v>
      </c>
      <c r="K226" s="560" t="s">
        <v>474</v>
      </c>
      <c r="L226" s="560" t="s">
        <v>475</v>
      </c>
      <c r="M226" s="560" t="s">
        <v>476</v>
      </c>
      <c r="N226" s="560" t="s">
        <v>477</v>
      </c>
      <c r="O226" s="560" t="s">
        <v>478</v>
      </c>
      <c r="P226" s="560" t="s">
        <v>479</v>
      </c>
      <c r="Q226" s="99" t="s">
        <v>129</v>
      </c>
    </row>
    <row r="227" spans="2:17" s="119" customFormat="1" ht="19.5" hidden="1" thickBot="1" x14ac:dyDescent="0.3">
      <c r="B227" s="310"/>
      <c r="C227" s="119">
        <f>C226</f>
        <v>0</v>
      </c>
      <c r="D227" s="127"/>
      <c r="E227" s="128"/>
      <c r="F227" s="84" t="s">
        <v>57</v>
      </c>
      <c r="G227" s="84" t="s">
        <v>56</v>
      </c>
      <c r="H227" s="84" t="s">
        <v>55</v>
      </c>
      <c r="I227" s="84" t="s">
        <v>54</v>
      </c>
      <c r="J227" s="129" t="s">
        <v>53</v>
      </c>
      <c r="K227" s="129" t="s">
        <v>52</v>
      </c>
      <c r="L227" s="129" t="s">
        <v>51</v>
      </c>
      <c r="M227" s="129" t="s">
        <v>50</v>
      </c>
      <c r="N227" s="129" t="s">
        <v>49</v>
      </c>
      <c r="O227" s="129" t="s">
        <v>47</v>
      </c>
      <c r="P227" s="129" t="s">
        <v>77</v>
      </c>
      <c r="Q227" s="129" t="s">
        <v>78</v>
      </c>
    </row>
    <row r="228" spans="2:17" s="119" customFormat="1" ht="19.5" hidden="1" thickBot="1" x14ac:dyDescent="0.3">
      <c r="B228" s="310"/>
      <c r="C228" s="119">
        <f>C227</f>
        <v>0</v>
      </c>
      <c r="D228" s="133" t="s">
        <v>26</v>
      </c>
      <c r="E228" s="134"/>
      <c r="F228" s="135"/>
      <c r="G228" s="135"/>
      <c r="H228" s="136"/>
      <c r="I228" s="136"/>
      <c r="J228" s="137"/>
      <c r="K228" s="137"/>
      <c r="L228" s="137"/>
      <c r="M228" s="137"/>
      <c r="N228" s="137"/>
      <c r="O228" s="137"/>
      <c r="P228" s="137"/>
      <c r="Q228" s="138"/>
    </row>
    <row r="229" spans="2:17" s="119" customFormat="1" ht="19.5" hidden="1" thickBot="1" x14ac:dyDescent="0.3">
      <c r="B229" s="310"/>
      <c r="C229" s="119">
        <f t="shared" ref="C229:C241" si="219">C228</f>
        <v>0</v>
      </c>
      <c r="D229" s="109" t="s">
        <v>93</v>
      </c>
      <c r="E229" s="76" t="s">
        <v>57</v>
      </c>
      <c r="F229" s="168">
        <f>+F6*$E$226</f>
        <v>0</v>
      </c>
      <c r="G229" s="186">
        <f t="shared" ref="G229:J229" si="220">+G6*$E$226</f>
        <v>0</v>
      </c>
      <c r="H229" s="186">
        <f t="shared" si="220"/>
        <v>0</v>
      </c>
      <c r="I229" s="186">
        <f t="shared" si="220"/>
        <v>0</v>
      </c>
      <c r="J229" s="186">
        <f t="shared" si="220"/>
        <v>0</v>
      </c>
      <c r="K229" s="186">
        <f t="shared" ref="K229:P229" si="221">+K6*$E$226</f>
        <v>0</v>
      </c>
      <c r="L229" s="186">
        <f t="shared" si="221"/>
        <v>0</v>
      </c>
      <c r="M229" s="186">
        <f t="shared" si="221"/>
        <v>0</v>
      </c>
      <c r="N229" s="186">
        <f t="shared" si="221"/>
        <v>0</v>
      </c>
      <c r="O229" s="186">
        <f t="shared" si="221"/>
        <v>0</v>
      </c>
      <c r="P229" s="186">
        <f t="shared" si="221"/>
        <v>0</v>
      </c>
      <c r="Q229" s="190">
        <f>SUM(G229:P229)</f>
        <v>0</v>
      </c>
    </row>
    <row r="230" spans="2:17" s="119" customFormat="1" ht="19.5" hidden="1" thickBot="1" x14ac:dyDescent="0.3">
      <c r="B230" s="310"/>
      <c r="C230" s="119">
        <f t="shared" si="219"/>
        <v>0</v>
      </c>
      <c r="D230" s="110" t="s">
        <v>132</v>
      </c>
      <c r="E230" s="76" t="s">
        <v>56</v>
      </c>
      <c r="F230" s="191">
        <f t="shared" ref="F230:J232" si="222">+F7*$E$226</f>
        <v>0</v>
      </c>
      <c r="G230" s="192">
        <f t="shared" si="222"/>
        <v>0</v>
      </c>
      <c r="H230" s="192">
        <f t="shared" si="222"/>
        <v>0</v>
      </c>
      <c r="I230" s="192">
        <f t="shared" si="222"/>
        <v>0</v>
      </c>
      <c r="J230" s="192">
        <f t="shared" si="222"/>
        <v>0</v>
      </c>
      <c r="K230" s="192">
        <f t="shared" ref="K230:P230" si="223">+K7*$E$226</f>
        <v>0</v>
      </c>
      <c r="L230" s="192">
        <f t="shared" si="223"/>
        <v>0</v>
      </c>
      <c r="M230" s="192">
        <f t="shared" si="223"/>
        <v>0</v>
      </c>
      <c r="N230" s="192">
        <f t="shared" si="223"/>
        <v>0</v>
      </c>
      <c r="O230" s="192">
        <f t="shared" si="223"/>
        <v>0</v>
      </c>
      <c r="P230" s="192">
        <f t="shared" si="223"/>
        <v>0</v>
      </c>
      <c r="Q230" s="190">
        <f>SUM(G230:P230)</f>
        <v>0</v>
      </c>
    </row>
    <row r="231" spans="2:17" s="119" customFormat="1" ht="19.5" hidden="1" thickBot="1" x14ac:dyDescent="0.3">
      <c r="B231" s="310"/>
      <c r="C231" s="119">
        <f t="shared" si="219"/>
        <v>0</v>
      </c>
      <c r="D231" s="109" t="s">
        <v>91</v>
      </c>
      <c r="E231" s="76" t="s">
        <v>55</v>
      </c>
      <c r="F231" s="191">
        <f t="shared" si="222"/>
        <v>0</v>
      </c>
      <c r="G231" s="192">
        <f t="shared" si="222"/>
        <v>0</v>
      </c>
      <c r="H231" s="192">
        <f t="shared" si="222"/>
        <v>0</v>
      </c>
      <c r="I231" s="192">
        <f t="shared" si="222"/>
        <v>0</v>
      </c>
      <c r="J231" s="192">
        <f t="shared" si="222"/>
        <v>0</v>
      </c>
      <c r="K231" s="192">
        <f t="shared" ref="K231:P231" si="224">+K8*$E$226</f>
        <v>0</v>
      </c>
      <c r="L231" s="192">
        <f t="shared" si="224"/>
        <v>0</v>
      </c>
      <c r="M231" s="192">
        <f t="shared" si="224"/>
        <v>0</v>
      </c>
      <c r="N231" s="192">
        <f t="shared" si="224"/>
        <v>0</v>
      </c>
      <c r="O231" s="192">
        <f t="shared" si="224"/>
        <v>0</v>
      </c>
      <c r="P231" s="192">
        <f t="shared" si="224"/>
        <v>0</v>
      </c>
      <c r="Q231" s="190">
        <f>SUM(G231:P231)</f>
        <v>0</v>
      </c>
    </row>
    <row r="232" spans="2:17" s="119" customFormat="1" ht="19.5" hidden="1" thickBot="1" x14ac:dyDescent="0.3">
      <c r="B232" s="310"/>
      <c r="C232" s="119">
        <f t="shared" si="219"/>
        <v>0</v>
      </c>
      <c r="D232" s="130" t="s">
        <v>117</v>
      </c>
      <c r="E232" s="76" t="s">
        <v>54</v>
      </c>
      <c r="F232" s="191">
        <f t="shared" si="222"/>
        <v>0</v>
      </c>
      <c r="G232" s="184">
        <f t="shared" si="222"/>
        <v>0</v>
      </c>
      <c r="H232" s="184">
        <f t="shared" si="222"/>
        <v>0</v>
      </c>
      <c r="I232" s="184">
        <f t="shared" si="222"/>
        <v>0</v>
      </c>
      <c r="J232" s="184">
        <f t="shared" si="222"/>
        <v>0</v>
      </c>
      <c r="K232" s="184">
        <f t="shared" ref="K232:P232" si="225">+K9*$E$226</f>
        <v>0</v>
      </c>
      <c r="L232" s="184">
        <f t="shared" si="225"/>
        <v>0</v>
      </c>
      <c r="M232" s="184">
        <f t="shared" si="225"/>
        <v>0</v>
      </c>
      <c r="N232" s="184">
        <f t="shared" si="225"/>
        <v>0</v>
      </c>
      <c r="O232" s="184">
        <f t="shared" si="225"/>
        <v>0</v>
      </c>
      <c r="P232" s="184">
        <f t="shared" si="225"/>
        <v>0</v>
      </c>
      <c r="Q232" s="190">
        <f>SUM(G232:P232)</f>
        <v>0</v>
      </c>
    </row>
    <row r="233" spans="2:17" s="119" customFormat="1" ht="19.5" hidden="1" thickBot="1" x14ac:dyDescent="0.3">
      <c r="B233" s="310"/>
      <c r="C233" s="119">
        <f t="shared" si="219"/>
        <v>0</v>
      </c>
      <c r="D233" s="112" t="s">
        <v>31</v>
      </c>
      <c r="E233" s="76"/>
      <c r="F233" s="167"/>
      <c r="G233" s="185"/>
      <c r="H233" s="185"/>
      <c r="I233" s="185"/>
      <c r="J233" s="185"/>
      <c r="K233" s="185"/>
      <c r="L233" s="185"/>
      <c r="M233" s="185"/>
      <c r="N233" s="185"/>
      <c r="O233" s="185"/>
      <c r="P233" s="185"/>
      <c r="Q233" s="171"/>
    </row>
    <row r="234" spans="2:17" s="119" customFormat="1" ht="19.5" hidden="1" thickBot="1" x14ac:dyDescent="0.35">
      <c r="B234" s="310"/>
      <c r="C234" s="119">
        <f t="shared" si="219"/>
        <v>0</v>
      </c>
      <c r="D234" s="125" t="s">
        <v>118</v>
      </c>
      <c r="E234" s="76" t="s">
        <v>53</v>
      </c>
      <c r="F234" s="168">
        <f t="shared" ref="F234:J240" si="226">+F11*$E$226</f>
        <v>0</v>
      </c>
      <c r="G234" s="186">
        <f t="shared" si="226"/>
        <v>0</v>
      </c>
      <c r="H234" s="186">
        <f t="shared" si="226"/>
        <v>0</v>
      </c>
      <c r="I234" s="186">
        <f t="shared" si="226"/>
        <v>0</v>
      </c>
      <c r="J234" s="186">
        <f t="shared" si="226"/>
        <v>0</v>
      </c>
      <c r="K234" s="186">
        <f t="shared" ref="K234:P234" si="227">+K11*$E$226</f>
        <v>0</v>
      </c>
      <c r="L234" s="186">
        <f t="shared" si="227"/>
        <v>0</v>
      </c>
      <c r="M234" s="186">
        <f t="shared" si="227"/>
        <v>0</v>
      </c>
      <c r="N234" s="186">
        <f t="shared" si="227"/>
        <v>0</v>
      </c>
      <c r="O234" s="186">
        <f t="shared" si="227"/>
        <v>0</v>
      </c>
      <c r="P234" s="186">
        <f t="shared" si="227"/>
        <v>0</v>
      </c>
      <c r="Q234" s="190">
        <f t="shared" ref="Q234:Q240" si="228">SUM(G234:P234)</f>
        <v>0</v>
      </c>
    </row>
    <row r="235" spans="2:17" s="119" customFormat="1" ht="19.5" hidden="1" thickBot="1" x14ac:dyDescent="0.35">
      <c r="B235" s="310"/>
      <c r="C235" s="119">
        <f t="shared" si="219"/>
        <v>0</v>
      </c>
      <c r="D235" s="125" t="s">
        <v>119</v>
      </c>
      <c r="E235" s="76" t="s">
        <v>52</v>
      </c>
      <c r="F235" s="168">
        <f t="shared" si="226"/>
        <v>0</v>
      </c>
      <c r="G235" s="186">
        <f t="shared" si="226"/>
        <v>0</v>
      </c>
      <c r="H235" s="186">
        <f t="shared" si="226"/>
        <v>0</v>
      </c>
      <c r="I235" s="186">
        <f t="shared" si="226"/>
        <v>0</v>
      </c>
      <c r="J235" s="186">
        <f t="shared" si="226"/>
        <v>0</v>
      </c>
      <c r="K235" s="186">
        <f t="shared" ref="K235:P235" si="229">+K12*$E$226</f>
        <v>0</v>
      </c>
      <c r="L235" s="186">
        <f t="shared" si="229"/>
        <v>0</v>
      </c>
      <c r="M235" s="186">
        <f t="shared" si="229"/>
        <v>0</v>
      </c>
      <c r="N235" s="186">
        <f t="shared" si="229"/>
        <v>0</v>
      </c>
      <c r="O235" s="186">
        <f t="shared" si="229"/>
        <v>0</v>
      </c>
      <c r="P235" s="186">
        <f t="shared" si="229"/>
        <v>0</v>
      </c>
      <c r="Q235" s="190">
        <f t="shared" si="228"/>
        <v>0</v>
      </c>
    </row>
    <row r="236" spans="2:17" s="119" customFormat="1" ht="19.5" hidden="1" thickBot="1" x14ac:dyDescent="0.35">
      <c r="B236" s="310"/>
      <c r="C236" s="119">
        <f t="shared" si="219"/>
        <v>0</v>
      </c>
      <c r="D236" s="125" t="s">
        <v>120</v>
      </c>
      <c r="E236" s="76" t="s">
        <v>51</v>
      </c>
      <c r="F236" s="168">
        <f t="shared" si="226"/>
        <v>0</v>
      </c>
      <c r="G236" s="186">
        <f t="shared" si="226"/>
        <v>0</v>
      </c>
      <c r="H236" s="186">
        <f t="shared" si="226"/>
        <v>0</v>
      </c>
      <c r="I236" s="186">
        <f t="shared" si="226"/>
        <v>0</v>
      </c>
      <c r="J236" s="186">
        <f t="shared" si="226"/>
        <v>0</v>
      </c>
      <c r="K236" s="186">
        <f t="shared" ref="K236:P236" si="230">+K13*$E$226</f>
        <v>0</v>
      </c>
      <c r="L236" s="186">
        <f t="shared" si="230"/>
        <v>0</v>
      </c>
      <c r="M236" s="186">
        <f t="shared" si="230"/>
        <v>0</v>
      </c>
      <c r="N236" s="186">
        <f t="shared" si="230"/>
        <v>0</v>
      </c>
      <c r="O236" s="186">
        <f t="shared" si="230"/>
        <v>0</v>
      </c>
      <c r="P236" s="186">
        <f t="shared" si="230"/>
        <v>0</v>
      </c>
      <c r="Q236" s="190">
        <f t="shared" si="228"/>
        <v>0</v>
      </c>
    </row>
    <row r="237" spans="2:17" s="119" customFormat="1" ht="19.5" hidden="1" thickBot="1" x14ac:dyDescent="0.35">
      <c r="B237" s="310"/>
      <c r="C237" s="119">
        <f t="shared" si="219"/>
        <v>0</v>
      </c>
      <c r="D237" s="125" t="s">
        <v>121</v>
      </c>
      <c r="E237" s="76" t="s">
        <v>50</v>
      </c>
      <c r="F237" s="168">
        <f t="shared" si="226"/>
        <v>0</v>
      </c>
      <c r="G237" s="186">
        <f t="shared" si="226"/>
        <v>0</v>
      </c>
      <c r="H237" s="186">
        <f t="shared" si="226"/>
        <v>0</v>
      </c>
      <c r="I237" s="186">
        <f t="shared" si="226"/>
        <v>0</v>
      </c>
      <c r="J237" s="186">
        <f t="shared" si="226"/>
        <v>0</v>
      </c>
      <c r="K237" s="186">
        <f t="shared" ref="K237:P237" si="231">+K14*$E$226</f>
        <v>0</v>
      </c>
      <c r="L237" s="186">
        <f t="shared" si="231"/>
        <v>0</v>
      </c>
      <c r="M237" s="186">
        <f t="shared" si="231"/>
        <v>0</v>
      </c>
      <c r="N237" s="186">
        <f t="shared" si="231"/>
        <v>0</v>
      </c>
      <c r="O237" s="186">
        <f t="shared" si="231"/>
        <v>0</v>
      </c>
      <c r="P237" s="186">
        <f t="shared" si="231"/>
        <v>0</v>
      </c>
      <c r="Q237" s="190">
        <f t="shared" si="228"/>
        <v>0</v>
      </c>
    </row>
    <row r="238" spans="2:17" s="119" customFormat="1" ht="19.5" hidden="1" thickBot="1" x14ac:dyDescent="0.35">
      <c r="B238" s="310"/>
      <c r="C238" s="119">
        <f t="shared" si="219"/>
        <v>0</v>
      </c>
      <c r="D238" s="125" t="s">
        <v>122</v>
      </c>
      <c r="E238" s="76" t="s">
        <v>49</v>
      </c>
      <c r="F238" s="168">
        <f t="shared" si="226"/>
        <v>0</v>
      </c>
      <c r="G238" s="186">
        <f t="shared" si="226"/>
        <v>0</v>
      </c>
      <c r="H238" s="186">
        <f t="shared" si="226"/>
        <v>0</v>
      </c>
      <c r="I238" s="186">
        <f t="shared" si="226"/>
        <v>0</v>
      </c>
      <c r="J238" s="186">
        <f t="shared" si="226"/>
        <v>0</v>
      </c>
      <c r="K238" s="186">
        <f t="shared" ref="K238:P238" si="232">+K15*$E$226</f>
        <v>0</v>
      </c>
      <c r="L238" s="186">
        <f t="shared" si="232"/>
        <v>0</v>
      </c>
      <c r="M238" s="186">
        <f t="shared" si="232"/>
        <v>0</v>
      </c>
      <c r="N238" s="186">
        <f t="shared" si="232"/>
        <v>0</v>
      </c>
      <c r="O238" s="186">
        <f t="shared" si="232"/>
        <v>0</v>
      </c>
      <c r="P238" s="186">
        <f t="shared" si="232"/>
        <v>0</v>
      </c>
      <c r="Q238" s="190">
        <f t="shared" si="228"/>
        <v>0</v>
      </c>
    </row>
    <row r="239" spans="2:17" s="119" customFormat="1" ht="19.5" hidden="1" thickBot="1" x14ac:dyDescent="0.35">
      <c r="B239" s="310"/>
      <c r="C239" s="119">
        <f t="shared" si="219"/>
        <v>0</v>
      </c>
      <c r="D239" s="125" t="s">
        <v>123</v>
      </c>
      <c r="E239" s="76" t="s">
        <v>47</v>
      </c>
      <c r="F239" s="168">
        <f t="shared" si="226"/>
        <v>0</v>
      </c>
      <c r="G239" s="186">
        <f t="shared" si="226"/>
        <v>0</v>
      </c>
      <c r="H239" s="186">
        <f t="shared" si="226"/>
        <v>0</v>
      </c>
      <c r="I239" s="186">
        <f t="shared" si="226"/>
        <v>0</v>
      </c>
      <c r="J239" s="186">
        <f t="shared" si="226"/>
        <v>0</v>
      </c>
      <c r="K239" s="186">
        <f t="shared" ref="K239:P239" si="233">+K16*$E$226</f>
        <v>0</v>
      </c>
      <c r="L239" s="186">
        <f t="shared" si="233"/>
        <v>0</v>
      </c>
      <c r="M239" s="186">
        <f t="shared" si="233"/>
        <v>0</v>
      </c>
      <c r="N239" s="186">
        <f t="shared" si="233"/>
        <v>0</v>
      </c>
      <c r="O239" s="186">
        <f t="shared" si="233"/>
        <v>0</v>
      </c>
      <c r="P239" s="186">
        <f t="shared" si="233"/>
        <v>0</v>
      </c>
      <c r="Q239" s="190">
        <f t="shared" si="228"/>
        <v>0</v>
      </c>
    </row>
    <row r="240" spans="2:17" s="119" customFormat="1" ht="19.5" hidden="1" thickBot="1" x14ac:dyDescent="0.35">
      <c r="B240" s="310"/>
      <c r="C240" s="119">
        <f t="shared" si="219"/>
        <v>0</v>
      </c>
      <c r="D240" s="125" t="s">
        <v>16</v>
      </c>
      <c r="E240" s="70" t="s">
        <v>77</v>
      </c>
      <c r="F240" s="168">
        <f t="shared" si="226"/>
        <v>0</v>
      </c>
      <c r="G240" s="186">
        <f t="shared" si="226"/>
        <v>0</v>
      </c>
      <c r="H240" s="186">
        <f t="shared" si="226"/>
        <v>0</v>
      </c>
      <c r="I240" s="186">
        <f t="shared" si="226"/>
        <v>0</v>
      </c>
      <c r="J240" s="186">
        <f t="shared" si="226"/>
        <v>0</v>
      </c>
      <c r="K240" s="186">
        <f t="shared" ref="K240:P240" si="234">+K17*$E$226</f>
        <v>0</v>
      </c>
      <c r="L240" s="186">
        <f t="shared" si="234"/>
        <v>0</v>
      </c>
      <c r="M240" s="186">
        <f t="shared" si="234"/>
        <v>0</v>
      </c>
      <c r="N240" s="186">
        <f t="shared" si="234"/>
        <v>0</v>
      </c>
      <c r="O240" s="186">
        <f t="shared" si="234"/>
        <v>0</v>
      </c>
      <c r="P240" s="186">
        <f t="shared" si="234"/>
        <v>0</v>
      </c>
      <c r="Q240" s="190">
        <f t="shared" si="228"/>
        <v>0</v>
      </c>
    </row>
    <row r="241" spans="2:17" s="119" customFormat="1" ht="19.5" hidden="1" thickBot="1" x14ac:dyDescent="0.3">
      <c r="B241" s="310"/>
      <c r="C241" s="119">
        <f t="shared" si="219"/>
        <v>0</v>
      </c>
      <c r="D241" s="131" t="s">
        <v>124</v>
      </c>
      <c r="E241" s="116" t="s">
        <v>78</v>
      </c>
      <c r="F241" s="169">
        <f t="shared" ref="F241:Q241" si="235">SUBTOTAL(9,F229:F240)</f>
        <v>0</v>
      </c>
      <c r="G241" s="170">
        <f t="shared" si="235"/>
        <v>0</v>
      </c>
      <c r="H241" s="170">
        <f t="shared" si="235"/>
        <v>0</v>
      </c>
      <c r="I241" s="170">
        <f t="shared" si="235"/>
        <v>0</v>
      </c>
      <c r="J241" s="170">
        <f t="shared" si="235"/>
        <v>0</v>
      </c>
      <c r="K241" s="170">
        <f t="shared" ref="K241:P241" si="236">SUBTOTAL(9,K229:K240)</f>
        <v>0</v>
      </c>
      <c r="L241" s="170">
        <f t="shared" si="236"/>
        <v>0</v>
      </c>
      <c r="M241" s="170">
        <f t="shared" si="236"/>
        <v>0</v>
      </c>
      <c r="N241" s="170">
        <f t="shared" si="236"/>
        <v>0</v>
      </c>
      <c r="O241" s="170">
        <f t="shared" si="236"/>
        <v>0</v>
      </c>
      <c r="P241" s="170">
        <f t="shared" si="236"/>
        <v>0</v>
      </c>
      <c r="Q241" s="170">
        <f t="shared" si="235"/>
        <v>0</v>
      </c>
    </row>
    <row r="242" spans="2:17" s="119" customFormat="1" ht="19.5" hidden="1" thickBot="1" x14ac:dyDescent="0.3">
      <c r="B242" s="310"/>
      <c r="D242" s="139"/>
      <c r="E242" s="140"/>
      <c r="F242" s="141"/>
      <c r="G242" s="141"/>
      <c r="H242" s="141"/>
      <c r="I242" s="142"/>
      <c r="J242" s="142"/>
      <c r="K242" s="142"/>
      <c r="L242" s="142"/>
      <c r="M242" s="142"/>
      <c r="N242" s="142"/>
      <c r="O242" s="142"/>
      <c r="P242" s="142"/>
      <c r="Q242" s="142"/>
    </row>
    <row r="243" spans="2:17" s="119" customFormat="1" ht="45.75" hidden="1" thickBot="1" x14ac:dyDescent="0.3">
      <c r="B243" s="310"/>
      <c r="C243" s="119">
        <f>IF(E243&gt;0,1,0)</f>
        <v>0</v>
      </c>
      <c r="D243" s="96" t="str">
        <f>+A17</f>
        <v>Dutchess</v>
      </c>
      <c r="E243" s="166">
        <f>+SUMIF(A:A,D243,B:B)</f>
        <v>0</v>
      </c>
      <c r="F243" s="98" t="s">
        <v>97</v>
      </c>
      <c r="G243" s="98" t="s">
        <v>126</v>
      </c>
      <c r="H243" s="98" t="s">
        <v>127</v>
      </c>
      <c r="I243" s="99" t="s">
        <v>128</v>
      </c>
      <c r="J243" s="99" t="s">
        <v>131</v>
      </c>
      <c r="K243" s="560" t="s">
        <v>474</v>
      </c>
      <c r="L243" s="560" t="s">
        <v>475</v>
      </c>
      <c r="M243" s="560" t="s">
        <v>476</v>
      </c>
      <c r="N243" s="560" t="s">
        <v>477</v>
      </c>
      <c r="O243" s="560" t="s">
        <v>478</v>
      </c>
      <c r="P243" s="560" t="s">
        <v>479</v>
      </c>
      <c r="Q243" s="99" t="s">
        <v>129</v>
      </c>
    </row>
    <row r="244" spans="2:17" s="119" customFormat="1" ht="19.5" hidden="1" thickBot="1" x14ac:dyDescent="0.3">
      <c r="B244" s="310"/>
      <c r="C244" s="119">
        <f>C243</f>
        <v>0</v>
      </c>
      <c r="D244" s="127"/>
      <c r="E244" s="128"/>
      <c r="F244" s="84" t="s">
        <v>57</v>
      </c>
      <c r="G244" s="84" t="s">
        <v>56</v>
      </c>
      <c r="H244" s="84" t="s">
        <v>55</v>
      </c>
      <c r="I244" s="84" t="s">
        <v>54</v>
      </c>
      <c r="J244" s="129" t="s">
        <v>53</v>
      </c>
      <c r="K244" s="129" t="s">
        <v>52</v>
      </c>
      <c r="L244" s="129" t="s">
        <v>51</v>
      </c>
      <c r="M244" s="129" t="s">
        <v>50</v>
      </c>
      <c r="N244" s="129" t="s">
        <v>49</v>
      </c>
      <c r="O244" s="129" t="s">
        <v>47</v>
      </c>
      <c r="P244" s="129" t="s">
        <v>77</v>
      </c>
      <c r="Q244" s="129" t="s">
        <v>78</v>
      </c>
    </row>
    <row r="245" spans="2:17" s="119" customFormat="1" ht="19.5" hidden="1" thickBot="1" x14ac:dyDescent="0.3">
      <c r="B245" s="310"/>
      <c r="C245" s="119">
        <f>C244</f>
        <v>0</v>
      </c>
      <c r="D245" s="133" t="s">
        <v>26</v>
      </c>
      <c r="E245" s="134"/>
      <c r="F245" s="135"/>
      <c r="G245" s="135"/>
      <c r="H245" s="136"/>
      <c r="I245" s="136"/>
      <c r="J245" s="137"/>
      <c r="K245" s="137"/>
      <c r="L245" s="137"/>
      <c r="M245" s="137"/>
      <c r="N245" s="137"/>
      <c r="O245" s="137"/>
      <c r="P245" s="137"/>
      <c r="Q245" s="138"/>
    </row>
    <row r="246" spans="2:17" s="119" customFormat="1" ht="19.5" hidden="1" thickBot="1" x14ac:dyDescent="0.3">
      <c r="B246" s="310"/>
      <c r="C246" s="119">
        <f t="shared" ref="C246:C258" si="237">C245</f>
        <v>0</v>
      </c>
      <c r="D246" s="109" t="s">
        <v>93</v>
      </c>
      <c r="E246" s="76" t="s">
        <v>57</v>
      </c>
      <c r="F246" s="168">
        <f>+F6*$E$243</f>
        <v>0</v>
      </c>
      <c r="G246" s="186">
        <f t="shared" ref="G246:J246" si="238">+G6*$E$243</f>
        <v>0</v>
      </c>
      <c r="H246" s="186">
        <f t="shared" si="238"/>
        <v>0</v>
      </c>
      <c r="I246" s="186">
        <f t="shared" si="238"/>
        <v>0</v>
      </c>
      <c r="J246" s="186">
        <f t="shared" si="238"/>
        <v>0</v>
      </c>
      <c r="K246" s="186">
        <f t="shared" ref="K246:P246" si="239">+K6*$E$243</f>
        <v>0</v>
      </c>
      <c r="L246" s="186">
        <f t="shared" si="239"/>
        <v>0</v>
      </c>
      <c r="M246" s="186">
        <f t="shared" si="239"/>
        <v>0</v>
      </c>
      <c r="N246" s="186">
        <f t="shared" si="239"/>
        <v>0</v>
      </c>
      <c r="O246" s="186">
        <f t="shared" si="239"/>
        <v>0</v>
      </c>
      <c r="P246" s="186">
        <f t="shared" si="239"/>
        <v>0</v>
      </c>
      <c r="Q246" s="190">
        <f>SUM(G246:P246)</f>
        <v>0</v>
      </c>
    </row>
    <row r="247" spans="2:17" s="119" customFormat="1" ht="19.5" hidden="1" thickBot="1" x14ac:dyDescent="0.3">
      <c r="B247" s="310"/>
      <c r="C247" s="119">
        <f t="shared" si="237"/>
        <v>0</v>
      </c>
      <c r="D247" s="110" t="s">
        <v>132</v>
      </c>
      <c r="E247" s="76" t="s">
        <v>56</v>
      </c>
      <c r="F247" s="191">
        <f t="shared" ref="F247:J249" si="240">+F7*$E$243</f>
        <v>0</v>
      </c>
      <c r="G247" s="192">
        <f t="shared" si="240"/>
        <v>0</v>
      </c>
      <c r="H247" s="192">
        <f t="shared" si="240"/>
        <v>0</v>
      </c>
      <c r="I247" s="192">
        <f t="shared" si="240"/>
        <v>0</v>
      </c>
      <c r="J247" s="192">
        <f t="shared" si="240"/>
        <v>0</v>
      </c>
      <c r="K247" s="192">
        <f t="shared" ref="K247:P247" si="241">+K7*$E$243</f>
        <v>0</v>
      </c>
      <c r="L247" s="192">
        <f t="shared" si="241"/>
        <v>0</v>
      </c>
      <c r="M247" s="192">
        <f t="shared" si="241"/>
        <v>0</v>
      </c>
      <c r="N247" s="192">
        <f t="shared" si="241"/>
        <v>0</v>
      </c>
      <c r="O247" s="192">
        <f t="shared" si="241"/>
        <v>0</v>
      </c>
      <c r="P247" s="192">
        <f t="shared" si="241"/>
        <v>0</v>
      </c>
      <c r="Q247" s="190">
        <f>SUM(G247:P247)</f>
        <v>0</v>
      </c>
    </row>
    <row r="248" spans="2:17" s="119" customFormat="1" ht="19.5" hidden="1" thickBot="1" x14ac:dyDescent="0.3">
      <c r="B248" s="310"/>
      <c r="C248" s="119">
        <f t="shared" si="237"/>
        <v>0</v>
      </c>
      <c r="D248" s="109" t="s">
        <v>91</v>
      </c>
      <c r="E248" s="76" t="s">
        <v>55</v>
      </c>
      <c r="F248" s="191">
        <f t="shared" si="240"/>
        <v>0</v>
      </c>
      <c r="G248" s="192">
        <f t="shared" si="240"/>
        <v>0</v>
      </c>
      <c r="H248" s="192">
        <f t="shared" si="240"/>
        <v>0</v>
      </c>
      <c r="I248" s="192">
        <f t="shared" si="240"/>
        <v>0</v>
      </c>
      <c r="J248" s="192">
        <f t="shared" si="240"/>
        <v>0</v>
      </c>
      <c r="K248" s="192">
        <f t="shared" ref="K248:P248" si="242">+K8*$E$243</f>
        <v>0</v>
      </c>
      <c r="L248" s="192">
        <f t="shared" si="242"/>
        <v>0</v>
      </c>
      <c r="M248" s="192">
        <f t="shared" si="242"/>
        <v>0</v>
      </c>
      <c r="N248" s="192">
        <f t="shared" si="242"/>
        <v>0</v>
      </c>
      <c r="O248" s="192">
        <f t="shared" si="242"/>
        <v>0</v>
      </c>
      <c r="P248" s="192">
        <f t="shared" si="242"/>
        <v>0</v>
      </c>
      <c r="Q248" s="190">
        <f>SUM(G248:P248)</f>
        <v>0</v>
      </c>
    </row>
    <row r="249" spans="2:17" s="119" customFormat="1" ht="19.5" hidden="1" thickBot="1" x14ac:dyDescent="0.3">
      <c r="B249" s="310"/>
      <c r="C249" s="119">
        <f t="shared" si="237"/>
        <v>0</v>
      </c>
      <c r="D249" s="130" t="s">
        <v>117</v>
      </c>
      <c r="E249" s="76" t="s">
        <v>54</v>
      </c>
      <c r="F249" s="191">
        <f t="shared" si="240"/>
        <v>0</v>
      </c>
      <c r="G249" s="184">
        <f t="shared" si="240"/>
        <v>0</v>
      </c>
      <c r="H249" s="184">
        <f t="shared" si="240"/>
        <v>0</v>
      </c>
      <c r="I249" s="184">
        <f t="shared" si="240"/>
        <v>0</v>
      </c>
      <c r="J249" s="184">
        <f t="shared" si="240"/>
        <v>0</v>
      </c>
      <c r="K249" s="184">
        <f t="shared" ref="K249:P249" si="243">+K9*$E$243</f>
        <v>0</v>
      </c>
      <c r="L249" s="184">
        <f t="shared" si="243"/>
        <v>0</v>
      </c>
      <c r="M249" s="184">
        <f t="shared" si="243"/>
        <v>0</v>
      </c>
      <c r="N249" s="184">
        <f t="shared" si="243"/>
        <v>0</v>
      </c>
      <c r="O249" s="184">
        <f t="shared" si="243"/>
        <v>0</v>
      </c>
      <c r="P249" s="184">
        <f t="shared" si="243"/>
        <v>0</v>
      </c>
      <c r="Q249" s="190">
        <f>SUM(G249:P249)</f>
        <v>0</v>
      </c>
    </row>
    <row r="250" spans="2:17" s="119" customFormat="1" ht="19.5" hidden="1" thickBot="1" x14ac:dyDescent="0.3">
      <c r="B250" s="310"/>
      <c r="C250" s="119">
        <f t="shared" si="237"/>
        <v>0</v>
      </c>
      <c r="D250" s="112" t="s">
        <v>31</v>
      </c>
      <c r="E250" s="76"/>
      <c r="F250" s="167"/>
      <c r="G250" s="185"/>
      <c r="H250" s="185"/>
      <c r="I250" s="185"/>
      <c r="J250" s="185"/>
      <c r="K250" s="185"/>
      <c r="L250" s="185"/>
      <c r="M250" s="185"/>
      <c r="N250" s="185"/>
      <c r="O250" s="185"/>
      <c r="P250" s="185"/>
      <c r="Q250" s="171"/>
    </row>
    <row r="251" spans="2:17" s="119" customFormat="1" ht="19.5" hidden="1" thickBot="1" x14ac:dyDescent="0.35">
      <c r="B251" s="310"/>
      <c r="C251" s="119">
        <f t="shared" si="237"/>
        <v>0</v>
      </c>
      <c r="D251" s="125" t="s">
        <v>118</v>
      </c>
      <c r="E251" s="76" t="s">
        <v>53</v>
      </c>
      <c r="F251" s="168">
        <f t="shared" ref="F251:J257" si="244">+F11*$E$243</f>
        <v>0</v>
      </c>
      <c r="G251" s="186">
        <f t="shared" si="244"/>
        <v>0</v>
      </c>
      <c r="H251" s="186">
        <f t="shared" si="244"/>
        <v>0</v>
      </c>
      <c r="I251" s="186">
        <f t="shared" si="244"/>
        <v>0</v>
      </c>
      <c r="J251" s="186">
        <f t="shared" si="244"/>
        <v>0</v>
      </c>
      <c r="K251" s="186">
        <f t="shared" ref="K251:P251" si="245">+K11*$E$243</f>
        <v>0</v>
      </c>
      <c r="L251" s="186">
        <f t="shared" si="245"/>
        <v>0</v>
      </c>
      <c r="M251" s="186">
        <f t="shared" si="245"/>
        <v>0</v>
      </c>
      <c r="N251" s="186">
        <f t="shared" si="245"/>
        <v>0</v>
      </c>
      <c r="O251" s="186">
        <f t="shared" si="245"/>
        <v>0</v>
      </c>
      <c r="P251" s="186">
        <f t="shared" si="245"/>
        <v>0</v>
      </c>
      <c r="Q251" s="190">
        <f t="shared" ref="Q251:Q257" si="246">SUM(G251:P251)</f>
        <v>0</v>
      </c>
    </row>
    <row r="252" spans="2:17" s="119" customFormat="1" ht="19.5" hidden="1" thickBot="1" x14ac:dyDescent="0.35">
      <c r="B252" s="310"/>
      <c r="C252" s="119">
        <f t="shared" si="237"/>
        <v>0</v>
      </c>
      <c r="D252" s="125" t="s">
        <v>119</v>
      </c>
      <c r="E252" s="76" t="s">
        <v>52</v>
      </c>
      <c r="F252" s="168">
        <f t="shared" si="244"/>
        <v>0</v>
      </c>
      <c r="G252" s="186">
        <f t="shared" si="244"/>
        <v>0</v>
      </c>
      <c r="H252" s="186">
        <f t="shared" si="244"/>
        <v>0</v>
      </c>
      <c r="I252" s="186">
        <f t="shared" si="244"/>
        <v>0</v>
      </c>
      <c r="J252" s="186">
        <f t="shared" si="244"/>
        <v>0</v>
      </c>
      <c r="K252" s="186">
        <f t="shared" ref="K252:P252" si="247">+K12*$E$243</f>
        <v>0</v>
      </c>
      <c r="L252" s="186">
        <f t="shared" si="247"/>
        <v>0</v>
      </c>
      <c r="M252" s="186">
        <f t="shared" si="247"/>
        <v>0</v>
      </c>
      <c r="N252" s="186">
        <f t="shared" si="247"/>
        <v>0</v>
      </c>
      <c r="O252" s="186">
        <f t="shared" si="247"/>
        <v>0</v>
      </c>
      <c r="P252" s="186">
        <f t="shared" si="247"/>
        <v>0</v>
      </c>
      <c r="Q252" s="190">
        <f t="shared" si="246"/>
        <v>0</v>
      </c>
    </row>
    <row r="253" spans="2:17" s="119" customFormat="1" ht="19.5" hidden="1" thickBot="1" x14ac:dyDescent="0.35">
      <c r="B253" s="310"/>
      <c r="C253" s="119">
        <f t="shared" si="237"/>
        <v>0</v>
      </c>
      <c r="D253" s="125" t="s">
        <v>120</v>
      </c>
      <c r="E253" s="76" t="s">
        <v>51</v>
      </c>
      <c r="F253" s="168">
        <f t="shared" si="244"/>
        <v>0</v>
      </c>
      <c r="G253" s="186">
        <f t="shared" si="244"/>
        <v>0</v>
      </c>
      <c r="H253" s="186">
        <f t="shared" si="244"/>
        <v>0</v>
      </c>
      <c r="I253" s="186">
        <f t="shared" si="244"/>
        <v>0</v>
      </c>
      <c r="J253" s="186">
        <f t="shared" si="244"/>
        <v>0</v>
      </c>
      <c r="K253" s="186">
        <f t="shared" ref="K253:P253" si="248">+K13*$E$243</f>
        <v>0</v>
      </c>
      <c r="L253" s="186">
        <f t="shared" si="248"/>
        <v>0</v>
      </c>
      <c r="M253" s="186">
        <f t="shared" si="248"/>
        <v>0</v>
      </c>
      <c r="N253" s="186">
        <f t="shared" si="248"/>
        <v>0</v>
      </c>
      <c r="O253" s="186">
        <f t="shared" si="248"/>
        <v>0</v>
      </c>
      <c r="P253" s="186">
        <f t="shared" si="248"/>
        <v>0</v>
      </c>
      <c r="Q253" s="190">
        <f t="shared" si="246"/>
        <v>0</v>
      </c>
    </row>
    <row r="254" spans="2:17" s="119" customFormat="1" ht="19.5" hidden="1" thickBot="1" x14ac:dyDescent="0.35">
      <c r="B254" s="310"/>
      <c r="C254" s="119">
        <f t="shared" si="237"/>
        <v>0</v>
      </c>
      <c r="D254" s="125" t="s">
        <v>121</v>
      </c>
      <c r="E254" s="76" t="s">
        <v>50</v>
      </c>
      <c r="F254" s="168">
        <f t="shared" si="244"/>
        <v>0</v>
      </c>
      <c r="G254" s="186">
        <f t="shared" si="244"/>
        <v>0</v>
      </c>
      <c r="H254" s="186">
        <f t="shared" si="244"/>
        <v>0</v>
      </c>
      <c r="I254" s="186">
        <f t="shared" si="244"/>
        <v>0</v>
      </c>
      <c r="J254" s="186">
        <f t="shared" si="244"/>
        <v>0</v>
      </c>
      <c r="K254" s="186">
        <f t="shared" ref="K254:P254" si="249">+K14*$E$243</f>
        <v>0</v>
      </c>
      <c r="L254" s="186">
        <f t="shared" si="249"/>
        <v>0</v>
      </c>
      <c r="M254" s="186">
        <f t="shared" si="249"/>
        <v>0</v>
      </c>
      <c r="N254" s="186">
        <f t="shared" si="249"/>
        <v>0</v>
      </c>
      <c r="O254" s="186">
        <f t="shared" si="249"/>
        <v>0</v>
      </c>
      <c r="P254" s="186">
        <f t="shared" si="249"/>
        <v>0</v>
      </c>
      <c r="Q254" s="190">
        <f t="shared" si="246"/>
        <v>0</v>
      </c>
    </row>
    <row r="255" spans="2:17" s="119" customFormat="1" ht="19.5" hidden="1" thickBot="1" x14ac:dyDescent="0.35">
      <c r="B255" s="310"/>
      <c r="C255" s="119">
        <f t="shared" si="237"/>
        <v>0</v>
      </c>
      <c r="D255" s="125" t="s">
        <v>122</v>
      </c>
      <c r="E255" s="76" t="s">
        <v>49</v>
      </c>
      <c r="F255" s="168">
        <f t="shared" si="244"/>
        <v>0</v>
      </c>
      <c r="G255" s="186">
        <f t="shared" si="244"/>
        <v>0</v>
      </c>
      <c r="H255" s="186">
        <f t="shared" si="244"/>
        <v>0</v>
      </c>
      <c r="I255" s="186">
        <f t="shared" si="244"/>
        <v>0</v>
      </c>
      <c r="J255" s="186">
        <f t="shared" si="244"/>
        <v>0</v>
      </c>
      <c r="K255" s="186">
        <f t="shared" ref="K255:P255" si="250">+K15*$E$243</f>
        <v>0</v>
      </c>
      <c r="L255" s="186">
        <f t="shared" si="250"/>
        <v>0</v>
      </c>
      <c r="M255" s="186">
        <f t="shared" si="250"/>
        <v>0</v>
      </c>
      <c r="N255" s="186">
        <f t="shared" si="250"/>
        <v>0</v>
      </c>
      <c r="O255" s="186">
        <f t="shared" si="250"/>
        <v>0</v>
      </c>
      <c r="P255" s="186">
        <f t="shared" si="250"/>
        <v>0</v>
      </c>
      <c r="Q255" s="190">
        <f t="shared" si="246"/>
        <v>0</v>
      </c>
    </row>
    <row r="256" spans="2:17" s="119" customFormat="1" ht="19.5" hidden="1" thickBot="1" x14ac:dyDescent="0.35">
      <c r="B256" s="310"/>
      <c r="C256" s="119">
        <f t="shared" si="237"/>
        <v>0</v>
      </c>
      <c r="D256" s="125" t="s">
        <v>123</v>
      </c>
      <c r="E256" s="76" t="s">
        <v>47</v>
      </c>
      <c r="F256" s="168">
        <f t="shared" si="244"/>
        <v>0</v>
      </c>
      <c r="G256" s="186">
        <f t="shared" si="244"/>
        <v>0</v>
      </c>
      <c r="H256" s="186">
        <f t="shared" si="244"/>
        <v>0</v>
      </c>
      <c r="I256" s="186">
        <f t="shared" si="244"/>
        <v>0</v>
      </c>
      <c r="J256" s="186">
        <f t="shared" si="244"/>
        <v>0</v>
      </c>
      <c r="K256" s="186">
        <f t="shared" ref="K256:P256" si="251">+K16*$E$243</f>
        <v>0</v>
      </c>
      <c r="L256" s="186">
        <f t="shared" si="251"/>
        <v>0</v>
      </c>
      <c r="M256" s="186">
        <f t="shared" si="251"/>
        <v>0</v>
      </c>
      <c r="N256" s="186">
        <f t="shared" si="251"/>
        <v>0</v>
      </c>
      <c r="O256" s="186">
        <f t="shared" si="251"/>
        <v>0</v>
      </c>
      <c r="P256" s="186">
        <f t="shared" si="251"/>
        <v>0</v>
      </c>
      <c r="Q256" s="190">
        <f t="shared" si="246"/>
        <v>0</v>
      </c>
    </row>
    <row r="257" spans="2:17" s="119" customFormat="1" ht="19.5" hidden="1" thickBot="1" x14ac:dyDescent="0.35">
      <c r="B257" s="310"/>
      <c r="C257" s="119">
        <f t="shared" si="237"/>
        <v>0</v>
      </c>
      <c r="D257" s="125" t="s">
        <v>16</v>
      </c>
      <c r="E257" s="70" t="s">
        <v>77</v>
      </c>
      <c r="F257" s="168">
        <f t="shared" si="244"/>
        <v>0</v>
      </c>
      <c r="G257" s="186">
        <f t="shared" si="244"/>
        <v>0</v>
      </c>
      <c r="H257" s="186">
        <f t="shared" si="244"/>
        <v>0</v>
      </c>
      <c r="I257" s="186">
        <f t="shared" si="244"/>
        <v>0</v>
      </c>
      <c r="J257" s="186">
        <f t="shared" si="244"/>
        <v>0</v>
      </c>
      <c r="K257" s="186">
        <f t="shared" ref="K257:P257" si="252">+K17*$E$243</f>
        <v>0</v>
      </c>
      <c r="L257" s="186">
        <f t="shared" si="252"/>
        <v>0</v>
      </c>
      <c r="M257" s="186">
        <f t="shared" si="252"/>
        <v>0</v>
      </c>
      <c r="N257" s="186">
        <f t="shared" si="252"/>
        <v>0</v>
      </c>
      <c r="O257" s="186">
        <f t="shared" si="252"/>
        <v>0</v>
      </c>
      <c r="P257" s="186">
        <f t="shared" si="252"/>
        <v>0</v>
      </c>
      <c r="Q257" s="190">
        <f t="shared" si="246"/>
        <v>0</v>
      </c>
    </row>
    <row r="258" spans="2:17" s="119" customFormat="1" ht="19.5" hidden="1" thickBot="1" x14ac:dyDescent="0.3">
      <c r="B258" s="310"/>
      <c r="C258" s="119">
        <f t="shared" si="237"/>
        <v>0</v>
      </c>
      <c r="D258" s="131" t="s">
        <v>124</v>
      </c>
      <c r="E258" s="116" t="s">
        <v>78</v>
      </c>
      <c r="F258" s="169">
        <f t="shared" ref="F258:Q258" si="253">SUBTOTAL(9,F246:F257)</f>
        <v>0</v>
      </c>
      <c r="G258" s="170">
        <f t="shared" si="253"/>
        <v>0</v>
      </c>
      <c r="H258" s="170">
        <f t="shared" si="253"/>
        <v>0</v>
      </c>
      <c r="I258" s="170">
        <f t="shared" si="253"/>
        <v>0</v>
      </c>
      <c r="J258" s="170">
        <f t="shared" si="253"/>
        <v>0</v>
      </c>
      <c r="K258" s="170">
        <f t="shared" ref="K258:P258" si="254">SUBTOTAL(9,K246:K257)</f>
        <v>0</v>
      </c>
      <c r="L258" s="170">
        <f t="shared" si="254"/>
        <v>0</v>
      </c>
      <c r="M258" s="170">
        <f t="shared" si="254"/>
        <v>0</v>
      </c>
      <c r="N258" s="170">
        <f t="shared" si="254"/>
        <v>0</v>
      </c>
      <c r="O258" s="170">
        <f t="shared" si="254"/>
        <v>0</v>
      </c>
      <c r="P258" s="170">
        <f t="shared" si="254"/>
        <v>0</v>
      </c>
      <c r="Q258" s="170">
        <f t="shared" si="253"/>
        <v>0</v>
      </c>
    </row>
    <row r="259" spans="2:17" s="119" customFormat="1" ht="19.5" hidden="1" thickBot="1" x14ac:dyDescent="0.3">
      <c r="B259" s="310"/>
      <c r="D259" s="139"/>
      <c r="E259" s="140"/>
      <c r="F259" s="141"/>
      <c r="G259" s="141"/>
      <c r="H259" s="141"/>
      <c r="I259" s="142"/>
      <c r="J259" s="142"/>
      <c r="K259" s="142"/>
      <c r="L259" s="142"/>
      <c r="M259" s="142"/>
      <c r="N259" s="142"/>
      <c r="O259" s="142"/>
      <c r="P259" s="142"/>
      <c r="Q259" s="142"/>
    </row>
    <row r="260" spans="2:17" s="119" customFormat="1" ht="45.75" hidden="1" thickBot="1" x14ac:dyDescent="0.3">
      <c r="B260" s="310"/>
      <c r="C260" s="119">
        <f>IF(E260&gt;0,1,0)</f>
        <v>0</v>
      </c>
      <c r="D260" s="96" t="str">
        <f>+A18</f>
        <v>Erie</v>
      </c>
      <c r="E260" s="166">
        <f>+SUMIF(A:A,D260,B:B)</f>
        <v>0</v>
      </c>
      <c r="F260" s="98" t="s">
        <v>97</v>
      </c>
      <c r="G260" s="98" t="s">
        <v>126</v>
      </c>
      <c r="H260" s="98" t="s">
        <v>127</v>
      </c>
      <c r="I260" s="99" t="s">
        <v>128</v>
      </c>
      <c r="J260" s="99" t="s">
        <v>131</v>
      </c>
      <c r="K260" s="560" t="s">
        <v>474</v>
      </c>
      <c r="L260" s="560" t="s">
        <v>475</v>
      </c>
      <c r="M260" s="560" t="s">
        <v>476</v>
      </c>
      <c r="N260" s="560" t="s">
        <v>477</v>
      </c>
      <c r="O260" s="560" t="s">
        <v>478</v>
      </c>
      <c r="P260" s="560" t="s">
        <v>479</v>
      </c>
      <c r="Q260" s="99" t="s">
        <v>129</v>
      </c>
    </row>
    <row r="261" spans="2:17" s="119" customFormat="1" ht="19.5" hidden="1" thickBot="1" x14ac:dyDescent="0.3">
      <c r="B261" s="310"/>
      <c r="C261" s="119">
        <f>C260</f>
        <v>0</v>
      </c>
      <c r="D261" s="127"/>
      <c r="E261" s="128"/>
      <c r="F261" s="84" t="s">
        <v>57</v>
      </c>
      <c r="G261" s="84" t="s">
        <v>56</v>
      </c>
      <c r="H261" s="84" t="s">
        <v>55</v>
      </c>
      <c r="I261" s="84" t="s">
        <v>54</v>
      </c>
      <c r="J261" s="129" t="s">
        <v>53</v>
      </c>
      <c r="K261" s="129" t="s">
        <v>52</v>
      </c>
      <c r="L261" s="129" t="s">
        <v>51</v>
      </c>
      <c r="M261" s="129" t="s">
        <v>50</v>
      </c>
      <c r="N261" s="129" t="s">
        <v>49</v>
      </c>
      <c r="O261" s="129" t="s">
        <v>47</v>
      </c>
      <c r="P261" s="129" t="s">
        <v>77</v>
      </c>
      <c r="Q261" s="129" t="s">
        <v>78</v>
      </c>
    </row>
    <row r="262" spans="2:17" s="119" customFormat="1" ht="19.5" hidden="1" thickBot="1" x14ac:dyDescent="0.3">
      <c r="B262" s="310"/>
      <c r="C262" s="119">
        <f>C261</f>
        <v>0</v>
      </c>
      <c r="D262" s="133" t="s">
        <v>26</v>
      </c>
      <c r="E262" s="134"/>
      <c r="F262" s="135"/>
      <c r="G262" s="135"/>
      <c r="H262" s="136"/>
      <c r="I262" s="136"/>
      <c r="J262" s="137"/>
      <c r="K262" s="137"/>
      <c r="L262" s="137"/>
      <c r="M262" s="137"/>
      <c r="N262" s="137"/>
      <c r="O262" s="137"/>
      <c r="P262" s="137"/>
      <c r="Q262" s="138"/>
    </row>
    <row r="263" spans="2:17" s="119" customFormat="1" ht="19.5" hidden="1" thickBot="1" x14ac:dyDescent="0.3">
      <c r="B263" s="310"/>
      <c r="C263" s="119">
        <f t="shared" ref="C263:C275" si="255">C262</f>
        <v>0</v>
      </c>
      <c r="D263" s="109" t="s">
        <v>93</v>
      </c>
      <c r="E263" s="76" t="s">
        <v>57</v>
      </c>
      <c r="F263" s="168">
        <f>+$F$6*E260</f>
        <v>0</v>
      </c>
      <c r="G263" s="186">
        <f t="shared" ref="G263:J263" si="256">+G6*$E$260</f>
        <v>0</v>
      </c>
      <c r="H263" s="186">
        <f t="shared" si="256"/>
        <v>0</v>
      </c>
      <c r="I263" s="186">
        <f t="shared" si="256"/>
        <v>0</v>
      </c>
      <c r="J263" s="186">
        <f t="shared" si="256"/>
        <v>0</v>
      </c>
      <c r="K263" s="186">
        <f t="shared" ref="K263:P263" si="257">+K6*$E$260</f>
        <v>0</v>
      </c>
      <c r="L263" s="186">
        <f t="shared" si="257"/>
        <v>0</v>
      </c>
      <c r="M263" s="186">
        <f t="shared" si="257"/>
        <v>0</v>
      </c>
      <c r="N263" s="186">
        <f t="shared" si="257"/>
        <v>0</v>
      </c>
      <c r="O263" s="186">
        <f t="shared" si="257"/>
        <v>0</v>
      </c>
      <c r="P263" s="186">
        <f t="shared" si="257"/>
        <v>0</v>
      </c>
      <c r="Q263" s="190">
        <f>SUM(G263:P263)</f>
        <v>0</v>
      </c>
    </row>
    <row r="264" spans="2:17" s="119" customFormat="1" ht="19.5" hidden="1" thickBot="1" x14ac:dyDescent="0.3">
      <c r="B264" s="310"/>
      <c r="C264" s="119">
        <f t="shared" si="255"/>
        <v>0</v>
      </c>
      <c r="D264" s="110" t="s">
        <v>132</v>
      </c>
      <c r="E264" s="76" t="s">
        <v>56</v>
      </c>
      <c r="F264" s="191">
        <f t="shared" ref="F264:J266" si="258">+F7*$E$260</f>
        <v>0</v>
      </c>
      <c r="G264" s="192">
        <f t="shared" si="258"/>
        <v>0</v>
      </c>
      <c r="H264" s="192">
        <f t="shared" si="258"/>
        <v>0</v>
      </c>
      <c r="I264" s="192">
        <f t="shared" si="258"/>
        <v>0</v>
      </c>
      <c r="J264" s="192">
        <f t="shared" si="258"/>
        <v>0</v>
      </c>
      <c r="K264" s="192">
        <f t="shared" ref="K264:P264" si="259">+K7*$E$260</f>
        <v>0</v>
      </c>
      <c r="L264" s="192">
        <f t="shared" si="259"/>
        <v>0</v>
      </c>
      <c r="M264" s="192">
        <f t="shared" si="259"/>
        <v>0</v>
      </c>
      <c r="N264" s="192">
        <f t="shared" si="259"/>
        <v>0</v>
      </c>
      <c r="O264" s="192">
        <f t="shared" si="259"/>
        <v>0</v>
      </c>
      <c r="P264" s="192">
        <f t="shared" si="259"/>
        <v>0</v>
      </c>
      <c r="Q264" s="190">
        <f>SUM(G264:P264)</f>
        <v>0</v>
      </c>
    </row>
    <row r="265" spans="2:17" s="119" customFormat="1" ht="19.5" hidden="1" thickBot="1" x14ac:dyDescent="0.3">
      <c r="B265" s="310"/>
      <c r="C265" s="119">
        <f t="shared" si="255"/>
        <v>0</v>
      </c>
      <c r="D265" s="109" t="s">
        <v>91</v>
      </c>
      <c r="E265" s="76" t="s">
        <v>55</v>
      </c>
      <c r="F265" s="191">
        <f t="shared" si="258"/>
        <v>0</v>
      </c>
      <c r="G265" s="192">
        <f t="shared" si="258"/>
        <v>0</v>
      </c>
      <c r="H265" s="192">
        <f t="shared" si="258"/>
        <v>0</v>
      </c>
      <c r="I265" s="192">
        <f t="shared" si="258"/>
        <v>0</v>
      </c>
      <c r="J265" s="192">
        <f t="shared" si="258"/>
        <v>0</v>
      </c>
      <c r="K265" s="192">
        <f t="shared" ref="K265:P265" si="260">+K8*$E$260</f>
        <v>0</v>
      </c>
      <c r="L265" s="192">
        <f t="shared" si="260"/>
        <v>0</v>
      </c>
      <c r="M265" s="192">
        <f t="shared" si="260"/>
        <v>0</v>
      </c>
      <c r="N265" s="192">
        <f t="shared" si="260"/>
        <v>0</v>
      </c>
      <c r="O265" s="192">
        <f t="shared" si="260"/>
        <v>0</v>
      </c>
      <c r="P265" s="192">
        <f t="shared" si="260"/>
        <v>0</v>
      </c>
      <c r="Q265" s="190">
        <f>SUM(G265:P265)</f>
        <v>0</v>
      </c>
    </row>
    <row r="266" spans="2:17" s="119" customFormat="1" ht="19.5" hidden="1" thickBot="1" x14ac:dyDescent="0.3">
      <c r="B266" s="310"/>
      <c r="C266" s="119">
        <f t="shared" si="255"/>
        <v>0</v>
      </c>
      <c r="D266" s="130" t="s">
        <v>117</v>
      </c>
      <c r="E266" s="76" t="s">
        <v>54</v>
      </c>
      <c r="F266" s="191">
        <f t="shared" si="258"/>
        <v>0</v>
      </c>
      <c r="G266" s="184">
        <f t="shared" si="258"/>
        <v>0</v>
      </c>
      <c r="H266" s="184">
        <f t="shared" si="258"/>
        <v>0</v>
      </c>
      <c r="I266" s="184">
        <f t="shared" si="258"/>
        <v>0</v>
      </c>
      <c r="J266" s="184">
        <f t="shared" si="258"/>
        <v>0</v>
      </c>
      <c r="K266" s="184">
        <f t="shared" ref="K266:P266" si="261">+K9*$E$260</f>
        <v>0</v>
      </c>
      <c r="L266" s="184">
        <f t="shared" si="261"/>
        <v>0</v>
      </c>
      <c r="M266" s="184">
        <f t="shared" si="261"/>
        <v>0</v>
      </c>
      <c r="N266" s="184">
        <f t="shared" si="261"/>
        <v>0</v>
      </c>
      <c r="O266" s="184">
        <f t="shared" si="261"/>
        <v>0</v>
      </c>
      <c r="P266" s="184">
        <f t="shared" si="261"/>
        <v>0</v>
      </c>
      <c r="Q266" s="190">
        <f>SUM(G266:P266)</f>
        <v>0</v>
      </c>
    </row>
    <row r="267" spans="2:17" s="119" customFormat="1" ht="19.5" hidden="1" thickBot="1" x14ac:dyDescent="0.3">
      <c r="B267" s="310"/>
      <c r="C267" s="119">
        <f t="shared" si="255"/>
        <v>0</v>
      </c>
      <c r="D267" s="112" t="s">
        <v>31</v>
      </c>
      <c r="E267" s="76"/>
      <c r="F267" s="167"/>
      <c r="G267" s="185"/>
      <c r="H267" s="185"/>
      <c r="I267" s="185"/>
      <c r="J267" s="185"/>
      <c r="K267" s="185"/>
      <c r="L267" s="185"/>
      <c r="M267" s="185"/>
      <c r="N267" s="185"/>
      <c r="O267" s="185"/>
      <c r="P267" s="185"/>
      <c r="Q267" s="171"/>
    </row>
    <row r="268" spans="2:17" s="119" customFormat="1" ht="19.5" hidden="1" thickBot="1" x14ac:dyDescent="0.35">
      <c r="B268" s="310"/>
      <c r="C268" s="119">
        <f t="shared" si="255"/>
        <v>0</v>
      </c>
      <c r="D268" s="125" t="s">
        <v>118</v>
      </c>
      <c r="E268" s="76" t="s">
        <v>53</v>
      </c>
      <c r="F268" s="168">
        <f t="shared" ref="F268:J274" si="262">+F11*$E$260</f>
        <v>0</v>
      </c>
      <c r="G268" s="186">
        <f t="shared" si="262"/>
        <v>0</v>
      </c>
      <c r="H268" s="186">
        <f t="shared" si="262"/>
        <v>0</v>
      </c>
      <c r="I268" s="186">
        <f t="shared" si="262"/>
        <v>0</v>
      </c>
      <c r="J268" s="186">
        <f t="shared" si="262"/>
        <v>0</v>
      </c>
      <c r="K268" s="186">
        <f t="shared" ref="K268:P268" si="263">+K11*$E$260</f>
        <v>0</v>
      </c>
      <c r="L268" s="186">
        <f t="shared" si="263"/>
        <v>0</v>
      </c>
      <c r="M268" s="186">
        <f t="shared" si="263"/>
        <v>0</v>
      </c>
      <c r="N268" s="186">
        <f t="shared" si="263"/>
        <v>0</v>
      </c>
      <c r="O268" s="186">
        <f t="shared" si="263"/>
        <v>0</v>
      </c>
      <c r="P268" s="186">
        <f t="shared" si="263"/>
        <v>0</v>
      </c>
      <c r="Q268" s="190">
        <f t="shared" ref="Q268:Q274" si="264">SUM(G268:P268)</f>
        <v>0</v>
      </c>
    </row>
    <row r="269" spans="2:17" s="119" customFormat="1" ht="19.5" hidden="1" thickBot="1" x14ac:dyDescent="0.35">
      <c r="B269" s="310"/>
      <c r="C269" s="119">
        <f t="shared" si="255"/>
        <v>0</v>
      </c>
      <c r="D269" s="125" t="s">
        <v>119</v>
      </c>
      <c r="E269" s="76" t="s">
        <v>52</v>
      </c>
      <c r="F269" s="168">
        <f t="shared" si="262"/>
        <v>0</v>
      </c>
      <c r="G269" s="186">
        <f t="shared" si="262"/>
        <v>0</v>
      </c>
      <c r="H269" s="186">
        <f t="shared" si="262"/>
        <v>0</v>
      </c>
      <c r="I269" s="186">
        <f t="shared" si="262"/>
        <v>0</v>
      </c>
      <c r="J269" s="186">
        <f t="shared" si="262"/>
        <v>0</v>
      </c>
      <c r="K269" s="186">
        <f t="shared" ref="K269:P269" si="265">+K12*$E$260</f>
        <v>0</v>
      </c>
      <c r="L269" s="186">
        <f t="shared" si="265"/>
        <v>0</v>
      </c>
      <c r="M269" s="186">
        <f t="shared" si="265"/>
        <v>0</v>
      </c>
      <c r="N269" s="186">
        <f t="shared" si="265"/>
        <v>0</v>
      </c>
      <c r="O269" s="186">
        <f t="shared" si="265"/>
        <v>0</v>
      </c>
      <c r="P269" s="186">
        <f t="shared" si="265"/>
        <v>0</v>
      </c>
      <c r="Q269" s="190">
        <f t="shared" si="264"/>
        <v>0</v>
      </c>
    </row>
    <row r="270" spans="2:17" s="119" customFormat="1" ht="19.5" hidden="1" thickBot="1" x14ac:dyDescent="0.35">
      <c r="B270" s="310"/>
      <c r="C270" s="119">
        <f t="shared" si="255"/>
        <v>0</v>
      </c>
      <c r="D270" s="125" t="s">
        <v>120</v>
      </c>
      <c r="E270" s="76" t="s">
        <v>51</v>
      </c>
      <c r="F270" s="168">
        <f t="shared" si="262"/>
        <v>0</v>
      </c>
      <c r="G270" s="186">
        <f t="shared" si="262"/>
        <v>0</v>
      </c>
      <c r="H270" s="186">
        <f t="shared" si="262"/>
        <v>0</v>
      </c>
      <c r="I270" s="186">
        <f t="shared" si="262"/>
        <v>0</v>
      </c>
      <c r="J270" s="186">
        <f t="shared" si="262"/>
        <v>0</v>
      </c>
      <c r="K270" s="186">
        <f t="shared" ref="K270:P270" si="266">+K13*$E$260</f>
        <v>0</v>
      </c>
      <c r="L270" s="186">
        <f t="shared" si="266"/>
        <v>0</v>
      </c>
      <c r="M270" s="186">
        <f t="shared" si="266"/>
        <v>0</v>
      </c>
      <c r="N270" s="186">
        <f t="shared" si="266"/>
        <v>0</v>
      </c>
      <c r="O270" s="186">
        <f t="shared" si="266"/>
        <v>0</v>
      </c>
      <c r="P270" s="186">
        <f t="shared" si="266"/>
        <v>0</v>
      </c>
      <c r="Q270" s="190">
        <f t="shared" si="264"/>
        <v>0</v>
      </c>
    </row>
    <row r="271" spans="2:17" s="119" customFormat="1" ht="19.5" hidden="1" thickBot="1" x14ac:dyDescent="0.35">
      <c r="B271" s="310"/>
      <c r="C271" s="119">
        <f t="shared" si="255"/>
        <v>0</v>
      </c>
      <c r="D271" s="125" t="s">
        <v>121</v>
      </c>
      <c r="E271" s="76" t="s">
        <v>50</v>
      </c>
      <c r="F271" s="168">
        <f t="shared" si="262"/>
        <v>0</v>
      </c>
      <c r="G271" s="186">
        <f t="shared" si="262"/>
        <v>0</v>
      </c>
      <c r="H271" s="186">
        <f t="shared" si="262"/>
        <v>0</v>
      </c>
      <c r="I271" s="186">
        <f t="shared" si="262"/>
        <v>0</v>
      </c>
      <c r="J271" s="186">
        <f t="shared" si="262"/>
        <v>0</v>
      </c>
      <c r="K271" s="186">
        <f t="shared" ref="K271:P271" si="267">+K14*$E$260</f>
        <v>0</v>
      </c>
      <c r="L271" s="186">
        <f t="shared" si="267"/>
        <v>0</v>
      </c>
      <c r="M271" s="186">
        <f t="shared" si="267"/>
        <v>0</v>
      </c>
      <c r="N271" s="186">
        <f t="shared" si="267"/>
        <v>0</v>
      </c>
      <c r="O271" s="186">
        <f t="shared" si="267"/>
        <v>0</v>
      </c>
      <c r="P271" s="186">
        <f t="shared" si="267"/>
        <v>0</v>
      </c>
      <c r="Q271" s="190">
        <f t="shared" si="264"/>
        <v>0</v>
      </c>
    </row>
    <row r="272" spans="2:17" s="119" customFormat="1" ht="19.5" hidden="1" thickBot="1" x14ac:dyDescent="0.35">
      <c r="B272" s="310"/>
      <c r="C272" s="119">
        <f t="shared" si="255"/>
        <v>0</v>
      </c>
      <c r="D272" s="125" t="s">
        <v>122</v>
      </c>
      <c r="E272" s="76" t="s">
        <v>49</v>
      </c>
      <c r="F272" s="168">
        <f t="shared" si="262"/>
        <v>0</v>
      </c>
      <c r="G272" s="186">
        <f t="shared" si="262"/>
        <v>0</v>
      </c>
      <c r="H272" s="186">
        <f t="shared" si="262"/>
        <v>0</v>
      </c>
      <c r="I272" s="186">
        <f t="shared" si="262"/>
        <v>0</v>
      </c>
      <c r="J272" s="186">
        <f t="shared" si="262"/>
        <v>0</v>
      </c>
      <c r="K272" s="186">
        <f t="shared" ref="K272:P272" si="268">+K15*$E$260</f>
        <v>0</v>
      </c>
      <c r="L272" s="186">
        <f t="shared" si="268"/>
        <v>0</v>
      </c>
      <c r="M272" s="186">
        <f t="shared" si="268"/>
        <v>0</v>
      </c>
      <c r="N272" s="186">
        <f t="shared" si="268"/>
        <v>0</v>
      </c>
      <c r="O272" s="186">
        <f t="shared" si="268"/>
        <v>0</v>
      </c>
      <c r="P272" s="186">
        <f t="shared" si="268"/>
        <v>0</v>
      </c>
      <c r="Q272" s="190">
        <f t="shared" si="264"/>
        <v>0</v>
      </c>
    </row>
    <row r="273" spans="2:17" s="119" customFormat="1" ht="19.5" hidden="1" thickBot="1" x14ac:dyDescent="0.35">
      <c r="B273" s="310"/>
      <c r="C273" s="119">
        <f t="shared" si="255"/>
        <v>0</v>
      </c>
      <c r="D273" s="125" t="s">
        <v>123</v>
      </c>
      <c r="E273" s="76" t="s">
        <v>47</v>
      </c>
      <c r="F273" s="168">
        <f t="shared" si="262"/>
        <v>0</v>
      </c>
      <c r="G273" s="186">
        <f t="shared" si="262"/>
        <v>0</v>
      </c>
      <c r="H273" s="186">
        <f t="shared" si="262"/>
        <v>0</v>
      </c>
      <c r="I273" s="186">
        <f t="shared" si="262"/>
        <v>0</v>
      </c>
      <c r="J273" s="186">
        <f t="shared" si="262"/>
        <v>0</v>
      </c>
      <c r="K273" s="186">
        <f t="shared" ref="K273:P273" si="269">+K16*$E$260</f>
        <v>0</v>
      </c>
      <c r="L273" s="186">
        <f t="shared" si="269"/>
        <v>0</v>
      </c>
      <c r="M273" s="186">
        <f t="shared" si="269"/>
        <v>0</v>
      </c>
      <c r="N273" s="186">
        <f t="shared" si="269"/>
        <v>0</v>
      </c>
      <c r="O273" s="186">
        <f t="shared" si="269"/>
        <v>0</v>
      </c>
      <c r="P273" s="186">
        <f t="shared" si="269"/>
        <v>0</v>
      </c>
      <c r="Q273" s="190">
        <f t="shared" si="264"/>
        <v>0</v>
      </c>
    </row>
    <row r="274" spans="2:17" s="119" customFormat="1" ht="19.5" hidden="1" thickBot="1" x14ac:dyDescent="0.35">
      <c r="B274" s="310"/>
      <c r="C274" s="119">
        <f t="shared" si="255"/>
        <v>0</v>
      </c>
      <c r="D274" s="125" t="s">
        <v>16</v>
      </c>
      <c r="E274" s="70" t="s">
        <v>77</v>
      </c>
      <c r="F274" s="168">
        <f t="shared" si="262"/>
        <v>0</v>
      </c>
      <c r="G274" s="186">
        <f t="shared" si="262"/>
        <v>0</v>
      </c>
      <c r="H274" s="186">
        <f t="shared" si="262"/>
        <v>0</v>
      </c>
      <c r="I274" s="186">
        <f t="shared" si="262"/>
        <v>0</v>
      </c>
      <c r="J274" s="186">
        <f t="shared" si="262"/>
        <v>0</v>
      </c>
      <c r="K274" s="186">
        <f t="shared" ref="K274:P274" si="270">+K17*$E$260</f>
        <v>0</v>
      </c>
      <c r="L274" s="186">
        <f t="shared" si="270"/>
        <v>0</v>
      </c>
      <c r="M274" s="186">
        <f t="shared" si="270"/>
        <v>0</v>
      </c>
      <c r="N274" s="186">
        <f t="shared" si="270"/>
        <v>0</v>
      </c>
      <c r="O274" s="186">
        <f t="shared" si="270"/>
        <v>0</v>
      </c>
      <c r="P274" s="186">
        <f t="shared" si="270"/>
        <v>0</v>
      </c>
      <c r="Q274" s="190">
        <f t="shared" si="264"/>
        <v>0</v>
      </c>
    </row>
    <row r="275" spans="2:17" s="119" customFormat="1" ht="19.5" hidden="1" thickBot="1" x14ac:dyDescent="0.3">
      <c r="B275" s="310"/>
      <c r="C275" s="119">
        <f t="shared" si="255"/>
        <v>0</v>
      </c>
      <c r="D275" s="131" t="s">
        <v>124</v>
      </c>
      <c r="E275" s="116" t="s">
        <v>78</v>
      </c>
      <c r="F275" s="169">
        <f t="shared" ref="F275:Q275" si="271">SUBTOTAL(9,F263:F274)</f>
        <v>0</v>
      </c>
      <c r="G275" s="170">
        <f t="shared" si="271"/>
        <v>0</v>
      </c>
      <c r="H275" s="170">
        <f t="shared" si="271"/>
        <v>0</v>
      </c>
      <c r="I275" s="170">
        <f t="shared" si="271"/>
        <v>0</v>
      </c>
      <c r="J275" s="170">
        <f t="shared" si="271"/>
        <v>0</v>
      </c>
      <c r="K275" s="170">
        <f t="shared" ref="K275:P275" si="272">SUBTOTAL(9,K263:K274)</f>
        <v>0</v>
      </c>
      <c r="L275" s="170">
        <f t="shared" si="272"/>
        <v>0</v>
      </c>
      <c r="M275" s="170">
        <f t="shared" si="272"/>
        <v>0</v>
      </c>
      <c r="N275" s="170">
        <f t="shared" si="272"/>
        <v>0</v>
      </c>
      <c r="O275" s="170">
        <f t="shared" si="272"/>
        <v>0</v>
      </c>
      <c r="P275" s="170">
        <f t="shared" si="272"/>
        <v>0</v>
      </c>
      <c r="Q275" s="170">
        <f t="shared" si="271"/>
        <v>0</v>
      </c>
    </row>
    <row r="276" spans="2:17" s="119" customFormat="1" ht="15.75" hidden="1" thickBot="1" x14ac:dyDescent="0.3">
      <c r="B276" s="310"/>
      <c r="D276" s="117"/>
      <c r="E276" s="132"/>
      <c r="F276" s="117"/>
      <c r="G276" s="117"/>
      <c r="H276" s="118"/>
      <c r="I276" s="118"/>
      <c r="J276" s="118"/>
      <c r="K276" s="118"/>
      <c r="L276" s="118"/>
      <c r="M276" s="118"/>
      <c r="N276" s="118"/>
      <c r="O276" s="118"/>
      <c r="P276" s="118"/>
      <c r="Q276" s="118"/>
    </row>
    <row r="277" spans="2:17" s="119" customFormat="1" ht="45.75" hidden="1" thickBot="1" x14ac:dyDescent="0.3">
      <c r="B277" s="310"/>
      <c r="C277" s="119">
        <f>IF(E277&gt;0,1,0)</f>
        <v>0</v>
      </c>
      <c r="D277" s="96" t="str">
        <f>+A19</f>
        <v>Essex</v>
      </c>
      <c r="E277" s="166">
        <f>+SUMIF(A:A,D277,B:B)</f>
        <v>0</v>
      </c>
      <c r="F277" s="98" t="s">
        <v>97</v>
      </c>
      <c r="G277" s="98" t="s">
        <v>126</v>
      </c>
      <c r="H277" s="98" t="s">
        <v>127</v>
      </c>
      <c r="I277" s="99" t="s">
        <v>128</v>
      </c>
      <c r="J277" s="99" t="s">
        <v>131</v>
      </c>
      <c r="K277" s="560" t="s">
        <v>474</v>
      </c>
      <c r="L277" s="560" t="s">
        <v>475</v>
      </c>
      <c r="M277" s="560" t="s">
        <v>476</v>
      </c>
      <c r="N277" s="560" t="s">
        <v>477</v>
      </c>
      <c r="O277" s="560" t="s">
        <v>478</v>
      </c>
      <c r="P277" s="560" t="s">
        <v>479</v>
      </c>
      <c r="Q277" s="99" t="s">
        <v>129</v>
      </c>
    </row>
    <row r="278" spans="2:17" s="119" customFormat="1" ht="19.5" hidden="1" thickBot="1" x14ac:dyDescent="0.3">
      <c r="B278" s="310"/>
      <c r="C278" s="119">
        <f>C277</f>
        <v>0</v>
      </c>
      <c r="D278" s="127"/>
      <c r="E278" s="128"/>
      <c r="F278" s="84" t="s">
        <v>57</v>
      </c>
      <c r="G278" s="84" t="s">
        <v>56</v>
      </c>
      <c r="H278" s="84" t="s">
        <v>55</v>
      </c>
      <c r="I278" s="84" t="s">
        <v>54</v>
      </c>
      <c r="J278" s="129" t="s">
        <v>53</v>
      </c>
      <c r="K278" s="129" t="s">
        <v>52</v>
      </c>
      <c r="L278" s="129" t="s">
        <v>51</v>
      </c>
      <c r="M278" s="129" t="s">
        <v>50</v>
      </c>
      <c r="N278" s="129" t="s">
        <v>49</v>
      </c>
      <c r="O278" s="129" t="s">
        <v>47</v>
      </c>
      <c r="P278" s="129" t="s">
        <v>77</v>
      </c>
      <c r="Q278" s="129" t="s">
        <v>78</v>
      </c>
    </row>
    <row r="279" spans="2:17" s="119" customFormat="1" ht="19.5" hidden="1" thickBot="1" x14ac:dyDescent="0.3">
      <c r="B279" s="310"/>
      <c r="C279" s="119">
        <f>C278</f>
        <v>0</v>
      </c>
      <c r="D279" s="133" t="s">
        <v>26</v>
      </c>
      <c r="E279" s="134"/>
      <c r="F279" s="135"/>
      <c r="G279" s="135"/>
      <c r="H279" s="136"/>
      <c r="I279" s="136"/>
      <c r="J279" s="137"/>
      <c r="K279" s="137"/>
      <c r="L279" s="137"/>
      <c r="M279" s="137"/>
      <c r="N279" s="137"/>
      <c r="O279" s="137"/>
      <c r="P279" s="137"/>
      <c r="Q279" s="138"/>
    </row>
    <row r="280" spans="2:17" s="119" customFormat="1" ht="19.5" hidden="1" thickBot="1" x14ac:dyDescent="0.3">
      <c r="B280" s="310"/>
      <c r="C280" s="119">
        <f t="shared" ref="C280:C292" si="273">C279</f>
        <v>0</v>
      </c>
      <c r="D280" s="109" t="s">
        <v>93</v>
      </c>
      <c r="E280" s="76" t="s">
        <v>57</v>
      </c>
      <c r="F280" s="168">
        <f>+F6*$E$277</f>
        <v>0</v>
      </c>
      <c r="G280" s="168">
        <f t="shared" ref="G280:J280" si="274">+G6*$E$277</f>
        <v>0</v>
      </c>
      <c r="H280" s="168">
        <f t="shared" si="274"/>
        <v>0</v>
      </c>
      <c r="I280" s="168">
        <f t="shared" si="274"/>
        <v>0</v>
      </c>
      <c r="J280" s="168">
        <f t="shared" si="274"/>
        <v>0</v>
      </c>
      <c r="K280" s="168">
        <f t="shared" ref="K280:P280" si="275">+K6*$E$277</f>
        <v>0</v>
      </c>
      <c r="L280" s="168">
        <f t="shared" si="275"/>
        <v>0</v>
      </c>
      <c r="M280" s="168">
        <f t="shared" si="275"/>
        <v>0</v>
      </c>
      <c r="N280" s="168">
        <f t="shared" si="275"/>
        <v>0</v>
      </c>
      <c r="O280" s="168">
        <f t="shared" si="275"/>
        <v>0</v>
      </c>
      <c r="P280" s="168">
        <f t="shared" si="275"/>
        <v>0</v>
      </c>
      <c r="Q280" s="190">
        <f>SUM(G280:P280)</f>
        <v>0</v>
      </c>
    </row>
    <row r="281" spans="2:17" s="119" customFormat="1" ht="19.5" hidden="1" thickBot="1" x14ac:dyDescent="0.3">
      <c r="B281" s="310"/>
      <c r="C281" s="119">
        <f t="shared" si="273"/>
        <v>0</v>
      </c>
      <c r="D281" s="110" t="s">
        <v>132</v>
      </c>
      <c r="E281" s="76" t="s">
        <v>56</v>
      </c>
      <c r="F281" s="168">
        <f t="shared" ref="F281:J283" si="276">+F7*$E$277</f>
        <v>0</v>
      </c>
      <c r="G281" s="168">
        <f t="shared" si="276"/>
        <v>0</v>
      </c>
      <c r="H281" s="168">
        <f t="shared" si="276"/>
        <v>0</v>
      </c>
      <c r="I281" s="168">
        <f t="shared" si="276"/>
        <v>0</v>
      </c>
      <c r="J281" s="168">
        <f t="shared" si="276"/>
        <v>0</v>
      </c>
      <c r="K281" s="168">
        <f t="shared" ref="K281:P281" si="277">+K7*$E$277</f>
        <v>0</v>
      </c>
      <c r="L281" s="168">
        <f t="shared" si="277"/>
        <v>0</v>
      </c>
      <c r="M281" s="168">
        <f t="shared" si="277"/>
        <v>0</v>
      </c>
      <c r="N281" s="168">
        <f t="shared" si="277"/>
        <v>0</v>
      </c>
      <c r="O281" s="168">
        <f t="shared" si="277"/>
        <v>0</v>
      </c>
      <c r="P281" s="168">
        <f t="shared" si="277"/>
        <v>0</v>
      </c>
      <c r="Q281" s="190">
        <f>SUM(G281:P281)</f>
        <v>0</v>
      </c>
    </row>
    <row r="282" spans="2:17" s="119" customFormat="1" ht="19.5" hidden="1" thickBot="1" x14ac:dyDescent="0.3">
      <c r="B282" s="310"/>
      <c r="C282" s="119">
        <f t="shared" si="273"/>
        <v>0</v>
      </c>
      <c r="D282" s="109" t="s">
        <v>91</v>
      </c>
      <c r="E282" s="76" t="s">
        <v>55</v>
      </c>
      <c r="F282" s="168">
        <f t="shared" si="276"/>
        <v>0</v>
      </c>
      <c r="G282" s="168">
        <f t="shared" si="276"/>
        <v>0</v>
      </c>
      <c r="H282" s="168">
        <f t="shared" si="276"/>
        <v>0</v>
      </c>
      <c r="I282" s="168">
        <f t="shared" si="276"/>
        <v>0</v>
      </c>
      <c r="J282" s="168">
        <f t="shared" si="276"/>
        <v>0</v>
      </c>
      <c r="K282" s="168">
        <f t="shared" ref="K282:P282" si="278">+K8*$E$277</f>
        <v>0</v>
      </c>
      <c r="L282" s="168">
        <f t="shared" si="278"/>
        <v>0</v>
      </c>
      <c r="M282" s="168">
        <f t="shared" si="278"/>
        <v>0</v>
      </c>
      <c r="N282" s="168">
        <f t="shared" si="278"/>
        <v>0</v>
      </c>
      <c r="O282" s="168">
        <f t="shared" si="278"/>
        <v>0</v>
      </c>
      <c r="P282" s="168">
        <f t="shared" si="278"/>
        <v>0</v>
      </c>
      <c r="Q282" s="190">
        <f>SUM(G282:P282)</f>
        <v>0</v>
      </c>
    </row>
    <row r="283" spans="2:17" s="119" customFormat="1" ht="19.5" hidden="1" thickBot="1" x14ac:dyDescent="0.3">
      <c r="B283" s="310"/>
      <c r="C283" s="119">
        <f t="shared" si="273"/>
        <v>0</v>
      </c>
      <c r="D283" s="130" t="s">
        <v>117</v>
      </c>
      <c r="E283" s="76" t="s">
        <v>54</v>
      </c>
      <c r="F283" s="168">
        <f t="shared" si="276"/>
        <v>0</v>
      </c>
      <c r="G283" s="168">
        <f t="shared" si="276"/>
        <v>0</v>
      </c>
      <c r="H283" s="168">
        <f t="shared" si="276"/>
        <v>0</v>
      </c>
      <c r="I283" s="168">
        <f t="shared" si="276"/>
        <v>0</v>
      </c>
      <c r="J283" s="168">
        <f t="shared" si="276"/>
        <v>0</v>
      </c>
      <c r="K283" s="168">
        <f t="shared" ref="K283:P283" si="279">+K9*$E$277</f>
        <v>0</v>
      </c>
      <c r="L283" s="168">
        <f t="shared" si="279"/>
        <v>0</v>
      </c>
      <c r="M283" s="168">
        <f t="shared" si="279"/>
        <v>0</v>
      </c>
      <c r="N283" s="168">
        <f t="shared" si="279"/>
        <v>0</v>
      </c>
      <c r="O283" s="168">
        <f t="shared" si="279"/>
        <v>0</v>
      </c>
      <c r="P283" s="168">
        <f t="shared" si="279"/>
        <v>0</v>
      </c>
      <c r="Q283" s="190">
        <f>SUM(G283:P283)</f>
        <v>0</v>
      </c>
    </row>
    <row r="284" spans="2:17" s="119" customFormat="1" ht="19.5" hidden="1" thickBot="1" x14ac:dyDescent="0.3">
      <c r="B284" s="310"/>
      <c r="C284" s="119">
        <f t="shared" si="273"/>
        <v>0</v>
      </c>
      <c r="D284" s="112" t="s">
        <v>31</v>
      </c>
      <c r="E284" s="76"/>
      <c r="F284" s="167"/>
      <c r="G284" s="185"/>
      <c r="H284" s="185"/>
      <c r="I284" s="185"/>
      <c r="J284" s="185"/>
      <c r="K284" s="185"/>
      <c r="L284" s="185"/>
      <c r="M284" s="185"/>
      <c r="N284" s="185"/>
      <c r="O284" s="185"/>
      <c r="P284" s="185"/>
      <c r="Q284" s="171"/>
    </row>
    <row r="285" spans="2:17" s="119" customFormat="1" ht="19.5" hidden="1" thickBot="1" x14ac:dyDescent="0.35">
      <c r="B285" s="310"/>
      <c r="C285" s="119">
        <f t="shared" si="273"/>
        <v>0</v>
      </c>
      <c r="D285" s="125" t="s">
        <v>118</v>
      </c>
      <c r="E285" s="76" t="s">
        <v>53</v>
      </c>
      <c r="F285" s="168">
        <f t="shared" ref="F285:J291" si="280">+F11*$E$277</f>
        <v>0</v>
      </c>
      <c r="G285" s="168">
        <f t="shared" si="280"/>
        <v>0</v>
      </c>
      <c r="H285" s="168">
        <f t="shared" si="280"/>
        <v>0</v>
      </c>
      <c r="I285" s="168">
        <f t="shared" si="280"/>
        <v>0</v>
      </c>
      <c r="J285" s="168">
        <f t="shared" si="280"/>
        <v>0</v>
      </c>
      <c r="K285" s="168">
        <f t="shared" ref="K285:P285" si="281">+K11*$E$277</f>
        <v>0</v>
      </c>
      <c r="L285" s="168">
        <f t="shared" si="281"/>
        <v>0</v>
      </c>
      <c r="M285" s="168">
        <f t="shared" si="281"/>
        <v>0</v>
      </c>
      <c r="N285" s="168">
        <f t="shared" si="281"/>
        <v>0</v>
      </c>
      <c r="O285" s="168">
        <f t="shared" si="281"/>
        <v>0</v>
      </c>
      <c r="P285" s="168">
        <f t="shared" si="281"/>
        <v>0</v>
      </c>
      <c r="Q285" s="190">
        <f t="shared" ref="Q285:Q291" si="282">SUM(G285:P285)</f>
        <v>0</v>
      </c>
    </row>
    <row r="286" spans="2:17" s="119" customFormat="1" ht="19.5" hidden="1" thickBot="1" x14ac:dyDescent="0.35">
      <c r="B286" s="310"/>
      <c r="C286" s="119">
        <f t="shared" si="273"/>
        <v>0</v>
      </c>
      <c r="D286" s="125" t="s">
        <v>119</v>
      </c>
      <c r="E286" s="76" t="s">
        <v>52</v>
      </c>
      <c r="F286" s="168">
        <f t="shared" si="280"/>
        <v>0</v>
      </c>
      <c r="G286" s="168">
        <f t="shared" si="280"/>
        <v>0</v>
      </c>
      <c r="H286" s="168">
        <f t="shared" si="280"/>
        <v>0</v>
      </c>
      <c r="I286" s="168">
        <f t="shared" si="280"/>
        <v>0</v>
      </c>
      <c r="J286" s="168">
        <f t="shared" si="280"/>
        <v>0</v>
      </c>
      <c r="K286" s="168">
        <f t="shared" ref="K286:P286" si="283">+K12*$E$277</f>
        <v>0</v>
      </c>
      <c r="L286" s="168">
        <f t="shared" si="283"/>
        <v>0</v>
      </c>
      <c r="M286" s="168">
        <f t="shared" si="283"/>
        <v>0</v>
      </c>
      <c r="N286" s="168">
        <f t="shared" si="283"/>
        <v>0</v>
      </c>
      <c r="O286" s="168">
        <f t="shared" si="283"/>
        <v>0</v>
      </c>
      <c r="P286" s="168">
        <f t="shared" si="283"/>
        <v>0</v>
      </c>
      <c r="Q286" s="190">
        <f t="shared" si="282"/>
        <v>0</v>
      </c>
    </row>
    <row r="287" spans="2:17" s="119" customFormat="1" ht="19.5" hidden="1" thickBot="1" x14ac:dyDescent="0.35">
      <c r="B287" s="310"/>
      <c r="C287" s="119">
        <f t="shared" si="273"/>
        <v>0</v>
      </c>
      <c r="D287" s="125" t="s">
        <v>120</v>
      </c>
      <c r="E287" s="76" t="s">
        <v>51</v>
      </c>
      <c r="F287" s="168">
        <f t="shared" si="280"/>
        <v>0</v>
      </c>
      <c r="G287" s="168">
        <f t="shared" si="280"/>
        <v>0</v>
      </c>
      <c r="H287" s="168">
        <f t="shared" si="280"/>
        <v>0</v>
      </c>
      <c r="I287" s="168">
        <f t="shared" si="280"/>
        <v>0</v>
      </c>
      <c r="J287" s="168">
        <f t="shared" si="280"/>
        <v>0</v>
      </c>
      <c r="K287" s="168">
        <f t="shared" ref="K287:P287" si="284">+K13*$E$277</f>
        <v>0</v>
      </c>
      <c r="L287" s="168">
        <f t="shared" si="284"/>
        <v>0</v>
      </c>
      <c r="M287" s="168">
        <f t="shared" si="284"/>
        <v>0</v>
      </c>
      <c r="N287" s="168">
        <f t="shared" si="284"/>
        <v>0</v>
      </c>
      <c r="O287" s="168">
        <f t="shared" si="284"/>
        <v>0</v>
      </c>
      <c r="P287" s="168">
        <f t="shared" si="284"/>
        <v>0</v>
      </c>
      <c r="Q287" s="190">
        <f t="shared" si="282"/>
        <v>0</v>
      </c>
    </row>
    <row r="288" spans="2:17" s="119" customFormat="1" ht="19.5" hidden="1" thickBot="1" x14ac:dyDescent="0.35">
      <c r="B288" s="310"/>
      <c r="C288" s="119">
        <f t="shared" si="273"/>
        <v>0</v>
      </c>
      <c r="D288" s="125" t="s">
        <v>121</v>
      </c>
      <c r="E288" s="76" t="s">
        <v>50</v>
      </c>
      <c r="F288" s="168">
        <f t="shared" si="280"/>
        <v>0</v>
      </c>
      <c r="G288" s="168">
        <f t="shared" si="280"/>
        <v>0</v>
      </c>
      <c r="H288" s="168">
        <f t="shared" si="280"/>
        <v>0</v>
      </c>
      <c r="I288" s="168">
        <f t="shared" si="280"/>
        <v>0</v>
      </c>
      <c r="J288" s="168">
        <f t="shared" si="280"/>
        <v>0</v>
      </c>
      <c r="K288" s="168">
        <f t="shared" ref="K288:P288" si="285">+K14*$E$277</f>
        <v>0</v>
      </c>
      <c r="L288" s="168">
        <f t="shared" si="285"/>
        <v>0</v>
      </c>
      <c r="M288" s="168">
        <f t="shared" si="285"/>
        <v>0</v>
      </c>
      <c r="N288" s="168">
        <f t="shared" si="285"/>
        <v>0</v>
      </c>
      <c r="O288" s="168">
        <f t="shared" si="285"/>
        <v>0</v>
      </c>
      <c r="P288" s="168">
        <f t="shared" si="285"/>
        <v>0</v>
      </c>
      <c r="Q288" s="190">
        <f t="shared" si="282"/>
        <v>0</v>
      </c>
    </row>
    <row r="289" spans="2:17" s="119" customFormat="1" ht="19.5" hidden="1" thickBot="1" x14ac:dyDescent="0.35">
      <c r="B289" s="310"/>
      <c r="C289" s="119">
        <f t="shared" si="273"/>
        <v>0</v>
      </c>
      <c r="D289" s="125" t="s">
        <v>122</v>
      </c>
      <c r="E289" s="76" t="s">
        <v>49</v>
      </c>
      <c r="F289" s="168">
        <f t="shared" si="280"/>
        <v>0</v>
      </c>
      <c r="G289" s="168">
        <f t="shared" si="280"/>
        <v>0</v>
      </c>
      <c r="H289" s="168">
        <f t="shared" si="280"/>
        <v>0</v>
      </c>
      <c r="I289" s="168">
        <f t="shared" si="280"/>
        <v>0</v>
      </c>
      <c r="J289" s="168">
        <f t="shared" si="280"/>
        <v>0</v>
      </c>
      <c r="K289" s="168">
        <f t="shared" ref="K289:P289" si="286">+K15*$E$277</f>
        <v>0</v>
      </c>
      <c r="L289" s="168">
        <f t="shared" si="286"/>
        <v>0</v>
      </c>
      <c r="M289" s="168">
        <f t="shared" si="286"/>
        <v>0</v>
      </c>
      <c r="N289" s="168">
        <f t="shared" si="286"/>
        <v>0</v>
      </c>
      <c r="O289" s="168">
        <f t="shared" si="286"/>
        <v>0</v>
      </c>
      <c r="P289" s="168">
        <f t="shared" si="286"/>
        <v>0</v>
      </c>
      <c r="Q289" s="190">
        <f t="shared" si="282"/>
        <v>0</v>
      </c>
    </row>
    <row r="290" spans="2:17" s="119" customFormat="1" ht="19.5" hidden="1" thickBot="1" x14ac:dyDescent="0.35">
      <c r="B290" s="310"/>
      <c r="C290" s="119">
        <f t="shared" si="273"/>
        <v>0</v>
      </c>
      <c r="D290" s="125" t="s">
        <v>123</v>
      </c>
      <c r="E290" s="76" t="s">
        <v>47</v>
      </c>
      <c r="F290" s="168">
        <f t="shared" si="280"/>
        <v>0</v>
      </c>
      <c r="G290" s="168">
        <f t="shared" si="280"/>
        <v>0</v>
      </c>
      <c r="H290" s="168">
        <f t="shared" si="280"/>
        <v>0</v>
      </c>
      <c r="I290" s="168">
        <f t="shared" si="280"/>
        <v>0</v>
      </c>
      <c r="J290" s="168">
        <f t="shared" si="280"/>
        <v>0</v>
      </c>
      <c r="K290" s="168">
        <f t="shared" ref="K290:P290" si="287">+K16*$E$277</f>
        <v>0</v>
      </c>
      <c r="L290" s="168">
        <f t="shared" si="287"/>
        <v>0</v>
      </c>
      <c r="M290" s="168">
        <f t="shared" si="287"/>
        <v>0</v>
      </c>
      <c r="N290" s="168">
        <f t="shared" si="287"/>
        <v>0</v>
      </c>
      <c r="O290" s="168">
        <f t="shared" si="287"/>
        <v>0</v>
      </c>
      <c r="P290" s="168">
        <f t="shared" si="287"/>
        <v>0</v>
      </c>
      <c r="Q290" s="190">
        <f t="shared" si="282"/>
        <v>0</v>
      </c>
    </row>
    <row r="291" spans="2:17" s="119" customFormat="1" ht="19.5" hidden="1" thickBot="1" x14ac:dyDescent="0.35">
      <c r="B291" s="310"/>
      <c r="C291" s="119">
        <f t="shared" si="273"/>
        <v>0</v>
      </c>
      <c r="D291" s="125" t="s">
        <v>16</v>
      </c>
      <c r="E291" s="70" t="s">
        <v>77</v>
      </c>
      <c r="F291" s="168">
        <f t="shared" si="280"/>
        <v>0</v>
      </c>
      <c r="G291" s="168">
        <f t="shared" si="280"/>
        <v>0</v>
      </c>
      <c r="H291" s="168">
        <f t="shared" si="280"/>
        <v>0</v>
      </c>
      <c r="I291" s="168">
        <f t="shared" si="280"/>
        <v>0</v>
      </c>
      <c r="J291" s="168">
        <f t="shared" si="280"/>
        <v>0</v>
      </c>
      <c r="K291" s="168">
        <f t="shared" ref="K291:P291" si="288">+K17*$E$277</f>
        <v>0</v>
      </c>
      <c r="L291" s="168">
        <f t="shared" si="288"/>
        <v>0</v>
      </c>
      <c r="M291" s="168">
        <f t="shared" si="288"/>
        <v>0</v>
      </c>
      <c r="N291" s="168">
        <f t="shared" si="288"/>
        <v>0</v>
      </c>
      <c r="O291" s="168">
        <f t="shared" si="288"/>
        <v>0</v>
      </c>
      <c r="P291" s="168">
        <f t="shared" si="288"/>
        <v>0</v>
      </c>
      <c r="Q291" s="190">
        <f t="shared" si="282"/>
        <v>0</v>
      </c>
    </row>
    <row r="292" spans="2:17" s="119" customFormat="1" ht="19.5" hidden="1" thickBot="1" x14ac:dyDescent="0.3">
      <c r="B292" s="310"/>
      <c r="C292" s="119">
        <f t="shared" si="273"/>
        <v>0</v>
      </c>
      <c r="D292" s="131" t="s">
        <v>124</v>
      </c>
      <c r="E292" s="116" t="s">
        <v>78</v>
      </c>
      <c r="F292" s="169">
        <f t="shared" ref="F292:Q292" si="289">SUBTOTAL(9,F280:F291)</f>
        <v>0</v>
      </c>
      <c r="G292" s="170">
        <f t="shared" si="289"/>
        <v>0</v>
      </c>
      <c r="H292" s="170">
        <f t="shared" si="289"/>
        <v>0</v>
      </c>
      <c r="I292" s="170">
        <f t="shared" si="289"/>
        <v>0</v>
      </c>
      <c r="J292" s="170">
        <f t="shared" si="289"/>
        <v>0</v>
      </c>
      <c r="K292" s="170">
        <f t="shared" ref="K292:P292" si="290">SUBTOTAL(9,K280:K291)</f>
        <v>0</v>
      </c>
      <c r="L292" s="170">
        <f t="shared" si="290"/>
        <v>0</v>
      </c>
      <c r="M292" s="170">
        <f t="shared" si="290"/>
        <v>0</v>
      </c>
      <c r="N292" s="170">
        <f t="shared" si="290"/>
        <v>0</v>
      </c>
      <c r="O292" s="170">
        <f t="shared" si="290"/>
        <v>0</v>
      </c>
      <c r="P292" s="170">
        <f t="shared" si="290"/>
        <v>0</v>
      </c>
      <c r="Q292" s="170">
        <f t="shared" si="289"/>
        <v>0</v>
      </c>
    </row>
    <row r="293" spans="2:17" s="119" customFormat="1" ht="15.75" hidden="1" thickBot="1" x14ac:dyDescent="0.3">
      <c r="B293" s="310"/>
      <c r="D293" s="117"/>
      <c r="E293" s="132"/>
      <c r="F293" s="117"/>
      <c r="G293" s="117"/>
      <c r="H293" s="118"/>
      <c r="I293" s="118"/>
      <c r="J293" s="118"/>
      <c r="K293" s="118"/>
      <c r="L293" s="118"/>
      <c r="M293" s="118"/>
      <c r="N293" s="118"/>
      <c r="O293" s="118"/>
      <c r="P293" s="118"/>
      <c r="Q293" s="118"/>
    </row>
    <row r="294" spans="2:17" s="119" customFormat="1" ht="45.75" hidden="1" thickBot="1" x14ac:dyDescent="0.3">
      <c r="B294" s="310"/>
      <c r="C294" s="119">
        <f>IF(E294&gt;0,1,0)</f>
        <v>0</v>
      </c>
      <c r="D294" s="96" t="str">
        <f>+A20</f>
        <v>Franklin</v>
      </c>
      <c r="E294" s="166">
        <f>+SUMIF(A:A,D294,B:B)</f>
        <v>0</v>
      </c>
      <c r="F294" s="98" t="s">
        <v>97</v>
      </c>
      <c r="G294" s="98" t="s">
        <v>126</v>
      </c>
      <c r="H294" s="98" t="s">
        <v>127</v>
      </c>
      <c r="I294" s="99" t="s">
        <v>128</v>
      </c>
      <c r="J294" s="99" t="s">
        <v>131</v>
      </c>
      <c r="K294" s="560" t="s">
        <v>474</v>
      </c>
      <c r="L294" s="560" t="s">
        <v>475</v>
      </c>
      <c r="M294" s="560" t="s">
        <v>476</v>
      </c>
      <c r="N294" s="560" t="s">
        <v>477</v>
      </c>
      <c r="O294" s="560" t="s">
        <v>478</v>
      </c>
      <c r="P294" s="560" t="s">
        <v>479</v>
      </c>
      <c r="Q294" s="99" t="s">
        <v>129</v>
      </c>
    </row>
    <row r="295" spans="2:17" s="119" customFormat="1" ht="19.5" hidden="1" thickBot="1" x14ac:dyDescent="0.3">
      <c r="B295" s="310"/>
      <c r="C295" s="119">
        <f>C294</f>
        <v>0</v>
      </c>
      <c r="D295" s="127"/>
      <c r="E295" s="128"/>
      <c r="F295" s="84" t="s">
        <v>57</v>
      </c>
      <c r="G295" s="84" t="s">
        <v>56</v>
      </c>
      <c r="H295" s="84" t="s">
        <v>55</v>
      </c>
      <c r="I295" s="84" t="s">
        <v>54</v>
      </c>
      <c r="J295" s="129" t="s">
        <v>53</v>
      </c>
      <c r="K295" s="129" t="s">
        <v>52</v>
      </c>
      <c r="L295" s="129" t="s">
        <v>51</v>
      </c>
      <c r="M295" s="129" t="s">
        <v>50</v>
      </c>
      <c r="N295" s="129" t="s">
        <v>49</v>
      </c>
      <c r="O295" s="129" t="s">
        <v>47</v>
      </c>
      <c r="P295" s="129" t="s">
        <v>77</v>
      </c>
      <c r="Q295" s="129" t="s">
        <v>78</v>
      </c>
    </row>
    <row r="296" spans="2:17" s="119" customFormat="1" ht="19.5" hidden="1" thickBot="1" x14ac:dyDescent="0.3">
      <c r="B296" s="310"/>
      <c r="C296" s="119">
        <f>C295</f>
        <v>0</v>
      </c>
      <c r="D296" s="133" t="s">
        <v>26</v>
      </c>
      <c r="E296" s="134"/>
      <c r="F296" s="135"/>
      <c r="G296" s="135"/>
      <c r="H296" s="136"/>
      <c r="I296" s="136"/>
      <c r="J296" s="137"/>
      <c r="K296" s="137"/>
      <c r="L296" s="137"/>
      <c r="M296" s="137"/>
      <c r="N296" s="137"/>
      <c r="O296" s="137"/>
      <c r="P296" s="137"/>
      <c r="Q296" s="138"/>
    </row>
    <row r="297" spans="2:17" s="119" customFormat="1" ht="19.5" hidden="1" thickBot="1" x14ac:dyDescent="0.3">
      <c r="B297" s="310"/>
      <c r="C297" s="119">
        <f t="shared" ref="C297:C309" si="291">C296</f>
        <v>0</v>
      </c>
      <c r="D297" s="109" t="s">
        <v>93</v>
      </c>
      <c r="E297" s="76" t="s">
        <v>57</v>
      </c>
      <c r="F297" s="168">
        <f>+F6*$E$294</f>
        <v>0</v>
      </c>
      <c r="G297" s="168">
        <f t="shared" ref="G297:J297" si="292">+G6*$E$294</f>
        <v>0</v>
      </c>
      <c r="H297" s="168">
        <f t="shared" si="292"/>
        <v>0</v>
      </c>
      <c r="I297" s="168">
        <f t="shared" si="292"/>
        <v>0</v>
      </c>
      <c r="J297" s="168">
        <f t="shared" si="292"/>
        <v>0</v>
      </c>
      <c r="K297" s="168">
        <f t="shared" ref="K297:P297" si="293">+K6*$E$294</f>
        <v>0</v>
      </c>
      <c r="L297" s="168">
        <f t="shared" si="293"/>
        <v>0</v>
      </c>
      <c r="M297" s="168">
        <f t="shared" si="293"/>
        <v>0</v>
      </c>
      <c r="N297" s="168">
        <f t="shared" si="293"/>
        <v>0</v>
      </c>
      <c r="O297" s="168">
        <f t="shared" si="293"/>
        <v>0</v>
      </c>
      <c r="P297" s="168">
        <f t="shared" si="293"/>
        <v>0</v>
      </c>
      <c r="Q297" s="190">
        <f>SUM(G297:P297)</f>
        <v>0</v>
      </c>
    </row>
    <row r="298" spans="2:17" s="119" customFormat="1" ht="19.5" hidden="1" thickBot="1" x14ac:dyDescent="0.3">
      <c r="B298" s="310"/>
      <c r="C298" s="119">
        <f t="shared" si="291"/>
        <v>0</v>
      </c>
      <c r="D298" s="110" t="s">
        <v>132</v>
      </c>
      <c r="E298" s="76" t="s">
        <v>56</v>
      </c>
      <c r="F298" s="168">
        <f t="shared" ref="F298:J300" si="294">+F7*$E$294</f>
        <v>0</v>
      </c>
      <c r="G298" s="168">
        <f t="shared" si="294"/>
        <v>0</v>
      </c>
      <c r="H298" s="168">
        <f t="shared" si="294"/>
        <v>0</v>
      </c>
      <c r="I298" s="168">
        <f t="shared" si="294"/>
        <v>0</v>
      </c>
      <c r="J298" s="168">
        <f t="shared" si="294"/>
        <v>0</v>
      </c>
      <c r="K298" s="168">
        <f t="shared" ref="K298:P298" si="295">+K7*$E$294</f>
        <v>0</v>
      </c>
      <c r="L298" s="168">
        <f t="shared" si="295"/>
        <v>0</v>
      </c>
      <c r="M298" s="168">
        <f t="shared" si="295"/>
        <v>0</v>
      </c>
      <c r="N298" s="168">
        <f t="shared" si="295"/>
        <v>0</v>
      </c>
      <c r="O298" s="168">
        <f t="shared" si="295"/>
        <v>0</v>
      </c>
      <c r="P298" s="168">
        <f t="shared" si="295"/>
        <v>0</v>
      </c>
      <c r="Q298" s="190">
        <f>SUM(G298:P298)</f>
        <v>0</v>
      </c>
    </row>
    <row r="299" spans="2:17" s="119" customFormat="1" ht="19.5" hidden="1" thickBot="1" x14ac:dyDescent="0.3">
      <c r="B299" s="310"/>
      <c r="C299" s="119">
        <f t="shared" si="291"/>
        <v>0</v>
      </c>
      <c r="D299" s="109" t="s">
        <v>91</v>
      </c>
      <c r="E299" s="76" t="s">
        <v>55</v>
      </c>
      <c r="F299" s="168">
        <f t="shared" si="294"/>
        <v>0</v>
      </c>
      <c r="G299" s="168">
        <f t="shared" si="294"/>
        <v>0</v>
      </c>
      <c r="H299" s="168">
        <f t="shared" si="294"/>
        <v>0</v>
      </c>
      <c r="I299" s="168">
        <f t="shared" si="294"/>
        <v>0</v>
      </c>
      <c r="J299" s="168">
        <f t="shared" si="294"/>
        <v>0</v>
      </c>
      <c r="K299" s="168">
        <f t="shared" ref="K299:P299" si="296">+K8*$E$294</f>
        <v>0</v>
      </c>
      <c r="L299" s="168">
        <f t="shared" si="296"/>
        <v>0</v>
      </c>
      <c r="M299" s="168">
        <f t="shared" si="296"/>
        <v>0</v>
      </c>
      <c r="N299" s="168">
        <f t="shared" si="296"/>
        <v>0</v>
      </c>
      <c r="O299" s="168">
        <f t="shared" si="296"/>
        <v>0</v>
      </c>
      <c r="P299" s="168">
        <f t="shared" si="296"/>
        <v>0</v>
      </c>
      <c r="Q299" s="190">
        <f>SUM(G299:P299)</f>
        <v>0</v>
      </c>
    </row>
    <row r="300" spans="2:17" s="119" customFormat="1" ht="19.5" hidden="1" thickBot="1" x14ac:dyDescent="0.3">
      <c r="B300" s="310"/>
      <c r="C300" s="119">
        <f t="shared" si="291"/>
        <v>0</v>
      </c>
      <c r="D300" s="130" t="s">
        <v>117</v>
      </c>
      <c r="E300" s="76" t="s">
        <v>54</v>
      </c>
      <c r="F300" s="168">
        <f t="shared" si="294"/>
        <v>0</v>
      </c>
      <c r="G300" s="168">
        <f t="shared" si="294"/>
        <v>0</v>
      </c>
      <c r="H300" s="168">
        <f t="shared" si="294"/>
        <v>0</v>
      </c>
      <c r="I300" s="168">
        <f t="shared" si="294"/>
        <v>0</v>
      </c>
      <c r="J300" s="168">
        <f t="shared" si="294"/>
        <v>0</v>
      </c>
      <c r="K300" s="168">
        <f t="shared" ref="K300:P300" si="297">+K9*$E$294</f>
        <v>0</v>
      </c>
      <c r="L300" s="168">
        <f t="shared" si="297"/>
        <v>0</v>
      </c>
      <c r="M300" s="168">
        <f t="shared" si="297"/>
        <v>0</v>
      </c>
      <c r="N300" s="168">
        <f t="shared" si="297"/>
        <v>0</v>
      </c>
      <c r="O300" s="168">
        <f t="shared" si="297"/>
        <v>0</v>
      </c>
      <c r="P300" s="168">
        <f t="shared" si="297"/>
        <v>0</v>
      </c>
      <c r="Q300" s="190">
        <f>SUM(G300:P300)</f>
        <v>0</v>
      </c>
    </row>
    <row r="301" spans="2:17" s="119" customFormat="1" ht="19.5" hidden="1" thickBot="1" x14ac:dyDescent="0.3">
      <c r="B301" s="310"/>
      <c r="C301" s="119">
        <f t="shared" si="291"/>
        <v>0</v>
      </c>
      <c r="D301" s="112" t="s">
        <v>31</v>
      </c>
      <c r="E301" s="76"/>
      <c r="F301" s="167"/>
      <c r="G301" s="185"/>
      <c r="H301" s="185"/>
      <c r="I301" s="185"/>
      <c r="J301" s="185"/>
      <c r="K301" s="185"/>
      <c r="L301" s="185"/>
      <c r="M301" s="185"/>
      <c r="N301" s="185"/>
      <c r="O301" s="185"/>
      <c r="P301" s="185"/>
      <c r="Q301" s="171"/>
    </row>
    <row r="302" spans="2:17" s="119" customFormat="1" ht="19.5" hidden="1" thickBot="1" x14ac:dyDescent="0.35">
      <c r="B302" s="310"/>
      <c r="C302" s="119">
        <f t="shared" si="291"/>
        <v>0</v>
      </c>
      <c r="D302" s="125" t="s">
        <v>118</v>
      </c>
      <c r="E302" s="76" t="s">
        <v>53</v>
      </c>
      <c r="F302" s="168">
        <f t="shared" ref="F302:J308" si="298">+F11*$E$294</f>
        <v>0</v>
      </c>
      <c r="G302" s="168">
        <f t="shared" si="298"/>
        <v>0</v>
      </c>
      <c r="H302" s="168">
        <f t="shared" si="298"/>
        <v>0</v>
      </c>
      <c r="I302" s="168">
        <f t="shared" si="298"/>
        <v>0</v>
      </c>
      <c r="J302" s="168">
        <f t="shared" si="298"/>
        <v>0</v>
      </c>
      <c r="K302" s="168">
        <f t="shared" ref="K302:P302" si="299">+K11*$E$294</f>
        <v>0</v>
      </c>
      <c r="L302" s="168">
        <f t="shared" si="299"/>
        <v>0</v>
      </c>
      <c r="M302" s="168">
        <f t="shared" si="299"/>
        <v>0</v>
      </c>
      <c r="N302" s="168">
        <f t="shared" si="299"/>
        <v>0</v>
      </c>
      <c r="O302" s="168">
        <f t="shared" si="299"/>
        <v>0</v>
      </c>
      <c r="P302" s="168">
        <f t="shared" si="299"/>
        <v>0</v>
      </c>
      <c r="Q302" s="190">
        <f t="shared" ref="Q302:Q308" si="300">SUM(G302:P302)</f>
        <v>0</v>
      </c>
    </row>
    <row r="303" spans="2:17" s="119" customFormat="1" ht="19.5" hidden="1" thickBot="1" x14ac:dyDescent="0.35">
      <c r="B303" s="310"/>
      <c r="C303" s="119">
        <f t="shared" si="291"/>
        <v>0</v>
      </c>
      <c r="D303" s="125" t="s">
        <v>119</v>
      </c>
      <c r="E303" s="76" t="s">
        <v>52</v>
      </c>
      <c r="F303" s="168">
        <f t="shared" si="298"/>
        <v>0</v>
      </c>
      <c r="G303" s="168">
        <f t="shared" si="298"/>
        <v>0</v>
      </c>
      <c r="H303" s="168">
        <f t="shared" si="298"/>
        <v>0</v>
      </c>
      <c r="I303" s="168">
        <f t="shared" si="298"/>
        <v>0</v>
      </c>
      <c r="J303" s="168">
        <f t="shared" si="298"/>
        <v>0</v>
      </c>
      <c r="K303" s="168">
        <f t="shared" ref="K303:P303" si="301">+K12*$E$294</f>
        <v>0</v>
      </c>
      <c r="L303" s="168">
        <f t="shared" si="301"/>
        <v>0</v>
      </c>
      <c r="M303" s="168">
        <f t="shared" si="301"/>
        <v>0</v>
      </c>
      <c r="N303" s="168">
        <f t="shared" si="301"/>
        <v>0</v>
      </c>
      <c r="O303" s="168">
        <f t="shared" si="301"/>
        <v>0</v>
      </c>
      <c r="P303" s="168">
        <f t="shared" si="301"/>
        <v>0</v>
      </c>
      <c r="Q303" s="190">
        <f t="shared" si="300"/>
        <v>0</v>
      </c>
    </row>
    <row r="304" spans="2:17" s="119" customFormat="1" ht="19.5" hidden="1" thickBot="1" x14ac:dyDescent="0.35">
      <c r="B304" s="310"/>
      <c r="C304" s="119">
        <f t="shared" si="291"/>
        <v>0</v>
      </c>
      <c r="D304" s="125" t="s">
        <v>120</v>
      </c>
      <c r="E304" s="76" t="s">
        <v>51</v>
      </c>
      <c r="F304" s="168">
        <f t="shared" si="298"/>
        <v>0</v>
      </c>
      <c r="G304" s="168">
        <f t="shared" si="298"/>
        <v>0</v>
      </c>
      <c r="H304" s="168">
        <f t="shared" si="298"/>
        <v>0</v>
      </c>
      <c r="I304" s="168">
        <f t="shared" si="298"/>
        <v>0</v>
      </c>
      <c r="J304" s="168">
        <f t="shared" si="298"/>
        <v>0</v>
      </c>
      <c r="K304" s="168">
        <f t="shared" ref="K304:P304" si="302">+K13*$E$294</f>
        <v>0</v>
      </c>
      <c r="L304" s="168">
        <f t="shared" si="302"/>
        <v>0</v>
      </c>
      <c r="M304" s="168">
        <f t="shared" si="302"/>
        <v>0</v>
      </c>
      <c r="N304" s="168">
        <f t="shared" si="302"/>
        <v>0</v>
      </c>
      <c r="O304" s="168">
        <f t="shared" si="302"/>
        <v>0</v>
      </c>
      <c r="P304" s="168">
        <f t="shared" si="302"/>
        <v>0</v>
      </c>
      <c r="Q304" s="190">
        <f t="shared" si="300"/>
        <v>0</v>
      </c>
    </row>
    <row r="305" spans="2:17" s="119" customFormat="1" ht="19.5" hidden="1" thickBot="1" x14ac:dyDescent="0.35">
      <c r="B305" s="310"/>
      <c r="C305" s="119">
        <f t="shared" si="291"/>
        <v>0</v>
      </c>
      <c r="D305" s="125" t="s">
        <v>121</v>
      </c>
      <c r="E305" s="76" t="s">
        <v>50</v>
      </c>
      <c r="F305" s="168">
        <f t="shared" si="298"/>
        <v>0</v>
      </c>
      <c r="G305" s="168">
        <f t="shared" si="298"/>
        <v>0</v>
      </c>
      <c r="H305" s="168">
        <f t="shared" si="298"/>
        <v>0</v>
      </c>
      <c r="I305" s="168">
        <f t="shared" si="298"/>
        <v>0</v>
      </c>
      <c r="J305" s="168">
        <f t="shared" si="298"/>
        <v>0</v>
      </c>
      <c r="K305" s="168">
        <f t="shared" ref="K305:P305" si="303">+K14*$E$294</f>
        <v>0</v>
      </c>
      <c r="L305" s="168">
        <f t="shared" si="303"/>
        <v>0</v>
      </c>
      <c r="M305" s="168">
        <f t="shared" si="303"/>
        <v>0</v>
      </c>
      <c r="N305" s="168">
        <f t="shared" si="303"/>
        <v>0</v>
      </c>
      <c r="O305" s="168">
        <f t="shared" si="303"/>
        <v>0</v>
      </c>
      <c r="P305" s="168">
        <f t="shared" si="303"/>
        <v>0</v>
      </c>
      <c r="Q305" s="190">
        <f t="shared" si="300"/>
        <v>0</v>
      </c>
    </row>
    <row r="306" spans="2:17" s="119" customFormat="1" ht="19.5" hidden="1" thickBot="1" x14ac:dyDescent="0.35">
      <c r="B306" s="310"/>
      <c r="C306" s="119">
        <f t="shared" si="291"/>
        <v>0</v>
      </c>
      <c r="D306" s="125" t="s">
        <v>122</v>
      </c>
      <c r="E306" s="76" t="s">
        <v>49</v>
      </c>
      <c r="F306" s="168">
        <f t="shared" si="298"/>
        <v>0</v>
      </c>
      <c r="G306" s="168">
        <f t="shared" si="298"/>
        <v>0</v>
      </c>
      <c r="H306" s="168">
        <f t="shared" si="298"/>
        <v>0</v>
      </c>
      <c r="I306" s="168">
        <f t="shared" si="298"/>
        <v>0</v>
      </c>
      <c r="J306" s="168">
        <f t="shared" si="298"/>
        <v>0</v>
      </c>
      <c r="K306" s="168">
        <f t="shared" ref="K306:P306" si="304">+K15*$E$294</f>
        <v>0</v>
      </c>
      <c r="L306" s="168">
        <f t="shared" si="304"/>
        <v>0</v>
      </c>
      <c r="M306" s="168">
        <f t="shared" si="304"/>
        <v>0</v>
      </c>
      <c r="N306" s="168">
        <f t="shared" si="304"/>
        <v>0</v>
      </c>
      <c r="O306" s="168">
        <f t="shared" si="304"/>
        <v>0</v>
      </c>
      <c r="P306" s="168">
        <f t="shared" si="304"/>
        <v>0</v>
      </c>
      <c r="Q306" s="190">
        <f t="shared" si="300"/>
        <v>0</v>
      </c>
    </row>
    <row r="307" spans="2:17" s="119" customFormat="1" ht="19.5" hidden="1" thickBot="1" x14ac:dyDescent="0.35">
      <c r="B307" s="310"/>
      <c r="C307" s="119">
        <f t="shared" si="291"/>
        <v>0</v>
      </c>
      <c r="D307" s="125" t="s">
        <v>123</v>
      </c>
      <c r="E307" s="76" t="s">
        <v>47</v>
      </c>
      <c r="F307" s="168">
        <f t="shared" si="298"/>
        <v>0</v>
      </c>
      <c r="G307" s="168">
        <f t="shared" si="298"/>
        <v>0</v>
      </c>
      <c r="H307" s="168">
        <f t="shared" si="298"/>
        <v>0</v>
      </c>
      <c r="I307" s="168">
        <f t="shared" si="298"/>
        <v>0</v>
      </c>
      <c r="J307" s="168">
        <f t="shared" si="298"/>
        <v>0</v>
      </c>
      <c r="K307" s="168">
        <f t="shared" ref="K307:P307" si="305">+K16*$E$294</f>
        <v>0</v>
      </c>
      <c r="L307" s="168">
        <f t="shared" si="305"/>
        <v>0</v>
      </c>
      <c r="M307" s="168">
        <f t="shared" si="305"/>
        <v>0</v>
      </c>
      <c r="N307" s="168">
        <f t="shared" si="305"/>
        <v>0</v>
      </c>
      <c r="O307" s="168">
        <f t="shared" si="305"/>
        <v>0</v>
      </c>
      <c r="P307" s="168">
        <f t="shared" si="305"/>
        <v>0</v>
      </c>
      <c r="Q307" s="190">
        <f t="shared" si="300"/>
        <v>0</v>
      </c>
    </row>
    <row r="308" spans="2:17" s="119" customFormat="1" ht="19.5" hidden="1" thickBot="1" x14ac:dyDescent="0.35">
      <c r="B308" s="310"/>
      <c r="C308" s="119">
        <f t="shared" si="291"/>
        <v>0</v>
      </c>
      <c r="D308" s="125" t="s">
        <v>16</v>
      </c>
      <c r="E308" s="70" t="s">
        <v>77</v>
      </c>
      <c r="F308" s="168">
        <f t="shared" si="298"/>
        <v>0</v>
      </c>
      <c r="G308" s="168">
        <f t="shared" si="298"/>
        <v>0</v>
      </c>
      <c r="H308" s="168">
        <f t="shared" si="298"/>
        <v>0</v>
      </c>
      <c r="I308" s="168">
        <f t="shared" si="298"/>
        <v>0</v>
      </c>
      <c r="J308" s="168">
        <f t="shared" si="298"/>
        <v>0</v>
      </c>
      <c r="K308" s="168">
        <f t="shared" ref="K308:P308" si="306">+K17*$E$294</f>
        <v>0</v>
      </c>
      <c r="L308" s="168">
        <f t="shared" si="306"/>
        <v>0</v>
      </c>
      <c r="M308" s="168">
        <f t="shared" si="306"/>
        <v>0</v>
      </c>
      <c r="N308" s="168">
        <f t="shared" si="306"/>
        <v>0</v>
      </c>
      <c r="O308" s="168">
        <f t="shared" si="306"/>
        <v>0</v>
      </c>
      <c r="P308" s="168">
        <f t="shared" si="306"/>
        <v>0</v>
      </c>
      <c r="Q308" s="190">
        <f t="shared" si="300"/>
        <v>0</v>
      </c>
    </row>
    <row r="309" spans="2:17" s="119" customFormat="1" ht="19.5" hidden="1" thickBot="1" x14ac:dyDescent="0.3">
      <c r="B309" s="310"/>
      <c r="C309" s="119">
        <f t="shared" si="291"/>
        <v>0</v>
      </c>
      <c r="D309" s="131" t="s">
        <v>124</v>
      </c>
      <c r="E309" s="116" t="s">
        <v>78</v>
      </c>
      <c r="F309" s="169">
        <f t="shared" ref="F309:Q309" si="307">SUBTOTAL(9,F297:F308)</f>
        <v>0</v>
      </c>
      <c r="G309" s="170">
        <f t="shared" si="307"/>
        <v>0</v>
      </c>
      <c r="H309" s="170">
        <f t="shared" si="307"/>
        <v>0</v>
      </c>
      <c r="I309" s="170">
        <f t="shared" si="307"/>
        <v>0</v>
      </c>
      <c r="J309" s="170">
        <f t="shared" si="307"/>
        <v>0</v>
      </c>
      <c r="K309" s="170">
        <f t="shared" ref="K309:P309" si="308">SUBTOTAL(9,K297:K308)</f>
        <v>0</v>
      </c>
      <c r="L309" s="170">
        <f t="shared" si="308"/>
        <v>0</v>
      </c>
      <c r="M309" s="170">
        <f t="shared" si="308"/>
        <v>0</v>
      </c>
      <c r="N309" s="170">
        <f t="shared" si="308"/>
        <v>0</v>
      </c>
      <c r="O309" s="170">
        <f t="shared" si="308"/>
        <v>0</v>
      </c>
      <c r="P309" s="170">
        <f t="shared" si="308"/>
        <v>0</v>
      </c>
      <c r="Q309" s="170">
        <f t="shared" si="307"/>
        <v>0</v>
      </c>
    </row>
    <row r="310" spans="2:17" s="119" customFormat="1" ht="15.75" hidden="1" thickBot="1" x14ac:dyDescent="0.3">
      <c r="B310" s="310"/>
      <c r="D310" s="117"/>
      <c r="E310" s="132"/>
      <c r="F310" s="117"/>
      <c r="G310" s="117"/>
      <c r="H310" s="118"/>
      <c r="I310" s="118"/>
      <c r="J310" s="118"/>
      <c r="K310" s="118"/>
      <c r="L310" s="118"/>
      <c r="M310" s="118"/>
      <c r="N310" s="118"/>
      <c r="O310" s="118"/>
      <c r="P310" s="118"/>
      <c r="Q310" s="118"/>
    </row>
    <row r="311" spans="2:17" s="119" customFormat="1" ht="45.75" hidden="1" thickBot="1" x14ac:dyDescent="0.3">
      <c r="B311" s="310"/>
      <c r="C311" s="119">
        <f>IF(E311&gt;0,1,0)</f>
        <v>0</v>
      </c>
      <c r="D311" s="96" t="str">
        <f>+A21</f>
        <v>Fulton</v>
      </c>
      <c r="E311" s="166">
        <f>+SUMIF(A:A,D311,B:B)</f>
        <v>0</v>
      </c>
      <c r="F311" s="98" t="s">
        <v>97</v>
      </c>
      <c r="G311" s="98" t="s">
        <v>126</v>
      </c>
      <c r="H311" s="98" t="s">
        <v>127</v>
      </c>
      <c r="I311" s="99" t="s">
        <v>128</v>
      </c>
      <c r="J311" s="99" t="s">
        <v>131</v>
      </c>
      <c r="K311" s="560" t="s">
        <v>474</v>
      </c>
      <c r="L311" s="560" t="s">
        <v>475</v>
      </c>
      <c r="M311" s="560" t="s">
        <v>476</v>
      </c>
      <c r="N311" s="560" t="s">
        <v>477</v>
      </c>
      <c r="O311" s="560" t="s">
        <v>478</v>
      </c>
      <c r="P311" s="560" t="s">
        <v>479</v>
      </c>
      <c r="Q311" s="99" t="s">
        <v>129</v>
      </c>
    </row>
    <row r="312" spans="2:17" s="119" customFormat="1" ht="19.5" hidden="1" thickBot="1" x14ac:dyDescent="0.3">
      <c r="B312" s="310"/>
      <c r="C312" s="119">
        <f>C311</f>
        <v>0</v>
      </c>
      <c r="D312" s="127"/>
      <c r="E312" s="128"/>
      <c r="F312" s="84" t="s">
        <v>57</v>
      </c>
      <c r="G312" s="84" t="s">
        <v>56</v>
      </c>
      <c r="H312" s="84" t="s">
        <v>55</v>
      </c>
      <c r="I312" s="84" t="s">
        <v>54</v>
      </c>
      <c r="J312" s="129" t="s">
        <v>53</v>
      </c>
      <c r="K312" s="129" t="s">
        <v>52</v>
      </c>
      <c r="L312" s="129" t="s">
        <v>51</v>
      </c>
      <c r="M312" s="129" t="s">
        <v>50</v>
      </c>
      <c r="N312" s="129" t="s">
        <v>49</v>
      </c>
      <c r="O312" s="129" t="s">
        <v>47</v>
      </c>
      <c r="P312" s="129" t="s">
        <v>77</v>
      </c>
      <c r="Q312" s="129" t="s">
        <v>78</v>
      </c>
    </row>
    <row r="313" spans="2:17" s="119" customFormat="1" ht="19.5" hidden="1" thickBot="1" x14ac:dyDescent="0.3">
      <c r="B313" s="310"/>
      <c r="C313" s="119">
        <f>C312</f>
        <v>0</v>
      </c>
      <c r="D313" s="133" t="s">
        <v>26</v>
      </c>
      <c r="E313" s="134"/>
      <c r="F313" s="135"/>
      <c r="G313" s="135"/>
      <c r="H313" s="136"/>
      <c r="I313" s="136"/>
      <c r="J313" s="137"/>
      <c r="K313" s="137"/>
      <c r="L313" s="137"/>
      <c r="M313" s="137"/>
      <c r="N313" s="137"/>
      <c r="O313" s="137"/>
      <c r="P313" s="137"/>
      <c r="Q313" s="138"/>
    </row>
    <row r="314" spans="2:17" s="119" customFormat="1" ht="19.5" hidden="1" thickBot="1" x14ac:dyDescent="0.3">
      <c r="B314" s="310"/>
      <c r="C314" s="119">
        <f t="shared" ref="C314:C326" si="309">C313</f>
        <v>0</v>
      </c>
      <c r="D314" s="109" t="s">
        <v>93</v>
      </c>
      <c r="E314" s="76" t="s">
        <v>57</v>
      </c>
      <c r="F314" s="168">
        <f>+F6*$E$311</f>
        <v>0</v>
      </c>
      <c r="G314" s="168">
        <f t="shared" ref="G314:J314" si="310">+G6*$E$311</f>
        <v>0</v>
      </c>
      <c r="H314" s="168">
        <f t="shared" si="310"/>
        <v>0</v>
      </c>
      <c r="I314" s="168">
        <f t="shared" si="310"/>
        <v>0</v>
      </c>
      <c r="J314" s="168">
        <f t="shared" si="310"/>
        <v>0</v>
      </c>
      <c r="K314" s="168">
        <f t="shared" ref="K314:P314" si="311">+K6*$E$311</f>
        <v>0</v>
      </c>
      <c r="L314" s="168">
        <f t="shared" si="311"/>
        <v>0</v>
      </c>
      <c r="M314" s="168">
        <f t="shared" si="311"/>
        <v>0</v>
      </c>
      <c r="N314" s="168">
        <f t="shared" si="311"/>
        <v>0</v>
      </c>
      <c r="O314" s="168">
        <f t="shared" si="311"/>
        <v>0</v>
      </c>
      <c r="P314" s="168">
        <f t="shared" si="311"/>
        <v>0</v>
      </c>
      <c r="Q314" s="190">
        <f>SUM(G314:P314)</f>
        <v>0</v>
      </c>
    </row>
    <row r="315" spans="2:17" s="119" customFormat="1" ht="19.5" hidden="1" thickBot="1" x14ac:dyDescent="0.3">
      <c r="B315" s="310"/>
      <c r="C315" s="119">
        <f t="shared" si="309"/>
        <v>0</v>
      </c>
      <c r="D315" s="110" t="s">
        <v>132</v>
      </c>
      <c r="E315" s="76" t="s">
        <v>56</v>
      </c>
      <c r="F315" s="168">
        <f t="shared" ref="F315:J317" si="312">+F7*$E$311</f>
        <v>0</v>
      </c>
      <c r="G315" s="168">
        <f t="shared" si="312"/>
        <v>0</v>
      </c>
      <c r="H315" s="168">
        <f t="shared" si="312"/>
        <v>0</v>
      </c>
      <c r="I315" s="168">
        <f t="shared" si="312"/>
        <v>0</v>
      </c>
      <c r="J315" s="168">
        <f t="shared" si="312"/>
        <v>0</v>
      </c>
      <c r="K315" s="168">
        <f t="shared" ref="K315:P315" si="313">+K7*$E$311</f>
        <v>0</v>
      </c>
      <c r="L315" s="168">
        <f t="shared" si="313"/>
        <v>0</v>
      </c>
      <c r="M315" s="168">
        <f t="shared" si="313"/>
        <v>0</v>
      </c>
      <c r="N315" s="168">
        <f t="shared" si="313"/>
        <v>0</v>
      </c>
      <c r="O315" s="168">
        <f t="shared" si="313"/>
        <v>0</v>
      </c>
      <c r="P315" s="168">
        <f t="shared" si="313"/>
        <v>0</v>
      </c>
      <c r="Q315" s="190">
        <f>SUM(G315:P315)</f>
        <v>0</v>
      </c>
    </row>
    <row r="316" spans="2:17" s="119" customFormat="1" ht="19.5" hidden="1" thickBot="1" x14ac:dyDescent="0.3">
      <c r="B316" s="310"/>
      <c r="C316" s="119">
        <f t="shared" si="309"/>
        <v>0</v>
      </c>
      <c r="D316" s="109" t="s">
        <v>91</v>
      </c>
      <c r="E316" s="76" t="s">
        <v>55</v>
      </c>
      <c r="F316" s="168">
        <f t="shared" si="312"/>
        <v>0</v>
      </c>
      <c r="G316" s="168">
        <f t="shared" si="312"/>
        <v>0</v>
      </c>
      <c r="H316" s="168">
        <f t="shared" si="312"/>
        <v>0</v>
      </c>
      <c r="I316" s="168">
        <f t="shared" si="312"/>
        <v>0</v>
      </c>
      <c r="J316" s="168">
        <f t="shared" si="312"/>
        <v>0</v>
      </c>
      <c r="K316" s="168">
        <f t="shared" ref="K316:P316" si="314">+K8*$E$311</f>
        <v>0</v>
      </c>
      <c r="L316" s="168">
        <f t="shared" si="314"/>
        <v>0</v>
      </c>
      <c r="M316" s="168">
        <f t="shared" si="314"/>
        <v>0</v>
      </c>
      <c r="N316" s="168">
        <f t="shared" si="314"/>
        <v>0</v>
      </c>
      <c r="O316" s="168">
        <f t="shared" si="314"/>
        <v>0</v>
      </c>
      <c r="P316" s="168">
        <f t="shared" si="314"/>
        <v>0</v>
      </c>
      <c r="Q316" s="190">
        <f>SUM(G316:P316)</f>
        <v>0</v>
      </c>
    </row>
    <row r="317" spans="2:17" s="119" customFormat="1" ht="19.5" hidden="1" thickBot="1" x14ac:dyDescent="0.3">
      <c r="B317" s="310"/>
      <c r="C317" s="119">
        <f t="shared" si="309"/>
        <v>0</v>
      </c>
      <c r="D317" s="130" t="s">
        <v>117</v>
      </c>
      <c r="E317" s="76" t="s">
        <v>54</v>
      </c>
      <c r="F317" s="168">
        <f t="shared" si="312"/>
        <v>0</v>
      </c>
      <c r="G317" s="168">
        <f t="shared" si="312"/>
        <v>0</v>
      </c>
      <c r="H317" s="168">
        <f t="shared" si="312"/>
        <v>0</v>
      </c>
      <c r="I317" s="168">
        <f t="shared" si="312"/>
        <v>0</v>
      </c>
      <c r="J317" s="168">
        <f t="shared" si="312"/>
        <v>0</v>
      </c>
      <c r="K317" s="168">
        <f t="shared" ref="K317:P317" si="315">+K9*$E$311</f>
        <v>0</v>
      </c>
      <c r="L317" s="168">
        <f t="shared" si="315"/>
        <v>0</v>
      </c>
      <c r="M317" s="168">
        <f t="shared" si="315"/>
        <v>0</v>
      </c>
      <c r="N317" s="168">
        <f t="shared" si="315"/>
        <v>0</v>
      </c>
      <c r="O317" s="168">
        <f t="shared" si="315"/>
        <v>0</v>
      </c>
      <c r="P317" s="168">
        <f t="shared" si="315"/>
        <v>0</v>
      </c>
      <c r="Q317" s="190">
        <f>SUM(G317:P317)</f>
        <v>0</v>
      </c>
    </row>
    <row r="318" spans="2:17" s="119" customFormat="1" ht="19.5" hidden="1" thickBot="1" x14ac:dyDescent="0.3">
      <c r="B318" s="310"/>
      <c r="C318" s="119">
        <f t="shared" si="309"/>
        <v>0</v>
      </c>
      <c r="D318" s="112" t="s">
        <v>31</v>
      </c>
      <c r="E318" s="76"/>
      <c r="F318" s="167"/>
      <c r="G318" s="185"/>
      <c r="H318" s="185"/>
      <c r="I318" s="185"/>
      <c r="J318" s="185"/>
      <c r="K318" s="185"/>
      <c r="L318" s="185"/>
      <c r="M318" s="185"/>
      <c r="N318" s="185"/>
      <c r="O318" s="185"/>
      <c r="P318" s="185"/>
      <c r="Q318" s="171"/>
    </row>
    <row r="319" spans="2:17" s="119" customFormat="1" ht="19.5" hidden="1" thickBot="1" x14ac:dyDescent="0.35">
      <c r="B319" s="310"/>
      <c r="C319" s="119">
        <f t="shared" si="309"/>
        <v>0</v>
      </c>
      <c r="D319" s="125" t="s">
        <v>118</v>
      </c>
      <c r="E319" s="76" t="s">
        <v>53</v>
      </c>
      <c r="F319" s="168">
        <f t="shared" ref="F319:J325" si="316">+F11*$E$311</f>
        <v>0</v>
      </c>
      <c r="G319" s="168">
        <f t="shared" si="316"/>
        <v>0</v>
      </c>
      <c r="H319" s="168">
        <f t="shared" si="316"/>
        <v>0</v>
      </c>
      <c r="I319" s="168">
        <f t="shared" si="316"/>
        <v>0</v>
      </c>
      <c r="J319" s="168">
        <f t="shared" si="316"/>
        <v>0</v>
      </c>
      <c r="K319" s="168">
        <f t="shared" ref="K319:P319" si="317">+K11*$E$311</f>
        <v>0</v>
      </c>
      <c r="L319" s="168">
        <f t="shared" si="317"/>
        <v>0</v>
      </c>
      <c r="M319" s="168">
        <f t="shared" si="317"/>
        <v>0</v>
      </c>
      <c r="N319" s="168">
        <f t="shared" si="317"/>
        <v>0</v>
      </c>
      <c r="O319" s="168">
        <f t="shared" si="317"/>
        <v>0</v>
      </c>
      <c r="P319" s="168">
        <f t="shared" si="317"/>
        <v>0</v>
      </c>
      <c r="Q319" s="190">
        <f t="shared" ref="Q319:Q325" si="318">SUM(G319:P319)</f>
        <v>0</v>
      </c>
    </row>
    <row r="320" spans="2:17" s="119" customFormat="1" ht="19.5" hidden="1" thickBot="1" x14ac:dyDescent="0.35">
      <c r="B320" s="310"/>
      <c r="C320" s="119">
        <f t="shared" si="309"/>
        <v>0</v>
      </c>
      <c r="D320" s="125" t="s">
        <v>119</v>
      </c>
      <c r="E320" s="76" t="s">
        <v>52</v>
      </c>
      <c r="F320" s="168">
        <f t="shared" si="316"/>
        <v>0</v>
      </c>
      <c r="G320" s="168">
        <f t="shared" si="316"/>
        <v>0</v>
      </c>
      <c r="H320" s="168">
        <f t="shared" si="316"/>
        <v>0</v>
      </c>
      <c r="I320" s="168">
        <f t="shared" si="316"/>
        <v>0</v>
      </c>
      <c r="J320" s="168">
        <f t="shared" si="316"/>
        <v>0</v>
      </c>
      <c r="K320" s="168">
        <f t="shared" ref="K320:P320" si="319">+K12*$E$311</f>
        <v>0</v>
      </c>
      <c r="L320" s="168">
        <f t="shared" si="319"/>
        <v>0</v>
      </c>
      <c r="M320" s="168">
        <f t="shared" si="319"/>
        <v>0</v>
      </c>
      <c r="N320" s="168">
        <f t="shared" si="319"/>
        <v>0</v>
      </c>
      <c r="O320" s="168">
        <f t="shared" si="319"/>
        <v>0</v>
      </c>
      <c r="P320" s="168">
        <f t="shared" si="319"/>
        <v>0</v>
      </c>
      <c r="Q320" s="190">
        <f t="shared" si="318"/>
        <v>0</v>
      </c>
    </row>
    <row r="321" spans="2:17" s="119" customFormat="1" ht="19.5" hidden="1" thickBot="1" x14ac:dyDescent="0.35">
      <c r="B321" s="310"/>
      <c r="C321" s="119">
        <f t="shared" si="309"/>
        <v>0</v>
      </c>
      <c r="D321" s="125" t="s">
        <v>120</v>
      </c>
      <c r="E321" s="76" t="s">
        <v>51</v>
      </c>
      <c r="F321" s="168">
        <f t="shared" si="316"/>
        <v>0</v>
      </c>
      <c r="G321" s="168">
        <f t="shared" si="316"/>
        <v>0</v>
      </c>
      <c r="H321" s="168">
        <f t="shared" si="316"/>
        <v>0</v>
      </c>
      <c r="I321" s="168">
        <f t="shared" si="316"/>
        <v>0</v>
      </c>
      <c r="J321" s="168">
        <f t="shared" si="316"/>
        <v>0</v>
      </c>
      <c r="K321" s="168">
        <f t="shared" ref="K321:P321" si="320">+K13*$E$311</f>
        <v>0</v>
      </c>
      <c r="L321" s="168">
        <f t="shared" si="320"/>
        <v>0</v>
      </c>
      <c r="M321" s="168">
        <f t="shared" si="320"/>
        <v>0</v>
      </c>
      <c r="N321" s="168">
        <f t="shared" si="320"/>
        <v>0</v>
      </c>
      <c r="O321" s="168">
        <f t="shared" si="320"/>
        <v>0</v>
      </c>
      <c r="P321" s="168">
        <f t="shared" si="320"/>
        <v>0</v>
      </c>
      <c r="Q321" s="190">
        <f t="shared" si="318"/>
        <v>0</v>
      </c>
    </row>
    <row r="322" spans="2:17" s="119" customFormat="1" ht="19.5" hidden="1" thickBot="1" x14ac:dyDescent="0.35">
      <c r="B322" s="310"/>
      <c r="C322" s="119">
        <f t="shared" si="309"/>
        <v>0</v>
      </c>
      <c r="D322" s="125" t="s">
        <v>121</v>
      </c>
      <c r="E322" s="76" t="s">
        <v>50</v>
      </c>
      <c r="F322" s="168">
        <f t="shared" si="316"/>
        <v>0</v>
      </c>
      <c r="G322" s="168">
        <f t="shared" si="316"/>
        <v>0</v>
      </c>
      <c r="H322" s="168">
        <f t="shared" si="316"/>
        <v>0</v>
      </c>
      <c r="I322" s="168">
        <f t="shared" si="316"/>
        <v>0</v>
      </c>
      <c r="J322" s="168">
        <f t="shared" si="316"/>
        <v>0</v>
      </c>
      <c r="K322" s="168">
        <f t="shared" ref="K322:P322" si="321">+K14*$E$311</f>
        <v>0</v>
      </c>
      <c r="L322" s="168">
        <f t="shared" si="321"/>
        <v>0</v>
      </c>
      <c r="M322" s="168">
        <f t="shared" si="321"/>
        <v>0</v>
      </c>
      <c r="N322" s="168">
        <f t="shared" si="321"/>
        <v>0</v>
      </c>
      <c r="O322" s="168">
        <f t="shared" si="321"/>
        <v>0</v>
      </c>
      <c r="P322" s="168">
        <f t="shared" si="321"/>
        <v>0</v>
      </c>
      <c r="Q322" s="190">
        <f t="shared" si="318"/>
        <v>0</v>
      </c>
    </row>
    <row r="323" spans="2:17" s="119" customFormat="1" ht="19.5" hidden="1" thickBot="1" x14ac:dyDescent="0.35">
      <c r="B323" s="310"/>
      <c r="C323" s="119">
        <f t="shared" si="309"/>
        <v>0</v>
      </c>
      <c r="D323" s="125" t="s">
        <v>122</v>
      </c>
      <c r="E323" s="76" t="s">
        <v>49</v>
      </c>
      <c r="F323" s="168">
        <f t="shared" si="316"/>
        <v>0</v>
      </c>
      <c r="G323" s="168">
        <f t="shared" si="316"/>
        <v>0</v>
      </c>
      <c r="H323" s="168">
        <f t="shared" si="316"/>
        <v>0</v>
      </c>
      <c r="I323" s="168">
        <f t="shared" si="316"/>
        <v>0</v>
      </c>
      <c r="J323" s="168">
        <f t="shared" si="316"/>
        <v>0</v>
      </c>
      <c r="K323" s="168">
        <f t="shared" ref="K323:P323" si="322">+K15*$E$311</f>
        <v>0</v>
      </c>
      <c r="L323" s="168">
        <f t="shared" si="322"/>
        <v>0</v>
      </c>
      <c r="M323" s="168">
        <f t="shared" si="322"/>
        <v>0</v>
      </c>
      <c r="N323" s="168">
        <f t="shared" si="322"/>
        <v>0</v>
      </c>
      <c r="O323" s="168">
        <f t="shared" si="322"/>
        <v>0</v>
      </c>
      <c r="P323" s="168">
        <f t="shared" si="322"/>
        <v>0</v>
      </c>
      <c r="Q323" s="190">
        <f t="shared" si="318"/>
        <v>0</v>
      </c>
    </row>
    <row r="324" spans="2:17" s="119" customFormat="1" ht="19.5" hidden="1" thickBot="1" x14ac:dyDescent="0.35">
      <c r="B324" s="310"/>
      <c r="C324" s="119">
        <f t="shared" si="309"/>
        <v>0</v>
      </c>
      <c r="D324" s="125" t="s">
        <v>123</v>
      </c>
      <c r="E324" s="76" t="s">
        <v>47</v>
      </c>
      <c r="F324" s="168">
        <f t="shared" si="316"/>
        <v>0</v>
      </c>
      <c r="G324" s="168">
        <f t="shared" si="316"/>
        <v>0</v>
      </c>
      <c r="H324" s="168">
        <f t="shared" si="316"/>
        <v>0</v>
      </c>
      <c r="I324" s="168">
        <f t="shared" si="316"/>
        <v>0</v>
      </c>
      <c r="J324" s="168">
        <f t="shared" si="316"/>
        <v>0</v>
      </c>
      <c r="K324" s="168">
        <f t="shared" ref="K324:P324" si="323">+K16*$E$311</f>
        <v>0</v>
      </c>
      <c r="L324" s="168">
        <f t="shared" si="323"/>
        <v>0</v>
      </c>
      <c r="M324" s="168">
        <f t="shared" si="323"/>
        <v>0</v>
      </c>
      <c r="N324" s="168">
        <f t="shared" si="323"/>
        <v>0</v>
      </c>
      <c r="O324" s="168">
        <f t="shared" si="323"/>
        <v>0</v>
      </c>
      <c r="P324" s="168">
        <f t="shared" si="323"/>
        <v>0</v>
      </c>
      <c r="Q324" s="190">
        <f t="shared" si="318"/>
        <v>0</v>
      </c>
    </row>
    <row r="325" spans="2:17" s="119" customFormat="1" ht="19.5" hidden="1" thickBot="1" x14ac:dyDescent="0.35">
      <c r="B325" s="310"/>
      <c r="C325" s="119">
        <f t="shared" si="309"/>
        <v>0</v>
      </c>
      <c r="D325" s="125" t="s">
        <v>16</v>
      </c>
      <c r="E325" s="70" t="s">
        <v>77</v>
      </c>
      <c r="F325" s="168">
        <f t="shared" si="316"/>
        <v>0</v>
      </c>
      <c r="G325" s="168">
        <f t="shared" si="316"/>
        <v>0</v>
      </c>
      <c r="H325" s="168">
        <f t="shared" si="316"/>
        <v>0</v>
      </c>
      <c r="I325" s="168">
        <f t="shared" si="316"/>
        <v>0</v>
      </c>
      <c r="J325" s="168">
        <f t="shared" si="316"/>
        <v>0</v>
      </c>
      <c r="K325" s="168">
        <f t="shared" ref="K325:P325" si="324">+K17*$E$311</f>
        <v>0</v>
      </c>
      <c r="L325" s="168">
        <f t="shared" si="324"/>
        <v>0</v>
      </c>
      <c r="M325" s="168">
        <f t="shared" si="324"/>
        <v>0</v>
      </c>
      <c r="N325" s="168">
        <f t="shared" si="324"/>
        <v>0</v>
      </c>
      <c r="O325" s="168">
        <f t="shared" si="324"/>
        <v>0</v>
      </c>
      <c r="P325" s="168">
        <f t="shared" si="324"/>
        <v>0</v>
      </c>
      <c r="Q325" s="190">
        <f t="shared" si="318"/>
        <v>0</v>
      </c>
    </row>
    <row r="326" spans="2:17" s="119" customFormat="1" ht="19.5" hidden="1" thickBot="1" x14ac:dyDescent="0.3">
      <c r="B326" s="310"/>
      <c r="C326" s="119">
        <f t="shared" si="309"/>
        <v>0</v>
      </c>
      <c r="D326" s="131" t="s">
        <v>124</v>
      </c>
      <c r="E326" s="116" t="s">
        <v>78</v>
      </c>
      <c r="F326" s="169">
        <f t="shared" ref="F326:Q326" si="325">SUBTOTAL(9,F314:F325)</f>
        <v>0</v>
      </c>
      <c r="G326" s="170">
        <f t="shared" si="325"/>
        <v>0</v>
      </c>
      <c r="H326" s="170">
        <f t="shared" si="325"/>
        <v>0</v>
      </c>
      <c r="I326" s="170">
        <f t="shared" si="325"/>
        <v>0</v>
      </c>
      <c r="J326" s="170">
        <f t="shared" si="325"/>
        <v>0</v>
      </c>
      <c r="K326" s="170">
        <f t="shared" ref="K326:P326" si="326">SUBTOTAL(9,K314:K325)</f>
        <v>0</v>
      </c>
      <c r="L326" s="170">
        <f t="shared" si="326"/>
        <v>0</v>
      </c>
      <c r="M326" s="170">
        <f t="shared" si="326"/>
        <v>0</v>
      </c>
      <c r="N326" s="170">
        <f t="shared" si="326"/>
        <v>0</v>
      </c>
      <c r="O326" s="170">
        <f t="shared" si="326"/>
        <v>0</v>
      </c>
      <c r="P326" s="170">
        <f t="shared" si="326"/>
        <v>0</v>
      </c>
      <c r="Q326" s="170">
        <f t="shared" si="325"/>
        <v>0</v>
      </c>
    </row>
    <row r="327" spans="2:17" s="119" customFormat="1" ht="15.75" hidden="1" thickBot="1" x14ac:dyDescent="0.3">
      <c r="B327" s="310"/>
      <c r="D327" s="117"/>
      <c r="E327" s="132"/>
      <c r="F327" s="117"/>
      <c r="G327" s="117"/>
      <c r="H327" s="118"/>
      <c r="I327" s="118"/>
      <c r="J327" s="118"/>
      <c r="K327" s="118"/>
      <c r="L327" s="118"/>
      <c r="M327" s="118"/>
      <c r="N327" s="118"/>
      <c r="O327" s="118"/>
      <c r="P327" s="118"/>
      <c r="Q327" s="118"/>
    </row>
    <row r="328" spans="2:17" s="119" customFormat="1" ht="45.75" hidden="1" thickBot="1" x14ac:dyDescent="0.3">
      <c r="B328" s="310"/>
      <c r="C328" s="119">
        <f>IF(E328&gt;0,1,0)</f>
        <v>0</v>
      </c>
      <c r="D328" s="96" t="str">
        <f>+A22</f>
        <v>Genesee</v>
      </c>
      <c r="E328" s="166">
        <f>+SUMIF(A:A,D328,B:B)</f>
        <v>0</v>
      </c>
      <c r="F328" s="98" t="s">
        <v>97</v>
      </c>
      <c r="G328" s="98" t="s">
        <v>126</v>
      </c>
      <c r="H328" s="98" t="s">
        <v>127</v>
      </c>
      <c r="I328" s="99" t="s">
        <v>128</v>
      </c>
      <c r="J328" s="99" t="s">
        <v>131</v>
      </c>
      <c r="K328" s="560" t="s">
        <v>474</v>
      </c>
      <c r="L328" s="560" t="s">
        <v>475</v>
      </c>
      <c r="M328" s="560" t="s">
        <v>476</v>
      </c>
      <c r="N328" s="560" t="s">
        <v>477</v>
      </c>
      <c r="O328" s="560" t="s">
        <v>478</v>
      </c>
      <c r="P328" s="560" t="s">
        <v>479</v>
      </c>
      <c r="Q328" s="99" t="s">
        <v>129</v>
      </c>
    </row>
    <row r="329" spans="2:17" s="119" customFormat="1" ht="19.5" hidden="1" thickBot="1" x14ac:dyDescent="0.3">
      <c r="B329" s="310"/>
      <c r="C329" s="119">
        <f>C328</f>
        <v>0</v>
      </c>
      <c r="D329" s="127"/>
      <c r="E329" s="128"/>
      <c r="F329" s="84" t="s">
        <v>57</v>
      </c>
      <c r="G329" s="84" t="s">
        <v>56</v>
      </c>
      <c r="H329" s="84" t="s">
        <v>55</v>
      </c>
      <c r="I329" s="84" t="s">
        <v>54</v>
      </c>
      <c r="J329" s="129" t="s">
        <v>53</v>
      </c>
      <c r="K329" s="129" t="s">
        <v>52</v>
      </c>
      <c r="L329" s="129" t="s">
        <v>51</v>
      </c>
      <c r="M329" s="129" t="s">
        <v>50</v>
      </c>
      <c r="N329" s="129" t="s">
        <v>49</v>
      </c>
      <c r="O329" s="129" t="s">
        <v>47</v>
      </c>
      <c r="P329" s="129" t="s">
        <v>77</v>
      </c>
      <c r="Q329" s="129" t="s">
        <v>78</v>
      </c>
    </row>
    <row r="330" spans="2:17" s="119" customFormat="1" ht="19.5" hidden="1" thickBot="1" x14ac:dyDescent="0.3">
      <c r="B330" s="310"/>
      <c r="C330" s="119">
        <f>C329</f>
        <v>0</v>
      </c>
      <c r="D330" s="133" t="s">
        <v>26</v>
      </c>
      <c r="E330" s="134"/>
      <c r="F330" s="135"/>
      <c r="G330" s="135"/>
      <c r="H330" s="136"/>
      <c r="I330" s="136"/>
      <c r="J330" s="137"/>
      <c r="K330" s="137"/>
      <c r="L330" s="137"/>
      <c r="M330" s="137"/>
      <c r="N330" s="137"/>
      <c r="O330" s="137"/>
      <c r="P330" s="137"/>
      <c r="Q330" s="138"/>
    </row>
    <row r="331" spans="2:17" s="119" customFormat="1" ht="19.5" hidden="1" thickBot="1" x14ac:dyDescent="0.3">
      <c r="B331" s="310"/>
      <c r="C331" s="119">
        <f t="shared" ref="C331:C343" si="327">C330</f>
        <v>0</v>
      </c>
      <c r="D331" s="109" t="s">
        <v>93</v>
      </c>
      <c r="E331" s="76" t="s">
        <v>57</v>
      </c>
      <c r="F331" s="168">
        <f>+F6*$E$328</f>
        <v>0</v>
      </c>
      <c r="G331" s="168">
        <f t="shared" ref="G331:J331" si="328">+G6*$E$328</f>
        <v>0</v>
      </c>
      <c r="H331" s="168">
        <f t="shared" si="328"/>
        <v>0</v>
      </c>
      <c r="I331" s="168">
        <f t="shared" si="328"/>
        <v>0</v>
      </c>
      <c r="J331" s="168">
        <f t="shared" si="328"/>
        <v>0</v>
      </c>
      <c r="K331" s="168">
        <f t="shared" ref="K331:P331" si="329">+K6*$E$328</f>
        <v>0</v>
      </c>
      <c r="L331" s="168">
        <f t="shared" si="329"/>
        <v>0</v>
      </c>
      <c r="M331" s="168">
        <f t="shared" si="329"/>
        <v>0</v>
      </c>
      <c r="N331" s="168">
        <f t="shared" si="329"/>
        <v>0</v>
      </c>
      <c r="O331" s="168">
        <f t="shared" si="329"/>
        <v>0</v>
      </c>
      <c r="P331" s="168">
        <f t="shared" si="329"/>
        <v>0</v>
      </c>
      <c r="Q331" s="190">
        <f>SUM(G331:P331)</f>
        <v>0</v>
      </c>
    </row>
    <row r="332" spans="2:17" s="119" customFormat="1" ht="19.5" hidden="1" thickBot="1" x14ac:dyDescent="0.3">
      <c r="B332" s="310"/>
      <c r="C332" s="119">
        <f t="shared" si="327"/>
        <v>0</v>
      </c>
      <c r="D332" s="110" t="s">
        <v>132</v>
      </c>
      <c r="E332" s="76" t="s">
        <v>56</v>
      </c>
      <c r="F332" s="168">
        <f t="shared" ref="F332:J334" si="330">+F7*$E$328</f>
        <v>0</v>
      </c>
      <c r="G332" s="168">
        <f t="shared" si="330"/>
        <v>0</v>
      </c>
      <c r="H332" s="168">
        <f t="shared" si="330"/>
        <v>0</v>
      </c>
      <c r="I332" s="168">
        <f t="shared" si="330"/>
        <v>0</v>
      </c>
      <c r="J332" s="168">
        <f t="shared" si="330"/>
        <v>0</v>
      </c>
      <c r="K332" s="168">
        <f t="shared" ref="K332:P332" si="331">+K7*$E$328</f>
        <v>0</v>
      </c>
      <c r="L332" s="168">
        <f t="shared" si="331"/>
        <v>0</v>
      </c>
      <c r="M332" s="168">
        <f t="shared" si="331"/>
        <v>0</v>
      </c>
      <c r="N332" s="168">
        <f t="shared" si="331"/>
        <v>0</v>
      </c>
      <c r="O332" s="168">
        <f t="shared" si="331"/>
        <v>0</v>
      </c>
      <c r="P332" s="168">
        <f t="shared" si="331"/>
        <v>0</v>
      </c>
      <c r="Q332" s="190">
        <f>SUM(G332:P332)</f>
        <v>0</v>
      </c>
    </row>
    <row r="333" spans="2:17" s="119" customFormat="1" ht="19.5" hidden="1" thickBot="1" x14ac:dyDescent="0.3">
      <c r="B333" s="310"/>
      <c r="C333" s="119">
        <f t="shared" si="327"/>
        <v>0</v>
      </c>
      <c r="D333" s="109" t="s">
        <v>91</v>
      </c>
      <c r="E333" s="76" t="s">
        <v>55</v>
      </c>
      <c r="F333" s="168">
        <f t="shared" si="330"/>
        <v>0</v>
      </c>
      <c r="G333" s="168">
        <f t="shared" si="330"/>
        <v>0</v>
      </c>
      <c r="H333" s="168">
        <f t="shared" si="330"/>
        <v>0</v>
      </c>
      <c r="I333" s="168">
        <f t="shared" si="330"/>
        <v>0</v>
      </c>
      <c r="J333" s="168">
        <f t="shared" si="330"/>
        <v>0</v>
      </c>
      <c r="K333" s="168">
        <f t="shared" ref="K333:P333" si="332">+K8*$E$328</f>
        <v>0</v>
      </c>
      <c r="L333" s="168">
        <f t="shared" si="332"/>
        <v>0</v>
      </c>
      <c r="M333" s="168">
        <f t="shared" si="332"/>
        <v>0</v>
      </c>
      <c r="N333" s="168">
        <f t="shared" si="332"/>
        <v>0</v>
      </c>
      <c r="O333" s="168">
        <f t="shared" si="332"/>
        <v>0</v>
      </c>
      <c r="P333" s="168">
        <f t="shared" si="332"/>
        <v>0</v>
      </c>
      <c r="Q333" s="190">
        <f>SUM(G333:P333)</f>
        <v>0</v>
      </c>
    </row>
    <row r="334" spans="2:17" s="119" customFormat="1" ht="19.5" hidden="1" thickBot="1" x14ac:dyDescent="0.3">
      <c r="B334" s="310"/>
      <c r="C334" s="119">
        <f t="shared" si="327"/>
        <v>0</v>
      </c>
      <c r="D334" s="130" t="s">
        <v>117</v>
      </c>
      <c r="E334" s="76" t="s">
        <v>54</v>
      </c>
      <c r="F334" s="168">
        <f t="shared" si="330"/>
        <v>0</v>
      </c>
      <c r="G334" s="168">
        <f t="shared" si="330"/>
        <v>0</v>
      </c>
      <c r="H334" s="168">
        <f t="shared" si="330"/>
        <v>0</v>
      </c>
      <c r="I334" s="168">
        <f t="shared" si="330"/>
        <v>0</v>
      </c>
      <c r="J334" s="168">
        <f t="shared" si="330"/>
        <v>0</v>
      </c>
      <c r="K334" s="168">
        <f t="shared" ref="K334:P334" si="333">+K9*$E$328</f>
        <v>0</v>
      </c>
      <c r="L334" s="168">
        <f t="shared" si="333"/>
        <v>0</v>
      </c>
      <c r="M334" s="168">
        <f t="shared" si="333"/>
        <v>0</v>
      </c>
      <c r="N334" s="168">
        <f t="shared" si="333"/>
        <v>0</v>
      </c>
      <c r="O334" s="168">
        <f t="shared" si="333"/>
        <v>0</v>
      </c>
      <c r="P334" s="168">
        <f t="shared" si="333"/>
        <v>0</v>
      </c>
      <c r="Q334" s="190">
        <f>SUM(G334:P334)</f>
        <v>0</v>
      </c>
    </row>
    <row r="335" spans="2:17" s="119" customFormat="1" ht="19.5" hidden="1" thickBot="1" x14ac:dyDescent="0.3">
      <c r="B335" s="310"/>
      <c r="C335" s="119">
        <f t="shared" si="327"/>
        <v>0</v>
      </c>
      <c r="D335" s="112" t="s">
        <v>31</v>
      </c>
      <c r="E335" s="76"/>
      <c r="F335" s="167"/>
      <c r="G335" s="185"/>
      <c r="H335" s="185"/>
      <c r="I335" s="185"/>
      <c r="J335" s="185"/>
      <c r="K335" s="185"/>
      <c r="L335" s="185"/>
      <c r="M335" s="185"/>
      <c r="N335" s="185"/>
      <c r="O335" s="185"/>
      <c r="P335" s="185"/>
      <c r="Q335" s="171"/>
    </row>
    <row r="336" spans="2:17" s="119" customFormat="1" ht="19.5" hidden="1" thickBot="1" x14ac:dyDescent="0.35">
      <c r="B336" s="310"/>
      <c r="C336" s="119">
        <f t="shared" si="327"/>
        <v>0</v>
      </c>
      <c r="D336" s="125" t="s">
        <v>118</v>
      </c>
      <c r="E336" s="76" t="s">
        <v>53</v>
      </c>
      <c r="F336" s="168">
        <f t="shared" ref="F336:J342" si="334">+F11*$E$328</f>
        <v>0</v>
      </c>
      <c r="G336" s="168">
        <f t="shared" si="334"/>
        <v>0</v>
      </c>
      <c r="H336" s="168">
        <f t="shared" si="334"/>
        <v>0</v>
      </c>
      <c r="I336" s="168">
        <f t="shared" si="334"/>
        <v>0</v>
      </c>
      <c r="J336" s="168">
        <f t="shared" si="334"/>
        <v>0</v>
      </c>
      <c r="K336" s="168">
        <f t="shared" ref="K336:P336" si="335">+K11*$E$328</f>
        <v>0</v>
      </c>
      <c r="L336" s="168">
        <f t="shared" si="335"/>
        <v>0</v>
      </c>
      <c r="M336" s="168">
        <f t="shared" si="335"/>
        <v>0</v>
      </c>
      <c r="N336" s="168">
        <f t="shared" si="335"/>
        <v>0</v>
      </c>
      <c r="O336" s="168">
        <f t="shared" si="335"/>
        <v>0</v>
      </c>
      <c r="P336" s="168">
        <f t="shared" si="335"/>
        <v>0</v>
      </c>
      <c r="Q336" s="190">
        <f t="shared" ref="Q336:Q342" si="336">SUM(G336:P336)</f>
        <v>0</v>
      </c>
    </row>
    <row r="337" spans="2:17" s="119" customFormat="1" ht="19.5" hidden="1" thickBot="1" x14ac:dyDescent="0.35">
      <c r="B337" s="310"/>
      <c r="C337" s="119">
        <f t="shared" si="327"/>
        <v>0</v>
      </c>
      <c r="D337" s="125" t="s">
        <v>119</v>
      </c>
      <c r="E337" s="76" t="s">
        <v>52</v>
      </c>
      <c r="F337" s="168">
        <f t="shared" si="334"/>
        <v>0</v>
      </c>
      <c r="G337" s="168">
        <f t="shared" si="334"/>
        <v>0</v>
      </c>
      <c r="H337" s="168">
        <f t="shared" si="334"/>
        <v>0</v>
      </c>
      <c r="I337" s="168">
        <f t="shared" si="334"/>
        <v>0</v>
      </c>
      <c r="J337" s="168">
        <f t="shared" si="334"/>
        <v>0</v>
      </c>
      <c r="K337" s="168">
        <f t="shared" ref="K337:P337" si="337">+K12*$E$328</f>
        <v>0</v>
      </c>
      <c r="L337" s="168">
        <f t="shared" si="337"/>
        <v>0</v>
      </c>
      <c r="M337" s="168">
        <f t="shared" si="337"/>
        <v>0</v>
      </c>
      <c r="N337" s="168">
        <f t="shared" si="337"/>
        <v>0</v>
      </c>
      <c r="O337" s="168">
        <f t="shared" si="337"/>
        <v>0</v>
      </c>
      <c r="P337" s="168">
        <f t="shared" si="337"/>
        <v>0</v>
      </c>
      <c r="Q337" s="190">
        <f t="shared" si="336"/>
        <v>0</v>
      </c>
    </row>
    <row r="338" spans="2:17" s="119" customFormat="1" ht="19.5" hidden="1" thickBot="1" x14ac:dyDescent="0.35">
      <c r="B338" s="310"/>
      <c r="C338" s="119">
        <f t="shared" si="327"/>
        <v>0</v>
      </c>
      <c r="D338" s="125" t="s">
        <v>120</v>
      </c>
      <c r="E338" s="76" t="s">
        <v>51</v>
      </c>
      <c r="F338" s="168">
        <f t="shared" si="334"/>
        <v>0</v>
      </c>
      <c r="G338" s="168">
        <f t="shared" si="334"/>
        <v>0</v>
      </c>
      <c r="H338" s="168">
        <f t="shared" si="334"/>
        <v>0</v>
      </c>
      <c r="I338" s="168">
        <f t="shared" si="334"/>
        <v>0</v>
      </c>
      <c r="J338" s="168">
        <f t="shared" si="334"/>
        <v>0</v>
      </c>
      <c r="K338" s="168">
        <f t="shared" ref="K338:P338" si="338">+K13*$E$328</f>
        <v>0</v>
      </c>
      <c r="L338" s="168">
        <f t="shared" si="338"/>
        <v>0</v>
      </c>
      <c r="M338" s="168">
        <f t="shared" si="338"/>
        <v>0</v>
      </c>
      <c r="N338" s="168">
        <f t="shared" si="338"/>
        <v>0</v>
      </c>
      <c r="O338" s="168">
        <f t="shared" si="338"/>
        <v>0</v>
      </c>
      <c r="P338" s="168">
        <f t="shared" si="338"/>
        <v>0</v>
      </c>
      <c r="Q338" s="190">
        <f t="shared" si="336"/>
        <v>0</v>
      </c>
    </row>
    <row r="339" spans="2:17" s="119" customFormat="1" ht="19.5" hidden="1" thickBot="1" x14ac:dyDescent="0.35">
      <c r="B339" s="310"/>
      <c r="C339" s="119">
        <f t="shared" si="327"/>
        <v>0</v>
      </c>
      <c r="D339" s="125" t="s">
        <v>121</v>
      </c>
      <c r="E339" s="76" t="s">
        <v>50</v>
      </c>
      <c r="F339" s="168">
        <f t="shared" si="334"/>
        <v>0</v>
      </c>
      <c r="G339" s="168">
        <f t="shared" si="334"/>
        <v>0</v>
      </c>
      <c r="H339" s="168">
        <f t="shared" si="334"/>
        <v>0</v>
      </c>
      <c r="I339" s="168">
        <f t="shared" si="334"/>
        <v>0</v>
      </c>
      <c r="J339" s="168">
        <f t="shared" si="334"/>
        <v>0</v>
      </c>
      <c r="K339" s="168">
        <f t="shared" ref="K339:P339" si="339">+K14*$E$328</f>
        <v>0</v>
      </c>
      <c r="L339" s="168">
        <f t="shared" si="339"/>
        <v>0</v>
      </c>
      <c r="M339" s="168">
        <f t="shared" si="339"/>
        <v>0</v>
      </c>
      <c r="N339" s="168">
        <f t="shared" si="339"/>
        <v>0</v>
      </c>
      <c r="O339" s="168">
        <f t="shared" si="339"/>
        <v>0</v>
      </c>
      <c r="P339" s="168">
        <f t="shared" si="339"/>
        <v>0</v>
      </c>
      <c r="Q339" s="190">
        <f t="shared" si="336"/>
        <v>0</v>
      </c>
    </row>
    <row r="340" spans="2:17" s="119" customFormat="1" ht="19.5" hidden="1" thickBot="1" x14ac:dyDescent="0.35">
      <c r="B340" s="310"/>
      <c r="C340" s="119">
        <f t="shared" si="327"/>
        <v>0</v>
      </c>
      <c r="D340" s="125" t="s">
        <v>122</v>
      </c>
      <c r="E340" s="76" t="s">
        <v>49</v>
      </c>
      <c r="F340" s="168">
        <f t="shared" si="334"/>
        <v>0</v>
      </c>
      <c r="G340" s="168">
        <f t="shared" si="334"/>
        <v>0</v>
      </c>
      <c r="H340" s="168">
        <f t="shared" si="334"/>
        <v>0</v>
      </c>
      <c r="I340" s="168">
        <f t="shared" si="334"/>
        <v>0</v>
      </c>
      <c r="J340" s="168">
        <f t="shared" si="334"/>
        <v>0</v>
      </c>
      <c r="K340" s="168">
        <f t="shared" ref="K340:P340" si="340">+K15*$E$328</f>
        <v>0</v>
      </c>
      <c r="L340" s="168">
        <f t="shared" si="340"/>
        <v>0</v>
      </c>
      <c r="M340" s="168">
        <f t="shared" si="340"/>
        <v>0</v>
      </c>
      <c r="N340" s="168">
        <f t="shared" si="340"/>
        <v>0</v>
      </c>
      <c r="O340" s="168">
        <f t="shared" si="340"/>
        <v>0</v>
      </c>
      <c r="P340" s="168">
        <f t="shared" si="340"/>
        <v>0</v>
      </c>
      <c r="Q340" s="190">
        <f t="shared" si="336"/>
        <v>0</v>
      </c>
    </row>
    <row r="341" spans="2:17" s="119" customFormat="1" ht="19.5" hidden="1" thickBot="1" x14ac:dyDescent="0.35">
      <c r="B341" s="310"/>
      <c r="C341" s="119">
        <f t="shared" si="327"/>
        <v>0</v>
      </c>
      <c r="D341" s="125" t="s">
        <v>123</v>
      </c>
      <c r="E341" s="76" t="s">
        <v>47</v>
      </c>
      <c r="F341" s="168">
        <f t="shared" si="334"/>
        <v>0</v>
      </c>
      <c r="G341" s="168">
        <f t="shared" si="334"/>
        <v>0</v>
      </c>
      <c r="H341" s="168">
        <f t="shared" si="334"/>
        <v>0</v>
      </c>
      <c r="I341" s="168">
        <f t="shared" si="334"/>
        <v>0</v>
      </c>
      <c r="J341" s="168">
        <f t="shared" si="334"/>
        <v>0</v>
      </c>
      <c r="K341" s="168">
        <f t="shared" ref="K341:P341" si="341">+K16*$E$328</f>
        <v>0</v>
      </c>
      <c r="L341" s="168">
        <f t="shared" si="341"/>
        <v>0</v>
      </c>
      <c r="M341" s="168">
        <f t="shared" si="341"/>
        <v>0</v>
      </c>
      <c r="N341" s="168">
        <f t="shared" si="341"/>
        <v>0</v>
      </c>
      <c r="O341" s="168">
        <f t="shared" si="341"/>
        <v>0</v>
      </c>
      <c r="P341" s="168">
        <f t="shared" si="341"/>
        <v>0</v>
      </c>
      <c r="Q341" s="190">
        <f t="shared" si="336"/>
        <v>0</v>
      </c>
    </row>
    <row r="342" spans="2:17" s="119" customFormat="1" ht="19.5" hidden="1" thickBot="1" x14ac:dyDescent="0.35">
      <c r="B342" s="310"/>
      <c r="C342" s="119">
        <f t="shared" si="327"/>
        <v>0</v>
      </c>
      <c r="D342" s="125" t="s">
        <v>16</v>
      </c>
      <c r="E342" s="70" t="s">
        <v>77</v>
      </c>
      <c r="F342" s="168">
        <f t="shared" si="334"/>
        <v>0</v>
      </c>
      <c r="G342" s="168">
        <f t="shared" si="334"/>
        <v>0</v>
      </c>
      <c r="H342" s="168">
        <f t="shared" si="334"/>
        <v>0</v>
      </c>
      <c r="I342" s="168">
        <f t="shared" si="334"/>
        <v>0</v>
      </c>
      <c r="J342" s="168">
        <f t="shared" si="334"/>
        <v>0</v>
      </c>
      <c r="K342" s="168">
        <f t="shared" ref="K342:P342" si="342">+K17*$E$328</f>
        <v>0</v>
      </c>
      <c r="L342" s="168">
        <f t="shared" si="342"/>
        <v>0</v>
      </c>
      <c r="M342" s="168">
        <f t="shared" si="342"/>
        <v>0</v>
      </c>
      <c r="N342" s="168">
        <f t="shared" si="342"/>
        <v>0</v>
      </c>
      <c r="O342" s="168">
        <f t="shared" si="342"/>
        <v>0</v>
      </c>
      <c r="P342" s="168">
        <f t="shared" si="342"/>
        <v>0</v>
      </c>
      <c r="Q342" s="190">
        <f t="shared" si="336"/>
        <v>0</v>
      </c>
    </row>
    <row r="343" spans="2:17" s="119" customFormat="1" ht="19.5" hidden="1" thickBot="1" x14ac:dyDescent="0.3">
      <c r="B343" s="310"/>
      <c r="C343" s="119">
        <f t="shared" si="327"/>
        <v>0</v>
      </c>
      <c r="D343" s="131" t="s">
        <v>124</v>
      </c>
      <c r="E343" s="116" t="s">
        <v>78</v>
      </c>
      <c r="F343" s="169">
        <f t="shared" ref="F343:Q343" si="343">SUBTOTAL(9,F331:F342)</f>
        <v>0</v>
      </c>
      <c r="G343" s="170">
        <f t="shared" si="343"/>
        <v>0</v>
      </c>
      <c r="H343" s="170">
        <f t="shared" si="343"/>
        <v>0</v>
      </c>
      <c r="I343" s="170">
        <f t="shared" si="343"/>
        <v>0</v>
      </c>
      <c r="J343" s="170">
        <f t="shared" si="343"/>
        <v>0</v>
      </c>
      <c r="K343" s="170">
        <f t="shared" ref="K343:P343" si="344">SUBTOTAL(9,K331:K342)</f>
        <v>0</v>
      </c>
      <c r="L343" s="170">
        <f t="shared" si="344"/>
        <v>0</v>
      </c>
      <c r="M343" s="170">
        <f t="shared" si="344"/>
        <v>0</v>
      </c>
      <c r="N343" s="170">
        <f t="shared" si="344"/>
        <v>0</v>
      </c>
      <c r="O343" s="170">
        <f t="shared" si="344"/>
        <v>0</v>
      </c>
      <c r="P343" s="170">
        <f t="shared" si="344"/>
        <v>0</v>
      </c>
      <c r="Q343" s="170">
        <f t="shared" si="343"/>
        <v>0</v>
      </c>
    </row>
    <row r="344" spans="2:17" s="119" customFormat="1" ht="15.75" hidden="1" thickBot="1" x14ac:dyDescent="0.3">
      <c r="B344" s="310"/>
      <c r="D344" s="117"/>
      <c r="E344" s="132"/>
      <c r="F344" s="117"/>
      <c r="G344" s="117"/>
      <c r="H344" s="118"/>
      <c r="I344" s="118"/>
      <c r="J344" s="118"/>
      <c r="K344" s="118"/>
      <c r="L344" s="118"/>
      <c r="M344" s="118"/>
      <c r="N344" s="118"/>
      <c r="O344" s="118"/>
      <c r="P344" s="118"/>
      <c r="Q344" s="118"/>
    </row>
    <row r="345" spans="2:17" s="119" customFormat="1" ht="45.75" hidden="1" thickBot="1" x14ac:dyDescent="0.3">
      <c r="B345" s="310"/>
      <c r="C345" s="119">
        <f>IF(E345&gt;0,1,0)</f>
        <v>0</v>
      </c>
      <c r="D345" s="96" t="str">
        <f>+A23</f>
        <v>Greene</v>
      </c>
      <c r="E345" s="166">
        <f>+SUMIF(A:A,D345,B:B)</f>
        <v>0</v>
      </c>
      <c r="F345" s="98" t="s">
        <v>97</v>
      </c>
      <c r="G345" s="98" t="s">
        <v>126</v>
      </c>
      <c r="H345" s="98" t="s">
        <v>127</v>
      </c>
      <c r="I345" s="99" t="s">
        <v>128</v>
      </c>
      <c r="J345" s="99" t="s">
        <v>131</v>
      </c>
      <c r="K345" s="560" t="s">
        <v>474</v>
      </c>
      <c r="L345" s="560" t="s">
        <v>475</v>
      </c>
      <c r="M345" s="560" t="s">
        <v>476</v>
      </c>
      <c r="N345" s="560" t="s">
        <v>477</v>
      </c>
      <c r="O345" s="560" t="s">
        <v>478</v>
      </c>
      <c r="P345" s="560" t="s">
        <v>479</v>
      </c>
      <c r="Q345" s="99" t="s">
        <v>129</v>
      </c>
    </row>
    <row r="346" spans="2:17" s="119" customFormat="1" ht="19.5" hidden="1" thickBot="1" x14ac:dyDescent="0.3">
      <c r="B346" s="310"/>
      <c r="C346" s="119">
        <f>C345</f>
        <v>0</v>
      </c>
      <c r="D346" s="127"/>
      <c r="E346" s="128"/>
      <c r="F346" s="84" t="s">
        <v>57</v>
      </c>
      <c r="G346" s="84" t="s">
        <v>56</v>
      </c>
      <c r="H346" s="84" t="s">
        <v>55</v>
      </c>
      <c r="I346" s="84" t="s">
        <v>54</v>
      </c>
      <c r="J346" s="129" t="s">
        <v>53</v>
      </c>
      <c r="K346" s="129" t="s">
        <v>52</v>
      </c>
      <c r="L346" s="129" t="s">
        <v>51</v>
      </c>
      <c r="M346" s="129" t="s">
        <v>50</v>
      </c>
      <c r="N346" s="129" t="s">
        <v>49</v>
      </c>
      <c r="O346" s="129" t="s">
        <v>47</v>
      </c>
      <c r="P346" s="129" t="s">
        <v>77</v>
      </c>
      <c r="Q346" s="129" t="s">
        <v>78</v>
      </c>
    </row>
    <row r="347" spans="2:17" s="119" customFormat="1" ht="19.5" hidden="1" thickBot="1" x14ac:dyDescent="0.3">
      <c r="B347" s="310"/>
      <c r="C347" s="119">
        <f>C346</f>
        <v>0</v>
      </c>
      <c r="D347" s="133" t="s">
        <v>26</v>
      </c>
      <c r="E347" s="134"/>
      <c r="F347" s="135"/>
      <c r="G347" s="135"/>
      <c r="H347" s="136"/>
      <c r="I347" s="136"/>
      <c r="J347" s="137"/>
      <c r="K347" s="137"/>
      <c r="L347" s="137"/>
      <c r="M347" s="137"/>
      <c r="N347" s="137"/>
      <c r="O347" s="137"/>
      <c r="P347" s="137"/>
      <c r="Q347" s="138"/>
    </row>
    <row r="348" spans="2:17" s="119" customFormat="1" ht="19.5" hidden="1" thickBot="1" x14ac:dyDescent="0.3">
      <c r="B348" s="310"/>
      <c r="C348" s="119">
        <f t="shared" ref="C348:C360" si="345">C347</f>
        <v>0</v>
      </c>
      <c r="D348" s="109" t="s">
        <v>93</v>
      </c>
      <c r="E348" s="76" t="s">
        <v>57</v>
      </c>
      <c r="F348" s="168">
        <f>+F$6*$E345</f>
        <v>0</v>
      </c>
      <c r="G348" s="168">
        <f>+G$6*$E345</f>
        <v>0</v>
      </c>
      <c r="H348" s="168">
        <f>+H$6*$E345</f>
        <v>0</v>
      </c>
      <c r="I348" s="168">
        <f>+I$6*$E345</f>
        <v>0</v>
      </c>
      <c r="J348" s="168">
        <f>+J$6*$E345</f>
        <v>0</v>
      </c>
      <c r="K348" s="168">
        <f t="shared" ref="K348:P348" si="346">+K$6*$E345</f>
        <v>0</v>
      </c>
      <c r="L348" s="168">
        <f t="shared" si="346"/>
        <v>0</v>
      </c>
      <c r="M348" s="168">
        <f t="shared" si="346"/>
        <v>0</v>
      </c>
      <c r="N348" s="168">
        <f t="shared" si="346"/>
        <v>0</v>
      </c>
      <c r="O348" s="168">
        <f t="shared" si="346"/>
        <v>0</v>
      </c>
      <c r="P348" s="168">
        <f t="shared" si="346"/>
        <v>0</v>
      </c>
      <c r="Q348" s="190">
        <f>SUM(G348:P348)</f>
        <v>0</v>
      </c>
    </row>
    <row r="349" spans="2:17" s="119" customFormat="1" ht="19.5" hidden="1" thickBot="1" x14ac:dyDescent="0.3">
      <c r="B349" s="310"/>
      <c r="C349" s="119">
        <f t="shared" si="345"/>
        <v>0</v>
      </c>
      <c r="D349" s="110" t="s">
        <v>132</v>
      </c>
      <c r="E349" s="76" t="s">
        <v>56</v>
      </c>
      <c r="F349" s="168">
        <f>+F$7*$E345</f>
        <v>0</v>
      </c>
      <c r="G349" s="168">
        <f>+G$7*$E345</f>
        <v>0</v>
      </c>
      <c r="H349" s="168">
        <f>+H$7*$E345</f>
        <v>0</v>
      </c>
      <c r="I349" s="168">
        <f>+I$7*$E345</f>
        <v>0</v>
      </c>
      <c r="J349" s="168">
        <f>+J$7*$E345</f>
        <v>0</v>
      </c>
      <c r="K349" s="168">
        <f t="shared" ref="K349:P349" si="347">+K$7*$E345</f>
        <v>0</v>
      </c>
      <c r="L349" s="168">
        <f t="shared" si="347"/>
        <v>0</v>
      </c>
      <c r="M349" s="168">
        <f t="shared" si="347"/>
        <v>0</v>
      </c>
      <c r="N349" s="168">
        <f t="shared" si="347"/>
        <v>0</v>
      </c>
      <c r="O349" s="168">
        <f t="shared" si="347"/>
        <v>0</v>
      </c>
      <c r="P349" s="168">
        <f t="shared" si="347"/>
        <v>0</v>
      </c>
      <c r="Q349" s="190">
        <f>SUM(G349:P349)</f>
        <v>0</v>
      </c>
    </row>
    <row r="350" spans="2:17" s="119" customFormat="1" ht="19.5" hidden="1" thickBot="1" x14ac:dyDescent="0.3">
      <c r="B350" s="310"/>
      <c r="C350" s="119">
        <f t="shared" si="345"/>
        <v>0</v>
      </c>
      <c r="D350" s="109" t="s">
        <v>91</v>
      </c>
      <c r="E350" s="76" t="s">
        <v>55</v>
      </c>
      <c r="F350" s="168">
        <f>+F$8*$E345</f>
        <v>0</v>
      </c>
      <c r="G350" s="168">
        <f>+G$8*$E345</f>
        <v>0</v>
      </c>
      <c r="H350" s="168">
        <f>+H$8*$E345</f>
        <v>0</v>
      </c>
      <c r="I350" s="168">
        <f>+I$8*$E345</f>
        <v>0</v>
      </c>
      <c r="J350" s="168">
        <f>+J$8*$E345</f>
        <v>0</v>
      </c>
      <c r="K350" s="168">
        <f t="shared" ref="K350:P350" si="348">+K$8*$E345</f>
        <v>0</v>
      </c>
      <c r="L350" s="168">
        <f t="shared" si="348"/>
        <v>0</v>
      </c>
      <c r="M350" s="168">
        <f t="shared" si="348"/>
        <v>0</v>
      </c>
      <c r="N350" s="168">
        <f t="shared" si="348"/>
        <v>0</v>
      </c>
      <c r="O350" s="168">
        <f t="shared" si="348"/>
        <v>0</v>
      </c>
      <c r="P350" s="168">
        <f t="shared" si="348"/>
        <v>0</v>
      </c>
      <c r="Q350" s="190">
        <f>SUM(G350:P350)</f>
        <v>0</v>
      </c>
    </row>
    <row r="351" spans="2:17" s="119" customFormat="1" ht="19.5" hidden="1" thickBot="1" x14ac:dyDescent="0.3">
      <c r="B351" s="310"/>
      <c r="C351" s="119">
        <f t="shared" si="345"/>
        <v>0</v>
      </c>
      <c r="D351" s="130" t="s">
        <v>117</v>
      </c>
      <c r="E351" s="76" t="s">
        <v>54</v>
      </c>
      <c r="F351" s="168">
        <f>+F$9*$E345</f>
        <v>0</v>
      </c>
      <c r="G351" s="168">
        <f>+G$9*$E345</f>
        <v>0</v>
      </c>
      <c r="H351" s="168">
        <f>+H$9*$E345</f>
        <v>0</v>
      </c>
      <c r="I351" s="168">
        <f>+I$9*$E345</f>
        <v>0</v>
      </c>
      <c r="J351" s="168">
        <f>+J$9*$E345</f>
        <v>0</v>
      </c>
      <c r="K351" s="168">
        <f t="shared" ref="K351:P351" si="349">+K$9*$E345</f>
        <v>0</v>
      </c>
      <c r="L351" s="168">
        <f t="shared" si="349"/>
        <v>0</v>
      </c>
      <c r="M351" s="168">
        <f t="shared" si="349"/>
        <v>0</v>
      </c>
      <c r="N351" s="168">
        <f t="shared" si="349"/>
        <v>0</v>
      </c>
      <c r="O351" s="168">
        <f t="shared" si="349"/>
        <v>0</v>
      </c>
      <c r="P351" s="168">
        <f t="shared" si="349"/>
        <v>0</v>
      </c>
      <c r="Q351" s="190">
        <f>SUM(G351:P351)</f>
        <v>0</v>
      </c>
    </row>
    <row r="352" spans="2:17" s="119" customFormat="1" ht="19.5" hidden="1" thickBot="1" x14ac:dyDescent="0.3">
      <c r="B352" s="310"/>
      <c r="C352" s="119">
        <f t="shared" si="345"/>
        <v>0</v>
      </c>
      <c r="D352" s="112" t="s">
        <v>31</v>
      </c>
      <c r="E352" s="76"/>
      <c r="F352" s="167"/>
      <c r="G352" s="185"/>
      <c r="H352" s="185"/>
      <c r="I352" s="185"/>
      <c r="J352" s="185"/>
      <c r="K352" s="185"/>
      <c r="L352" s="185"/>
      <c r="M352" s="185"/>
      <c r="N352" s="185"/>
      <c r="O352" s="185"/>
      <c r="P352" s="185"/>
      <c r="Q352" s="171"/>
    </row>
    <row r="353" spans="2:17" s="119" customFormat="1" ht="19.5" hidden="1" thickBot="1" x14ac:dyDescent="0.35">
      <c r="B353" s="310"/>
      <c r="C353" s="119">
        <f t="shared" si="345"/>
        <v>0</v>
      </c>
      <c r="D353" s="125" t="s">
        <v>118</v>
      </c>
      <c r="E353" s="76" t="s">
        <v>53</v>
      </c>
      <c r="F353" s="168">
        <f>+F$11*$E345</f>
        <v>0</v>
      </c>
      <c r="G353" s="168">
        <f>+G$11*$E345</f>
        <v>0</v>
      </c>
      <c r="H353" s="168">
        <f>+H$11*$E345</f>
        <v>0</v>
      </c>
      <c r="I353" s="168">
        <f>+I$11*$E345</f>
        <v>0</v>
      </c>
      <c r="J353" s="168">
        <f>+J$11*$E345</f>
        <v>0</v>
      </c>
      <c r="K353" s="168">
        <f t="shared" ref="K353:P353" si="350">+K$11*$E345</f>
        <v>0</v>
      </c>
      <c r="L353" s="168">
        <f t="shared" si="350"/>
        <v>0</v>
      </c>
      <c r="M353" s="168">
        <f t="shared" si="350"/>
        <v>0</v>
      </c>
      <c r="N353" s="168">
        <f t="shared" si="350"/>
        <v>0</v>
      </c>
      <c r="O353" s="168">
        <f t="shared" si="350"/>
        <v>0</v>
      </c>
      <c r="P353" s="168">
        <f t="shared" si="350"/>
        <v>0</v>
      </c>
      <c r="Q353" s="190">
        <f t="shared" ref="Q353:Q359" si="351">SUM(G353:P353)</f>
        <v>0</v>
      </c>
    </row>
    <row r="354" spans="2:17" s="119" customFormat="1" ht="19.5" hidden="1" thickBot="1" x14ac:dyDescent="0.35">
      <c r="B354" s="310"/>
      <c r="C354" s="119">
        <f t="shared" si="345"/>
        <v>0</v>
      </c>
      <c r="D354" s="125" t="s">
        <v>119</v>
      </c>
      <c r="E354" s="76" t="s">
        <v>52</v>
      </c>
      <c r="F354" s="168">
        <f>+F$12*$E345</f>
        <v>0</v>
      </c>
      <c r="G354" s="168">
        <f>+G$12*$E345</f>
        <v>0</v>
      </c>
      <c r="H354" s="168">
        <f>+H$12*$E345</f>
        <v>0</v>
      </c>
      <c r="I354" s="168">
        <f>+I$12*$E345</f>
        <v>0</v>
      </c>
      <c r="J354" s="168">
        <f>+J$12*$E345</f>
        <v>0</v>
      </c>
      <c r="K354" s="168">
        <f t="shared" ref="K354:P354" si="352">+K$12*$E345</f>
        <v>0</v>
      </c>
      <c r="L354" s="168">
        <f t="shared" si="352"/>
        <v>0</v>
      </c>
      <c r="M354" s="168">
        <f t="shared" si="352"/>
        <v>0</v>
      </c>
      <c r="N354" s="168">
        <f t="shared" si="352"/>
        <v>0</v>
      </c>
      <c r="O354" s="168">
        <f t="shared" si="352"/>
        <v>0</v>
      </c>
      <c r="P354" s="168">
        <f t="shared" si="352"/>
        <v>0</v>
      </c>
      <c r="Q354" s="190">
        <f t="shared" si="351"/>
        <v>0</v>
      </c>
    </row>
    <row r="355" spans="2:17" s="119" customFormat="1" ht="19.5" hidden="1" thickBot="1" x14ac:dyDescent="0.35">
      <c r="B355" s="310"/>
      <c r="C355" s="119">
        <f t="shared" si="345"/>
        <v>0</v>
      </c>
      <c r="D355" s="125" t="s">
        <v>120</v>
      </c>
      <c r="E355" s="76" t="s">
        <v>51</v>
      </c>
      <c r="F355" s="168">
        <f>+F$13*$E345</f>
        <v>0</v>
      </c>
      <c r="G355" s="168">
        <f>+G$13*$E345</f>
        <v>0</v>
      </c>
      <c r="H355" s="168">
        <f>+H$13*$E345</f>
        <v>0</v>
      </c>
      <c r="I355" s="168">
        <f>+I$13*$E345</f>
        <v>0</v>
      </c>
      <c r="J355" s="168">
        <f>+J$13*$E345</f>
        <v>0</v>
      </c>
      <c r="K355" s="168">
        <f t="shared" ref="K355:P355" si="353">+K$13*$E345</f>
        <v>0</v>
      </c>
      <c r="L355" s="168">
        <f t="shared" si="353"/>
        <v>0</v>
      </c>
      <c r="M355" s="168">
        <f t="shared" si="353"/>
        <v>0</v>
      </c>
      <c r="N355" s="168">
        <f t="shared" si="353"/>
        <v>0</v>
      </c>
      <c r="O355" s="168">
        <f t="shared" si="353"/>
        <v>0</v>
      </c>
      <c r="P355" s="168">
        <f t="shared" si="353"/>
        <v>0</v>
      </c>
      <c r="Q355" s="190">
        <f t="shared" si="351"/>
        <v>0</v>
      </c>
    </row>
    <row r="356" spans="2:17" s="119" customFormat="1" ht="19.5" hidden="1" thickBot="1" x14ac:dyDescent="0.35">
      <c r="B356" s="310"/>
      <c r="C356" s="119">
        <f t="shared" si="345"/>
        <v>0</v>
      </c>
      <c r="D356" s="125" t="s">
        <v>121</v>
      </c>
      <c r="E356" s="76" t="s">
        <v>50</v>
      </c>
      <c r="F356" s="168">
        <f>+F$14*$E345</f>
        <v>0</v>
      </c>
      <c r="G356" s="168">
        <f>+G$14*$E345</f>
        <v>0</v>
      </c>
      <c r="H356" s="168">
        <f>+H$14*$E345</f>
        <v>0</v>
      </c>
      <c r="I356" s="168">
        <f>+I$14*$E345</f>
        <v>0</v>
      </c>
      <c r="J356" s="168">
        <f>+J$14*$E345</f>
        <v>0</v>
      </c>
      <c r="K356" s="168">
        <f t="shared" ref="K356:P356" si="354">+K$14*$E345</f>
        <v>0</v>
      </c>
      <c r="L356" s="168">
        <f t="shared" si="354"/>
        <v>0</v>
      </c>
      <c r="M356" s="168">
        <f t="shared" si="354"/>
        <v>0</v>
      </c>
      <c r="N356" s="168">
        <f t="shared" si="354"/>
        <v>0</v>
      </c>
      <c r="O356" s="168">
        <f t="shared" si="354"/>
        <v>0</v>
      </c>
      <c r="P356" s="168">
        <f t="shared" si="354"/>
        <v>0</v>
      </c>
      <c r="Q356" s="190">
        <f t="shared" si="351"/>
        <v>0</v>
      </c>
    </row>
    <row r="357" spans="2:17" s="119" customFormat="1" ht="19.5" hidden="1" thickBot="1" x14ac:dyDescent="0.35">
      <c r="B357" s="310"/>
      <c r="C357" s="119">
        <f t="shared" si="345"/>
        <v>0</v>
      </c>
      <c r="D357" s="125" t="s">
        <v>122</v>
      </c>
      <c r="E357" s="76" t="s">
        <v>49</v>
      </c>
      <c r="F357" s="168">
        <f>+F$15*$E345</f>
        <v>0</v>
      </c>
      <c r="G357" s="168">
        <f>+G$15*$E345</f>
        <v>0</v>
      </c>
      <c r="H357" s="168">
        <f>+H$15*$E345</f>
        <v>0</v>
      </c>
      <c r="I357" s="168">
        <f>+I$15*$E345</f>
        <v>0</v>
      </c>
      <c r="J357" s="168">
        <f>+J$15*$E345</f>
        <v>0</v>
      </c>
      <c r="K357" s="168">
        <f t="shared" ref="K357:P357" si="355">+K$15*$E345</f>
        <v>0</v>
      </c>
      <c r="L357" s="168">
        <f t="shared" si="355"/>
        <v>0</v>
      </c>
      <c r="M357" s="168">
        <f t="shared" si="355"/>
        <v>0</v>
      </c>
      <c r="N357" s="168">
        <f t="shared" si="355"/>
        <v>0</v>
      </c>
      <c r="O357" s="168">
        <f t="shared" si="355"/>
        <v>0</v>
      </c>
      <c r="P357" s="168">
        <f t="shared" si="355"/>
        <v>0</v>
      </c>
      <c r="Q357" s="190">
        <f t="shared" si="351"/>
        <v>0</v>
      </c>
    </row>
    <row r="358" spans="2:17" s="119" customFormat="1" ht="19.5" hidden="1" thickBot="1" x14ac:dyDescent="0.35">
      <c r="B358" s="310"/>
      <c r="C358" s="119">
        <f t="shared" si="345"/>
        <v>0</v>
      </c>
      <c r="D358" s="125" t="s">
        <v>123</v>
      </c>
      <c r="E358" s="76" t="s">
        <v>47</v>
      </c>
      <c r="F358" s="168">
        <f>+F$16*$E345</f>
        <v>0</v>
      </c>
      <c r="G358" s="168">
        <f>+G$16*$E345</f>
        <v>0</v>
      </c>
      <c r="H358" s="168">
        <f>+H$16*$E345</f>
        <v>0</v>
      </c>
      <c r="I358" s="168">
        <f>+I$16*$E345</f>
        <v>0</v>
      </c>
      <c r="J358" s="168">
        <f>+J$16*$E345</f>
        <v>0</v>
      </c>
      <c r="K358" s="168">
        <f t="shared" ref="K358:P358" si="356">+K$16*$E345</f>
        <v>0</v>
      </c>
      <c r="L358" s="168">
        <f t="shared" si="356"/>
        <v>0</v>
      </c>
      <c r="M358" s="168">
        <f t="shared" si="356"/>
        <v>0</v>
      </c>
      <c r="N358" s="168">
        <f t="shared" si="356"/>
        <v>0</v>
      </c>
      <c r="O358" s="168">
        <f t="shared" si="356"/>
        <v>0</v>
      </c>
      <c r="P358" s="168">
        <f t="shared" si="356"/>
        <v>0</v>
      </c>
      <c r="Q358" s="190">
        <f t="shared" si="351"/>
        <v>0</v>
      </c>
    </row>
    <row r="359" spans="2:17" s="119" customFormat="1" ht="19.5" hidden="1" thickBot="1" x14ac:dyDescent="0.35">
      <c r="B359" s="310"/>
      <c r="C359" s="119">
        <f t="shared" si="345"/>
        <v>0</v>
      </c>
      <c r="D359" s="125" t="s">
        <v>16</v>
      </c>
      <c r="E359" s="70" t="s">
        <v>77</v>
      </c>
      <c r="F359" s="168">
        <f>+F$17*$E345</f>
        <v>0</v>
      </c>
      <c r="G359" s="168">
        <f>+G$17*$E345</f>
        <v>0</v>
      </c>
      <c r="H359" s="168">
        <f>+H$17*$E345</f>
        <v>0</v>
      </c>
      <c r="I359" s="168">
        <f>+I$17*$E345</f>
        <v>0</v>
      </c>
      <c r="J359" s="168">
        <f>+J$17*$E345</f>
        <v>0</v>
      </c>
      <c r="K359" s="168">
        <f t="shared" ref="K359:P359" si="357">+K$17*$E345</f>
        <v>0</v>
      </c>
      <c r="L359" s="168">
        <f t="shared" si="357"/>
        <v>0</v>
      </c>
      <c r="M359" s="168">
        <f t="shared" si="357"/>
        <v>0</v>
      </c>
      <c r="N359" s="168">
        <f t="shared" si="357"/>
        <v>0</v>
      </c>
      <c r="O359" s="168">
        <f t="shared" si="357"/>
        <v>0</v>
      </c>
      <c r="P359" s="168">
        <f t="shared" si="357"/>
        <v>0</v>
      </c>
      <c r="Q359" s="190">
        <f t="shared" si="351"/>
        <v>0</v>
      </c>
    </row>
    <row r="360" spans="2:17" s="119" customFormat="1" ht="19.5" hidden="1" thickBot="1" x14ac:dyDescent="0.3">
      <c r="B360" s="310"/>
      <c r="C360" s="119">
        <f t="shared" si="345"/>
        <v>0</v>
      </c>
      <c r="D360" s="131" t="s">
        <v>124</v>
      </c>
      <c r="E360" s="116" t="s">
        <v>78</v>
      </c>
      <c r="F360" s="169">
        <f t="shared" ref="F360:Q360" si="358">SUBTOTAL(9,F348:F359)</f>
        <v>0</v>
      </c>
      <c r="G360" s="170">
        <f t="shared" si="358"/>
        <v>0</v>
      </c>
      <c r="H360" s="170">
        <f t="shared" si="358"/>
        <v>0</v>
      </c>
      <c r="I360" s="170">
        <f t="shared" si="358"/>
        <v>0</v>
      </c>
      <c r="J360" s="170">
        <f t="shared" si="358"/>
        <v>0</v>
      </c>
      <c r="K360" s="170">
        <f t="shared" ref="K360:P360" si="359">SUBTOTAL(9,K348:K359)</f>
        <v>0</v>
      </c>
      <c r="L360" s="170">
        <f t="shared" si="359"/>
        <v>0</v>
      </c>
      <c r="M360" s="170">
        <f t="shared" si="359"/>
        <v>0</v>
      </c>
      <c r="N360" s="170">
        <f t="shared" si="359"/>
        <v>0</v>
      </c>
      <c r="O360" s="170">
        <f t="shared" si="359"/>
        <v>0</v>
      </c>
      <c r="P360" s="170">
        <f t="shared" si="359"/>
        <v>0</v>
      </c>
      <c r="Q360" s="170">
        <f t="shared" si="358"/>
        <v>0</v>
      </c>
    </row>
    <row r="361" spans="2:17" s="119" customFormat="1" ht="15.75" hidden="1" thickBot="1" x14ac:dyDescent="0.3">
      <c r="B361" s="310"/>
      <c r="D361" s="117"/>
      <c r="E361" s="132"/>
      <c r="F361" s="117"/>
      <c r="G361" s="117"/>
      <c r="H361" s="118"/>
      <c r="I361" s="118"/>
      <c r="J361" s="118"/>
      <c r="K361" s="118"/>
      <c r="L361" s="118"/>
      <c r="M361" s="118"/>
      <c r="N361" s="118"/>
      <c r="O361" s="118"/>
      <c r="P361" s="118"/>
      <c r="Q361" s="118"/>
    </row>
    <row r="362" spans="2:17" s="119" customFormat="1" ht="45.75" hidden="1" thickBot="1" x14ac:dyDescent="0.3">
      <c r="B362" s="310"/>
      <c r="C362" s="119">
        <f>IF(E362&gt;0,1,0)</f>
        <v>0</v>
      </c>
      <c r="D362" s="96" t="str">
        <f>+A24</f>
        <v>Hamilton</v>
      </c>
      <c r="E362" s="166">
        <f>+SUMIF(A:A,D362,B:B)</f>
        <v>0</v>
      </c>
      <c r="F362" s="98" t="s">
        <v>97</v>
      </c>
      <c r="G362" s="98" t="s">
        <v>126</v>
      </c>
      <c r="H362" s="98" t="s">
        <v>127</v>
      </c>
      <c r="I362" s="99" t="s">
        <v>128</v>
      </c>
      <c r="J362" s="99" t="s">
        <v>131</v>
      </c>
      <c r="K362" s="560" t="s">
        <v>474</v>
      </c>
      <c r="L362" s="560" t="s">
        <v>475</v>
      </c>
      <c r="M362" s="560" t="s">
        <v>476</v>
      </c>
      <c r="N362" s="560" t="s">
        <v>477</v>
      </c>
      <c r="O362" s="560" t="s">
        <v>478</v>
      </c>
      <c r="P362" s="560" t="s">
        <v>479</v>
      </c>
      <c r="Q362" s="99" t="s">
        <v>129</v>
      </c>
    </row>
    <row r="363" spans="2:17" s="119" customFormat="1" ht="19.5" hidden="1" thickBot="1" x14ac:dyDescent="0.3">
      <c r="B363" s="310"/>
      <c r="C363" s="119">
        <f>C362</f>
        <v>0</v>
      </c>
      <c r="D363" s="127"/>
      <c r="E363" s="128"/>
      <c r="F363" s="84" t="s">
        <v>57</v>
      </c>
      <c r="G363" s="84" t="s">
        <v>56</v>
      </c>
      <c r="H363" s="84" t="s">
        <v>55</v>
      </c>
      <c r="I363" s="84" t="s">
        <v>54</v>
      </c>
      <c r="J363" s="129" t="s">
        <v>53</v>
      </c>
      <c r="K363" s="129" t="s">
        <v>52</v>
      </c>
      <c r="L363" s="129" t="s">
        <v>51</v>
      </c>
      <c r="M363" s="129" t="s">
        <v>50</v>
      </c>
      <c r="N363" s="129" t="s">
        <v>49</v>
      </c>
      <c r="O363" s="129" t="s">
        <v>47</v>
      </c>
      <c r="P363" s="129" t="s">
        <v>77</v>
      </c>
      <c r="Q363" s="129" t="s">
        <v>78</v>
      </c>
    </row>
    <row r="364" spans="2:17" s="119" customFormat="1" ht="19.5" hidden="1" thickBot="1" x14ac:dyDescent="0.3">
      <c r="B364" s="310"/>
      <c r="C364" s="119">
        <f>C363</f>
        <v>0</v>
      </c>
      <c r="D364" s="133" t="s">
        <v>26</v>
      </c>
      <c r="E364" s="134"/>
      <c r="F364" s="135"/>
      <c r="G364" s="135"/>
      <c r="H364" s="136"/>
      <c r="I364" s="136"/>
      <c r="J364" s="137"/>
      <c r="K364" s="137"/>
      <c r="L364" s="137"/>
      <c r="M364" s="137"/>
      <c r="N364" s="137"/>
      <c r="O364" s="137"/>
      <c r="P364" s="137"/>
      <c r="Q364" s="138"/>
    </row>
    <row r="365" spans="2:17" s="119" customFormat="1" ht="19.5" hidden="1" thickBot="1" x14ac:dyDescent="0.3">
      <c r="B365" s="310"/>
      <c r="C365" s="119">
        <f t="shared" ref="C365:C377" si="360">C364</f>
        <v>0</v>
      </c>
      <c r="D365" s="109" t="s">
        <v>93</v>
      </c>
      <c r="E365" s="76" t="s">
        <v>57</v>
      </c>
      <c r="F365" s="168">
        <f>+F$6*$E362</f>
        <v>0</v>
      </c>
      <c r="G365" s="168">
        <f>+G$6*$E362</f>
        <v>0</v>
      </c>
      <c r="H365" s="168">
        <f>+H$6*$E362</f>
        <v>0</v>
      </c>
      <c r="I365" s="168">
        <f>+I$6*$E362</f>
        <v>0</v>
      </c>
      <c r="J365" s="168">
        <f>+J$6*$E362</f>
        <v>0</v>
      </c>
      <c r="K365" s="168">
        <f t="shared" ref="K365:P365" si="361">+K$6*$E362</f>
        <v>0</v>
      </c>
      <c r="L365" s="168">
        <f t="shared" si="361"/>
        <v>0</v>
      </c>
      <c r="M365" s="168">
        <f t="shared" si="361"/>
        <v>0</v>
      </c>
      <c r="N365" s="168">
        <f t="shared" si="361"/>
        <v>0</v>
      </c>
      <c r="O365" s="168">
        <f t="shared" si="361"/>
        <v>0</v>
      </c>
      <c r="P365" s="168">
        <f t="shared" si="361"/>
        <v>0</v>
      </c>
      <c r="Q365" s="190">
        <f>SUM(G365:P365)</f>
        <v>0</v>
      </c>
    </row>
    <row r="366" spans="2:17" s="119" customFormat="1" ht="19.5" hidden="1" thickBot="1" x14ac:dyDescent="0.3">
      <c r="B366" s="310"/>
      <c r="C366" s="119">
        <f t="shared" si="360"/>
        <v>0</v>
      </c>
      <c r="D366" s="110" t="s">
        <v>132</v>
      </c>
      <c r="E366" s="76" t="s">
        <v>56</v>
      </c>
      <c r="F366" s="168">
        <f>+F$7*$E362</f>
        <v>0</v>
      </c>
      <c r="G366" s="168">
        <f>+G$7*$E362</f>
        <v>0</v>
      </c>
      <c r="H366" s="168">
        <f>+H$7*$E362</f>
        <v>0</v>
      </c>
      <c r="I366" s="168">
        <f>+I$7*$E362</f>
        <v>0</v>
      </c>
      <c r="J366" s="168">
        <f>+J$7*$E362</f>
        <v>0</v>
      </c>
      <c r="K366" s="168">
        <f t="shared" ref="K366:P366" si="362">+K$7*$E362</f>
        <v>0</v>
      </c>
      <c r="L366" s="168">
        <f t="shared" si="362"/>
        <v>0</v>
      </c>
      <c r="M366" s="168">
        <f t="shared" si="362"/>
        <v>0</v>
      </c>
      <c r="N366" s="168">
        <f t="shared" si="362"/>
        <v>0</v>
      </c>
      <c r="O366" s="168">
        <f t="shared" si="362"/>
        <v>0</v>
      </c>
      <c r="P366" s="168">
        <f t="shared" si="362"/>
        <v>0</v>
      </c>
      <c r="Q366" s="190">
        <f>SUM(G366:P366)</f>
        <v>0</v>
      </c>
    </row>
    <row r="367" spans="2:17" s="119" customFormat="1" ht="19.5" hidden="1" thickBot="1" x14ac:dyDescent="0.3">
      <c r="B367" s="310"/>
      <c r="C367" s="119">
        <f t="shared" si="360"/>
        <v>0</v>
      </c>
      <c r="D367" s="109" t="s">
        <v>91</v>
      </c>
      <c r="E367" s="76" t="s">
        <v>55</v>
      </c>
      <c r="F367" s="168">
        <f>+F$8*$E362</f>
        <v>0</v>
      </c>
      <c r="G367" s="168">
        <f>+G$8*$E362</f>
        <v>0</v>
      </c>
      <c r="H367" s="168">
        <f>+H$8*$E362</f>
        <v>0</v>
      </c>
      <c r="I367" s="168">
        <f>+I$8*$E362</f>
        <v>0</v>
      </c>
      <c r="J367" s="168">
        <f>+J$8*$E362</f>
        <v>0</v>
      </c>
      <c r="K367" s="168">
        <f t="shared" ref="K367:P367" si="363">+K$8*$E362</f>
        <v>0</v>
      </c>
      <c r="L367" s="168">
        <f t="shared" si="363"/>
        <v>0</v>
      </c>
      <c r="M367" s="168">
        <f t="shared" si="363"/>
        <v>0</v>
      </c>
      <c r="N367" s="168">
        <f t="shared" si="363"/>
        <v>0</v>
      </c>
      <c r="O367" s="168">
        <f t="shared" si="363"/>
        <v>0</v>
      </c>
      <c r="P367" s="168">
        <f t="shared" si="363"/>
        <v>0</v>
      </c>
      <c r="Q367" s="190">
        <f>SUM(G367:P367)</f>
        <v>0</v>
      </c>
    </row>
    <row r="368" spans="2:17" s="119" customFormat="1" ht="19.5" hidden="1" thickBot="1" x14ac:dyDescent="0.3">
      <c r="B368" s="310"/>
      <c r="C368" s="119">
        <f t="shared" si="360"/>
        <v>0</v>
      </c>
      <c r="D368" s="130" t="s">
        <v>117</v>
      </c>
      <c r="E368" s="76" t="s">
        <v>54</v>
      </c>
      <c r="F368" s="168">
        <f>+F$9*$E362</f>
        <v>0</v>
      </c>
      <c r="G368" s="168">
        <f>+G$9*$E362</f>
        <v>0</v>
      </c>
      <c r="H368" s="168">
        <f>+H$9*$E362</f>
        <v>0</v>
      </c>
      <c r="I368" s="168">
        <f>+I$9*$E362</f>
        <v>0</v>
      </c>
      <c r="J368" s="168">
        <f>+J$9*$E362</f>
        <v>0</v>
      </c>
      <c r="K368" s="168">
        <f t="shared" ref="K368:P368" si="364">+K$9*$E362</f>
        <v>0</v>
      </c>
      <c r="L368" s="168">
        <f t="shared" si="364"/>
        <v>0</v>
      </c>
      <c r="M368" s="168">
        <f t="shared" si="364"/>
        <v>0</v>
      </c>
      <c r="N368" s="168">
        <f t="shared" si="364"/>
        <v>0</v>
      </c>
      <c r="O368" s="168">
        <f t="shared" si="364"/>
        <v>0</v>
      </c>
      <c r="P368" s="168">
        <f t="shared" si="364"/>
        <v>0</v>
      </c>
      <c r="Q368" s="190">
        <f>SUM(G368:P368)</f>
        <v>0</v>
      </c>
    </row>
    <row r="369" spans="2:17" s="119" customFormat="1" ht="19.5" hidden="1" thickBot="1" x14ac:dyDescent="0.3">
      <c r="B369" s="310"/>
      <c r="C369" s="119">
        <f t="shared" si="360"/>
        <v>0</v>
      </c>
      <c r="D369" s="112" t="s">
        <v>31</v>
      </c>
      <c r="E369" s="76"/>
      <c r="F369" s="167"/>
      <c r="G369" s="185"/>
      <c r="H369" s="185"/>
      <c r="I369" s="185"/>
      <c r="J369" s="185"/>
      <c r="K369" s="185"/>
      <c r="L369" s="185"/>
      <c r="M369" s="185"/>
      <c r="N369" s="185"/>
      <c r="O369" s="185"/>
      <c r="P369" s="185"/>
      <c r="Q369" s="171"/>
    </row>
    <row r="370" spans="2:17" s="119" customFormat="1" ht="19.5" hidden="1" thickBot="1" x14ac:dyDescent="0.35">
      <c r="B370" s="310"/>
      <c r="C370" s="119">
        <f t="shared" si="360"/>
        <v>0</v>
      </c>
      <c r="D370" s="125" t="s">
        <v>118</v>
      </c>
      <c r="E370" s="76" t="s">
        <v>53</v>
      </c>
      <c r="F370" s="168">
        <f>+F$11*$E362</f>
        <v>0</v>
      </c>
      <c r="G370" s="168">
        <f>+G$11*$E362</f>
        <v>0</v>
      </c>
      <c r="H370" s="168">
        <f>+H$11*$E362</f>
        <v>0</v>
      </c>
      <c r="I370" s="168">
        <f>+I$11*$E362</f>
        <v>0</v>
      </c>
      <c r="J370" s="168">
        <f>+J$11*$E362</f>
        <v>0</v>
      </c>
      <c r="K370" s="168">
        <f t="shared" ref="K370:P370" si="365">+K$11*$E362</f>
        <v>0</v>
      </c>
      <c r="L370" s="168">
        <f t="shared" si="365"/>
        <v>0</v>
      </c>
      <c r="M370" s="168">
        <f t="shared" si="365"/>
        <v>0</v>
      </c>
      <c r="N370" s="168">
        <f t="shared" si="365"/>
        <v>0</v>
      </c>
      <c r="O370" s="168">
        <f t="shared" si="365"/>
        <v>0</v>
      </c>
      <c r="P370" s="168">
        <f t="shared" si="365"/>
        <v>0</v>
      </c>
      <c r="Q370" s="190">
        <f t="shared" ref="Q370:Q376" si="366">SUM(G370:P370)</f>
        <v>0</v>
      </c>
    </row>
    <row r="371" spans="2:17" s="119" customFormat="1" ht="19.5" hidden="1" thickBot="1" x14ac:dyDescent="0.35">
      <c r="B371" s="310"/>
      <c r="C371" s="119">
        <f t="shared" si="360"/>
        <v>0</v>
      </c>
      <c r="D371" s="125" t="s">
        <v>119</v>
      </c>
      <c r="E371" s="76" t="s">
        <v>52</v>
      </c>
      <c r="F371" s="168">
        <f>+F$12*$E362</f>
        <v>0</v>
      </c>
      <c r="G371" s="168">
        <f>+G$12*$E362</f>
        <v>0</v>
      </c>
      <c r="H371" s="168">
        <f>+H$12*$E362</f>
        <v>0</v>
      </c>
      <c r="I371" s="168">
        <f>+I$12*$E362</f>
        <v>0</v>
      </c>
      <c r="J371" s="168">
        <f>+J$12*$E362</f>
        <v>0</v>
      </c>
      <c r="K371" s="168">
        <f t="shared" ref="K371:P371" si="367">+K$12*$E362</f>
        <v>0</v>
      </c>
      <c r="L371" s="168">
        <f t="shared" si="367"/>
        <v>0</v>
      </c>
      <c r="M371" s="168">
        <f t="shared" si="367"/>
        <v>0</v>
      </c>
      <c r="N371" s="168">
        <f t="shared" si="367"/>
        <v>0</v>
      </c>
      <c r="O371" s="168">
        <f t="shared" si="367"/>
        <v>0</v>
      </c>
      <c r="P371" s="168">
        <f t="shared" si="367"/>
        <v>0</v>
      </c>
      <c r="Q371" s="190">
        <f t="shared" si="366"/>
        <v>0</v>
      </c>
    </row>
    <row r="372" spans="2:17" s="119" customFormat="1" ht="19.5" hidden="1" thickBot="1" x14ac:dyDescent="0.35">
      <c r="B372" s="310"/>
      <c r="C372" s="119">
        <f t="shared" si="360"/>
        <v>0</v>
      </c>
      <c r="D372" s="125" t="s">
        <v>120</v>
      </c>
      <c r="E372" s="76" t="s">
        <v>51</v>
      </c>
      <c r="F372" s="168">
        <f>+F$13*$E362</f>
        <v>0</v>
      </c>
      <c r="G372" s="168">
        <f>+G$13*$E362</f>
        <v>0</v>
      </c>
      <c r="H372" s="168">
        <f>+H$13*$E362</f>
        <v>0</v>
      </c>
      <c r="I372" s="168">
        <f>+I$13*$E362</f>
        <v>0</v>
      </c>
      <c r="J372" s="168">
        <f>+J$13*$E362</f>
        <v>0</v>
      </c>
      <c r="K372" s="168">
        <f t="shared" ref="K372:P372" si="368">+K$13*$E362</f>
        <v>0</v>
      </c>
      <c r="L372" s="168">
        <f t="shared" si="368"/>
        <v>0</v>
      </c>
      <c r="M372" s="168">
        <f t="shared" si="368"/>
        <v>0</v>
      </c>
      <c r="N372" s="168">
        <f t="shared" si="368"/>
        <v>0</v>
      </c>
      <c r="O372" s="168">
        <f t="shared" si="368"/>
        <v>0</v>
      </c>
      <c r="P372" s="168">
        <f t="shared" si="368"/>
        <v>0</v>
      </c>
      <c r="Q372" s="190">
        <f t="shared" si="366"/>
        <v>0</v>
      </c>
    </row>
    <row r="373" spans="2:17" s="119" customFormat="1" ht="19.5" hidden="1" thickBot="1" x14ac:dyDescent="0.35">
      <c r="B373" s="310"/>
      <c r="C373" s="119">
        <f t="shared" si="360"/>
        <v>0</v>
      </c>
      <c r="D373" s="125" t="s">
        <v>121</v>
      </c>
      <c r="E373" s="76" t="s">
        <v>50</v>
      </c>
      <c r="F373" s="168">
        <f>+F$14*$E362</f>
        <v>0</v>
      </c>
      <c r="G373" s="168">
        <f>+G$14*$E362</f>
        <v>0</v>
      </c>
      <c r="H373" s="168">
        <f>+H$14*$E362</f>
        <v>0</v>
      </c>
      <c r="I373" s="168">
        <f>+I$14*$E362</f>
        <v>0</v>
      </c>
      <c r="J373" s="168">
        <f>+J$14*$E362</f>
        <v>0</v>
      </c>
      <c r="K373" s="168">
        <f t="shared" ref="K373:P373" si="369">+K$14*$E362</f>
        <v>0</v>
      </c>
      <c r="L373" s="168">
        <f t="shared" si="369"/>
        <v>0</v>
      </c>
      <c r="M373" s="168">
        <f t="shared" si="369"/>
        <v>0</v>
      </c>
      <c r="N373" s="168">
        <f t="shared" si="369"/>
        <v>0</v>
      </c>
      <c r="O373" s="168">
        <f t="shared" si="369"/>
        <v>0</v>
      </c>
      <c r="P373" s="168">
        <f t="shared" si="369"/>
        <v>0</v>
      </c>
      <c r="Q373" s="190">
        <f t="shared" si="366"/>
        <v>0</v>
      </c>
    </row>
    <row r="374" spans="2:17" s="119" customFormat="1" ht="19.5" hidden="1" thickBot="1" x14ac:dyDescent="0.35">
      <c r="B374" s="310"/>
      <c r="C374" s="119">
        <f t="shared" si="360"/>
        <v>0</v>
      </c>
      <c r="D374" s="125" t="s">
        <v>122</v>
      </c>
      <c r="E374" s="76" t="s">
        <v>49</v>
      </c>
      <c r="F374" s="168">
        <f>+F$15*$E362</f>
        <v>0</v>
      </c>
      <c r="G374" s="168">
        <f>+G$15*$E362</f>
        <v>0</v>
      </c>
      <c r="H374" s="168">
        <f>+H$15*$E362</f>
        <v>0</v>
      </c>
      <c r="I374" s="168">
        <f>+I$15*$E362</f>
        <v>0</v>
      </c>
      <c r="J374" s="168">
        <f>+J$15*$E362</f>
        <v>0</v>
      </c>
      <c r="K374" s="168">
        <f t="shared" ref="K374:P374" si="370">+K$15*$E362</f>
        <v>0</v>
      </c>
      <c r="L374" s="168">
        <f t="shared" si="370"/>
        <v>0</v>
      </c>
      <c r="M374" s="168">
        <f t="shared" si="370"/>
        <v>0</v>
      </c>
      <c r="N374" s="168">
        <f t="shared" si="370"/>
        <v>0</v>
      </c>
      <c r="O374" s="168">
        <f t="shared" si="370"/>
        <v>0</v>
      </c>
      <c r="P374" s="168">
        <f t="shared" si="370"/>
        <v>0</v>
      </c>
      <c r="Q374" s="190">
        <f t="shared" si="366"/>
        <v>0</v>
      </c>
    </row>
    <row r="375" spans="2:17" s="119" customFormat="1" ht="19.5" hidden="1" thickBot="1" x14ac:dyDescent="0.35">
      <c r="B375" s="310"/>
      <c r="C375" s="119">
        <f t="shared" si="360"/>
        <v>0</v>
      </c>
      <c r="D375" s="125" t="s">
        <v>123</v>
      </c>
      <c r="E375" s="76" t="s">
        <v>47</v>
      </c>
      <c r="F375" s="168">
        <f>+F$16*$E362</f>
        <v>0</v>
      </c>
      <c r="G375" s="168">
        <f>+G$16*$E362</f>
        <v>0</v>
      </c>
      <c r="H375" s="168">
        <f>+H$16*$E362</f>
        <v>0</v>
      </c>
      <c r="I375" s="168">
        <f>+I$16*$E362</f>
        <v>0</v>
      </c>
      <c r="J375" s="168">
        <f>+J$16*$E362</f>
        <v>0</v>
      </c>
      <c r="K375" s="168">
        <f t="shared" ref="K375:P375" si="371">+K$16*$E362</f>
        <v>0</v>
      </c>
      <c r="L375" s="168">
        <f t="shared" si="371"/>
        <v>0</v>
      </c>
      <c r="M375" s="168">
        <f t="shared" si="371"/>
        <v>0</v>
      </c>
      <c r="N375" s="168">
        <f t="shared" si="371"/>
        <v>0</v>
      </c>
      <c r="O375" s="168">
        <f t="shared" si="371"/>
        <v>0</v>
      </c>
      <c r="P375" s="168">
        <f t="shared" si="371"/>
        <v>0</v>
      </c>
      <c r="Q375" s="190">
        <f t="shared" si="366"/>
        <v>0</v>
      </c>
    </row>
    <row r="376" spans="2:17" s="119" customFormat="1" ht="19.5" hidden="1" thickBot="1" x14ac:dyDescent="0.35">
      <c r="B376" s="310"/>
      <c r="C376" s="119">
        <f t="shared" si="360"/>
        <v>0</v>
      </c>
      <c r="D376" s="125" t="s">
        <v>16</v>
      </c>
      <c r="E376" s="70" t="s">
        <v>77</v>
      </c>
      <c r="F376" s="168">
        <f>+F$17*$E362</f>
        <v>0</v>
      </c>
      <c r="G376" s="168">
        <f>+G$17*$E362</f>
        <v>0</v>
      </c>
      <c r="H376" s="168">
        <f>+H$17*$E362</f>
        <v>0</v>
      </c>
      <c r="I376" s="168">
        <f>+I$17*$E362</f>
        <v>0</v>
      </c>
      <c r="J376" s="168">
        <f>+J$17*$E362</f>
        <v>0</v>
      </c>
      <c r="K376" s="168">
        <f t="shared" ref="K376:P376" si="372">+K$17*$E362</f>
        <v>0</v>
      </c>
      <c r="L376" s="168">
        <f t="shared" si="372"/>
        <v>0</v>
      </c>
      <c r="M376" s="168">
        <f t="shared" si="372"/>
        <v>0</v>
      </c>
      <c r="N376" s="168">
        <f t="shared" si="372"/>
        <v>0</v>
      </c>
      <c r="O376" s="168">
        <f t="shared" si="372"/>
        <v>0</v>
      </c>
      <c r="P376" s="168">
        <f t="shared" si="372"/>
        <v>0</v>
      </c>
      <c r="Q376" s="190">
        <f t="shared" si="366"/>
        <v>0</v>
      </c>
    </row>
    <row r="377" spans="2:17" s="119" customFormat="1" ht="19.5" hidden="1" thickBot="1" x14ac:dyDescent="0.3">
      <c r="B377" s="310"/>
      <c r="C377" s="119">
        <f t="shared" si="360"/>
        <v>0</v>
      </c>
      <c r="D377" s="131" t="s">
        <v>124</v>
      </c>
      <c r="E377" s="116" t="s">
        <v>78</v>
      </c>
      <c r="F377" s="169">
        <f t="shared" ref="F377:Q377" si="373">SUBTOTAL(9,F365:F376)</f>
        <v>0</v>
      </c>
      <c r="G377" s="170">
        <f t="shared" si="373"/>
        <v>0</v>
      </c>
      <c r="H377" s="170">
        <f t="shared" si="373"/>
        <v>0</v>
      </c>
      <c r="I377" s="170">
        <f t="shared" si="373"/>
        <v>0</v>
      </c>
      <c r="J377" s="170">
        <f t="shared" si="373"/>
        <v>0</v>
      </c>
      <c r="K377" s="170">
        <f t="shared" ref="K377:P377" si="374">SUBTOTAL(9,K365:K376)</f>
        <v>0</v>
      </c>
      <c r="L377" s="170">
        <f t="shared" si="374"/>
        <v>0</v>
      </c>
      <c r="M377" s="170">
        <f t="shared" si="374"/>
        <v>0</v>
      </c>
      <c r="N377" s="170">
        <f t="shared" si="374"/>
        <v>0</v>
      </c>
      <c r="O377" s="170">
        <f t="shared" si="374"/>
        <v>0</v>
      </c>
      <c r="P377" s="170">
        <f t="shared" si="374"/>
        <v>0</v>
      </c>
      <c r="Q377" s="170">
        <f t="shared" si="373"/>
        <v>0</v>
      </c>
    </row>
    <row r="378" spans="2:17" s="119" customFormat="1" ht="15.75" hidden="1" thickBot="1" x14ac:dyDescent="0.3">
      <c r="B378" s="310"/>
      <c r="D378" s="117"/>
      <c r="E378" s="132"/>
      <c r="F378" s="117"/>
      <c r="G378" s="117"/>
      <c r="H378" s="118"/>
      <c r="I378" s="118"/>
      <c r="J378" s="118"/>
      <c r="K378" s="118"/>
      <c r="L378" s="118"/>
      <c r="M378" s="118"/>
      <c r="N378" s="118"/>
      <c r="O378" s="118"/>
      <c r="P378" s="118"/>
      <c r="Q378" s="118"/>
    </row>
    <row r="379" spans="2:17" s="119" customFormat="1" ht="45.75" hidden="1" thickBot="1" x14ac:dyDescent="0.3">
      <c r="B379" s="310"/>
      <c r="C379" s="119">
        <f>IF(E379&gt;0,1,0)</f>
        <v>0</v>
      </c>
      <c r="D379" s="96" t="str">
        <f>+A25</f>
        <v>Herkimer</v>
      </c>
      <c r="E379" s="166">
        <f>+SUMIF(A:A,D379,B:B)</f>
        <v>0</v>
      </c>
      <c r="F379" s="98" t="s">
        <v>97</v>
      </c>
      <c r="G379" s="98" t="s">
        <v>126</v>
      </c>
      <c r="H379" s="98" t="s">
        <v>127</v>
      </c>
      <c r="I379" s="99" t="s">
        <v>128</v>
      </c>
      <c r="J379" s="99" t="s">
        <v>131</v>
      </c>
      <c r="K379" s="560" t="s">
        <v>474</v>
      </c>
      <c r="L379" s="560" t="s">
        <v>475</v>
      </c>
      <c r="M379" s="560" t="s">
        <v>476</v>
      </c>
      <c r="N379" s="560" t="s">
        <v>477</v>
      </c>
      <c r="O379" s="560" t="s">
        <v>478</v>
      </c>
      <c r="P379" s="560" t="s">
        <v>479</v>
      </c>
      <c r="Q379" s="99" t="s">
        <v>129</v>
      </c>
    </row>
    <row r="380" spans="2:17" s="119" customFormat="1" ht="19.5" hidden="1" thickBot="1" x14ac:dyDescent="0.3">
      <c r="B380" s="310"/>
      <c r="C380" s="119">
        <f>C379</f>
        <v>0</v>
      </c>
      <c r="D380" s="127"/>
      <c r="E380" s="128"/>
      <c r="F380" s="84" t="s">
        <v>57</v>
      </c>
      <c r="G380" s="84" t="s">
        <v>56</v>
      </c>
      <c r="H380" s="84" t="s">
        <v>55</v>
      </c>
      <c r="I380" s="84" t="s">
        <v>54</v>
      </c>
      <c r="J380" s="129" t="s">
        <v>53</v>
      </c>
      <c r="K380" s="129" t="s">
        <v>52</v>
      </c>
      <c r="L380" s="129" t="s">
        <v>51</v>
      </c>
      <c r="M380" s="129" t="s">
        <v>50</v>
      </c>
      <c r="N380" s="129" t="s">
        <v>49</v>
      </c>
      <c r="O380" s="129" t="s">
        <v>47</v>
      </c>
      <c r="P380" s="129" t="s">
        <v>77</v>
      </c>
      <c r="Q380" s="129" t="s">
        <v>78</v>
      </c>
    </row>
    <row r="381" spans="2:17" s="119" customFormat="1" ht="19.5" hidden="1" thickBot="1" x14ac:dyDescent="0.3">
      <c r="B381" s="310"/>
      <c r="C381" s="119">
        <f>C380</f>
        <v>0</v>
      </c>
      <c r="D381" s="133" t="s">
        <v>26</v>
      </c>
      <c r="E381" s="134"/>
      <c r="F381" s="135"/>
      <c r="G381" s="135"/>
      <c r="H381" s="136"/>
      <c r="I381" s="136"/>
      <c r="J381" s="137"/>
      <c r="K381" s="137"/>
      <c r="L381" s="137"/>
      <c r="M381" s="137"/>
      <c r="N381" s="137"/>
      <c r="O381" s="137"/>
      <c r="P381" s="137"/>
      <c r="Q381" s="138"/>
    </row>
    <row r="382" spans="2:17" s="119" customFormat="1" ht="19.5" hidden="1" thickBot="1" x14ac:dyDescent="0.3">
      <c r="B382" s="310"/>
      <c r="C382" s="119">
        <f t="shared" ref="C382:C394" si="375">C381</f>
        <v>0</v>
      </c>
      <c r="D382" s="109" t="s">
        <v>93</v>
      </c>
      <c r="E382" s="76" t="s">
        <v>57</v>
      </c>
      <c r="F382" s="168">
        <f>+F$6*$E379</f>
        <v>0</v>
      </c>
      <c r="G382" s="168">
        <f>+G$6*$E379</f>
        <v>0</v>
      </c>
      <c r="H382" s="168">
        <f>+H$6*$E379</f>
        <v>0</v>
      </c>
      <c r="I382" s="168">
        <f>+I$6*$E379</f>
        <v>0</v>
      </c>
      <c r="J382" s="168">
        <f>+J$6*$E379</f>
        <v>0</v>
      </c>
      <c r="K382" s="168">
        <f t="shared" ref="K382:P382" si="376">+K$6*$E379</f>
        <v>0</v>
      </c>
      <c r="L382" s="168">
        <f t="shared" si="376"/>
        <v>0</v>
      </c>
      <c r="M382" s="168">
        <f t="shared" si="376"/>
        <v>0</v>
      </c>
      <c r="N382" s="168">
        <f t="shared" si="376"/>
        <v>0</v>
      </c>
      <c r="O382" s="168">
        <f t="shared" si="376"/>
        <v>0</v>
      </c>
      <c r="P382" s="168">
        <f t="shared" si="376"/>
        <v>0</v>
      </c>
      <c r="Q382" s="190">
        <f>SUM(G382:P382)</f>
        <v>0</v>
      </c>
    </row>
    <row r="383" spans="2:17" s="119" customFormat="1" ht="19.5" hidden="1" thickBot="1" x14ac:dyDescent="0.3">
      <c r="B383" s="310"/>
      <c r="C383" s="119">
        <f t="shared" si="375"/>
        <v>0</v>
      </c>
      <c r="D383" s="110" t="s">
        <v>132</v>
      </c>
      <c r="E383" s="76" t="s">
        <v>56</v>
      </c>
      <c r="F383" s="168">
        <f>+F$7*$E379</f>
        <v>0</v>
      </c>
      <c r="G383" s="168">
        <f>+G$7*$E379</f>
        <v>0</v>
      </c>
      <c r="H383" s="168">
        <f>+H$7*$E379</f>
        <v>0</v>
      </c>
      <c r="I383" s="168">
        <f>+I$7*$E379</f>
        <v>0</v>
      </c>
      <c r="J383" s="168">
        <f>+J$7*$E379</f>
        <v>0</v>
      </c>
      <c r="K383" s="168">
        <f t="shared" ref="K383:P383" si="377">+K$7*$E379</f>
        <v>0</v>
      </c>
      <c r="L383" s="168">
        <f t="shared" si="377"/>
        <v>0</v>
      </c>
      <c r="M383" s="168">
        <f t="shared" si="377"/>
        <v>0</v>
      </c>
      <c r="N383" s="168">
        <f t="shared" si="377"/>
        <v>0</v>
      </c>
      <c r="O383" s="168">
        <f t="shared" si="377"/>
        <v>0</v>
      </c>
      <c r="P383" s="168">
        <f t="shared" si="377"/>
        <v>0</v>
      </c>
      <c r="Q383" s="190">
        <f>SUM(G383:P383)</f>
        <v>0</v>
      </c>
    </row>
    <row r="384" spans="2:17" s="119" customFormat="1" ht="19.5" hidden="1" thickBot="1" x14ac:dyDescent="0.3">
      <c r="B384" s="310"/>
      <c r="C384" s="119">
        <f t="shared" si="375"/>
        <v>0</v>
      </c>
      <c r="D384" s="109" t="s">
        <v>91</v>
      </c>
      <c r="E384" s="76" t="s">
        <v>55</v>
      </c>
      <c r="F384" s="168">
        <f>+F$8*$E379</f>
        <v>0</v>
      </c>
      <c r="G384" s="168">
        <f>+G$8*$E379</f>
        <v>0</v>
      </c>
      <c r="H384" s="168">
        <f>+H$8*$E379</f>
        <v>0</v>
      </c>
      <c r="I384" s="168">
        <f>+I$8*$E379</f>
        <v>0</v>
      </c>
      <c r="J384" s="168">
        <f>+J$8*$E379</f>
        <v>0</v>
      </c>
      <c r="K384" s="168">
        <f t="shared" ref="K384:P384" si="378">+K$8*$E379</f>
        <v>0</v>
      </c>
      <c r="L384" s="168">
        <f t="shared" si="378"/>
        <v>0</v>
      </c>
      <c r="M384" s="168">
        <f t="shared" si="378"/>
        <v>0</v>
      </c>
      <c r="N384" s="168">
        <f t="shared" si="378"/>
        <v>0</v>
      </c>
      <c r="O384" s="168">
        <f t="shared" si="378"/>
        <v>0</v>
      </c>
      <c r="P384" s="168">
        <f t="shared" si="378"/>
        <v>0</v>
      </c>
      <c r="Q384" s="190">
        <f>SUM(G384:P384)</f>
        <v>0</v>
      </c>
    </row>
    <row r="385" spans="2:17" s="119" customFormat="1" ht="19.5" hidden="1" thickBot="1" x14ac:dyDescent="0.3">
      <c r="B385" s="310"/>
      <c r="C385" s="119">
        <f t="shared" si="375"/>
        <v>0</v>
      </c>
      <c r="D385" s="130" t="s">
        <v>117</v>
      </c>
      <c r="E385" s="76" t="s">
        <v>54</v>
      </c>
      <c r="F385" s="168">
        <f>+F$9*$E379</f>
        <v>0</v>
      </c>
      <c r="G385" s="168">
        <f>+G$9*$E379</f>
        <v>0</v>
      </c>
      <c r="H385" s="168">
        <f>+H$9*$E379</f>
        <v>0</v>
      </c>
      <c r="I385" s="168">
        <f>+I$9*$E379</f>
        <v>0</v>
      </c>
      <c r="J385" s="168">
        <f>+J$9*$E379</f>
        <v>0</v>
      </c>
      <c r="K385" s="168">
        <f t="shared" ref="K385:P385" si="379">+K$9*$E379</f>
        <v>0</v>
      </c>
      <c r="L385" s="168">
        <f t="shared" si="379"/>
        <v>0</v>
      </c>
      <c r="M385" s="168">
        <f t="shared" si="379"/>
        <v>0</v>
      </c>
      <c r="N385" s="168">
        <f t="shared" si="379"/>
        <v>0</v>
      </c>
      <c r="O385" s="168">
        <f t="shared" si="379"/>
        <v>0</v>
      </c>
      <c r="P385" s="168">
        <f t="shared" si="379"/>
        <v>0</v>
      </c>
      <c r="Q385" s="190">
        <f>SUM(G385:P385)</f>
        <v>0</v>
      </c>
    </row>
    <row r="386" spans="2:17" s="119" customFormat="1" ht="19.5" hidden="1" thickBot="1" x14ac:dyDescent="0.3">
      <c r="B386" s="310"/>
      <c r="C386" s="119">
        <f t="shared" si="375"/>
        <v>0</v>
      </c>
      <c r="D386" s="112" t="s">
        <v>31</v>
      </c>
      <c r="E386" s="76"/>
      <c r="F386" s="167"/>
      <c r="G386" s="185"/>
      <c r="H386" s="185"/>
      <c r="I386" s="185"/>
      <c r="J386" s="185"/>
      <c r="K386" s="185"/>
      <c r="L386" s="185"/>
      <c r="M386" s="185"/>
      <c r="N386" s="185"/>
      <c r="O386" s="185"/>
      <c r="P386" s="185"/>
      <c r="Q386" s="171"/>
    </row>
    <row r="387" spans="2:17" s="119" customFormat="1" ht="19.5" hidden="1" thickBot="1" x14ac:dyDescent="0.35">
      <c r="B387" s="310"/>
      <c r="C387" s="119">
        <f t="shared" si="375"/>
        <v>0</v>
      </c>
      <c r="D387" s="125" t="s">
        <v>118</v>
      </c>
      <c r="E387" s="76" t="s">
        <v>53</v>
      </c>
      <c r="F387" s="168">
        <f>+F$11*$E379</f>
        <v>0</v>
      </c>
      <c r="G387" s="168">
        <f>+G$11*$E379</f>
        <v>0</v>
      </c>
      <c r="H387" s="168">
        <f>+H$11*$E379</f>
        <v>0</v>
      </c>
      <c r="I387" s="168">
        <f>+I$11*$E379</f>
        <v>0</v>
      </c>
      <c r="J387" s="168">
        <f>+J$11*$E379</f>
        <v>0</v>
      </c>
      <c r="K387" s="168">
        <f t="shared" ref="K387:P387" si="380">+K$11*$E379</f>
        <v>0</v>
      </c>
      <c r="L387" s="168">
        <f t="shared" si="380"/>
        <v>0</v>
      </c>
      <c r="M387" s="168">
        <f t="shared" si="380"/>
        <v>0</v>
      </c>
      <c r="N387" s="168">
        <f t="shared" si="380"/>
        <v>0</v>
      </c>
      <c r="O387" s="168">
        <f t="shared" si="380"/>
        <v>0</v>
      </c>
      <c r="P387" s="168">
        <f t="shared" si="380"/>
        <v>0</v>
      </c>
      <c r="Q387" s="190">
        <f t="shared" ref="Q387:Q393" si="381">SUM(G387:P387)</f>
        <v>0</v>
      </c>
    </row>
    <row r="388" spans="2:17" s="119" customFormat="1" ht="19.5" hidden="1" thickBot="1" x14ac:dyDescent="0.35">
      <c r="B388" s="310"/>
      <c r="C388" s="119">
        <f t="shared" si="375"/>
        <v>0</v>
      </c>
      <c r="D388" s="125" t="s">
        <v>119</v>
      </c>
      <c r="E388" s="76" t="s">
        <v>52</v>
      </c>
      <c r="F388" s="168">
        <f>+F$12*$E379</f>
        <v>0</v>
      </c>
      <c r="G388" s="168">
        <f>+G$12*$E379</f>
        <v>0</v>
      </c>
      <c r="H388" s="168">
        <f>+H$12*$E379</f>
        <v>0</v>
      </c>
      <c r="I388" s="168">
        <f>+I$12*$E379</f>
        <v>0</v>
      </c>
      <c r="J388" s="168">
        <f>+J$12*$E379</f>
        <v>0</v>
      </c>
      <c r="K388" s="168">
        <f t="shared" ref="K388:P388" si="382">+K$12*$E379</f>
        <v>0</v>
      </c>
      <c r="L388" s="168">
        <f t="shared" si="382"/>
        <v>0</v>
      </c>
      <c r="M388" s="168">
        <f t="shared" si="382"/>
        <v>0</v>
      </c>
      <c r="N388" s="168">
        <f t="shared" si="382"/>
        <v>0</v>
      </c>
      <c r="O388" s="168">
        <f t="shared" si="382"/>
        <v>0</v>
      </c>
      <c r="P388" s="168">
        <f t="shared" si="382"/>
        <v>0</v>
      </c>
      <c r="Q388" s="190">
        <f t="shared" si="381"/>
        <v>0</v>
      </c>
    </row>
    <row r="389" spans="2:17" s="119" customFormat="1" ht="19.5" hidden="1" thickBot="1" x14ac:dyDescent="0.35">
      <c r="B389" s="310"/>
      <c r="C389" s="119">
        <f t="shared" si="375"/>
        <v>0</v>
      </c>
      <c r="D389" s="125" t="s">
        <v>120</v>
      </c>
      <c r="E389" s="76" t="s">
        <v>51</v>
      </c>
      <c r="F389" s="168">
        <f>+F$13*$E379</f>
        <v>0</v>
      </c>
      <c r="G389" s="168">
        <f>+G$13*$E379</f>
        <v>0</v>
      </c>
      <c r="H389" s="168">
        <f>+H$13*$E379</f>
        <v>0</v>
      </c>
      <c r="I389" s="168">
        <f>+I$13*$E379</f>
        <v>0</v>
      </c>
      <c r="J389" s="168">
        <f>+J$13*$E379</f>
        <v>0</v>
      </c>
      <c r="K389" s="168">
        <f t="shared" ref="K389:P389" si="383">+K$13*$E379</f>
        <v>0</v>
      </c>
      <c r="L389" s="168">
        <f t="shared" si="383"/>
        <v>0</v>
      </c>
      <c r="M389" s="168">
        <f t="shared" si="383"/>
        <v>0</v>
      </c>
      <c r="N389" s="168">
        <f t="shared" si="383"/>
        <v>0</v>
      </c>
      <c r="O389" s="168">
        <f t="shared" si="383"/>
        <v>0</v>
      </c>
      <c r="P389" s="168">
        <f t="shared" si="383"/>
        <v>0</v>
      </c>
      <c r="Q389" s="190">
        <f t="shared" si="381"/>
        <v>0</v>
      </c>
    </row>
    <row r="390" spans="2:17" s="119" customFormat="1" ht="19.5" hidden="1" thickBot="1" x14ac:dyDescent="0.35">
      <c r="B390" s="310"/>
      <c r="C390" s="119">
        <f t="shared" si="375"/>
        <v>0</v>
      </c>
      <c r="D390" s="125" t="s">
        <v>121</v>
      </c>
      <c r="E390" s="76" t="s">
        <v>50</v>
      </c>
      <c r="F390" s="168">
        <f>+F$14*$E379</f>
        <v>0</v>
      </c>
      <c r="G390" s="168">
        <f>+G$14*$E379</f>
        <v>0</v>
      </c>
      <c r="H390" s="168">
        <f>+H$14*$E379</f>
        <v>0</v>
      </c>
      <c r="I390" s="168">
        <f>+I$14*$E379</f>
        <v>0</v>
      </c>
      <c r="J390" s="168">
        <f>+J$14*$E379</f>
        <v>0</v>
      </c>
      <c r="K390" s="168">
        <f t="shared" ref="K390:P390" si="384">+K$14*$E379</f>
        <v>0</v>
      </c>
      <c r="L390" s="168">
        <f t="shared" si="384"/>
        <v>0</v>
      </c>
      <c r="M390" s="168">
        <f t="shared" si="384"/>
        <v>0</v>
      </c>
      <c r="N390" s="168">
        <f t="shared" si="384"/>
        <v>0</v>
      </c>
      <c r="O390" s="168">
        <f t="shared" si="384"/>
        <v>0</v>
      </c>
      <c r="P390" s="168">
        <f t="shared" si="384"/>
        <v>0</v>
      </c>
      <c r="Q390" s="190">
        <f t="shared" si="381"/>
        <v>0</v>
      </c>
    </row>
    <row r="391" spans="2:17" s="119" customFormat="1" ht="19.5" hidden="1" thickBot="1" x14ac:dyDescent="0.35">
      <c r="B391" s="310"/>
      <c r="C391" s="119">
        <f t="shared" si="375"/>
        <v>0</v>
      </c>
      <c r="D391" s="125" t="s">
        <v>122</v>
      </c>
      <c r="E391" s="76" t="s">
        <v>49</v>
      </c>
      <c r="F391" s="168">
        <f>+F$15*$E379</f>
        <v>0</v>
      </c>
      <c r="G391" s="168">
        <f>+G$15*$E379</f>
        <v>0</v>
      </c>
      <c r="H391" s="168">
        <f>+H$15*$E379</f>
        <v>0</v>
      </c>
      <c r="I391" s="168">
        <f>+I$15*$E379</f>
        <v>0</v>
      </c>
      <c r="J391" s="168">
        <f>+J$15*$E379</f>
        <v>0</v>
      </c>
      <c r="K391" s="168">
        <f t="shared" ref="K391:P391" si="385">+K$15*$E379</f>
        <v>0</v>
      </c>
      <c r="L391" s="168">
        <f t="shared" si="385"/>
        <v>0</v>
      </c>
      <c r="M391" s="168">
        <f t="shared" si="385"/>
        <v>0</v>
      </c>
      <c r="N391" s="168">
        <f t="shared" si="385"/>
        <v>0</v>
      </c>
      <c r="O391" s="168">
        <f t="shared" si="385"/>
        <v>0</v>
      </c>
      <c r="P391" s="168">
        <f t="shared" si="385"/>
        <v>0</v>
      </c>
      <c r="Q391" s="190">
        <f t="shared" si="381"/>
        <v>0</v>
      </c>
    </row>
    <row r="392" spans="2:17" s="119" customFormat="1" ht="19.5" hidden="1" thickBot="1" x14ac:dyDescent="0.35">
      <c r="B392" s="310"/>
      <c r="C392" s="119">
        <f t="shared" si="375"/>
        <v>0</v>
      </c>
      <c r="D392" s="125" t="s">
        <v>123</v>
      </c>
      <c r="E392" s="76" t="s">
        <v>47</v>
      </c>
      <c r="F392" s="168">
        <f>+F$16*$E379</f>
        <v>0</v>
      </c>
      <c r="G392" s="168">
        <f>+G$16*$E379</f>
        <v>0</v>
      </c>
      <c r="H392" s="168">
        <f>+H$16*$E379</f>
        <v>0</v>
      </c>
      <c r="I392" s="168">
        <f>+I$16*$E379</f>
        <v>0</v>
      </c>
      <c r="J392" s="168">
        <f>+J$16*$E379</f>
        <v>0</v>
      </c>
      <c r="K392" s="168">
        <f t="shared" ref="K392:P392" si="386">+K$16*$E379</f>
        <v>0</v>
      </c>
      <c r="L392" s="168">
        <f t="shared" si="386"/>
        <v>0</v>
      </c>
      <c r="M392" s="168">
        <f t="shared" si="386"/>
        <v>0</v>
      </c>
      <c r="N392" s="168">
        <f t="shared" si="386"/>
        <v>0</v>
      </c>
      <c r="O392" s="168">
        <f t="shared" si="386"/>
        <v>0</v>
      </c>
      <c r="P392" s="168">
        <f t="shared" si="386"/>
        <v>0</v>
      </c>
      <c r="Q392" s="190">
        <f t="shared" si="381"/>
        <v>0</v>
      </c>
    </row>
    <row r="393" spans="2:17" s="119" customFormat="1" ht="19.5" hidden="1" thickBot="1" x14ac:dyDescent="0.35">
      <c r="B393" s="310"/>
      <c r="C393" s="119">
        <f t="shared" si="375"/>
        <v>0</v>
      </c>
      <c r="D393" s="125" t="s">
        <v>16</v>
      </c>
      <c r="E393" s="70" t="s">
        <v>77</v>
      </c>
      <c r="F393" s="168">
        <f>+F$17*$E379</f>
        <v>0</v>
      </c>
      <c r="G393" s="168">
        <f>+G$17*$E379</f>
        <v>0</v>
      </c>
      <c r="H393" s="168">
        <f>+H$17*$E379</f>
        <v>0</v>
      </c>
      <c r="I393" s="168">
        <f>+I$17*$E379</f>
        <v>0</v>
      </c>
      <c r="J393" s="168">
        <f>+J$17*$E379</f>
        <v>0</v>
      </c>
      <c r="K393" s="168">
        <f t="shared" ref="K393:P393" si="387">+K$17*$E379</f>
        <v>0</v>
      </c>
      <c r="L393" s="168">
        <f t="shared" si="387"/>
        <v>0</v>
      </c>
      <c r="M393" s="168">
        <f t="shared" si="387"/>
        <v>0</v>
      </c>
      <c r="N393" s="168">
        <f t="shared" si="387"/>
        <v>0</v>
      </c>
      <c r="O393" s="168">
        <f t="shared" si="387"/>
        <v>0</v>
      </c>
      <c r="P393" s="168">
        <f t="shared" si="387"/>
        <v>0</v>
      </c>
      <c r="Q393" s="190">
        <f t="shared" si="381"/>
        <v>0</v>
      </c>
    </row>
    <row r="394" spans="2:17" s="119" customFormat="1" ht="19.5" hidden="1" thickBot="1" x14ac:dyDescent="0.3">
      <c r="B394" s="310"/>
      <c r="C394" s="119">
        <f t="shared" si="375"/>
        <v>0</v>
      </c>
      <c r="D394" s="131" t="s">
        <v>124</v>
      </c>
      <c r="E394" s="116" t="s">
        <v>78</v>
      </c>
      <c r="F394" s="169">
        <f t="shared" ref="F394:Q394" si="388">SUBTOTAL(9,F382:F393)</f>
        <v>0</v>
      </c>
      <c r="G394" s="170">
        <f t="shared" si="388"/>
        <v>0</v>
      </c>
      <c r="H394" s="170">
        <f t="shared" si="388"/>
        <v>0</v>
      </c>
      <c r="I394" s="170">
        <f t="shared" si="388"/>
        <v>0</v>
      </c>
      <c r="J394" s="170">
        <f t="shared" si="388"/>
        <v>0</v>
      </c>
      <c r="K394" s="170">
        <f t="shared" ref="K394:P394" si="389">SUBTOTAL(9,K382:K393)</f>
        <v>0</v>
      </c>
      <c r="L394" s="170">
        <f t="shared" si="389"/>
        <v>0</v>
      </c>
      <c r="M394" s="170">
        <f t="shared" si="389"/>
        <v>0</v>
      </c>
      <c r="N394" s="170">
        <f t="shared" si="389"/>
        <v>0</v>
      </c>
      <c r="O394" s="170">
        <f t="shared" si="389"/>
        <v>0</v>
      </c>
      <c r="P394" s="170">
        <f t="shared" si="389"/>
        <v>0</v>
      </c>
      <c r="Q394" s="170">
        <f t="shared" si="388"/>
        <v>0</v>
      </c>
    </row>
    <row r="395" spans="2:17" s="119" customFormat="1" ht="15.75" hidden="1" thickBot="1" x14ac:dyDescent="0.3">
      <c r="B395" s="310"/>
      <c r="D395" s="117"/>
      <c r="E395" s="132"/>
      <c r="F395" s="117"/>
      <c r="G395" s="117"/>
      <c r="H395" s="118"/>
      <c r="I395" s="118"/>
      <c r="J395" s="118"/>
      <c r="K395" s="118"/>
      <c r="L395" s="118"/>
      <c r="M395" s="118"/>
      <c r="N395" s="118"/>
      <c r="O395" s="118"/>
      <c r="P395" s="118"/>
      <c r="Q395" s="118"/>
    </row>
    <row r="396" spans="2:17" s="119" customFormat="1" ht="45.75" hidden="1" thickBot="1" x14ac:dyDescent="0.3">
      <c r="B396" s="310"/>
      <c r="C396" s="119">
        <f>IF(E396&gt;0,1,0)</f>
        <v>0</v>
      </c>
      <c r="D396" s="96" t="str">
        <f>+A26</f>
        <v>Jefferson</v>
      </c>
      <c r="E396" s="166">
        <f>+SUMIF(A:A,D396,B:B)</f>
        <v>0</v>
      </c>
      <c r="F396" s="98" t="s">
        <v>97</v>
      </c>
      <c r="G396" s="98" t="s">
        <v>126</v>
      </c>
      <c r="H396" s="98" t="s">
        <v>127</v>
      </c>
      <c r="I396" s="99" t="s">
        <v>128</v>
      </c>
      <c r="J396" s="99" t="s">
        <v>131</v>
      </c>
      <c r="K396" s="560" t="s">
        <v>474</v>
      </c>
      <c r="L396" s="560" t="s">
        <v>475</v>
      </c>
      <c r="M396" s="560" t="s">
        <v>476</v>
      </c>
      <c r="N396" s="560" t="s">
        <v>477</v>
      </c>
      <c r="O396" s="560" t="s">
        <v>478</v>
      </c>
      <c r="P396" s="560" t="s">
        <v>479</v>
      </c>
      <c r="Q396" s="99" t="s">
        <v>129</v>
      </c>
    </row>
    <row r="397" spans="2:17" s="119" customFormat="1" ht="19.5" hidden="1" thickBot="1" x14ac:dyDescent="0.3">
      <c r="B397" s="310"/>
      <c r="C397" s="119">
        <f>C396</f>
        <v>0</v>
      </c>
      <c r="D397" s="127"/>
      <c r="E397" s="128"/>
      <c r="F397" s="84" t="s">
        <v>57</v>
      </c>
      <c r="G397" s="84" t="s">
        <v>56</v>
      </c>
      <c r="H397" s="84" t="s">
        <v>55</v>
      </c>
      <c r="I397" s="84" t="s">
        <v>54</v>
      </c>
      <c r="J397" s="129" t="s">
        <v>53</v>
      </c>
      <c r="K397" s="129" t="s">
        <v>52</v>
      </c>
      <c r="L397" s="129" t="s">
        <v>51</v>
      </c>
      <c r="M397" s="129" t="s">
        <v>50</v>
      </c>
      <c r="N397" s="129" t="s">
        <v>49</v>
      </c>
      <c r="O397" s="129" t="s">
        <v>47</v>
      </c>
      <c r="P397" s="129" t="s">
        <v>77</v>
      </c>
      <c r="Q397" s="129" t="s">
        <v>78</v>
      </c>
    </row>
    <row r="398" spans="2:17" s="119" customFormat="1" ht="19.5" hidden="1" thickBot="1" x14ac:dyDescent="0.3">
      <c r="B398" s="310"/>
      <c r="C398" s="119">
        <f>C397</f>
        <v>0</v>
      </c>
      <c r="D398" s="133" t="s">
        <v>26</v>
      </c>
      <c r="E398" s="134"/>
      <c r="F398" s="135"/>
      <c r="G398" s="135"/>
      <c r="H398" s="136"/>
      <c r="I398" s="136"/>
      <c r="J398" s="137"/>
      <c r="K398" s="137"/>
      <c r="L398" s="137"/>
      <c r="M398" s="137"/>
      <c r="N398" s="137"/>
      <c r="O398" s="137"/>
      <c r="P398" s="137"/>
      <c r="Q398" s="138"/>
    </row>
    <row r="399" spans="2:17" s="119" customFormat="1" ht="19.5" hidden="1" thickBot="1" x14ac:dyDescent="0.3">
      <c r="B399" s="310"/>
      <c r="C399" s="119">
        <f t="shared" ref="C399:C411" si="390">C398</f>
        <v>0</v>
      </c>
      <c r="D399" s="109" t="s">
        <v>93</v>
      </c>
      <c r="E399" s="76" t="s">
        <v>57</v>
      </c>
      <c r="F399" s="168">
        <f>+F$6*$E396</f>
        <v>0</v>
      </c>
      <c r="G399" s="168">
        <f>+G$6*$E396</f>
        <v>0</v>
      </c>
      <c r="H399" s="168">
        <f>+H$6*$E396</f>
        <v>0</v>
      </c>
      <c r="I399" s="168">
        <f>+I$6*$E396</f>
        <v>0</v>
      </c>
      <c r="J399" s="168">
        <f>+J$6*$E396</f>
        <v>0</v>
      </c>
      <c r="K399" s="168">
        <f t="shared" ref="K399:P399" si="391">+K$6*$E396</f>
        <v>0</v>
      </c>
      <c r="L399" s="168">
        <f t="shared" si="391"/>
        <v>0</v>
      </c>
      <c r="M399" s="168">
        <f t="shared" si="391"/>
        <v>0</v>
      </c>
      <c r="N399" s="168">
        <f t="shared" si="391"/>
        <v>0</v>
      </c>
      <c r="O399" s="168">
        <f t="shared" si="391"/>
        <v>0</v>
      </c>
      <c r="P399" s="168">
        <f t="shared" si="391"/>
        <v>0</v>
      </c>
      <c r="Q399" s="190">
        <f>SUM(G399:P399)</f>
        <v>0</v>
      </c>
    </row>
    <row r="400" spans="2:17" s="119" customFormat="1" ht="19.5" hidden="1" thickBot="1" x14ac:dyDescent="0.3">
      <c r="B400" s="310"/>
      <c r="C400" s="119">
        <f t="shared" si="390"/>
        <v>0</v>
      </c>
      <c r="D400" s="110" t="s">
        <v>132</v>
      </c>
      <c r="E400" s="76" t="s">
        <v>56</v>
      </c>
      <c r="F400" s="168">
        <f>+F$7*$E396</f>
        <v>0</v>
      </c>
      <c r="G400" s="168">
        <f>+G$7*$E396</f>
        <v>0</v>
      </c>
      <c r="H400" s="168">
        <f>+H$7*$E396</f>
        <v>0</v>
      </c>
      <c r="I400" s="168">
        <f>+I$7*$E396</f>
        <v>0</v>
      </c>
      <c r="J400" s="168">
        <f>+J$7*$E396</f>
        <v>0</v>
      </c>
      <c r="K400" s="168">
        <f t="shared" ref="K400:P400" si="392">+K$7*$E396</f>
        <v>0</v>
      </c>
      <c r="L400" s="168">
        <f t="shared" si="392"/>
        <v>0</v>
      </c>
      <c r="M400" s="168">
        <f t="shared" si="392"/>
        <v>0</v>
      </c>
      <c r="N400" s="168">
        <f t="shared" si="392"/>
        <v>0</v>
      </c>
      <c r="O400" s="168">
        <f t="shared" si="392"/>
        <v>0</v>
      </c>
      <c r="P400" s="168">
        <f t="shared" si="392"/>
        <v>0</v>
      </c>
      <c r="Q400" s="190">
        <f>SUM(G400:P400)</f>
        <v>0</v>
      </c>
    </row>
    <row r="401" spans="3:20" ht="19.5" hidden="1" thickBot="1" x14ac:dyDescent="0.3">
      <c r="C401" s="119">
        <f t="shared" si="390"/>
        <v>0</v>
      </c>
      <c r="D401" s="109" t="s">
        <v>91</v>
      </c>
      <c r="E401" s="76" t="s">
        <v>55</v>
      </c>
      <c r="F401" s="168">
        <f>+F$8*$E396</f>
        <v>0</v>
      </c>
      <c r="G401" s="168">
        <f>+G$8*$E396</f>
        <v>0</v>
      </c>
      <c r="H401" s="168">
        <f>+H$8*$E396</f>
        <v>0</v>
      </c>
      <c r="I401" s="168">
        <f>+I$8*$E396</f>
        <v>0</v>
      </c>
      <c r="J401" s="168">
        <f>+J$8*$E396</f>
        <v>0</v>
      </c>
      <c r="K401" s="168">
        <f t="shared" ref="K401:P401" si="393">+K$8*$E396</f>
        <v>0</v>
      </c>
      <c r="L401" s="168">
        <f t="shared" si="393"/>
        <v>0</v>
      </c>
      <c r="M401" s="168">
        <f t="shared" si="393"/>
        <v>0</v>
      </c>
      <c r="N401" s="168">
        <f t="shared" si="393"/>
        <v>0</v>
      </c>
      <c r="O401" s="168">
        <f t="shared" si="393"/>
        <v>0</v>
      </c>
      <c r="P401" s="168">
        <f t="shared" si="393"/>
        <v>0</v>
      </c>
      <c r="Q401" s="190">
        <f>SUM(G401:P401)</f>
        <v>0</v>
      </c>
      <c r="R401" s="119"/>
      <c r="S401" s="119"/>
      <c r="T401" s="119"/>
    </row>
    <row r="402" spans="3:20" ht="19.5" hidden="1" thickBot="1" x14ac:dyDescent="0.3">
      <c r="C402" s="119">
        <f t="shared" si="390"/>
        <v>0</v>
      </c>
      <c r="D402" s="130" t="s">
        <v>117</v>
      </c>
      <c r="E402" s="76" t="s">
        <v>54</v>
      </c>
      <c r="F402" s="168">
        <f>+F$9*$E396</f>
        <v>0</v>
      </c>
      <c r="G402" s="168">
        <f>+G$9*$E396</f>
        <v>0</v>
      </c>
      <c r="H402" s="168">
        <f>+H$9*$E396</f>
        <v>0</v>
      </c>
      <c r="I402" s="168">
        <f>+I$9*$E396</f>
        <v>0</v>
      </c>
      <c r="J402" s="168">
        <f>+J$9*$E396</f>
        <v>0</v>
      </c>
      <c r="K402" s="168">
        <f t="shared" ref="K402:P402" si="394">+K$9*$E396</f>
        <v>0</v>
      </c>
      <c r="L402" s="168">
        <f t="shared" si="394"/>
        <v>0</v>
      </c>
      <c r="M402" s="168">
        <f t="shared" si="394"/>
        <v>0</v>
      </c>
      <c r="N402" s="168">
        <f t="shared" si="394"/>
        <v>0</v>
      </c>
      <c r="O402" s="168">
        <f t="shared" si="394"/>
        <v>0</v>
      </c>
      <c r="P402" s="168">
        <f t="shared" si="394"/>
        <v>0</v>
      </c>
      <c r="Q402" s="190">
        <f>SUM(G402:P402)</f>
        <v>0</v>
      </c>
      <c r="R402" s="119"/>
      <c r="S402" s="119"/>
      <c r="T402" s="119"/>
    </row>
    <row r="403" spans="3:20" ht="19.5" hidden="1" thickBot="1" x14ac:dyDescent="0.3">
      <c r="C403" s="119">
        <f t="shared" si="390"/>
        <v>0</v>
      </c>
      <c r="D403" s="112" t="s">
        <v>31</v>
      </c>
      <c r="E403" s="76"/>
      <c r="F403" s="167"/>
      <c r="G403" s="185"/>
      <c r="H403" s="185"/>
      <c r="I403" s="185"/>
      <c r="J403" s="185"/>
      <c r="K403" s="185"/>
      <c r="L403" s="185"/>
      <c r="M403" s="185"/>
      <c r="N403" s="185"/>
      <c r="O403" s="185"/>
      <c r="P403" s="185"/>
      <c r="Q403" s="171"/>
      <c r="R403" s="119"/>
      <c r="S403" s="119"/>
      <c r="T403" s="119"/>
    </row>
    <row r="404" spans="3:20" ht="19.5" hidden="1" thickBot="1" x14ac:dyDescent="0.35">
      <c r="C404" s="119">
        <f t="shared" si="390"/>
        <v>0</v>
      </c>
      <c r="D404" s="125" t="s">
        <v>118</v>
      </c>
      <c r="E404" s="76" t="s">
        <v>53</v>
      </c>
      <c r="F404" s="168">
        <f>+F$11*$E396</f>
        <v>0</v>
      </c>
      <c r="G404" s="168">
        <f>+G$11*$E396</f>
        <v>0</v>
      </c>
      <c r="H404" s="168">
        <f>+H$11*$E396</f>
        <v>0</v>
      </c>
      <c r="I404" s="168">
        <f>+I$11*$E396</f>
        <v>0</v>
      </c>
      <c r="J404" s="168">
        <f>+J$11*$E396</f>
        <v>0</v>
      </c>
      <c r="K404" s="168">
        <f t="shared" ref="K404:P404" si="395">+K$11*$E396</f>
        <v>0</v>
      </c>
      <c r="L404" s="168">
        <f t="shared" si="395"/>
        <v>0</v>
      </c>
      <c r="M404" s="168">
        <f t="shared" si="395"/>
        <v>0</v>
      </c>
      <c r="N404" s="168">
        <f t="shared" si="395"/>
        <v>0</v>
      </c>
      <c r="O404" s="168">
        <f t="shared" si="395"/>
        <v>0</v>
      </c>
      <c r="P404" s="168">
        <f t="shared" si="395"/>
        <v>0</v>
      </c>
      <c r="Q404" s="190">
        <f t="shared" ref="Q404:Q410" si="396">SUM(G404:P404)</f>
        <v>0</v>
      </c>
      <c r="R404" s="119"/>
      <c r="S404" s="119"/>
      <c r="T404" s="119"/>
    </row>
    <row r="405" spans="3:20" ht="19.5" hidden="1" thickBot="1" x14ac:dyDescent="0.35">
      <c r="C405" s="119">
        <f t="shared" si="390"/>
        <v>0</v>
      </c>
      <c r="D405" s="125" t="s">
        <v>119</v>
      </c>
      <c r="E405" s="76" t="s">
        <v>52</v>
      </c>
      <c r="F405" s="168">
        <f>+F$12*$E396</f>
        <v>0</v>
      </c>
      <c r="G405" s="168">
        <f>+G$12*$E396</f>
        <v>0</v>
      </c>
      <c r="H405" s="168">
        <f>+H$12*$E396</f>
        <v>0</v>
      </c>
      <c r="I405" s="168">
        <f>+I$12*$E396</f>
        <v>0</v>
      </c>
      <c r="J405" s="168">
        <f>+J$12*$E396</f>
        <v>0</v>
      </c>
      <c r="K405" s="168">
        <f t="shared" ref="K405:P405" si="397">+K$12*$E396</f>
        <v>0</v>
      </c>
      <c r="L405" s="168">
        <f t="shared" si="397"/>
        <v>0</v>
      </c>
      <c r="M405" s="168">
        <f t="shared" si="397"/>
        <v>0</v>
      </c>
      <c r="N405" s="168">
        <f t="shared" si="397"/>
        <v>0</v>
      </c>
      <c r="O405" s="168">
        <f t="shared" si="397"/>
        <v>0</v>
      </c>
      <c r="P405" s="168">
        <f t="shared" si="397"/>
        <v>0</v>
      </c>
      <c r="Q405" s="190">
        <f t="shared" si="396"/>
        <v>0</v>
      </c>
      <c r="R405" s="119"/>
      <c r="S405" s="119"/>
      <c r="T405" s="119"/>
    </row>
    <row r="406" spans="3:20" ht="19.5" hidden="1" thickBot="1" x14ac:dyDescent="0.35">
      <c r="C406" s="119">
        <f t="shared" si="390"/>
        <v>0</v>
      </c>
      <c r="D406" s="125" t="s">
        <v>120</v>
      </c>
      <c r="E406" s="76" t="s">
        <v>51</v>
      </c>
      <c r="F406" s="168">
        <f>+F$13*$E396</f>
        <v>0</v>
      </c>
      <c r="G406" s="168">
        <f>+G$13*$E396</f>
        <v>0</v>
      </c>
      <c r="H406" s="168">
        <f>+H$13*$E396</f>
        <v>0</v>
      </c>
      <c r="I406" s="168">
        <f>+I$13*$E396</f>
        <v>0</v>
      </c>
      <c r="J406" s="168">
        <f>+J$13*$E396</f>
        <v>0</v>
      </c>
      <c r="K406" s="168">
        <f t="shared" ref="K406:P406" si="398">+K$13*$E396</f>
        <v>0</v>
      </c>
      <c r="L406" s="168">
        <f t="shared" si="398"/>
        <v>0</v>
      </c>
      <c r="M406" s="168">
        <f t="shared" si="398"/>
        <v>0</v>
      </c>
      <c r="N406" s="168">
        <f t="shared" si="398"/>
        <v>0</v>
      </c>
      <c r="O406" s="168">
        <f t="shared" si="398"/>
        <v>0</v>
      </c>
      <c r="P406" s="168">
        <f t="shared" si="398"/>
        <v>0</v>
      </c>
      <c r="Q406" s="190">
        <f t="shared" si="396"/>
        <v>0</v>
      </c>
      <c r="R406" s="119"/>
      <c r="S406" s="119"/>
      <c r="T406" s="119"/>
    </row>
    <row r="407" spans="3:20" ht="19.5" hidden="1" thickBot="1" x14ac:dyDescent="0.35">
      <c r="C407" s="119">
        <f t="shared" si="390"/>
        <v>0</v>
      </c>
      <c r="D407" s="125" t="s">
        <v>121</v>
      </c>
      <c r="E407" s="76" t="s">
        <v>50</v>
      </c>
      <c r="F407" s="168">
        <f>+F$14*$E396</f>
        <v>0</v>
      </c>
      <c r="G407" s="168">
        <f>+G$14*$E396</f>
        <v>0</v>
      </c>
      <c r="H407" s="168">
        <f>+H$14*$E396</f>
        <v>0</v>
      </c>
      <c r="I407" s="168">
        <f>+I$14*$E396</f>
        <v>0</v>
      </c>
      <c r="J407" s="168">
        <f>+J$14*$E396</f>
        <v>0</v>
      </c>
      <c r="K407" s="168">
        <f t="shared" ref="K407:P407" si="399">+K$14*$E396</f>
        <v>0</v>
      </c>
      <c r="L407" s="168">
        <f t="shared" si="399"/>
        <v>0</v>
      </c>
      <c r="M407" s="168">
        <f t="shared" si="399"/>
        <v>0</v>
      </c>
      <c r="N407" s="168">
        <f t="shared" si="399"/>
        <v>0</v>
      </c>
      <c r="O407" s="168">
        <f t="shared" si="399"/>
        <v>0</v>
      </c>
      <c r="P407" s="168">
        <f t="shared" si="399"/>
        <v>0</v>
      </c>
      <c r="Q407" s="190">
        <f t="shared" si="396"/>
        <v>0</v>
      </c>
      <c r="R407" s="119"/>
      <c r="S407" s="119"/>
      <c r="T407" s="119"/>
    </row>
    <row r="408" spans="3:20" ht="19.5" hidden="1" thickBot="1" x14ac:dyDescent="0.35">
      <c r="C408" s="119">
        <f t="shared" si="390"/>
        <v>0</v>
      </c>
      <c r="D408" s="125" t="s">
        <v>122</v>
      </c>
      <c r="E408" s="76" t="s">
        <v>49</v>
      </c>
      <c r="F408" s="168">
        <f>+F$15*$E396</f>
        <v>0</v>
      </c>
      <c r="G408" s="168">
        <f>+G$15*$E396</f>
        <v>0</v>
      </c>
      <c r="H408" s="168">
        <f>+H$15*$E396</f>
        <v>0</v>
      </c>
      <c r="I408" s="168">
        <f>+I$15*$E396</f>
        <v>0</v>
      </c>
      <c r="J408" s="168">
        <f>+J$15*$E396</f>
        <v>0</v>
      </c>
      <c r="K408" s="168">
        <f t="shared" ref="K408:P408" si="400">+K$15*$E396</f>
        <v>0</v>
      </c>
      <c r="L408" s="168">
        <f t="shared" si="400"/>
        <v>0</v>
      </c>
      <c r="M408" s="168">
        <f t="shared" si="400"/>
        <v>0</v>
      </c>
      <c r="N408" s="168">
        <f t="shared" si="400"/>
        <v>0</v>
      </c>
      <c r="O408" s="168">
        <f t="shared" si="400"/>
        <v>0</v>
      </c>
      <c r="P408" s="168">
        <f t="shared" si="400"/>
        <v>0</v>
      </c>
      <c r="Q408" s="190">
        <f t="shared" si="396"/>
        <v>0</v>
      </c>
      <c r="R408" s="119"/>
      <c r="S408" s="119"/>
      <c r="T408" s="119"/>
    </row>
    <row r="409" spans="3:20" ht="19.5" hidden="1" thickBot="1" x14ac:dyDescent="0.35">
      <c r="C409" s="119">
        <f t="shared" si="390"/>
        <v>0</v>
      </c>
      <c r="D409" s="125" t="s">
        <v>123</v>
      </c>
      <c r="E409" s="76" t="s">
        <v>47</v>
      </c>
      <c r="F409" s="168">
        <f>+F$16*$E396</f>
        <v>0</v>
      </c>
      <c r="G409" s="168">
        <f>+G$16*$E396</f>
        <v>0</v>
      </c>
      <c r="H409" s="168">
        <f>+H$16*$E396</f>
        <v>0</v>
      </c>
      <c r="I409" s="168">
        <f>+I$16*$E396</f>
        <v>0</v>
      </c>
      <c r="J409" s="168">
        <f>+J$16*$E396</f>
        <v>0</v>
      </c>
      <c r="K409" s="168">
        <f t="shared" ref="K409:P409" si="401">+K$16*$E396</f>
        <v>0</v>
      </c>
      <c r="L409" s="168">
        <f t="shared" si="401"/>
        <v>0</v>
      </c>
      <c r="M409" s="168">
        <f t="shared" si="401"/>
        <v>0</v>
      </c>
      <c r="N409" s="168">
        <f t="shared" si="401"/>
        <v>0</v>
      </c>
      <c r="O409" s="168">
        <f t="shared" si="401"/>
        <v>0</v>
      </c>
      <c r="P409" s="168">
        <f t="shared" si="401"/>
        <v>0</v>
      </c>
      <c r="Q409" s="190">
        <f t="shared" si="396"/>
        <v>0</v>
      </c>
      <c r="R409" s="119"/>
      <c r="S409" s="119"/>
      <c r="T409" s="119"/>
    </row>
    <row r="410" spans="3:20" ht="19.5" hidden="1" thickBot="1" x14ac:dyDescent="0.35">
      <c r="C410" s="119">
        <f t="shared" si="390"/>
        <v>0</v>
      </c>
      <c r="D410" s="125" t="s">
        <v>16</v>
      </c>
      <c r="E410" s="70" t="s">
        <v>77</v>
      </c>
      <c r="F410" s="168">
        <f>+F$17*$E396</f>
        <v>0</v>
      </c>
      <c r="G410" s="168">
        <f>+G$17*$E396</f>
        <v>0</v>
      </c>
      <c r="H410" s="168">
        <f>+H$17*$E396</f>
        <v>0</v>
      </c>
      <c r="I410" s="168">
        <f>+I$17*$E396</f>
        <v>0</v>
      </c>
      <c r="J410" s="168">
        <f>+J$17*$E396</f>
        <v>0</v>
      </c>
      <c r="K410" s="168">
        <f t="shared" ref="K410:P410" si="402">+K$17*$E396</f>
        <v>0</v>
      </c>
      <c r="L410" s="168">
        <f t="shared" si="402"/>
        <v>0</v>
      </c>
      <c r="M410" s="168">
        <f t="shared" si="402"/>
        <v>0</v>
      </c>
      <c r="N410" s="168">
        <f t="shared" si="402"/>
        <v>0</v>
      </c>
      <c r="O410" s="168">
        <f t="shared" si="402"/>
        <v>0</v>
      </c>
      <c r="P410" s="168">
        <f t="shared" si="402"/>
        <v>0</v>
      </c>
      <c r="Q410" s="190">
        <f t="shared" si="396"/>
        <v>0</v>
      </c>
      <c r="R410" s="119"/>
      <c r="S410" s="119"/>
      <c r="T410" s="119"/>
    </row>
    <row r="411" spans="3:20" ht="19.5" hidden="1" thickBot="1" x14ac:dyDescent="0.3">
      <c r="C411" s="119">
        <f t="shared" si="390"/>
        <v>0</v>
      </c>
      <c r="D411" s="131" t="s">
        <v>124</v>
      </c>
      <c r="E411" s="116" t="s">
        <v>78</v>
      </c>
      <c r="F411" s="169">
        <f t="shared" ref="F411:Q411" si="403">SUBTOTAL(9,F399:F410)</f>
        <v>0</v>
      </c>
      <c r="G411" s="170">
        <f t="shared" si="403"/>
        <v>0</v>
      </c>
      <c r="H411" s="170">
        <f t="shared" si="403"/>
        <v>0</v>
      </c>
      <c r="I411" s="170">
        <f t="shared" si="403"/>
        <v>0</v>
      </c>
      <c r="J411" s="170">
        <f t="shared" si="403"/>
        <v>0</v>
      </c>
      <c r="K411" s="170">
        <f t="shared" ref="K411:P411" si="404">SUBTOTAL(9,K399:K410)</f>
        <v>0</v>
      </c>
      <c r="L411" s="170">
        <f t="shared" si="404"/>
        <v>0</v>
      </c>
      <c r="M411" s="170">
        <f t="shared" si="404"/>
        <v>0</v>
      </c>
      <c r="N411" s="170">
        <f t="shared" si="404"/>
        <v>0</v>
      </c>
      <c r="O411" s="170">
        <f t="shared" si="404"/>
        <v>0</v>
      </c>
      <c r="P411" s="170">
        <f t="shared" si="404"/>
        <v>0</v>
      </c>
      <c r="Q411" s="170">
        <f t="shared" si="403"/>
        <v>0</v>
      </c>
      <c r="R411" s="119"/>
      <c r="S411" s="119"/>
      <c r="T411" s="119"/>
    </row>
    <row r="412" spans="3:20" ht="15.75" hidden="1" thickBot="1" x14ac:dyDescent="0.3">
      <c r="R412" s="119"/>
      <c r="S412" s="119"/>
      <c r="T412" s="119"/>
    </row>
    <row r="413" spans="3:20" ht="45" x14ac:dyDescent="0.25">
      <c r="C413" s="119">
        <f>IF(E413&gt;0,1,0)</f>
        <v>1</v>
      </c>
      <c r="D413" s="96" t="str">
        <f>+A27</f>
        <v>Kings</v>
      </c>
      <c r="E413" s="166">
        <f>+SUMIF(A:A,D413,B:B)</f>
        <v>0.29256738892740358</v>
      </c>
      <c r="F413" s="98" t="s">
        <v>97</v>
      </c>
      <c r="G413" s="98" t="s">
        <v>126</v>
      </c>
      <c r="H413" s="98" t="s">
        <v>127</v>
      </c>
      <c r="I413" s="99" t="s">
        <v>128</v>
      </c>
      <c r="J413" s="99" t="s">
        <v>131</v>
      </c>
      <c r="K413" s="560" t="s">
        <v>474</v>
      </c>
      <c r="L413" s="560" t="s">
        <v>475</v>
      </c>
      <c r="M413" s="560" t="s">
        <v>476</v>
      </c>
      <c r="N413" s="560" t="s">
        <v>477</v>
      </c>
      <c r="O413" s="560" t="s">
        <v>478</v>
      </c>
      <c r="P413" s="560" t="s">
        <v>479</v>
      </c>
      <c r="Q413" s="99" t="s">
        <v>129</v>
      </c>
    </row>
    <row r="414" spans="3:20" ht="18.75" x14ac:dyDescent="0.25">
      <c r="C414" s="119">
        <f>C413</f>
        <v>1</v>
      </c>
      <c r="D414" s="127"/>
      <c r="E414" s="128"/>
      <c r="F414" s="84" t="s">
        <v>57</v>
      </c>
      <c r="G414" s="84" t="s">
        <v>56</v>
      </c>
      <c r="H414" s="84" t="s">
        <v>55</v>
      </c>
      <c r="I414" s="84" t="s">
        <v>54</v>
      </c>
      <c r="J414" s="129" t="s">
        <v>53</v>
      </c>
      <c r="K414" s="129" t="s">
        <v>52</v>
      </c>
      <c r="L414" s="129" t="s">
        <v>51</v>
      </c>
      <c r="M414" s="129" t="s">
        <v>50</v>
      </c>
      <c r="N414" s="129" t="s">
        <v>49</v>
      </c>
      <c r="O414" s="129" t="s">
        <v>47</v>
      </c>
      <c r="P414" s="129" t="s">
        <v>77</v>
      </c>
      <c r="Q414" s="129" t="s">
        <v>78</v>
      </c>
    </row>
    <row r="415" spans="3:20" ht="18.75" x14ac:dyDescent="0.25">
      <c r="C415" s="119">
        <f>C414</f>
        <v>1</v>
      </c>
      <c r="D415" s="133" t="s">
        <v>26</v>
      </c>
      <c r="E415" s="134"/>
      <c r="F415" s="135"/>
      <c r="G415" s="135"/>
      <c r="H415" s="136"/>
      <c r="I415" s="136"/>
      <c r="J415" s="137"/>
      <c r="K415" s="137"/>
      <c r="L415" s="137"/>
      <c r="M415" s="137"/>
      <c r="N415" s="137"/>
      <c r="O415" s="137"/>
      <c r="P415" s="137"/>
      <c r="Q415" s="138"/>
    </row>
    <row r="416" spans="3:20" ht="18.75" x14ac:dyDescent="0.25">
      <c r="C416" s="119">
        <f t="shared" ref="C416:C428" si="405">C415</f>
        <v>1</v>
      </c>
      <c r="D416" s="109" t="s">
        <v>93</v>
      </c>
      <c r="E416" s="76" t="s">
        <v>57</v>
      </c>
      <c r="F416" s="168">
        <f>+F$6*$E413</f>
        <v>1020.132927368635</v>
      </c>
      <c r="G416" s="168">
        <f>+G$6*$E413</f>
        <v>1960622.8818468547</v>
      </c>
      <c r="H416" s="168">
        <f>+H$6*$E413</f>
        <v>91345.717846389525</v>
      </c>
      <c r="I416" s="168">
        <f>+I$6*$E413</f>
        <v>310.65683058478493</v>
      </c>
      <c r="J416" s="168">
        <f>+J$6*$E413</f>
        <v>32778.82603271235</v>
      </c>
      <c r="K416" s="168">
        <f t="shared" ref="K416:P416" si="406">+K$6*$E413</f>
        <v>35970.911786343677</v>
      </c>
      <c r="L416" s="168">
        <f t="shared" si="406"/>
        <v>840.47296654119862</v>
      </c>
      <c r="M416" s="168">
        <f t="shared" si="406"/>
        <v>0</v>
      </c>
      <c r="N416" s="168">
        <f t="shared" si="406"/>
        <v>7.0216173342576855</v>
      </c>
      <c r="O416" s="168">
        <f t="shared" si="406"/>
        <v>0</v>
      </c>
      <c r="P416" s="168">
        <f t="shared" si="406"/>
        <v>0</v>
      </c>
      <c r="Q416" s="190">
        <f>SUM(G416:P416)</f>
        <v>2121876.4889267609</v>
      </c>
    </row>
    <row r="417" spans="3:20" ht="18.75" x14ac:dyDescent="0.25">
      <c r="C417" s="119">
        <f t="shared" si="405"/>
        <v>1</v>
      </c>
      <c r="D417" s="110" t="s">
        <v>132</v>
      </c>
      <c r="E417" s="76" t="s">
        <v>56</v>
      </c>
      <c r="F417" s="168">
        <f>+F$7*$E413</f>
        <v>0</v>
      </c>
      <c r="G417" s="168">
        <f>+G$7*$E413</f>
        <v>0</v>
      </c>
      <c r="H417" s="168">
        <f>+H$7*$E413</f>
        <v>0</v>
      </c>
      <c r="I417" s="168">
        <f>+I$7*$E413</f>
        <v>0</v>
      </c>
      <c r="J417" s="168">
        <f>+J$7*$E413</f>
        <v>0</v>
      </c>
      <c r="K417" s="168">
        <f t="shared" ref="K417:P417" si="407">+K$7*$E413</f>
        <v>0</v>
      </c>
      <c r="L417" s="168">
        <f t="shared" si="407"/>
        <v>0</v>
      </c>
      <c r="M417" s="168">
        <f t="shared" si="407"/>
        <v>0</v>
      </c>
      <c r="N417" s="168">
        <f t="shared" si="407"/>
        <v>0</v>
      </c>
      <c r="O417" s="168">
        <f t="shared" si="407"/>
        <v>0</v>
      </c>
      <c r="P417" s="168">
        <f t="shared" si="407"/>
        <v>0</v>
      </c>
      <c r="Q417" s="190">
        <f>SUM(G417:P417)</f>
        <v>0</v>
      </c>
    </row>
    <row r="418" spans="3:20" ht="18.75" x14ac:dyDescent="0.25">
      <c r="C418" s="119">
        <f t="shared" si="405"/>
        <v>1</v>
      </c>
      <c r="D418" s="109" t="s">
        <v>91</v>
      </c>
      <c r="E418" s="76" t="s">
        <v>55</v>
      </c>
      <c r="F418" s="168">
        <f>+F$8*$E413</f>
        <v>1.2748834958609394</v>
      </c>
      <c r="G418" s="168">
        <f>+G$8*$E413</f>
        <v>2600.5583783284587</v>
      </c>
      <c r="H418" s="168">
        <f>+H$8*$E413</f>
        <v>0</v>
      </c>
      <c r="I418" s="168">
        <f>+I$8*$E413</f>
        <v>0</v>
      </c>
      <c r="J418" s="168">
        <f>+J$8*$E413</f>
        <v>39.496597505199482</v>
      </c>
      <c r="K418" s="168">
        <f t="shared" ref="K418:P418" si="408">+K$8*$E413</f>
        <v>11.702695557096144</v>
      </c>
      <c r="L418" s="168">
        <f t="shared" si="408"/>
        <v>0</v>
      </c>
      <c r="M418" s="168">
        <f t="shared" si="408"/>
        <v>0</v>
      </c>
      <c r="N418" s="168">
        <f t="shared" si="408"/>
        <v>0</v>
      </c>
      <c r="O418" s="168">
        <f t="shared" si="408"/>
        <v>0</v>
      </c>
      <c r="P418" s="168">
        <f t="shared" si="408"/>
        <v>0</v>
      </c>
      <c r="Q418" s="190">
        <f>SUM(G418:P418)</f>
        <v>2651.7576713907542</v>
      </c>
    </row>
    <row r="419" spans="3:20" ht="18.75" x14ac:dyDescent="0.25">
      <c r="C419" s="119">
        <f t="shared" si="405"/>
        <v>1</v>
      </c>
      <c r="D419" s="130" t="s">
        <v>117</v>
      </c>
      <c r="E419" s="76" t="s">
        <v>54</v>
      </c>
      <c r="F419" s="168">
        <f>+F$9*$E413</f>
        <v>0</v>
      </c>
      <c r="G419" s="168">
        <f>+G$9*$E413</f>
        <v>0</v>
      </c>
      <c r="H419" s="168">
        <f>+H$9*$E413</f>
        <v>0</v>
      </c>
      <c r="I419" s="168">
        <f>+I$9*$E413</f>
        <v>0</v>
      </c>
      <c r="J419" s="168">
        <f>+J$9*$E413</f>
        <v>0</v>
      </c>
      <c r="K419" s="168">
        <f t="shared" ref="K419:P419" si="409">+K$9*$E413</f>
        <v>0</v>
      </c>
      <c r="L419" s="168">
        <f t="shared" si="409"/>
        <v>0</v>
      </c>
      <c r="M419" s="168">
        <f t="shared" si="409"/>
        <v>0</v>
      </c>
      <c r="N419" s="168">
        <f t="shared" si="409"/>
        <v>0</v>
      </c>
      <c r="O419" s="168">
        <f t="shared" si="409"/>
        <v>0</v>
      </c>
      <c r="P419" s="168">
        <f t="shared" si="409"/>
        <v>0</v>
      </c>
      <c r="Q419" s="190">
        <f>SUM(G419:P419)</f>
        <v>0</v>
      </c>
    </row>
    <row r="420" spans="3:20" ht="18.75" x14ac:dyDescent="0.25">
      <c r="C420" s="119">
        <f t="shared" si="405"/>
        <v>1</v>
      </c>
      <c r="D420" s="112" t="s">
        <v>31</v>
      </c>
      <c r="E420" s="76"/>
      <c r="F420" s="167"/>
      <c r="G420" s="185"/>
      <c r="H420" s="185"/>
      <c r="I420" s="185"/>
      <c r="J420" s="185"/>
      <c r="K420" s="185"/>
      <c r="L420" s="185"/>
      <c r="M420" s="185"/>
      <c r="N420" s="185"/>
      <c r="O420" s="185"/>
      <c r="P420" s="185"/>
      <c r="Q420" s="171"/>
    </row>
    <row r="421" spans="3:20" ht="18.75" x14ac:dyDescent="0.3">
      <c r="C421" s="119">
        <f t="shared" si="405"/>
        <v>1</v>
      </c>
      <c r="D421" s="125" t="s">
        <v>118</v>
      </c>
      <c r="E421" s="76" t="s">
        <v>53</v>
      </c>
      <c r="F421" s="168">
        <f>+F$11*$E413</f>
        <v>0</v>
      </c>
      <c r="G421" s="168">
        <f>+G$11*$E413</f>
        <v>0</v>
      </c>
      <c r="H421" s="168">
        <f>+H$11*$E413</f>
        <v>0</v>
      </c>
      <c r="I421" s="168">
        <f>+I$11*$E413</f>
        <v>0</v>
      </c>
      <c r="J421" s="168">
        <f>+J$11*$E413</f>
        <v>0</v>
      </c>
      <c r="K421" s="168">
        <f t="shared" ref="K421:P421" si="410">+K$11*$E413</f>
        <v>0</v>
      </c>
      <c r="L421" s="168">
        <f t="shared" si="410"/>
        <v>0</v>
      </c>
      <c r="M421" s="168">
        <f t="shared" si="410"/>
        <v>0</v>
      </c>
      <c r="N421" s="168">
        <f t="shared" si="410"/>
        <v>0</v>
      </c>
      <c r="O421" s="168">
        <f t="shared" si="410"/>
        <v>0</v>
      </c>
      <c r="P421" s="168">
        <f t="shared" si="410"/>
        <v>0</v>
      </c>
      <c r="Q421" s="190">
        <f t="shared" ref="Q421:Q427" si="411">SUM(G421:P421)</f>
        <v>0</v>
      </c>
    </row>
    <row r="422" spans="3:20" ht="18.75" x14ac:dyDescent="0.3">
      <c r="C422" s="119">
        <f t="shared" si="405"/>
        <v>1</v>
      </c>
      <c r="D422" s="125" t="s">
        <v>119</v>
      </c>
      <c r="E422" s="76" t="s">
        <v>52</v>
      </c>
      <c r="F422" s="168">
        <f>+F$12*$E413</f>
        <v>0</v>
      </c>
      <c r="G422" s="168">
        <f>+G$12*$E413</f>
        <v>0</v>
      </c>
      <c r="H422" s="168">
        <f>+H$12*$E413</f>
        <v>0</v>
      </c>
      <c r="I422" s="168">
        <f>+I$12*$E413</f>
        <v>0</v>
      </c>
      <c r="J422" s="168">
        <f>+J$12*$E413</f>
        <v>0</v>
      </c>
      <c r="K422" s="168">
        <f t="shared" ref="K422:P422" si="412">+K$12*$E413</f>
        <v>0</v>
      </c>
      <c r="L422" s="168">
        <f t="shared" si="412"/>
        <v>0</v>
      </c>
      <c r="M422" s="168">
        <f t="shared" si="412"/>
        <v>0</v>
      </c>
      <c r="N422" s="168">
        <f t="shared" si="412"/>
        <v>0</v>
      </c>
      <c r="O422" s="168">
        <f t="shared" si="412"/>
        <v>0</v>
      </c>
      <c r="P422" s="168">
        <f t="shared" si="412"/>
        <v>0</v>
      </c>
      <c r="Q422" s="190">
        <f t="shared" si="411"/>
        <v>0</v>
      </c>
    </row>
    <row r="423" spans="3:20" ht="18.75" x14ac:dyDescent="0.3">
      <c r="C423" s="119">
        <f t="shared" si="405"/>
        <v>1</v>
      </c>
      <c r="D423" s="125" t="s">
        <v>120</v>
      </c>
      <c r="E423" s="76" t="s">
        <v>51</v>
      </c>
      <c r="F423" s="168">
        <f>+F$13*$E413</f>
        <v>0</v>
      </c>
      <c r="G423" s="168">
        <f>+G$13*$E413</f>
        <v>0</v>
      </c>
      <c r="H423" s="168">
        <f>+H$13*$E413</f>
        <v>0</v>
      </c>
      <c r="I423" s="168">
        <f>+I$13*$E413</f>
        <v>0</v>
      </c>
      <c r="J423" s="168">
        <f>+J$13*$E413</f>
        <v>0</v>
      </c>
      <c r="K423" s="168">
        <f t="shared" ref="K423:P423" si="413">+K$13*$E413</f>
        <v>0</v>
      </c>
      <c r="L423" s="168">
        <f t="shared" si="413"/>
        <v>0</v>
      </c>
      <c r="M423" s="168">
        <f t="shared" si="413"/>
        <v>0</v>
      </c>
      <c r="N423" s="168">
        <f t="shared" si="413"/>
        <v>0</v>
      </c>
      <c r="O423" s="168">
        <f t="shared" si="413"/>
        <v>0</v>
      </c>
      <c r="P423" s="168">
        <f t="shared" si="413"/>
        <v>0</v>
      </c>
      <c r="Q423" s="190">
        <f t="shared" si="411"/>
        <v>0</v>
      </c>
    </row>
    <row r="424" spans="3:20" ht="18.75" x14ac:dyDescent="0.3">
      <c r="C424" s="119">
        <f t="shared" si="405"/>
        <v>1</v>
      </c>
      <c r="D424" s="125" t="s">
        <v>121</v>
      </c>
      <c r="E424" s="76" t="s">
        <v>50</v>
      </c>
      <c r="F424" s="168">
        <f>+F$14*$E413</f>
        <v>0</v>
      </c>
      <c r="G424" s="168">
        <f>+G$14*$E413</f>
        <v>0</v>
      </c>
      <c r="H424" s="168">
        <f>+H$14*$E413</f>
        <v>0</v>
      </c>
      <c r="I424" s="168">
        <f>+I$14*$E413</f>
        <v>0</v>
      </c>
      <c r="J424" s="168">
        <f>+J$14*$E413</f>
        <v>0</v>
      </c>
      <c r="K424" s="168">
        <f t="shared" ref="K424:P424" si="414">+K$14*$E413</f>
        <v>0</v>
      </c>
      <c r="L424" s="168">
        <f t="shared" si="414"/>
        <v>0</v>
      </c>
      <c r="M424" s="168">
        <f t="shared" si="414"/>
        <v>0</v>
      </c>
      <c r="N424" s="168">
        <f t="shared" si="414"/>
        <v>0</v>
      </c>
      <c r="O424" s="168">
        <f t="shared" si="414"/>
        <v>0</v>
      </c>
      <c r="P424" s="168">
        <f t="shared" si="414"/>
        <v>0</v>
      </c>
      <c r="Q424" s="190">
        <f t="shared" si="411"/>
        <v>0</v>
      </c>
    </row>
    <row r="425" spans="3:20" ht="18.75" x14ac:dyDescent="0.3">
      <c r="C425" s="119">
        <f t="shared" si="405"/>
        <v>1</v>
      </c>
      <c r="D425" s="125" t="s">
        <v>122</v>
      </c>
      <c r="E425" s="76" t="s">
        <v>49</v>
      </c>
      <c r="F425" s="168">
        <f>+F$15*$E413</f>
        <v>0</v>
      </c>
      <c r="G425" s="168">
        <f>+G$15*$E413</f>
        <v>0</v>
      </c>
      <c r="H425" s="168">
        <f>+H$15*$E413</f>
        <v>0</v>
      </c>
      <c r="I425" s="168">
        <f>+I$15*$E413</f>
        <v>0</v>
      </c>
      <c r="J425" s="168">
        <f>+J$15*$E413</f>
        <v>0</v>
      </c>
      <c r="K425" s="168">
        <f t="shared" ref="K425:P425" si="415">+K$15*$E413</f>
        <v>0</v>
      </c>
      <c r="L425" s="168">
        <f t="shared" si="415"/>
        <v>0</v>
      </c>
      <c r="M425" s="168">
        <f t="shared" si="415"/>
        <v>0</v>
      </c>
      <c r="N425" s="168">
        <f t="shared" si="415"/>
        <v>0</v>
      </c>
      <c r="O425" s="168">
        <f t="shared" si="415"/>
        <v>0</v>
      </c>
      <c r="P425" s="168">
        <f t="shared" si="415"/>
        <v>0</v>
      </c>
      <c r="Q425" s="190">
        <f t="shared" si="411"/>
        <v>0</v>
      </c>
    </row>
    <row r="426" spans="3:20" ht="18.75" x14ac:dyDescent="0.3">
      <c r="C426" s="119">
        <f t="shared" si="405"/>
        <v>1</v>
      </c>
      <c r="D426" s="125" t="s">
        <v>123</v>
      </c>
      <c r="E426" s="76" t="s">
        <v>47</v>
      </c>
      <c r="F426" s="168">
        <f>+F$16*$E413</f>
        <v>0</v>
      </c>
      <c r="G426" s="168">
        <f>+G$16*$E413</f>
        <v>0</v>
      </c>
      <c r="H426" s="168">
        <f>+H$16*$E413</f>
        <v>0</v>
      </c>
      <c r="I426" s="168">
        <f>+I$16*$E413</f>
        <v>0</v>
      </c>
      <c r="J426" s="168">
        <f>+J$16*$E413</f>
        <v>0</v>
      </c>
      <c r="K426" s="168">
        <f t="shared" ref="K426:P426" si="416">+K$16*$E413</f>
        <v>0</v>
      </c>
      <c r="L426" s="168">
        <f t="shared" si="416"/>
        <v>0</v>
      </c>
      <c r="M426" s="168">
        <f t="shared" si="416"/>
        <v>0</v>
      </c>
      <c r="N426" s="168">
        <f t="shared" si="416"/>
        <v>0</v>
      </c>
      <c r="O426" s="168">
        <f t="shared" si="416"/>
        <v>0</v>
      </c>
      <c r="P426" s="168">
        <f t="shared" si="416"/>
        <v>0</v>
      </c>
      <c r="Q426" s="190">
        <f t="shared" si="411"/>
        <v>0</v>
      </c>
    </row>
    <row r="427" spans="3:20" ht="19.5" thickBot="1" x14ac:dyDescent="0.35">
      <c r="C427" s="119">
        <f t="shared" si="405"/>
        <v>1</v>
      </c>
      <c r="D427" s="125" t="s">
        <v>16</v>
      </c>
      <c r="E427" s="70" t="s">
        <v>77</v>
      </c>
      <c r="F427" s="168">
        <f>+F$17*$E413</f>
        <v>67.428063493927837</v>
      </c>
      <c r="G427" s="168">
        <f>+G$17*$E413</f>
        <v>121694.38470309047</v>
      </c>
      <c r="H427" s="168">
        <f>+H$17*$E413</f>
        <v>2371.2900960092325</v>
      </c>
      <c r="I427" s="168">
        <f>+I$17*$E413</f>
        <v>0</v>
      </c>
      <c r="J427" s="168">
        <f>+J$17*$E413</f>
        <v>0</v>
      </c>
      <c r="K427" s="168">
        <f t="shared" ref="K427:P427" si="417">+K$17*$E413</f>
        <v>8497.3399580736714</v>
      </c>
      <c r="L427" s="168">
        <f t="shared" si="417"/>
        <v>0</v>
      </c>
      <c r="M427" s="168">
        <f t="shared" si="417"/>
        <v>4.5608201086389313</v>
      </c>
      <c r="N427" s="168">
        <f t="shared" si="417"/>
        <v>0</v>
      </c>
      <c r="O427" s="168">
        <f t="shared" si="417"/>
        <v>0</v>
      </c>
      <c r="P427" s="168">
        <f t="shared" si="417"/>
        <v>7682.796490087876</v>
      </c>
      <c r="Q427" s="190">
        <f t="shared" si="411"/>
        <v>140250.37206736987</v>
      </c>
    </row>
    <row r="428" spans="3:20" ht="19.5" thickBot="1" x14ac:dyDescent="0.3">
      <c r="C428" s="119">
        <f t="shared" si="405"/>
        <v>1</v>
      </c>
      <c r="D428" s="131" t="s">
        <v>124</v>
      </c>
      <c r="E428" s="116" t="s">
        <v>78</v>
      </c>
      <c r="F428" s="169">
        <f t="shared" ref="F428:Q428" si="418">SUBTOTAL(9,F416:F427)</f>
        <v>1088.8358743584238</v>
      </c>
      <c r="G428" s="170">
        <f t="shared" si="418"/>
        <v>2084917.8249282737</v>
      </c>
      <c r="H428" s="170">
        <f t="shared" si="418"/>
        <v>93717.007942398763</v>
      </c>
      <c r="I428" s="170">
        <f t="shared" si="418"/>
        <v>310.65683058478493</v>
      </c>
      <c r="J428" s="170">
        <f t="shared" si="418"/>
        <v>32818.322630217546</v>
      </c>
      <c r="K428" s="170">
        <f t="shared" ref="K428:P428" si="419">SUBTOTAL(9,K416:K427)</f>
        <v>44479.954439974448</v>
      </c>
      <c r="L428" s="170">
        <f t="shared" si="419"/>
        <v>840.47296654119862</v>
      </c>
      <c r="M428" s="170">
        <f t="shared" si="419"/>
        <v>4.5608201086389313</v>
      </c>
      <c r="N428" s="170">
        <f t="shared" si="419"/>
        <v>7.0216173342576855</v>
      </c>
      <c r="O428" s="170">
        <f t="shared" si="419"/>
        <v>0</v>
      </c>
      <c r="P428" s="170">
        <f t="shared" si="419"/>
        <v>7682.796490087876</v>
      </c>
      <c r="Q428" s="170">
        <f t="shared" si="418"/>
        <v>2264778.6186655215</v>
      </c>
    </row>
    <row r="429" spans="3:20" ht="15.75" hidden="1" thickBot="1" x14ac:dyDescent="0.3">
      <c r="R429" s="119"/>
      <c r="S429" s="119"/>
      <c r="T429" s="119"/>
    </row>
    <row r="430" spans="3:20" ht="45.75" hidden="1" thickBot="1" x14ac:dyDescent="0.3">
      <c r="C430" s="119">
        <f>IF(E430&gt;0,1,0)</f>
        <v>0</v>
      </c>
      <c r="D430" s="96" t="str">
        <f>+A28</f>
        <v>Lewis</v>
      </c>
      <c r="E430" s="166">
        <f>+SUMIF(A:A,D430,B:B)</f>
        <v>0</v>
      </c>
      <c r="F430" s="98" t="s">
        <v>97</v>
      </c>
      <c r="G430" s="98" t="s">
        <v>126</v>
      </c>
      <c r="H430" s="98" t="s">
        <v>127</v>
      </c>
      <c r="I430" s="99" t="s">
        <v>128</v>
      </c>
      <c r="J430" s="99" t="s">
        <v>131</v>
      </c>
      <c r="K430" s="560" t="s">
        <v>474</v>
      </c>
      <c r="L430" s="560" t="s">
        <v>475</v>
      </c>
      <c r="M430" s="560" t="s">
        <v>476</v>
      </c>
      <c r="N430" s="560" t="s">
        <v>477</v>
      </c>
      <c r="O430" s="560" t="s">
        <v>478</v>
      </c>
      <c r="P430" s="560" t="s">
        <v>479</v>
      </c>
      <c r="Q430" s="99" t="s">
        <v>129</v>
      </c>
      <c r="R430" s="119"/>
      <c r="S430" s="119"/>
      <c r="T430" s="119"/>
    </row>
    <row r="431" spans="3:20" ht="19.5" hidden="1" thickBot="1" x14ac:dyDescent="0.3">
      <c r="C431" s="119">
        <f>C430</f>
        <v>0</v>
      </c>
      <c r="D431" s="127"/>
      <c r="E431" s="128"/>
      <c r="F431" s="84" t="s">
        <v>57</v>
      </c>
      <c r="G431" s="84" t="s">
        <v>56</v>
      </c>
      <c r="H431" s="84" t="s">
        <v>55</v>
      </c>
      <c r="I431" s="84" t="s">
        <v>54</v>
      </c>
      <c r="J431" s="129" t="s">
        <v>53</v>
      </c>
      <c r="K431" s="129" t="s">
        <v>52</v>
      </c>
      <c r="L431" s="129" t="s">
        <v>51</v>
      </c>
      <c r="M431" s="129" t="s">
        <v>50</v>
      </c>
      <c r="N431" s="129" t="s">
        <v>49</v>
      </c>
      <c r="O431" s="129" t="s">
        <v>47</v>
      </c>
      <c r="P431" s="129" t="s">
        <v>77</v>
      </c>
      <c r="Q431" s="129" t="s">
        <v>78</v>
      </c>
      <c r="R431" s="119"/>
      <c r="S431" s="119"/>
      <c r="T431" s="119"/>
    </row>
    <row r="432" spans="3:20" ht="19.5" hidden="1" thickBot="1" x14ac:dyDescent="0.3">
      <c r="C432" s="119">
        <f>C431</f>
        <v>0</v>
      </c>
      <c r="D432" s="133" t="s">
        <v>26</v>
      </c>
      <c r="E432" s="134"/>
      <c r="F432" s="135"/>
      <c r="G432" s="135"/>
      <c r="H432" s="136"/>
      <c r="I432" s="136"/>
      <c r="J432" s="137"/>
      <c r="K432" s="137"/>
      <c r="L432" s="137"/>
      <c r="M432" s="137"/>
      <c r="N432" s="137"/>
      <c r="O432" s="137"/>
      <c r="P432" s="137"/>
      <c r="Q432" s="138"/>
      <c r="R432" s="119"/>
      <c r="S432" s="119"/>
      <c r="T432" s="119"/>
    </row>
    <row r="433" spans="2:17" s="119" customFormat="1" ht="19.5" hidden="1" thickBot="1" x14ac:dyDescent="0.3">
      <c r="B433" s="310"/>
      <c r="C433" s="119">
        <f t="shared" ref="C433:C445" si="420">C432</f>
        <v>0</v>
      </c>
      <c r="D433" s="109" t="s">
        <v>93</v>
      </c>
      <c r="E433" s="76" t="s">
        <v>57</v>
      </c>
      <c r="F433" s="168">
        <f>+F$6*$E430</f>
        <v>0</v>
      </c>
      <c r="G433" s="168">
        <f>+G$6*$E430</f>
        <v>0</v>
      </c>
      <c r="H433" s="168">
        <f>+H$6*$E430</f>
        <v>0</v>
      </c>
      <c r="I433" s="168">
        <f>+I$6*$E430</f>
        <v>0</v>
      </c>
      <c r="J433" s="168">
        <f>+J$6*$E430</f>
        <v>0</v>
      </c>
      <c r="K433" s="168">
        <f t="shared" ref="K433:P433" si="421">+K$6*$E430</f>
        <v>0</v>
      </c>
      <c r="L433" s="168">
        <f t="shared" si="421"/>
        <v>0</v>
      </c>
      <c r="M433" s="168">
        <f t="shared" si="421"/>
        <v>0</v>
      </c>
      <c r="N433" s="168">
        <f t="shared" si="421"/>
        <v>0</v>
      </c>
      <c r="O433" s="168">
        <f t="shared" si="421"/>
        <v>0</v>
      </c>
      <c r="P433" s="168">
        <f t="shared" si="421"/>
        <v>0</v>
      </c>
      <c r="Q433" s="190">
        <f>SUM(G433:P433)</f>
        <v>0</v>
      </c>
    </row>
    <row r="434" spans="2:17" s="119" customFormat="1" ht="19.5" hidden="1" thickBot="1" x14ac:dyDescent="0.3">
      <c r="B434" s="310"/>
      <c r="C434" s="119">
        <f t="shared" si="420"/>
        <v>0</v>
      </c>
      <c r="D434" s="110" t="s">
        <v>132</v>
      </c>
      <c r="E434" s="76" t="s">
        <v>56</v>
      </c>
      <c r="F434" s="168">
        <f>+F$7*$E430</f>
        <v>0</v>
      </c>
      <c r="G434" s="168">
        <f>+G$7*$E430</f>
        <v>0</v>
      </c>
      <c r="H434" s="168">
        <f>+H$7*$E430</f>
        <v>0</v>
      </c>
      <c r="I434" s="168">
        <f>+I$7*$E430</f>
        <v>0</v>
      </c>
      <c r="J434" s="168">
        <f>+J$7*$E430</f>
        <v>0</v>
      </c>
      <c r="K434" s="168">
        <f t="shared" ref="K434:P434" si="422">+K$7*$E430</f>
        <v>0</v>
      </c>
      <c r="L434" s="168">
        <f t="shared" si="422"/>
        <v>0</v>
      </c>
      <c r="M434" s="168">
        <f t="shared" si="422"/>
        <v>0</v>
      </c>
      <c r="N434" s="168">
        <f t="shared" si="422"/>
        <v>0</v>
      </c>
      <c r="O434" s="168">
        <f t="shared" si="422"/>
        <v>0</v>
      </c>
      <c r="P434" s="168">
        <f t="shared" si="422"/>
        <v>0</v>
      </c>
      <c r="Q434" s="190">
        <f>SUM(G434:P434)</f>
        <v>0</v>
      </c>
    </row>
    <row r="435" spans="2:17" s="119" customFormat="1" ht="19.5" hidden="1" thickBot="1" x14ac:dyDescent="0.3">
      <c r="B435" s="310"/>
      <c r="C435" s="119">
        <f t="shared" si="420"/>
        <v>0</v>
      </c>
      <c r="D435" s="109" t="s">
        <v>91</v>
      </c>
      <c r="E435" s="76" t="s">
        <v>55</v>
      </c>
      <c r="F435" s="168">
        <f>+F$8*$E430</f>
        <v>0</v>
      </c>
      <c r="G435" s="168">
        <f>+G$8*$E430</f>
        <v>0</v>
      </c>
      <c r="H435" s="168">
        <f>+H$8*$E430</f>
        <v>0</v>
      </c>
      <c r="I435" s="168">
        <f>+I$8*$E430</f>
        <v>0</v>
      </c>
      <c r="J435" s="168">
        <f>+J$8*$E430</f>
        <v>0</v>
      </c>
      <c r="K435" s="168">
        <f t="shared" ref="K435:P435" si="423">+K$8*$E430</f>
        <v>0</v>
      </c>
      <c r="L435" s="168">
        <f t="shared" si="423"/>
        <v>0</v>
      </c>
      <c r="M435" s="168">
        <f t="shared" si="423"/>
        <v>0</v>
      </c>
      <c r="N435" s="168">
        <f t="shared" si="423"/>
        <v>0</v>
      </c>
      <c r="O435" s="168">
        <f t="shared" si="423"/>
        <v>0</v>
      </c>
      <c r="P435" s="168">
        <f t="shared" si="423"/>
        <v>0</v>
      </c>
      <c r="Q435" s="190">
        <f>SUM(G435:P435)</f>
        <v>0</v>
      </c>
    </row>
    <row r="436" spans="2:17" s="119" customFormat="1" ht="19.5" hidden="1" thickBot="1" x14ac:dyDescent="0.3">
      <c r="B436" s="310"/>
      <c r="C436" s="119">
        <f t="shared" si="420"/>
        <v>0</v>
      </c>
      <c r="D436" s="130" t="s">
        <v>117</v>
      </c>
      <c r="E436" s="76" t="s">
        <v>54</v>
      </c>
      <c r="F436" s="168">
        <f>+F$9*$E430</f>
        <v>0</v>
      </c>
      <c r="G436" s="168">
        <f>+G$9*$E430</f>
        <v>0</v>
      </c>
      <c r="H436" s="168">
        <f>+H$9*$E430</f>
        <v>0</v>
      </c>
      <c r="I436" s="168">
        <f>+I$9*$E430</f>
        <v>0</v>
      </c>
      <c r="J436" s="168">
        <f>+J$9*$E430</f>
        <v>0</v>
      </c>
      <c r="K436" s="168">
        <f t="shared" ref="K436:P436" si="424">+K$9*$E430</f>
        <v>0</v>
      </c>
      <c r="L436" s="168">
        <f t="shared" si="424"/>
        <v>0</v>
      </c>
      <c r="M436" s="168">
        <f t="shared" si="424"/>
        <v>0</v>
      </c>
      <c r="N436" s="168">
        <f t="shared" si="424"/>
        <v>0</v>
      </c>
      <c r="O436" s="168">
        <f t="shared" si="424"/>
        <v>0</v>
      </c>
      <c r="P436" s="168">
        <f t="shared" si="424"/>
        <v>0</v>
      </c>
      <c r="Q436" s="190">
        <f>SUM(G436:P436)</f>
        <v>0</v>
      </c>
    </row>
    <row r="437" spans="2:17" s="119" customFormat="1" ht="19.5" hidden="1" thickBot="1" x14ac:dyDescent="0.3">
      <c r="B437" s="310"/>
      <c r="C437" s="119">
        <f t="shared" si="420"/>
        <v>0</v>
      </c>
      <c r="D437" s="112" t="s">
        <v>31</v>
      </c>
      <c r="E437" s="76"/>
      <c r="F437" s="167"/>
      <c r="G437" s="185"/>
      <c r="H437" s="185"/>
      <c r="I437" s="185"/>
      <c r="J437" s="185"/>
      <c r="K437" s="185"/>
      <c r="L437" s="185"/>
      <c r="M437" s="185"/>
      <c r="N437" s="185"/>
      <c r="O437" s="185"/>
      <c r="P437" s="185"/>
      <c r="Q437" s="171"/>
    </row>
    <row r="438" spans="2:17" s="119" customFormat="1" ht="19.5" hidden="1" thickBot="1" x14ac:dyDescent="0.35">
      <c r="B438" s="310"/>
      <c r="C438" s="119">
        <f t="shared" si="420"/>
        <v>0</v>
      </c>
      <c r="D438" s="125" t="s">
        <v>118</v>
      </c>
      <c r="E438" s="76" t="s">
        <v>53</v>
      </c>
      <c r="F438" s="168">
        <f>+F$11*$E430</f>
        <v>0</v>
      </c>
      <c r="G438" s="168">
        <f>+G$11*$E430</f>
        <v>0</v>
      </c>
      <c r="H438" s="168">
        <f>+H$11*$E430</f>
        <v>0</v>
      </c>
      <c r="I438" s="168">
        <f>+I$11*$E430</f>
        <v>0</v>
      </c>
      <c r="J438" s="168">
        <f>+J$11*$E430</f>
        <v>0</v>
      </c>
      <c r="K438" s="168">
        <f t="shared" ref="K438:P438" si="425">+K$11*$E430</f>
        <v>0</v>
      </c>
      <c r="L438" s="168">
        <f t="shared" si="425"/>
        <v>0</v>
      </c>
      <c r="M438" s="168">
        <f t="shared" si="425"/>
        <v>0</v>
      </c>
      <c r="N438" s="168">
        <f t="shared" si="425"/>
        <v>0</v>
      </c>
      <c r="O438" s="168">
        <f t="shared" si="425"/>
        <v>0</v>
      </c>
      <c r="P438" s="168">
        <f t="shared" si="425"/>
        <v>0</v>
      </c>
      <c r="Q438" s="190">
        <f t="shared" ref="Q438:Q444" si="426">SUM(G438:P438)</f>
        <v>0</v>
      </c>
    </row>
    <row r="439" spans="2:17" s="119" customFormat="1" ht="19.5" hidden="1" thickBot="1" x14ac:dyDescent="0.35">
      <c r="B439" s="310"/>
      <c r="C439" s="119">
        <f t="shared" si="420"/>
        <v>0</v>
      </c>
      <c r="D439" s="125" t="s">
        <v>119</v>
      </c>
      <c r="E439" s="76" t="s">
        <v>52</v>
      </c>
      <c r="F439" s="168">
        <f>+F$12*$E430</f>
        <v>0</v>
      </c>
      <c r="G439" s="168">
        <f>+G$12*$E430</f>
        <v>0</v>
      </c>
      <c r="H439" s="168">
        <f>+H$12*$E430</f>
        <v>0</v>
      </c>
      <c r="I439" s="168">
        <f>+I$12*$E430</f>
        <v>0</v>
      </c>
      <c r="J439" s="168">
        <f>+J$12*$E430</f>
        <v>0</v>
      </c>
      <c r="K439" s="168">
        <f t="shared" ref="K439:P439" si="427">+K$12*$E430</f>
        <v>0</v>
      </c>
      <c r="L439" s="168">
        <f t="shared" si="427"/>
        <v>0</v>
      </c>
      <c r="M439" s="168">
        <f t="shared" si="427"/>
        <v>0</v>
      </c>
      <c r="N439" s="168">
        <f t="shared" si="427"/>
        <v>0</v>
      </c>
      <c r="O439" s="168">
        <f t="shared" si="427"/>
        <v>0</v>
      </c>
      <c r="P439" s="168">
        <f t="shared" si="427"/>
        <v>0</v>
      </c>
      <c r="Q439" s="190">
        <f t="shared" si="426"/>
        <v>0</v>
      </c>
    </row>
    <row r="440" spans="2:17" s="119" customFormat="1" ht="19.5" hidden="1" thickBot="1" x14ac:dyDescent="0.35">
      <c r="B440" s="310"/>
      <c r="C440" s="119">
        <f t="shared" si="420"/>
        <v>0</v>
      </c>
      <c r="D440" s="125" t="s">
        <v>120</v>
      </c>
      <c r="E440" s="76" t="s">
        <v>51</v>
      </c>
      <c r="F440" s="168">
        <f>+F$13*$E430</f>
        <v>0</v>
      </c>
      <c r="G440" s="168">
        <f>+G$13*$E430</f>
        <v>0</v>
      </c>
      <c r="H440" s="168">
        <f>+H$13*$E430</f>
        <v>0</v>
      </c>
      <c r="I440" s="168">
        <f>+I$13*$E430</f>
        <v>0</v>
      </c>
      <c r="J440" s="168">
        <f>+J$13*$E430</f>
        <v>0</v>
      </c>
      <c r="K440" s="168">
        <f t="shared" ref="K440:P440" si="428">+K$13*$E430</f>
        <v>0</v>
      </c>
      <c r="L440" s="168">
        <f t="shared" si="428"/>
        <v>0</v>
      </c>
      <c r="M440" s="168">
        <f t="shared" si="428"/>
        <v>0</v>
      </c>
      <c r="N440" s="168">
        <f t="shared" si="428"/>
        <v>0</v>
      </c>
      <c r="O440" s="168">
        <f t="shared" si="428"/>
        <v>0</v>
      </c>
      <c r="P440" s="168">
        <f t="shared" si="428"/>
        <v>0</v>
      </c>
      <c r="Q440" s="190">
        <f t="shared" si="426"/>
        <v>0</v>
      </c>
    </row>
    <row r="441" spans="2:17" s="119" customFormat="1" ht="19.5" hidden="1" thickBot="1" x14ac:dyDescent="0.35">
      <c r="B441" s="310"/>
      <c r="C441" s="119">
        <f t="shared" si="420"/>
        <v>0</v>
      </c>
      <c r="D441" s="125" t="s">
        <v>121</v>
      </c>
      <c r="E441" s="76" t="s">
        <v>50</v>
      </c>
      <c r="F441" s="168">
        <f>+F$14*$E430</f>
        <v>0</v>
      </c>
      <c r="G441" s="168">
        <f>+G$14*$E430</f>
        <v>0</v>
      </c>
      <c r="H441" s="168">
        <f>+H$14*$E430</f>
        <v>0</v>
      </c>
      <c r="I441" s="168">
        <f>+I$14*$E430</f>
        <v>0</v>
      </c>
      <c r="J441" s="168">
        <f>+J$14*$E430</f>
        <v>0</v>
      </c>
      <c r="K441" s="168">
        <f t="shared" ref="K441:P441" si="429">+K$14*$E430</f>
        <v>0</v>
      </c>
      <c r="L441" s="168">
        <f t="shared" si="429"/>
        <v>0</v>
      </c>
      <c r="M441" s="168">
        <f t="shared" si="429"/>
        <v>0</v>
      </c>
      <c r="N441" s="168">
        <f t="shared" si="429"/>
        <v>0</v>
      </c>
      <c r="O441" s="168">
        <f t="shared" si="429"/>
        <v>0</v>
      </c>
      <c r="P441" s="168">
        <f t="shared" si="429"/>
        <v>0</v>
      </c>
      <c r="Q441" s="190">
        <f t="shared" si="426"/>
        <v>0</v>
      </c>
    </row>
    <row r="442" spans="2:17" s="119" customFormat="1" ht="19.5" hidden="1" thickBot="1" x14ac:dyDescent="0.35">
      <c r="B442" s="310"/>
      <c r="C442" s="119">
        <f t="shared" si="420"/>
        <v>0</v>
      </c>
      <c r="D442" s="125" t="s">
        <v>122</v>
      </c>
      <c r="E442" s="76" t="s">
        <v>49</v>
      </c>
      <c r="F442" s="168">
        <f>+F$15*$E430</f>
        <v>0</v>
      </c>
      <c r="G442" s="168">
        <f>+G$15*$E430</f>
        <v>0</v>
      </c>
      <c r="H442" s="168">
        <f>+H$15*$E430</f>
        <v>0</v>
      </c>
      <c r="I442" s="168">
        <f>+I$15*$E430</f>
        <v>0</v>
      </c>
      <c r="J442" s="168">
        <f>+J$15*$E430</f>
        <v>0</v>
      </c>
      <c r="K442" s="168">
        <f t="shared" ref="K442:P442" si="430">+K$15*$E430</f>
        <v>0</v>
      </c>
      <c r="L442" s="168">
        <f t="shared" si="430"/>
        <v>0</v>
      </c>
      <c r="M442" s="168">
        <f t="shared" si="430"/>
        <v>0</v>
      </c>
      <c r="N442" s="168">
        <f t="shared" si="430"/>
        <v>0</v>
      </c>
      <c r="O442" s="168">
        <f t="shared" si="430"/>
        <v>0</v>
      </c>
      <c r="P442" s="168">
        <f t="shared" si="430"/>
        <v>0</v>
      </c>
      <c r="Q442" s="190">
        <f t="shared" si="426"/>
        <v>0</v>
      </c>
    </row>
    <row r="443" spans="2:17" s="119" customFormat="1" ht="19.5" hidden="1" thickBot="1" x14ac:dyDescent="0.35">
      <c r="B443" s="310"/>
      <c r="C443" s="119">
        <f t="shared" si="420"/>
        <v>0</v>
      </c>
      <c r="D443" s="125" t="s">
        <v>123</v>
      </c>
      <c r="E443" s="76" t="s">
        <v>47</v>
      </c>
      <c r="F443" s="168">
        <f>+F$16*$E430</f>
        <v>0</v>
      </c>
      <c r="G443" s="168">
        <f>+G$16*$E430</f>
        <v>0</v>
      </c>
      <c r="H443" s="168">
        <f>+H$16*$E430</f>
        <v>0</v>
      </c>
      <c r="I443" s="168">
        <f>+I$16*$E430</f>
        <v>0</v>
      </c>
      <c r="J443" s="168">
        <f>+J$16*$E430</f>
        <v>0</v>
      </c>
      <c r="K443" s="168">
        <f t="shared" ref="K443:P443" si="431">+K$16*$E430</f>
        <v>0</v>
      </c>
      <c r="L443" s="168">
        <f t="shared" si="431"/>
        <v>0</v>
      </c>
      <c r="M443" s="168">
        <f t="shared" si="431"/>
        <v>0</v>
      </c>
      <c r="N443" s="168">
        <f t="shared" si="431"/>
        <v>0</v>
      </c>
      <c r="O443" s="168">
        <f t="shared" si="431"/>
        <v>0</v>
      </c>
      <c r="P443" s="168">
        <f t="shared" si="431"/>
        <v>0</v>
      </c>
      <c r="Q443" s="190">
        <f t="shared" si="426"/>
        <v>0</v>
      </c>
    </row>
    <row r="444" spans="2:17" s="119" customFormat="1" ht="19.5" hidden="1" thickBot="1" x14ac:dyDescent="0.35">
      <c r="B444" s="310"/>
      <c r="C444" s="119">
        <f t="shared" si="420"/>
        <v>0</v>
      </c>
      <c r="D444" s="125" t="s">
        <v>16</v>
      </c>
      <c r="E444" s="70" t="s">
        <v>77</v>
      </c>
      <c r="F444" s="168">
        <f>+F$17*$E430</f>
        <v>0</v>
      </c>
      <c r="G444" s="168">
        <f>+G$17*$E430</f>
        <v>0</v>
      </c>
      <c r="H444" s="168">
        <f>+H$17*$E430</f>
        <v>0</v>
      </c>
      <c r="I444" s="168">
        <f>+I$17*$E430</f>
        <v>0</v>
      </c>
      <c r="J444" s="168">
        <f>+J$17*$E430</f>
        <v>0</v>
      </c>
      <c r="K444" s="168">
        <f t="shared" ref="K444:P444" si="432">+K$17*$E430</f>
        <v>0</v>
      </c>
      <c r="L444" s="168">
        <f t="shared" si="432"/>
        <v>0</v>
      </c>
      <c r="M444" s="168">
        <f t="shared" si="432"/>
        <v>0</v>
      </c>
      <c r="N444" s="168">
        <f t="shared" si="432"/>
        <v>0</v>
      </c>
      <c r="O444" s="168">
        <f t="shared" si="432"/>
        <v>0</v>
      </c>
      <c r="P444" s="168">
        <f t="shared" si="432"/>
        <v>0</v>
      </c>
      <c r="Q444" s="190">
        <f t="shared" si="426"/>
        <v>0</v>
      </c>
    </row>
    <row r="445" spans="2:17" s="119" customFormat="1" ht="19.5" hidden="1" thickBot="1" x14ac:dyDescent="0.3">
      <c r="B445" s="310"/>
      <c r="C445" s="119">
        <f t="shared" si="420"/>
        <v>0</v>
      </c>
      <c r="D445" s="131" t="s">
        <v>124</v>
      </c>
      <c r="E445" s="116" t="s">
        <v>78</v>
      </c>
      <c r="F445" s="169">
        <f t="shared" ref="F445:Q445" si="433">SUBTOTAL(9,F433:F444)</f>
        <v>0</v>
      </c>
      <c r="G445" s="170">
        <f t="shared" si="433"/>
        <v>0</v>
      </c>
      <c r="H445" s="170">
        <f t="shared" si="433"/>
        <v>0</v>
      </c>
      <c r="I445" s="170">
        <f t="shared" si="433"/>
        <v>0</v>
      </c>
      <c r="J445" s="170">
        <f t="shared" si="433"/>
        <v>0</v>
      </c>
      <c r="K445" s="170">
        <f t="shared" ref="K445:P445" si="434">SUBTOTAL(9,K433:K444)</f>
        <v>0</v>
      </c>
      <c r="L445" s="170">
        <f t="shared" si="434"/>
        <v>0</v>
      </c>
      <c r="M445" s="170">
        <f t="shared" si="434"/>
        <v>0</v>
      </c>
      <c r="N445" s="170">
        <f t="shared" si="434"/>
        <v>0</v>
      </c>
      <c r="O445" s="170">
        <f t="shared" si="434"/>
        <v>0</v>
      </c>
      <c r="P445" s="170">
        <f t="shared" si="434"/>
        <v>0</v>
      </c>
      <c r="Q445" s="170">
        <f t="shared" si="433"/>
        <v>0</v>
      </c>
    </row>
    <row r="446" spans="2:17" s="119" customFormat="1" ht="15.75" hidden="1" thickBot="1" x14ac:dyDescent="0.3">
      <c r="B446" s="310"/>
      <c r="D446" s="117"/>
      <c r="E446" s="132"/>
      <c r="F446" s="117"/>
      <c r="G446" s="117"/>
      <c r="H446" s="118"/>
      <c r="I446" s="118"/>
      <c r="J446" s="118"/>
      <c r="K446" s="118"/>
      <c r="L446" s="118"/>
      <c r="M446" s="118"/>
      <c r="N446" s="118"/>
      <c r="O446" s="118"/>
      <c r="P446" s="118"/>
      <c r="Q446" s="118"/>
    </row>
    <row r="447" spans="2:17" s="119" customFormat="1" ht="45.75" hidden="1" thickBot="1" x14ac:dyDescent="0.3">
      <c r="B447" s="310"/>
      <c r="C447" s="119">
        <f>IF(E447&gt;0,1,0)</f>
        <v>0</v>
      </c>
      <c r="D447" s="96" t="str">
        <f>+A29</f>
        <v>Livingston</v>
      </c>
      <c r="E447" s="166">
        <f>+SUMIF(A:A,D447,B:B)</f>
        <v>0</v>
      </c>
      <c r="F447" s="98" t="s">
        <v>97</v>
      </c>
      <c r="G447" s="98" t="s">
        <v>126</v>
      </c>
      <c r="H447" s="98" t="s">
        <v>127</v>
      </c>
      <c r="I447" s="99" t="s">
        <v>128</v>
      </c>
      <c r="J447" s="99" t="s">
        <v>131</v>
      </c>
      <c r="K447" s="560" t="s">
        <v>474</v>
      </c>
      <c r="L447" s="560" t="s">
        <v>475</v>
      </c>
      <c r="M447" s="560" t="s">
        <v>476</v>
      </c>
      <c r="N447" s="560" t="s">
        <v>477</v>
      </c>
      <c r="O447" s="560" t="s">
        <v>478</v>
      </c>
      <c r="P447" s="560" t="s">
        <v>479</v>
      </c>
      <c r="Q447" s="99" t="s">
        <v>129</v>
      </c>
    </row>
    <row r="448" spans="2:17" s="119" customFormat="1" ht="19.5" hidden="1" thickBot="1" x14ac:dyDescent="0.3">
      <c r="B448" s="310"/>
      <c r="C448" s="119">
        <f>C447</f>
        <v>0</v>
      </c>
      <c r="D448" s="127"/>
      <c r="E448" s="128"/>
      <c r="F448" s="84" t="s">
        <v>57</v>
      </c>
      <c r="G448" s="84" t="s">
        <v>56</v>
      </c>
      <c r="H448" s="84" t="s">
        <v>55</v>
      </c>
      <c r="I448" s="84" t="s">
        <v>54</v>
      </c>
      <c r="J448" s="129" t="s">
        <v>53</v>
      </c>
      <c r="K448" s="129" t="s">
        <v>52</v>
      </c>
      <c r="L448" s="129" t="s">
        <v>51</v>
      </c>
      <c r="M448" s="129" t="s">
        <v>50</v>
      </c>
      <c r="N448" s="129" t="s">
        <v>49</v>
      </c>
      <c r="O448" s="129" t="s">
        <v>47</v>
      </c>
      <c r="P448" s="129" t="s">
        <v>77</v>
      </c>
      <c r="Q448" s="129" t="s">
        <v>78</v>
      </c>
    </row>
    <row r="449" spans="2:17" s="119" customFormat="1" ht="19.5" hidden="1" thickBot="1" x14ac:dyDescent="0.3">
      <c r="B449" s="310"/>
      <c r="C449" s="119">
        <f>C448</f>
        <v>0</v>
      </c>
      <c r="D449" s="133" t="s">
        <v>26</v>
      </c>
      <c r="E449" s="134"/>
      <c r="F449" s="135"/>
      <c r="G449" s="135"/>
      <c r="H449" s="136"/>
      <c r="I449" s="136"/>
      <c r="J449" s="137"/>
      <c r="K449" s="137"/>
      <c r="L449" s="137"/>
      <c r="M449" s="137"/>
      <c r="N449" s="137"/>
      <c r="O449" s="137"/>
      <c r="P449" s="137"/>
      <c r="Q449" s="138"/>
    </row>
    <row r="450" spans="2:17" s="119" customFormat="1" ht="19.5" hidden="1" thickBot="1" x14ac:dyDescent="0.3">
      <c r="B450" s="310"/>
      <c r="C450" s="119">
        <f t="shared" ref="C450:C462" si="435">C449</f>
        <v>0</v>
      </c>
      <c r="D450" s="109" t="s">
        <v>93</v>
      </c>
      <c r="E450" s="76" t="s">
        <v>57</v>
      </c>
      <c r="F450" s="168">
        <f>+F$6*$E447</f>
        <v>0</v>
      </c>
      <c r="G450" s="168">
        <f>+G$6*$E447</f>
        <v>0</v>
      </c>
      <c r="H450" s="168">
        <f>+H$6*$E447</f>
        <v>0</v>
      </c>
      <c r="I450" s="168">
        <f>+I$6*$E447</f>
        <v>0</v>
      </c>
      <c r="J450" s="168">
        <f>+J$6*$E447</f>
        <v>0</v>
      </c>
      <c r="K450" s="168">
        <f t="shared" ref="K450:P450" si="436">+K$6*$E447</f>
        <v>0</v>
      </c>
      <c r="L450" s="168">
        <f t="shared" si="436"/>
        <v>0</v>
      </c>
      <c r="M450" s="168">
        <f t="shared" si="436"/>
        <v>0</v>
      </c>
      <c r="N450" s="168">
        <f t="shared" si="436"/>
        <v>0</v>
      </c>
      <c r="O450" s="168">
        <f t="shared" si="436"/>
        <v>0</v>
      </c>
      <c r="P450" s="168">
        <f t="shared" si="436"/>
        <v>0</v>
      </c>
      <c r="Q450" s="190">
        <f>SUM(G450:P450)</f>
        <v>0</v>
      </c>
    </row>
    <row r="451" spans="2:17" s="119" customFormat="1" ht="19.5" hidden="1" thickBot="1" x14ac:dyDescent="0.3">
      <c r="B451" s="310"/>
      <c r="C451" s="119">
        <f t="shared" si="435"/>
        <v>0</v>
      </c>
      <c r="D451" s="110" t="s">
        <v>132</v>
      </c>
      <c r="E451" s="76" t="s">
        <v>56</v>
      </c>
      <c r="F451" s="168">
        <f>+F$7*$E447</f>
        <v>0</v>
      </c>
      <c r="G451" s="168">
        <f>+G$7*$E447</f>
        <v>0</v>
      </c>
      <c r="H451" s="168">
        <f>+H$7*$E447</f>
        <v>0</v>
      </c>
      <c r="I451" s="168">
        <f>+I$7*$E447</f>
        <v>0</v>
      </c>
      <c r="J451" s="168">
        <f>+J$7*$E447</f>
        <v>0</v>
      </c>
      <c r="K451" s="168">
        <f t="shared" ref="K451:P451" si="437">+K$7*$E447</f>
        <v>0</v>
      </c>
      <c r="L451" s="168">
        <f t="shared" si="437"/>
        <v>0</v>
      </c>
      <c r="M451" s="168">
        <f t="shared" si="437"/>
        <v>0</v>
      </c>
      <c r="N451" s="168">
        <f t="shared" si="437"/>
        <v>0</v>
      </c>
      <c r="O451" s="168">
        <f t="shared" si="437"/>
        <v>0</v>
      </c>
      <c r="P451" s="168">
        <f t="shared" si="437"/>
        <v>0</v>
      </c>
      <c r="Q451" s="190">
        <f>SUM(G451:P451)</f>
        <v>0</v>
      </c>
    </row>
    <row r="452" spans="2:17" s="119" customFormat="1" ht="19.5" hidden="1" thickBot="1" x14ac:dyDescent="0.3">
      <c r="B452" s="310"/>
      <c r="C452" s="119">
        <f t="shared" si="435"/>
        <v>0</v>
      </c>
      <c r="D452" s="109" t="s">
        <v>91</v>
      </c>
      <c r="E452" s="76" t="s">
        <v>55</v>
      </c>
      <c r="F452" s="168">
        <f>+F$8*$E447</f>
        <v>0</v>
      </c>
      <c r="G452" s="168">
        <f>+G$8*$E447</f>
        <v>0</v>
      </c>
      <c r="H452" s="168">
        <f>+H$8*$E447</f>
        <v>0</v>
      </c>
      <c r="I452" s="168">
        <f>+I$8*$E447</f>
        <v>0</v>
      </c>
      <c r="J452" s="168">
        <f>+J$8*$E447</f>
        <v>0</v>
      </c>
      <c r="K452" s="168">
        <f t="shared" ref="K452:P452" si="438">+K$8*$E447</f>
        <v>0</v>
      </c>
      <c r="L452" s="168">
        <f t="shared" si="438"/>
        <v>0</v>
      </c>
      <c r="M452" s="168">
        <f t="shared" si="438"/>
        <v>0</v>
      </c>
      <c r="N452" s="168">
        <f t="shared" si="438"/>
        <v>0</v>
      </c>
      <c r="O452" s="168">
        <f t="shared" si="438"/>
        <v>0</v>
      </c>
      <c r="P452" s="168">
        <f t="shared" si="438"/>
        <v>0</v>
      </c>
      <c r="Q452" s="190">
        <f>SUM(G452:P452)</f>
        <v>0</v>
      </c>
    </row>
    <row r="453" spans="2:17" s="119" customFormat="1" ht="19.5" hidden="1" thickBot="1" x14ac:dyDescent="0.3">
      <c r="B453" s="310"/>
      <c r="C453" s="119">
        <f t="shared" si="435"/>
        <v>0</v>
      </c>
      <c r="D453" s="130" t="s">
        <v>117</v>
      </c>
      <c r="E453" s="76" t="s">
        <v>54</v>
      </c>
      <c r="F453" s="168">
        <f>+F$9*$E447</f>
        <v>0</v>
      </c>
      <c r="G453" s="168">
        <f>+G$9*$E447</f>
        <v>0</v>
      </c>
      <c r="H453" s="168">
        <f>+H$9*$E447</f>
        <v>0</v>
      </c>
      <c r="I453" s="168">
        <f>+I$9*$E447</f>
        <v>0</v>
      </c>
      <c r="J453" s="168">
        <f>+J$9*$E447</f>
        <v>0</v>
      </c>
      <c r="K453" s="168">
        <f t="shared" ref="K453:P453" si="439">+K$9*$E447</f>
        <v>0</v>
      </c>
      <c r="L453" s="168">
        <f t="shared" si="439"/>
        <v>0</v>
      </c>
      <c r="M453" s="168">
        <f t="shared" si="439"/>
        <v>0</v>
      </c>
      <c r="N453" s="168">
        <f t="shared" si="439"/>
        <v>0</v>
      </c>
      <c r="O453" s="168">
        <f t="shared" si="439"/>
        <v>0</v>
      </c>
      <c r="P453" s="168">
        <f t="shared" si="439"/>
        <v>0</v>
      </c>
      <c r="Q453" s="190">
        <f>SUM(G453:P453)</f>
        <v>0</v>
      </c>
    </row>
    <row r="454" spans="2:17" s="119" customFormat="1" ht="19.5" hidden="1" thickBot="1" x14ac:dyDescent="0.3">
      <c r="B454" s="310"/>
      <c r="C454" s="119">
        <f t="shared" si="435"/>
        <v>0</v>
      </c>
      <c r="D454" s="112" t="s">
        <v>31</v>
      </c>
      <c r="E454" s="76"/>
      <c r="F454" s="167"/>
      <c r="G454" s="185"/>
      <c r="H454" s="185"/>
      <c r="I454" s="185"/>
      <c r="J454" s="185"/>
      <c r="K454" s="185"/>
      <c r="L454" s="185"/>
      <c r="M454" s="185"/>
      <c r="N454" s="185"/>
      <c r="O454" s="185"/>
      <c r="P454" s="185"/>
      <c r="Q454" s="171"/>
    </row>
    <row r="455" spans="2:17" s="119" customFormat="1" ht="19.5" hidden="1" thickBot="1" x14ac:dyDescent="0.35">
      <c r="B455" s="310"/>
      <c r="C455" s="119">
        <f t="shared" si="435"/>
        <v>0</v>
      </c>
      <c r="D455" s="125" t="s">
        <v>118</v>
      </c>
      <c r="E455" s="76" t="s">
        <v>53</v>
      </c>
      <c r="F455" s="168">
        <f>+F$11*$E447</f>
        <v>0</v>
      </c>
      <c r="G455" s="168">
        <f>+G$11*$E447</f>
        <v>0</v>
      </c>
      <c r="H455" s="168">
        <f>+H$11*$E447</f>
        <v>0</v>
      </c>
      <c r="I455" s="168">
        <f>+I$11*$E447</f>
        <v>0</v>
      </c>
      <c r="J455" s="168">
        <f>+J$11*$E447</f>
        <v>0</v>
      </c>
      <c r="K455" s="168">
        <f t="shared" ref="K455:P455" si="440">+K$11*$E447</f>
        <v>0</v>
      </c>
      <c r="L455" s="168">
        <f t="shared" si="440"/>
        <v>0</v>
      </c>
      <c r="M455" s="168">
        <f t="shared" si="440"/>
        <v>0</v>
      </c>
      <c r="N455" s="168">
        <f t="shared" si="440"/>
        <v>0</v>
      </c>
      <c r="O455" s="168">
        <f t="shared" si="440"/>
        <v>0</v>
      </c>
      <c r="P455" s="168">
        <f t="shared" si="440"/>
        <v>0</v>
      </c>
      <c r="Q455" s="190">
        <f t="shared" ref="Q455:Q461" si="441">SUM(G455:P455)</f>
        <v>0</v>
      </c>
    </row>
    <row r="456" spans="2:17" s="119" customFormat="1" ht="19.5" hidden="1" thickBot="1" x14ac:dyDescent="0.35">
      <c r="B456" s="310"/>
      <c r="C456" s="119">
        <f t="shared" si="435"/>
        <v>0</v>
      </c>
      <c r="D456" s="125" t="s">
        <v>119</v>
      </c>
      <c r="E456" s="76" t="s">
        <v>52</v>
      </c>
      <c r="F456" s="168">
        <f>+F$12*$E447</f>
        <v>0</v>
      </c>
      <c r="G456" s="168">
        <f>+G$12*$E447</f>
        <v>0</v>
      </c>
      <c r="H456" s="168">
        <f>+H$12*$E447</f>
        <v>0</v>
      </c>
      <c r="I456" s="168">
        <f>+I$12*$E447</f>
        <v>0</v>
      </c>
      <c r="J456" s="168">
        <f>+J$12*$E447</f>
        <v>0</v>
      </c>
      <c r="K456" s="168">
        <f t="shared" ref="K456:P456" si="442">+K$12*$E447</f>
        <v>0</v>
      </c>
      <c r="L456" s="168">
        <f t="shared" si="442"/>
        <v>0</v>
      </c>
      <c r="M456" s="168">
        <f t="shared" si="442"/>
        <v>0</v>
      </c>
      <c r="N456" s="168">
        <f t="shared" si="442"/>
        <v>0</v>
      </c>
      <c r="O456" s="168">
        <f t="shared" si="442"/>
        <v>0</v>
      </c>
      <c r="P456" s="168">
        <f t="shared" si="442"/>
        <v>0</v>
      </c>
      <c r="Q456" s="190">
        <f t="shared" si="441"/>
        <v>0</v>
      </c>
    </row>
    <row r="457" spans="2:17" s="119" customFormat="1" ht="19.5" hidden="1" thickBot="1" x14ac:dyDescent="0.35">
      <c r="B457" s="310"/>
      <c r="C457" s="119">
        <f t="shared" si="435"/>
        <v>0</v>
      </c>
      <c r="D457" s="125" t="s">
        <v>120</v>
      </c>
      <c r="E457" s="76" t="s">
        <v>51</v>
      </c>
      <c r="F457" s="168">
        <f>+F$13*$E447</f>
        <v>0</v>
      </c>
      <c r="G457" s="168">
        <f>+G$13*$E447</f>
        <v>0</v>
      </c>
      <c r="H457" s="168">
        <f>+H$13*$E447</f>
        <v>0</v>
      </c>
      <c r="I457" s="168">
        <f>+I$13*$E447</f>
        <v>0</v>
      </c>
      <c r="J457" s="168">
        <f>+J$13*$E447</f>
        <v>0</v>
      </c>
      <c r="K457" s="168">
        <f t="shared" ref="K457:P457" si="443">+K$13*$E447</f>
        <v>0</v>
      </c>
      <c r="L457" s="168">
        <f t="shared" si="443"/>
        <v>0</v>
      </c>
      <c r="M457" s="168">
        <f t="shared" si="443"/>
        <v>0</v>
      </c>
      <c r="N457" s="168">
        <f t="shared" si="443"/>
        <v>0</v>
      </c>
      <c r="O457" s="168">
        <f t="shared" si="443"/>
        <v>0</v>
      </c>
      <c r="P457" s="168">
        <f t="shared" si="443"/>
        <v>0</v>
      </c>
      <c r="Q457" s="190">
        <f t="shared" si="441"/>
        <v>0</v>
      </c>
    </row>
    <row r="458" spans="2:17" s="119" customFormat="1" ht="19.5" hidden="1" thickBot="1" x14ac:dyDescent="0.35">
      <c r="B458" s="310"/>
      <c r="C458" s="119">
        <f t="shared" si="435"/>
        <v>0</v>
      </c>
      <c r="D458" s="125" t="s">
        <v>121</v>
      </c>
      <c r="E458" s="76" t="s">
        <v>50</v>
      </c>
      <c r="F458" s="168">
        <f>+F$14*$E447</f>
        <v>0</v>
      </c>
      <c r="G458" s="168">
        <f>+G$14*$E447</f>
        <v>0</v>
      </c>
      <c r="H458" s="168">
        <f>+H$14*$E447</f>
        <v>0</v>
      </c>
      <c r="I458" s="168">
        <f>+I$14*$E447</f>
        <v>0</v>
      </c>
      <c r="J458" s="168">
        <f>+J$14*$E447</f>
        <v>0</v>
      </c>
      <c r="K458" s="168">
        <f t="shared" ref="K458:P458" si="444">+K$14*$E447</f>
        <v>0</v>
      </c>
      <c r="L458" s="168">
        <f t="shared" si="444"/>
        <v>0</v>
      </c>
      <c r="M458" s="168">
        <f t="shared" si="444"/>
        <v>0</v>
      </c>
      <c r="N458" s="168">
        <f t="shared" si="444"/>
        <v>0</v>
      </c>
      <c r="O458" s="168">
        <f t="shared" si="444"/>
        <v>0</v>
      </c>
      <c r="P458" s="168">
        <f t="shared" si="444"/>
        <v>0</v>
      </c>
      <c r="Q458" s="190">
        <f t="shared" si="441"/>
        <v>0</v>
      </c>
    </row>
    <row r="459" spans="2:17" s="119" customFormat="1" ht="19.5" hidden="1" thickBot="1" x14ac:dyDescent="0.35">
      <c r="B459" s="310"/>
      <c r="C459" s="119">
        <f t="shared" si="435"/>
        <v>0</v>
      </c>
      <c r="D459" s="125" t="s">
        <v>122</v>
      </c>
      <c r="E459" s="76" t="s">
        <v>49</v>
      </c>
      <c r="F459" s="168">
        <f>+F$15*$E447</f>
        <v>0</v>
      </c>
      <c r="G459" s="168">
        <f>+G$15*$E447</f>
        <v>0</v>
      </c>
      <c r="H459" s="168">
        <f>+H$15*$E447</f>
        <v>0</v>
      </c>
      <c r="I459" s="168">
        <f>+I$15*$E447</f>
        <v>0</v>
      </c>
      <c r="J459" s="168">
        <f>+J$15*$E447</f>
        <v>0</v>
      </c>
      <c r="K459" s="168">
        <f t="shared" ref="K459:P459" si="445">+K$15*$E447</f>
        <v>0</v>
      </c>
      <c r="L459" s="168">
        <f t="shared" si="445"/>
        <v>0</v>
      </c>
      <c r="M459" s="168">
        <f t="shared" si="445"/>
        <v>0</v>
      </c>
      <c r="N459" s="168">
        <f t="shared" si="445"/>
        <v>0</v>
      </c>
      <c r="O459" s="168">
        <f t="shared" si="445"/>
        <v>0</v>
      </c>
      <c r="P459" s="168">
        <f t="shared" si="445"/>
        <v>0</v>
      </c>
      <c r="Q459" s="190">
        <f t="shared" si="441"/>
        <v>0</v>
      </c>
    </row>
    <row r="460" spans="2:17" s="119" customFormat="1" ht="19.5" hidden="1" thickBot="1" x14ac:dyDescent="0.35">
      <c r="B460" s="310"/>
      <c r="C460" s="119">
        <f t="shared" si="435"/>
        <v>0</v>
      </c>
      <c r="D460" s="125" t="s">
        <v>123</v>
      </c>
      <c r="E460" s="76" t="s">
        <v>47</v>
      </c>
      <c r="F460" s="168">
        <f>+F$16*$E447</f>
        <v>0</v>
      </c>
      <c r="G460" s="168">
        <f>+G$16*$E447</f>
        <v>0</v>
      </c>
      <c r="H460" s="168">
        <f>+H$16*$E447</f>
        <v>0</v>
      </c>
      <c r="I460" s="168">
        <f>+I$16*$E447</f>
        <v>0</v>
      </c>
      <c r="J460" s="168">
        <f>+J$16*$E447</f>
        <v>0</v>
      </c>
      <c r="K460" s="168">
        <f t="shared" ref="K460:P460" si="446">+K$16*$E447</f>
        <v>0</v>
      </c>
      <c r="L460" s="168">
        <f t="shared" si="446"/>
        <v>0</v>
      </c>
      <c r="M460" s="168">
        <f t="shared" si="446"/>
        <v>0</v>
      </c>
      <c r="N460" s="168">
        <f t="shared" si="446"/>
        <v>0</v>
      </c>
      <c r="O460" s="168">
        <f t="shared" si="446"/>
        <v>0</v>
      </c>
      <c r="P460" s="168">
        <f t="shared" si="446"/>
        <v>0</v>
      </c>
      <c r="Q460" s="190">
        <f t="shared" si="441"/>
        <v>0</v>
      </c>
    </row>
    <row r="461" spans="2:17" s="119" customFormat="1" ht="19.5" hidden="1" thickBot="1" x14ac:dyDescent="0.35">
      <c r="B461" s="310"/>
      <c r="C461" s="119">
        <f t="shared" si="435"/>
        <v>0</v>
      </c>
      <c r="D461" s="125" t="s">
        <v>16</v>
      </c>
      <c r="E461" s="70" t="s">
        <v>77</v>
      </c>
      <c r="F461" s="168">
        <f>+F$17*$E447</f>
        <v>0</v>
      </c>
      <c r="G461" s="168">
        <f>+G$17*$E447</f>
        <v>0</v>
      </c>
      <c r="H461" s="168">
        <f>+H$17*$E447</f>
        <v>0</v>
      </c>
      <c r="I461" s="168">
        <f>+I$17*$E447</f>
        <v>0</v>
      </c>
      <c r="J461" s="168">
        <f>+J$17*$E447</f>
        <v>0</v>
      </c>
      <c r="K461" s="168">
        <f t="shared" ref="K461:P461" si="447">+K$17*$E447</f>
        <v>0</v>
      </c>
      <c r="L461" s="168">
        <f t="shared" si="447"/>
        <v>0</v>
      </c>
      <c r="M461" s="168">
        <f t="shared" si="447"/>
        <v>0</v>
      </c>
      <c r="N461" s="168">
        <f t="shared" si="447"/>
        <v>0</v>
      </c>
      <c r="O461" s="168">
        <f t="shared" si="447"/>
        <v>0</v>
      </c>
      <c r="P461" s="168">
        <f t="shared" si="447"/>
        <v>0</v>
      </c>
      <c r="Q461" s="190">
        <f t="shared" si="441"/>
        <v>0</v>
      </c>
    </row>
    <row r="462" spans="2:17" s="119" customFormat="1" ht="19.5" hidden="1" thickBot="1" x14ac:dyDescent="0.3">
      <c r="B462" s="310"/>
      <c r="C462" s="119">
        <f t="shared" si="435"/>
        <v>0</v>
      </c>
      <c r="D462" s="131" t="s">
        <v>124</v>
      </c>
      <c r="E462" s="116" t="s">
        <v>78</v>
      </c>
      <c r="F462" s="169">
        <f t="shared" ref="F462:Q462" si="448">SUBTOTAL(9,F450:F461)</f>
        <v>0</v>
      </c>
      <c r="G462" s="170">
        <f t="shared" si="448"/>
        <v>0</v>
      </c>
      <c r="H462" s="170">
        <f t="shared" si="448"/>
        <v>0</v>
      </c>
      <c r="I462" s="170">
        <f t="shared" si="448"/>
        <v>0</v>
      </c>
      <c r="J462" s="170">
        <f t="shared" si="448"/>
        <v>0</v>
      </c>
      <c r="K462" s="170">
        <f t="shared" ref="K462:P462" si="449">SUBTOTAL(9,K450:K461)</f>
        <v>0</v>
      </c>
      <c r="L462" s="170">
        <f t="shared" si="449"/>
        <v>0</v>
      </c>
      <c r="M462" s="170">
        <f t="shared" si="449"/>
        <v>0</v>
      </c>
      <c r="N462" s="170">
        <f t="shared" si="449"/>
        <v>0</v>
      </c>
      <c r="O462" s="170">
        <f t="shared" si="449"/>
        <v>0</v>
      </c>
      <c r="P462" s="170">
        <f t="shared" si="449"/>
        <v>0</v>
      </c>
      <c r="Q462" s="170">
        <f t="shared" si="448"/>
        <v>0</v>
      </c>
    </row>
    <row r="463" spans="2:17" s="119" customFormat="1" ht="15.75" hidden="1" thickBot="1" x14ac:dyDescent="0.3">
      <c r="B463" s="310"/>
      <c r="D463" s="117"/>
      <c r="E463" s="132"/>
      <c r="F463" s="117"/>
      <c r="G463" s="117"/>
      <c r="H463" s="118"/>
      <c r="I463" s="118"/>
      <c r="J463" s="118"/>
      <c r="K463" s="118"/>
      <c r="L463" s="118"/>
      <c r="M463" s="118"/>
      <c r="N463" s="118"/>
      <c r="O463" s="118"/>
      <c r="P463" s="118"/>
      <c r="Q463" s="118"/>
    </row>
    <row r="464" spans="2:17" s="119" customFormat="1" ht="45.75" hidden="1" thickBot="1" x14ac:dyDescent="0.3">
      <c r="B464" s="310"/>
      <c r="C464" s="119">
        <f>IF(E464&gt;0,1,0)</f>
        <v>0</v>
      </c>
      <c r="D464" s="96" t="str">
        <f>+A30</f>
        <v>Madison</v>
      </c>
      <c r="E464" s="166">
        <f>+SUMIF(A:A,D464,B:B)</f>
        <v>0</v>
      </c>
      <c r="F464" s="98" t="s">
        <v>97</v>
      </c>
      <c r="G464" s="98" t="s">
        <v>126</v>
      </c>
      <c r="H464" s="98" t="s">
        <v>127</v>
      </c>
      <c r="I464" s="99" t="s">
        <v>128</v>
      </c>
      <c r="J464" s="99" t="s">
        <v>131</v>
      </c>
      <c r="K464" s="560" t="s">
        <v>474</v>
      </c>
      <c r="L464" s="560" t="s">
        <v>475</v>
      </c>
      <c r="M464" s="560" t="s">
        <v>476</v>
      </c>
      <c r="N464" s="560" t="s">
        <v>477</v>
      </c>
      <c r="O464" s="560" t="s">
        <v>478</v>
      </c>
      <c r="P464" s="560" t="s">
        <v>479</v>
      </c>
      <c r="Q464" s="99" t="s">
        <v>129</v>
      </c>
    </row>
    <row r="465" spans="2:17" s="119" customFormat="1" ht="19.5" hidden="1" thickBot="1" x14ac:dyDescent="0.3">
      <c r="B465" s="310"/>
      <c r="C465" s="119">
        <f>C464</f>
        <v>0</v>
      </c>
      <c r="D465" s="127"/>
      <c r="E465" s="128"/>
      <c r="F465" s="84" t="s">
        <v>57</v>
      </c>
      <c r="G465" s="84" t="s">
        <v>56</v>
      </c>
      <c r="H465" s="84" t="s">
        <v>55</v>
      </c>
      <c r="I465" s="84" t="s">
        <v>54</v>
      </c>
      <c r="J465" s="129" t="s">
        <v>53</v>
      </c>
      <c r="K465" s="129" t="s">
        <v>52</v>
      </c>
      <c r="L465" s="129" t="s">
        <v>51</v>
      </c>
      <c r="M465" s="129" t="s">
        <v>50</v>
      </c>
      <c r="N465" s="129" t="s">
        <v>49</v>
      </c>
      <c r="O465" s="129" t="s">
        <v>47</v>
      </c>
      <c r="P465" s="129" t="s">
        <v>77</v>
      </c>
      <c r="Q465" s="129" t="s">
        <v>78</v>
      </c>
    </row>
    <row r="466" spans="2:17" s="119" customFormat="1" ht="19.5" hidden="1" thickBot="1" x14ac:dyDescent="0.3">
      <c r="B466" s="310"/>
      <c r="C466" s="119">
        <f>C465</f>
        <v>0</v>
      </c>
      <c r="D466" s="133" t="s">
        <v>26</v>
      </c>
      <c r="E466" s="134"/>
      <c r="F466" s="135"/>
      <c r="G466" s="135"/>
      <c r="H466" s="136"/>
      <c r="I466" s="136"/>
      <c r="J466" s="137"/>
      <c r="K466" s="137"/>
      <c r="L466" s="137"/>
      <c r="M466" s="137"/>
      <c r="N466" s="137"/>
      <c r="O466" s="137"/>
      <c r="P466" s="137"/>
      <c r="Q466" s="138"/>
    </row>
    <row r="467" spans="2:17" s="119" customFormat="1" ht="19.5" hidden="1" thickBot="1" x14ac:dyDescent="0.3">
      <c r="B467" s="310"/>
      <c r="C467" s="119">
        <f t="shared" ref="C467:C479" si="450">C466</f>
        <v>0</v>
      </c>
      <c r="D467" s="109" t="s">
        <v>93</v>
      </c>
      <c r="E467" s="76" t="s">
        <v>57</v>
      </c>
      <c r="F467" s="168">
        <f>+F$6*$E464</f>
        <v>0</v>
      </c>
      <c r="G467" s="168">
        <f>+G$6*$E464</f>
        <v>0</v>
      </c>
      <c r="H467" s="168">
        <f>+H$6*$E464</f>
        <v>0</v>
      </c>
      <c r="I467" s="168">
        <f>+I$6*$E464</f>
        <v>0</v>
      </c>
      <c r="J467" s="168">
        <f>+J$6*$E464</f>
        <v>0</v>
      </c>
      <c r="K467" s="168">
        <f t="shared" ref="K467:P467" si="451">+K$6*$E464</f>
        <v>0</v>
      </c>
      <c r="L467" s="168">
        <f t="shared" si="451"/>
        <v>0</v>
      </c>
      <c r="M467" s="168">
        <f t="shared" si="451"/>
        <v>0</v>
      </c>
      <c r="N467" s="168">
        <f t="shared" si="451"/>
        <v>0</v>
      </c>
      <c r="O467" s="168">
        <f t="shared" si="451"/>
        <v>0</v>
      </c>
      <c r="P467" s="168">
        <f t="shared" si="451"/>
        <v>0</v>
      </c>
      <c r="Q467" s="190">
        <f>SUM(G467:P467)</f>
        <v>0</v>
      </c>
    </row>
    <row r="468" spans="2:17" s="119" customFormat="1" ht="19.5" hidden="1" thickBot="1" x14ac:dyDescent="0.3">
      <c r="B468" s="310"/>
      <c r="C468" s="119">
        <f t="shared" si="450"/>
        <v>0</v>
      </c>
      <c r="D468" s="110" t="s">
        <v>132</v>
      </c>
      <c r="E468" s="76" t="s">
        <v>56</v>
      </c>
      <c r="F468" s="168">
        <f>+F$7*$E464</f>
        <v>0</v>
      </c>
      <c r="G468" s="168">
        <f>+G$7*$E464</f>
        <v>0</v>
      </c>
      <c r="H468" s="168">
        <f>+H$7*$E464</f>
        <v>0</v>
      </c>
      <c r="I468" s="168">
        <f>+I$7*$E464</f>
        <v>0</v>
      </c>
      <c r="J468" s="168">
        <f>+J$7*$E464</f>
        <v>0</v>
      </c>
      <c r="K468" s="168">
        <f t="shared" ref="K468:P468" si="452">+K$7*$E464</f>
        <v>0</v>
      </c>
      <c r="L468" s="168">
        <f t="shared" si="452"/>
        <v>0</v>
      </c>
      <c r="M468" s="168">
        <f t="shared" si="452"/>
        <v>0</v>
      </c>
      <c r="N468" s="168">
        <f t="shared" si="452"/>
        <v>0</v>
      </c>
      <c r="O468" s="168">
        <f t="shared" si="452"/>
        <v>0</v>
      </c>
      <c r="P468" s="168">
        <f t="shared" si="452"/>
        <v>0</v>
      </c>
      <c r="Q468" s="190">
        <f>SUM(G468:P468)</f>
        <v>0</v>
      </c>
    </row>
    <row r="469" spans="2:17" s="119" customFormat="1" ht="19.5" hidden="1" thickBot="1" x14ac:dyDescent="0.3">
      <c r="B469" s="310"/>
      <c r="C469" s="119">
        <f t="shared" si="450"/>
        <v>0</v>
      </c>
      <c r="D469" s="109" t="s">
        <v>91</v>
      </c>
      <c r="E469" s="76" t="s">
        <v>55</v>
      </c>
      <c r="F469" s="168">
        <f>+F$8*$E464</f>
        <v>0</v>
      </c>
      <c r="G469" s="168">
        <f>+G$8*$E464</f>
        <v>0</v>
      </c>
      <c r="H469" s="168">
        <f>+H$8*$E464</f>
        <v>0</v>
      </c>
      <c r="I469" s="168">
        <f>+I$8*$E464</f>
        <v>0</v>
      </c>
      <c r="J469" s="168">
        <f>+J$8*$E464</f>
        <v>0</v>
      </c>
      <c r="K469" s="168">
        <f t="shared" ref="K469:P469" si="453">+K$8*$E464</f>
        <v>0</v>
      </c>
      <c r="L469" s="168">
        <f t="shared" si="453"/>
        <v>0</v>
      </c>
      <c r="M469" s="168">
        <f t="shared" si="453"/>
        <v>0</v>
      </c>
      <c r="N469" s="168">
        <f t="shared" si="453"/>
        <v>0</v>
      </c>
      <c r="O469" s="168">
        <f t="shared" si="453"/>
        <v>0</v>
      </c>
      <c r="P469" s="168">
        <f t="shared" si="453"/>
        <v>0</v>
      </c>
      <c r="Q469" s="190">
        <f>SUM(G469:P469)</f>
        <v>0</v>
      </c>
    </row>
    <row r="470" spans="2:17" s="119" customFormat="1" ht="19.5" hidden="1" thickBot="1" x14ac:dyDescent="0.3">
      <c r="B470" s="310"/>
      <c r="C470" s="119">
        <f t="shared" si="450"/>
        <v>0</v>
      </c>
      <c r="D470" s="130" t="s">
        <v>117</v>
      </c>
      <c r="E470" s="76" t="s">
        <v>54</v>
      </c>
      <c r="F470" s="168">
        <f>+F$9*$E464</f>
        <v>0</v>
      </c>
      <c r="G470" s="168">
        <f>+G$9*$E464</f>
        <v>0</v>
      </c>
      <c r="H470" s="168">
        <f>+H$9*$E464</f>
        <v>0</v>
      </c>
      <c r="I470" s="168">
        <f>+I$9*$E464</f>
        <v>0</v>
      </c>
      <c r="J470" s="168">
        <f>+J$9*$E464</f>
        <v>0</v>
      </c>
      <c r="K470" s="168">
        <f t="shared" ref="K470:P470" si="454">+K$9*$E464</f>
        <v>0</v>
      </c>
      <c r="L470" s="168">
        <f t="shared" si="454"/>
        <v>0</v>
      </c>
      <c r="M470" s="168">
        <f t="shared" si="454"/>
        <v>0</v>
      </c>
      <c r="N470" s="168">
        <f t="shared" si="454"/>
        <v>0</v>
      </c>
      <c r="O470" s="168">
        <f t="shared" si="454"/>
        <v>0</v>
      </c>
      <c r="P470" s="168">
        <f t="shared" si="454"/>
        <v>0</v>
      </c>
      <c r="Q470" s="190">
        <f>SUM(G470:P470)</f>
        <v>0</v>
      </c>
    </row>
    <row r="471" spans="2:17" s="119" customFormat="1" ht="19.5" hidden="1" thickBot="1" x14ac:dyDescent="0.3">
      <c r="B471" s="310"/>
      <c r="C471" s="119">
        <f t="shared" si="450"/>
        <v>0</v>
      </c>
      <c r="D471" s="112" t="s">
        <v>31</v>
      </c>
      <c r="E471" s="76"/>
      <c r="F471" s="167"/>
      <c r="G471" s="185"/>
      <c r="H471" s="185"/>
      <c r="I471" s="185"/>
      <c r="J471" s="185"/>
      <c r="K471" s="185"/>
      <c r="L471" s="185"/>
      <c r="M471" s="185"/>
      <c r="N471" s="185"/>
      <c r="O471" s="185"/>
      <c r="P471" s="185"/>
      <c r="Q471" s="171"/>
    </row>
    <row r="472" spans="2:17" s="119" customFormat="1" ht="19.5" hidden="1" thickBot="1" x14ac:dyDescent="0.35">
      <c r="B472" s="310"/>
      <c r="C472" s="119">
        <f t="shared" si="450"/>
        <v>0</v>
      </c>
      <c r="D472" s="125" t="s">
        <v>118</v>
      </c>
      <c r="E472" s="76" t="s">
        <v>53</v>
      </c>
      <c r="F472" s="168">
        <f>+F$11*$E464</f>
        <v>0</v>
      </c>
      <c r="G472" s="168">
        <f>+G$11*$E464</f>
        <v>0</v>
      </c>
      <c r="H472" s="168">
        <f>+H$11*$E464</f>
        <v>0</v>
      </c>
      <c r="I472" s="168">
        <f>+I$11*$E464</f>
        <v>0</v>
      </c>
      <c r="J472" s="168">
        <f>+J$11*$E464</f>
        <v>0</v>
      </c>
      <c r="K472" s="168">
        <f t="shared" ref="K472:P472" si="455">+K$11*$E464</f>
        <v>0</v>
      </c>
      <c r="L472" s="168">
        <f t="shared" si="455"/>
        <v>0</v>
      </c>
      <c r="M472" s="168">
        <f t="shared" si="455"/>
        <v>0</v>
      </c>
      <c r="N472" s="168">
        <f t="shared" si="455"/>
        <v>0</v>
      </c>
      <c r="O472" s="168">
        <f t="shared" si="455"/>
        <v>0</v>
      </c>
      <c r="P472" s="168">
        <f t="shared" si="455"/>
        <v>0</v>
      </c>
      <c r="Q472" s="190">
        <f t="shared" ref="Q472:Q478" si="456">SUM(G472:P472)</f>
        <v>0</v>
      </c>
    </row>
    <row r="473" spans="2:17" s="119" customFormat="1" ht="19.5" hidden="1" thickBot="1" x14ac:dyDescent="0.35">
      <c r="B473" s="310"/>
      <c r="C473" s="119">
        <f t="shared" si="450"/>
        <v>0</v>
      </c>
      <c r="D473" s="125" t="s">
        <v>119</v>
      </c>
      <c r="E473" s="76" t="s">
        <v>52</v>
      </c>
      <c r="F473" s="168">
        <f>+F$12*$E464</f>
        <v>0</v>
      </c>
      <c r="G473" s="168">
        <f>+G$12*$E464</f>
        <v>0</v>
      </c>
      <c r="H473" s="168">
        <f>+H$12*$E464</f>
        <v>0</v>
      </c>
      <c r="I473" s="168">
        <f>+I$12*$E464</f>
        <v>0</v>
      </c>
      <c r="J473" s="168">
        <f>+J$12*$E464</f>
        <v>0</v>
      </c>
      <c r="K473" s="168">
        <f t="shared" ref="K473:P473" si="457">+K$12*$E464</f>
        <v>0</v>
      </c>
      <c r="L473" s="168">
        <f t="shared" si="457"/>
        <v>0</v>
      </c>
      <c r="M473" s="168">
        <f t="shared" si="457"/>
        <v>0</v>
      </c>
      <c r="N473" s="168">
        <f t="shared" si="457"/>
        <v>0</v>
      </c>
      <c r="O473" s="168">
        <f t="shared" si="457"/>
        <v>0</v>
      </c>
      <c r="P473" s="168">
        <f t="shared" si="457"/>
        <v>0</v>
      </c>
      <c r="Q473" s="190">
        <f t="shared" si="456"/>
        <v>0</v>
      </c>
    </row>
    <row r="474" spans="2:17" s="119" customFormat="1" ht="19.5" hidden="1" thickBot="1" x14ac:dyDescent="0.35">
      <c r="B474" s="310"/>
      <c r="C474" s="119">
        <f t="shared" si="450"/>
        <v>0</v>
      </c>
      <c r="D474" s="125" t="s">
        <v>120</v>
      </c>
      <c r="E474" s="76" t="s">
        <v>51</v>
      </c>
      <c r="F474" s="168">
        <f>+F$13*$E464</f>
        <v>0</v>
      </c>
      <c r="G474" s="168">
        <f>+G$13*$E464</f>
        <v>0</v>
      </c>
      <c r="H474" s="168">
        <f>+H$13*$E464</f>
        <v>0</v>
      </c>
      <c r="I474" s="168">
        <f>+I$13*$E464</f>
        <v>0</v>
      </c>
      <c r="J474" s="168">
        <f>+J$13*$E464</f>
        <v>0</v>
      </c>
      <c r="K474" s="168">
        <f t="shared" ref="K474:P474" si="458">+K$13*$E464</f>
        <v>0</v>
      </c>
      <c r="L474" s="168">
        <f t="shared" si="458"/>
        <v>0</v>
      </c>
      <c r="M474" s="168">
        <f t="shared" si="458"/>
        <v>0</v>
      </c>
      <c r="N474" s="168">
        <f t="shared" si="458"/>
        <v>0</v>
      </c>
      <c r="O474" s="168">
        <f t="shared" si="458"/>
        <v>0</v>
      </c>
      <c r="P474" s="168">
        <f t="shared" si="458"/>
        <v>0</v>
      </c>
      <c r="Q474" s="190">
        <f t="shared" si="456"/>
        <v>0</v>
      </c>
    </row>
    <row r="475" spans="2:17" s="119" customFormat="1" ht="19.5" hidden="1" thickBot="1" x14ac:dyDescent="0.35">
      <c r="B475" s="310"/>
      <c r="C475" s="119">
        <f t="shared" si="450"/>
        <v>0</v>
      </c>
      <c r="D475" s="125" t="s">
        <v>121</v>
      </c>
      <c r="E475" s="76" t="s">
        <v>50</v>
      </c>
      <c r="F475" s="168">
        <f>+F$14*$E464</f>
        <v>0</v>
      </c>
      <c r="G475" s="168">
        <f>+G$14*$E464</f>
        <v>0</v>
      </c>
      <c r="H475" s="168">
        <f>+H$14*$E464</f>
        <v>0</v>
      </c>
      <c r="I475" s="168">
        <f>+I$14*$E464</f>
        <v>0</v>
      </c>
      <c r="J475" s="168">
        <f>+J$14*$E464</f>
        <v>0</v>
      </c>
      <c r="K475" s="168">
        <f t="shared" ref="K475:P475" si="459">+K$14*$E464</f>
        <v>0</v>
      </c>
      <c r="L475" s="168">
        <f t="shared" si="459"/>
        <v>0</v>
      </c>
      <c r="M475" s="168">
        <f t="shared" si="459"/>
        <v>0</v>
      </c>
      <c r="N475" s="168">
        <f t="shared" si="459"/>
        <v>0</v>
      </c>
      <c r="O475" s="168">
        <f t="shared" si="459"/>
        <v>0</v>
      </c>
      <c r="P475" s="168">
        <f t="shared" si="459"/>
        <v>0</v>
      </c>
      <c r="Q475" s="190">
        <f t="shared" si="456"/>
        <v>0</v>
      </c>
    </row>
    <row r="476" spans="2:17" s="119" customFormat="1" ht="19.5" hidden="1" thickBot="1" x14ac:dyDescent="0.35">
      <c r="B476" s="310"/>
      <c r="C476" s="119">
        <f t="shared" si="450"/>
        <v>0</v>
      </c>
      <c r="D476" s="125" t="s">
        <v>122</v>
      </c>
      <c r="E476" s="76" t="s">
        <v>49</v>
      </c>
      <c r="F476" s="168">
        <f>+F$15*$E464</f>
        <v>0</v>
      </c>
      <c r="G476" s="168">
        <f>+G$15*$E464</f>
        <v>0</v>
      </c>
      <c r="H476" s="168">
        <f>+H$15*$E464</f>
        <v>0</v>
      </c>
      <c r="I476" s="168">
        <f>+I$15*$E464</f>
        <v>0</v>
      </c>
      <c r="J476" s="168">
        <f>+J$15*$E464</f>
        <v>0</v>
      </c>
      <c r="K476" s="168">
        <f t="shared" ref="K476:P476" si="460">+K$15*$E464</f>
        <v>0</v>
      </c>
      <c r="L476" s="168">
        <f t="shared" si="460"/>
        <v>0</v>
      </c>
      <c r="M476" s="168">
        <f t="shared" si="460"/>
        <v>0</v>
      </c>
      <c r="N476" s="168">
        <f t="shared" si="460"/>
        <v>0</v>
      </c>
      <c r="O476" s="168">
        <f t="shared" si="460"/>
        <v>0</v>
      </c>
      <c r="P476" s="168">
        <f t="shared" si="460"/>
        <v>0</v>
      </c>
      <c r="Q476" s="190">
        <f t="shared" si="456"/>
        <v>0</v>
      </c>
    </row>
    <row r="477" spans="2:17" s="119" customFormat="1" ht="19.5" hidden="1" thickBot="1" x14ac:dyDescent="0.35">
      <c r="B477" s="310"/>
      <c r="C477" s="119">
        <f t="shared" si="450"/>
        <v>0</v>
      </c>
      <c r="D477" s="125" t="s">
        <v>123</v>
      </c>
      <c r="E477" s="76" t="s">
        <v>47</v>
      </c>
      <c r="F477" s="168">
        <f>+F$16*$E464</f>
        <v>0</v>
      </c>
      <c r="G477" s="168">
        <f>+G$16*$E464</f>
        <v>0</v>
      </c>
      <c r="H477" s="168">
        <f>+H$16*$E464</f>
        <v>0</v>
      </c>
      <c r="I477" s="168">
        <f>+I$16*$E464</f>
        <v>0</v>
      </c>
      <c r="J477" s="168">
        <f>+J$16*$E464</f>
        <v>0</v>
      </c>
      <c r="K477" s="168">
        <f t="shared" ref="K477:P477" si="461">+K$16*$E464</f>
        <v>0</v>
      </c>
      <c r="L477" s="168">
        <f t="shared" si="461"/>
        <v>0</v>
      </c>
      <c r="M477" s="168">
        <f t="shared" si="461"/>
        <v>0</v>
      </c>
      <c r="N477" s="168">
        <f t="shared" si="461"/>
        <v>0</v>
      </c>
      <c r="O477" s="168">
        <f t="shared" si="461"/>
        <v>0</v>
      </c>
      <c r="P477" s="168">
        <f t="shared" si="461"/>
        <v>0</v>
      </c>
      <c r="Q477" s="190">
        <f t="shared" si="456"/>
        <v>0</v>
      </c>
    </row>
    <row r="478" spans="2:17" s="119" customFormat="1" ht="19.5" hidden="1" thickBot="1" x14ac:dyDescent="0.35">
      <c r="B478" s="310"/>
      <c r="C478" s="119">
        <f t="shared" si="450"/>
        <v>0</v>
      </c>
      <c r="D478" s="125" t="s">
        <v>16</v>
      </c>
      <c r="E478" s="70" t="s">
        <v>77</v>
      </c>
      <c r="F478" s="168">
        <f>+F$17*$E464</f>
        <v>0</v>
      </c>
      <c r="G478" s="168">
        <f>+G$17*$E464</f>
        <v>0</v>
      </c>
      <c r="H478" s="168">
        <f>+H$17*$E464</f>
        <v>0</v>
      </c>
      <c r="I478" s="168">
        <f>+I$17*$E464</f>
        <v>0</v>
      </c>
      <c r="J478" s="168">
        <f>+J$17*$E464</f>
        <v>0</v>
      </c>
      <c r="K478" s="168">
        <f t="shared" ref="K478:P478" si="462">+K$17*$E464</f>
        <v>0</v>
      </c>
      <c r="L478" s="168">
        <f t="shared" si="462"/>
        <v>0</v>
      </c>
      <c r="M478" s="168">
        <f t="shared" si="462"/>
        <v>0</v>
      </c>
      <c r="N478" s="168">
        <f t="shared" si="462"/>
        <v>0</v>
      </c>
      <c r="O478" s="168">
        <f t="shared" si="462"/>
        <v>0</v>
      </c>
      <c r="P478" s="168">
        <f t="shared" si="462"/>
        <v>0</v>
      </c>
      <c r="Q478" s="190">
        <f t="shared" si="456"/>
        <v>0</v>
      </c>
    </row>
    <row r="479" spans="2:17" s="119" customFormat="1" ht="19.5" hidden="1" thickBot="1" x14ac:dyDescent="0.3">
      <c r="B479" s="310"/>
      <c r="C479" s="119">
        <f t="shared" si="450"/>
        <v>0</v>
      </c>
      <c r="D479" s="131" t="s">
        <v>124</v>
      </c>
      <c r="E479" s="116" t="s">
        <v>78</v>
      </c>
      <c r="F479" s="169">
        <f t="shared" ref="F479:Q479" si="463">SUBTOTAL(9,F467:F478)</f>
        <v>0</v>
      </c>
      <c r="G479" s="170">
        <f t="shared" si="463"/>
        <v>0</v>
      </c>
      <c r="H479" s="170">
        <f t="shared" si="463"/>
        <v>0</v>
      </c>
      <c r="I479" s="170">
        <f t="shared" si="463"/>
        <v>0</v>
      </c>
      <c r="J479" s="170">
        <f t="shared" si="463"/>
        <v>0</v>
      </c>
      <c r="K479" s="170">
        <f t="shared" ref="K479:P479" si="464">SUBTOTAL(9,K467:K478)</f>
        <v>0</v>
      </c>
      <c r="L479" s="170">
        <f t="shared" si="464"/>
        <v>0</v>
      </c>
      <c r="M479" s="170">
        <f t="shared" si="464"/>
        <v>0</v>
      </c>
      <c r="N479" s="170">
        <f t="shared" si="464"/>
        <v>0</v>
      </c>
      <c r="O479" s="170">
        <f t="shared" si="464"/>
        <v>0</v>
      </c>
      <c r="P479" s="170">
        <f t="shared" si="464"/>
        <v>0</v>
      </c>
      <c r="Q479" s="170">
        <f t="shared" si="463"/>
        <v>0</v>
      </c>
    </row>
    <row r="480" spans="2:17" s="119" customFormat="1" ht="15.75" hidden="1" thickBot="1" x14ac:dyDescent="0.3">
      <c r="B480" s="310"/>
      <c r="D480" s="117"/>
      <c r="E480" s="132"/>
      <c r="F480" s="117"/>
      <c r="G480" s="117"/>
      <c r="H480" s="118"/>
      <c r="I480" s="118"/>
      <c r="J480" s="118"/>
      <c r="K480" s="118"/>
      <c r="L480" s="118"/>
      <c r="M480" s="118"/>
      <c r="N480" s="118"/>
      <c r="O480" s="118"/>
      <c r="P480" s="118"/>
      <c r="Q480" s="118"/>
    </row>
    <row r="481" spans="2:17" s="119" customFormat="1" ht="45.75" hidden="1" thickBot="1" x14ac:dyDescent="0.3">
      <c r="B481" s="310"/>
      <c r="C481" s="119">
        <f>IF(E481&gt;0,1,0)</f>
        <v>0</v>
      </c>
      <c r="D481" s="96" t="str">
        <f>+A31</f>
        <v>Monroe</v>
      </c>
      <c r="E481" s="166">
        <f>+SUMIF(A:A,D481,B:B)</f>
        <v>0</v>
      </c>
      <c r="F481" s="98" t="s">
        <v>97</v>
      </c>
      <c r="G481" s="98" t="s">
        <v>126</v>
      </c>
      <c r="H481" s="98" t="s">
        <v>127</v>
      </c>
      <c r="I481" s="99" t="s">
        <v>128</v>
      </c>
      <c r="J481" s="99" t="s">
        <v>131</v>
      </c>
      <c r="K481" s="560" t="s">
        <v>474</v>
      </c>
      <c r="L481" s="560" t="s">
        <v>475</v>
      </c>
      <c r="M481" s="560" t="s">
        <v>476</v>
      </c>
      <c r="N481" s="560" t="s">
        <v>477</v>
      </c>
      <c r="O481" s="560" t="s">
        <v>478</v>
      </c>
      <c r="P481" s="560" t="s">
        <v>479</v>
      </c>
      <c r="Q481" s="99" t="s">
        <v>129</v>
      </c>
    </row>
    <row r="482" spans="2:17" s="119" customFormat="1" ht="19.5" hidden="1" thickBot="1" x14ac:dyDescent="0.3">
      <c r="B482" s="310"/>
      <c r="C482" s="119">
        <f>C481</f>
        <v>0</v>
      </c>
      <c r="D482" s="127"/>
      <c r="E482" s="128"/>
      <c r="F482" s="84" t="s">
        <v>57</v>
      </c>
      <c r="G482" s="84" t="s">
        <v>56</v>
      </c>
      <c r="H482" s="84" t="s">
        <v>55</v>
      </c>
      <c r="I482" s="84" t="s">
        <v>54</v>
      </c>
      <c r="J482" s="129" t="s">
        <v>53</v>
      </c>
      <c r="K482" s="129" t="s">
        <v>52</v>
      </c>
      <c r="L482" s="129" t="s">
        <v>51</v>
      </c>
      <c r="M482" s="129" t="s">
        <v>50</v>
      </c>
      <c r="N482" s="129" t="s">
        <v>49</v>
      </c>
      <c r="O482" s="129" t="s">
        <v>47</v>
      </c>
      <c r="P482" s="129" t="s">
        <v>77</v>
      </c>
      <c r="Q482" s="129" t="s">
        <v>78</v>
      </c>
    </row>
    <row r="483" spans="2:17" s="119" customFormat="1" ht="19.5" hidden="1" thickBot="1" x14ac:dyDescent="0.3">
      <c r="B483" s="310"/>
      <c r="C483" s="119">
        <f>C482</f>
        <v>0</v>
      </c>
      <c r="D483" s="133" t="s">
        <v>26</v>
      </c>
      <c r="E483" s="134"/>
      <c r="F483" s="135"/>
      <c r="G483" s="135"/>
      <c r="H483" s="136"/>
      <c r="I483" s="136"/>
      <c r="J483" s="137"/>
      <c r="K483" s="137"/>
      <c r="L483" s="137"/>
      <c r="M483" s="137"/>
      <c r="N483" s="137"/>
      <c r="O483" s="137"/>
      <c r="P483" s="137"/>
      <c r="Q483" s="138"/>
    </row>
    <row r="484" spans="2:17" s="119" customFormat="1" ht="19.5" hidden="1" thickBot="1" x14ac:dyDescent="0.3">
      <c r="B484" s="310"/>
      <c r="C484" s="119">
        <f t="shared" ref="C484:C496" si="465">C483</f>
        <v>0</v>
      </c>
      <c r="D484" s="109" t="s">
        <v>93</v>
      </c>
      <c r="E484" s="76" t="s">
        <v>57</v>
      </c>
      <c r="F484" s="168">
        <f>+F$6*$E481</f>
        <v>0</v>
      </c>
      <c r="G484" s="168">
        <f>+G$6*$E481</f>
        <v>0</v>
      </c>
      <c r="H484" s="168">
        <f>+H$6*$E481</f>
        <v>0</v>
      </c>
      <c r="I484" s="168">
        <f>+I$6*$E481</f>
        <v>0</v>
      </c>
      <c r="J484" s="168">
        <f>+J$6*$E481</f>
        <v>0</v>
      </c>
      <c r="K484" s="168">
        <f t="shared" ref="K484:P484" si="466">+K$6*$E481</f>
        <v>0</v>
      </c>
      <c r="L484" s="168">
        <f t="shared" si="466"/>
        <v>0</v>
      </c>
      <c r="M484" s="168">
        <f t="shared" si="466"/>
        <v>0</v>
      </c>
      <c r="N484" s="168">
        <f t="shared" si="466"/>
        <v>0</v>
      </c>
      <c r="O484" s="168">
        <f t="shared" si="466"/>
        <v>0</v>
      </c>
      <c r="P484" s="168">
        <f t="shared" si="466"/>
        <v>0</v>
      </c>
      <c r="Q484" s="190">
        <f>SUM(G484:P484)</f>
        <v>0</v>
      </c>
    </row>
    <row r="485" spans="2:17" s="119" customFormat="1" ht="19.5" hidden="1" thickBot="1" x14ac:dyDescent="0.3">
      <c r="B485" s="310"/>
      <c r="C485" s="119">
        <f t="shared" si="465"/>
        <v>0</v>
      </c>
      <c r="D485" s="110" t="s">
        <v>132</v>
      </c>
      <c r="E485" s="76" t="s">
        <v>56</v>
      </c>
      <c r="F485" s="168">
        <f>+F$7*$E481</f>
        <v>0</v>
      </c>
      <c r="G485" s="168">
        <f>+G$7*$E481</f>
        <v>0</v>
      </c>
      <c r="H485" s="168">
        <f>+H$7*$E481</f>
        <v>0</v>
      </c>
      <c r="I485" s="168">
        <f>+I$7*$E481</f>
        <v>0</v>
      </c>
      <c r="J485" s="168">
        <f>+J$7*$E481</f>
        <v>0</v>
      </c>
      <c r="K485" s="168">
        <f t="shared" ref="K485:P485" si="467">+K$7*$E481</f>
        <v>0</v>
      </c>
      <c r="L485" s="168">
        <f t="shared" si="467"/>
        <v>0</v>
      </c>
      <c r="M485" s="168">
        <f t="shared" si="467"/>
        <v>0</v>
      </c>
      <c r="N485" s="168">
        <f t="shared" si="467"/>
        <v>0</v>
      </c>
      <c r="O485" s="168">
        <f t="shared" si="467"/>
        <v>0</v>
      </c>
      <c r="P485" s="168">
        <f t="shared" si="467"/>
        <v>0</v>
      </c>
      <c r="Q485" s="190">
        <f>SUM(G485:P485)</f>
        <v>0</v>
      </c>
    </row>
    <row r="486" spans="2:17" s="119" customFormat="1" ht="19.5" hidden="1" thickBot="1" x14ac:dyDescent="0.3">
      <c r="B486" s="310"/>
      <c r="C486" s="119">
        <f t="shared" si="465"/>
        <v>0</v>
      </c>
      <c r="D486" s="109" t="s">
        <v>91</v>
      </c>
      <c r="E486" s="76" t="s">
        <v>55</v>
      </c>
      <c r="F486" s="168">
        <f>+F$8*$E481</f>
        <v>0</v>
      </c>
      <c r="G486" s="168">
        <f>+G$8*$E481</f>
        <v>0</v>
      </c>
      <c r="H486" s="168">
        <f>+H$8*$E481</f>
        <v>0</v>
      </c>
      <c r="I486" s="168">
        <f>+I$8*$E481</f>
        <v>0</v>
      </c>
      <c r="J486" s="168">
        <f>+J$8*$E481</f>
        <v>0</v>
      </c>
      <c r="K486" s="168">
        <f t="shared" ref="K486:P486" si="468">+K$8*$E481</f>
        <v>0</v>
      </c>
      <c r="L486" s="168">
        <f t="shared" si="468"/>
        <v>0</v>
      </c>
      <c r="M486" s="168">
        <f t="shared" si="468"/>
        <v>0</v>
      </c>
      <c r="N486" s="168">
        <f t="shared" si="468"/>
        <v>0</v>
      </c>
      <c r="O486" s="168">
        <f t="shared" si="468"/>
        <v>0</v>
      </c>
      <c r="P486" s="168">
        <f t="shared" si="468"/>
        <v>0</v>
      </c>
      <c r="Q486" s="190">
        <f>SUM(G486:P486)</f>
        <v>0</v>
      </c>
    </row>
    <row r="487" spans="2:17" s="119" customFormat="1" ht="19.5" hidden="1" thickBot="1" x14ac:dyDescent="0.3">
      <c r="B487" s="310"/>
      <c r="C487" s="119">
        <f t="shared" si="465"/>
        <v>0</v>
      </c>
      <c r="D487" s="130" t="s">
        <v>117</v>
      </c>
      <c r="E487" s="76" t="s">
        <v>54</v>
      </c>
      <c r="F487" s="168">
        <f>+F$9*$E481</f>
        <v>0</v>
      </c>
      <c r="G487" s="168">
        <f>+G$9*$E481</f>
        <v>0</v>
      </c>
      <c r="H487" s="168">
        <f>+H$9*$E481</f>
        <v>0</v>
      </c>
      <c r="I487" s="168">
        <f>+I$9*$E481</f>
        <v>0</v>
      </c>
      <c r="J487" s="168">
        <f>+J$9*$E481</f>
        <v>0</v>
      </c>
      <c r="K487" s="168">
        <f t="shared" ref="K487:P487" si="469">+K$9*$E481</f>
        <v>0</v>
      </c>
      <c r="L487" s="168">
        <f t="shared" si="469"/>
        <v>0</v>
      </c>
      <c r="M487" s="168">
        <f t="shared" si="469"/>
        <v>0</v>
      </c>
      <c r="N487" s="168">
        <f t="shared" si="469"/>
        <v>0</v>
      </c>
      <c r="O487" s="168">
        <f t="shared" si="469"/>
        <v>0</v>
      </c>
      <c r="P487" s="168">
        <f t="shared" si="469"/>
        <v>0</v>
      </c>
      <c r="Q487" s="190">
        <f>SUM(G487:P487)</f>
        <v>0</v>
      </c>
    </row>
    <row r="488" spans="2:17" s="119" customFormat="1" ht="19.5" hidden="1" thickBot="1" x14ac:dyDescent="0.3">
      <c r="B488" s="310"/>
      <c r="C488" s="119">
        <f t="shared" si="465"/>
        <v>0</v>
      </c>
      <c r="D488" s="112" t="s">
        <v>31</v>
      </c>
      <c r="E488" s="76"/>
      <c r="F488" s="167"/>
      <c r="G488" s="185"/>
      <c r="H488" s="185"/>
      <c r="I488" s="185"/>
      <c r="J488" s="185"/>
      <c r="K488" s="185"/>
      <c r="L488" s="185"/>
      <c r="M488" s="185"/>
      <c r="N488" s="185"/>
      <c r="O488" s="185"/>
      <c r="P488" s="185"/>
      <c r="Q488" s="171"/>
    </row>
    <row r="489" spans="2:17" s="119" customFormat="1" ht="19.5" hidden="1" thickBot="1" x14ac:dyDescent="0.35">
      <c r="B489" s="310"/>
      <c r="C489" s="119">
        <f t="shared" si="465"/>
        <v>0</v>
      </c>
      <c r="D489" s="125" t="s">
        <v>118</v>
      </c>
      <c r="E489" s="76" t="s">
        <v>53</v>
      </c>
      <c r="F489" s="168">
        <f>+F$11*$E481</f>
        <v>0</v>
      </c>
      <c r="G489" s="168">
        <f>+G$11*$E481</f>
        <v>0</v>
      </c>
      <c r="H489" s="168">
        <f>+H$11*$E481</f>
        <v>0</v>
      </c>
      <c r="I489" s="168">
        <f>+I$11*$E481</f>
        <v>0</v>
      </c>
      <c r="J489" s="168">
        <f>+J$11*$E481</f>
        <v>0</v>
      </c>
      <c r="K489" s="168">
        <f t="shared" ref="K489:P489" si="470">+K$11*$E481</f>
        <v>0</v>
      </c>
      <c r="L489" s="168">
        <f t="shared" si="470"/>
        <v>0</v>
      </c>
      <c r="M489" s="168">
        <f t="shared" si="470"/>
        <v>0</v>
      </c>
      <c r="N489" s="168">
        <f t="shared" si="470"/>
        <v>0</v>
      </c>
      <c r="O489" s="168">
        <f t="shared" si="470"/>
        <v>0</v>
      </c>
      <c r="P489" s="168">
        <f t="shared" si="470"/>
        <v>0</v>
      </c>
      <c r="Q489" s="190">
        <f t="shared" ref="Q489:Q495" si="471">SUM(G489:P489)</f>
        <v>0</v>
      </c>
    </row>
    <row r="490" spans="2:17" s="119" customFormat="1" ht="19.5" hidden="1" thickBot="1" x14ac:dyDescent="0.35">
      <c r="B490" s="310"/>
      <c r="C490" s="119">
        <f t="shared" si="465"/>
        <v>0</v>
      </c>
      <c r="D490" s="125" t="s">
        <v>119</v>
      </c>
      <c r="E490" s="76" t="s">
        <v>52</v>
      </c>
      <c r="F490" s="168">
        <f>+F$12*$E481</f>
        <v>0</v>
      </c>
      <c r="G490" s="168">
        <f>+G$12*$E481</f>
        <v>0</v>
      </c>
      <c r="H490" s="168">
        <f>+H$12*$E481</f>
        <v>0</v>
      </c>
      <c r="I490" s="168">
        <f>+I$12*$E481</f>
        <v>0</v>
      </c>
      <c r="J490" s="168">
        <f>+J$12*$E481</f>
        <v>0</v>
      </c>
      <c r="K490" s="168">
        <f t="shared" ref="K490:P490" si="472">+K$12*$E481</f>
        <v>0</v>
      </c>
      <c r="L490" s="168">
        <f t="shared" si="472"/>
        <v>0</v>
      </c>
      <c r="M490" s="168">
        <f t="shared" si="472"/>
        <v>0</v>
      </c>
      <c r="N490" s="168">
        <f t="shared" si="472"/>
        <v>0</v>
      </c>
      <c r="O490" s="168">
        <f t="shared" si="472"/>
        <v>0</v>
      </c>
      <c r="P490" s="168">
        <f t="shared" si="472"/>
        <v>0</v>
      </c>
      <c r="Q490" s="190">
        <f t="shared" si="471"/>
        <v>0</v>
      </c>
    </row>
    <row r="491" spans="2:17" s="119" customFormat="1" ht="19.5" hidden="1" thickBot="1" x14ac:dyDescent="0.35">
      <c r="B491" s="310"/>
      <c r="C491" s="119">
        <f t="shared" si="465"/>
        <v>0</v>
      </c>
      <c r="D491" s="125" t="s">
        <v>120</v>
      </c>
      <c r="E491" s="76" t="s">
        <v>51</v>
      </c>
      <c r="F491" s="168">
        <f>+F$13*$E481</f>
        <v>0</v>
      </c>
      <c r="G491" s="168">
        <f>+G$13*$E481</f>
        <v>0</v>
      </c>
      <c r="H491" s="168">
        <f>+H$13*$E481</f>
        <v>0</v>
      </c>
      <c r="I491" s="168">
        <f>+I$13*$E481</f>
        <v>0</v>
      </c>
      <c r="J491" s="168">
        <f>+J$13*$E481</f>
        <v>0</v>
      </c>
      <c r="K491" s="168">
        <f t="shared" ref="K491:P491" si="473">+K$13*$E481</f>
        <v>0</v>
      </c>
      <c r="L491" s="168">
        <f t="shared" si="473"/>
        <v>0</v>
      </c>
      <c r="M491" s="168">
        <f t="shared" si="473"/>
        <v>0</v>
      </c>
      <c r="N491" s="168">
        <f t="shared" si="473"/>
        <v>0</v>
      </c>
      <c r="O491" s="168">
        <f t="shared" si="473"/>
        <v>0</v>
      </c>
      <c r="P491" s="168">
        <f t="shared" si="473"/>
        <v>0</v>
      </c>
      <c r="Q491" s="190">
        <f t="shared" si="471"/>
        <v>0</v>
      </c>
    </row>
    <row r="492" spans="2:17" s="119" customFormat="1" ht="19.5" hidden="1" thickBot="1" x14ac:dyDescent="0.35">
      <c r="B492" s="310"/>
      <c r="C492" s="119">
        <f t="shared" si="465"/>
        <v>0</v>
      </c>
      <c r="D492" s="125" t="s">
        <v>121</v>
      </c>
      <c r="E492" s="76" t="s">
        <v>50</v>
      </c>
      <c r="F492" s="168">
        <f>+F$14*$E481</f>
        <v>0</v>
      </c>
      <c r="G492" s="168">
        <f>+G$14*$E481</f>
        <v>0</v>
      </c>
      <c r="H492" s="168">
        <f>+H$14*$E481</f>
        <v>0</v>
      </c>
      <c r="I492" s="168">
        <f>+I$14*$E481</f>
        <v>0</v>
      </c>
      <c r="J492" s="168">
        <f>+J$14*$E481</f>
        <v>0</v>
      </c>
      <c r="K492" s="168">
        <f t="shared" ref="K492:P492" si="474">+K$14*$E481</f>
        <v>0</v>
      </c>
      <c r="L492" s="168">
        <f t="shared" si="474"/>
        <v>0</v>
      </c>
      <c r="M492" s="168">
        <f t="shared" si="474"/>
        <v>0</v>
      </c>
      <c r="N492" s="168">
        <f t="shared" si="474"/>
        <v>0</v>
      </c>
      <c r="O492" s="168">
        <f t="shared" si="474"/>
        <v>0</v>
      </c>
      <c r="P492" s="168">
        <f t="shared" si="474"/>
        <v>0</v>
      </c>
      <c r="Q492" s="190">
        <f t="shared" si="471"/>
        <v>0</v>
      </c>
    </row>
    <row r="493" spans="2:17" s="119" customFormat="1" ht="19.5" hidden="1" thickBot="1" x14ac:dyDescent="0.35">
      <c r="B493" s="310"/>
      <c r="C493" s="119">
        <f t="shared" si="465"/>
        <v>0</v>
      </c>
      <c r="D493" s="125" t="s">
        <v>122</v>
      </c>
      <c r="E493" s="76" t="s">
        <v>49</v>
      </c>
      <c r="F493" s="168">
        <f>+F$15*$E481</f>
        <v>0</v>
      </c>
      <c r="G493" s="168">
        <f>+G$15*$E481</f>
        <v>0</v>
      </c>
      <c r="H493" s="168">
        <f>+H$15*$E481</f>
        <v>0</v>
      </c>
      <c r="I493" s="168">
        <f>+I$15*$E481</f>
        <v>0</v>
      </c>
      <c r="J493" s="168">
        <f>+J$15*$E481</f>
        <v>0</v>
      </c>
      <c r="K493" s="168">
        <f t="shared" ref="K493:P493" si="475">+K$15*$E481</f>
        <v>0</v>
      </c>
      <c r="L493" s="168">
        <f t="shared" si="475"/>
        <v>0</v>
      </c>
      <c r="M493" s="168">
        <f t="shared" si="475"/>
        <v>0</v>
      </c>
      <c r="N493" s="168">
        <f t="shared" si="475"/>
        <v>0</v>
      </c>
      <c r="O493" s="168">
        <f t="shared" si="475"/>
        <v>0</v>
      </c>
      <c r="P493" s="168">
        <f t="shared" si="475"/>
        <v>0</v>
      </c>
      <c r="Q493" s="190">
        <f t="shared" si="471"/>
        <v>0</v>
      </c>
    </row>
    <row r="494" spans="2:17" s="119" customFormat="1" ht="19.5" hidden="1" thickBot="1" x14ac:dyDescent="0.35">
      <c r="B494" s="310"/>
      <c r="C494" s="119">
        <f t="shared" si="465"/>
        <v>0</v>
      </c>
      <c r="D494" s="125" t="s">
        <v>123</v>
      </c>
      <c r="E494" s="76" t="s">
        <v>47</v>
      </c>
      <c r="F494" s="168">
        <f>+F$16*$E481</f>
        <v>0</v>
      </c>
      <c r="G494" s="168">
        <f>+G$16*$E481</f>
        <v>0</v>
      </c>
      <c r="H494" s="168">
        <f>+H$16*$E481</f>
        <v>0</v>
      </c>
      <c r="I494" s="168">
        <f>+I$16*$E481</f>
        <v>0</v>
      </c>
      <c r="J494" s="168">
        <f>+J$16*$E481</f>
        <v>0</v>
      </c>
      <c r="K494" s="168">
        <f t="shared" ref="K494:P494" si="476">+K$16*$E481</f>
        <v>0</v>
      </c>
      <c r="L494" s="168">
        <f t="shared" si="476"/>
        <v>0</v>
      </c>
      <c r="M494" s="168">
        <f t="shared" si="476"/>
        <v>0</v>
      </c>
      <c r="N494" s="168">
        <f t="shared" si="476"/>
        <v>0</v>
      </c>
      <c r="O494" s="168">
        <f t="shared" si="476"/>
        <v>0</v>
      </c>
      <c r="P494" s="168">
        <f t="shared" si="476"/>
        <v>0</v>
      </c>
      <c r="Q494" s="190">
        <f t="shared" si="471"/>
        <v>0</v>
      </c>
    </row>
    <row r="495" spans="2:17" s="119" customFormat="1" ht="19.5" hidden="1" thickBot="1" x14ac:dyDescent="0.35">
      <c r="B495" s="310"/>
      <c r="C495" s="119">
        <f t="shared" si="465"/>
        <v>0</v>
      </c>
      <c r="D495" s="125" t="s">
        <v>16</v>
      </c>
      <c r="E495" s="70" t="s">
        <v>77</v>
      </c>
      <c r="F495" s="168">
        <f>+F$17*$E481</f>
        <v>0</v>
      </c>
      <c r="G495" s="168">
        <f>+G$17*$E481</f>
        <v>0</v>
      </c>
      <c r="H495" s="168">
        <f>+H$17*$E481</f>
        <v>0</v>
      </c>
      <c r="I495" s="168">
        <f>+I$17*$E481</f>
        <v>0</v>
      </c>
      <c r="J495" s="168">
        <f>+J$17*$E481</f>
        <v>0</v>
      </c>
      <c r="K495" s="168">
        <f t="shared" ref="K495:P495" si="477">+K$17*$E481</f>
        <v>0</v>
      </c>
      <c r="L495" s="168">
        <f t="shared" si="477"/>
        <v>0</v>
      </c>
      <c r="M495" s="168">
        <f t="shared" si="477"/>
        <v>0</v>
      </c>
      <c r="N495" s="168">
        <f t="shared" si="477"/>
        <v>0</v>
      </c>
      <c r="O495" s="168">
        <f t="shared" si="477"/>
        <v>0</v>
      </c>
      <c r="P495" s="168">
        <f t="shared" si="477"/>
        <v>0</v>
      </c>
      <c r="Q495" s="190">
        <f t="shared" si="471"/>
        <v>0</v>
      </c>
    </row>
    <row r="496" spans="2:17" s="119" customFormat="1" ht="19.5" hidden="1" thickBot="1" x14ac:dyDescent="0.3">
      <c r="B496" s="310"/>
      <c r="C496" s="119">
        <f t="shared" si="465"/>
        <v>0</v>
      </c>
      <c r="D496" s="131" t="s">
        <v>124</v>
      </c>
      <c r="E496" s="116" t="s">
        <v>78</v>
      </c>
      <c r="F496" s="169">
        <f t="shared" ref="F496:Q496" si="478">SUBTOTAL(9,F484:F495)</f>
        <v>0</v>
      </c>
      <c r="G496" s="170">
        <f t="shared" si="478"/>
        <v>0</v>
      </c>
      <c r="H496" s="170">
        <f t="shared" si="478"/>
        <v>0</v>
      </c>
      <c r="I496" s="170">
        <f t="shared" si="478"/>
        <v>0</v>
      </c>
      <c r="J496" s="170">
        <f t="shared" si="478"/>
        <v>0</v>
      </c>
      <c r="K496" s="170">
        <f t="shared" ref="K496:P496" si="479">SUBTOTAL(9,K484:K495)</f>
        <v>0</v>
      </c>
      <c r="L496" s="170">
        <f t="shared" si="479"/>
        <v>0</v>
      </c>
      <c r="M496" s="170">
        <f t="shared" si="479"/>
        <v>0</v>
      </c>
      <c r="N496" s="170">
        <f t="shared" si="479"/>
        <v>0</v>
      </c>
      <c r="O496" s="170">
        <f t="shared" si="479"/>
        <v>0</v>
      </c>
      <c r="P496" s="170">
        <f t="shared" si="479"/>
        <v>0</v>
      </c>
      <c r="Q496" s="170">
        <f t="shared" si="478"/>
        <v>0</v>
      </c>
    </row>
    <row r="497" spans="2:17" s="119" customFormat="1" ht="15.75" hidden="1" thickBot="1" x14ac:dyDescent="0.3">
      <c r="B497" s="310"/>
      <c r="D497" s="117"/>
      <c r="E497" s="132"/>
      <c r="F497" s="117"/>
      <c r="G497" s="117"/>
      <c r="H497" s="118"/>
      <c r="I497" s="118"/>
      <c r="J497" s="118"/>
      <c r="K497" s="118"/>
      <c r="L497" s="118"/>
      <c r="M497" s="118"/>
      <c r="N497" s="118"/>
      <c r="O497" s="118"/>
      <c r="P497" s="118"/>
      <c r="Q497" s="118"/>
    </row>
    <row r="498" spans="2:17" s="119" customFormat="1" ht="45" x14ac:dyDescent="0.25">
      <c r="B498" s="310"/>
      <c r="C498" s="119">
        <f>IF(E498&gt;0,1,0)</f>
        <v>1</v>
      </c>
      <c r="D498" s="96" t="str">
        <f>+A32</f>
        <v>Montgomery</v>
      </c>
      <c r="E498" s="166">
        <f>+SUMIF(A:A,D498,B:B)</f>
        <v>1.7109272327241044E-4</v>
      </c>
      <c r="F498" s="98" t="s">
        <v>97</v>
      </c>
      <c r="G498" s="98" t="s">
        <v>126</v>
      </c>
      <c r="H498" s="98" t="s">
        <v>127</v>
      </c>
      <c r="I498" s="99" t="s">
        <v>128</v>
      </c>
      <c r="J498" s="99" t="s">
        <v>131</v>
      </c>
      <c r="K498" s="560" t="s">
        <v>474</v>
      </c>
      <c r="L498" s="560" t="s">
        <v>475</v>
      </c>
      <c r="M498" s="560" t="s">
        <v>476</v>
      </c>
      <c r="N498" s="560" t="s">
        <v>477</v>
      </c>
      <c r="O498" s="560" t="s">
        <v>478</v>
      </c>
      <c r="P498" s="560" t="s">
        <v>479</v>
      </c>
      <c r="Q498" s="99" t="s">
        <v>129</v>
      </c>
    </row>
    <row r="499" spans="2:17" s="119" customFormat="1" ht="18.75" x14ac:dyDescent="0.25">
      <c r="B499" s="310"/>
      <c r="C499" s="119">
        <f>C498</f>
        <v>1</v>
      </c>
      <c r="D499" s="127"/>
      <c r="E499" s="128"/>
      <c r="F499" s="84" t="s">
        <v>57</v>
      </c>
      <c r="G499" s="84" t="s">
        <v>56</v>
      </c>
      <c r="H499" s="84" t="s">
        <v>55</v>
      </c>
      <c r="I499" s="84" t="s">
        <v>54</v>
      </c>
      <c r="J499" s="129" t="s">
        <v>53</v>
      </c>
      <c r="K499" s="129" t="s">
        <v>52</v>
      </c>
      <c r="L499" s="129" t="s">
        <v>51</v>
      </c>
      <c r="M499" s="129" t="s">
        <v>50</v>
      </c>
      <c r="N499" s="129" t="s">
        <v>49</v>
      </c>
      <c r="O499" s="129" t="s">
        <v>47</v>
      </c>
      <c r="P499" s="129" t="s">
        <v>77</v>
      </c>
      <c r="Q499" s="129" t="s">
        <v>78</v>
      </c>
    </row>
    <row r="500" spans="2:17" s="119" customFormat="1" ht="18.75" x14ac:dyDescent="0.25">
      <c r="B500" s="310"/>
      <c r="C500" s="119">
        <f>C499</f>
        <v>1</v>
      </c>
      <c r="D500" s="133" t="s">
        <v>26</v>
      </c>
      <c r="E500" s="134"/>
      <c r="F500" s="135"/>
      <c r="G500" s="135"/>
      <c r="H500" s="136"/>
      <c r="I500" s="136"/>
      <c r="J500" s="137"/>
      <c r="K500" s="137"/>
      <c r="L500" s="137"/>
      <c r="M500" s="137"/>
      <c r="N500" s="137"/>
      <c r="O500" s="137"/>
      <c r="P500" s="137"/>
      <c r="Q500" s="138"/>
    </row>
    <row r="501" spans="2:17" s="119" customFormat="1" ht="18.75" x14ac:dyDescent="0.25">
      <c r="B501" s="310"/>
      <c r="C501" s="119">
        <f t="shared" ref="C501:C513" si="480">C500</f>
        <v>1</v>
      </c>
      <c r="D501" s="109" t="s">
        <v>93</v>
      </c>
      <c r="E501" s="76" t="s">
        <v>57</v>
      </c>
      <c r="F501" s="168">
        <f>+F$6*$E498</f>
        <v>0.5965713447532075</v>
      </c>
      <c r="G501" s="168">
        <f>+G$6*$E498</f>
        <v>1146.5676656416977</v>
      </c>
      <c r="H501" s="168">
        <f>+H$6*$E498</f>
        <v>53.418761683962039</v>
      </c>
      <c r="I501" s="168">
        <f>+I$6*$E498</f>
        <v>0.18167138635234356</v>
      </c>
      <c r="J501" s="168">
        <f>+J$6*$E498</f>
        <v>19.16898063099212</v>
      </c>
      <c r="K501" s="168">
        <f t="shared" ref="K501:P501" si="481">+K$6*$E498</f>
        <v>21.035704897528081</v>
      </c>
      <c r="L501" s="168">
        <f t="shared" si="481"/>
        <v>0.49150662078081708</v>
      </c>
      <c r="M501" s="168">
        <f t="shared" si="481"/>
        <v>0</v>
      </c>
      <c r="N501" s="168">
        <f t="shared" si="481"/>
        <v>4.1062253585378503E-3</v>
      </c>
      <c r="O501" s="168">
        <f t="shared" si="481"/>
        <v>0</v>
      </c>
      <c r="P501" s="168">
        <f t="shared" si="481"/>
        <v>0</v>
      </c>
      <c r="Q501" s="190">
        <f>SUM(G501:P501)</f>
        <v>1240.8683970866716</v>
      </c>
    </row>
    <row r="502" spans="2:17" s="119" customFormat="1" ht="18.75" x14ac:dyDescent="0.25">
      <c r="B502" s="310"/>
      <c r="C502" s="119">
        <f t="shared" si="480"/>
        <v>1</v>
      </c>
      <c r="D502" s="110" t="s">
        <v>132</v>
      </c>
      <c r="E502" s="76" t="s">
        <v>56</v>
      </c>
      <c r="F502" s="168">
        <f>+F$7*$E498</f>
        <v>0</v>
      </c>
      <c r="G502" s="168">
        <f>+G$7*$E498</f>
        <v>0</v>
      </c>
      <c r="H502" s="168">
        <f>+H$7*$E498</f>
        <v>0</v>
      </c>
      <c r="I502" s="168">
        <f>+I$7*$E498</f>
        <v>0</v>
      </c>
      <c r="J502" s="168">
        <f>+J$7*$E498</f>
        <v>0</v>
      </c>
      <c r="K502" s="168">
        <f t="shared" ref="K502:P502" si="482">+K$7*$E498</f>
        <v>0</v>
      </c>
      <c r="L502" s="168">
        <f t="shared" si="482"/>
        <v>0</v>
      </c>
      <c r="M502" s="168">
        <f t="shared" si="482"/>
        <v>0</v>
      </c>
      <c r="N502" s="168">
        <f t="shared" si="482"/>
        <v>0</v>
      </c>
      <c r="O502" s="168">
        <f t="shared" si="482"/>
        <v>0</v>
      </c>
      <c r="P502" s="168">
        <f t="shared" si="482"/>
        <v>0</v>
      </c>
      <c r="Q502" s="190">
        <f>SUM(G502:P502)</f>
        <v>0</v>
      </c>
    </row>
    <row r="503" spans="2:17" s="119" customFormat="1" ht="18.75" x14ac:dyDescent="0.25">
      <c r="B503" s="310"/>
      <c r="C503" s="119">
        <f t="shared" si="480"/>
        <v>1</v>
      </c>
      <c r="D503" s="109" t="s">
        <v>91</v>
      </c>
      <c r="E503" s="76" t="s">
        <v>55</v>
      </c>
      <c r="F503" s="168">
        <f>+F$8*$E498</f>
        <v>7.4554888007707205E-4</v>
      </c>
      <c r="G503" s="168">
        <f>+G$8*$E498</f>
        <v>1.5208004439876384</v>
      </c>
      <c r="H503" s="168">
        <f>+H$8*$E498</f>
        <v>0</v>
      </c>
      <c r="I503" s="168">
        <f>+I$8*$E498</f>
        <v>0</v>
      </c>
      <c r="J503" s="168">
        <f>+J$8*$E498</f>
        <v>2.3097517641775409E-2</v>
      </c>
      <c r="K503" s="168">
        <f t="shared" ref="K503:P503" si="483">+K$8*$E498</f>
        <v>6.8437089308964177E-3</v>
      </c>
      <c r="L503" s="168">
        <f t="shared" si="483"/>
        <v>0</v>
      </c>
      <c r="M503" s="168">
        <f t="shared" si="483"/>
        <v>0</v>
      </c>
      <c r="N503" s="168">
        <f t="shared" si="483"/>
        <v>0</v>
      </c>
      <c r="O503" s="168">
        <f t="shared" si="483"/>
        <v>0</v>
      </c>
      <c r="P503" s="168">
        <f t="shared" si="483"/>
        <v>0</v>
      </c>
      <c r="Q503" s="190">
        <f>SUM(G503:P503)</f>
        <v>1.5507416705603101</v>
      </c>
    </row>
    <row r="504" spans="2:17" s="119" customFormat="1" ht="18.75" x14ac:dyDescent="0.25">
      <c r="B504" s="310"/>
      <c r="C504" s="119">
        <f t="shared" si="480"/>
        <v>1</v>
      </c>
      <c r="D504" s="130" t="s">
        <v>117</v>
      </c>
      <c r="E504" s="76" t="s">
        <v>54</v>
      </c>
      <c r="F504" s="168">
        <f>+F$9*$E498</f>
        <v>0</v>
      </c>
      <c r="G504" s="168">
        <f>+G$9*$E498</f>
        <v>0</v>
      </c>
      <c r="H504" s="168">
        <f>+H$9*$E498</f>
        <v>0</v>
      </c>
      <c r="I504" s="168">
        <f>+I$9*$E498</f>
        <v>0</v>
      </c>
      <c r="J504" s="168">
        <f>+J$9*$E498</f>
        <v>0</v>
      </c>
      <c r="K504" s="168">
        <f t="shared" ref="K504:P504" si="484">+K$9*$E498</f>
        <v>0</v>
      </c>
      <c r="L504" s="168">
        <f t="shared" si="484"/>
        <v>0</v>
      </c>
      <c r="M504" s="168">
        <f t="shared" si="484"/>
        <v>0</v>
      </c>
      <c r="N504" s="168">
        <f t="shared" si="484"/>
        <v>0</v>
      </c>
      <c r="O504" s="168">
        <f t="shared" si="484"/>
        <v>0</v>
      </c>
      <c r="P504" s="168">
        <f t="shared" si="484"/>
        <v>0</v>
      </c>
      <c r="Q504" s="190">
        <f>SUM(G504:P504)</f>
        <v>0</v>
      </c>
    </row>
    <row r="505" spans="2:17" s="119" customFormat="1" ht="18.75" x14ac:dyDescent="0.25">
      <c r="B505" s="310"/>
      <c r="C505" s="119">
        <f t="shared" si="480"/>
        <v>1</v>
      </c>
      <c r="D505" s="112" t="s">
        <v>31</v>
      </c>
      <c r="E505" s="76"/>
      <c r="F505" s="167"/>
      <c r="G505" s="185"/>
      <c r="H505" s="185"/>
      <c r="I505" s="185"/>
      <c r="J505" s="185"/>
      <c r="K505" s="185"/>
      <c r="L505" s="185"/>
      <c r="M505" s="185"/>
      <c r="N505" s="185"/>
      <c r="O505" s="185"/>
      <c r="P505" s="185"/>
      <c r="Q505" s="171"/>
    </row>
    <row r="506" spans="2:17" s="119" customFormat="1" ht="18.75" x14ac:dyDescent="0.3">
      <c r="B506" s="310"/>
      <c r="C506" s="119">
        <f t="shared" si="480"/>
        <v>1</v>
      </c>
      <c r="D506" s="125" t="s">
        <v>118</v>
      </c>
      <c r="E506" s="76" t="s">
        <v>53</v>
      </c>
      <c r="F506" s="168">
        <f>+F$11*$E498</f>
        <v>0</v>
      </c>
      <c r="G506" s="168">
        <f>+G$11*$E498</f>
        <v>0</v>
      </c>
      <c r="H506" s="168">
        <f>+H$11*$E498</f>
        <v>0</v>
      </c>
      <c r="I506" s="168">
        <f>+I$11*$E498</f>
        <v>0</v>
      </c>
      <c r="J506" s="168">
        <f>+J$11*$E498</f>
        <v>0</v>
      </c>
      <c r="K506" s="168">
        <f t="shared" ref="K506:P506" si="485">+K$11*$E498</f>
        <v>0</v>
      </c>
      <c r="L506" s="168">
        <f t="shared" si="485"/>
        <v>0</v>
      </c>
      <c r="M506" s="168">
        <f t="shared" si="485"/>
        <v>0</v>
      </c>
      <c r="N506" s="168">
        <f t="shared" si="485"/>
        <v>0</v>
      </c>
      <c r="O506" s="168">
        <f t="shared" si="485"/>
        <v>0</v>
      </c>
      <c r="P506" s="168">
        <f t="shared" si="485"/>
        <v>0</v>
      </c>
      <c r="Q506" s="190">
        <f t="shared" ref="Q506:Q512" si="486">SUM(G506:P506)</f>
        <v>0</v>
      </c>
    </row>
    <row r="507" spans="2:17" s="119" customFormat="1" ht="18.75" x14ac:dyDescent="0.3">
      <c r="B507" s="310"/>
      <c r="C507" s="119">
        <f t="shared" si="480"/>
        <v>1</v>
      </c>
      <c r="D507" s="125" t="s">
        <v>119</v>
      </c>
      <c r="E507" s="76" t="s">
        <v>52</v>
      </c>
      <c r="F507" s="168">
        <f>+F$12*$E498</f>
        <v>0</v>
      </c>
      <c r="G507" s="168">
        <f>+G$12*$E498</f>
        <v>0</v>
      </c>
      <c r="H507" s="168">
        <f>+H$12*$E498</f>
        <v>0</v>
      </c>
      <c r="I507" s="168">
        <f>+I$12*$E498</f>
        <v>0</v>
      </c>
      <c r="J507" s="168">
        <f>+J$12*$E498</f>
        <v>0</v>
      </c>
      <c r="K507" s="168">
        <f t="shared" ref="K507:P507" si="487">+K$12*$E498</f>
        <v>0</v>
      </c>
      <c r="L507" s="168">
        <f t="shared" si="487"/>
        <v>0</v>
      </c>
      <c r="M507" s="168">
        <f t="shared" si="487"/>
        <v>0</v>
      </c>
      <c r="N507" s="168">
        <f t="shared" si="487"/>
        <v>0</v>
      </c>
      <c r="O507" s="168">
        <f t="shared" si="487"/>
        <v>0</v>
      </c>
      <c r="P507" s="168">
        <f t="shared" si="487"/>
        <v>0</v>
      </c>
      <c r="Q507" s="190">
        <f t="shared" si="486"/>
        <v>0</v>
      </c>
    </row>
    <row r="508" spans="2:17" s="119" customFormat="1" ht="18.75" x14ac:dyDescent="0.3">
      <c r="B508" s="310"/>
      <c r="C508" s="119">
        <f t="shared" si="480"/>
        <v>1</v>
      </c>
      <c r="D508" s="125" t="s">
        <v>120</v>
      </c>
      <c r="E508" s="76" t="s">
        <v>51</v>
      </c>
      <c r="F508" s="168">
        <f>+F$13*$E498</f>
        <v>0</v>
      </c>
      <c r="G508" s="168">
        <f>+G$13*$E498</f>
        <v>0</v>
      </c>
      <c r="H508" s="168">
        <f>+H$13*$E498</f>
        <v>0</v>
      </c>
      <c r="I508" s="168">
        <f>+I$13*$E498</f>
        <v>0</v>
      </c>
      <c r="J508" s="168">
        <f>+J$13*$E498</f>
        <v>0</v>
      </c>
      <c r="K508" s="168">
        <f t="shared" ref="K508:P508" si="488">+K$13*$E498</f>
        <v>0</v>
      </c>
      <c r="L508" s="168">
        <f t="shared" si="488"/>
        <v>0</v>
      </c>
      <c r="M508" s="168">
        <f t="shared" si="488"/>
        <v>0</v>
      </c>
      <c r="N508" s="168">
        <f t="shared" si="488"/>
        <v>0</v>
      </c>
      <c r="O508" s="168">
        <f t="shared" si="488"/>
        <v>0</v>
      </c>
      <c r="P508" s="168">
        <f t="shared" si="488"/>
        <v>0</v>
      </c>
      <c r="Q508" s="190">
        <f t="shared" si="486"/>
        <v>0</v>
      </c>
    </row>
    <row r="509" spans="2:17" s="119" customFormat="1" ht="18.75" x14ac:dyDescent="0.3">
      <c r="B509" s="310"/>
      <c r="C509" s="119">
        <f t="shared" si="480"/>
        <v>1</v>
      </c>
      <c r="D509" s="125" t="s">
        <v>121</v>
      </c>
      <c r="E509" s="76" t="s">
        <v>50</v>
      </c>
      <c r="F509" s="168">
        <f>+F$14*$E498</f>
        <v>0</v>
      </c>
      <c r="G509" s="168">
        <f>+G$14*$E498</f>
        <v>0</v>
      </c>
      <c r="H509" s="168">
        <f>+H$14*$E498</f>
        <v>0</v>
      </c>
      <c r="I509" s="168">
        <f>+I$14*$E498</f>
        <v>0</v>
      </c>
      <c r="J509" s="168">
        <f>+J$14*$E498</f>
        <v>0</v>
      </c>
      <c r="K509" s="168">
        <f t="shared" ref="K509:P509" si="489">+K$14*$E498</f>
        <v>0</v>
      </c>
      <c r="L509" s="168">
        <f t="shared" si="489"/>
        <v>0</v>
      </c>
      <c r="M509" s="168">
        <f t="shared" si="489"/>
        <v>0</v>
      </c>
      <c r="N509" s="168">
        <f t="shared" si="489"/>
        <v>0</v>
      </c>
      <c r="O509" s="168">
        <f t="shared" si="489"/>
        <v>0</v>
      </c>
      <c r="P509" s="168">
        <f t="shared" si="489"/>
        <v>0</v>
      </c>
      <c r="Q509" s="190">
        <f t="shared" si="486"/>
        <v>0</v>
      </c>
    </row>
    <row r="510" spans="2:17" s="119" customFormat="1" ht="18.75" x14ac:dyDescent="0.3">
      <c r="B510" s="310"/>
      <c r="C510" s="119">
        <f t="shared" si="480"/>
        <v>1</v>
      </c>
      <c r="D510" s="125" t="s">
        <v>122</v>
      </c>
      <c r="E510" s="76" t="s">
        <v>49</v>
      </c>
      <c r="F510" s="168">
        <f>+F$15*$E498</f>
        <v>0</v>
      </c>
      <c r="G510" s="168">
        <f>+G$15*$E498</f>
        <v>0</v>
      </c>
      <c r="H510" s="168">
        <f>+H$15*$E498</f>
        <v>0</v>
      </c>
      <c r="I510" s="168">
        <f>+I$15*$E498</f>
        <v>0</v>
      </c>
      <c r="J510" s="168">
        <f>+J$15*$E498</f>
        <v>0</v>
      </c>
      <c r="K510" s="168">
        <f t="shared" ref="K510:P510" si="490">+K$15*$E498</f>
        <v>0</v>
      </c>
      <c r="L510" s="168">
        <f t="shared" si="490"/>
        <v>0</v>
      </c>
      <c r="M510" s="168">
        <f t="shared" si="490"/>
        <v>0</v>
      </c>
      <c r="N510" s="168">
        <f t="shared" si="490"/>
        <v>0</v>
      </c>
      <c r="O510" s="168">
        <f t="shared" si="490"/>
        <v>0</v>
      </c>
      <c r="P510" s="168">
        <f t="shared" si="490"/>
        <v>0</v>
      </c>
      <c r="Q510" s="190">
        <f t="shared" si="486"/>
        <v>0</v>
      </c>
    </row>
    <row r="511" spans="2:17" s="119" customFormat="1" ht="18.75" x14ac:dyDescent="0.3">
      <c r="B511" s="310"/>
      <c r="C511" s="119">
        <f t="shared" si="480"/>
        <v>1</v>
      </c>
      <c r="D511" s="125" t="s">
        <v>123</v>
      </c>
      <c r="E511" s="76" t="s">
        <v>47</v>
      </c>
      <c r="F511" s="168">
        <f>+F$16*$E498</f>
        <v>0</v>
      </c>
      <c r="G511" s="168">
        <f>+G$16*$E498</f>
        <v>0</v>
      </c>
      <c r="H511" s="168">
        <f>+H$16*$E498</f>
        <v>0</v>
      </c>
      <c r="I511" s="168">
        <f>+I$16*$E498</f>
        <v>0</v>
      </c>
      <c r="J511" s="168">
        <f>+J$16*$E498</f>
        <v>0</v>
      </c>
      <c r="K511" s="168">
        <f t="shared" ref="K511:P511" si="491">+K$16*$E498</f>
        <v>0</v>
      </c>
      <c r="L511" s="168">
        <f t="shared" si="491"/>
        <v>0</v>
      </c>
      <c r="M511" s="168">
        <f t="shared" si="491"/>
        <v>0</v>
      </c>
      <c r="N511" s="168">
        <f t="shared" si="491"/>
        <v>0</v>
      </c>
      <c r="O511" s="168">
        <f t="shared" si="491"/>
        <v>0</v>
      </c>
      <c r="P511" s="168">
        <f t="shared" si="491"/>
        <v>0</v>
      </c>
      <c r="Q511" s="190">
        <f t="shared" si="486"/>
        <v>0</v>
      </c>
    </row>
    <row r="512" spans="2:17" s="119" customFormat="1" ht="19.5" thickBot="1" x14ac:dyDescent="0.35">
      <c r="B512" s="310"/>
      <c r="C512" s="119">
        <f t="shared" si="480"/>
        <v>1</v>
      </c>
      <c r="D512" s="125" t="s">
        <v>16</v>
      </c>
      <c r="E512" s="70" t="s">
        <v>77</v>
      </c>
      <c r="F512" s="168">
        <f>+F$17*$E498</f>
        <v>3.9431773481164445E-2</v>
      </c>
      <c r="G512" s="168">
        <f>+G$17*$E498</f>
        <v>71.166590925069087</v>
      </c>
      <c r="H512" s="168">
        <f>+H$17*$E498</f>
        <v>1.3867248898878011</v>
      </c>
      <c r="I512" s="168">
        <f>+I$17*$E498</f>
        <v>0</v>
      </c>
      <c r="J512" s="168">
        <f>+J$17*$E498</f>
        <v>0</v>
      </c>
      <c r="K512" s="168">
        <f t="shared" ref="K512:P512" si="492">+K$17*$E498</f>
        <v>4.969224489879978</v>
      </c>
      <c r="L512" s="168">
        <f t="shared" si="492"/>
        <v>0</v>
      </c>
      <c r="M512" s="168">
        <f t="shared" si="492"/>
        <v>2.6671569090573918E-3</v>
      </c>
      <c r="N512" s="168">
        <f t="shared" si="492"/>
        <v>0</v>
      </c>
      <c r="O512" s="168">
        <f t="shared" si="492"/>
        <v>0</v>
      </c>
      <c r="P512" s="168">
        <f t="shared" si="492"/>
        <v>4.4928813790761151</v>
      </c>
      <c r="Q512" s="190">
        <f t="shared" si="486"/>
        <v>82.018088840822031</v>
      </c>
    </row>
    <row r="513" spans="2:17" s="119" customFormat="1" ht="19.5" thickBot="1" x14ac:dyDescent="0.3">
      <c r="B513" s="310"/>
      <c r="C513" s="119">
        <f t="shared" si="480"/>
        <v>1</v>
      </c>
      <c r="D513" s="131" t="s">
        <v>124</v>
      </c>
      <c r="E513" s="116" t="s">
        <v>78</v>
      </c>
      <c r="F513" s="169">
        <f t="shared" ref="F513:Q513" si="493">SUBTOTAL(9,F501:F512)</f>
        <v>0.636748667114449</v>
      </c>
      <c r="G513" s="170">
        <f t="shared" si="493"/>
        <v>1219.2550570107544</v>
      </c>
      <c r="H513" s="170">
        <f t="shared" si="493"/>
        <v>54.805486573849841</v>
      </c>
      <c r="I513" s="170">
        <f t="shared" si="493"/>
        <v>0.18167138635234356</v>
      </c>
      <c r="J513" s="170">
        <f t="shared" si="493"/>
        <v>19.192078148633897</v>
      </c>
      <c r="K513" s="170">
        <f t="shared" ref="K513:P513" si="494">SUBTOTAL(9,K501:K512)</f>
        <v>26.011773096338956</v>
      </c>
      <c r="L513" s="170">
        <f t="shared" si="494"/>
        <v>0.49150662078081708</v>
      </c>
      <c r="M513" s="170">
        <f t="shared" si="494"/>
        <v>2.6671569090573918E-3</v>
      </c>
      <c r="N513" s="170">
        <f t="shared" si="494"/>
        <v>4.1062253585378503E-3</v>
      </c>
      <c r="O513" s="170">
        <f t="shared" si="494"/>
        <v>0</v>
      </c>
      <c r="P513" s="170">
        <f t="shared" si="494"/>
        <v>4.4928813790761151</v>
      </c>
      <c r="Q513" s="170">
        <f t="shared" si="493"/>
        <v>1324.4372275980538</v>
      </c>
    </row>
    <row r="514" spans="2:17" s="119" customFormat="1" ht="15.75" hidden="1" thickBot="1" x14ac:dyDescent="0.3">
      <c r="B514" s="310"/>
      <c r="D514" s="117"/>
      <c r="E514" s="132"/>
      <c r="F514" s="117"/>
      <c r="G514" s="117"/>
      <c r="H514" s="118"/>
      <c r="I514" s="118"/>
      <c r="J514" s="118"/>
      <c r="K514" s="118"/>
      <c r="L514" s="118"/>
      <c r="M514" s="118"/>
      <c r="N514" s="118"/>
      <c r="O514" s="118"/>
      <c r="P514" s="118"/>
      <c r="Q514" s="118"/>
    </row>
    <row r="515" spans="2:17" s="119" customFormat="1" ht="45" x14ac:dyDescent="0.25">
      <c r="B515" s="310"/>
      <c r="C515" s="119">
        <f>IF(E515&gt;0,1,0)</f>
        <v>1</v>
      </c>
      <c r="D515" s="96" t="str">
        <f>+A33</f>
        <v>Nassau</v>
      </c>
      <c r="E515" s="166">
        <f>+SUMIF(A:A,D515,B:B)</f>
        <v>0.12769760760357801</v>
      </c>
      <c r="F515" s="98" t="s">
        <v>97</v>
      </c>
      <c r="G515" s="98" t="s">
        <v>126</v>
      </c>
      <c r="H515" s="98" t="s">
        <v>127</v>
      </c>
      <c r="I515" s="99" t="s">
        <v>128</v>
      </c>
      <c r="J515" s="99" t="s">
        <v>131</v>
      </c>
      <c r="K515" s="560" t="s">
        <v>474</v>
      </c>
      <c r="L515" s="560" t="s">
        <v>475</v>
      </c>
      <c r="M515" s="560" t="s">
        <v>476</v>
      </c>
      <c r="N515" s="560" t="s">
        <v>477</v>
      </c>
      <c r="O515" s="560" t="s">
        <v>478</v>
      </c>
      <c r="P515" s="560" t="s">
        <v>479</v>
      </c>
      <c r="Q515" s="99" t="s">
        <v>129</v>
      </c>
    </row>
    <row r="516" spans="2:17" s="119" customFormat="1" ht="18.75" x14ac:dyDescent="0.25">
      <c r="B516" s="310"/>
      <c r="C516" s="119">
        <f>C515</f>
        <v>1</v>
      </c>
      <c r="D516" s="127"/>
      <c r="E516" s="128"/>
      <c r="F516" s="84" t="s">
        <v>57</v>
      </c>
      <c r="G516" s="84" t="s">
        <v>56</v>
      </c>
      <c r="H516" s="84" t="s">
        <v>55</v>
      </c>
      <c r="I516" s="84" t="s">
        <v>54</v>
      </c>
      <c r="J516" s="129" t="s">
        <v>53</v>
      </c>
      <c r="K516" s="129" t="s">
        <v>52</v>
      </c>
      <c r="L516" s="129" t="s">
        <v>51</v>
      </c>
      <c r="M516" s="129" t="s">
        <v>50</v>
      </c>
      <c r="N516" s="129" t="s">
        <v>49</v>
      </c>
      <c r="O516" s="129" t="s">
        <v>47</v>
      </c>
      <c r="P516" s="129" t="s">
        <v>77</v>
      </c>
      <c r="Q516" s="129" t="s">
        <v>78</v>
      </c>
    </row>
    <row r="517" spans="2:17" s="119" customFormat="1" ht="18.75" x14ac:dyDescent="0.25">
      <c r="B517" s="310"/>
      <c r="C517" s="119">
        <f>C516</f>
        <v>1</v>
      </c>
      <c r="D517" s="133" t="s">
        <v>26</v>
      </c>
      <c r="E517" s="134"/>
      <c r="F517" s="135"/>
      <c r="G517" s="135"/>
      <c r="H517" s="136"/>
      <c r="I517" s="136"/>
      <c r="J517" s="137"/>
      <c r="K517" s="137"/>
      <c r="L517" s="137"/>
      <c r="M517" s="137"/>
      <c r="N517" s="137"/>
      <c r="O517" s="137"/>
      <c r="P517" s="137"/>
      <c r="Q517" s="138"/>
    </row>
    <row r="518" spans="2:17" s="119" customFormat="1" ht="18.75" x14ac:dyDescent="0.25">
      <c r="B518" s="310"/>
      <c r="C518" s="119">
        <f t="shared" ref="C518:C530" si="495">C517</f>
        <v>1</v>
      </c>
      <c r="D518" s="109" t="s">
        <v>93</v>
      </c>
      <c r="E518" s="76" t="s">
        <v>57</v>
      </c>
      <c r="F518" s="168">
        <f>+F$6*$E515</f>
        <v>445.25992708959637</v>
      </c>
      <c r="G518" s="168">
        <f>+G$6*$E515</f>
        <v>855757.88997727598</v>
      </c>
      <c r="H518" s="168">
        <f>+H$6*$E515</f>
        <v>39869.890067309636</v>
      </c>
      <c r="I518" s="168">
        <f>+I$6*$E515</f>
        <v>135.59315068170724</v>
      </c>
      <c r="J518" s="168">
        <f>+J$6*$E515</f>
        <v>14307.054794373855</v>
      </c>
      <c r="K518" s="168">
        <f t="shared" ref="K518:P518" si="496">+K$6*$E515</f>
        <v>15700.312311893453</v>
      </c>
      <c r="L518" s="168">
        <f t="shared" si="496"/>
        <v>366.84330224317875</v>
      </c>
      <c r="M518" s="168">
        <f t="shared" si="496"/>
        <v>0</v>
      </c>
      <c r="N518" s="168">
        <f t="shared" si="496"/>
        <v>3.0647425824858723</v>
      </c>
      <c r="O518" s="168">
        <f t="shared" si="496"/>
        <v>0</v>
      </c>
      <c r="P518" s="168">
        <f t="shared" si="496"/>
        <v>0</v>
      </c>
      <c r="Q518" s="190">
        <f>SUM(G518:P518)</f>
        <v>926140.64834636019</v>
      </c>
    </row>
    <row r="519" spans="2:17" s="119" customFormat="1" ht="18.75" x14ac:dyDescent="0.25">
      <c r="B519" s="310"/>
      <c r="C519" s="119">
        <f t="shared" si="495"/>
        <v>1</v>
      </c>
      <c r="D519" s="110" t="s">
        <v>132</v>
      </c>
      <c r="E519" s="76" t="s">
        <v>56</v>
      </c>
      <c r="F519" s="168">
        <f>+F$7*$E515</f>
        <v>0</v>
      </c>
      <c r="G519" s="168">
        <f>+G$7*$E515</f>
        <v>0</v>
      </c>
      <c r="H519" s="168">
        <f>+H$7*$E515</f>
        <v>0</v>
      </c>
      <c r="I519" s="168">
        <f>+I$7*$E515</f>
        <v>0</v>
      </c>
      <c r="J519" s="168">
        <f>+J$7*$E515</f>
        <v>0</v>
      </c>
      <c r="K519" s="168">
        <f t="shared" ref="K519:P519" si="497">+K$7*$E515</f>
        <v>0</v>
      </c>
      <c r="L519" s="168">
        <f t="shared" si="497"/>
        <v>0</v>
      </c>
      <c r="M519" s="168">
        <f t="shared" si="497"/>
        <v>0</v>
      </c>
      <c r="N519" s="168">
        <f t="shared" si="497"/>
        <v>0</v>
      </c>
      <c r="O519" s="168">
        <f t="shared" si="497"/>
        <v>0</v>
      </c>
      <c r="P519" s="168">
        <f t="shared" si="497"/>
        <v>0</v>
      </c>
      <c r="Q519" s="190">
        <f>SUM(G519:P519)</f>
        <v>0</v>
      </c>
    </row>
    <row r="520" spans="2:17" s="119" customFormat="1" ht="18.75" x14ac:dyDescent="0.25">
      <c r="B520" s="310"/>
      <c r="C520" s="119">
        <f t="shared" si="495"/>
        <v>1</v>
      </c>
      <c r="D520" s="109" t="s">
        <v>91</v>
      </c>
      <c r="E520" s="76" t="s">
        <v>55</v>
      </c>
      <c r="F520" s="168">
        <f>+F$8*$E515</f>
        <v>0.55645153409467796</v>
      </c>
      <c r="G520" s="168">
        <f>+G$8*$E515</f>
        <v>1135.0721095863041</v>
      </c>
      <c r="H520" s="168">
        <f>+H$8*$E515</f>
        <v>0</v>
      </c>
      <c r="I520" s="168">
        <f>+I$8*$E515</f>
        <v>0</v>
      </c>
      <c r="J520" s="168">
        <f>+J$8*$E515</f>
        <v>17.239177026483031</v>
      </c>
      <c r="K520" s="168">
        <f t="shared" ref="K520:P520" si="498">+K$8*$E515</f>
        <v>5.1079043041431209</v>
      </c>
      <c r="L520" s="168">
        <f t="shared" si="498"/>
        <v>0</v>
      </c>
      <c r="M520" s="168">
        <f t="shared" si="498"/>
        <v>0</v>
      </c>
      <c r="N520" s="168">
        <f t="shared" si="498"/>
        <v>0</v>
      </c>
      <c r="O520" s="168">
        <f t="shared" si="498"/>
        <v>0</v>
      </c>
      <c r="P520" s="168">
        <f t="shared" si="498"/>
        <v>0</v>
      </c>
      <c r="Q520" s="190">
        <f>SUM(G520:P520)</f>
        <v>1157.4191909169303</v>
      </c>
    </row>
    <row r="521" spans="2:17" s="119" customFormat="1" ht="18.75" x14ac:dyDescent="0.25">
      <c r="B521" s="310"/>
      <c r="C521" s="119">
        <f t="shared" si="495"/>
        <v>1</v>
      </c>
      <c r="D521" s="130" t="s">
        <v>117</v>
      </c>
      <c r="E521" s="76" t="s">
        <v>54</v>
      </c>
      <c r="F521" s="168">
        <f>+F$9*$E515</f>
        <v>0</v>
      </c>
      <c r="G521" s="168">
        <f>+G$9*$E515</f>
        <v>0</v>
      </c>
      <c r="H521" s="168">
        <f>+H$9*$E515</f>
        <v>0</v>
      </c>
      <c r="I521" s="168">
        <f>+I$9*$E515</f>
        <v>0</v>
      </c>
      <c r="J521" s="168">
        <f>+J$9*$E515</f>
        <v>0</v>
      </c>
      <c r="K521" s="168">
        <f t="shared" ref="K521:P521" si="499">+K$9*$E515</f>
        <v>0</v>
      </c>
      <c r="L521" s="168">
        <f t="shared" si="499"/>
        <v>0</v>
      </c>
      <c r="M521" s="168">
        <f t="shared" si="499"/>
        <v>0</v>
      </c>
      <c r="N521" s="168">
        <f t="shared" si="499"/>
        <v>0</v>
      </c>
      <c r="O521" s="168">
        <f t="shared" si="499"/>
        <v>0</v>
      </c>
      <c r="P521" s="168">
        <f t="shared" si="499"/>
        <v>0</v>
      </c>
      <c r="Q521" s="190">
        <f>SUM(G521:P521)</f>
        <v>0</v>
      </c>
    </row>
    <row r="522" spans="2:17" s="119" customFormat="1" ht="18.75" x14ac:dyDescent="0.25">
      <c r="B522" s="310"/>
      <c r="C522" s="119">
        <f t="shared" si="495"/>
        <v>1</v>
      </c>
      <c r="D522" s="112" t="s">
        <v>31</v>
      </c>
      <c r="E522" s="76"/>
      <c r="F522" s="167"/>
      <c r="G522" s="185"/>
      <c r="H522" s="185"/>
      <c r="I522" s="185"/>
      <c r="J522" s="185"/>
      <c r="K522" s="185"/>
      <c r="L522" s="185"/>
      <c r="M522" s="185"/>
      <c r="N522" s="185"/>
      <c r="O522" s="185"/>
      <c r="P522" s="185"/>
      <c r="Q522" s="171"/>
    </row>
    <row r="523" spans="2:17" s="119" customFormat="1" ht="18.75" x14ac:dyDescent="0.3">
      <c r="B523" s="310"/>
      <c r="C523" s="119">
        <f t="shared" si="495"/>
        <v>1</v>
      </c>
      <c r="D523" s="125" t="s">
        <v>118</v>
      </c>
      <c r="E523" s="76" t="s">
        <v>53</v>
      </c>
      <c r="F523" s="168">
        <f>+F$11*$E515</f>
        <v>0</v>
      </c>
      <c r="G523" s="168">
        <f>+G$11*$E515</f>
        <v>0</v>
      </c>
      <c r="H523" s="168">
        <f>+H$11*$E515</f>
        <v>0</v>
      </c>
      <c r="I523" s="168">
        <f>+I$11*$E515</f>
        <v>0</v>
      </c>
      <c r="J523" s="168">
        <f>+J$11*$E515</f>
        <v>0</v>
      </c>
      <c r="K523" s="168">
        <f t="shared" ref="K523:P523" si="500">+K$11*$E515</f>
        <v>0</v>
      </c>
      <c r="L523" s="168">
        <f t="shared" si="500"/>
        <v>0</v>
      </c>
      <c r="M523" s="168">
        <f t="shared" si="500"/>
        <v>0</v>
      </c>
      <c r="N523" s="168">
        <f t="shared" si="500"/>
        <v>0</v>
      </c>
      <c r="O523" s="168">
        <f t="shared" si="500"/>
        <v>0</v>
      </c>
      <c r="P523" s="168">
        <f t="shared" si="500"/>
        <v>0</v>
      </c>
      <c r="Q523" s="190">
        <f t="shared" ref="Q523:Q529" si="501">SUM(G523:P523)</f>
        <v>0</v>
      </c>
    </row>
    <row r="524" spans="2:17" s="119" customFormat="1" ht="18.75" x14ac:dyDescent="0.3">
      <c r="B524" s="310"/>
      <c r="C524" s="119">
        <f t="shared" si="495"/>
        <v>1</v>
      </c>
      <c r="D524" s="125" t="s">
        <v>119</v>
      </c>
      <c r="E524" s="76" t="s">
        <v>52</v>
      </c>
      <c r="F524" s="168">
        <f>+F$12*$E515</f>
        <v>0</v>
      </c>
      <c r="G524" s="168">
        <f>+G$12*$E515</f>
        <v>0</v>
      </c>
      <c r="H524" s="168">
        <f>+H$12*$E515</f>
        <v>0</v>
      </c>
      <c r="I524" s="168">
        <f>+I$12*$E515</f>
        <v>0</v>
      </c>
      <c r="J524" s="168">
        <f>+J$12*$E515</f>
        <v>0</v>
      </c>
      <c r="K524" s="168">
        <f t="shared" ref="K524:P524" si="502">+K$12*$E515</f>
        <v>0</v>
      </c>
      <c r="L524" s="168">
        <f t="shared" si="502"/>
        <v>0</v>
      </c>
      <c r="M524" s="168">
        <f t="shared" si="502"/>
        <v>0</v>
      </c>
      <c r="N524" s="168">
        <f t="shared" si="502"/>
        <v>0</v>
      </c>
      <c r="O524" s="168">
        <f t="shared" si="502"/>
        <v>0</v>
      </c>
      <c r="P524" s="168">
        <f t="shared" si="502"/>
        <v>0</v>
      </c>
      <c r="Q524" s="190">
        <f t="shared" si="501"/>
        <v>0</v>
      </c>
    </row>
    <row r="525" spans="2:17" s="119" customFormat="1" ht="18.75" x14ac:dyDescent="0.3">
      <c r="B525" s="310"/>
      <c r="C525" s="119">
        <f t="shared" si="495"/>
        <v>1</v>
      </c>
      <c r="D525" s="125" t="s">
        <v>120</v>
      </c>
      <c r="E525" s="76" t="s">
        <v>51</v>
      </c>
      <c r="F525" s="168">
        <f>+F$13*$E515</f>
        <v>0</v>
      </c>
      <c r="G525" s="168">
        <f>+G$13*$E515</f>
        <v>0</v>
      </c>
      <c r="H525" s="168">
        <f>+H$13*$E515</f>
        <v>0</v>
      </c>
      <c r="I525" s="168">
        <f>+I$13*$E515</f>
        <v>0</v>
      </c>
      <c r="J525" s="168">
        <f>+J$13*$E515</f>
        <v>0</v>
      </c>
      <c r="K525" s="168">
        <f t="shared" ref="K525:P525" si="503">+K$13*$E515</f>
        <v>0</v>
      </c>
      <c r="L525" s="168">
        <f t="shared" si="503"/>
        <v>0</v>
      </c>
      <c r="M525" s="168">
        <f t="shared" si="503"/>
        <v>0</v>
      </c>
      <c r="N525" s="168">
        <f t="shared" si="503"/>
        <v>0</v>
      </c>
      <c r="O525" s="168">
        <f t="shared" si="503"/>
        <v>0</v>
      </c>
      <c r="P525" s="168">
        <f t="shared" si="503"/>
        <v>0</v>
      </c>
      <c r="Q525" s="190">
        <f t="shared" si="501"/>
        <v>0</v>
      </c>
    </row>
    <row r="526" spans="2:17" s="119" customFormat="1" ht="18.75" x14ac:dyDescent="0.3">
      <c r="B526" s="310"/>
      <c r="C526" s="119">
        <f t="shared" si="495"/>
        <v>1</v>
      </c>
      <c r="D526" s="125" t="s">
        <v>121</v>
      </c>
      <c r="E526" s="76" t="s">
        <v>50</v>
      </c>
      <c r="F526" s="168">
        <f>+F$14*$E515</f>
        <v>0</v>
      </c>
      <c r="G526" s="168">
        <f>+G$14*$E515</f>
        <v>0</v>
      </c>
      <c r="H526" s="168">
        <f>+H$14*$E515</f>
        <v>0</v>
      </c>
      <c r="I526" s="168">
        <f>+I$14*$E515</f>
        <v>0</v>
      </c>
      <c r="J526" s="168">
        <f>+J$14*$E515</f>
        <v>0</v>
      </c>
      <c r="K526" s="168">
        <f t="shared" ref="K526:P526" si="504">+K$14*$E515</f>
        <v>0</v>
      </c>
      <c r="L526" s="168">
        <f t="shared" si="504"/>
        <v>0</v>
      </c>
      <c r="M526" s="168">
        <f t="shared" si="504"/>
        <v>0</v>
      </c>
      <c r="N526" s="168">
        <f t="shared" si="504"/>
        <v>0</v>
      </c>
      <c r="O526" s="168">
        <f t="shared" si="504"/>
        <v>0</v>
      </c>
      <c r="P526" s="168">
        <f t="shared" si="504"/>
        <v>0</v>
      </c>
      <c r="Q526" s="190">
        <f t="shared" si="501"/>
        <v>0</v>
      </c>
    </row>
    <row r="527" spans="2:17" s="119" customFormat="1" ht="18.75" x14ac:dyDescent="0.3">
      <c r="B527" s="310"/>
      <c r="C527" s="119">
        <f t="shared" si="495"/>
        <v>1</v>
      </c>
      <c r="D527" s="125" t="s">
        <v>122</v>
      </c>
      <c r="E527" s="76" t="s">
        <v>49</v>
      </c>
      <c r="F527" s="168">
        <f>+F$15*$E515</f>
        <v>0</v>
      </c>
      <c r="G527" s="168">
        <f>+G$15*$E515</f>
        <v>0</v>
      </c>
      <c r="H527" s="168">
        <f>+H$15*$E515</f>
        <v>0</v>
      </c>
      <c r="I527" s="168">
        <f>+I$15*$E515</f>
        <v>0</v>
      </c>
      <c r="J527" s="168">
        <f>+J$15*$E515</f>
        <v>0</v>
      </c>
      <c r="K527" s="168">
        <f t="shared" ref="K527:P527" si="505">+K$15*$E515</f>
        <v>0</v>
      </c>
      <c r="L527" s="168">
        <f t="shared" si="505"/>
        <v>0</v>
      </c>
      <c r="M527" s="168">
        <f t="shared" si="505"/>
        <v>0</v>
      </c>
      <c r="N527" s="168">
        <f t="shared" si="505"/>
        <v>0</v>
      </c>
      <c r="O527" s="168">
        <f t="shared" si="505"/>
        <v>0</v>
      </c>
      <c r="P527" s="168">
        <f t="shared" si="505"/>
        <v>0</v>
      </c>
      <c r="Q527" s="190">
        <f t="shared" si="501"/>
        <v>0</v>
      </c>
    </row>
    <row r="528" spans="2:17" s="119" customFormat="1" ht="18.75" x14ac:dyDescent="0.3">
      <c r="B528" s="310"/>
      <c r="C528" s="119">
        <f t="shared" si="495"/>
        <v>1</v>
      </c>
      <c r="D528" s="125" t="s">
        <v>123</v>
      </c>
      <c r="E528" s="76" t="s">
        <v>47</v>
      </c>
      <c r="F528" s="168">
        <f>+F$16*$E515</f>
        <v>0</v>
      </c>
      <c r="G528" s="168">
        <f>+G$16*$E515</f>
        <v>0</v>
      </c>
      <c r="H528" s="168">
        <f>+H$16*$E515</f>
        <v>0</v>
      </c>
      <c r="I528" s="168">
        <f>+I$16*$E515</f>
        <v>0</v>
      </c>
      <c r="J528" s="168">
        <f>+J$16*$E515</f>
        <v>0</v>
      </c>
      <c r="K528" s="168">
        <f t="shared" ref="K528:P528" si="506">+K$16*$E515</f>
        <v>0</v>
      </c>
      <c r="L528" s="168">
        <f t="shared" si="506"/>
        <v>0</v>
      </c>
      <c r="M528" s="168">
        <f t="shared" si="506"/>
        <v>0</v>
      </c>
      <c r="N528" s="168">
        <f t="shared" si="506"/>
        <v>0</v>
      </c>
      <c r="O528" s="168">
        <f t="shared" si="506"/>
        <v>0</v>
      </c>
      <c r="P528" s="168">
        <f t="shared" si="506"/>
        <v>0</v>
      </c>
      <c r="Q528" s="190">
        <f t="shared" si="501"/>
        <v>0</v>
      </c>
    </row>
    <row r="529" spans="3:20" ht="19.5" thickBot="1" x14ac:dyDescent="0.35">
      <c r="C529" s="119">
        <f t="shared" si="495"/>
        <v>1</v>
      </c>
      <c r="D529" s="125" t="s">
        <v>16</v>
      </c>
      <c r="E529" s="70" t="s">
        <v>77</v>
      </c>
      <c r="F529" s="168">
        <f>+F$17*$E515</f>
        <v>29.430492663874062</v>
      </c>
      <c r="G529" s="168">
        <f>+G$17*$E515</f>
        <v>53116.247310906423</v>
      </c>
      <c r="H529" s="168">
        <f>+H$17*$E515</f>
        <v>1035.0028186824859</v>
      </c>
      <c r="I529" s="168">
        <f>+I$17*$E515</f>
        <v>0</v>
      </c>
      <c r="J529" s="168">
        <f>+J$17*$E515</f>
        <v>0</v>
      </c>
      <c r="K529" s="168">
        <f t="shared" ref="K529:P529" si="507">+K$17*$E515</f>
        <v>3708.8548645780379</v>
      </c>
      <c r="L529" s="168">
        <f t="shared" si="507"/>
        <v>0</v>
      </c>
      <c r="M529" s="168">
        <f t="shared" si="507"/>
        <v>1.9906723668645037</v>
      </c>
      <c r="N529" s="168">
        <f t="shared" si="507"/>
        <v>0</v>
      </c>
      <c r="O529" s="168">
        <f t="shared" si="507"/>
        <v>0</v>
      </c>
      <c r="P529" s="168">
        <f t="shared" si="507"/>
        <v>3353.3290743242328</v>
      </c>
      <c r="Q529" s="190">
        <f t="shared" si="501"/>
        <v>61215.424740858041</v>
      </c>
      <c r="R529" s="119"/>
      <c r="S529" s="119"/>
      <c r="T529" s="119"/>
    </row>
    <row r="530" spans="3:20" ht="19.5" thickBot="1" x14ac:dyDescent="0.3">
      <c r="C530" s="119">
        <f t="shared" si="495"/>
        <v>1</v>
      </c>
      <c r="D530" s="131" t="s">
        <v>124</v>
      </c>
      <c r="E530" s="116" t="s">
        <v>78</v>
      </c>
      <c r="F530" s="169">
        <f t="shared" ref="F530:Q530" si="508">SUBTOTAL(9,F518:F529)</f>
        <v>475.24687128756511</v>
      </c>
      <c r="G530" s="170">
        <f t="shared" si="508"/>
        <v>910009.20939776872</v>
      </c>
      <c r="H530" s="170">
        <f t="shared" si="508"/>
        <v>40904.892885992122</v>
      </c>
      <c r="I530" s="170">
        <f t="shared" si="508"/>
        <v>135.59315068170724</v>
      </c>
      <c r="J530" s="170">
        <f t="shared" si="508"/>
        <v>14324.293971400337</v>
      </c>
      <c r="K530" s="170">
        <f t="shared" ref="K530:P530" si="509">SUBTOTAL(9,K518:K529)</f>
        <v>19414.275080775635</v>
      </c>
      <c r="L530" s="170">
        <f t="shared" si="509"/>
        <v>366.84330224317875</v>
      </c>
      <c r="M530" s="170">
        <f t="shared" si="509"/>
        <v>1.9906723668645037</v>
      </c>
      <c r="N530" s="170">
        <f t="shared" si="509"/>
        <v>3.0647425824858723</v>
      </c>
      <c r="O530" s="170">
        <f t="shared" si="509"/>
        <v>0</v>
      </c>
      <c r="P530" s="170">
        <f t="shared" si="509"/>
        <v>3353.3290743242328</v>
      </c>
      <c r="Q530" s="170">
        <f t="shared" si="508"/>
        <v>988513.49227813515</v>
      </c>
      <c r="R530" s="119"/>
      <c r="S530" s="119"/>
      <c r="T530" s="119"/>
    </row>
    <row r="531" spans="3:20" ht="15.75" hidden="1" thickBot="1" x14ac:dyDescent="0.3">
      <c r="R531" s="119"/>
      <c r="S531" s="119"/>
      <c r="T531" s="119"/>
    </row>
    <row r="532" spans="3:20" ht="45" x14ac:dyDescent="0.25">
      <c r="C532" s="119">
        <f>IF(E532&gt;0,1,0)</f>
        <v>1</v>
      </c>
      <c r="D532" s="96" t="str">
        <f>+A34</f>
        <v>New York</v>
      </c>
      <c r="E532" s="166">
        <f>+SUMIF(A:A,D532,B:B)</f>
        <v>0.11860817754043497</v>
      </c>
      <c r="F532" s="98" t="s">
        <v>97</v>
      </c>
      <c r="G532" s="98" t="s">
        <v>126</v>
      </c>
      <c r="H532" s="98" t="s">
        <v>127</v>
      </c>
      <c r="I532" s="99" t="s">
        <v>128</v>
      </c>
      <c r="J532" s="99" t="s">
        <v>131</v>
      </c>
      <c r="K532" s="560" t="s">
        <v>474</v>
      </c>
      <c r="L532" s="560" t="s">
        <v>475</v>
      </c>
      <c r="M532" s="560" t="s">
        <v>476</v>
      </c>
      <c r="N532" s="560" t="s">
        <v>477</v>
      </c>
      <c r="O532" s="560" t="s">
        <v>478</v>
      </c>
      <c r="P532" s="560" t="s">
        <v>479</v>
      </c>
      <c r="Q532" s="99" t="s">
        <v>129</v>
      </c>
    </row>
    <row r="533" spans="3:20" ht="18.75" x14ac:dyDescent="0.25">
      <c r="C533" s="119">
        <f>C532</f>
        <v>1</v>
      </c>
      <c r="D533" s="127"/>
      <c r="E533" s="128"/>
      <c r="F533" s="84" t="s">
        <v>57</v>
      </c>
      <c r="G533" s="84" t="s">
        <v>56</v>
      </c>
      <c r="H533" s="84" t="s">
        <v>55</v>
      </c>
      <c r="I533" s="84" t="s">
        <v>54</v>
      </c>
      <c r="J533" s="129" t="s">
        <v>53</v>
      </c>
      <c r="K533" s="129" t="s">
        <v>52</v>
      </c>
      <c r="L533" s="129" t="s">
        <v>51</v>
      </c>
      <c r="M533" s="129" t="s">
        <v>50</v>
      </c>
      <c r="N533" s="129" t="s">
        <v>49</v>
      </c>
      <c r="O533" s="129" t="s">
        <v>47</v>
      </c>
      <c r="P533" s="129" t="s">
        <v>77</v>
      </c>
      <c r="Q533" s="129" t="s">
        <v>78</v>
      </c>
    </row>
    <row r="534" spans="3:20" ht="18.75" x14ac:dyDescent="0.25">
      <c r="C534" s="119">
        <f>C533</f>
        <v>1</v>
      </c>
      <c r="D534" s="133" t="s">
        <v>26</v>
      </c>
      <c r="E534" s="134"/>
      <c r="F534" s="135"/>
      <c r="G534" s="135"/>
      <c r="H534" s="136"/>
      <c r="I534" s="136"/>
      <c r="J534" s="137"/>
      <c r="K534" s="137"/>
      <c r="L534" s="137"/>
      <c r="M534" s="137"/>
      <c r="N534" s="137"/>
      <c r="O534" s="137"/>
      <c r="P534" s="137"/>
      <c r="Q534" s="138"/>
    </row>
    <row r="535" spans="3:20" ht="18.75" x14ac:dyDescent="0.25">
      <c r="C535" s="119">
        <f t="shared" ref="C535:C547" si="510">C534</f>
        <v>1</v>
      </c>
      <c r="D535" s="109" t="s">
        <v>93</v>
      </c>
      <c r="E535" s="76" t="s">
        <v>57</v>
      </c>
      <c r="F535" s="168">
        <f>+F$6*$E532</f>
        <v>413.56662411273106</v>
      </c>
      <c r="G535" s="168">
        <f>+G$6*$E532</f>
        <v>794845.61732078053</v>
      </c>
      <c r="H535" s="168">
        <f>+H$6*$E532</f>
        <v>37031.978032833445</v>
      </c>
      <c r="I535" s="168">
        <f>+I$6*$E532</f>
        <v>125.94172115776006</v>
      </c>
      <c r="J535" s="168">
        <f>+J$6*$E532</f>
        <v>13288.688229772901</v>
      </c>
      <c r="K535" s="168">
        <f t="shared" ref="K535:P535" si="511">+K$6*$E532</f>
        <v>14582.774611645569</v>
      </c>
      <c r="L535" s="168">
        <f t="shared" si="511"/>
        <v>340.73164202928456</v>
      </c>
      <c r="M535" s="168">
        <f t="shared" si="511"/>
        <v>0</v>
      </c>
      <c r="N535" s="168">
        <f t="shared" si="511"/>
        <v>2.8465962609704394</v>
      </c>
      <c r="O535" s="168">
        <f t="shared" si="511"/>
        <v>0</v>
      </c>
      <c r="P535" s="168">
        <f t="shared" si="511"/>
        <v>0</v>
      </c>
      <c r="Q535" s="190">
        <f>SUM(G535:P535)</f>
        <v>860218.57815448043</v>
      </c>
    </row>
    <row r="536" spans="3:20" ht="18.75" x14ac:dyDescent="0.25">
      <c r="C536" s="119">
        <f t="shared" si="510"/>
        <v>1</v>
      </c>
      <c r="D536" s="110" t="s">
        <v>132</v>
      </c>
      <c r="E536" s="76" t="s">
        <v>56</v>
      </c>
      <c r="F536" s="168">
        <f>+F$7*$E532</f>
        <v>0</v>
      </c>
      <c r="G536" s="168">
        <f>+G$7*$E532</f>
        <v>0</v>
      </c>
      <c r="H536" s="168">
        <f>+H$7*$E532</f>
        <v>0</v>
      </c>
      <c r="I536" s="168">
        <f>+I$7*$E532</f>
        <v>0</v>
      </c>
      <c r="J536" s="168">
        <f>+J$7*$E532</f>
        <v>0</v>
      </c>
      <c r="K536" s="168">
        <f t="shared" ref="K536:P536" si="512">+K$7*$E532</f>
        <v>0</v>
      </c>
      <c r="L536" s="168">
        <f t="shared" si="512"/>
        <v>0</v>
      </c>
      <c r="M536" s="168">
        <f t="shared" si="512"/>
        <v>0</v>
      </c>
      <c r="N536" s="168">
        <f t="shared" si="512"/>
        <v>0</v>
      </c>
      <c r="O536" s="168">
        <f t="shared" si="512"/>
        <v>0</v>
      </c>
      <c r="P536" s="168">
        <f t="shared" si="512"/>
        <v>0</v>
      </c>
      <c r="Q536" s="190">
        <f>SUM(G536:P536)</f>
        <v>0</v>
      </c>
    </row>
    <row r="537" spans="3:20" ht="18.75" x14ac:dyDescent="0.25">
      <c r="C537" s="119">
        <f t="shared" si="510"/>
        <v>1</v>
      </c>
      <c r="D537" s="109" t="s">
        <v>91</v>
      </c>
      <c r="E537" s="76" t="s">
        <v>55</v>
      </c>
      <c r="F537" s="168">
        <f>+F$8*$E532</f>
        <v>0.51684368710678719</v>
      </c>
      <c r="G537" s="168">
        <f>+G$8*$E532</f>
        <v>1054.2784381125414</v>
      </c>
      <c r="H537" s="168">
        <f>+H$8*$E532</f>
        <v>0</v>
      </c>
      <c r="I537" s="168">
        <f>+I$8*$E532</f>
        <v>0</v>
      </c>
      <c r="J537" s="168">
        <f>+J$8*$E532</f>
        <v>16.012103967958719</v>
      </c>
      <c r="K537" s="168">
        <f t="shared" ref="K537:P537" si="513">+K$8*$E532</f>
        <v>4.7443271016173991</v>
      </c>
      <c r="L537" s="168">
        <f t="shared" si="513"/>
        <v>0</v>
      </c>
      <c r="M537" s="168">
        <f t="shared" si="513"/>
        <v>0</v>
      </c>
      <c r="N537" s="168">
        <f t="shared" si="513"/>
        <v>0</v>
      </c>
      <c r="O537" s="168">
        <f t="shared" si="513"/>
        <v>0</v>
      </c>
      <c r="P537" s="168">
        <f t="shared" si="513"/>
        <v>0</v>
      </c>
      <c r="Q537" s="190">
        <f>SUM(G537:P537)</f>
        <v>1075.0348691821175</v>
      </c>
    </row>
    <row r="538" spans="3:20" ht="18.75" x14ac:dyDescent="0.25">
      <c r="C538" s="119">
        <f t="shared" si="510"/>
        <v>1</v>
      </c>
      <c r="D538" s="130" t="s">
        <v>117</v>
      </c>
      <c r="E538" s="76" t="s">
        <v>54</v>
      </c>
      <c r="F538" s="168">
        <f>+F$9*$E532</f>
        <v>0</v>
      </c>
      <c r="G538" s="168">
        <f>+G$9*$E532</f>
        <v>0</v>
      </c>
      <c r="H538" s="168">
        <f>+H$9*$E532</f>
        <v>0</v>
      </c>
      <c r="I538" s="168">
        <f>+I$9*$E532</f>
        <v>0</v>
      </c>
      <c r="J538" s="168">
        <f>+J$9*$E532</f>
        <v>0</v>
      </c>
      <c r="K538" s="168">
        <f t="shared" ref="K538:P538" si="514">+K$9*$E532</f>
        <v>0</v>
      </c>
      <c r="L538" s="168">
        <f t="shared" si="514"/>
        <v>0</v>
      </c>
      <c r="M538" s="168">
        <f t="shared" si="514"/>
        <v>0</v>
      </c>
      <c r="N538" s="168">
        <f t="shared" si="514"/>
        <v>0</v>
      </c>
      <c r="O538" s="168">
        <f t="shared" si="514"/>
        <v>0</v>
      </c>
      <c r="P538" s="168">
        <f t="shared" si="514"/>
        <v>0</v>
      </c>
      <c r="Q538" s="190">
        <f>SUM(G538:P538)</f>
        <v>0</v>
      </c>
    </row>
    <row r="539" spans="3:20" ht="18.75" x14ac:dyDescent="0.25">
      <c r="C539" s="119">
        <f t="shared" si="510"/>
        <v>1</v>
      </c>
      <c r="D539" s="112" t="s">
        <v>31</v>
      </c>
      <c r="E539" s="76"/>
      <c r="F539" s="167"/>
      <c r="G539" s="185"/>
      <c r="H539" s="185"/>
      <c r="I539" s="185"/>
      <c r="J539" s="185"/>
      <c r="K539" s="185"/>
      <c r="L539" s="185"/>
      <c r="M539" s="185"/>
      <c r="N539" s="185"/>
      <c r="O539" s="185"/>
      <c r="P539" s="185"/>
      <c r="Q539" s="171"/>
    </row>
    <row r="540" spans="3:20" ht="18.75" x14ac:dyDescent="0.3">
      <c r="C540" s="119">
        <f t="shared" si="510"/>
        <v>1</v>
      </c>
      <c r="D540" s="125" t="s">
        <v>118</v>
      </c>
      <c r="E540" s="76" t="s">
        <v>53</v>
      </c>
      <c r="F540" s="168">
        <f>+F$11*$E532</f>
        <v>0</v>
      </c>
      <c r="G540" s="168">
        <f>+G$11*$E532</f>
        <v>0</v>
      </c>
      <c r="H540" s="168">
        <f>+H$11*$E532</f>
        <v>0</v>
      </c>
      <c r="I540" s="168">
        <f>+I$11*$E532</f>
        <v>0</v>
      </c>
      <c r="J540" s="168">
        <f>+J$11*$E532</f>
        <v>0</v>
      </c>
      <c r="K540" s="168">
        <f t="shared" ref="K540:P540" si="515">+K$11*$E532</f>
        <v>0</v>
      </c>
      <c r="L540" s="168">
        <f t="shared" si="515"/>
        <v>0</v>
      </c>
      <c r="M540" s="168">
        <f t="shared" si="515"/>
        <v>0</v>
      </c>
      <c r="N540" s="168">
        <f t="shared" si="515"/>
        <v>0</v>
      </c>
      <c r="O540" s="168">
        <f t="shared" si="515"/>
        <v>0</v>
      </c>
      <c r="P540" s="168">
        <f t="shared" si="515"/>
        <v>0</v>
      </c>
      <c r="Q540" s="190">
        <f t="shared" ref="Q540:Q546" si="516">SUM(G540:P540)</f>
        <v>0</v>
      </c>
    </row>
    <row r="541" spans="3:20" ht="18.75" x14ac:dyDescent="0.3">
      <c r="C541" s="119">
        <f t="shared" si="510"/>
        <v>1</v>
      </c>
      <c r="D541" s="125" t="s">
        <v>119</v>
      </c>
      <c r="E541" s="76" t="s">
        <v>52</v>
      </c>
      <c r="F541" s="168">
        <f>+F$12*$E532</f>
        <v>0</v>
      </c>
      <c r="G541" s="168">
        <f>+G$12*$E532</f>
        <v>0</v>
      </c>
      <c r="H541" s="168">
        <f>+H$12*$E532</f>
        <v>0</v>
      </c>
      <c r="I541" s="168">
        <f>+I$12*$E532</f>
        <v>0</v>
      </c>
      <c r="J541" s="168">
        <f>+J$12*$E532</f>
        <v>0</v>
      </c>
      <c r="K541" s="168">
        <f t="shared" ref="K541:P541" si="517">+K$12*$E532</f>
        <v>0</v>
      </c>
      <c r="L541" s="168">
        <f t="shared" si="517"/>
        <v>0</v>
      </c>
      <c r="M541" s="168">
        <f t="shared" si="517"/>
        <v>0</v>
      </c>
      <c r="N541" s="168">
        <f t="shared" si="517"/>
        <v>0</v>
      </c>
      <c r="O541" s="168">
        <f t="shared" si="517"/>
        <v>0</v>
      </c>
      <c r="P541" s="168">
        <f t="shared" si="517"/>
        <v>0</v>
      </c>
      <c r="Q541" s="190">
        <f t="shared" si="516"/>
        <v>0</v>
      </c>
    </row>
    <row r="542" spans="3:20" ht="18.75" x14ac:dyDescent="0.3">
      <c r="C542" s="119">
        <f t="shared" si="510"/>
        <v>1</v>
      </c>
      <c r="D542" s="125" t="s">
        <v>120</v>
      </c>
      <c r="E542" s="76" t="s">
        <v>51</v>
      </c>
      <c r="F542" s="168">
        <f>+F$13*$E532</f>
        <v>0</v>
      </c>
      <c r="G542" s="168">
        <f>+G$13*$E532</f>
        <v>0</v>
      </c>
      <c r="H542" s="168">
        <f>+H$13*$E532</f>
        <v>0</v>
      </c>
      <c r="I542" s="168">
        <f>+I$13*$E532</f>
        <v>0</v>
      </c>
      <c r="J542" s="168">
        <f>+J$13*$E532</f>
        <v>0</v>
      </c>
      <c r="K542" s="168">
        <f t="shared" ref="K542:P542" si="518">+K$13*$E532</f>
        <v>0</v>
      </c>
      <c r="L542" s="168">
        <f t="shared" si="518"/>
        <v>0</v>
      </c>
      <c r="M542" s="168">
        <f t="shared" si="518"/>
        <v>0</v>
      </c>
      <c r="N542" s="168">
        <f t="shared" si="518"/>
        <v>0</v>
      </c>
      <c r="O542" s="168">
        <f t="shared" si="518"/>
        <v>0</v>
      </c>
      <c r="P542" s="168">
        <f t="shared" si="518"/>
        <v>0</v>
      </c>
      <c r="Q542" s="190">
        <f t="shared" si="516"/>
        <v>0</v>
      </c>
    </row>
    <row r="543" spans="3:20" ht="18.75" x14ac:dyDescent="0.3">
      <c r="C543" s="119">
        <f t="shared" si="510"/>
        <v>1</v>
      </c>
      <c r="D543" s="125" t="s">
        <v>121</v>
      </c>
      <c r="E543" s="76" t="s">
        <v>50</v>
      </c>
      <c r="F543" s="168">
        <f>+F$14*$E532</f>
        <v>0</v>
      </c>
      <c r="G543" s="168">
        <f>+G$14*$E532</f>
        <v>0</v>
      </c>
      <c r="H543" s="168">
        <f>+H$14*$E532</f>
        <v>0</v>
      </c>
      <c r="I543" s="168">
        <f>+I$14*$E532</f>
        <v>0</v>
      </c>
      <c r="J543" s="168">
        <f>+J$14*$E532</f>
        <v>0</v>
      </c>
      <c r="K543" s="168">
        <f t="shared" ref="K543:P543" si="519">+K$14*$E532</f>
        <v>0</v>
      </c>
      <c r="L543" s="168">
        <f t="shared" si="519"/>
        <v>0</v>
      </c>
      <c r="M543" s="168">
        <f t="shared" si="519"/>
        <v>0</v>
      </c>
      <c r="N543" s="168">
        <f t="shared" si="519"/>
        <v>0</v>
      </c>
      <c r="O543" s="168">
        <f t="shared" si="519"/>
        <v>0</v>
      </c>
      <c r="P543" s="168">
        <f t="shared" si="519"/>
        <v>0</v>
      </c>
      <c r="Q543" s="190">
        <f t="shared" si="516"/>
        <v>0</v>
      </c>
    </row>
    <row r="544" spans="3:20" ht="18.75" x14ac:dyDescent="0.3">
      <c r="C544" s="119">
        <f t="shared" si="510"/>
        <v>1</v>
      </c>
      <c r="D544" s="125" t="s">
        <v>122</v>
      </c>
      <c r="E544" s="76" t="s">
        <v>49</v>
      </c>
      <c r="F544" s="168">
        <f>+F$15*$E532</f>
        <v>0</v>
      </c>
      <c r="G544" s="168">
        <f>+G$15*$E532</f>
        <v>0</v>
      </c>
      <c r="H544" s="168">
        <f>+H$15*$E532</f>
        <v>0</v>
      </c>
      <c r="I544" s="168">
        <f>+I$15*$E532</f>
        <v>0</v>
      </c>
      <c r="J544" s="168">
        <f>+J$15*$E532</f>
        <v>0</v>
      </c>
      <c r="K544" s="168">
        <f t="shared" ref="K544:P544" si="520">+K$15*$E532</f>
        <v>0</v>
      </c>
      <c r="L544" s="168">
        <f t="shared" si="520"/>
        <v>0</v>
      </c>
      <c r="M544" s="168">
        <f t="shared" si="520"/>
        <v>0</v>
      </c>
      <c r="N544" s="168">
        <f t="shared" si="520"/>
        <v>0</v>
      </c>
      <c r="O544" s="168">
        <f t="shared" si="520"/>
        <v>0</v>
      </c>
      <c r="P544" s="168">
        <f t="shared" si="520"/>
        <v>0</v>
      </c>
      <c r="Q544" s="190">
        <f t="shared" si="516"/>
        <v>0</v>
      </c>
    </row>
    <row r="545" spans="3:20" ht="18.75" x14ac:dyDescent="0.3">
      <c r="C545" s="119">
        <f t="shared" si="510"/>
        <v>1</v>
      </c>
      <c r="D545" s="125" t="s">
        <v>123</v>
      </c>
      <c r="E545" s="76" t="s">
        <v>47</v>
      </c>
      <c r="F545" s="168">
        <f>+F$16*$E532</f>
        <v>0</v>
      </c>
      <c r="G545" s="168">
        <f>+G$16*$E532</f>
        <v>0</v>
      </c>
      <c r="H545" s="168">
        <f>+H$16*$E532</f>
        <v>0</v>
      </c>
      <c r="I545" s="168">
        <f>+I$16*$E532</f>
        <v>0</v>
      </c>
      <c r="J545" s="168">
        <f>+J$16*$E532</f>
        <v>0</v>
      </c>
      <c r="K545" s="168">
        <f t="shared" ref="K545:P545" si="521">+K$16*$E532</f>
        <v>0</v>
      </c>
      <c r="L545" s="168">
        <f t="shared" si="521"/>
        <v>0</v>
      </c>
      <c r="M545" s="168">
        <f t="shared" si="521"/>
        <v>0</v>
      </c>
      <c r="N545" s="168">
        <f t="shared" si="521"/>
        <v>0</v>
      </c>
      <c r="O545" s="168">
        <f t="shared" si="521"/>
        <v>0</v>
      </c>
      <c r="P545" s="168">
        <f t="shared" si="521"/>
        <v>0</v>
      </c>
      <c r="Q545" s="190">
        <f t="shared" si="516"/>
        <v>0</v>
      </c>
    </row>
    <row r="546" spans="3:20" ht="19.5" thickBot="1" x14ac:dyDescent="0.35">
      <c r="C546" s="119">
        <f t="shared" si="510"/>
        <v>1</v>
      </c>
      <c r="D546" s="125" t="s">
        <v>16</v>
      </c>
      <c r="E546" s="70" t="s">
        <v>77</v>
      </c>
      <c r="F546" s="168">
        <f>+F$17*$E532</f>
        <v>27.335649934928274</v>
      </c>
      <c r="G546" s="168">
        <f>+G$17*$E532</f>
        <v>49335.468452089604</v>
      </c>
      <c r="H546" s="168">
        <f>+H$17*$E532</f>
        <v>961.33201221933655</v>
      </c>
      <c r="I546" s="168">
        <f>+I$17*$E532</f>
        <v>0</v>
      </c>
      <c r="J546" s="168">
        <f>+J$17*$E532</f>
        <v>0</v>
      </c>
      <c r="K546" s="168">
        <f t="shared" ref="K546:P546" si="522">+K$17*$E532</f>
        <v>3444.8610628258325</v>
      </c>
      <c r="L546" s="168">
        <f t="shared" si="522"/>
        <v>0</v>
      </c>
      <c r="M546" s="168">
        <f t="shared" si="522"/>
        <v>1.8489776429240425</v>
      </c>
      <c r="N546" s="168">
        <f t="shared" si="522"/>
        <v>0</v>
      </c>
      <c r="O546" s="168">
        <f t="shared" si="522"/>
        <v>0</v>
      </c>
      <c r="P546" s="168">
        <f t="shared" si="522"/>
        <v>3114.6413598731106</v>
      </c>
      <c r="Q546" s="190">
        <f t="shared" si="516"/>
        <v>56858.151864650812</v>
      </c>
    </row>
    <row r="547" spans="3:20" ht="19.5" thickBot="1" x14ac:dyDescent="0.3">
      <c r="C547" s="119">
        <f t="shared" si="510"/>
        <v>1</v>
      </c>
      <c r="D547" s="131" t="s">
        <v>124</v>
      </c>
      <c r="E547" s="116" t="s">
        <v>78</v>
      </c>
      <c r="F547" s="169">
        <f t="shared" ref="F547:Q547" si="523">SUBTOTAL(9,F535:F546)</f>
        <v>441.41911773476613</v>
      </c>
      <c r="G547" s="170">
        <f t="shared" si="523"/>
        <v>845235.36421098269</v>
      </c>
      <c r="H547" s="170">
        <f t="shared" si="523"/>
        <v>37993.310045052785</v>
      </c>
      <c r="I547" s="170">
        <f t="shared" si="523"/>
        <v>125.94172115776006</v>
      </c>
      <c r="J547" s="170">
        <f t="shared" si="523"/>
        <v>13304.700333740859</v>
      </c>
      <c r="K547" s="170">
        <f t="shared" ref="K547:P547" si="524">SUBTOTAL(9,K535:K546)</f>
        <v>18032.380001573019</v>
      </c>
      <c r="L547" s="170">
        <f t="shared" si="524"/>
        <v>340.73164202928456</v>
      </c>
      <c r="M547" s="170">
        <f t="shared" si="524"/>
        <v>1.8489776429240425</v>
      </c>
      <c r="N547" s="170">
        <f t="shared" si="524"/>
        <v>2.8465962609704394</v>
      </c>
      <c r="O547" s="170">
        <f t="shared" si="524"/>
        <v>0</v>
      </c>
      <c r="P547" s="170">
        <f t="shared" si="524"/>
        <v>3114.6413598731106</v>
      </c>
      <c r="Q547" s="170">
        <f t="shared" si="523"/>
        <v>918151.76488831337</v>
      </c>
    </row>
    <row r="548" spans="3:20" ht="15.75" hidden="1" thickBot="1" x14ac:dyDescent="0.3">
      <c r="R548" s="119"/>
      <c r="S548" s="119"/>
      <c r="T548" s="119"/>
    </row>
    <row r="549" spans="3:20" ht="45.75" hidden="1" thickBot="1" x14ac:dyDescent="0.3">
      <c r="C549" s="119">
        <f>IF(E549&gt;0,1,0)</f>
        <v>0</v>
      </c>
      <c r="D549" s="96" t="str">
        <f>+A35</f>
        <v>Niagara</v>
      </c>
      <c r="E549" s="166">
        <f>+SUMIF(A:A,D549,B:B)</f>
        <v>0</v>
      </c>
      <c r="F549" s="98" t="s">
        <v>97</v>
      </c>
      <c r="G549" s="98" t="s">
        <v>126</v>
      </c>
      <c r="H549" s="98" t="s">
        <v>127</v>
      </c>
      <c r="I549" s="99" t="s">
        <v>128</v>
      </c>
      <c r="J549" s="99" t="s">
        <v>131</v>
      </c>
      <c r="K549" s="560" t="s">
        <v>474</v>
      </c>
      <c r="L549" s="560" t="s">
        <v>475</v>
      </c>
      <c r="M549" s="560" t="s">
        <v>476</v>
      </c>
      <c r="N549" s="560" t="s">
        <v>477</v>
      </c>
      <c r="O549" s="560" t="s">
        <v>478</v>
      </c>
      <c r="P549" s="560" t="s">
        <v>479</v>
      </c>
      <c r="Q549" s="99" t="s">
        <v>129</v>
      </c>
      <c r="R549" s="119"/>
      <c r="S549" s="119"/>
      <c r="T549" s="119"/>
    </row>
    <row r="550" spans="3:20" ht="19.5" hidden="1" thickBot="1" x14ac:dyDescent="0.3">
      <c r="C550" s="119">
        <f>C549</f>
        <v>0</v>
      </c>
      <c r="D550" s="127"/>
      <c r="E550" s="128"/>
      <c r="F550" s="84" t="s">
        <v>57</v>
      </c>
      <c r="G550" s="84" t="s">
        <v>56</v>
      </c>
      <c r="H550" s="84" t="s">
        <v>55</v>
      </c>
      <c r="I550" s="84" t="s">
        <v>54</v>
      </c>
      <c r="J550" s="129" t="s">
        <v>53</v>
      </c>
      <c r="K550" s="129" t="s">
        <v>52</v>
      </c>
      <c r="L550" s="129" t="s">
        <v>51</v>
      </c>
      <c r="M550" s="129" t="s">
        <v>50</v>
      </c>
      <c r="N550" s="129" t="s">
        <v>49</v>
      </c>
      <c r="O550" s="129" t="s">
        <v>47</v>
      </c>
      <c r="P550" s="129" t="s">
        <v>77</v>
      </c>
      <c r="Q550" s="129" t="s">
        <v>78</v>
      </c>
      <c r="R550" s="119"/>
      <c r="S550" s="119"/>
      <c r="T550" s="119"/>
    </row>
    <row r="551" spans="3:20" ht="19.5" hidden="1" thickBot="1" x14ac:dyDescent="0.3">
      <c r="C551" s="119">
        <f>C550</f>
        <v>0</v>
      </c>
      <c r="D551" s="133" t="s">
        <v>26</v>
      </c>
      <c r="E551" s="134"/>
      <c r="F551" s="135"/>
      <c r="G551" s="135"/>
      <c r="H551" s="136"/>
      <c r="I551" s="136"/>
      <c r="J551" s="137"/>
      <c r="K551" s="137"/>
      <c r="L551" s="137"/>
      <c r="M551" s="137"/>
      <c r="N551" s="137"/>
      <c r="O551" s="137"/>
      <c r="P551" s="137"/>
      <c r="Q551" s="138"/>
      <c r="R551" s="119"/>
      <c r="S551" s="119"/>
      <c r="T551" s="119"/>
    </row>
    <row r="552" spans="3:20" ht="19.5" hidden="1" thickBot="1" x14ac:dyDescent="0.3">
      <c r="C552" s="119">
        <f t="shared" ref="C552:C564" si="525">C551</f>
        <v>0</v>
      </c>
      <c r="D552" s="109" t="s">
        <v>93</v>
      </c>
      <c r="E552" s="76" t="s">
        <v>57</v>
      </c>
      <c r="F552" s="168">
        <f>+F$6*$E549</f>
        <v>0</v>
      </c>
      <c r="G552" s="168">
        <f>+G$6*$E549</f>
        <v>0</v>
      </c>
      <c r="H552" s="168">
        <f>+H$6*$E549</f>
        <v>0</v>
      </c>
      <c r="I552" s="168">
        <f>+I$6*$E549</f>
        <v>0</v>
      </c>
      <c r="J552" s="168">
        <f>+J$6*$E549</f>
        <v>0</v>
      </c>
      <c r="K552" s="168">
        <f t="shared" ref="K552:P552" si="526">+K$6*$E549</f>
        <v>0</v>
      </c>
      <c r="L552" s="168">
        <f t="shared" si="526"/>
        <v>0</v>
      </c>
      <c r="M552" s="168">
        <f t="shared" si="526"/>
        <v>0</v>
      </c>
      <c r="N552" s="168">
        <f t="shared" si="526"/>
        <v>0</v>
      </c>
      <c r="O552" s="168">
        <f t="shared" si="526"/>
        <v>0</v>
      </c>
      <c r="P552" s="168">
        <f t="shared" si="526"/>
        <v>0</v>
      </c>
      <c r="Q552" s="190">
        <f>SUM(G552:P552)</f>
        <v>0</v>
      </c>
      <c r="R552" s="119"/>
      <c r="S552" s="119"/>
      <c r="T552" s="119"/>
    </row>
    <row r="553" spans="3:20" ht="19.5" hidden="1" thickBot="1" x14ac:dyDescent="0.3">
      <c r="C553" s="119">
        <f t="shared" si="525"/>
        <v>0</v>
      </c>
      <c r="D553" s="110" t="s">
        <v>132</v>
      </c>
      <c r="E553" s="76" t="s">
        <v>56</v>
      </c>
      <c r="F553" s="168">
        <f>+F$7*$E549</f>
        <v>0</v>
      </c>
      <c r="G553" s="168">
        <f>+G$7*$E549</f>
        <v>0</v>
      </c>
      <c r="H553" s="168">
        <f>+H$7*$E549</f>
        <v>0</v>
      </c>
      <c r="I553" s="168">
        <f>+I$7*$E549</f>
        <v>0</v>
      </c>
      <c r="J553" s="168">
        <f>+J$7*$E549</f>
        <v>0</v>
      </c>
      <c r="K553" s="168">
        <f t="shared" ref="K553:P553" si="527">+K$7*$E549</f>
        <v>0</v>
      </c>
      <c r="L553" s="168">
        <f t="shared" si="527"/>
        <v>0</v>
      </c>
      <c r="M553" s="168">
        <f t="shared" si="527"/>
        <v>0</v>
      </c>
      <c r="N553" s="168">
        <f t="shared" si="527"/>
        <v>0</v>
      </c>
      <c r="O553" s="168">
        <f t="shared" si="527"/>
        <v>0</v>
      </c>
      <c r="P553" s="168">
        <f t="shared" si="527"/>
        <v>0</v>
      </c>
      <c r="Q553" s="190">
        <f>SUM(G553:P553)</f>
        <v>0</v>
      </c>
      <c r="R553" s="119"/>
      <c r="S553" s="119"/>
      <c r="T553" s="119"/>
    </row>
    <row r="554" spans="3:20" ht="19.5" hidden="1" thickBot="1" x14ac:dyDescent="0.3">
      <c r="C554" s="119">
        <f t="shared" si="525"/>
        <v>0</v>
      </c>
      <c r="D554" s="109" t="s">
        <v>91</v>
      </c>
      <c r="E554" s="76" t="s">
        <v>55</v>
      </c>
      <c r="F554" s="168">
        <f>+F$8*$E549</f>
        <v>0</v>
      </c>
      <c r="G554" s="168">
        <f>+G$8*$E549</f>
        <v>0</v>
      </c>
      <c r="H554" s="168">
        <f>+H$8*$E549</f>
        <v>0</v>
      </c>
      <c r="I554" s="168">
        <f>+I$8*$E549</f>
        <v>0</v>
      </c>
      <c r="J554" s="168">
        <f>+J$8*$E549</f>
        <v>0</v>
      </c>
      <c r="K554" s="168">
        <f t="shared" ref="K554:P554" si="528">+K$8*$E549</f>
        <v>0</v>
      </c>
      <c r="L554" s="168">
        <f t="shared" si="528"/>
        <v>0</v>
      </c>
      <c r="M554" s="168">
        <f t="shared" si="528"/>
        <v>0</v>
      </c>
      <c r="N554" s="168">
        <f t="shared" si="528"/>
        <v>0</v>
      </c>
      <c r="O554" s="168">
        <f t="shared" si="528"/>
        <v>0</v>
      </c>
      <c r="P554" s="168">
        <f t="shared" si="528"/>
        <v>0</v>
      </c>
      <c r="Q554" s="190">
        <f>SUM(G554:P554)</f>
        <v>0</v>
      </c>
      <c r="R554" s="119"/>
      <c r="S554" s="119"/>
      <c r="T554" s="119"/>
    </row>
    <row r="555" spans="3:20" ht="19.5" hidden="1" thickBot="1" x14ac:dyDescent="0.3">
      <c r="C555" s="119">
        <f t="shared" si="525"/>
        <v>0</v>
      </c>
      <c r="D555" s="130" t="s">
        <v>117</v>
      </c>
      <c r="E555" s="76" t="s">
        <v>54</v>
      </c>
      <c r="F555" s="168">
        <f>+F$9*$E549</f>
        <v>0</v>
      </c>
      <c r="G555" s="168">
        <f>+G$9*$E549</f>
        <v>0</v>
      </c>
      <c r="H555" s="168">
        <f>+H$9*$E549</f>
        <v>0</v>
      </c>
      <c r="I555" s="168">
        <f>+I$9*$E549</f>
        <v>0</v>
      </c>
      <c r="J555" s="168">
        <f>+J$9*$E549</f>
        <v>0</v>
      </c>
      <c r="K555" s="168">
        <f t="shared" ref="K555:P555" si="529">+K$9*$E549</f>
        <v>0</v>
      </c>
      <c r="L555" s="168">
        <f t="shared" si="529"/>
        <v>0</v>
      </c>
      <c r="M555" s="168">
        <f t="shared" si="529"/>
        <v>0</v>
      </c>
      <c r="N555" s="168">
        <f t="shared" si="529"/>
        <v>0</v>
      </c>
      <c r="O555" s="168">
        <f t="shared" si="529"/>
        <v>0</v>
      </c>
      <c r="P555" s="168">
        <f t="shared" si="529"/>
        <v>0</v>
      </c>
      <c r="Q555" s="190">
        <f>SUM(G555:P555)</f>
        <v>0</v>
      </c>
      <c r="R555" s="119"/>
      <c r="S555" s="119"/>
      <c r="T555" s="119"/>
    </row>
    <row r="556" spans="3:20" ht="19.5" hidden="1" thickBot="1" x14ac:dyDescent="0.3">
      <c r="C556" s="119">
        <f t="shared" si="525"/>
        <v>0</v>
      </c>
      <c r="D556" s="112" t="s">
        <v>31</v>
      </c>
      <c r="E556" s="76"/>
      <c r="F556" s="167"/>
      <c r="G556" s="185"/>
      <c r="H556" s="185"/>
      <c r="I556" s="185"/>
      <c r="J556" s="185"/>
      <c r="K556" s="185"/>
      <c r="L556" s="185"/>
      <c r="M556" s="185"/>
      <c r="N556" s="185"/>
      <c r="O556" s="185"/>
      <c r="P556" s="185"/>
      <c r="Q556" s="171"/>
      <c r="R556" s="119"/>
      <c r="S556" s="119"/>
      <c r="T556" s="119"/>
    </row>
    <row r="557" spans="3:20" ht="19.5" hidden="1" thickBot="1" x14ac:dyDescent="0.35">
      <c r="C557" s="119">
        <f t="shared" si="525"/>
        <v>0</v>
      </c>
      <c r="D557" s="125" t="s">
        <v>118</v>
      </c>
      <c r="E557" s="76" t="s">
        <v>53</v>
      </c>
      <c r="F557" s="168">
        <f>+F$11*$E549</f>
        <v>0</v>
      </c>
      <c r="G557" s="168">
        <f>+G$11*$E549</f>
        <v>0</v>
      </c>
      <c r="H557" s="168">
        <f>+H$11*$E549</f>
        <v>0</v>
      </c>
      <c r="I557" s="168">
        <f>+I$11*$E549</f>
        <v>0</v>
      </c>
      <c r="J557" s="168">
        <f>+J$11*$E549</f>
        <v>0</v>
      </c>
      <c r="K557" s="168">
        <f t="shared" ref="K557:P557" si="530">+K$11*$E549</f>
        <v>0</v>
      </c>
      <c r="L557" s="168">
        <f t="shared" si="530"/>
        <v>0</v>
      </c>
      <c r="M557" s="168">
        <f t="shared" si="530"/>
        <v>0</v>
      </c>
      <c r="N557" s="168">
        <f t="shared" si="530"/>
        <v>0</v>
      </c>
      <c r="O557" s="168">
        <f t="shared" si="530"/>
        <v>0</v>
      </c>
      <c r="P557" s="168">
        <f t="shared" si="530"/>
        <v>0</v>
      </c>
      <c r="Q557" s="190">
        <f t="shared" ref="Q557:Q563" si="531">SUM(G557:P557)</f>
        <v>0</v>
      </c>
      <c r="R557" s="119"/>
      <c r="S557" s="119"/>
      <c r="T557" s="119"/>
    </row>
    <row r="558" spans="3:20" ht="19.5" hidden="1" thickBot="1" x14ac:dyDescent="0.35">
      <c r="C558" s="119">
        <f t="shared" si="525"/>
        <v>0</v>
      </c>
      <c r="D558" s="125" t="s">
        <v>119</v>
      </c>
      <c r="E558" s="76" t="s">
        <v>52</v>
      </c>
      <c r="F558" s="168">
        <f>+F$12*$E549</f>
        <v>0</v>
      </c>
      <c r="G558" s="168">
        <f>+G$12*$E549</f>
        <v>0</v>
      </c>
      <c r="H558" s="168">
        <f>+H$12*$E549</f>
        <v>0</v>
      </c>
      <c r="I558" s="168">
        <f>+I$12*$E549</f>
        <v>0</v>
      </c>
      <c r="J558" s="168">
        <f>+J$12*$E549</f>
        <v>0</v>
      </c>
      <c r="K558" s="168">
        <f t="shared" ref="K558:P558" si="532">+K$12*$E549</f>
        <v>0</v>
      </c>
      <c r="L558" s="168">
        <f t="shared" si="532"/>
        <v>0</v>
      </c>
      <c r="M558" s="168">
        <f t="shared" si="532"/>
        <v>0</v>
      </c>
      <c r="N558" s="168">
        <f t="shared" si="532"/>
        <v>0</v>
      </c>
      <c r="O558" s="168">
        <f t="shared" si="532"/>
        <v>0</v>
      </c>
      <c r="P558" s="168">
        <f t="shared" si="532"/>
        <v>0</v>
      </c>
      <c r="Q558" s="190">
        <f t="shared" si="531"/>
        <v>0</v>
      </c>
      <c r="R558" s="119"/>
      <c r="S558" s="119"/>
      <c r="T558" s="119"/>
    </row>
    <row r="559" spans="3:20" ht="19.5" hidden="1" thickBot="1" x14ac:dyDescent="0.35">
      <c r="C559" s="119">
        <f t="shared" si="525"/>
        <v>0</v>
      </c>
      <c r="D559" s="125" t="s">
        <v>120</v>
      </c>
      <c r="E559" s="76" t="s">
        <v>51</v>
      </c>
      <c r="F559" s="168">
        <f>+F$13*$E549</f>
        <v>0</v>
      </c>
      <c r="G559" s="168">
        <f>+G$13*$E549</f>
        <v>0</v>
      </c>
      <c r="H559" s="168">
        <f>+H$13*$E549</f>
        <v>0</v>
      </c>
      <c r="I559" s="168">
        <f>+I$13*$E549</f>
        <v>0</v>
      </c>
      <c r="J559" s="168">
        <f>+J$13*$E549</f>
        <v>0</v>
      </c>
      <c r="K559" s="168">
        <f t="shared" ref="K559:P559" si="533">+K$13*$E549</f>
        <v>0</v>
      </c>
      <c r="L559" s="168">
        <f t="shared" si="533"/>
        <v>0</v>
      </c>
      <c r="M559" s="168">
        <f t="shared" si="533"/>
        <v>0</v>
      </c>
      <c r="N559" s="168">
        <f t="shared" si="533"/>
        <v>0</v>
      </c>
      <c r="O559" s="168">
        <f t="shared" si="533"/>
        <v>0</v>
      </c>
      <c r="P559" s="168">
        <f t="shared" si="533"/>
        <v>0</v>
      </c>
      <c r="Q559" s="190">
        <f t="shared" si="531"/>
        <v>0</v>
      </c>
      <c r="R559" s="119"/>
      <c r="S559" s="119"/>
      <c r="T559" s="119"/>
    </row>
    <row r="560" spans="3:20" ht="19.5" hidden="1" thickBot="1" x14ac:dyDescent="0.35">
      <c r="C560" s="119">
        <f t="shared" si="525"/>
        <v>0</v>
      </c>
      <c r="D560" s="125" t="s">
        <v>121</v>
      </c>
      <c r="E560" s="76" t="s">
        <v>50</v>
      </c>
      <c r="F560" s="168">
        <f>+F$14*$E549</f>
        <v>0</v>
      </c>
      <c r="G560" s="168">
        <f>+G$14*$E549</f>
        <v>0</v>
      </c>
      <c r="H560" s="168">
        <f>+H$14*$E549</f>
        <v>0</v>
      </c>
      <c r="I560" s="168">
        <f>+I$14*$E549</f>
        <v>0</v>
      </c>
      <c r="J560" s="168">
        <f>+J$14*$E549</f>
        <v>0</v>
      </c>
      <c r="K560" s="168">
        <f t="shared" ref="K560:P560" si="534">+K$14*$E549</f>
        <v>0</v>
      </c>
      <c r="L560" s="168">
        <f t="shared" si="534"/>
        <v>0</v>
      </c>
      <c r="M560" s="168">
        <f t="shared" si="534"/>
        <v>0</v>
      </c>
      <c r="N560" s="168">
        <f t="shared" si="534"/>
        <v>0</v>
      </c>
      <c r="O560" s="168">
        <f t="shared" si="534"/>
        <v>0</v>
      </c>
      <c r="P560" s="168">
        <f t="shared" si="534"/>
        <v>0</v>
      </c>
      <c r="Q560" s="190">
        <f t="shared" si="531"/>
        <v>0</v>
      </c>
      <c r="R560" s="119"/>
      <c r="S560" s="119"/>
      <c r="T560" s="119"/>
    </row>
    <row r="561" spans="2:17" s="119" customFormat="1" ht="19.5" hidden="1" thickBot="1" x14ac:dyDescent="0.35">
      <c r="B561" s="310"/>
      <c r="C561" s="119">
        <f t="shared" si="525"/>
        <v>0</v>
      </c>
      <c r="D561" s="125" t="s">
        <v>122</v>
      </c>
      <c r="E561" s="76" t="s">
        <v>49</v>
      </c>
      <c r="F561" s="168">
        <f>+F$15*$E549</f>
        <v>0</v>
      </c>
      <c r="G561" s="168">
        <f>+G$15*$E549</f>
        <v>0</v>
      </c>
      <c r="H561" s="168">
        <f>+H$15*$E549</f>
        <v>0</v>
      </c>
      <c r="I561" s="168">
        <f>+I$15*$E549</f>
        <v>0</v>
      </c>
      <c r="J561" s="168">
        <f>+J$15*$E549</f>
        <v>0</v>
      </c>
      <c r="K561" s="168">
        <f t="shared" ref="K561:P561" si="535">+K$15*$E549</f>
        <v>0</v>
      </c>
      <c r="L561" s="168">
        <f t="shared" si="535"/>
        <v>0</v>
      </c>
      <c r="M561" s="168">
        <f t="shared" si="535"/>
        <v>0</v>
      </c>
      <c r="N561" s="168">
        <f t="shared" si="535"/>
        <v>0</v>
      </c>
      <c r="O561" s="168">
        <f t="shared" si="535"/>
        <v>0</v>
      </c>
      <c r="P561" s="168">
        <f t="shared" si="535"/>
        <v>0</v>
      </c>
      <c r="Q561" s="190">
        <f t="shared" si="531"/>
        <v>0</v>
      </c>
    </row>
    <row r="562" spans="2:17" s="119" customFormat="1" ht="19.5" hidden="1" thickBot="1" x14ac:dyDescent="0.35">
      <c r="B562" s="310"/>
      <c r="C562" s="119">
        <f t="shared" si="525"/>
        <v>0</v>
      </c>
      <c r="D562" s="125" t="s">
        <v>123</v>
      </c>
      <c r="E562" s="76" t="s">
        <v>47</v>
      </c>
      <c r="F562" s="168">
        <f>+F$16*$E549</f>
        <v>0</v>
      </c>
      <c r="G562" s="168">
        <f>+G$16*$E549</f>
        <v>0</v>
      </c>
      <c r="H562" s="168">
        <f>+H$16*$E549</f>
        <v>0</v>
      </c>
      <c r="I562" s="168">
        <f>+I$16*$E549</f>
        <v>0</v>
      </c>
      <c r="J562" s="168">
        <f>+J$16*$E549</f>
        <v>0</v>
      </c>
      <c r="K562" s="168">
        <f t="shared" ref="K562:P562" si="536">+K$16*$E549</f>
        <v>0</v>
      </c>
      <c r="L562" s="168">
        <f t="shared" si="536"/>
        <v>0</v>
      </c>
      <c r="M562" s="168">
        <f t="shared" si="536"/>
        <v>0</v>
      </c>
      <c r="N562" s="168">
        <f t="shared" si="536"/>
        <v>0</v>
      </c>
      <c r="O562" s="168">
        <f t="shared" si="536"/>
        <v>0</v>
      </c>
      <c r="P562" s="168">
        <f t="shared" si="536"/>
        <v>0</v>
      </c>
      <c r="Q562" s="190">
        <f t="shared" si="531"/>
        <v>0</v>
      </c>
    </row>
    <row r="563" spans="2:17" s="119" customFormat="1" ht="19.5" hidden="1" thickBot="1" x14ac:dyDescent="0.35">
      <c r="B563" s="310"/>
      <c r="C563" s="119">
        <f t="shared" si="525"/>
        <v>0</v>
      </c>
      <c r="D563" s="125" t="s">
        <v>16</v>
      </c>
      <c r="E563" s="70" t="s">
        <v>77</v>
      </c>
      <c r="F563" s="168">
        <f>+F$17*$E549</f>
        <v>0</v>
      </c>
      <c r="G563" s="168">
        <f>+G$17*$E549</f>
        <v>0</v>
      </c>
      <c r="H563" s="168">
        <f>+H$17*$E549</f>
        <v>0</v>
      </c>
      <c r="I563" s="168">
        <f>+I$17*$E549</f>
        <v>0</v>
      </c>
      <c r="J563" s="168">
        <f>+J$17*$E549</f>
        <v>0</v>
      </c>
      <c r="K563" s="168">
        <f t="shared" ref="K563:P563" si="537">+K$17*$E549</f>
        <v>0</v>
      </c>
      <c r="L563" s="168">
        <f t="shared" si="537"/>
        <v>0</v>
      </c>
      <c r="M563" s="168">
        <f t="shared" si="537"/>
        <v>0</v>
      </c>
      <c r="N563" s="168">
        <f t="shared" si="537"/>
        <v>0</v>
      </c>
      <c r="O563" s="168">
        <f t="shared" si="537"/>
        <v>0</v>
      </c>
      <c r="P563" s="168">
        <f t="shared" si="537"/>
        <v>0</v>
      </c>
      <c r="Q563" s="190">
        <f t="shared" si="531"/>
        <v>0</v>
      </c>
    </row>
    <row r="564" spans="2:17" s="119" customFormat="1" ht="19.5" hidden="1" thickBot="1" x14ac:dyDescent="0.3">
      <c r="B564" s="310"/>
      <c r="C564" s="119">
        <f t="shared" si="525"/>
        <v>0</v>
      </c>
      <c r="D564" s="131" t="s">
        <v>124</v>
      </c>
      <c r="E564" s="116" t="s">
        <v>78</v>
      </c>
      <c r="F564" s="169">
        <f t="shared" ref="F564:Q564" si="538">SUBTOTAL(9,F552:F563)</f>
        <v>0</v>
      </c>
      <c r="G564" s="170">
        <f t="shared" si="538"/>
        <v>0</v>
      </c>
      <c r="H564" s="170">
        <f t="shared" si="538"/>
        <v>0</v>
      </c>
      <c r="I564" s="170">
        <f t="shared" si="538"/>
        <v>0</v>
      </c>
      <c r="J564" s="170">
        <f t="shared" si="538"/>
        <v>0</v>
      </c>
      <c r="K564" s="170">
        <f t="shared" ref="K564:P564" si="539">SUBTOTAL(9,K552:K563)</f>
        <v>0</v>
      </c>
      <c r="L564" s="170">
        <f t="shared" si="539"/>
        <v>0</v>
      </c>
      <c r="M564" s="170">
        <f t="shared" si="539"/>
        <v>0</v>
      </c>
      <c r="N564" s="170">
        <f t="shared" si="539"/>
        <v>0</v>
      </c>
      <c r="O564" s="170">
        <f t="shared" si="539"/>
        <v>0</v>
      </c>
      <c r="P564" s="170">
        <f t="shared" si="539"/>
        <v>0</v>
      </c>
      <c r="Q564" s="170">
        <f t="shared" si="538"/>
        <v>0</v>
      </c>
    </row>
    <row r="565" spans="2:17" s="119" customFormat="1" ht="15.75" hidden="1" thickBot="1" x14ac:dyDescent="0.3">
      <c r="B565" s="310"/>
      <c r="D565" s="117"/>
      <c r="E565" s="132"/>
      <c r="F565" s="117"/>
      <c r="G565" s="117"/>
      <c r="H565" s="118"/>
      <c r="I565" s="118"/>
      <c r="J565" s="118"/>
      <c r="K565" s="118"/>
      <c r="L565" s="118"/>
      <c r="M565" s="118"/>
      <c r="N565" s="118"/>
      <c r="O565" s="118"/>
      <c r="P565" s="118"/>
      <c r="Q565" s="118"/>
    </row>
    <row r="566" spans="2:17" s="119" customFormat="1" ht="45.75" hidden="1" thickBot="1" x14ac:dyDescent="0.3">
      <c r="B566" s="310"/>
      <c r="C566" s="119">
        <f>IF(E566&gt;0,1,0)</f>
        <v>0</v>
      </c>
      <c r="D566" s="96" t="str">
        <f>+A36</f>
        <v>Oneida</v>
      </c>
      <c r="E566" s="166">
        <f>+SUMIF(A:A,D566,B:B)</f>
        <v>0</v>
      </c>
      <c r="F566" s="98" t="s">
        <v>97</v>
      </c>
      <c r="G566" s="98" t="s">
        <v>126</v>
      </c>
      <c r="H566" s="98" t="s">
        <v>127</v>
      </c>
      <c r="I566" s="99" t="s">
        <v>128</v>
      </c>
      <c r="J566" s="99" t="s">
        <v>131</v>
      </c>
      <c r="K566" s="560" t="s">
        <v>474</v>
      </c>
      <c r="L566" s="560" t="s">
        <v>475</v>
      </c>
      <c r="M566" s="560" t="s">
        <v>476</v>
      </c>
      <c r="N566" s="560" t="s">
        <v>477</v>
      </c>
      <c r="O566" s="560" t="s">
        <v>478</v>
      </c>
      <c r="P566" s="560" t="s">
        <v>479</v>
      </c>
      <c r="Q566" s="99" t="s">
        <v>129</v>
      </c>
    </row>
    <row r="567" spans="2:17" s="119" customFormat="1" ht="19.5" hidden="1" thickBot="1" x14ac:dyDescent="0.3">
      <c r="B567" s="310"/>
      <c r="C567" s="119">
        <f>C566</f>
        <v>0</v>
      </c>
      <c r="D567" s="127"/>
      <c r="E567" s="128"/>
      <c r="F567" s="84" t="s">
        <v>57</v>
      </c>
      <c r="G567" s="84" t="s">
        <v>56</v>
      </c>
      <c r="H567" s="84" t="s">
        <v>55</v>
      </c>
      <c r="I567" s="84" t="s">
        <v>54</v>
      </c>
      <c r="J567" s="129" t="s">
        <v>53</v>
      </c>
      <c r="K567" s="129" t="s">
        <v>52</v>
      </c>
      <c r="L567" s="129" t="s">
        <v>51</v>
      </c>
      <c r="M567" s="129" t="s">
        <v>50</v>
      </c>
      <c r="N567" s="129" t="s">
        <v>49</v>
      </c>
      <c r="O567" s="129" t="s">
        <v>47</v>
      </c>
      <c r="P567" s="129" t="s">
        <v>77</v>
      </c>
      <c r="Q567" s="129" t="s">
        <v>78</v>
      </c>
    </row>
    <row r="568" spans="2:17" s="119" customFormat="1" ht="19.5" hidden="1" thickBot="1" x14ac:dyDescent="0.3">
      <c r="B568" s="310"/>
      <c r="C568" s="119">
        <f>C567</f>
        <v>0</v>
      </c>
      <c r="D568" s="133" t="s">
        <v>26</v>
      </c>
      <c r="E568" s="134"/>
      <c r="F568" s="135"/>
      <c r="G568" s="135"/>
      <c r="H568" s="136"/>
      <c r="I568" s="136"/>
      <c r="J568" s="137"/>
      <c r="K568" s="137"/>
      <c r="L568" s="137"/>
      <c r="M568" s="137"/>
      <c r="N568" s="137"/>
      <c r="O568" s="137"/>
      <c r="P568" s="137"/>
      <c r="Q568" s="138"/>
    </row>
    <row r="569" spans="2:17" s="119" customFormat="1" ht="19.5" hidden="1" thickBot="1" x14ac:dyDescent="0.3">
      <c r="B569" s="310"/>
      <c r="C569" s="119">
        <f t="shared" ref="C569:C581" si="540">C568</f>
        <v>0</v>
      </c>
      <c r="D569" s="109" t="s">
        <v>93</v>
      </c>
      <c r="E569" s="76" t="s">
        <v>57</v>
      </c>
      <c r="F569" s="168">
        <f>+F$6*$E566</f>
        <v>0</v>
      </c>
      <c r="G569" s="168">
        <f>+G$6*$E566</f>
        <v>0</v>
      </c>
      <c r="H569" s="168">
        <f>+H$6*$E566</f>
        <v>0</v>
      </c>
      <c r="I569" s="168">
        <f>+I$6*$E566</f>
        <v>0</v>
      </c>
      <c r="J569" s="168">
        <f>+J$6*$E566</f>
        <v>0</v>
      </c>
      <c r="K569" s="168">
        <f t="shared" ref="K569:P569" si="541">+K$6*$E566</f>
        <v>0</v>
      </c>
      <c r="L569" s="168">
        <f t="shared" si="541"/>
        <v>0</v>
      </c>
      <c r="M569" s="168">
        <f t="shared" si="541"/>
        <v>0</v>
      </c>
      <c r="N569" s="168">
        <f t="shared" si="541"/>
        <v>0</v>
      </c>
      <c r="O569" s="168">
        <f t="shared" si="541"/>
        <v>0</v>
      </c>
      <c r="P569" s="168">
        <f t="shared" si="541"/>
        <v>0</v>
      </c>
      <c r="Q569" s="190">
        <f>SUM(G569:P569)</f>
        <v>0</v>
      </c>
    </row>
    <row r="570" spans="2:17" s="119" customFormat="1" ht="19.5" hidden="1" thickBot="1" x14ac:dyDescent="0.3">
      <c r="B570" s="310"/>
      <c r="C570" s="119">
        <f t="shared" si="540"/>
        <v>0</v>
      </c>
      <c r="D570" s="110" t="s">
        <v>132</v>
      </c>
      <c r="E570" s="76" t="s">
        <v>56</v>
      </c>
      <c r="F570" s="168">
        <f>+F$7*$E566</f>
        <v>0</v>
      </c>
      <c r="G570" s="168">
        <f>+G$7*$E566</f>
        <v>0</v>
      </c>
      <c r="H570" s="168">
        <f>+H$7*$E566</f>
        <v>0</v>
      </c>
      <c r="I570" s="168">
        <f>+I$7*$E566</f>
        <v>0</v>
      </c>
      <c r="J570" s="168">
        <f>+J$7*$E566</f>
        <v>0</v>
      </c>
      <c r="K570" s="168">
        <f t="shared" ref="K570:P570" si="542">+K$7*$E566</f>
        <v>0</v>
      </c>
      <c r="L570" s="168">
        <f t="shared" si="542"/>
        <v>0</v>
      </c>
      <c r="M570" s="168">
        <f t="shared" si="542"/>
        <v>0</v>
      </c>
      <c r="N570" s="168">
        <f t="shared" si="542"/>
        <v>0</v>
      </c>
      <c r="O570" s="168">
        <f t="shared" si="542"/>
        <v>0</v>
      </c>
      <c r="P570" s="168">
        <f t="shared" si="542"/>
        <v>0</v>
      </c>
      <c r="Q570" s="190">
        <f>SUM(G570:P570)</f>
        <v>0</v>
      </c>
    </row>
    <row r="571" spans="2:17" s="119" customFormat="1" ht="19.5" hidden="1" thickBot="1" x14ac:dyDescent="0.3">
      <c r="B571" s="310"/>
      <c r="C571" s="119">
        <f t="shared" si="540"/>
        <v>0</v>
      </c>
      <c r="D571" s="109" t="s">
        <v>91</v>
      </c>
      <c r="E571" s="76" t="s">
        <v>55</v>
      </c>
      <c r="F571" s="168">
        <f>+F$8*$E566</f>
        <v>0</v>
      </c>
      <c r="G571" s="168">
        <f>+G$8*$E566</f>
        <v>0</v>
      </c>
      <c r="H571" s="168">
        <f>+H$8*$E566</f>
        <v>0</v>
      </c>
      <c r="I571" s="168">
        <f>+I$8*$E566</f>
        <v>0</v>
      </c>
      <c r="J571" s="168">
        <f>+J$8*$E566</f>
        <v>0</v>
      </c>
      <c r="K571" s="168">
        <f t="shared" ref="K571:P571" si="543">+K$8*$E566</f>
        <v>0</v>
      </c>
      <c r="L571" s="168">
        <f t="shared" si="543"/>
        <v>0</v>
      </c>
      <c r="M571" s="168">
        <f t="shared" si="543"/>
        <v>0</v>
      </c>
      <c r="N571" s="168">
        <f t="shared" si="543"/>
        <v>0</v>
      </c>
      <c r="O571" s="168">
        <f t="shared" si="543"/>
        <v>0</v>
      </c>
      <c r="P571" s="168">
        <f t="shared" si="543"/>
        <v>0</v>
      </c>
      <c r="Q571" s="190">
        <f>SUM(G571:P571)</f>
        <v>0</v>
      </c>
    </row>
    <row r="572" spans="2:17" s="119" customFormat="1" ht="19.5" hidden="1" thickBot="1" x14ac:dyDescent="0.3">
      <c r="B572" s="310"/>
      <c r="C572" s="119">
        <f t="shared" si="540"/>
        <v>0</v>
      </c>
      <c r="D572" s="130" t="s">
        <v>117</v>
      </c>
      <c r="E572" s="76" t="s">
        <v>54</v>
      </c>
      <c r="F572" s="168">
        <f>+F$9*$E566</f>
        <v>0</v>
      </c>
      <c r="G572" s="168">
        <f>+G$9*$E566</f>
        <v>0</v>
      </c>
      <c r="H572" s="168">
        <f>+H$9*$E566</f>
        <v>0</v>
      </c>
      <c r="I572" s="168">
        <f>+I$9*$E566</f>
        <v>0</v>
      </c>
      <c r="J572" s="168">
        <f>+J$9*$E566</f>
        <v>0</v>
      </c>
      <c r="K572" s="168">
        <f t="shared" ref="K572:P572" si="544">+K$9*$E566</f>
        <v>0</v>
      </c>
      <c r="L572" s="168">
        <f t="shared" si="544"/>
        <v>0</v>
      </c>
      <c r="M572" s="168">
        <f t="shared" si="544"/>
        <v>0</v>
      </c>
      <c r="N572" s="168">
        <f t="shared" si="544"/>
        <v>0</v>
      </c>
      <c r="O572" s="168">
        <f t="shared" si="544"/>
        <v>0</v>
      </c>
      <c r="P572" s="168">
        <f t="shared" si="544"/>
        <v>0</v>
      </c>
      <c r="Q572" s="190">
        <f>SUM(G572:P572)</f>
        <v>0</v>
      </c>
    </row>
    <row r="573" spans="2:17" s="119" customFormat="1" ht="19.5" hidden="1" thickBot="1" x14ac:dyDescent="0.3">
      <c r="B573" s="310"/>
      <c r="C573" s="119">
        <f t="shared" si="540"/>
        <v>0</v>
      </c>
      <c r="D573" s="112" t="s">
        <v>31</v>
      </c>
      <c r="E573" s="76"/>
      <c r="F573" s="167"/>
      <c r="G573" s="185"/>
      <c r="H573" s="185"/>
      <c r="I573" s="185"/>
      <c r="J573" s="185"/>
      <c r="K573" s="185"/>
      <c r="L573" s="185"/>
      <c r="M573" s="185"/>
      <c r="N573" s="185"/>
      <c r="O573" s="185"/>
      <c r="P573" s="185"/>
      <c r="Q573" s="171"/>
    </row>
    <row r="574" spans="2:17" s="119" customFormat="1" ht="19.5" hidden="1" thickBot="1" x14ac:dyDescent="0.35">
      <c r="B574" s="310"/>
      <c r="C574" s="119">
        <f t="shared" si="540"/>
        <v>0</v>
      </c>
      <c r="D574" s="125" t="s">
        <v>118</v>
      </c>
      <c r="E574" s="76" t="s">
        <v>53</v>
      </c>
      <c r="F574" s="168">
        <f>+F$11*$E566</f>
        <v>0</v>
      </c>
      <c r="G574" s="168">
        <f>+G$11*$E566</f>
        <v>0</v>
      </c>
      <c r="H574" s="168">
        <f>+H$11*$E566</f>
        <v>0</v>
      </c>
      <c r="I574" s="168">
        <f>+I$11*$E566</f>
        <v>0</v>
      </c>
      <c r="J574" s="168">
        <f>+J$11*$E566</f>
        <v>0</v>
      </c>
      <c r="K574" s="168">
        <f t="shared" ref="K574:P574" si="545">+K$11*$E566</f>
        <v>0</v>
      </c>
      <c r="L574" s="168">
        <f t="shared" si="545"/>
        <v>0</v>
      </c>
      <c r="M574" s="168">
        <f t="shared" si="545"/>
        <v>0</v>
      </c>
      <c r="N574" s="168">
        <f t="shared" si="545"/>
        <v>0</v>
      </c>
      <c r="O574" s="168">
        <f t="shared" si="545"/>
        <v>0</v>
      </c>
      <c r="P574" s="168">
        <f t="shared" si="545"/>
        <v>0</v>
      </c>
      <c r="Q574" s="190">
        <f t="shared" ref="Q574:Q580" si="546">SUM(G574:P574)</f>
        <v>0</v>
      </c>
    </row>
    <row r="575" spans="2:17" s="119" customFormat="1" ht="19.5" hidden="1" thickBot="1" x14ac:dyDescent="0.35">
      <c r="B575" s="310"/>
      <c r="C575" s="119">
        <f t="shared" si="540"/>
        <v>0</v>
      </c>
      <c r="D575" s="125" t="s">
        <v>119</v>
      </c>
      <c r="E575" s="76" t="s">
        <v>52</v>
      </c>
      <c r="F575" s="168">
        <f>+F$12*$E566</f>
        <v>0</v>
      </c>
      <c r="G575" s="168">
        <f>+G$12*$E566</f>
        <v>0</v>
      </c>
      <c r="H575" s="168">
        <f>+H$12*$E566</f>
        <v>0</v>
      </c>
      <c r="I575" s="168">
        <f>+I$12*$E566</f>
        <v>0</v>
      </c>
      <c r="J575" s="168">
        <f>+J$12*$E566</f>
        <v>0</v>
      </c>
      <c r="K575" s="168">
        <f t="shared" ref="K575:P575" si="547">+K$12*$E566</f>
        <v>0</v>
      </c>
      <c r="L575" s="168">
        <f t="shared" si="547"/>
        <v>0</v>
      </c>
      <c r="M575" s="168">
        <f t="shared" si="547"/>
        <v>0</v>
      </c>
      <c r="N575" s="168">
        <f t="shared" si="547"/>
        <v>0</v>
      </c>
      <c r="O575" s="168">
        <f t="shared" si="547"/>
        <v>0</v>
      </c>
      <c r="P575" s="168">
        <f t="shared" si="547"/>
        <v>0</v>
      </c>
      <c r="Q575" s="190">
        <f t="shared" si="546"/>
        <v>0</v>
      </c>
    </row>
    <row r="576" spans="2:17" s="119" customFormat="1" ht="19.5" hidden="1" thickBot="1" x14ac:dyDescent="0.35">
      <c r="B576" s="310"/>
      <c r="C576" s="119">
        <f t="shared" si="540"/>
        <v>0</v>
      </c>
      <c r="D576" s="125" t="s">
        <v>120</v>
      </c>
      <c r="E576" s="76" t="s">
        <v>51</v>
      </c>
      <c r="F576" s="168">
        <f>+F$13*$E566</f>
        <v>0</v>
      </c>
      <c r="G576" s="168">
        <f>+G$13*$E566</f>
        <v>0</v>
      </c>
      <c r="H576" s="168">
        <f>+H$13*$E566</f>
        <v>0</v>
      </c>
      <c r="I576" s="168">
        <f>+I$13*$E566</f>
        <v>0</v>
      </c>
      <c r="J576" s="168">
        <f>+J$13*$E566</f>
        <v>0</v>
      </c>
      <c r="K576" s="168">
        <f t="shared" ref="K576:P576" si="548">+K$13*$E566</f>
        <v>0</v>
      </c>
      <c r="L576" s="168">
        <f t="shared" si="548"/>
        <v>0</v>
      </c>
      <c r="M576" s="168">
        <f t="shared" si="548"/>
        <v>0</v>
      </c>
      <c r="N576" s="168">
        <f t="shared" si="548"/>
        <v>0</v>
      </c>
      <c r="O576" s="168">
        <f t="shared" si="548"/>
        <v>0</v>
      </c>
      <c r="P576" s="168">
        <f t="shared" si="548"/>
        <v>0</v>
      </c>
      <c r="Q576" s="190">
        <f t="shared" si="546"/>
        <v>0</v>
      </c>
    </row>
    <row r="577" spans="2:17" s="119" customFormat="1" ht="19.5" hidden="1" thickBot="1" x14ac:dyDescent="0.35">
      <c r="B577" s="310"/>
      <c r="C577" s="119">
        <f t="shared" si="540"/>
        <v>0</v>
      </c>
      <c r="D577" s="125" t="s">
        <v>121</v>
      </c>
      <c r="E577" s="76" t="s">
        <v>50</v>
      </c>
      <c r="F577" s="168">
        <f>+F$14*$E566</f>
        <v>0</v>
      </c>
      <c r="G577" s="168">
        <f>+G$14*$E566</f>
        <v>0</v>
      </c>
      <c r="H577" s="168">
        <f>+H$14*$E566</f>
        <v>0</v>
      </c>
      <c r="I577" s="168">
        <f>+I$14*$E566</f>
        <v>0</v>
      </c>
      <c r="J577" s="168">
        <f>+J$14*$E566</f>
        <v>0</v>
      </c>
      <c r="K577" s="168">
        <f t="shared" ref="K577:P577" si="549">+K$14*$E566</f>
        <v>0</v>
      </c>
      <c r="L577" s="168">
        <f t="shared" si="549"/>
        <v>0</v>
      </c>
      <c r="M577" s="168">
        <f t="shared" si="549"/>
        <v>0</v>
      </c>
      <c r="N577" s="168">
        <f t="shared" si="549"/>
        <v>0</v>
      </c>
      <c r="O577" s="168">
        <f t="shared" si="549"/>
        <v>0</v>
      </c>
      <c r="P577" s="168">
        <f t="shared" si="549"/>
        <v>0</v>
      </c>
      <c r="Q577" s="190">
        <f t="shared" si="546"/>
        <v>0</v>
      </c>
    </row>
    <row r="578" spans="2:17" s="119" customFormat="1" ht="19.5" hidden="1" thickBot="1" x14ac:dyDescent="0.35">
      <c r="B578" s="310"/>
      <c r="C578" s="119">
        <f t="shared" si="540"/>
        <v>0</v>
      </c>
      <c r="D578" s="125" t="s">
        <v>122</v>
      </c>
      <c r="E578" s="76" t="s">
        <v>49</v>
      </c>
      <c r="F578" s="168">
        <f>+F$15*$E566</f>
        <v>0</v>
      </c>
      <c r="G578" s="168">
        <f>+G$15*$E566</f>
        <v>0</v>
      </c>
      <c r="H578" s="168">
        <f>+H$15*$E566</f>
        <v>0</v>
      </c>
      <c r="I578" s="168">
        <f>+I$15*$E566</f>
        <v>0</v>
      </c>
      <c r="J578" s="168">
        <f>+J$15*$E566</f>
        <v>0</v>
      </c>
      <c r="K578" s="168">
        <f t="shared" ref="K578:P578" si="550">+K$15*$E566</f>
        <v>0</v>
      </c>
      <c r="L578" s="168">
        <f t="shared" si="550"/>
        <v>0</v>
      </c>
      <c r="M578" s="168">
        <f t="shared" si="550"/>
        <v>0</v>
      </c>
      <c r="N578" s="168">
        <f t="shared" si="550"/>
        <v>0</v>
      </c>
      <c r="O578" s="168">
        <f t="shared" si="550"/>
        <v>0</v>
      </c>
      <c r="P578" s="168">
        <f t="shared" si="550"/>
        <v>0</v>
      </c>
      <c r="Q578" s="190">
        <f t="shared" si="546"/>
        <v>0</v>
      </c>
    </row>
    <row r="579" spans="2:17" s="119" customFormat="1" ht="19.5" hidden="1" thickBot="1" x14ac:dyDescent="0.35">
      <c r="B579" s="310"/>
      <c r="C579" s="119">
        <f t="shared" si="540"/>
        <v>0</v>
      </c>
      <c r="D579" s="125" t="s">
        <v>123</v>
      </c>
      <c r="E579" s="76" t="s">
        <v>47</v>
      </c>
      <c r="F579" s="168">
        <f>+F$16*$E566</f>
        <v>0</v>
      </c>
      <c r="G579" s="168">
        <f>+G$16*$E566</f>
        <v>0</v>
      </c>
      <c r="H579" s="168">
        <f>+H$16*$E566</f>
        <v>0</v>
      </c>
      <c r="I579" s="168">
        <f>+I$16*$E566</f>
        <v>0</v>
      </c>
      <c r="J579" s="168">
        <f>+J$16*$E566</f>
        <v>0</v>
      </c>
      <c r="K579" s="168">
        <f t="shared" ref="K579:P579" si="551">+K$16*$E566</f>
        <v>0</v>
      </c>
      <c r="L579" s="168">
        <f t="shared" si="551"/>
        <v>0</v>
      </c>
      <c r="M579" s="168">
        <f t="shared" si="551"/>
        <v>0</v>
      </c>
      <c r="N579" s="168">
        <f t="shared" si="551"/>
        <v>0</v>
      </c>
      <c r="O579" s="168">
        <f t="shared" si="551"/>
        <v>0</v>
      </c>
      <c r="P579" s="168">
        <f t="shared" si="551"/>
        <v>0</v>
      </c>
      <c r="Q579" s="190">
        <f t="shared" si="546"/>
        <v>0</v>
      </c>
    </row>
    <row r="580" spans="2:17" s="119" customFormat="1" ht="19.5" hidden="1" thickBot="1" x14ac:dyDescent="0.35">
      <c r="B580" s="310"/>
      <c r="C580" s="119">
        <f t="shared" si="540"/>
        <v>0</v>
      </c>
      <c r="D580" s="125" t="s">
        <v>16</v>
      </c>
      <c r="E580" s="70" t="s">
        <v>77</v>
      </c>
      <c r="F580" s="168">
        <f>+F$17*$E566</f>
        <v>0</v>
      </c>
      <c r="G580" s="168">
        <f>+G$17*$E566</f>
        <v>0</v>
      </c>
      <c r="H580" s="168">
        <f>+H$17*$E566</f>
        <v>0</v>
      </c>
      <c r="I580" s="168">
        <f>+I$17*$E566</f>
        <v>0</v>
      </c>
      <c r="J580" s="168">
        <f>+J$17*$E566</f>
        <v>0</v>
      </c>
      <c r="K580" s="168">
        <f t="shared" ref="K580:P580" si="552">+K$17*$E566</f>
        <v>0</v>
      </c>
      <c r="L580" s="168">
        <f t="shared" si="552"/>
        <v>0</v>
      </c>
      <c r="M580" s="168">
        <f t="shared" si="552"/>
        <v>0</v>
      </c>
      <c r="N580" s="168">
        <f t="shared" si="552"/>
        <v>0</v>
      </c>
      <c r="O580" s="168">
        <f t="shared" si="552"/>
        <v>0</v>
      </c>
      <c r="P580" s="168">
        <f t="shared" si="552"/>
        <v>0</v>
      </c>
      <c r="Q580" s="190">
        <f t="shared" si="546"/>
        <v>0</v>
      </c>
    </row>
    <row r="581" spans="2:17" s="119" customFormat="1" ht="19.5" hidden="1" thickBot="1" x14ac:dyDescent="0.3">
      <c r="B581" s="310"/>
      <c r="C581" s="119">
        <f t="shared" si="540"/>
        <v>0</v>
      </c>
      <c r="D581" s="131" t="s">
        <v>124</v>
      </c>
      <c r="E581" s="116" t="s">
        <v>78</v>
      </c>
      <c r="F581" s="169">
        <f t="shared" ref="F581:Q581" si="553">SUBTOTAL(9,F569:F580)</f>
        <v>0</v>
      </c>
      <c r="G581" s="170">
        <f t="shared" si="553"/>
        <v>0</v>
      </c>
      <c r="H581" s="170">
        <f t="shared" si="553"/>
        <v>0</v>
      </c>
      <c r="I581" s="170">
        <f t="shared" si="553"/>
        <v>0</v>
      </c>
      <c r="J581" s="170">
        <f t="shared" si="553"/>
        <v>0</v>
      </c>
      <c r="K581" s="170">
        <f t="shared" ref="K581:P581" si="554">SUBTOTAL(9,K569:K580)</f>
        <v>0</v>
      </c>
      <c r="L581" s="170">
        <f t="shared" si="554"/>
        <v>0</v>
      </c>
      <c r="M581" s="170">
        <f t="shared" si="554"/>
        <v>0</v>
      </c>
      <c r="N581" s="170">
        <f t="shared" si="554"/>
        <v>0</v>
      </c>
      <c r="O581" s="170">
        <f t="shared" si="554"/>
        <v>0</v>
      </c>
      <c r="P581" s="170">
        <f t="shared" si="554"/>
        <v>0</v>
      </c>
      <c r="Q581" s="170">
        <f t="shared" si="553"/>
        <v>0</v>
      </c>
    </row>
    <row r="582" spans="2:17" s="119" customFormat="1" ht="15.75" hidden="1" thickBot="1" x14ac:dyDescent="0.3">
      <c r="B582" s="310"/>
      <c r="D582" s="117"/>
      <c r="E582" s="132"/>
      <c r="F582" s="117"/>
      <c r="G582" s="117"/>
      <c r="H582" s="118"/>
      <c r="I582" s="118"/>
      <c r="J582" s="118"/>
      <c r="K582" s="118"/>
      <c r="L582" s="118"/>
      <c r="M582" s="118"/>
      <c r="N582" s="118"/>
      <c r="O582" s="118"/>
      <c r="P582" s="118"/>
      <c r="Q582" s="118"/>
    </row>
    <row r="583" spans="2:17" s="119" customFormat="1" ht="45.75" hidden="1" thickBot="1" x14ac:dyDescent="0.3">
      <c r="B583" s="310"/>
      <c r="C583" s="119">
        <f>IF(E583&gt;0,1,0)</f>
        <v>0</v>
      </c>
      <c r="D583" s="96" t="str">
        <f>+A37</f>
        <v>Onondaga</v>
      </c>
      <c r="E583" s="166">
        <f>+SUMIF(A:A,D583,B:B)</f>
        <v>0</v>
      </c>
      <c r="F583" s="98" t="s">
        <v>97</v>
      </c>
      <c r="G583" s="98" t="s">
        <v>126</v>
      </c>
      <c r="H583" s="98" t="s">
        <v>127</v>
      </c>
      <c r="I583" s="99" t="s">
        <v>128</v>
      </c>
      <c r="J583" s="99" t="s">
        <v>131</v>
      </c>
      <c r="K583" s="560" t="s">
        <v>474</v>
      </c>
      <c r="L583" s="560" t="s">
        <v>475</v>
      </c>
      <c r="M583" s="560" t="s">
        <v>476</v>
      </c>
      <c r="N583" s="560" t="s">
        <v>477</v>
      </c>
      <c r="O583" s="560" t="s">
        <v>478</v>
      </c>
      <c r="P583" s="560" t="s">
        <v>479</v>
      </c>
      <c r="Q583" s="99" t="s">
        <v>129</v>
      </c>
    </row>
    <row r="584" spans="2:17" s="119" customFormat="1" ht="19.5" hidden="1" thickBot="1" x14ac:dyDescent="0.3">
      <c r="B584" s="310"/>
      <c r="C584" s="119">
        <f>C583</f>
        <v>0</v>
      </c>
      <c r="D584" s="127"/>
      <c r="E584" s="128"/>
      <c r="F584" s="84" t="s">
        <v>57</v>
      </c>
      <c r="G584" s="84" t="s">
        <v>56</v>
      </c>
      <c r="H584" s="84" t="s">
        <v>55</v>
      </c>
      <c r="I584" s="84" t="s">
        <v>54</v>
      </c>
      <c r="J584" s="129" t="s">
        <v>53</v>
      </c>
      <c r="K584" s="129" t="s">
        <v>52</v>
      </c>
      <c r="L584" s="129" t="s">
        <v>51</v>
      </c>
      <c r="M584" s="129" t="s">
        <v>50</v>
      </c>
      <c r="N584" s="129" t="s">
        <v>49</v>
      </c>
      <c r="O584" s="129" t="s">
        <v>47</v>
      </c>
      <c r="P584" s="129" t="s">
        <v>77</v>
      </c>
      <c r="Q584" s="129" t="s">
        <v>78</v>
      </c>
    </row>
    <row r="585" spans="2:17" s="119" customFormat="1" ht="19.5" hidden="1" thickBot="1" x14ac:dyDescent="0.3">
      <c r="B585" s="310"/>
      <c r="C585" s="119">
        <f>C584</f>
        <v>0</v>
      </c>
      <c r="D585" s="133" t="s">
        <v>26</v>
      </c>
      <c r="E585" s="134"/>
      <c r="F585" s="135"/>
      <c r="G585" s="135"/>
      <c r="H585" s="136"/>
      <c r="I585" s="136"/>
      <c r="J585" s="137"/>
      <c r="K585" s="137"/>
      <c r="L585" s="137"/>
      <c r="M585" s="137"/>
      <c r="N585" s="137"/>
      <c r="O585" s="137"/>
      <c r="P585" s="137"/>
      <c r="Q585" s="138"/>
    </row>
    <row r="586" spans="2:17" s="119" customFormat="1" ht="19.5" hidden="1" thickBot="1" x14ac:dyDescent="0.3">
      <c r="B586" s="310"/>
      <c r="C586" s="119">
        <f t="shared" ref="C586:C598" si="555">C585</f>
        <v>0</v>
      </c>
      <c r="D586" s="109" t="s">
        <v>93</v>
      </c>
      <c r="E586" s="76" t="s">
        <v>57</v>
      </c>
      <c r="F586" s="168">
        <f>+F$6*$E583</f>
        <v>0</v>
      </c>
      <c r="G586" s="168">
        <f>+G$6*$E583</f>
        <v>0</v>
      </c>
      <c r="H586" s="168">
        <f>+H$6*$E583</f>
        <v>0</v>
      </c>
      <c r="I586" s="168">
        <f>+I$6*$E583</f>
        <v>0</v>
      </c>
      <c r="J586" s="168">
        <f>+J$6*$E583</f>
        <v>0</v>
      </c>
      <c r="K586" s="168">
        <f t="shared" ref="K586:P586" si="556">+K$6*$E583</f>
        <v>0</v>
      </c>
      <c r="L586" s="168">
        <f t="shared" si="556"/>
        <v>0</v>
      </c>
      <c r="M586" s="168">
        <f t="shared" si="556"/>
        <v>0</v>
      </c>
      <c r="N586" s="168">
        <f t="shared" si="556"/>
        <v>0</v>
      </c>
      <c r="O586" s="168">
        <f t="shared" si="556"/>
        <v>0</v>
      </c>
      <c r="P586" s="168">
        <f t="shared" si="556"/>
        <v>0</v>
      </c>
      <c r="Q586" s="190">
        <f>SUM(G586:P586)</f>
        <v>0</v>
      </c>
    </row>
    <row r="587" spans="2:17" s="119" customFormat="1" ht="19.5" hidden="1" thickBot="1" x14ac:dyDescent="0.3">
      <c r="B587" s="310"/>
      <c r="C587" s="119">
        <f t="shared" si="555"/>
        <v>0</v>
      </c>
      <c r="D587" s="110" t="s">
        <v>132</v>
      </c>
      <c r="E587" s="76" t="s">
        <v>56</v>
      </c>
      <c r="F587" s="168">
        <f>+F$7*$E583</f>
        <v>0</v>
      </c>
      <c r="G587" s="168">
        <f>+G$7*$E583</f>
        <v>0</v>
      </c>
      <c r="H587" s="168">
        <f>+H$7*$E583</f>
        <v>0</v>
      </c>
      <c r="I587" s="168">
        <f>+I$7*$E583</f>
        <v>0</v>
      </c>
      <c r="J587" s="168">
        <f>+J$7*$E583</f>
        <v>0</v>
      </c>
      <c r="K587" s="168">
        <f t="shared" ref="K587:P587" si="557">+K$7*$E583</f>
        <v>0</v>
      </c>
      <c r="L587" s="168">
        <f t="shared" si="557"/>
        <v>0</v>
      </c>
      <c r="M587" s="168">
        <f t="shared" si="557"/>
        <v>0</v>
      </c>
      <c r="N587" s="168">
        <f t="shared" si="557"/>
        <v>0</v>
      </c>
      <c r="O587" s="168">
        <f t="shared" si="557"/>
        <v>0</v>
      </c>
      <c r="P587" s="168">
        <f t="shared" si="557"/>
        <v>0</v>
      </c>
      <c r="Q587" s="190">
        <f>SUM(G587:P587)</f>
        <v>0</v>
      </c>
    </row>
    <row r="588" spans="2:17" s="119" customFormat="1" ht="19.5" hidden="1" thickBot="1" x14ac:dyDescent="0.3">
      <c r="B588" s="310"/>
      <c r="C588" s="119">
        <f t="shared" si="555"/>
        <v>0</v>
      </c>
      <c r="D588" s="109" t="s">
        <v>91</v>
      </c>
      <c r="E588" s="76" t="s">
        <v>55</v>
      </c>
      <c r="F588" s="168">
        <f>+F$8*$E583</f>
        <v>0</v>
      </c>
      <c r="G588" s="168">
        <f>+G$8*$E583</f>
        <v>0</v>
      </c>
      <c r="H588" s="168">
        <f>+H$8*$E583</f>
        <v>0</v>
      </c>
      <c r="I588" s="168">
        <f>+I$8*$E583</f>
        <v>0</v>
      </c>
      <c r="J588" s="168">
        <f>+J$8*$E583</f>
        <v>0</v>
      </c>
      <c r="K588" s="168">
        <f t="shared" ref="K588:P588" si="558">+K$8*$E583</f>
        <v>0</v>
      </c>
      <c r="L588" s="168">
        <f t="shared" si="558"/>
        <v>0</v>
      </c>
      <c r="M588" s="168">
        <f t="shared" si="558"/>
        <v>0</v>
      </c>
      <c r="N588" s="168">
        <f t="shared" si="558"/>
        <v>0</v>
      </c>
      <c r="O588" s="168">
        <f t="shared" si="558"/>
        <v>0</v>
      </c>
      <c r="P588" s="168">
        <f t="shared" si="558"/>
        <v>0</v>
      </c>
      <c r="Q588" s="190">
        <f>SUM(G588:P588)</f>
        <v>0</v>
      </c>
    </row>
    <row r="589" spans="2:17" s="119" customFormat="1" ht="19.5" hidden="1" thickBot="1" x14ac:dyDescent="0.3">
      <c r="B589" s="310"/>
      <c r="C589" s="119">
        <f t="shared" si="555"/>
        <v>0</v>
      </c>
      <c r="D589" s="130" t="s">
        <v>117</v>
      </c>
      <c r="E589" s="76" t="s">
        <v>54</v>
      </c>
      <c r="F589" s="168">
        <f>+F$9*$E583</f>
        <v>0</v>
      </c>
      <c r="G589" s="168">
        <f>+G$9*$E583</f>
        <v>0</v>
      </c>
      <c r="H589" s="168">
        <f>+H$9*$E583</f>
        <v>0</v>
      </c>
      <c r="I589" s="168">
        <f>+I$9*$E583</f>
        <v>0</v>
      </c>
      <c r="J589" s="168">
        <f>+J$9*$E583</f>
        <v>0</v>
      </c>
      <c r="K589" s="168">
        <f t="shared" ref="K589:P589" si="559">+K$9*$E583</f>
        <v>0</v>
      </c>
      <c r="L589" s="168">
        <f t="shared" si="559"/>
        <v>0</v>
      </c>
      <c r="M589" s="168">
        <f t="shared" si="559"/>
        <v>0</v>
      </c>
      <c r="N589" s="168">
        <f t="shared" si="559"/>
        <v>0</v>
      </c>
      <c r="O589" s="168">
        <f t="shared" si="559"/>
        <v>0</v>
      </c>
      <c r="P589" s="168">
        <f t="shared" si="559"/>
        <v>0</v>
      </c>
      <c r="Q589" s="190">
        <f>SUM(G589:P589)</f>
        <v>0</v>
      </c>
    </row>
    <row r="590" spans="2:17" s="119" customFormat="1" ht="19.5" hidden="1" thickBot="1" x14ac:dyDescent="0.3">
      <c r="B590" s="310"/>
      <c r="C590" s="119">
        <f t="shared" si="555"/>
        <v>0</v>
      </c>
      <c r="D590" s="112" t="s">
        <v>31</v>
      </c>
      <c r="E590" s="76"/>
      <c r="F590" s="167"/>
      <c r="G590" s="185"/>
      <c r="H590" s="185"/>
      <c r="I590" s="185"/>
      <c r="J590" s="185"/>
      <c r="K590" s="185"/>
      <c r="L590" s="185"/>
      <c r="M590" s="185"/>
      <c r="N590" s="185"/>
      <c r="O590" s="185"/>
      <c r="P590" s="185"/>
      <c r="Q590" s="171"/>
    </row>
    <row r="591" spans="2:17" s="119" customFormat="1" ht="19.5" hidden="1" thickBot="1" x14ac:dyDescent="0.35">
      <c r="B591" s="310"/>
      <c r="C591" s="119">
        <f t="shared" si="555"/>
        <v>0</v>
      </c>
      <c r="D591" s="125" t="s">
        <v>118</v>
      </c>
      <c r="E591" s="76" t="s">
        <v>53</v>
      </c>
      <c r="F591" s="168">
        <f>+F$11*$E583</f>
        <v>0</v>
      </c>
      <c r="G591" s="168">
        <f>+G$11*$E583</f>
        <v>0</v>
      </c>
      <c r="H591" s="168">
        <f>+H$11*$E583</f>
        <v>0</v>
      </c>
      <c r="I591" s="168">
        <f>+I$11*$E583</f>
        <v>0</v>
      </c>
      <c r="J591" s="168">
        <f>+J$11*$E583</f>
        <v>0</v>
      </c>
      <c r="K591" s="168">
        <f t="shared" ref="K591:P591" si="560">+K$11*$E583</f>
        <v>0</v>
      </c>
      <c r="L591" s="168">
        <f t="shared" si="560"/>
        <v>0</v>
      </c>
      <c r="M591" s="168">
        <f t="shared" si="560"/>
        <v>0</v>
      </c>
      <c r="N591" s="168">
        <f t="shared" si="560"/>
        <v>0</v>
      </c>
      <c r="O591" s="168">
        <f t="shared" si="560"/>
        <v>0</v>
      </c>
      <c r="P591" s="168">
        <f t="shared" si="560"/>
        <v>0</v>
      </c>
      <c r="Q591" s="190">
        <f t="shared" ref="Q591:Q597" si="561">SUM(G591:P591)</f>
        <v>0</v>
      </c>
    </row>
    <row r="592" spans="2:17" s="119" customFormat="1" ht="19.5" hidden="1" thickBot="1" x14ac:dyDescent="0.35">
      <c r="B592" s="310"/>
      <c r="C592" s="119">
        <f t="shared" si="555"/>
        <v>0</v>
      </c>
      <c r="D592" s="125" t="s">
        <v>119</v>
      </c>
      <c r="E592" s="76" t="s">
        <v>52</v>
      </c>
      <c r="F592" s="168">
        <f>+F$12*$E583</f>
        <v>0</v>
      </c>
      <c r="G592" s="168">
        <f>+G$12*$E583</f>
        <v>0</v>
      </c>
      <c r="H592" s="168">
        <f>+H$12*$E583</f>
        <v>0</v>
      </c>
      <c r="I592" s="168">
        <f>+I$12*$E583</f>
        <v>0</v>
      </c>
      <c r="J592" s="168">
        <f>+J$12*$E583</f>
        <v>0</v>
      </c>
      <c r="K592" s="168">
        <f t="shared" ref="K592:P592" si="562">+K$12*$E583</f>
        <v>0</v>
      </c>
      <c r="L592" s="168">
        <f t="shared" si="562"/>
        <v>0</v>
      </c>
      <c r="M592" s="168">
        <f t="shared" si="562"/>
        <v>0</v>
      </c>
      <c r="N592" s="168">
        <f t="shared" si="562"/>
        <v>0</v>
      </c>
      <c r="O592" s="168">
        <f t="shared" si="562"/>
        <v>0</v>
      </c>
      <c r="P592" s="168">
        <f t="shared" si="562"/>
        <v>0</v>
      </c>
      <c r="Q592" s="190">
        <f t="shared" si="561"/>
        <v>0</v>
      </c>
    </row>
    <row r="593" spans="2:17" s="119" customFormat="1" ht="19.5" hidden="1" thickBot="1" x14ac:dyDescent="0.35">
      <c r="B593" s="310"/>
      <c r="C593" s="119">
        <f t="shared" si="555"/>
        <v>0</v>
      </c>
      <c r="D593" s="125" t="s">
        <v>120</v>
      </c>
      <c r="E593" s="76" t="s">
        <v>51</v>
      </c>
      <c r="F593" s="168">
        <f>+F$13*$E583</f>
        <v>0</v>
      </c>
      <c r="G593" s="168">
        <f>+G$13*$E583</f>
        <v>0</v>
      </c>
      <c r="H593" s="168">
        <f>+H$13*$E583</f>
        <v>0</v>
      </c>
      <c r="I593" s="168">
        <f>+I$13*$E583</f>
        <v>0</v>
      </c>
      <c r="J593" s="168">
        <f>+J$13*$E583</f>
        <v>0</v>
      </c>
      <c r="K593" s="168">
        <f t="shared" ref="K593:P593" si="563">+K$13*$E583</f>
        <v>0</v>
      </c>
      <c r="L593" s="168">
        <f t="shared" si="563"/>
        <v>0</v>
      </c>
      <c r="M593" s="168">
        <f t="shared" si="563"/>
        <v>0</v>
      </c>
      <c r="N593" s="168">
        <f t="shared" si="563"/>
        <v>0</v>
      </c>
      <c r="O593" s="168">
        <f t="shared" si="563"/>
        <v>0</v>
      </c>
      <c r="P593" s="168">
        <f t="shared" si="563"/>
        <v>0</v>
      </c>
      <c r="Q593" s="190">
        <f t="shared" si="561"/>
        <v>0</v>
      </c>
    </row>
    <row r="594" spans="2:17" s="119" customFormat="1" ht="19.5" hidden="1" thickBot="1" x14ac:dyDescent="0.35">
      <c r="B594" s="310"/>
      <c r="C594" s="119">
        <f t="shared" si="555"/>
        <v>0</v>
      </c>
      <c r="D594" s="125" t="s">
        <v>121</v>
      </c>
      <c r="E594" s="76" t="s">
        <v>50</v>
      </c>
      <c r="F594" s="168">
        <f>+F$14*$E583</f>
        <v>0</v>
      </c>
      <c r="G594" s="168">
        <f>+G$14*$E583</f>
        <v>0</v>
      </c>
      <c r="H594" s="168">
        <f>+H$14*$E583</f>
        <v>0</v>
      </c>
      <c r="I594" s="168">
        <f>+I$14*$E583</f>
        <v>0</v>
      </c>
      <c r="J594" s="168">
        <f>+J$14*$E583</f>
        <v>0</v>
      </c>
      <c r="K594" s="168">
        <f t="shared" ref="K594:P594" si="564">+K$14*$E583</f>
        <v>0</v>
      </c>
      <c r="L594" s="168">
        <f t="shared" si="564"/>
        <v>0</v>
      </c>
      <c r="M594" s="168">
        <f t="shared" si="564"/>
        <v>0</v>
      </c>
      <c r="N594" s="168">
        <f t="shared" si="564"/>
        <v>0</v>
      </c>
      <c r="O594" s="168">
        <f t="shared" si="564"/>
        <v>0</v>
      </c>
      <c r="P594" s="168">
        <f t="shared" si="564"/>
        <v>0</v>
      </c>
      <c r="Q594" s="190">
        <f t="shared" si="561"/>
        <v>0</v>
      </c>
    </row>
    <row r="595" spans="2:17" s="119" customFormat="1" ht="19.5" hidden="1" thickBot="1" x14ac:dyDescent="0.35">
      <c r="B595" s="310"/>
      <c r="C595" s="119">
        <f t="shared" si="555"/>
        <v>0</v>
      </c>
      <c r="D595" s="125" t="s">
        <v>122</v>
      </c>
      <c r="E595" s="76" t="s">
        <v>49</v>
      </c>
      <c r="F595" s="168">
        <f>+F$15*$E583</f>
        <v>0</v>
      </c>
      <c r="G595" s="168">
        <f>+G$15*$E583</f>
        <v>0</v>
      </c>
      <c r="H595" s="168">
        <f>+H$15*$E583</f>
        <v>0</v>
      </c>
      <c r="I595" s="168">
        <f>+I$15*$E583</f>
        <v>0</v>
      </c>
      <c r="J595" s="168">
        <f>+J$15*$E583</f>
        <v>0</v>
      </c>
      <c r="K595" s="168">
        <f t="shared" ref="K595:P595" si="565">+K$15*$E583</f>
        <v>0</v>
      </c>
      <c r="L595" s="168">
        <f t="shared" si="565"/>
        <v>0</v>
      </c>
      <c r="M595" s="168">
        <f t="shared" si="565"/>
        <v>0</v>
      </c>
      <c r="N595" s="168">
        <f t="shared" si="565"/>
        <v>0</v>
      </c>
      <c r="O595" s="168">
        <f t="shared" si="565"/>
        <v>0</v>
      </c>
      <c r="P595" s="168">
        <f t="shared" si="565"/>
        <v>0</v>
      </c>
      <c r="Q595" s="190">
        <f t="shared" si="561"/>
        <v>0</v>
      </c>
    </row>
    <row r="596" spans="2:17" s="119" customFormat="1" ht="19.5" hidden="1" thickBot="1" x14ac:dyDescent="0.35">
      <c r="B596" s="310"/>
      <c r="C596" s="119">
        <f t="shared" si="555"/>
        <v>0</v>
      </c>
      <c r="D596" s="125" t="s">
        <v>123</v>
      </c>
      <c r="E596" s="76" t="s">
        <v>47</v>
      </c>
      <c r="F596" s="168">
        <f>+F$16*$E583</f>
        <v>0</v>
      </c>
      <c r="G596" s="168">
        <f>+G$16*$E583</f>
        <v>0</v>
      </c>
      <c r="H596" s="168">
        <f>+H$16*$E583</f>
        <v>0</v>
      </c>
      <c r="I596" s="168">
        <f>+I$16*$E583</f>
        <v>0</v>
      </c>
      <c r="J596" s="168">
        <f>+J$16*$E583</f>
        <v>0</v>
      </c>
      <c r="K596" s="168">
        <f t="shared" ref="K596:P596" si="566">+K$16*$E583</f>
        <v>0</v>
      </c>
      <c r="L596" s="168">
        <f t="shared" si="566"/>
        <v>0</v>
      </c>
      <c r="M596" s="168">
        <f t="shared" si="566"/>
        <v>0</v>
      </c>
      <c r="N596" s="168">
        <f t="shared" si="566"/>
        <v>0</v>
      </c>
      <c r="O596" s="168">
        <f t="shared" si="566"/>
        <v>0</v>
      </c>
      <c r="P596" s="168">
        <f t="shared" si="566"/>
        <v>0</v>
      </c>
      <c r="Q596" s="190">
        <f t="shared" si="561"/>
        <v>0</v>
      </c>
    </row>
    <row r="597" spans="2:17" s="119" customFormat="1" ht="19.5" hidden="1" thickBot="1" x14ac:dyDescent="0.35">
      <c r="B597" s="310"/>
      <c r="C597" s="119">
        <f t="shared" si="555"/>
        <v>0</v>
      </c>
      <c r="D597" s="125" t="s">
        <v>16</v>
      </c>
      <c r="E597" s="70" t="s">
        <v>77</v>
      </c>
      <c r="F597" s="168">
        <f>+F$17*$E583</f>
        <v>0</v>
      </c>
      <c r="G597" s="168">
        <f>+G$17*$E583</f>
        <v>0</v>
      </c>
      <c r="H597" s="168">
        <f>+H$17*$E583</f>
        <v>0</v>
      </c>
      <c r="I597" s="168">
        <f>+I$17*$E583</f>
        <v>0</v>
      </c>
      <c r="J597" s="168">
        <f>+J$17*$E583</f>
        <v>0</v>
      </c>
      <c r="K597" s="168">
        <f t="shared" ref="K597:P597" si="567">+K$17*$E583</f>
        <v>0</v>
      </c>
      <c r="L597" s="168">
        <f t="shared" si="567"/>
        <v>0</v>
      </c>
      <c r="M597" s="168">
        <f t="shared" si="567"/>
        <v>0</v>
      </c>
      <c r="N597" s="168">
        <f t="shared" si="567"/>
        <v>0</v>
      </c>
      <c r="O597" s="168">
        <f t="shared" si="567"/>
        <v>0</v>
      </c>
      <c r="P597" s="168">
        <f t="shared" si="567"/>
        <v>0</v>
      </c>
      <c r="Q597" s="190">
        <f t="shared" si="561"/>
        <v>0</v>
      </c>
    </row>
    <row r="598" spans="2:17" s="119" customFormat="1" ht="19.5" hidden="1" thickBot="1" x14ac:dyDescent="0.3">
      <c r="B598" s="310"/>
      <c r="C598" s="119">
        <f t="shared" si="555"/>
        <v>0</v>
      </c>
      <c r="D598" s="131" t="s">
        <v>124</v>
      </c>
      <c r="E598" s="116" t="s">
        <v>78</v>
      </c>
      <c r="F598" s="169">
        <f t="shared" ref="F598:Q598" si="568">SUBTOTAL(9,F586:F597)</f>
        <v>0</v>
      </c>
      <c r="G598" s="170">
        <f t="shared" si="568"/>
        <v>0</v>
      </c>
      <c r="H598" s="170">
        <f t="shared" si="568"/>
        <v>0</v>
      </c>
      <c r="I598" s="170">
        <f t="shared" si="568"/>
        <v>0</v>
      </c>
      <c r="J598" s="170">
        <f t="shared" si="568"/>
        <v>0</v>
      </c>
      <c r="K598" s="170">
        <f t="shared" ref="K598:P598" si="569">SUBTOTAL(9,K586:K597)</f>
        <v>0</v>
      </c>
      <c r="L598" s="170">
        <f t="shared" si="569"/>
        <v>0</v>
      </c>
      <c r="M598" s="170">
        <f t="shared" si="569"/>
        <v>0</v>
      </c>
      <c r="N598" s="170">
        <f t="shared" si="569"/>
        <v>0</v>
      </c>
      <c r="O598" s="170">
        <f t="shared" si="569"/>
        <v>0</v>
      </c>
      <c r="P598" s="170">
        <f t="shared" si="569"/>
        <v>0</v>
      </c>
      <c r="Q598" s="170">
        <f t="shared" si="568"/>
        <v>0</v>
      </c>
    </row>
    <row r="599" spans="2:17" s="119" customFormat="1" ht="15.75" hidden="1" thickBot="1" x14ac:dyDescent="0.3">
      <c r="B599" s="310"/>
      <c r="D599" s="117"/>
      <c r="E599" s="132"/>
      <c r="F599" s="117"/>
      <c r="G599" s="117"/>
      <c r="H599" s="118"/>
      <c r="I599" s="118"/>
      <c r="J599" s="118"/>
      <c r="K599" s="118"/>
      <c r="L599" s="118"/>
      <c r="M599" s="118"/>
      <c r="N599" s="118"/>
      <c r="O599" s="118"/>
      <c r="P599" s="118"/>
      <c r="Q599" s="118"/>
    </row>
    <row r="600" spans="2:17" s="119" customFormat="1" ht="45.75" hidden="1" thickBot="1" x14ac:dyDescent="0.3">
      <c r="B600" s="310"/>
      <c r="C600" s="119">
        <f>IF(E600&gt;0,1,0)</f>
        <v>0</v>
      </c>
      <c r="D600" s="96" t="str">
        <f>+A38</f>
        <v>Ontario</v>
      </c>
      <c r="E600" s="166">
        <f>+SUMIF(A:A,D600,B:B)</f>
        <v>0</v>
      </c>
      <c r="F600" s="98" t="s">
        <v>97</v>
      </c>
      <c r="G600" s="98" t="s">
        <v>126</v>
      </c>
      <c r="H600" s="98" t="s">
        <v>127</v>
      </c>
      <c r="I600" s="99" t="s">
        <v>128</v>
      </c>
      <c r="J600" s="99" t="s">
        <v>131</v>
      </c>
      <c r="K600" s="560" t="s">
        <v>474</v>
      </c>
      <c r="L600" s="560" t="s">
        <v>475</v>
      </c>
      <c r="M600" s="560" t="s">
        <v>476</v>
      </c>
      <c r="N600" s="560" t="s">
        <v>477</v>
      </c>
      <c r="O600" s="560" t="s">
        <v>478</v>
      </c>
      <c r="P600" s="560" t="s">
        <v>479</v>
      </c>
      <c r="Q600" s="99" t="s">
        <v>129</v>
      </c>
    </row>
    <row r="601" spans="2:17" s="119" customFormat="1" ht="19.5" hidden="1" thickBot="1" x14ac:dyDescent="0.3">
      <c r="B601" s="310"/>
      <c r="C601" s="119">
        <f>C600</f>
        <v>0</v>
      </c>
      <c r="D601" s="127"/>
      <c r="E601" s="128"/>
      <c r="F601" s="84" t="s">
        <v>57</v>
      </c>
      <c r="G601" s="84" t="s">
        <v>56</v>
      </c>
      <c r="H601" s="84" t="s">
        <v>55</v>
      </c>
      <c r="I601" s="84" t="s">
        <v>54</v>
      </c>
      <c r="J601" s="129" t="s">
        <v>53</v>
      </c>
      <c r="K601" s="129" t="s">
        <v>52</v>
      </c>
      <c r="L601" s="129" t="s">
        <v>51</v>
      </c>
      <c r="M601" s="129" t="s">
        <v>50</v>
      </c>
      <c r="N601" s="129" t="s">
        <v>49</v>
      </c>
      <c r="O601" s="129" t="s">
        <v>47</v>
      </c>
      <c r="P601" s="129" t="s">
        <v>77</v>
      </c>
      <c r="Q601" s="129" t="s">
        <v>78</v>
      </c>
    </row>
    <row r="602" spans="2:17" s="119" customFormat="1" ht="19.5" hidden="1" thickBot="1" x14ac:dyDescent="0.3">
      <c r="B602" s="310"/>
      <c r="C602" s="119">
        <f>C601</f>
        <v>0</v>
      </c>
      <c r="D602" s="133" t="s">
        <v>26</v>
      </c>
      <c r="E602" s="134"/>
      <c r="F602" s="135"/>
      <c r="G602" s="135"/>
      <c r="H602" s="136"/>
      <c r="I602" s="136"/>
      <c r="J602" s="137"/>
      <c r="K602" s="137"/>
      <c r="L602" s="137"/>
      <c r="M602" s="137"/>
      <c r="N602" s="137"/>
      <c r="O602" s="137"/>
      <c r="P602" s="137"/>
      <c r="Q602" s="138"/>
    </row>
    <row r="603" spans="2:17" s="119" customFormat="1" ht="19.5" hidden="1" thickBot="1" x14ac:dyDescent="0.3">
      <c r="B603" s="310"/>
      <c r="C603" s="119">
        <f t="shared" ref="C603:C615" si="570">C602</f>
        <v>0</v>
      </c>
      <c r="D603" s="109" t="s">
        <v>93</v>
      </c>
      <c r="E603" s="76" t="s">
        <v>57</v>
      </c>
      <c r="F603" s="168">
        <f>+F$6*$E600</f>
        <v>0</v>
      </c>
      <c r="G603" s="168">
        <f>+G$6*$E600</f>
        <v>0</v>
      </c>
      <c r="H603" s="168">
        <f>+H$6*$E600</f>
        <v>0</v>
      </c>
      <c r="I603" s="168">
        <f>+I$6*$E600</f>
        <v>0</v>
      </c>
      <c r="J603" s="168">
        <f>+J$6*$E600</f>
        <v>0</v>
      </c>
      <c r="K603" s="168">
        <f t="shared" ref="K603:P603" si="571">+K$6*$E600</f>
        <v>0</v>
      </c>
      <c r="L603" s="168">
        <f t="shared" si="571"/>
        <v>0</v>
      </c>
      <c r="M603" s="168">
        <f t="shared" si="571"/>
        <v>0</v>
      </c>
      <c r="N603" s="168">
        <f t="shared" si="571"/>
        <v>0</v>
      </c>
      <c r="O603" s="168">
        <f t="shared" si="571"/>
        <v>0</v>
      </c>
      <c r="P603" s="168">
        <f t="shared" si="571"/>
        <v>0</v>
      </c>
      <c r="Q603" s="190">
        <f>SUM(G603:P603)</f>
        <v>0</v>
      </c>
    </row>
    <row r="604" spans="2:17" s="119" customFormat="1" ht="19.5" hidden="1" thickBot="1" x14ac:dyDescent="0.3">
      <c r="B604" s="310"/>
      <c r="C604" s="119">
        <f t="shared" si="570"/>
        <v>0</v>
      </c>
      <c r="D604" s="110" t="s">
        <v>132</v>
      </c>
      <c r="E604" s="76" t="s">
        <v>56</v>
      </c>
      <c r="F604" s="168">
        <f>+F$7*$E600</f>
        <v>0</v>
      </c>
      <c r="G604" s="168">
        <f>+G$7*$E600</f>
        <v>0</v>
      </c>
      <c r="H604" s="168">
        <f>+H$7*$E600</f>
        <v>0</v>
      </c>
      <c r="I604" s="168">
        <f>+I$7*$E600</f>
        <v>0</v>
      </c>
      <c r="J604" s="168">
        <f>+J$7*$E600</f>
        <v>0</v>
      </c>
      <c r="K604" s="168">
        <f t="shared" ref="K604:P604" si="572">+K$7*$E600</f>
        <v>0</v>
      </c>
      <c r="L604" s="168">
        <f t="shared" si="572"/>
        <v>0</v>
      </c>
      <c r="M604" s="168">
        <f t="shared" si="572"/>
        <v>0</v>
      </c>
      <c r="N604" s="168">
        <f t="shared" si="572"/>
        <v>0</v>
      </c>
      <c r="O604" s="168">
        <f t="shared" si="572"/>
        <v>0</v>
      </c>
      <c r="P604" s="168">
        <f t="shared" si="572"/>
        <v>0</v>
      </c>
      <c r="Q604" s="190">
        <f>SUM(G604:P604)</f>
        <v>0</v>
      </c>
    </row>
    <row r="605" spans="2:17" s="119" customFormat="1" ht="19.5" hidden="1" thickBot="1" x14ac:dyDescent="0.3">
      <c r="B605" s="310"/>
      <c r="C605" s="119">
        <f t="shared" si="570"/>
        <v>0</v>
      </c>
      <c r="D605" s="109" t="s">
        <v>91</v>
      </c>
      <c r="E605" s="76" t="s">
        <v>55</v>
      </c>
      <c r="F605" s="168">
        <f>+F$8*$E600</f>
        <v>0</v>
      </c>
      <c r="G605" s="168">
        <f>+G$8*$E600</f>
        <v>0</v>
      </c>
      <c r="H605" s="168">
        <f>+H$8*$E600</f>
        <v>0</v>
      </c>
      <c r="I605" s="168">
        <f>+I$8*$E600</f>
        <v>0</v>
      </c>
      <c r="J605" s="168">
        <f>+J$8*$E600</f>
        <v>0</v>
      </c>
      <c r="K605" s="168">
        <f t="shared" ref="K605:P605" si="573">+K$8*$E600</f>
        <v>0</v>
      </c>
      <c r="L605" s="168">
        <f t="shared" si="573"/>
        <v>0</v>
      </c>
      <c r="M605" s="168">
        <f t="shared" si="573"/>
        <v>0</v>
      </c>
      <c r="N605" s="168">
        <f t="shared" si="573"/>
        <v>0</v>
      </c>
      <c r="O605" s="168">
        <f t="shared" si="573"/>
        <v>0</v>
      </c>
      <c r="P605" s="168">
        <f t="shared" si="573"/>
        <v>0</v>
      </c>
      <c r="Q605" s="190">
        <f>SUM(G605:P605)</f>
        <v>0</v>
      </c>
    </row>
    <row r="606" spans="2:17" s="119" customFormat="1" ht="19.5" hidden="1" thickBot="1" x14ac:dyDescent="0.3">
      <c r="B606" s="310"/>
      <c r="C606" s="119">
        <f t="shared" si="570"/>
        <v>0</v>
      </c>
      <c r="D606" s="130" t="s">
        <v>117</v>
      </c>
      <c r="E606" s="76" t="s">
        <v>54</v>
      </c>
      <c r="F606" s="168">
        <f>+F$9*$E600</f>
        <v>0</v>
      </c>
      <c r="G606" s="168">
        <f>+G$9*$E600</f>
        <v>0</v>
      </c>
      <c r="H606" s="168">
        <f>+H$9*$E600</f>
        <v>0</v>
      </c>
      <c r="I606" s="168">
        <f>+I$9*$E600</f>
        <v>0</v>
      </c>
      <c r="J606" s="168">
        <f>+J$9*$E600</f>
        <v>0</v>
      </c>
      <c r="K606" s="168">
        <f t="shared" ref="K606:P606" si="574">+K$9*$E600</f>
        <v>0</v>
      </c>
      <c r="L606" s="168">
        <f t="shared" si="574"/>
        <v>0</v>
      </c>
      <c r="M606" s="168">
        <f t="shared" si="574"/>
        <v>0</v>
      </c>
      <c r="N606" s="168">
        <f t="shared" si="574"/>
        <v>0</v>
      </c>
      <c r="O606" s="168">
        <f t="shared" si="574"/>
        <v>0</v>
      </c>
      <c r="P606" s="168">
        <f t="shared" si="574"/>
        <v>0</v>
      </c>
      <c r="Q606" s="190">
        <f>SUM(G606:P606)</f>
        <v>0</v>
      </c>
    </row>
    <row r="607" spans="2:17" s="119" customFormat="1" ht="19.5" hidden="1" thickBot="1" x14ac:dyDescent="0.3">
      <c r="B607" s="310"/>
      <c r="C607" s="119">
        <f t="shared" si="570"/>
        <v>0</v>
      </c>
      <c r="D607" s="112" t="s">
        <v>31</v>
      </c>
      <c r="E607" s="76"/>
      <c r="F607" s="167"/>
      <c r="G607" s="185"/>
      <c r="H607" s="185"/>
      <c r="I607" s="185"/>
      <c r="J607" s="185"/>
      <c r="K607" s="185"/>
      <c r="L607" s="185"/>
      <c r="M607" s="185"/>
      <c r="N607" s="185"/>
      <c r="O607" s="185"/>
      <c r="P607" s="185"/>
      <c r="Q607" s="171"/>
    </row>
    <row r="608" spans="2:17" s="119" customFormat="1" ht="19.5" hidden="1" thickBot="1" x14ac:dyDescent="0.35">
      <c r="B608" s="310"/>
      <c r="C608" s="119">
        <f t="shared" si="570"/>
        <v>0</v>
      </c>
      <c r="D608" s="125" t="s">
        <v>118</v>
      </c>
      <c r="E608" s="76" t="s">
        <v>53</v>
      </c>
      <c r="F608" s="168">
        <f>+F$11*$E600</f>
        <v>0</v>
      </c>
      <c r="G608" s="168">
        <f>+G$11*$E600</f>
        <v>0</v>
      </c>
      <c r="H608" s="168">
        <f>+H$11*$E600</f>
        <v>0</v>
      </c>
      <c r="I608" s="168">
        <f>+I$11*$E600</f>
        <v>0</v>
      </c>
      <c r="J608" s="168">
        <f>+J$11*$E600</f>
        <v>0</v>
      </c>
      <c r="K608" s="168">
        <f t="shared" ref="K608:P608" si="575">+K$11*$E600</f>
        <v>0</v>
      </c>
      <c r="L608" s="168">
        <f t="shared" si="575"/>
        <v>0</v>
      </c>
      <c r="M608" s="168">
        <f t="shared" si="575"/>
        <v>0</v>
      </c>
      <c r="N608" s="168">
        <f t="shared" si="575"/>
        <v>0</v>
      </c>
      <c r="O608" s="168">
        <f t="shared" si="575"/>
        <v>0</v>
      </c>
      <c r="P608" s="168">
        <f t="shared" si="575"/>
        <v>0</v>
      </c>
      <c r="Q608" s="190">
        <f t="shared" ref="Q608:Q614" si="576">SUM(G608:P608)</f>
        <v>0</v>
      </c>
    </row>
    <row r="609" spans="2:17" s="119" customFormat="1" ht="19.5" hidden="1" thickBot="1" x14ac:dyDescent="0.35">
      <c r="B609" s="310"/>
      <c r="C609" s="119">
        <f t="shared" si="570"/>
        <v>0</v>
      </c>
      <c r="D609" s="125" t="s">
        <v>119</v>
      </c>
      <c r="E609" s="76" t="s">
        <v>52</v>
      </c>
      <c r="F609" s="168">
        <f>+F$12*$E600</f>
        <v>0</v>
      </c>
      <c r="G609" s="168">
        <f>+G$12*$E600</f>
        <v>0</v>
      </c>
      <c r="H609" s="168">
        <f>+H$12*$E600</f>
        <v>0</v>
      </c>
      <c r="I609" s="168">
        <f>+I$12*$E600</f>
        <v>0</v>
      </c>
      <c r="J609" s="168">
        <f>+J$12*$E600</f>
        <v>0</v>
      </c>
      <c r="K609" s="168">
        <f t="shared" ref="K609:P609" si="577">+K$12*$E600</f>
        <v>0</v>
      </c>
      <c r="L609" s="168">
        <f t="shared" si="577"/>
        <v>0</v>
      </c>
      <c r="M609" s="168">
        <f t="shared" si="577"/>
        <v>0</v>
      </c>
      <c r="N609" s="168">
        <f t="shared" si="577"/>
        <v>0</v>
      </c>
      <c r="O609" s="168">
        <f t="shared" si="577"/>
        <v>0</v>
      </c>
      <c r="P609" s="168">
        <f t="shared" si="577"/>
        <v>0</v>
      </c>
      <c r="Q609" s="190">
        <f t="shared" si="576"/>
        <v>0</v>
      </c>
    </row>
    <row r="610" spans="2:17" s="119" customFormat="1" ht="19.5" hidden="1" thickBot="1" x14ac:dyDescent="0.35">
      <c r="B610" s="310"/>
      <c r="C610" s="119">
        <f t="shared" si="570"/>
        <v>0</v>
      </c>
      <c r="D610" s="125" t="s">
        <v>120</v>
      </c>
      <c r="E610" s="76" t="s">
        <v>51</v>
      </c>
      <c r="F610" s="168">
        <f>+F$13*$E600</f>
        <v>0</v>
      </c>
      <c r="G610" s="168">
        <f>+G$13*$E600</f>
        <v>0</v>
      </c>
      <c r="H610" s="168">
        <f>+H$13*$E600</f>
        <v>0</v>
      </c>
      <c r="I610" s="168">
        <f>+I$13*$E600</f>
        <v>0</v>
      </c>
      <c r="J610" s="168">
        <f>+J$13*$E600</f>
        <v>0</v>
      </c>
      <c r="K610" s="168">
        <f t="shared" ref="K610:P610" si="578">+K$13*$E600</f>
        <v>0</v>
      </c>
      <c r="L610" s="168">
        <f t="shared" si="578"/>
        <v>0</v>
      </c>
      <c r="M610" s="168">
        <f t="shared" si="578"/>
        <v>0</v>
      </c>
      <c r="N610" s="168">
        <f t="shared" si="578"/>
        <v>0</v>
      </c>
      <c r="O610" s="168">
        <f t="shared" si="578"/>
        <v>0</v>
      </c>
      <c r="P610" s="168">
        <f t="shared" si="578"/>
        <v>0</v>
      </c>
      <c r="Q610" s="190">
        <f t="shared" si="576"/>
        <v>0</v>
      </c>
    </row>
    <row r="611" spans="2:17" s="119" customFormat="1" ht="19.5" hidden="1" thickBot="1" x14ac:dyDescent="0.35">
      <c r="B611" s="310"/>
      <c r="C611" s="119">
        <f t="shared" si="570"/>
        <v>0</v>
      </c>
      <c r="D611" s="125" t="s">
        <v>121</v>
      </c>
      <c r="E611" s="76" t="s">
        <v>50</v>
      </c>
      <c r="F611" s="168">
        <f>+F$14*$E600</f>
        <v>0</v>
      </c>
      <c r="G611" s="168">
        <f>+G$14*$E600</f>
        <v>0</v>
      </c>
      <c r="H611" s="168">
        <f>+H$14*$E600</f>
        <v>0</v>
      </c>
      <c r="I611" s="168">
        <f>+I$14*$E600</f>
        <v>0</v>
      </c>
      <c r="J611" s="168">
        <f>+J$14*$E600</f>
        <v>0</v>
      </c>
      <c r="K611" s="168">
        <f t="shared" ref="K611:P611" si="579">+K$14*$E600</f>
        <v>0</v>
      </c>
      <c r="L611" s="168">
        <f t="shared" si="579"/>
        <v>0</v>
      </c>
      <c r="M611" s="168">
        <f t="shared" si="579"/>
        <v>0</v>
      </c>
      <c r="N611" s="168">
        <f t="shared" si="579"/>
        <v>0</v>
      </c>
      <c r="O611" s="168">
        <f t="shared" si="579"/>
        <v>0</v>
      </c>
      <c r="P611" s="168">
        <f t="shared" si="579"/>
        <v>0</v>
      </c>
      <c r="Q611" s="190">
        <f t="shared" si="576"/>
        <v>0</v>
      </c>
    </row>
    <row r="612" spans="2:17" s="119" customFormat="1" ht="19.5" hidden="1" thickBot="1" x14ac:dyDescent="0.35">
      <c r="B612" s="310"/>
      <c r="C612" s="119">
        <f t="shared" si="570"/>
        <v>0</v>
      </c>
      <c r="D612" s="125" t="s">
        <v>122</v>
      </c>
      <c r="E612" s="76" t="s">
        <v>49</v>
      </c>
      <c r="F612" s="168">
        <f>+F$15*$E600</f>
        <v>0</v>
      </c>
      <c r="G612" s="168">
        <f>+G$15*$E600</f>
        <v>0</v>
      </c>
      <c r="H612" s="168">
        <f>+H$15*$E600</f>
        <v>0</v>
      </c>
      <c r="I612" s="168">
        <f>+I$15*$E600</f>
        <v>0</v>
      </c>
      <c r="J612" s="168">
        <f>+J$15*$E600</f>
        <v>0</v>
      </c>
      <c r="K612" s="168">
        <f t="shared" ref="K612:P612" si="580">+K$15*$E600</f>
        <v>0</v>
      </c>
      <c r="L612" s="168">
        <f t="shared" si="580"/>
        <v>0</v>
      </c>
      <c r="M612" s="168">
        <f t="shared" si="580"/>
        <v>0</v>
      </c>
      <c r="N612" s="168">
        <f t="shared" si="580"/>
        <v>0</v>
      </c>
      <c r="O612" s="168">
        <f t="shared" si="580"/>
        <v>0</v>
      </c>
      <c r="P612" s="168">
        <f t="shared" si="580"/>
        <v>0</v>
      </c>
      <c r="Q612" s="190">
        <f t="shared" si="576"/>
        <v>0</v>
      </c>
    </row>
    <row r="613" spans="2:17" s="119" customFormat="1" ht="19.5" hidden="1" thickBot="1" x14ac:dyDescent="0.35">
      <c r="B613" s="310"/>
      <c r="C613" s="119">
        <f t="shared" si="570"/>
        <v>0</v>
      </c>
      <c r="D613" s="125" t="s">
        <v>123</v>
      </c>
      <c r="E613" s="76" t="s">
        <v>47</v>
      </c>
      <c r="F613" s="168">
        <f>+F$16*$E600</f>
        <v>0</v>
      </c>
      <c r="G613" s="168">
        <f>+G$16*$E600</f>
        <v>0</v>
      </c>
      <c r="H613" s="168">
        <f>+H$16*$E600</f>
        <v>0</v>
      </c>
      <c r="I613" s="168">
        <f>+I$16*$E600</f>
        <v>0</v>
      </c>
      <c r="J613" s="168">
        <f>+J$16*$E600</f>
        <v>0</v>
      </c>
      <c r="K613" s="168">
        <f t="shared" ref="K613:P613" si="581">+K$16*$E600</f>
        <v>0</v>
      </c>
      <c r="L613" s="168">
        <f t="shared" si="581"/>
        <v>0</v>
      </c>
      <c r="M613" s="168">
        <f t="shared" si="581"/>
        <v>0</v>
      </c>
      <c r="N613" s="168">
        <f t="shared" si="581"/>
        <v>0</v>
      </c>
      <c r="O613" s="168">
        <f t="shared" si="581"/>
        <v>0</v>
      </c>
      <c r="P613" s="168">
        <f t="shared" si="581"/>
        <v>0</v>
      </c>
      <c r="Q613" s="190">
        <f t="shared" si="576"/>
        <v>0</v>
      </c>
    </row>
    <row r="614" spans="2:17" s="119" customFormat="1" ht="19.5" hidden="1" thickBot="1" x14ac:dyDescent="0.35">
      <c r="B614" s="310"/>
      <c r="C614" s="119">
        <f t="shared" si="570"/>
        <v>0</v>
      </c>
      <c r="D614" s="125" t="s">
        <v>16</v>
      </c>
      <c r="E614" s="70" t="s">
        <v>77</v>
      </c>
      <c r="F614" s="168">
        <f>+F$17*$E600</f>
        <v>0</v>
      </c>
      <c r="G614" s="168">
        <f>+G$17*$E600</f>
        <v>0</v>
      </c>
      <c r="H614" s="168">
        <f>+H$17*$E600</f>
        <v>0</v>
      </c>
      <c r="I614" s="168">
        <f>+I$17*$E600</f>
        <v>0</v>
      </c>
      <c r="J614" s="168">
        <f>+J$17*$E600</f>
        <v>0</v>
      </c>
      <c r="K614" s="168">
        <f t="shared" ref="K614:P614" si="582">+K$17*$E600</f>
        <v>0</v>
      </c>
      <c r="L614" s="168">
        <f t="shared" si="582"/>
        <v>0</v>
      </c>
      <c r="M614" s="168">
        <f t="shared" si="582"/>
        <v>0</v>
      </c>
      <c r="N614" s="168">
        <f t="shared" si="582"/>
        <v>0</v>
      </c>
      <c r="O614" s="168">
        <f t="shared" si="582"/>
        <v>0</v>
      </c>
      <c r="P614" s="168">
        <f t="shared" si="582"/>
        <v>0</v>
      </c>
      <c r="Q614" s="190">
        <f t="shared" si="576"/>
        <v>0</v>
      </c>
    </row>
    <row r="615" spans="2:17" s="119" customFormat="1" ht="19.5" hidden="1" thickBot="1" x14ac:dyDescent="0.3">
      <c r="B615" s="310"/>
      <c r="C615" s="119">
        <f t="shared" si="570"/>
        <v>0</v>
      </c>
      <c r="D615" s="131" t="s">
        <v>124</v>
      </c>
      <c r="E615" s="116" t="s">
        <v>78</v>
      </c>
      <c r="F615" s="169">
        <f t="shared" ref="F615:Q615" si="583">SUBTOTAL(9,F603:F614)</f>
        <v>0</v>
      </c>
      <c r="G615" s="170">
        <f t="shared" si="583"/>
        <v>0</v>
      </c>
      <c r="H615" s="170">
        <f t="shared" si="583"/>
        <v>0</v>
      </c>
      <c r="I615" s="170">
        <f t="shared" si="583"/>
        <v>0</v>
      </c>
      <c r="J615" s="170">
        <f t="shared" si="583"/>
        <v>0</v>
      </c>
      <c r="K615" s="170">
        <f t="shared" ref="K615:P615" si="584">SUBTOTAL(9,K603:K614)</f>
        <v>0</v>
      </c>
      <c r="L615" s="170">
        <f t="shared" si="584"/>
        <v>0</v>
      </c>
      <c r="M615" s="170">
        <f t="shared" si="584"/>
        <v>0</v>
      </c>
      <c r="N615" s="170">
        <f t="shared" si="584"/>
        <v>0</v>
      </c>
      <c r="O615" s="170">
        <f t="shared" si="584"/>
        <v>0</v>
      </c>
      <c r="P615" s="170">
        <f t="shared" si="584"/>
        <v>0</v>
      </c>
      <c r="Q615" s="170">
        <f t="shared" si="583"/>
        <v>0</v>
      </c>
    </row>
    <row r="616" spans="2:17" s="119" customFormat="1" ht="15.75" hidden="1" thickBot="1" x14ac:dyDescent="0.3">
      <c r="B616" s="310"/>
      <c r="D616" s="117"/>
      <c r="E616" s="132"/>
      <c r="F616" s="117"/>
      <c r="G616" s="117"/>
      <c r="H616" s="118"/>
      <c r="I616" s="118"/>
      <c r="J616" s="118"/>
      <c r="K616" s="118"/>
      <c r="L616" s="118"/>
      <c r="M616" s="118"/>
      <c r="N616" s="118"/>
      <c r="O616" s="118"/>
      <c r="P616" s="118"/>
      <c r="Q616" s="118"/>
    </row>
    <row r="617" spans="2:17" s="119" customFormat="1" ht="45.75" hidden="1" thickBot="1" x14ac:dyDescent="0.3">
      <c r="B617" s="310"/>
      <c r="C617" s="119">
        <f>IF(E617&gt;0,1,0)</f>
        <v>1</v>
      </c>
      <c r="D617" s="96" t="str">
        <f>+A39</f>
        <v>Orange</v>
      </c>
      <c r="E617" s="166">
        <f>+SUMIF(A:A,D617,B:B)</f>
        <v>1.886556675621223E-6</v>
      </c>
      <c r="F617" s="98" t="s">
        <v>97</v>
      </c>
      <c r="G617" s="98" t="s">
        <v>126</v>
      </c>
      <c r="H617" s="98" t="s">
        <v>127</v>
      </c>
      <c r="I617" s="99" t="s">
        <v>128</v>
      </c>
      <c r="J617" s="99" t="s">
        <v>131</v>
      </c>
      <c r="K617" s="560" t="s">
        <v>474</v>
      </c>
      <c r="L617" s="560" t="s">
        <v>475</v>
      </c>
      <c r="M617" s="560" t="s">
        <v>476</v>
      </c>
      <c r="N617" s="560" t="s">
        <v>477</v>
      </c>
      <c r="O617" s="560" t="s">
        <v>478</v>
      </c>
      <c r="P617" s="560" t="s">
        <v>479</v>
      </c>
      <c r="Q617" s="99" t="s">
        <v>129</v>
      </c>
    </row>
    <row r="618" spans="2:17" s="119" customFormat="1" ht="19.5" hidden="1" thickBot="1" x14ac:dyDescent="0.3">
      <c r="B618" s="310"/>
      <c r="C618" s="119">
        <f>C617</f>
        <v>1</v>
      </c>
      <c r="D618" s="127"/>
      <c r="E618" s="128"/>
      <c r="F618" s="84" t="s">
        <v>57</v>
      </c>
      <c r="G618" s="84" t="s">
        <v>56</v>
      </c>
      <c r="H618" s="84" t="s">
        <v>55</v>
      </c>
      <c r="I618" s="84" t="s">
        <v>54</v>
      </c>
      <c r="J618" s="129" t="s">
        <v>53</v>
      </c>
      <c r="K618" s="129" t="s">
        <v>52</v>
      </c>
      <c r="L618" s="129" t="s">
        <v>51</v>
      </c>
      <c r="M618" s="129" t="s">
        <v>50</v>
      </c>
      <c r="N618" s="129" t="s">
        <v>49</v>
      </c>
      <c r="O618" s="129" t="s">
        <v>47</v>
      </c>
      <c r="P618" s="129" t="s">
        <v>77</v>
      </c>
      <c r="Q618" s="129" t="s">
        <v>78</v>
      </c>
    </row>
    <row r="619" spans="2:17" s="119" customFormat="1" ht="19.5" hidden="1" thickBot="1" x14ac:dyDescent="0.3">
      <c r="B619" s="310"/>
      <c r="C619" s="119">
        <f>C618</f>
        <v>1</v>
      </c>
      <c r="D619" s="133" t="s">
        <v>26</v>
      </c>
      <c r="E619" s="134"/>
      <c r="F619" s="135"/>
      <c r="G619" s="135"/>
      <c r="H619" s="136"/>
      <c r="I619" s="136"/>
      <c r="J619" s="137"/>
      <c r="K619" s="137"/>
      <c r="L619" s="137"/>
      <c r="M619" s="137"/>
      <c r="N619" s="137"/>
      <c r="O619" s="137"/>
      <c r="P619" s="137"/>
      <c r="Q619" s="138"/>
    </row>
    <row r="620" spans="2:17" s="119" customFormat="1" ht="19.5" hidden="1" thickBot="1" x14ac:dyDescent="0.3">
      <c r="B620" s="310"/>
      <c r="C620" s="119">
        <f t="shared" ref="C620:C632" si="585">C619</f>
        <v>1</v>
      </c>
      <c r="D620" s="109" t="s">
        <v>93</v>
      </c>
      <c r="E620" s="76" t="s">
        <v>57</v>
      </c>
      <c r="F620" s="168">
        <f>+F$6*$E617</f>
        <v>6.5781035651443203E-3</v>
      </c>
      <c r="G620" s="168">
        <f>+G$6*$E617</f>
        <v>12.642646877645392</v>
      </c>
      <c r="H620" s="168">
        <f>+H$6*$E617</f>
        <v>0.58902283820593482</v>
      </c>
      <c r="I620" s="168">
        <f>+I$6*$E617</f>
        <v>2.0032024748748833E-3</v>
      </c>
      <c r="J620" s="168">
        <f>+J$6*$E617</f>
        <v>0.21136707442942218</v>
      </c>
      <c r="K620" s="168">
        <f t="shared" ref="K620:P620" si="586">+K$6*$E617</f>
        <v>0.23195053969445509</v>
      </c>
      <c r="L620" s="168">
        <f t="shared" si="586"/>
        <v>5.4196056898908685E-3</v>
      </c>
      <c r="M620" s="168">
        <f t="shared" si="586"/>
        <v>0</v>
      </c>
      <c r="N620" s="168">
        <f t="shared" si="586"/>
        <v>4.5277360214909354E-5</v>
      </c>
      <c r="O620" s="168">
        <f t="shared" si="586"/>
        <v>0</v>
      </c>
      <c r="P620" s="168">
        <f t="shared" si="586"/>
        <v>0</v>
      </c>
      <c r="Q620" s="190">
        <f>SUM(G620:P620)</f>
        <v>13.682455415500185</v>
      </c>
    </row>
    <row r="621" spans="2:17" s="119" customFormat="1" ht="19.5" hidden="1" thickBot="1" x14ac:dyDescent="0.3">
      <c r="B621" s="310"/>
      <c r="C621" s="119">
        <f t="shared" si="585"/>
        <v>1</v>
      </c>
      <c r="D621" s="110" t="s">
        <v>132</v>
      </c>
      <c r="E621" s="76" t="s">
        <v>56</v>
      </c>
      <c r="F621" s="168">
        <f>+F$7*$E617</f>
        <v>0</v>
      </c>
      <c r="G621" s="168">
        <f>+G$7*$E617</f>
        <v>0</v>
      </c>
      <c r="H621" s="168">
        <f>+H$7*$E617</f>
        <v>0</v>
      </c>
      <c r="I621" s="168">
        <f>+I$7*$E617</f>
        <v>0</v>
      </c>
      <c r="J621" s="168">
        <f>+J$7*$E617</f>
        <v>0</v>
      </c>
      <c r="K621" s="168">
        <f t="shared" ref="K621:P621" si="587">+K$7*$E617</f>
        <v>0</v>
      </c>
      <c r="L621" s="168">
        <f t="shared" si="587"/>
        <v>0</v>
      </c>
      <c r="M621" s="168">
        <f t="shared" si="587"/>
        <v>0</v>
      </c>
      <c r="N621" s="168">
        <f t="shared" si="587"/>
        <v>0</v>
      </c>
      <c r="O621" s="168">
        <f t="shared" si="587"/>
        <v>0</v>
      </c>
      <c r="P621" s="168">
        <f t="shared" si="587"/>
        <v>0</v>
      </c>
      <c r="Q621" s="190">
        <f>SUM(G621:P621)</f>
        <v>0</v>
      </c>
    </row>
    <row r="622" spans="2:17" s="119" customFormat="1" ht="19.5" hidden="1" thickBot="1" x14ac:dyDescent="0.3">
      <c r="B622" s="310"/>
      <c r="C622" s="119">
        <f t="shared" si="585"/>
        <v>1</v>
      </c>
      <c r="D622" s="109" t="s">
        <v>91</v>
      </c>
      <c r="E622" s="76" t="s">
        <v>55</v>
      </c>
      <c r="F622" s="168">
        <f>+F$8*$E617</f>
        <v>8.2208067637797398E-6</v>
      </c>
      <c r="G622" s="168">
        <f>+G$8*$E617</f>
        <v>1.6769130650428146E-2</v>
      </c>
      <c r="H622" s="168">
        <f>+H$8*$E617</f>
        <v>0</v>
      </c>
      <c r="I622" s="168">
        <f>+I$8*$E617</f>
        <v>0</v>
      </c>
      <c r="J622" s="168">
        <f>+J$8*$E617</f>
        <v>2.5468515120886508E-4</v>
      </c>
      <c r="K622" s="168">
        <f t="shared" ref="K622:P622" si="588">+K$8*$E617</f>
        <v>7.5462267024848918E-5</v>
      </c>
      <c r="L622" s="168">
        <f t="shared" si="588"/>
        <v>0</v>
      </c>
      <c r="M622" s="168">
        <f t="shared" si="588"/>
        <v>0</v>
      </c>
      <c r="N622" s="168">
        <f t="shared" si="588"/>
        <v>0</v>
      </c>
      <c r="O622" s="168">
        <f t="shared" si="588"/>
        <v>0</v>
      </c>
      <c r="P622" s="168">
        <f t="shared" si="588"/>
        <v>0</v>
      </c>
      <c r="Q622" s="190">
        <f>SUM(G622:P622)</f>
        <v>1.709927806866186E-2</v>
      </c>
    </row>
    <row r="623" spans="2:17" s="119" customFormat="1" ht="19.5" hidden="1" thickBot="1" x14ac:dyDescent="0.3">
      <c r="B623" s="310"/>
      <c r="C623" s="119">
        <f t="shared" si="585"/>
        <v>1</v>
      </c>
      <c r="D623" s="130" t="s">
        <v>117</v>
      </c>
      <c r="E623" s="76" t="s">
        <v>54</v>
      </c>
      <c r="F623" s="168">
        <f>+F$9*$E617</f>
        <v>0</v>
      </c>
      <c r="G623" s="168">
        <f>+G$9*$E617</f>
        <v>0</v>
      </c>
      <c r="H623" s="168">
        <f>+H$9*$E617</f>
        <v>0</v>
      </c>
      <c r="I623" s="168">
        <f>+I$9*$E617</f>
        <v>0</v>
      </c>
      <c r="J623" s="168">
        <f>+J$9*$E617</f>
        <v>0</v>
      </c>
      <c r="K623" s="168">
        <f t="shared" ref="K623:P623" si="589">+K$9*$E617</f>
        <v>0</v>
      </c>
      <c r="L623" s="168">
        <f t="shared" si="589"/>
        <v>0</v>
      </c>
      <c r="M623" s="168">
        <f t="shared" si="589"/>
        <v>0</v>
      </c>
      <c r="N623" s="168">
        <f t="shared" si="589"/>
        <v>0</v>
      </c>
      <c r="O623" s="168">
        <f t="shared" si="589"/>
        <v>0</v>
      </c>
      <c r="P623" s="168">
        <f t="shared" si="589"/>
        <v>0</v>
      </c>
      <c r="Q623" s="190">
        <f>SUM(G623:P623)</f>
        <v>0</v>
      </c>
    </row>
    <row r="624" spans="2:17" s="119" customFormat="1" ht="19.5" hidden="1" thickBot="1" x14ac:dyDescent="0.3">
      <c r="B624" s="310"/>
      <c r="C624" s="119">
        <f t="shared" si="585"/>
        <v>1</v>
      </c>
      <c r="D624" s="112" t="s">
        <v>31</v>
      </c>
      <c r="E624" s="76"/>
      <c r="F624" s="167"/>
      <c r="G624" s="185"/>
      <c r="H624" s="185"/>
      <c r="I624" s="185"/>
      <c r="J624" s="185"/>
      <c r="K624" s="185"/>
      <c r="L624" s="185"/>
      <c r="M624" s="185"/>
      <c r="N624" s="185"/>
      <c r="O624" s="185"/>
      <c r="P624" s="185"/>
      <c r="Q624" s="171"/>
    </row>
    <row r="625" spans="2:17" s="119" customFormat="1" ht="19.5" hidden="1" thickBot="1" x14ac:dyDescent="0.35">
      <c r="B625" s="310"/>
      <c r="C625" s="119">
        <f t="shared" si="585"/>
        <v>1</v>
      </c>
      <c r="D625" s="125" t="s">
        <v>118</v>
      </c>
      <c r="E625" s="76" t="s">
        <v>53</v>
      </c>
      <c r="F625" s="168">
        <f>+F$11*$E617</f>
        <v>0</v>
      </c>
      <c r="G625" s="168">
        <f>+G$11*$E617</f>
        <v>0</v>
      </c>
      <c r="H625" s="168">
        <f>+H$11*$E617</f>
        <v>0</v>
      </c>
      <c r="I625" s="168">
        <f>+I$11*$E617</f>
        <v>0</v>
      </c>
      <c r="J625" s="168">
        <f>+J$11*$E617</f>
        <v>0</v>
      </c>
      <c r="K625" s="168">
        <f t="shared" ref="K625:P625" si="590">+K$11*$E617</f>
        <v>0</v>
      </c>
      <c r="L625" s="168">
        <f t="shared" si="590"/>
        <v>0</v>
      </c>
      <c r="M625" s="168">
        <f t="shared" si="590"/>
        <v>0</v>
      </c>
      <c r="N625" s="168">
        <f t="shared" si="590"/>
        <v>0</v>
      </c>
      <c r="O625" s="168">
        <f t="shared" si="590"/>
        <v>0</v>
      </c>
      <c r="P625" s="168">
        <f t="shared" si="590"/>
        <v>0</v>
      </c>
      <c r="Q625" s="190">
        <f t="shared" ref="Q625:Q631" si="591">SUM(G625:P625)</f>
        <v>0</v>
      </c>
    </row>
    <row r="626" spans="2:17" s="119" customFormat="1" ht="19.5" hidden="1" thickBot="1" x14ac:dyDescent="0.35">
      <c r="B626" s="310"/>
      <c r="C626" s="119">
        <f t="shared" si="585"/>
        <v>1</v>
      </c>
      <c r="D626" s="125" t="s">
        <v>119</v>
      </c>
      <c r="E626" s="76" t="s">
        <v>52</v>
      </c>
      <c r="F626" s="168">
        <f>+F$12*$E617</f>
        <v>0</v>
      </c>
      <c r="G626" s="168">
        <f>+G$12*$E617</f>
        <v>0</v>
      </c>
      <c r="H626" s="168">
        <f>+H$12*$E617</f>
        <v>0</v>
      </c>
      <c r="I626" s="168">
        <f>+I$12*$E617</f>
        <v>0</v>
      </c>
      <c r="J626" s="168">
        <f>+J$12*$E617</f>
        <v>0</v>
      </c>
      <c r="K626" s="168">
        <f t="shared" ref="K626:P626" si="592">+K$12*$E617</f>
        <v>0</v>
      </c>
      <c r="L626" s="168">
        <f t="shared" si="592"/>
        <v>0</v>
      </c>
      <c r="M626" s="168">
        <f t="shared" si="592"/>
        <v>0</v>
      </c>
      <c r="N626" s="168">
        <f t="shared" si="592"/>
        <v>0</v>
      </c>
      <c r="O626" s="168">
        <f t="shared" si="592"/>
        <v>0</v>
      </c>
      <c r="P626" s="168">
        <f t="shared" si="592"/>
        <v>0</v>
      </c>
      <c r="Q626" s="190">
        <f t="shared" si="591"/>
        <v>0</v>
      </c>
    </row>
    <row r="627" spans="2:17" s="119" customFormat="1" ht="19.5" hidden="1" thickBot="1" x14ac:dyDescent="0.35">
      <c r="B627" s="310"/>
      <c r="C627" s="119">
        <f t="shared" si="585"/>
        <v>1</v>
      </c>
      <c r="D627" s="125" t="s">
        <v>120</v>
      </c>
      <c r="E627" s="76" t="s">
        <v>51</v>
      </c>
      <c r="F627" s="168">
        <f>+F$13*$E617</f>
        <v>0</v>
      </c>
      <c r="G627" s="168">
        <f>+G$13*$E617</f>
        <v>0</v>
      </c>
      <c r="H627" s="168">
        <f>+H$13*$E617</f>
        <v>0</v>
      </c>
      <c r="I627" s="168">
        <f>+I$13*$E617</f>
        <v>0</v>
      </c>
      <c r="J627" s="168">
        <f>+J$13*$E617</f>
        <v>0</v>
      </c>
      <c r="K627" s="168">
        <f t="shared" ref="K627:P627" si="593">+K$13*$E617</f>
        <v>0</v>
      </c>
      <c r="L627" s="168">
        <f t="shared" si="593"/>
        <v>0</v>
      </c>
      <c r="M627" s="168">
        <f t="shared" si="593"/>
        <v>0</v>
      </c>
      <c r="N627" s="168">
        <f t="shared" si="593"/>
        <v>0</v>
      </c>
      <c r="O627" s="168">
        <f t="shared" si="593"/>
        <v>0</v>
      </c>
      <c r="P627" s="168">
        <f t="shared" si="593"/>
        <v>0</v>
      </c>
      <c r="Q627" s="190">
        <f t="shared" si="591"/>
        <v>0</v>
      </c>
    </row>
    <row r="628" spans="2:17" s="119" customFormat="1" ht="19.5" hidden="1" thickBot="1" x14ac:dyDescent="0.35">
      <c r="B628" s="310"/>
      <c r="C628" s="119">
        <f t="shared" si="585"/>
        <v>1</v>
      </c>
      <c r="D628" s="125" t="s">
        <v>121</v>
      </c>
      <c r="E628" s="76" t="s">
        <v>50</v>
      </c>
      <c r="F628" s="168">
        <f>+F$14*$E617</f>
        <v>0</v>
      </c>
      <c r="G628" s="168">
        <f>+G$14*$E617</f>
        <v>0</v>
      </c>
      <c r="H628" s="168">
        <f>+H$14*$E617</f>
        <v>0</v>
      </c>
      <c r="I628" s="168">
        <f>+I$14*$E617</f>
        <v>0</v>
      </c>
      <c r="J628" s="168">
        <f>+J$14*$E617</f>
        <v>0</v>
      </c>
      <c r="K628" s="168">
        <f t="shared" ref="K628:P628" si="594">+K$14*$E617</f>
        <v>0</v>
      </c>
      <c r="L628" s="168">
        <f t="shared" si="594"/>
        <v>0</v>
      </c>
      <c r="M628" s="168">
        <f t="shared" si="594"/>
        <v>0</v>
      </c>
      <c r="N628" s="168">
        <f t="shared" si="594"/>
        <v>0</v>
      </c>
      <c r="O628" s="168">
        <f t="shared" si="594"/>
        <v>0</v>
      </c>
      <c r="P628" s="168">
        <f t="shared" si="594"/>
        <v>0</v>
      </c>
      <c r="Q628" s="190">
        <f t="shared" si="591"/>
        <v>0</v>
      </c>
    </row>
    <row r="629" spans="2:17" s="119" customFormat="1" ht="19.5" hidden="1" thickBot="1" x14ac:dyDescent="0.35">
      <c r="B629" s="310"/>
      <c r="C629" s="119">
        <f t="shared" si="585"/>
        <v>1</v>
      </c>
      <c r="D629" s="125" t="s">
        <v>122</v>
      </c>
      <c r="E629" s="76" t="s">
        <v>49</v>
      </c>
      <c r="F629" s="168">
        <f>+F$15*$E617</f>
        <v>0</v>
      </c>
      <c r="G629" s="168">
        <f>+G$15*$E617</f>
        <v>0</v>
      </c>
      <c r="H629" s="168">
        <f>+H$15*$E617</f>
        <v>0</v>
      </c>
      <c r="I629" s="168">
        <f>+I$15*$E617</f>
        <v>0</v>
      </c>
      <c r="J629" s="168">
        <f>+J$15*$E617</f>
        <v>0</v>
      </c>
      <c r="K629" s="168">
        <f t="shared" ref="K629:P629" si="595">+K$15*$E617</f>
        <v>0</v>
      </c>
      <c r="L629" s="168">
        <f t="shared" si="595"/>
        <v>0</v>
      </c>
      <c r="M629" s="168">
        <f t="shared" si="595"/>
        <v>0</v>
      </c>
      <c r="N629" s="168">
        <f t="shared" si="595"/>
        <v>0</v>
      </c>
      <c r="O629" s="168">
        <f t="shared" si="595"/>
        <v>0</v>
      </c>
      <c r="P629" s="168">
        <f t="shared" si="595"/>
        <v>0</v>
      </c>
      <c r="Q629" s="190">
        <f t="shared" si="591"/>
        <v>0</v>
      </c>
    </row>
    <row r="630" spans="2:17" s="119" customFormat="1" ht="19.5" hidden="1" thickBot="1" x14ac:dyDescent="0.35">
      <c r="B630" s="310"/>
      <c r="C630" s="119">
        <f t="shared" si="585"/>
        <v>1</v>
      </c>
      <c r="D630" s="125" t="s">
        <v>123</v>
      </c>
      <c r="E630" s="76" t="s">
        <v>47</v>
      </c>
      <c r="F630" s="168">
        <f>+F$16*$E617</f>
        <v>0</v>
      </c>
      <c r="G630" s="168">
        <f>+G$16*$E617</f>
        <v>0</v>
      </c>
      <c r="H630" s="168">
        <f>+H$16*$E617</f>
        <v>0</v>
      </c>
      <c r="I630" s="168">
        <f>+I$16*$E617</f>
        <v>0</v>
      </c>
      <c r="J630" s="168">
        <f>+J$16*$E617</f>
        <v>0</v>
      </c>
      <c r="K630" s="168">
        <f t="shared" ref="K630:P630" si="596">+K$16*$E617</f>
        <v>0</v>
      </c>
      <c r="L630" s="168">
        <f t="shared" si="596"/>
        <v>0</v>
      </c>
      <c r="M630" s="168">
        <f t="shared" si="596"/>
        <v>0</v>
      </c>
      <c r="N630" s="168">
        <f t="shared" si="596"/>
        <v>0</v>
      </c>
      <c r="O630" s="168">
        <f t="shared" si="596"/>
        <v>0</v>
      </c>
      <c r="P630" s="168">
        <f t="shared" si="596"/>
        <v>0</v>
      </c>
      <c r="Q630" s="190">
        <f t="shared" si="591"/>
        <v>0</v>
      </c>
    </row>
    <row r="631" spans="2:17" s="119" customFormat="1" ht="19.5" hidden="1" thickBot="1" x14ac:dyDescent="0.35">
      <c r="B631" s="310"/>
      <c r="C631" s="119">
        <f t="shared" si="585"/>
        <v>1</v>
      </c>
      <c r="D631" s="125" t="s">
        <v>16</v>
      </c>
      <c r="E631" s="70" t="s">
        <v>77</v>
      </c>
      <c r="F631" s="168">
        <f>+F$17*$E617</f>
        <v>4.3479508695429422E-4</v>
      </c>
      <c r="G631" s="168">
        <f>+G$17*$E617</f>
        <v>0.78471956388892139</v>
      </c>
      <c r="H631" s="168">
        <f>+H$17*$E617</f>
        <v>1.5290744388366407E-2</v>
      </c>
      <c r="I631" s="168">
        <f>+I$17*$E617</f>
        <v>0</v>
      </c>
      <c r="J631" s="168">
        <f>+J$17*$E617</f>
        <v>0</v>
      </c>
      <c r="K631" s="168">
        <f t="shared" ref="K631:P631" si="597">+K$17*$E617</f>
        <v>5.4793234070611464E-2</v>
      </c>
      <c r="L631" s="168">
        <f t="shared" si="597"/>
        <v>0</v>
      </c>
      <c r="M631" s="168">
        <f t="shared" si="597"/>
        <v>2.9409448721556961E-5</v>
      </c>
      <c r="N631" s="168">
        <f t="shared" si="597"/>
        <v>0</v>
      </c>
      <c r="O631" s="168">
        <f t="shared" si="597"/>
        <v>0</v>
      </c>
      <c r="P631" s="168">
        <f t="shared" si="597"/>
        <v>4.9540829068311067E-2</v>
      </c>
      <c r="Q631" s="190">
        <f t="shared" si="591"/>
        <v>0.90437378086493181</v>
      </c>
    </row>
    <row r="632" spans="2:17" s="119" customFormat="1" ht="19.5" hidden="1" thickBot="1" x14ac:dyDescent="0.3">
      <c r="B632" s="310"/>
      <c r="C632" s="119">
        <f t="shared" si="585"/>
        <v>1</v>
      </c>
      <c r="D632" s="131" t="s">
        <v>124</v>
      </c>
      <c r="E632" s="116" t="s">
        <v>78</v>
      </c>
      <c r="F632" s="169">
        <f t="shared" ref="F632:Q632" si="598">SUBTOTAL(9,F620:F631)</f>
        <v>0</v>
      </c>
      <c r="G632" s="170">
        <f t="shared" si="598"/>
        <v>0</v>
      </c>
      <c r="H632" s="170">
        <f t="shared" si="598"/>
        <v>0</v>
      </c>
      <c r="I632" s="170">
        <f t="shared" si="598"/>
        <v>0</v>
      </c>
      <c r="J632" s="170">
        <f t="shared" si="598"/>
        <v>0</v>
      </c>
      <c r="K632" s="170">
        <f t="shared" ref="K632:P632" si="599">SUBTOTAL(9,K620:K631)</f>
        <v>0</v>
      </c>
      <c r="L632" s="170">
        <f t="shared" si="599"/>
        <v>0</v>
      </c>
      <c r="M632" s="170">
        <f t="shared" si="599"/>
        <v>0</v>
      </c>
      <c r="N632" s="170">
        <f t="shared" si="599"/>
        <v>0</v>
      </c>
      <c r="O632" s="170">
        <f t="shared" si="599"/>
        <v>0</v>
      </c>
      <c r="P632" s="170">
        <f t="shared" si="599"/>
        <v>0</v>
      </c>
      <c r="Q632" s="170">
        <f t="shared" si="598"/>
        <v>0</v>
      </c>
    </row>
    <row r="633" spans="2:17" s="119" customFormat="1" ht="15.75" hidden="1" thickBot="1" x14ac:dyDescent="0.3">
      <c r="B633" s="310"/>
      <c r="D633" s="117"/>
      <c r="E633" s="132"/>
      <c r="F633" s="117"/>
      <c r="G633" s="117"/>
      <c r="H633" s="118"/>
      <c r="I633" s="118"/>
      <c r="J633" s="118"/>
      <c r="K633" s="118"/>
      <c r="L633" s="118"/>
      <c r="M633" s="118"/>
      <c r="N633" s="118"/>
      <c r="O633" s="118"/>
      <c r="P633" s="118"/>
      <c r="Q633" s="118"/>
    </row>
    <row r="634" spans="2:17" s="119" customFormat="1" ht="45.75" hidden="1" thickBot="1" x14ac:dyDescent="0.3">
      <c r="B634" s="310"/>
      <c r="C634" s="119">
        <f>IF(E634&gt;0,1,0)</f>
        <v>0</v>
      </c>
      <c r="D634" s="96" t="str">
        <f>+A40</f>
        <v>Orleans</v>
      </c>
      <c r="E634" s="166">
        <f>+SUMIF(A:A,D634,B:B)</f>
        <v>0</v>
      </c>
      <c r="F634" s="98" t="s">
        <v>97</v>
      </c>
      <c r="G634" s="98" t="s">
        <v>126</v>
      </c>
      <c r="H634" s="98" t="s">
        <v>127</v>
      </c>
      <c r="I634" s="99" t="s">
        <v>128</v>
      </c>
      <c r="J634" s="99" t="s">
        <v>131</v>
      </c>
      <c r="K634" s="560" t="s">
        <v>474</v>
      </c>
      <c r="L634" s="560" t="s">
        <v>475</v>
      </c>
      <c r="M634" s="560" t="s">
        <v>476</v>
      </c>
      <c r="N634" s="560" t="s">
        <v>477</v>
      </c>
      <c r="O634" s="560" t="s">
        <v>478</v>
      </c>
      <c r="P634" s="560" t="s">
        <v>479</v>
      </c>
      <c r="Q634" s="99" t="s">
        <v>129</v>
      </c>
    </row>
    <row r="635" spans="2:17" s="119" customFormat="1" ht="19.5" hidden="1" thickBot="1" x14ac:dyDescent="0.3">
      <c r="B635" s="310"/>
      <c r="C635" s="119">
        <f>C634</f>
        <v>0</v>
      </c>
      <c r="D635" s="127"/>
      <c r="E635" s="128"/>
      <c r="F635" s="84" t="s">
        <v>57</v>
      </c>
      <c r="G635" s="84" t="s">
        <v>56</v>
      </c>
      <c r="H635" s="84" t="s">
        <v>55</v>
      </c>
      <c r="I635" s="84" t="s">
        <v>54</v>
      </c>
      <c r="J635" s="129" t="s">
        <v>53</v>
      </c>
      <c r="K635" s="129" t="s">
        <v>52</v>
      </c>
      <c r="L635" s="129" t="s">
        <v>51</v>
      </c>
      <c r="M635" s="129" t="s">
        <v>50</v>
      </c>
      <c r="N635" s="129" t="s">
        <v>49</v>
      </c>
      <c r="O635" s="129" t="s">
        <v>47</v>
      </c>
      <c r="P635" s="129" t="s">
        <v>77</v>
      </c>
      <c r="Q635" s="129" t="s">
        <v>78</v>
      </c>
    </row>
    <row r="636" spans="2:17" s="119" customFormat="1" ht="19.5" hidden="1" thickBot="1" x14ac:dyDescent="0.3">
      <c r="B636" s="310"/>
      <c r="C636" s="119">
        <f>C635</f>
        <v>0</v>
      </c>
      <c r="D636" s="133" t="s">
        <v>26</v>
      </c>
      <c r="E636" s="134"/>
      <c r="F636" s="135"/>
      <c r="G636" s="135"/>
      <c r="H636" s="136"/>
      <c r="I636" s="136"/>
      <c r="J636" s="137"/>
      <c r="K636" s="137"/>
      <c r="L636" s="137"/>
      <c r="M636" s="137"/>
      <c r="N636" s="137"/>
      <c r="O636" s="137"/>
      <c r="P636" s="137"/>
      <c r="Q636" s="138"/>
    </row>
    <row r="637" spans="2:17" s="119" customFormat="1" ht="19.5" hidden="1" thickBot="1" x14ac:dyDescent="0.3">
      <c r="B637" s="310"/>
      <c r="C637" s="119">
        <f t="shared" ref="C637:C649" si="600">C636</f>
        <v>0</v>
      </c>
      <c r="D637" s="109" t="s">
        <v>93</v>
      </c>
      <c r="E637" s="76" t="s">
        <v>57</v>
      </c>
      <c r="F637" s="168">
        <f>+F$6*$E634</f>
        <v>0</v>
      </c>
      <c r="G637" s="168">
        <f>+G$6*$E634</f>
        <v>0</v>
      </c>
      <c r="H637" s="168">
        <f>+H$6*$E634</f>
        <v>0</v>
      </c>
      <c r="I637" s="168">
        <f>+I$6*$E634</f>
        <v>0</v>
      </c>
      <c r="J637" s="168">
        <f>+J$6*$E634</f>
        <v>0</v>
      </c>
      <c r="K637" s="168">
        <f t="shared" ref="K637:P637" si="601">+K$6*$E634</f>
        <v>0</v>
      </c>
      <c r="L637" s="168">
        <f t="shared" si="601"/>
        <v>0</v>
      </c>
      <c r="M637" s="168">
        <f t="shared" si="601"/>
        <v>0</v>
      </c>
      <c r="N637" s="168">
        <f t="shared" si="601"/>
        <v>0</v>
      </c>
      <c r="O637" s="168">
        <f t="shared" si="601"/>
        <v>0</v>
      </c>
      <c r="P637" s="168">
        <f t="shared" si="601"/>
        <v>0</v>
      </c>
      <c r="Q637" s="190">
        <f>SUM(G637:P637)</f>
        <v>0</v>
      </c>
    </row>
    <row r="638" spans="2:17" s="119" customFormat="1" ht="19.5" hidden="1" thickBot="1" x14ac:dyDescent="0.3">
      <c r="B638" s="310"/>
      <c r="C638" s="119">
        <f t="shared" si="600"/>
        <v>0</v>
      </c>
      <c r="D638" s="110" t="s">
        <v>132</v>
      </c>
      <c r="E638" s="76" t="s">
        <v>56</v>
      </c>
      <c r="F638" s="168">
        <f>+F$7*$E634</f>
        <v>0</v>
      </c>
      <c r="G638" s="168">
        <f>+G$7*$E634</f>
        <v>0</v>
      </c>
      <c r="H638" s="168">
        <f>+H$7*$E634</f>
        <v>0</v>
      </c>
      <c r="I638" s="168">
        <f>+I$7*$E634</f>
        <v>0</v>
      </c>
      <c r="J638" s="168">
        <f>+J$7*$E634</f>
        <v>0</v>
      </c>
      <c r="K638" s="168">
        <f t="shared" ref="K638:P638" si="602">+K$7*$E634</f>
        <v>0</v>
      </c>
      <c r="L638" s="168">
        <f t="shared" si="602"/>
        <v>0</v>
      </c>
      <c r="M638" s="168">
        <f t="shared" si="602"/>
        <v>0</v>
      </c>
      <c r="N638" s="168">
        <f t="shared" si="602"/>
        <v>0</v>
      </c>
      <c r="O638" s="168">
        <f t="shared" si="602"/>
        <v>0</v>
      </c>
      <c r="P638" s="168">
        <f t="shared" si="602"/>
        <v>0</v>
      </c>
      <c r="Q638" s="190">
        <f>SUM(G638:P638)</f>
        <v>0</v>
      </c>
    </row>
    <row r="639" spans="2:17" s="119" customFormat="1" ht="19.5" hidden="1" thickBot="1" x14ac:dyDescent="0.3">
      <c r="B639" s="310"/>
      <c r="C639" s="119">
        <f t="shared" si="600"/>
        <v>0</v>
      </c>
      <c r="D639" s="109" t="s">
        <v>91</v>
      </c>
      <c r="E639" s="76" t="s">
        <v>55</v>
      </c>
      <c r="F639" s="168">
        <f>+F$8*$E634</f>
        <v>0</v>
      </c>
      <c r="G639" s="168">
        <f>+G$8*$E634</f>
        <v>0</v>
      </c>
      <c r="H639" s="168">
        <f>+H$8*$E634</f>
        <v>0</v>
      </c>
      <c r="I639" s="168">
        <f>+I$8*$E634</f>
        <v>0</v>
      </c>
      <c r="J639" s="168">
        <f>+J$8*$E634</f>
        <v>0</v>
      </c>
      <c r="K639" s="168">
        <f t="shared" ref="K639:P639" si="603">+K$8*$E634</f>
        <v>0</v>
      </c>
      <c r="L639" s="168">
        <f t="shared" si="603"/>
        <v>0</v>
      </c>
      <c r="M639" s="168">
        <f t="shared" si="603"/>
        <v>0</v>
      </c>
      <c r="N639" s="168">
        <f t="shared" si="603"/>
        <v>0</v>
      </c>
      <c r="O639" s="168">
        <f t="shared" si="603"/>
        <v>0</v>
      </c>
      <c r="P639" s="168">
        <f t="shared" si="603"/>
        <v>0</v>
      </c>
      <c r="Q639" s="190">
        <f>SUM(G639:P639)</f>
        <v>0</v>
      </c>
    </row>
    <row r="640" spans="2:17" s="119" customFormat="1" ht="19.5" hidden="1" thickBot="1" x14ac:dyDescent="0.3">
      <c r="B640" s="310"/>
      <c r="C640" s="119">
        <f t="shared" si="600"/>
        <v>0</v>
      </c>
      <c r="D640" s="130" t="s">
        <v>117</v>
      </c>
      <c r="E640" s="76" t="s">
        <v>54</v>
      </c>
      <c r="F640" s="168">
        <f>+F$9*$E634</f>
        <v>0</v>
      </c>
      <c r="G640" s="168">
        <f>+G$9*$E634</f>
        <v>0</v>
      </c>
      <c r="H640" s="168">
        <f>+H$9*$E634</f>
        <v>0</v>
      </c>
      <c r="I640" s="168">
        <f>+I$9*$E634</f>
        <v>0</v>
      </c>
      <c r="J640" s="168">
        <f>+J$9*$E634</f>
        <v>0</v>
      </c>
      <c r="K640" s="168">
        <f t="shared" ref="K640:P640" si="604">+K$9*$E634</f>
        <v>0</v>
      </c>
      <c r="L640" s="168">
        <f t="shared" si="604"/>
        <v>0</v>
      </c>
      <c r="M640" s="168">
        <f t="shared" si="604"/>
        <v>0</v>
      </c>
      <c r="N640" s="168">
        <f t="shared" si="604"/>
        <v>0</v>
      </c>
      <c r="O640" s="168">
        <f t="shared" si="604"/>
        <v>0</v>
      </c>
      <c r="P640" s="168">
        <f t="shared" si="604"/>
        <v>0</v>
      </c>
      <c r="Q640" s="190">
        <f>SUM(G640:P640)</f>
        <v>0</v>
      </c>
    </row>
    <row r="641" spans="2:17" s="119" customFormat="1" ht="19.5" hidden="1" thickBot="1" x14ac:dyDescent="0.3">
      <c r="B641" s="310"/>
      <c r="C641" s="119">
        <f t="shared" si="600"/>
        <v>0</v>
      </c>
      <c r="D641" s="112" t="s">
        <v>31</v>
      </c>
      <c r="E641" s="76"/>
      <c r="F641" s="167"/>
      <c r="G641" s="185"/>
      <c r="H641" s="185"/>
      <c r="I641" s="185"/>
      <c r="J641" s="185"/>
      <c r="K641" s="185"/>
      <c r="L641" s="185"/>
      <c r="M641" s="185"/>
      <c r="N641" s="185"/>
      <c r="O641" s="185"/>
      <c r="P641" s="185"/>
      <c r="Q641" s="171"/>
    </row>
    <row r="642" spans="2:17" s="119" customFormat="1" ht="19.5" hidden="1" thickBot="1" x14ac:dyDescent="0.35">
      <c r="B642" s="310"/>
      <c r="C642" s="119">
        <f t="shared" si="600"/>
        <v>0</v>
      </c>
      <c r="D642" s="125" t="s">
        <v>118</v>
      </c>
      <c r="E642" s="76" t="s">
        <v>53</v>
      </c>
      <c r="F642" s="168">
        <f>+F$11*$E634</f>
        <v>0</v>
      </c>
      <c r="G642" s="168">
        <f>+G$11*$E634</f>
        <v>0</v>
      </c>
      <c r="H642" s="168">
        <f>+H$11*$E634</f>
        <v>0</v>
      </c>
      <c r="I642" s="168">
        <f>+I$11*$E634</f>
        <v>0</v>
      </c>
      <c r="J642" s="168">
        <f>+J$11*$E634</f>
        <v>0</v>
      </c>
      <c r="K642" s="168">
        <f t="shared" ref="K642:P642" si="605">+K$11*$E634</f>
        <v>0</v>
      </c>
      <c r="L642" s="168">
        <f t="shared" si="605"/>
        <v>0</v>
      </c>
      <c r="M642" s="168">
        <f t="shared" si="605"/>
        <v>0</v>
      </c>
      <c r="N642" s="168">
        <f t="shared" si="605"/>
        <v>0</v>
      </c>
      <c r="O642" s="168">
        <f t="shared" si="605"/>
        <v>0</v>
      </c>
      <c r="P642" s="168">
        <f t="shared" si="605"/>
        <v>0</v>
      </c>
      <c r="Q642" s="190">
        <f t="shared" ref="Q642:Q648" si="606">SUM(G642:P642)</f>
        <v>0</v>
      </c>
    </row>
    <row r="643" spans="2:17" s="119" customFormat="1" ht="19.5" hidden="1" thickBot="1" x14ac:dyDescent="0.35">
      <c r="B643" s="310"/>
      <c r="C643" s="119">
        <f t="shared" si="600"/>
        <v>0</v>
      </c>
      <c r="D643" s="125" t="s">
        <v>119</v>
      </c>
      <c r="E643" s="76" t="s">
        <v>52</v>
      </c>
      <c r="F643" s="168">
        <f>+F$12*$E634</f>
        <v>0</v>
      </c>
      <c r="G643" s="168">
        <f>+G$12*$E634</f>
        <v>0</v>
      </c>
      <c r="H643" s="168">
        <f>+H$12*$E634</f>
        <v>0</v>
      </c>
      <c r="I643" s="168">
        <f>+I$12*$E634</f>
        <v>0</v>
      </c>
      <c r="J643" s="168">
        <f>+J$12*$E634</f>
        <v>0</v>
      </c>
      <c r="K643" s="168">
        <f t="shared" ref="K643:P643" si="607">+K$12*$E634</f>
        <v>0</v>
      </c>
      <c r="L643" s="168">
        <f t="shared" si="607"/>
        <v>0</v>
      </c>
      <c r="M643" s="168">
        <f t="shared" si="607"/>
        <v>0</v>
      </c>
      <c r="N643" s="168">
        <f t="shared" si="607"/>
        <v>0</v>
      </c>
      <c r="O643" s="168">
        <f t="shared" si="607"/>
        <v>0</v>
      </c>
      <c r="P643" s="168">
        <f t="shared" si="607"/>
        <v>0</v>
      </c>
      <c r="Q643" s="190">
        <f t="shared" si="606"/>
        <v>0</v>
      </c>
    </row>
    <row r="644" spans="2:17" s="119" customFormat="1" ht="19.5" hidden="1" thickBot="1" x14ac:dyDescent="0.35">
      <c r="B644" s="310"/>
      <c r="C644" s="119">
        <f t="shared" si="600"/>
        <v>0</v>
      </c>
      <c r="D644" s="125" t="s">
        <v>120</v>
      </c>
      <c r="E644" s="76" t="s">
        <v>51</v>
      </c>
      <c r="F644" s="168">
        <f>+F$13*$E634</f>
        <v>0</v>
      </c>
      <c r="G644" s="168">
        <f>+G$13*$E634</f>
        <v>0</v>
      </c>
      <c r="H644" s="168">
        <f>+H$13*$E634</f>
        <v>0</v>
      </c>
      <c r="I644" s="168">
        <f>+I$13*$E634</f>
        <v>0</v>
      </c>
      <c r="J644" s="168">
        <f>+J$13*$E634</f>
        <v>0</v>
      </c>
      <c r="K644" s="168">
        <f t="shared" ref="K644:P644" si="608">+K$13*$E634</f>
        <v>0</v>
      </c>
      <c r="L644" s="168">
        <f t="shared" si="608"/>
        <v>0</v>
      </c>
      <c r="M644" s="168">
        <f t="shared" si="608"/>
        <v>0</v>
      </c>
      <c r="N644" s="168">
        <f t="shared" si="608"/>
        <v>0</v>
      </c>
      <c r="O644" s="168">
        <f t="shared" si="608"/>
        <v>0</v>
      </c>
      <c r="P644" s="168">
        <f t="shared" si="608"/>
        <v>0</v>
      </c>
      <c r="Q644" s="190">
        <f t="shared" si="606"/>
        <v>0</v>
      </c>
    </row>
    <row r="645" spans="2:17" s="119" customFormat="1" ht="19.5" hidden="1" thickBot="1" x14ac:dyDescent="0.35">
      <c r="B645" s="310"/>
      <c r="C645" s="119">
        <f t="shared" si="600"/>
        <v>0</v>
      </c>
      <c r="D645" s="125" t="s">
        <v>121</v>
      </c>
      <c r="E645" s="76" t="s">
        <v>50</v>
      </c>
      <c r="F645" s="168">
        <f>+F$14*$E634</f>
        <v>0</v>
      </c>
      <c r="G645" s="168">
        <f>+G$14*$E634</f>
        <v>0</v>
      </c>
      <c r="H645" s="168">
        <f>+H$14*$E634</f>
        <v>0</v>
      </c>
      <c r="I645" s="168">
        <f>+I$14*$E634</f>
        <v>0</v>
      </c>
      <c r="J645" s="168">
        <f>+J$14*$E634</f>
        <v>0</v>
      </c>
      <c r="K645" s="168">
        <f t="shared" ref="K645:P645" si="609">+K$14*$E634</f>
        <v>0</v>
      </c>
      <c r="L645" s="168">
        <f t="shared" si="609"/>
        <v>0</v>
      </c>
      <c r="M645" s="168">
        <f t="shared" si="609"/>
        <v>0</v>
      </c>
      <c r="N645" s="168">
        <f t="shared" si="609"/>
        <v>0</v>
      </c>
      <c r="O645" s="168">
        <f t="shared" si="609"/>
        <v>0</v>
      </c>
      <c r="P645" s="168">
        <f t="shared" si="609"/>
        <v>0</v>
      </c>
      <c r="Q645" s="190">
        <f t="shared" si="606"/>
        <v>0</v>
      </c>
    </row>
    <row r="646" spans="2:17" s="119" customFormat="1" ht="19.5" hidden="1" thickBot="1" x14ac:dyDescent="0.35">
      <c r="B646" s="310"/>
      <c r="C646" s="119">
        <f t="shared" si="600"/>
        <v>0</v>
      </c>
      <c r="D646" s="125" t="s">
        <v>122</v>
      </c>
      <c r="E646" s="76" t="s">
        <v>49</v>
      </c>
      <c r="F646" s="168">
        <f>+F$15*$E634</f>
        <v>0</v>
      </c>
      <c r="G646" s="168">
        <f>+G$15*$E634</f>
        <v>0</v>
      </c>
      <c r="H646" s="168">
        <f>+H$15*$E634</f>
        <v>0</v>
      </c>
      <c r="I646" s="168">
        <f>+I$15*$E634</f>
        <v>0</v>
      </c>
      <c r="J646" s="168">
        <f>+J$15*$E634</f>
        <v>0</v>
      </c>
      <c r="K646" s="168">
        <f t="shared" ref="K646:P646" si="610">+K$15*$E634</f>
        <v>0</v>
      </c>
      <c r="L646" s="168">
        <f t="shared" si="610"/>
        <v>0</v>
      </c>
      <c r="M646" s="168">
        <f t="shared" si="610"/>
        <v>0</v>
      </c>
      <c r="N646" s="168">
        <f t="shared" si="610"/>
        <v>0</v>
      </c>
      <c r="O646" s="168">
        <f t="shared" si="610"/>
        <v>0</v>
      </c>
      <c r="P646" s="168">
        <f t="shared" si="610"/>
        <v>0</v>
      </c>
      <c r="Q646" s="190">
        <f t="shared" si="606"/>
        <v>0</v>
      </c>
    </row>
    <row r="647" spans="2:17" s="119" customFormat="1" ht="19.5" hidden="1" thickBot="1" x14ac:dyDescent="0.35">
      <c r="B647" s="310"/>
      <c r="C647" s="119">
        <f t="shared" si="600"/>
        <v>0</v>
      </c>
      <c r="D647" s="125" t="s">
        <v>123</v>
      </c>
      <c r="E647" s="76" t="s">
        <v>47</v>
      </c>
      <c r="F647" s="168">
        <f>+F$16*$E634</f>
        <v>0</v>
      </c>
      <c r="G647" s="168">
        <f>+G$16*$E634</f>
        <v>0</v>
      </c>
      <c r="H647" s="168">
        <f>+H$16*$E634</f>
        <v>0</v>
      </c>
      <c r="I647" s="168">
        <f>+I$16*$E634</f>
        <v>0</v>
      </c>
      <c r="J647" s="168">
        <f>+J$16*$E634</f>
        <v>0</v>
      </c>
      <c r="K647" s="168">
        <f t="shared" ref="K647:P647" si="611">+K$16*$E634</f>
        <v>0</v>
      </c>
      <c r="L647" s="168">
        <f t="shared" si="611"/>
        <v>0</v>
      </c>
      <c r="M647" s="168">
        <f t="shared" si="611"/>
        <v>0</v>
      </c>
      <c r="N647" s="168">
        <f t="shared" si="611"/>
        <v>0</v>
      </c>
      <c r="O647" s="168">
        <f t="shared" si="611"/>
        <v>0</v>
      </c>
      <c r="P647" s="168">
        <f t="shared" si="611"/>
        <v>0</v>
      </c>
      <c r="Q647" s="190">
        <f t="shared" si="606"/>
        <v>0</v>
      </c>
    </row>
    <row r="648" spans="2:17" s="119" customFormat="1" ht="19.5" hidden="1" thickBot="1" x14ac:dyDescent="0.35">
      <c r="B648" s="310"/>
      <c r="C648" s="119">
        <f t="shared" si="600"/>
        <v>0</v>
      </c>
      <c r="D648" s="125" t="s">
        <v>16</v>
      </c>
      <c r="E648" s="70" t="s">
        <v>77</v>
      </c>
      <c r="F648" s="168">
        <f>+F$17*$E634</f>
        <v>0</v>
      </c>
      <c r="G648" s="168">
        <f>+G$17*$E634</f>
        <v>0</v>
      </c>
      <c r="H648" s="168">
        <f>+H$17*$E634</f>
        <v>0</v>
      </c>
      <c r="I648" s="168">
        <f>+I$17*$E634</f>
        <v>0</v>
      </c>
      <c r="J648" s="168">
        <f>+J$17*$E634</f>
        <v>0</v>
      </c>
      <c r="K648" s="168">
        <f t="shared" ref="K648:P648" si="612">+K$17*$E634</f>
        <v>0</v>
      </c>
      <c r="L648" s="168">
        <f t="shared" si="612"/>
        <v>0</v>
      </c>
      <c r="M648" s="168">
        <f t="shared" si="612"/>
        <v>0</v>
      </c>
      <c r="N648" s="168">
        <f t="shared" si="612"/>
        <v>0</v>
      </c>
      <c r="O648" s="168">
        <f t="shared" si="612"/>
        <v>0</v>
      </c>
      <c r="P648" s="168">
        <f t="shared" si="612"/>
        <v>0</v>
      </c>
      <c r="Q648" s="190">
        <f t="shared" si="606"/>
        <v>0</v>
      </c>
    </row>
    <row r="649" spans="2:17" s="119" customFormat="1" ht="19.5" hidden="1" thickBot="1" x14ac:dyDescent="0.3">
      <c r="B649" s="310"/>
      <c r="C649" s="119">
        <f t="shared" si="600"/>
        <v>0</v>
      </c>
      <c r="D649" s="131" t="s">
        <v>124</v>
      </c>
      <c r="E649" s="116" t="s">
        <v>78</v>
      </c>
      <c r="F649" s="169">
        <f t="shared" ref="F649:Q649" si="613">SUBTOTAL(9,F637:F648)</f>
        <v>0</v>
      </c>
      <c r="G649" s="170">
        <f t="shared" si="613"/>
        <v>0</v>
      </c>
      <c r="H649" s="170">
        <f t="shared" si="613"/>
        <v>0</v>
      </c>
      <c r="I649" s="170">
        <f t="shared" si="613"/>
        <v>0</v>
      </c>
      <c r="J649" s="170">
        <f t="shared" si="613"/>
        <v>0</v>
      </c>
      <c r="K649" s="170">
        <f t="shared" ref="K649:P649" si="614">SUBTOTAL(9,K637:K648)</f>
        <v>0</v>
      </c>
      <c r="L649" s="170">
        <f t="shared" si="614"/>
        <v>0</v>
      </c>
      <c r="M649" s="170">
        <f t="shared" si="614"/>
        <v>0</v>
      </c>
      <c r="N649" s="170">
        <f t="shared" si="614"/>
        <v>0</v>
      </c>
      <c r="O649" s="170">
        <f t="shared" si="614"/>
        <v>0</v>
      </c>
      <c r="P649" s="170">
        <f t="shared" si="614"/>
        <v>0</v>
      </c>
      <c r="Q649" s="170">
        <f t="shared" si="613"/>
        <v>0</v>
      </c>
    </row>
    <row r="650" spans="2:17" s="119" customFormat="1" ht="15.75" hidden="1" thickBot="1" x14ac:dyDescent="0.3">
      <c r="B650" s="310"/>
      <c r="D650" s="117"/>
      <c r="E650" s="132"/>
      <c r="F650" s="117"/>
      <c r="G650" s="117"/>
      <c r="H650" s="118"/>
      <c r="I650" s="118"/>
      <c r="J650" s="118"/>
      <c r="K650" s="118"/>
      <c r="L650" s="118"/>
      <c r="M650" s="118"/>
      <c r="N650" s="118"/>
      <c r="O650" s="118"/>
      <c r="P650" s="118"/>
      <c r="Q650" s="118"/>
    </row>
    <row r="651" spans="2:17" s="119" customFormat="1" ht="45.75" hidden="1" thickBot="1" x14ac:dyDescent="0.3">
      <c r="B651" s="310"/>
      <c r="C651" s="119">
        <f>IF(E651&gt;0,1,0)</f>
        <v>0</v>
      </c>
      <c r="D651" s="96" t="str">
        <f>+A41</f>
        <v>Oswego</v>
      </c>
      <c r="E651" s="166">
        <f>+SUMIF(A:A,D651,B:B)</f>
        <v>0</v>
      </c>
      <c r="F651" s="98" t="s">
        <v>97</v>
      </c>
      <c r="G651" s="98" t="s">
        <v>126</v>
      </c>
      <c r="H651" s="98" t="s">
        <v>127</v>
      </c>
      <c r="I651" s="99" t="s">
        <v>128</v>
      </c>
      <c r="J651" s="99" t="s">
        <v>131</v>
      </c>
      <c r="K651" s="560" t="s">
        <v>474</v>
      </c>
      <c r="L651" s="560" t="s">
        <v>475</v>
      </c>
      <c r="M651" s="560" t="s">
        <v>476</v>
      </c>
      <c r="N651" s="560" t="s">
        <v>477</v>
      </c>
      <c r="O651" s="560" t="s">
        <v>478</v>
      </c>
      <c r="P651" s="560" t="s">
        <v>479</v>
      </c>
      <c r="Q651" s="99" t="s">
        <v>129</v>
      </c>
    </row>
    <row r="652" spans="2:17" s="119" customFormat="1" ht="19.5" hidden="1" thickBot="1" x14ac:dyDescent="0.3">
      <c r="B652" s="310"/>
      <c r="C652" s="119">
        <f>C651</f>
        <v>0</v>
      </c>
      <c r="D652" s="127"/>
      <c r="E652" s="128"/>
      <c r="F652" s="84" t="s">
        <v>57</v>
      </c>
      <c r="G652" s="84" t="s">
        <v>56</v>
      </c>
      <c r="H652" s="84" t="s">
        <v>55</v>
      </c>
      <c r="I652" s="84" t="s">
        <v>54</v>
      </c>
      <c r="J652" s="129" t="s">
        <v>53</v>
      </c>
      <c r="K652" s="129" t="s">
        <v>52</v>
      </c>
      <c r="L652" s="129" t="s">
        <v>51</v>
      </c>
      <c r="M652" s="129" t="s">
        <v>50</v>
      </c>
      <c r="N652" s="129" t="s">
        <v>49</v>
      </c>
      <c r="O652" s="129" t="s">
        <v>47</v>
      </c>
      <c r="P652" s="129" t="s">
        <v>77</v>
      </c>
      <c r="Q652" s="129" t="s">
        <v>78</v>
      </c>
    </row>
    <row r="653" spans="2:17" s="119" customFormat="1" ht="19.5" hidden="1" thickBot="1" x14ac:dyDescent="0.3">
      <c r="B653" s="310"/>
      <c r="C653" s="119">
        <f>C652</f>
        <v>0</v>
      </c>
      <c r="D653" s="133" t="s">
        <v>26</v>
      </c>
      <c r="E653" s="134"/>
      <c r="F653" s="135"/>
      <c r="G653" s="135"/>
      <c r="H653" s="136"/>
      <c r="I653" s="136"/>
      <c r="J653" s="137"/>
      <c r="K653" s="137"/>
      <c r="L653" s="137"/>
      <c r="M653" s="137"/>
      <c r="N653" s="137"/>
      <c r="O653" s="137"/>
      <c r="P653" s="137"/>
      <c r="Q653" s="138"/>
    </row>
    <row r="654" spans="2:17" s="119" customFormat="1" ht="19.5" hidden="1" thickBot="1" x14ac:dyDescent="0.3">
      <c r="B654" s="310"/>
      <c r="C654" s="119">
        <f t="shared" ref="C654:C666" si="615">C653</f>
        <v>0</v>
      </c>
      <c r="D654" s="109" t="s">
        <v>93</v>
      </c>
      <c r="E654" s="76" t="s">
        <v>57</v>
      </c>
      <c r="F654" s="168">
        <f>+F$6*$E651</f>
        <v>0</v>
      </c>
      <c r="G654" s="168">
        <f>+G$6*$E651</f>
        <v>0</v>
      </c>
      <c r="H654" s="168">
        <f>+H$6*$E651</f>
        <v>0</v>
      </c>
      <c r="I654" s="168">
        <f>+I$6*$E651</f>
        <v>0</v>
      </c>
      <c r="J654" s="168">
        <f>+J$6*$E651</f>
        <v>0</v>
      </c>
      <c r="K654" s="168">
        <f t="shared" ref="K654:P654" si="616">+K$6*$E651</f>
        <v>0</v>
      </c>
      <c r="L654" s="168">
        <f t="shared" si="616"/>
        <v>0</v>
      </c>
      <c r="M654" s="168">
        <f t="shared" si="616"/>
        <v>0</v>
      </c>
      <c r="N654" s="168">
        <f t="shared" si="616"/>
        <v>0</v>
      </c>
      <c r="O654" s="168">
        <f t="shared" si="616"/>
        <v>0</v>
      </c>
      <c r="P654" s="168">
        <f t="shared" si="616"/>
        <v>0</v>
      </c>
      <c r="Q654" s="190">
        <f>SUM(G654:P654)</f>
        <v>0</v>
      </c>
    </row>
    <row r="655" spans="2:17" s="119" customFormat="1" ht="19.5" hidden="1" thickBot="1" x14ac:dyDescent="0.3">
      <c r="B655" s="310"/>
      <c r="C655" s="119">
        <f t="shared" si="615"/>
        <v>0</v>
      </c>
      <c r="D655" s="110" t="s">
        <v>132</v>
      </c>
      <c r="E655" s="76" t="s">
        <v>56</v>
      </c>
      <c r="F655" s="168">
        <f>+F$7*$E651</f>
        <v>0</v>
      </c>
      <c r="G655" s="168">
        <f>+G$7*$E651</f>
        <v>0</v>
      </c>
      <c r="H655" s="168">
        <f>+H$7*$E651</f>
        <v>0</v>
      </c>
      <c r="I655" s="168">
        <f>+I$7*$E651</f>
        <v>0</v>
      </c>
      <c r="J655" s="168">
        <f>+J$7*$E651</f>
        <v>0</v>
      </c>
      <c r="K655" s="168">
        <f t="shared" ref="K655:P655" si="617">+K$7*$E651</f>
        <v>0</v>
      </c>
      <c r="L655" s="168">
        <f t="shared" si="617"/>
        <v>0</v>
      </c>
      <c r="M655" s="168">
        <f t="shared" si="617"/>
        <v>0</v>
      </c>
      <c r="N655" s="168">
        <f t="shared" si="617"/>
        <v>0</v>
      </c>
      <c r="O655" s="168">
        <f t="shared" si="617"/>
        <v>0</v>
      </c>
      <c r="P655" s="168">
        <f t="shared" si="617"/>
        <v>0</v>
      </c>
      <c r="Q655" s="190">
        <f>SUM(G655:P655)</f>
        <v>0</v>
      </c>
    </row>
    <row r="656" spans="2:17" s="119" customFormat="1" ht="19.5" hidden="1" thickBot="1" x14ac:dyDescent="0.3">
      <c r="B656" s="310"/>
      <c r="C656" s="119">
        <f t="shared" si="615"/>
        <v>0</v>
      </c>
      <c r="D656" s="109" t="s">
        <v>91</v>
      </c>
      <c r="E656" s="76" t="s">
        <v>55</v>
      </c>
      <c r="F656" s="168">
        <f>+F$8*$E651</f>
        <v>0</v>
      </c>
      <c r="G656" s="168">
        <f>+G$8*$E651</f>
        <v>0</v>
      </c>
      <c r="H656" s="168">
        <f>+H$8*$E651</f>
        <v>0</v>
      </c>
      <c r="I656" s="168">
        <f>+I$8*$E651</f>
        <v>0</v>
      </c>
      <c r="J656" s="168">
        <f>+J$8*$E651</f>
        <v>0</v>
      </c>
      <c r="K656" s="168">
        <f t="shared" ref="K656:P656" si="618">+K$8*$E651</f>
        <v>0</v>
      </c>
      <c r="L656" s="168">
        <f t="shared" si="618"/>
        <v>0</v>
      </c>
      <c r="M656" s="168">
        <f t="shared" si="618"/>
        <v>0</v>
      </c>
      <c r="N656" s="168">
        <f t="shared" si="618"/>
        <v>0</v>
      </c>
      <c r="O656" s="168">
        <f t="shared" si="618"/>
        <v>0</v>
      </c>
      <c r="P656" s="168">
        <f t="shared" si="618"/>
        <v>0</v>
      </c>
      <c r="Q656" s="190">
        <f>SUM(G656:P656)</f>
        <v>0</v>
      </c>
    </row>
    <row r="657" spans="2:17" s="119" customFormat="1" ht="19.5" hidden="1" thickBot="1" x14ac:dyDescent="0.3">
      <c r="B657" s="310"/>
      <c r="C657" s="119">
        <f t="shared" si="615"/>
        <v>0</v>
      </c>
      <c r="D657" s="130" t="s">
        <v>117</v>
      </c>
      <c r="E657" s="76" t="s">
        <v>54</v>
      </c>
      <c r="F657" s="168">
        <f>+F$9*$E651</f>
        <v>0</v>
      </c>
      <c r="G657" s="168">
        <f>+G$9*$E651</f>
        <v>0</v>
      </c>
      <c r="H657" s="168">
        <f>+H$9*$E651</f>
        <v>0</v>
      </c>
      <c r="I657" s="168">
        <f>+I$9*$E651</f>
        <v>0</v>
      </c>
      <c r="J657" s="168">
        <f>+J$9*$E651</f>
        <v>0</v>
      </c>
      <c r="K657" s="168">
        <f t="shared" ref="K657:P657" si="619">+K$9*$E651</f>
        <v>0</v>
      </c>
      <c r="L657" s="168">
        <f t="shared" si="619"/>
        <v>0</v>
      </c>
      <c r="M657" s="168">
        <f t="shared" si="619"/>
        <v>0</v>
      </c>
      <c r="N657" s="168">
        <f t="shared" si="619"/>
        <v>0</v>
      </c>
      <c r="O657" s="168">
        <f t="shared" si="619"/>
        <v>0</v>
      </c>
      <c r="P657" s="168">
        <f t="shared" si="619"/>
        <v>0</v>
      </c>
      <c r="Q657" s="190">
        <f>SUM(G657:P657)</f>
        <v>0</v>
      </c>
    </row>
    <row r="658" spans="2:17" s="119" customFormat="1" ht="19.5" hidden="1" thickBot="1" x14ac:dyDescent="0.3">
      <c r="B658" s="310"/>
      <c r="C658" s="119">
        <f t="shared" si="615"/>
        <v>0</v>
      </c>
      <c r="D658" s="112" t="s">
        <v>31</v>
      </c>
      <c r="E658" s="76"/>
      <c r="F658" s="167"/>
      <c r="G658" s="185"/>
      <c r="H658" s="185"/>
      <c r="I658" s="185"/>
      <c r="J658" s="185"/>
      <c r="K658" s="185"/>
      <c r="L658" s="185"/>
      <c r="M658" s="185"/>
      <c r="N658" s="185"/>
      <c r="O658" s="185"/>
      <c r="P658" s="185"/>
      <c r="Q658" s="171"/>
    </row>
    <row r="659" spans="2:17" s="119" customFormat="1" ht="19.5" hidden="1" thickBot="1" x14ac:dyDescent="0.35">
      <c r="B659" s="310"/>
      <c r="C659" s="119">
        <f t="shared" si="615"/>
        <v>0</v>
      </c>
      <c r="D659" s="125" t="s">
        <v>118</v>
      </c>
      <c r="E659" s="76" t="s">
        <v>53</v>
      </c>
      <c r="F659" s="168">
        <f>+F$11*$E651</f>
        <v>0</v>
      </c>
      <c r="G659" s="168">
        <f>+G$11*$E651</f>
        <v>0</v>
      </c>
      <c r="H659" s="168">
        <f>+H$11*$E651</f>
        <v>0</v>
      </c>
      <c r="I659" s="168">
        <f>+I$11*$E651</f>
        <v>0</v>
      </c>
      <c r="J659" s="168">
        <f>+J$11*$E651</f>
        <v>0</v>
      </c>
      <c r="K659" s="168">
        <f t="shared" ref="K659:P659" si="620">+K$11*$E651</f>
        <v>0</v>
      </c>
      <c r="L659" s="168">
        <f t="shared" si="620"/>
        <v>0</v>
      </c>
      <c r="M659" s="168">
        <f t="shared" si="620"/>
        <v>0</v>
      </c>
      <c r="N659" s="168">
        <f t="shared" si="620"/>
        <v>0</v>
      </c>
      <c r="O659" s="168">
        <f t="shared" si="620"/>
        <v>0</v>
      </c>
      <c r="P659" s="168">
        <f t="shared" si="620"/>
        <v>0</v>
      </c>
      <c r="Q659" s="190">
        <f t="shared" ref="Q659:Q665" si="621">SUM(G659:P659)</f>
        <v>0</v>
      </c>
    </row>
    <row r="660" spans="2:17" s="119" customFormat="1" ht="19.5" hidden="1" thickBot="1" x14ac:dyDescent="0.35">
      <c r="B660" s="310"/>
      <c r="C660" s="119">
        <f t="shared" si="615"/>
        <v>0</v>
      </c>
      <c r="D660" s="125" t="s">
        <v>119</v>
      </c>
      <c r="E660" s="76" t="s">
        <v>52</v>
      </c>
      <c r="F660" s="168">
        <f>+F$12*$E651</f>
        <v>0</v>
      </c>
      <c r="G660" s="168">
        <f>+G$12*$E651</f>
        <v>0</v>
      </c>
      <c r="H660" s="168">
        <f>+H$12*$E651</f>
        <v>0</v>
      </c>
      <c r="I660" s="168">
        <f>+I$12*$E651</f>
        <v>0</v>
      </c>
      <c r="J660" s="168">
        <f>+J$12*$E651</f>
        <v>0</v>
      </c>
      <c r="K660" s="168">
        <f t="shared" ref="K660:P660" si="622">+K$12*$E651</f>
        <v>0</v>
      </c>
      <c r="L660" s="168">
        <f t="shared" si="622"/>
        <v>0</v>
      </c>
      <c r="M660" s="168">
        <f t="shared" si="622"/>
        <v>0</v>
      </c>
      <c r="N660" s="168">
        <f t="shared" si="622"/>
        <v>0</v>
      </c>
      <c r="O660" s="168">
        <f t="shared" si="622"/>
        <v>0</v>
      </c>
      <c r="P660" s="168">
        <f t="shared" si="622"/>
        <v>0</v>
      </c>
      <c r="Q660" s="190">
        <f t="shared" si="621"/>
        <v>0</v>
      </c>
    </row>
    <row r="661" spans="2:17" s="119" customFormat="1" ht="19.5" hidden="1" thickBot="1" x14ac:dyDescent="0.35">
      <c r="B661" s="310"/>
      <c r="C661" s="119">
        <f t="shared" si="615"/>
        <v>0</v>
      </c>
      <c r="D661" s="125" t="s">
        <v>120</v>
      </c>
      <c r="E661" s="76" t="s">
        <v>51</v>
      </c>
      <c r="F661" s="168">
        <f>+F$13*$E651</f>
        <v>0</v>
      </c>
      <c r="G661" s="168">
        <f>+G$13*$E651</f>
        <v>0</v>
      </c>
      <c r="H661" s="168">
        <f>+H$13*$E651</f>
        <v>0</v>
      </c>
      <c r="I661" s="168">
        <f>+I$13*$E651</f>
        <v>0</v>
      </c>
      <c r="J661" s="168">
        <f>+J$13*$E651</f>
        <v>0</v>
      </c>
      <c r="K661" s="168">
        <f t="shared" ref="K661:P661" si="623">+K$13*$E651</f>
        <v>0</v>
      </c>
      <c r="L661" s="168">
        <f t="shared" si="623"/>
        <v>0</v>
      </c>
      <c r="M661" s="168">
        <f t="shared" si="623"/>
        <v>0</v>
      </c>
      <c r="N661" s="168">
        <f t="shared" si="623"/>
        <v>0</v>
      </c>
      <c r="O661" s="168">
        <f t="shared" si="623"/>
        <v>0</v>
      </c>
      <c r="P661" s="168">
        <f t="shared" si="623"/>
        <v>0</v>
      </c>
      <c r="Q661" s="190">
        <f t="shared" si="621"/>
        <v>0</v>
      </c>
    </row>
    <row r="662" spans="2:17" s="119" customFormat="1" ht="19.5" hidden="1" thickBot="1" x14ac:dyDescent="0.35">
      <c r="B662" s="310"/>
      <c r="C662" s="119">
        <f t="shared" si="615"/>
        <v>0</v>
      </c>
      <c r="D662" s="125" t="s">
        <v>121</v>
      </c>
      <c r="E662" s="76" t="s">
        <v>50</v>
      </c>
      <c r="F662" s="168">
        <f>+F$14*$E651</f>
        <v>0</v>
      </c>
      <c r="G662" s="168">
        <f>+G$14*$E651</f>
        <v>0</v>
      </c>
      <c r="H662" s="168">
        <f>+H$14*$E651</f>
        <v>0</v>
      </c>
      <c r="I662" s="168">
        <f>+I$14*$E651</f>
        <v>0</v>
      </c>
      <c r="J662" s="168">
        <f>+J$14*$E651</f>
        <v>0</v>
      </c>
      <c r="K662" s="168">
        <f t="shared" ref="K662:P662" si="624">+K$14*$E651</f>
        <v>0</v>
      </c>
      <c r="L662" s="168">
        <f t="shared" si="624"/>
        <v>0</v>
      </c>
      <c r="M662" s="168">
        <f t="shared" si="624"/>
        <v>0</v>
      </c>
      <c r="N662" s="168">
        <f t="shared" si="624"/>
        <v>0</v>
      </c>
      <c r="O662" s="168">
        <f t="shared" si="624"/>
        <v>0</v>
      </c>
      <c r="P662" s="168">
        <f t="shared" si="624"/>
        <v>0</v>
      </c>
      <c r="Q662" s="190">
        <f t="shared" si="621"/>
        <v>0</v>
      </c>
    </row>
    <row r="663" spans="2:17" s="119" customFormat="1" ht="19.5" hidden="1" thickBot="1" x14ac:dyDescent="0.35">
      <c r="B663" s="310"/>
      <c r="C663" s="119">
        <f t="shared" si="615"/>
        <v>0</v>
      </c>
      <c r="D663" s="125" t="s">
        <v>122</v>
      </c>
      <c r="E663" s="76" t="s">
        <v>49</v>
      </c>
      <c r="F663" s="168">
        <f>+F$15*$E651</f>
        <v>0</v>
      </c>
      <c r="G663" s="168">
        <f>+G$15*$E651</f>
        <v>0</v>
      </c>
      <c r="H663" s="168">
        <f>+H$15*$E651</f>
        <v>0</v>
      </c>
      <c r="I663" s="168">
        <f>+I$15*$E651</f>
        <v>0</v>
      </c>
      <c r="J663" s="168">
        <f>+J$15*$E651</f>
        <v>0</v>
      </c>
      <c r="K663" s="168">
        <f t="shared" ref="K663:P663" si="625">+K$15*$E651</f>
        <v>0</v>
      </c>
      <c r="L663" s="168">
        <f t="shared" si="625"/>
        <v>0</v>
      </c>
      <c r="M663" s="168">
        <f t="shared" si="625"/>
        <v>0</v>
      </c>
      <c r="N663" s="168">
        <f t="shared" si="625"/>
        <v>0</v>
      </c>
      <c r="O663" s="168">
        <f t="shared" si="625"/>
        <v>0</v>
      </c>
      <c r="P663" s="168">
        <f t="shared" si="625"/>
        <v>0</v>
      </c>
      <c r="Q663" s="190">
        <f t="shared" si="621"/>
        <v>0</v>
      </c>
    </row>
    <row r="664" spans="2:17" s="119" customFormat="1" ht="19.5" hidden="1" thickBot="1" x14ac:dyDescent="0.35">
      <c r="B664" s="310"/>
      <c r="C664" s="119">
        <f t="shared" si="615"/>
        <v>0</v>
      </c>
      <c r="D664" s="125" t="s">
        <v>123</v>
      </c>
      <c r="E664" s="76" t="s">
        <v>47</v>
      </c>
      <c r="F664" s="168">
        <f>+F$16*$E651</f>
        <v>0</v>
      </c>
      <c r="G664" s="168">
        <f>+G$16*$E651</f>
        <v>0</v>
      </c>
      <c r="H664" s="168">
        <f>+H$16*$E651</f>
        <v>0</v>
      </c>
      <c r="I664" s="168">
        <f>+I$16*$E651</f>
        <v>0</v>
      </c>
      <c r="J664" s="168">
        <f>+J$16*$E651</f>
        <v>0</v>
      </c>
      <c r="K664" s="168">
        <f t="shared" ref="K664:P664" si="626">+K$16*$E651</f>
        <v>0</v>
      </c>
      <c r="L664" s="168">
        <f t="shared" si="626"/>
        <v>0</v>
      </c>
      <c r="M664" s="168">
        <f t="shared" si="626"/>
        <v>0</v>
      </c>
      <c r="N664" s="168">
        <f t="shared" si="626"/>
        <v>0</v>
      </c>
      <c r="O664" s="168">
        <f t="shared" si="626"/>
        <v>0</v>
      </c>
      <c r="P664" s="168">
        <f t="shared" si="626"/>
        <v>0</v>
      </c>
      <c r="Q664" s="190">
        <f t="shared" si="621"/>
        <v>0</v>
      </c>
    </row>
    <row r="665" spans="2:17" s="119" customFormat="1" ht="19.5" hidden="1" thickBot="1" x14ac:dyDescent="0.35">
      <c r="B665" s="310"/>
      <c r="C665" s="119">
        <f t="shared" si="615"/>
        <v>0</v>
      </c>
      <c r="D665" s="125" t="s">
        <v>16</v>
      </c>
      <c r="E665" s="70" t="s">
        <v>77</v>
      </c>
      <c r="F665" s="168">
        <f>+F$17*$E651</f>
        <v>0</v>
      </c>
      <c r="G665" s="168">
        <f>+G$17*$E651</f>
        <v>0</v>
      </c>
      <c r="H665" s="168">
        <f>+H$17*$E651</f>
        <v>0</v>
      </c>
      <c r="I665" s="168">
        <f>+I$17*$E651</f>
        <v>0</v>
      </c>
      <c r="J665" s="168">
        <f>+J$17*$E651</f>
        <v>0</v>
      </c>
      <c r="K665" s="168">
        <f t="shared" ref="K665:P665" si="627">+K$17*$E651</f>
        <v>0</v>
      </c>
      <c r="L665" s="168">
        <f t="shared" si="627"/>
        <v>0</v>
      </c>
      <c r="M665" s="168">
        <f t="shared" si="627"/>
        <v>0</v>
      </c>
      <c r="N665" s="168">
        <f t="shared" si="627"/>
        <v>0</v>
      </c>
      <c r="O665" s="168">
        <f t="shared" si="627"/>
        <v>0</v>
      </c>
      <c r="P665" s="168">
        <f t="shared" si="627"/>
        <v>0</v>
      </c>
      <c r="Q665" s="190">
        <f t="shared" si="621"/>
        <v>0</v>
      </c>
    </row>
    <row r="666" spans="2:17" s="119" customFormat="1" ht="19.5" hidden="1" thickBot="1" x14ac:dyDescent="0.3">
      <c r="B666" s="310"/>
      <c r="C666" s="119">
        <f t="shared" si="615"/>
        <v>0</v>
      </c>
      <c r="D666" s="131" t="s">
        <v>124</v>
      </c>
      <c r="E666" s="116" t="s">
        <v>78</v>
      </c>
      <c r="F666" s="169">
        <f t="shared" ref="F666:Q666" si="628">SUBTOTAL(9,F654:F665)</f>
        <v>0</v>
      </c>
      <c r="G666" s="170">
        <f t="shared" si="628"/>
        <v>0</v>
      </c>
      <c r="H666" s="170">
        <f t="shared" si="628"/>
        <v>0</v>
      </c>
      <c r="I666" s="170">
        <f t="shared" si="628"/>
        <v>0</v>
      </c>
      <c r="J666" s="170">
        <f t="shared" si="628"/>
        <v>0</v>
      </c>
      <c r="K666" s="170">
        <f t="shared" ref="K666:P666" si="629">SUBTOTAL(9,K654:K665)</f>
        <v>0</v>
      </c>
      <c r="L666" s="170">
        <f t="shared" si="629"/>
        <v>0</v>
      </c>
      <c r="M666" s="170">
        <f t="shared" si="629"/>
        <v>0</v>
      </c>
      <c r="N666" s="170">
        <f t="shared" si="629"/>
        <v>0</v>
      </c>
      <c r="O666" s="170">
        <f t="shared" si="629"/>
        <v>0</v>
      </c>
      <c r="P666" s="170">
        <f t="shared" si="629"/>
        <v>0</v>
      </c>
      <c r="Q666" s="170">
        <f t="shared" si="628"/>
        <v>0</v>
      </c>
    </row>
    <row r="667" spans="2:17" s="119" customFormat="1" ht="15.75" hidden="1" thickBot="1" x14ac:dyDescent="0.3">
      <c r="B667" s="310"/>
      <c r="D667" s="117"/>
      <c r="E667" s="132"/>
      <c r="F667" s="117"/>
      <c r="G667" s="117"/>
      <c r="H667" s="118"/>
      <c r="I667" s="118"/>
      <c r="J667" s="118"/>
      <c r="K667" s="118"/>
      <c r="L667" s="118"/>
      <c r="M667" s="118"/>
      <c r="N667" s="118"/>
      <c r="O667" s="118"/>
      <c r="P667" s="118"/>
      <c r="Q667" s="118"/>
    </row>
    <row r="668" spans="2:17" s="119" customFormat="1" ht="45.75" hidden="1" thickBot="1" x14ac:dyDescent="0.3">
      <c r="B668" s="310"/>
      <c r="C668" s="119">
        <f>IF(E668&gt;0,1,0)</f>
        <v>0</v>
      </c>
      <c r="D668" s="96" t="str">
        <f>+A42</f>
        <v>Otsego</v>
      </c>
      <c r="E668" s="166">
        <f>+SUMIF(A:A,D668,B:B)</f>
        <v>0</v>
      </c>
      <c r="F668" s="98" t="s">
        <v>97</v>
      </c>
      <c r="G668" s="98" t="s">
        <v>126</v>
      </c>
      <c r="H668" s="98" t="s">
        <v>127</v>
      </c>
      <c r="I668" s="99" t="s">
        <v>128</v>
      </c>
      <c r="J668" s="99" t="s">
        <v>131</v>
      </c>
      <c r="K668" s="560" t="s">
        <v>474</v>
      </c>
      <c r="L668" s="560" t="s">
        <v>475</v>
      </c>
      <c r="M668" s="560" t="s">
        <v>476</v>
      </c>
      <c r="N668" s="560" t="s">
        <v>477</v>
      </c>
      <c r="O668" s="560" t="s">
        <v>478</v>
      </c>
      <c r="P668" s="560" t="s">
        <v>479</v>
      </c>
      <c r="Q668" s="99" t="s">
        <v>129</v>
      </c>
    </row>
    <row r="669" spans="2:17" s="119" customFormat="1" ht="19.5" hidden="1" thickBot="1" x14ac:dyDescent="0.3">
      <c r="B669" s="310"/>
      <c r="C669" s="119">
        <f>C668</f>
        <v>0</v>
      </c>
      <c r="D669" s="127"/>
      <c r="E669" s="128"/>
      <c r="F669" s="84" t="s">
        <v>57</v>
      </c>
      <c r="G669" s="84" t="s">
        <v>56</v>
      </c>
      <c r="H669" s="84" t="s">
        <v>55</v>
      </c>
      <c r="I669" s="84" t="s">
        <v>54</v>
      </c>
      <c r="J669" s="129" t="s">
        <v>53</v>
      </c>
      <c r="K669" s="129" t="s">
        <v>52</v>
      </c>
      <c r="L669" s="129" t="s">
        <v>51</v>
      </c>
      <c r="M669" s="129" t="s">
        <v>50</v>
      </c>
      <c r="N669" s="129" t="s">
        <v>49</v>
      </c>
      <c r="O669" s="129" t="s">
        <v>47</v>
      </c>
      <c r="P669" s="129" t="s">
        <v>77</v>
      </c>
      <c r="Q669" s="129" t="s">
        <v>78</v>
      </c>
    </row>
    <row r="670" spans="2:17" s="119" customFormat="1" ht="19.5" hidden="1" thickBot="1" x14ac:dyDescent="0.3">
      <c r="B670" s="310"/>
      <c r="C670" s="119">
        <f>C669</f>
        <v>0</v>
      </c>
      <c r="D670" s="133" t="s">
        <v>26</v>
      </c>
      <c r="E670" s="134"/>
      <c r="F670" s="135"/>
      <c r="G670" s="135"/>
      <c r="H670" s="136"/>
      <c r="I670" s="136"/>
      <c r="J670" s="137"/>
      <c r="K670" s="137"/>
      <c r="L670" s="137"/>
      <c r="M670" s="137"/>
      <c r="N670" s="137"/>
      <c r="O670" s="137"/>
      <c r="P670" s="137"/>
      <c r="Q670" s="138"/>
    </row>
    <row r="671" spans="2:17" s="119" customFormat="1" ht="19.5" hidden="1" thickBot="1" x14ac:dyDescent="0.3">
      <c r="B671" s="310"/>
      <c r="C671" s="119">
        <f t="shared" ref="C671:C683" si="630">C670</f>
        <v>0</v>
      </c>
      <c r="D671" s="109" t="s">
        <v>93</v>
      </c>
      <c r="E671" s="76" t="s">
        <v>57</v>
      </c>
      <c r="F671" s="168">
        <f>+F$6*$E668</f>
        <v>0</v>
      </c>
      <c r="G671" s="168">
        <f>+G$6*$E668</f>
        <v>0</v>
      </c>
      <c r="H671" s="168">
        <f>+H$6*$E668</f>
        <v>0</v>
      </c>
      <c r="I671" s="168">
        <f>+I$6*$E668</f>
        <v>0</v>
      </c>
      <c r="J671" s="168">
        <f>+J$6*$E668</f>
        <v>0</v>
      </c>
      <c r="K671" s="168">
        <f t="shared" ref="K671:P671" si="631">+K$6*$E668</f>
        <v>0</v>
      </c>
      <c r="L671" s="168">
        <f t="shared" si="631"/>
        <v>0</v>
      </c>
      <c r="M671" s="168">
        <f t="shared" si="631"/>
        <v>0</v>
      </c>
      <c r="N671" s="168">
        <f t="shared" si="631"/>
        <v>0</v>
      </c>
      <c r="O671" s="168">
        <f t="shared" si="631"/>
        <v>0</v>
      </c>
      <c r="P671" s="168">
        <f t="shared" si="631"/>
        <v>0</v>
      </c>
      <c r="Q671" s="190">
        <f>SUM(G671:P671)</f>
        <v>0</v>
      </c>
    </row>
    <row r="672" spans="2:17" s="119" customFormat="1" ht="19.5" hidden="1" thickBot="1" x14ac:dyDescent="0.3">
      <c r="B672" s="310"/>
      <c r="C672" s="119">
        <f t="shared" si="630"/>
        <v>0</v>
      </c>
      <c r="D672" s="110" t="s">
        <v>132</v>
      </c>
      <c r="E672" s="76" t="s">
        <v>56</v>
      </c>
      <c r="F672" s="168">
        <f>+F$7*$E668</f>
        <v>0</v>
      </c>
      <c r="G672" s="168">
        <f>+G$7*$E668</f>
        <v>0</v>
      </c>
      <c r="H672" s="168">
        <f>+H$7*$E668</f>
        <v>0</v>
      </c>
      <c r="I672" s="168">
        <f>+I$7*$E668</f>
        <v>0</v>
      </c>
      <c r="J672" s="168">
        <f>+J$7*$E668</f>
        <v>0</v>
      </c>
      <c r="K672" s="168">
        <f t="shared" ref="K672:P672" si="632">+K$7*$E668</f>
        <v>0</v>
      </c>
      <c r="L672" s="168">
        <f t="shared" si="632"/>
        <v>0</v>
      </c>
      <c r="M672" s="168">
        <f t="shared" si="632"/>
        <v>0</v>
      </c>
      <c r="N672" s="168">
        <f t="shared" si="632"/>
        <v>0</v>
      </c>
      <c r="O672" s="168">
        <f t="shared" si="632"/>
        <v>0</v>
      </c>
      <c r="P672" s="168">
        <f t="shared" si="632"/>
        <v>0</v>
      </c>
      <c r="Q672" s="190">
        <f>SUM(G672:P672)</f>
        <v>0</v>
      </c>
    </row>
    <row r="673" spans="2:17" s="119" customFormat="1" ht="19.5" hidden="1" thickBot="1" x14ac:dyDescent="0.3">
      <c r="B673" s="310"/>
      <c r="C673" s="119">
        <f t="shared" si="630"/>
        <v>0</v>
      </c>
      <c r="D673" s="109" t="s">
        <v>91</v>
      </c>
      <c r="E673" s="76" t="s">
        <v>55</v>
      </c>
      <c r="F673" s="168">
        <f>+F$8*$E668</f>
        <v>0</v>
      </c>
      <c r="G673" s="168">
        <f>+G$8*$E668</f>
        <v>0</v>
      </c>
      <c r="H673" s="168">
        <f>+H$8*$E668</f>
        <v>0</v>
      </c>
      <c r="I673" s="168">
        <f>+I$8*$E668</f>
        <v>0</v>
      </c>
      <c r="J673" s="168">
        <f>+J$8*$E668</f>
        <v>0</v>
      </c>
      <c r="K673" s="168">
        <f t="shared" ref="K673:P673" si="633">+K$8*$E668</f>
        <v>0</v>
      </c>
      <c r="L673" s="168">
        <f t="shared" si="633"/>
        <v>0</v>
      </c>
      <c r="M673" s="168">
        <f t="shared" si="633"/>
        <v>0</v>
      </c>
      <c r="N673" s="168">
        <f t="shared" si="633"/>
        <v>0</v>
      </c>
      <c r="O673" s="168">
        <f t="shared" si="633"/>
        <v>0</v>
      </c>
      <c r="P673" s="168">
        <f t="shared" si="633"/>
        <v>0</v>
      </c>
      <c r="Q673" s="190">
        <f>SUM(G673:P673)</f>
        <v>0</v>
      </c>
    </row>
    <row r="674" spans="2:17" s="119" customFormat="1" ht="19.5" hidden="1" thickBot="1" x14ac:dyDescent="0.3">
      <c r="B674" s="310"/>
      <c r="C674" s="119">
        <f t="shared" si="630"/>
        <v>0</v>
      </c>
      <c r="D674" s="130" t="s">
        <v>117</v>
      </c>
      <c r="E674" s="76" t="s">
        <v>54</v>
      </c>
      <c r="F674" s="168">
        <f>+F$9*$E668</f>
        <v>0</v>
      </c>
      <c r="G674" s="168">
        <f>+G$9*$E668</f>
        <v>0</v>
      </c>
      <c r="H674" s="168">
        <f>+H$9*$E668</f>
        <v>0</v>
      </c>
      <c r="I674" s="168">
        <f>+I$9*$E668</f>
        <v>0</v>
      </c>
      <c r="J674" s="168">
        <f>+J$9*$E668</f>
        <v>0</v>
      </c>
      <c r="K674" s="168">
        <f t="shared" ref="K674:P674" si="634">+K$9*$E668</f>
        <v>0</v>
      </c>
      <c r="L674" s="168">
        <f t="shared" si="634"/>
        <v>0</v>
      </c>
      <c r="M674" s="168">
        <f t="shared" si="634"/>
        <v>0</v>
      </c>
      <c r="N674" s="168">
        <f t="shared" si="634"/>
        <v>0</v>
      </c>
      <c r="O674" s="168">
        <f t="shared" si="634"/>
        <v>0</v>
      </c>
      <c r="P674" s="168">
        <f t="shared" si="634"/>
        <v>0</v>
      </c>
      <c r="Q674" s="190">
        <f>SUM(G674:P674)</f>
        <v>0</v>
      </c>
    </row>
    <row r="675" spans="2:17" s="119" customFormat="1" ht="19.5" hidden="1" thickBot="1" x14ac:dyDescent="0.3">
      <c r="B675" s="310"/>
      <c r="C675" s="119">
        <f t="shared" si="630"/>
        <v>0</v>
      </c>
      <c r="D675" s="112" t="s">
        <v>31</v>
      </c>
      <c r="E675" s="76"/>
      <c r="F675" s="167"/>
      <c r="G675" s="185"/>
      <c r="H675" s="185"/>
      <c r="I675" s="185"/>
      <c r="J675" s="185"/>
      <c r="K675" s="185"/>
      <c r="L675" s="185"/>
      <c r="M675" s="185"/>
      <c r="N675" s="185"/>
      <c r="O675" s="185"/>
      <c r="P675" s="185"/>
      <c r="Q675" s="171"/>
    </row>
    <row r="676" spans="2:17" s="119" customFormat="1" ht="19.5" hidden="1" thickBot="1" x14ac:dyDescent="0.35">
      <c r="B676" s="310"/>
      <c r="C676" s="119">
        <f t="shared" si="630"/>
        <v>0</v>
      </c>
      <c r="D676" s="125" t="s">
        <v>118</v>
      </c>
      <c r="E676" s="76" t="s">
        <v>53</v>
      </c>
      <c r="F676" s="168">
        <f>+F$11*$E668</f>
        <v>0</v>
      </c>
      <c r="G676" s="168">
        <f>+G$11*$E668</f>
        <v>0</v>
      </c>
      <c r="H676" s="168">
        <f>+H$11*$E668</f>
        <v>0</v>
      </c>
      <c r="I676" s="168">
        <f>+I$11*$E668</f>
        <v>0</v>
      </c>
      <c r="J676" s="168">
        <f>+J$11*$E668</f>
        <v>0</v>
      </c>
      <c r="K676" s="168">
        <f t="shared" ref="K676:P676" si="635">+K$11*$E668</f>
        <v>0</v>
      </c>
      <c r="L676" s="168">
        <f t="shared" si="635"/>
        <v>0</v>
      </c>
      <c r="M676" s="168">
        <f t="shared" si="635"/>
        <v>0</v>
      </c>
      <c r="N676" s="168">
        <f t="shared" si="635"/>
        <v>0</v>
      </c>
      <c r="O676" s="168">
        <f t="shared" si="635"/>
        <v>0</v>
      </c>
      <c r="P676" s="168">
        <f t="shared" si="635"/>
        <v>0</v>
      </c>
      <c r="Q676" s="190">
        <f t="shared" ref="Q676:Q682" si="636">SUM(G676:P676)</f>
        <v>0</v>
      </c>
    </row>
    <row r="677" spans="2:17" s="119" customFormat="1" ht="19.5" hidden="1" thickBot="1" x14ac:dyDescent="0.35">
      <c r="B677" s="310"/>
      <c r="C677" s="119">
        <f t="shared" si="630"/>
        <v>0</v>
      </c>
      <c r="D677" s="125" t="s">
        <v>119</v>
      </c>
      <c r="E677" s="76" t="s">
        <v>52</v>
      </c>
      <c r="F677" s="168">
        <f>+F$12*$E668</f>
        <v>0</v>
      </c>
      <c r="G677" s="168">
        <f>+G$12*$E668</f>
        <v>0</v>
      </c>
      <c r="H677" s="168">
        <f>+H$12*$E668</f>
        <v>0</v>
      </c>
      <c r="I677" s="168">
        <f>+I$12*$E668</f>
        <v>0</v>
      </c>
      <c r="J677" s="168">
        <f>+J$12*$E668</f>
        <v>0</v>
      </c>
      <c r="K677" s="168">
        <f t="shared" ref="K677:P677" si="637">+K$12*$E668</f>
        <v>0</v>
      </c>
      <c r="L677" s="168">
        <f t="shared" si="637"/>
        <v>0</v>
      </c>
      <c r="M677" s="168">
        <f t="shared" si="637"/>
        <v>0</v>
      </c>
      <c r="N677" s="168">
        <f t="shared" si="637"/>
        <v>0</v>
      </c>
      <c r="O677" s="168">
        <f t="shared" si="637"/>
        <v>0</v>
      </c>
      <c r="P677" s="168">
        <f t="shared" si="637"/>
        <v>0</v>
      </c>
      <c r="Q677" s="190">
        <f t="shared" si="636"/>
        <v>0</v>
      </c>
    </row>
    <row r="678" spans="2:17" s="119" customFormat="1" ht="19.5" hidden="1" thickBot="1" x14ac:dyDescent="0.35">
      <c r="B678" s="310"/>
      <c r="C678" s="119">
        <f t="shared" si="630"/>
        <v>0</v>
      </c>
      <c r="D678" s="125" t="s">
        <v>120</v>
      </c>
      <c r="E678" s="76" t="s">
        <v>51</v>
      </c>
      <c r="F678" s="168">
        <f>+F$13*$E668</f>
        <v>0</v>
      </c>
      <c r="G678" s="168">
        <f>+G$13*$E668</f>
        <v>0</v>
      </c>
      <c r="H678" s="168">
        <f>+H$13*$E668</f>
        <v>0</v>
      </c>
      <c r="I678" s="168">
        <f>+I$13*$E668</f>
        <v>0</v>
      </c>
      <c r="J678" s="168">
        <f>+J$13*$E668</f>
        <v>0</v>
      </c>
      <c r="K678" s="168">
        <f t="shared" ref="K678:P678" si="638">+K$13*$E668</f>
        <v>0</v>
      </c>
      <c r="L678" s="168">
        <f t="shared" si="638"/>
        <v>0</v>
      </c>
      <c r="M678" s="168">
        <f t="shared" si="638"/>
        <v>0</v>
      </c>
      <c r="N678" s="168">
        <f t="shared" si="638"/>
        <v>0</v>
      </c>
      <c r="O678" s="168">
        <f t="shared" si="638"/>
        <v>0</v>
      </c>
      <c r="P678" s="168">
        <f t="shared" si="638"/>
        <v>0</v>
      </c>
      <c r="Q678" s="190">
        <f t="shared" si="636"/>
        <v>0</v>
      </c>
    </row>
    <row r="679" spans="2:17" s="119" customFormat="1" ht="19.5" hidden="1" thickBot="1" x14ac:dyDescent="0.35">
      <c r="B679" s="310"/>
      <c r="C679" s="119">
        <f t="shared" si="630"/>
        <v>0</v>
      </c>
      <c r="D679" s="125" t="s">
        <v>121</v>
      </c>
      <c r="E679" s="76" t="s">
        <v>50</v>
      </c>
      <c r="F679" s="168">
        <f>+F$14*$E668</f>
        <v>0</v>
      </c>
      <c r="G679" s="168">
        <f>+G$14*$E668</f>
        <v>0</v>
      </c>
      <c r="H679" s="168">
        <f>+H$14*$E668</f>
        <v>0</v>
      </c>
      <c r="I679" s="168">
        <f>+I$14*$E668</f>
        <v>0</v>
      </c>
      <c r="J679" s="168">
        <f>+J$14*$E668</f>
        <v>0</v>
      </c>
      <c r="K679" s="168">
        <f t="shared" ref="K679:P679" si="639">+K$14*$E668</f>
        <v>0</v>
      </c>
      <c r="L679" s="168">
        <f t="shared" si="639"/>
        <v>0</v>
      </c>
      <c r="M679" s="168">
        <f t="shared" si="639"/>
        <v>0</v>
      </c>
      <c r="N679" s="168">
        <f t="shared" si="639"/>
        <v>0</v>
      </c>
      <c r="O679" s="168">
        <f t="shared" si="639"/>
        <v>0</v>
      </c>
      <c r="P679" s="168">
        <f t="shared" si="639"/>
        <v>0</v>
      </c>
      <c r="Q679" s="190">
        <f t="shared" si="636"/>
        <v>0</v>
      </c>
    </row>
    <row r="680" spans="2:17" s="119" customFormat="1" ht="19.5" hidden="1" thickBot="1" x14ac:dyDescent="0.35">
      <c r="B680" s="310"/>
      <c r="C680" s="119">
        <f t="shared" si="630"/>
        <v>0</v>
      </c>
      <c r="D680" s="125" t="s">
        <v>122</v>
      </c>
      <c r="E680" s="76" t="s">
        <v>49</v>
      </c>
      <c r="F680" s="168">
        <f>+F$15*$E668</f>
        <v>0</v>
      </c>
      <c r="G680" s="168">
        <f>+G$15*$E668</f>
        <v>0</v>
      </c>
      <c r="H680" s="168">
        <f>+H$15*$E668</f>
        <v>0</v>
      </c>
      <c r="I680" s="168">
        <f>+I$15*$E668</f>
        <v>0</v>
      </c>
      <c r="J680" s="168">
        <f>+J$15*$E668</f>
        <v>0</v>
      </c>
      <c r="K680" s="168">
        <f t="shared" ref="K680:P680" si="640">+K$15*$E668</f>
        <v>0</v>
      </c>
      <c r="L680" s="168">
        <f t="shared" si="640"/>
        <v>0</v>
      </c>
      <c r="M680" s="168">
        <f t="shared" si="640"/>
        <v>0</v>
      </c>
      <c r="N680" s="168">
        <f t="shared" si="640"/>
        <v>0</v>
      </c>
      <c r="O680" s="168">
        <f t="shared" si="640"/>
        <v>0</v>
      </c>
      <c r="P680" s="168">
        <f t="shared" si="640"/>
        <v>0</v>
      </c>
      <c r="Q680" s="190">
        <f t="shared" si="636"/>
        <v>0</v>
      </c>
    </row>
    <row r="681" spans="2:17" s="119" customFormat="1" ht="19.5" hidden="1" thickBot="1" x14ac:dyDescent="0.35">
      <c r="B681" s="310"/>
      <c r="C681" s="119">
        <f t="shared" si="630"/>
        <v>0</v>
      </c>
      <c r="D681" s="125" t="s">
        <v>123</v>
      </c>
      <c r="E681" s="76" t="s">
        <v>47</v>
      </c>
      <c r="F681" s="168">
        <f>+F$16*$E668</f>
        <v>0</v>
      </c>
      <c r="G681" s="168">
        <f>+G$16*$E668</f>
        <v>0</v>
      </c>
      <c r="H681" s="168">
        <f>+H$16*$E668</f>
        <v>0</v>
      </c>
      <c r="I681" s="168">
        <f>+I$16*$E668</f>
        <v>0</v>
      </c>
      <c r="J681" s="168">
        <f>+J$16*$E668</f>
        <v>0</v>
      </c>
      <c r="K681" s="168">
        <f t="shared" ref="K681:P681" si="641">+K$16*$E668</f>
        <v>0</v>
      </c>
      <c r="L681" s="168">
        <f t="shared" si="641"/>
        <v>0</v>
      </c>
      <c r="M681" s="168">
        <f t="shared" si="641"/>
        <v>0</v>
      </c>
      <c r="N681" s="168">
        <f t="shared" si="641"/>
        <v>0</v>
      </c>
      <c r="O681" s="168">
        <f t="shared" si="641"/>
        <v>0</v>
      </c>
      <c r="P681" s="168">
        <f t="shared" si="641"/>
        <v>0</v>
      </c>
      <c r="Q681" s="190">
        <f t="shared" si="636"/>
        <v>0</v>
      </c>
    </row>
    <row r="682" spans="2:17" s="119" customFormat="1" ht="19.5" hidden="1" thickBot="1" x14ac:dyDescent="0.35">
      <c r="B682" s="310"/>
      <c r="C682" s="119">
        <f t="shared" si="630"/>
        <v>0</v>
      </c>
      <c r="D682" s="125" t="s">
        <v>16</v>
      </c>
      <c r="E682" s="70" t="s">
        <v>77</v>
      </c>
      <c r="F682" s="168">
        <f>+F$17*$E668</f>
        <v>0</v>
      </c>
      <c r="G682" s="168">
        <f>+G$17*$E668</f>
        <v>0</v>
      </c>
      <c r="H682" s="168">
        <f>+H$17*$E668</f>
        <v>0</v>
      </c>
      <c r="I682" s="168">
        <f>+I$17*$E668</f>
        <v>0</v>
      </c>
      <c r="J682" s="168">
        <f>+J$17*$E668</f>
        <v>0</v>
      </c>
      <c r="K682" s="168">
        <f t="shared" ref="K682:P682" si="642">+K$17*$E668</f>
        <v>0</v>
      </c>
      <c r="L682" s="168">
        <f t="shared" si="642"/>
        <v>0</v>
      </c>
      <c r="M682" s="168">
        <f t="shared" si="642"/>
        <v>0</v>
      </c>
      <c r="N682" s="168">
        <f t="shared" si="642"/>
        <v>0</v>
      </c>
      <c r="O682" s="168">
        <f t="shared" si="642"/>
        <v>0</v>
      </c>
      <c r="P682" s="168">
        <f t="shared" si="642"/>
        <v>0</v>
      </c>
      <c r="Q682" s="190">
        <f t="shared" si="636"/>
        <v>0</v>
      </c>
    </row>
    <row r="683" spans="2:17" s="119" customFormat="1" ht="19.5" hidden="1" thickBot="1" x14ac:dyDescent="0.3">
      <c r="B683" s="310"/>
      <c r="C683" s="119">
        <f t="shared" si="630"/>
        <v>0</v>
      </c>
      <c r="D683" s="131" t="s">
        <v>124</v>
      </c>
      <c r="E683" s="116" t="s">
        <v>78</v>
      </c>
      <c r="F683" s="169">
        <f t="shared" ref="F683:Q683" si="643">SUBTOTAL(9,F671:F682)</f>
        <v>0</v>
      </c>
      <c r="G683" s="170">
        <f t="shared" si="643"/>
        <v>0</v>
      </c>
      <c r="H683" s="170">
        <f t="shared" si="643"/>
        <v>0</v>
      </c>
      <c r="I683" s="170">
        <f t="shared" si="643"/>
        <v>0</v>
      </c>
      <c r="J683" s="170">
        <f t="shared" si="643"/>
        <v>0</v>
      </c>
      <c r="K683" s="170">
        <f t="shared" ref="K683:P683" si="644">SUBTOTAL(9,K671:K682)</f>
        <v>0</v>
      </c>
      <c r="L683" s="170">
        <f t="shared" si="644"/>
        <v>0</v>
      </c>
      <c r="M683" s="170">
        <f t="shared" si="644"/>
        <v>0</v>
      </c>
      <c r="N683" s="170">
        <f t="shared" si="644"/>
        <v>0</v>
      </c>
      <c r="O683" s="170">
        <f t="shared" si="644"/>
        <v>0</v>
      </c>
      <c r="P683" s="170">
        <f t="shared" si="644"/>
        <v>0</v>
      </c>
      <c r="Q683" s="170">
        <f t="shared" si="643"/>
        <v>0</v>
      </c>
    </row>
    <row r="684" spans="2:17" s="119" customFormat="1" ht="15.75" hidden="1" thickBot="1" x14ac:dyDescent="0.3">
      <c r="B684" s="310"/>
      <c r="D684" s="117"/>
      <c r="E684" s="132"/>
      <c r="F684" s="117"/>
      <c r="G684" s="117"/>
      <c r="H684" s="118"/>
      <c r="I684" s="118"/>
      <c r="J684" s="118"/>
      <c r="K684" s="118"/>
      <c r="L684" s="118"/>
      <c r="M684" s="118"/>
      <c r="N684" s="118"/>
      <c r="O684" s="118"/>
      <c r="P684" s="118"/>
      <c r="Q684" s="118"/>
    </row>
    <row r="685" spans="2:17" s="119" customFormat="1" ht="45.75" hidden="1" thickBot="1" x14ac:dyDescent="0.3">
      <c r="B685" s="310"/>
      <c r="C685" s="119">
        <f>IF(E685&gt;0,1,0)</f>
        <v>0</v>
      </c>
      <c r="D685" s="96" t="str">
        <f>+A43</f>
        <v>Putnam</v>
      </c>
      <c r="E685" s="166">
        <f>+SUMIF(A:A,D685,B:B)</f>
        <v>0</v>
      </c>
      <c r="F685" s="98" t="s">
        <v>97</v>
      </c>
      <c r="G685" s="98" t="s">
        <v>126</v>
      </c>
      <c r="H685" s="98" t="s">
        <v>127</v>
      </c>
      <c r="I685" s="99" t="s">
        <v>128</v>
      </c>
      <c r="J685" s="99" t="s">
        <v>131</v>
      </c>
      <c r="K685" s="560" t="s">
        <v>474</v>
      </c>
      <c r="L685" s="560" t="s">
        <v>475</v>
      </c>
      <c r="M685" s="560" t="s">
        <v>476</v>
      </c>
      <c r="N685" s="560" t="s">
        <v>477</v>
      </c>
      <c r="O685" s="560" t="s">
        <v>478</v>
      </c>
      <c r="P685" s="560" t="s">
        <v>479</v>
      </c>
      <c r="Q685" s="99" t="s">
        <v>129</v>
      </c>
    </row>
    <row r="686" spans="2:17" s="119" customFormat="1" ht="19.5" hidden="1" thickBot="1" x14ac:dyDescent="0.3">
      <c r="B686" s="310"/>
      <c r="C686" s="119">
        <f>C685</f>
        <v>0</v>
      </c>
      <c r="D686" s="127"/>
      <c r="E686" s="128"/>
      <c r="F686" s="84" t="s">
        <v>57</v>
      </c>
      <c r="G686" s="84" t="s">
        <v>56</v>
      </c>
      <c r="H686" s="84" t="s">
        <v>55</v>
      </c>
      <c r="I686" s="84" t="s">
        <v>54</v>
      </c>
      <c r="J686" s="129" t="s">
        <v>53</v>
      </c>
      <c r="K686" s="129" t="s">
        <v>52</v>
      </c>
      <c r="L686" s="129" t="s">
        <v>51</v>
      </c>
      <c r="M686" s="129" t="s">
        <v>50</v>
      </c>
      <c r="N686" s="129" t="s">
        <v>49</v>
      </c>
      <c r="O686" s="129" t="s">
        <v>47</v>
      </c>
      <c r="P686" s="129" t="s">
        <v>77</v>
      </c>
      <c r="Q686" s="129" t="s">
        <v>78</v>
      </c>
    </row>
    <row r="687" spans="2:17" s="119" customFormat="1" ht="19.5" hidden="1" thickBot="1" x14ac:dyDescent="0.3">
      <c r="B687" s="310"/>
      <c r="C687" s="119">
        <f>C686</f>
        <v>0</v>
      </c>
      <c r="D687" s="133" t="s">
        <v>26</v>
      </c>
      <c r="E687" s="134"/>
      <c r="F687" s="135"/>
      <c r="G687" s="135"/>
      <c r="H687" s="136"/>
      <c r="I687" s="136"/>
      <c r="J687" s="137"/>
      <c r="K687" s="137"/>
      <c r="L687" s="137"/>
      <c r="M687" s="137"/>
      <c r="N687" s="137"/>
      <c r="O687" s="137"/>
      <c r="P687" s="137"/>
      <c r="Q687" s="138"/>
    </row>
    <row r="688" spans="2:17" s="119" customFormat="1" ht="19.5" hidden="1" thickBot="1" x14ac:dyDescent="0.3">
      <c r="B688" s="310"/>
      <c r="C688" s="119">
        <f t="shared" ref="C688:C700" si="645">C687</f>
        <v>0</v>
      </c>
      <c r="D688" s="109" t="s">
        <v>93</v>
      </c>
      <c r="E688" s="76" t="s">
        <v>57</v>
      </c>
      <c r="F688" s="168">
        <f>+F$6*$E685</f>
        <v>0</v>
      </c>
      <c r="G688" s="168">
        <f>+G$6*$E685</f>
        <v>0</v>
      </c>
      <c r="H688" s="168">
        <f>+H$6*$E685</f>
        <v>0</v>
      </c>
      <c r="I688" s="168">
        <f>+I$6*$E685</f>
        <v>0</v>
      </c>
      <c r="J688" s="168">
        <f>+J$6*$E685</f>
        <v>0</v>
      </c>
      <c r="K688" s="168">
        <f t="shared" ref="K688:P688" si="646">+K$6*$E685</f>
        <v>0</v>
      </c>
      <c r="L688" s="168">
        <f t="shared" si="646"/>
        <v>0</v>
      </c>
      <c r="M688" s="168">
        <f t="shared" si="646"/>
        <v>0</v>
      </c>
      <c r="N688" s="168">
        <f t="shared" si="646"/>
        <v>0</v>
      </c>
      <c r="O688" s="168">
        <f t="shared" si="646"/>
        <v>0</v>
      </c>
      <c r="P688" s="168">
        <f t="shared" si="646"/>
        <v>0</v>
      </c>
      <c r="Q688" s="190">
        <f>SUM(G688:P688)</f>
        <v>0</v>
      </c>
    </row>
    <row r="689" spans="3:20" ht="19.5" hidden="1" thickBot="1" x14ac:dyDescent="0.3">
      <c r="C689" s="119">
        <f t="shared" si="645"/>
        <v>0</v>
      </c>
      <c r="D689" s="110" t="s">
        <v>132</v>
      </c>
      <c r="E689" s="76" t="s">
        <v>56</v>
      </c>
      <c r="F689" s="168">
        <f>+F$7*$E685</f>
        <v>0</v>
      </c>
      <c r="G689" s="168">
        <f>+G$7*$E685</f>
        <v>0</v>
      </c>
      <c r="H689" s="168">
        <f>+H$7*$E685</f>
        <v>0</v>
      </c>
      <c r="I689" s="168">
        <f>+I$7*$E685</f>
        <v>0</v>
      </c>
      <c r="J689" s="168">
        <f>+J$7*$E685</f>
        <v>0</v>
      </c>
      <c r="K689" s="168">
        <f t="shared" ref="K689:P689" si="647">+K$7*$E685</f>
        <v>0</v>
      </c>
      <c r="L689" s="168">
        <f t="shared" si="647"/>
        <v>0</v>
      </c>
      <c r="M689" s="168">
        <f t="shared" si="647"/>
        <v>0</v>
      </c>
      <c r="N689" s="168">
        <f t="shared" si="647"/>
        <v>0</v>
      </c>
      <c r="O689" s="168">
        <f t="shared" si="647"/>
        <v>0</v>
      </c>
      <c r="P689" s="168">
        <f t="shared" si="647"/>
        <v>0</v>
      </c>
      <c r="Q689" s="190">
        <f>SUM(G689:P689)</f>
        <v>0</v>
      </c>
      <c r="R689" s="119"/>
      <c r="S689" s="119"/>
      <c r="T689" s="119"/>
    </row>
    <row r="690" spans="3:20" ht="19.5" hidden="1" thickBot="1" x14ac:dyDescent="0.3">
      <c r="C690" s="119">
        <f t="shared" si="645"/>
        <v>0</v>
      </c>
      <c r="D690" s="109" t="s">
        <v>91</v>
      </c>
      <c r="E690" s="76" t="s">
        <v>55</v>
      </c>
      <c r="F690" s="168">
        <f>+F$8*$E685</f>
        <v>0</v>
      </c>
      <c r="G690" s="168">
        <f>+G$8*$E685</f>
        <v>0</v>
      </c>
      <c r="H690" s="168">
        <f>+H$8*$E685</f>
        <v>0</v>
      </c>
      <c r="I690" s="168">
        <f>+I$8*$E685</f>
        <v>0</v>
      </c>
      <c r="J690" s="168">
        <f>+J$8*$E685</f>
        <v>0</v>
      </c>
      <c r="K690" s="168">
        <f t="shared" ref="K690:P690" si="648">+K$8*$E685</f>
        <v>0</v>
      </c>
      <c r="L690" s="168">
        <f t="shared" si="648"/>
        <v>0</v>
      </c>
      <c r="M690" s="168">
        <f t="shared" si="648"/>
        <v>0</v>
      </c>
      <c r="N690" s="168">
        <f t="shared" si="648"/>
        <v>0</v>
      </c>
      <c r="O690" s="168">
        <f t="shared" si="648"/>
        <v>0</v>
      </c>
      <c r="P690" s="168">
        <f t="shared" si="648"/>
        <v>0</v>
      </c>
      <c r="Q690" s="190">
        <f>SUM(G690:P690)</f>
        <v>0</v>
      </c>
      <c r="R690" s="119"/>
      <c r="S690" s="119"/>
      <c r="T690" s="119"/>
    </row>
    <row r="691" spans="3:20" ht="19.5" hidden="1" thickBot="1" x14ac:dyDescent="0.3">
      <c r="C691" s="119">
        <f t="shared" si="645"/>
        <v>0</v>
      </c>
      <c r="D691" s="130" t="s">
        <v>117</v>
      </c>
      <c r="E691" s="76" t="s">
        <v>54</v>
      </c>
      <c r="F691" s="168">
        <f>+F$9*$E685</f>
        <v>0</v>
      </c>
      <c r="G691" s="168">
        <f>+G$9*$E685</f>
        <v>0</v>
      </c>
      <c r="H691" s="168">
        <f>+H$9*$E685</f>
        <v>0</v>
      </c>
      <c r="I691" s="168">
        <f>+I$9*$E685</f>
        <v>0</v>
      </c>
      <c r="J691" s="168">
        <f>+J$9*$E685</f>
        <v>0</v>
      </c>
      <c r="K691" s="168">
        <f t="shared" ref="K691:P691" si="649">+K$9*$E685</f>
        <v>0</v>
      </c>
      <c r="L691" s="168">
        <f t="shared" si="649"/>
        <v>0</v>
      </c>
      <c r="M691" s="168">
        <f t="shared" si="649"/>
        <v>0</v>
      </c>
      <c r="N691" s="168">
        <f t="shared" si="649"/>
        <v>0</v>
      </c>
      <c r="O691" s="168">
        <f t="shared" si="649"/>
        <v>0</v>
      </c>
      <c r="P691" s="168">
        <f t="shared" si="649"/>
        <v>0</v>
      </c>
      <c r="Q691" s="190">
        <f>SUM(G691:P691)</f>
        <v>0</v>
      </c>
      <c r="R691" s="119"/>
      <c r="S691" s="119"/>
      <c r="T691" s="119"/>
    </row>
    <row r="692" spans="3:20" ht="19.5" hidden="1" thickBot="1" x14ac:dyDescent="0.3">
      <c r="C692" s="119">
        <f t="shared" si="645"/>
        <v>0</v>
      </c>
      <c r="D692" s="112" t="s">
        <v>31</v>
      </c>
      <c r="E692" s="76"/>
      <c r="F692" s="167"/>
      <c r="G692" s="185"/>
      <c r="H692" s="185"/>
      <c r="I692" s="185"/>
      <c r="J692" s="185"/>
      <c r="K692" s="185"/>
      <c r="L692" s="185"/>
      <c r="M692" s="185"/>
      <c r="N692" s="185"/>
      <c r="O692" s="185"/>
      <c r="P692" s="185"/>
      <c r="Q692" s="171"/>
      <c r="R692" s="119"/>
      <c r="S692" s="119"/>
      <c r="T692" s="119"/>
    </row>
    <row r="693" spans="3:20" ht="19.5" hidden="1" thickBot="1" x14ac:dyDescent="0.35">
      <c r="C693" s="119">
        <f t="shared" si="645"/>
        <v>0</v>
      </c>
      <c r="D693" s="125" t="s">
        <v>118</v>
      </c>
      <c r="E693" s="76" t="s">
        <v>53</v>
      </c>
      <c r="F693" s="168">
        <f>+F$11*$E685</f>
        <v>0</v>
      </c>
      <c r="G693" s="168">
        <f>+G$11*$E685</f>
        <v>0</v>
      </c>
      <c r="H693" s="168">
        <f>+H$11*$E685</f>
        <v>0</v>
      </c>
      <c r="I693" s="168">
        <f>+I$11*$E685</f>
        <v>0</v>
      </c>
      <c r="J693" s="168">
        <f>+J$11*$E685</f>
        <v>0</v>
      </c>
      <c r="K693" s="168">
        <f t="shared" ref="K693:P693" si="650">+K$11*$E685</f>
        <v>0</v>
      </c>
      <c r="L693" s="168">
        <f t="shared" si="650"/>
        <v>0</v>
      </c>
      <c r="M693" s="168">
        <f t="shared" si="650"/>
        <v>0</v>
      </c>
      <c r="N693" s="168">
        <f t="shared" si="650"/>
        <v>0</v>
      </c>
      <c r="O693" s="168">
        <f t="shared" si="650"/>
        <v>0</v>
      </c>
      <c r="P693" s="168">
        <f t="shared" si="650"/>
        <v>0</v>
      </c>
      <c r="Q693" s="190">
        <f t="shared" ref="Q693:Q699" si="651">SUM(G693:P693)</f>
        <v>0</v>
      </c>
      <c r="R693" s="119"/>
      <c r="S693" s="119"/>
      <c r="T693" s="119"/>
    </row>
    <row r="694" spans="3:20" ht="19.5" hidden="1" thickBot="1" x14ac:dyDescent="0.35">
      <c r="C694" s="119">
        <f t="shared" si="645"/>
        <v>0</v>
      </c>
      <c r="D694" s="125" t="s">
        <v>119</v>
      </c>
      <c r="E694" s="76" t="s">
        <v>52</v>
      </c>
      <c r="F694" s="168">
        <f>+F$12*$E685</f>
        <v>0</v>
      </c>
      <c r="G694" s="168">
        <f>+G$12*$E685</f>
        <v>0</v>
      </c>
      <c r="H694" s="168">
        <f>+H$12*$E685</f>
        <v>0</v>
      </c>
      <c r="I694" s="168">
        <f>+I$12*$E685</f>
        <v>0</v>
      </c>
      <c r="J694" s="168">
        <f>+J$12*$E685</f>
        <v>0</v>
      </c>
      <c r="K694" s="168">
        <f t="shared" ref="K694:P694" si="652">+K$12*$E685</f>
        <v>0</v>
      </c>
      <c r="L694" s="168">
        <f t="shared" si="652"/>
        <v>0</v>
      </c>
      <c r="M694" s="168">
        <f t="shared" si="652"/>
        <v>0</v>
      </c>
      <c r="N694" s="168">
        <f t="shared" si="652"/>
        <v>0</v>
      </c>
      <c r="O694" s="168">
        <f t="shared" si="652"/>
        <v>0</v>
      </c>
      <c r="P694" s="168">
        <f t="shared" si="652"/>
        <v>0</v>
      </c>
      <c r="Q694" s="190">
        <f t="shared" si="651"/>
        <v>0</v>
      </c>
      <c r="R694" s="119"/>
      <c r="S694" s="119"/>
      <c r="T694" s="119"/>
    </row>
    <row r="695" spans="3:20" ht="19.5" hidden="1" thickBot="1" x14ac:dyDescent="0.35">
      <c r="C695" s="119">
        <f t="shared" si="645"/>
        <v>0</v>
      </c>
      <c r="D695" s="125" t="s">
        <v>120</v>
      </c>
      <c r="E695" s="76" t="s">
        <v>51</v>
      </c>
      <c r="F695" s="168">
        <f>+F$13*$E685</f>
        <v>0</v>
      </c>
      <c r="G695" s="168">
        <f>+G$13*$E685</f>
        <v>0</v>
      </c>
      <c r="H695" s="168">
        <f>+H$13*$E685</f>
        <v>0</v>
      </c>
      <c r="I695" s="168">
        <f>+I$13*$E685</f>
        <v>0</v>
      </c>
      <c r="J695" s="168">
        <f>+J$13*$E685</f>
        <v>0</v>
      </c>
      <c r="K695" s="168">
        <f t="shared" ref="K695:P695" si="653">+K$13*$E685</f>
        <v>0</v>
      </c>
      <c r="L695" s="168">
        <f t="shared" si="653"/>
        <v>0</v>
      </c>
      <c r="M695" s="168">
        <f t="shared" si="653"/>
        <v>0</v>
      </c>
      <c r="N695" s="168">
        <f t="shared" si="653"/>
        <v>0</v>
      </c>
      <c r="O695" s="168">
        <f t="shared" si="653"/>
        <v>0</v>
      </c>
      <c r="P695" s="168">
        <f t="shared" si="653"/>
        <v>0</v>
      </c>
      <c r="Q695" s="190">
        <f t="shared" si="651"/>
        <v>0</v>
      </c>
      <c r="R695" s="119"/>
      <c r="S695" s="119"/>
      <c r="T695" s="119"/>
    </row>
    <row r="696" spans="3:20" ht="19.5" hidden="1" thickBot="1" x14ac:dyDescent="0.35">
      <c r="C696" s="119">
        <f t="shared" si="645"/>
        <v>0</v>
      </c>
      <c r="D696" s="125" t="s">
        <v>121</v>
      </c>
      <c r="E696" s="76" t="s">
        <v>50</v>
      </c>
      <c r="F696" s="168">
        <f>+F$14*$E685</f>
        <v>0</v>
      </c>
      <c r="G696" s="168">
        <f>+G$14*$E685</f>
        <v>0</v>
      </c>
      <c r="H696" s="168">
        <f>+H$14*$E685</f>
        <v>0</v>
      </c>
      <c r="I696" s="168">
        <f>+I$14*$E685</f>
        <v>0</v>
      </c>
      <c r="J696" s="168">
        <f>+J$14*$E685</f>
        <v>0</v>
      </c>
      <c r="K696" s="168">
        <f t="shared" ref="K696:P696" si="654">+K$14*$E685</f>
        <v>0</v>
      </c>
      <c r="L696" s="168">
        <f t="shared" si="654"/>
        <v>0</v>
      </c>
      <c r="M696" s="168">
        <f t="shared" si="654"/>
        <v>0</v>
      </c>
      <c r="N696" s="168">
        <f t="shared" si="654"/>
        <v>0</v>
      </c>
      <c r="O696" s="168">
        <f t="shared" si="654"/>
        <v>0</v>
      </c>
      <c r="P696" s="168">
        <f t="shared" si="654"/>
        <v>0</v>
      </c>
      <c r="Q696" s="190">
        <f t="shared" si="651"/>
        <v>0</v>
      </c>
      <c r="R696" s="119"/>
      <c r="S696" s="119"/>
      <c r="T696" s="119"/>
    </row>
    <row r="697" spans="3:20" ht="19.5" hidden="1" thickBot="1" x14ac:dyDescent="0.35">
      <c r="C697" s="119">
        <f t="shared" si="645"/>
        <v>0</v>
      </c>
      <c r="D697" s="125" t="s">
        <v>122</v>
      </c>
      <c r="E697" s="76" t="s">
        <v>49</v>
      </c>
      <c r="F697" s="168">
        <f>+F$15*$E685</f>
        <v>0</v>
      </c>
      <c r="G697" s="168">
        <f>+G$15*$E685</f>
        <v>0</v>
      </c>
      <c r="H697" s="168">
        <f>+H$15*$E685</f>
        <v>0</v>
      </c>
      <c r="I697" s="168">
        <f>+I$15*$E685</f>
        <v>0</v>
      </c>
      <c r="J697" s="168">
        <f>+J$15*$E685</f>
        <v>0</v>
      </c>
      <c r="K697" s="168">
        <f t="shared" ref="K697:P697" si="655">+K$15*$E685</f>
        <v>0</v>
      </c>
      <c r="L697" s="168">
        <f t="shared" si="655"/>
        <v>0</v>
      </c>
      <c r="M697" s="168">
        <f t="shared" si="655"/>
        <v>0</v>
      </c>
      <c r="N697" s="168">
        <f t="shared" si="655"/>
        <v>0</v>
      </c>
      <c r="O697" s="168">
        <f t="shared" si="655"/>
        <v>0</v>
      </c>
      <c r="P697" s="168">
        <f t="shared" si="655"/>
        <v>0</v>
      </c>
      <c r="Q697" s="190">
        <f t="shared" si="651"/>
        <v>0</v>
      </c>
      <c r="R697" s="119"/>
      <c r="S697" s="119"/>
      <c r="T697" s="119"/>
    </row>
    <row r="698" spans="3:20" ht="19.5" hidden="1" thickBot="1" x14ac:dyDescent="0.35">
      <c r="C698" s="119">
        <f t="shared" si="645"/>
        <v>0</v>
      </c>
      <c r="D698" s="125" t="s">
        <v>123</v>
      </c>
      <c r="E698" s="76" t="s">
        <v>47</v>
      </c>
      <c r="F698" s="168">
        <f>+F$16*$E685</f>
        <v>0</v>
      </c>
      <c r="G698" s="168">
        <f>+G$16*$E685</f>
        <v>0</v>
      </c>
      <c r="H698" s="168">
        <f>+H$16*$E685</f>
        <v>0</v>
      </c>
      <c r="I698" s="168">
        <f>+I$16*$E685</f>
        <v>0</v>
      </c>
      <c r="J698" s="168">
        <f>+J$16*$E685</f>
        <v>0</v>
      </c>
      <c r="K698" s="168">
        <f t="shared" ref="K698:P698" si="656">+K$16*$E685</f>
        <v>0</v>
      </c>
      <c r="L698" s="168">
        <f t="shared" si="656"/>
        <v>0</v>
      </c>
      <c r="M698" s="168">
        <f t="shared" si="656"/>
        <v>0</v>
      </c>
      <c r="N698" s="168">
        <f t="shared" si="656"/>
        <v>0</v>
      </c>
      <c r="O698" s="168">
        <f t="shared" si="656"/>
        <v>0</v>
      </c>
      <c r="P698" s="168">
        <f t="shared" si="656"/>
        <v>0</v>
      </c>
      <c r="Q698" s="190">
        <f t="shared" si="651"/>
        <v>0</v>
      </c>
      <c r="R698" s="119"/>
      <c r="S698" s="119"/>
      <c r="T698" s="119"/>
    </row>
    <row r="699" spans="3:20" ht="19.5" hidden="1" thickBot="1" x14ac:dyDescent="0.35">
      <c r="C699" s="119">
        <f t="shared" si="645"/>
        <v>0</v>
      </c>
      <c r="D699" s="125" t="s">
        <v>16</v>
      </c>
      <c r="E699" s="70" t="s">
        <v>77</v>
      </c>
      <c r="F699" s="168">
        <f>+F$17*$E685</f>
        <v>0</v>
      </c>
      <c r="G699" s="168">
        <f>+G$17*$E685</f>
        <v>0</v>
      </c>
      <c r="H699" s="168">
        <f>+H$17*$E685</f>
        <v>0</v>
      </c>
      <c r="I699" s="168">
        <f>+I$17*$E685</f>
        <v>0</v>
      </c>
      <c r="J699" s="168">
        <f>+J$17*$E685</f>
        <v>0</v>
      </c>
      <c r="K699" s="168">
        <f t="shared" ref="K699:P699" si="657">+K$17*$E685</f>
        <v>0</v>
      </c>
      <c r="L699" s="168">
        <f t="shared" si="657"/>
        <v>0</v>
      </c>
      <c r="M699" s="168">
        <f t="shared" si="657"/>
        <v>0</v>
      </c>
      <c r="N699" s="168">
        <f t="shared" si="657"/>
        <v>0</v>
      </c>
      <c r="O699" s="168">
        <f t="shared" si="657"/>
        <v>0</v>
      </c>
      <c r="P699" s="168">
        <f t="shared" si="657"/>
        <v>0</v>
      </c>
      <c r="Q699" s="190">
        <f t="shared" si="651"/>
        <v>0</v>
      </c>
      <c r="R699" s="119"/>
      <c r="S699" s="119"/>
      <c r="T699" s="119"/>
    </row>
    <row r="700" spans="3:20" ht="19.5" hidden="1" thickBot="1" x14ac:dyDescent="0.3">
      <c r="C700" s="119">
        <f t="shared" si="645"/>
        <v>0</v>
      </c>
      <c r="D700" s="131" t="s">
        <v>124</v>
      </c>
      <c r="E700" s="116" t="s">
        <v>78</v>
      </c>
      <c r="F700" s="169">
        <f t="shared" ref="F700:Q700" si="658">SUBTOTAL(9,F688:F699)</f>
        <v>0</v>
      </c>
      <c r="G700" s="170">
        <f t="shared" si="658"/>
        <v>0</v>
      </c>
      <c r="H700" s="170">
        <f t="shared" si="658"/>
        <v>0</v>
      </c>
      <c r="I700" s="170">
        <f t="shared" si="658"/>
        <v>0</v>
      </c>
      <c r="J700" s="170">
        <f t="shared" si="658"/>
        <v>0</v>
      </c>
      <c r="K700" s="170">
        <f t="shared" ref="K700:P700" si="659">SUBTOTAL(9,K688:K699)</f>
        <v>0</v>
      </c>
      <c r="L700" s="170">
        <f t="shared" si="659"/>
        <v>0</v>
      </c>
      <c r="M700" s="170">
        <f t="shared" si="659"/>
        <v>0</v>
      </c>
      <c r="N700" s="170">
        <f t="shared" si="659"/>
        <v>0</v>
      </c>
      <c r="O700" s="170">
        <f t="shared" si="659"/>
        <v>0</v>
      </c>
      <c r="P700" s="170">
        <f t="shared" si="659"/>
        <v>0</v>
      </c>
      <c r="Q700" s="170">
        <f t="shared" si="658"/>
        <v>0</v>
      </c>
      <c r="R700" s="119"/>
      <c r="S700" s="119"/>
      <c r="T700" s="119"/>
    </row>
    <row r="701" spans="3:20" ht="15.75" hidden="1" thickBot="1" x14ac:dyDescent="0.3">
      <c r="R701" s="119"/>
      <c r="S701" s="119"/>
      <c r="T701" s="119"/>
    </row>
    <row r="702" spans="3:20" ht="45" x14ac:dyDescent="0.25">
      <c r="C702" s="119">
        <f>IF(E702&gt;0,1,0)</f>
        <v>1</v>
      </c>
      <c r="D702" s="96" t="str">
        <f>+A44</f>
        <v>Queens</v>
      </c>
      <c r="E702" s="166">
        <f>+SUMIF(A:A,D702,B:B)</f>
        <v>0.18616689504483311</v>
      </c>
      <c r="F702" s="98" t="s">
        <v>97</v>
      </c>
      <c r="G702" s="98" t="s">
        <v>126</v>
      </c>
      <c r="H702" s="98" t="s">
        <v>127</v>
      </c>
      <c r="I702" s="99" t="s">
        <v>128</v>
      </c>
      <c r="J702" s="99" t="s">
        <v>131</v>
      </c>
      <c r="K702" s="560" t="s">
        <v>474</v>
      </c>
      <c r="L702" s="560" t="s">
        <v>475</v>
      </c>
      <c r="M702" s="560" t="s">
        <v>476</v>
      </c>
      <c r="N702" s="560" t="s">
        <v>477</v>
      </c>
      <c r="O702" s="560" t="s">
        <v>478</v>
      </c>
      <c r="P702" s="560" t="s">
        <v>479</v>
      </c>
      <c r="Q702" s="99" t="s">
        <v>129</v>
      </c>
    </row>
    <row r="703" spans="3:20" ht="18.75" x14ac:dyDescent="0.25">
      <c r="C703" s="119">
        <f>C702</f>
        <v>1</v>
      </c>
      <c r="D703" s="127"/>
      <c r="E703" s="128"/>
      <c r="F703" s="84" t="s">
        <v>57</v>
      </c>
      <c r="G703" s="84" t="s">
        <v>56</v>
      </c>
      <c r="H703" s="84" t="s">
        <v>55</v>
      </c>
      <c r="I703" s="84" t="s">
        <v>54</v>
      </c>
      <c r="J703" s="129" t="s">
        <v>53</v>
      </c>
      <c r="K703" s="129" t="s">
        <v>52</v>
      </c>
      <c r="L703" s="129" t="s">
        <v>51</v>
      </c>
      <c r="M703" s="129" t="s">
        <v>50</v>
      </c>
      <c r="N703" s="129" t="s">
        <v>49</v>
      </c>
      <c r="O703" s="129" t="s">
        <v>47</v>
      </c>
      <c r="P703" s="129" t="s">
        <v>77</v>
      </c>
      <c r="Q703" s="129" t="s">
        <v>78</v>
      </c>
    </row>
    <row r="704" spans="3:20" ht="18.75" x14ac:dyDescent="0.25">
      <c r="C704" s="119">
        <f>C703</f>
        <v>1</v>
      </c>
      <c r="D704" s="133" t="s">
        <v>26</v>
      </c>
      <c r="E704" s="134"/>
      <c r="F704" s="135"/>
      <c r="G704" s="135"/>
      <c r="H704" s="136"/>
      <c r="I704" s="136"/>
      <c r="J704" s="137"/>
      <c r="K704" s="137"/>
      <c r="L704" s="137"/>
      <c r="M704" s="137"/>
      <c r="N704" s="137"/>
      <c r="O704" s="137"/>
      <c r="P704" s="137"/>
      <c r="Q704" s="138"/>
    </row>
    <row r="705" spans="3:20" ht="18.75" x14ac:dyDescent="0.25">
      <c r="C705" s="119">
        <f t="shared" ref="C705:C717" si="660">C704</f>
        <v>1</v>
      </c>
      <c r="D705" s="109" t="s">
        <v>93</v>
      </c>
      <c r="E705" s="76" t="s">
        <v>57</v>
      </c>
      <c r="F705" s="168">
        <f>+F$6*$E702</f>
        <v>649.13242831838556</v>
      </c>
      <c r="G705" s="168">
        <f>+G$6*$E702</f>
        <v>1247586.3273943081</v>
      </c>
      <c r="H705" s="168">
        <f>+H$6*$E702</f>
        <v>58125.236477820232</v>
      </c>
      <c r="I705" s="168">
        <f>+I$6*$E702</f>
        <v>197.67759416545513</v>
      </c>
      <c r="J705" s="168">
        <f>+J$6*$E702</f>
        <v>20857.868978825289</v>
      </c>
      <c r="K705" s="168">
        <f t="shared" ref="K705:P705" si="661">+K$6*$E702</f>
        <v>22889.061503901441</v>
      </c>
      <c r="L705" s="168">
        <f t="shared" si="661"/>
        <v>534.8109477400443</v>
      </c>
      <c r="M705" s="168">
        <f t="shared" si="661"/>
        <v>0</v>
      </c>
      <c r="N705" s="168">
        <f t="shared" si="661"/>
        <v>4.4680054810759948</v>
      </c>
      <c r="O705" s="168">
        <f t="shared" si="661"/>
        <v>0</v>
      </c>
      <c r="P705" s="168">
        <f t="shared" si="661"/>
        <v>0</v>
      </c>
      <c r="Q705" s="190">
        <f>SUM(G705:P705)</f>
        <v>1350195.4509022417</v>
      </c>
    </row>
    <row r="706" spans="3:20" ht="18.75" x14ac:dyDescent="0.25">
      <c r="C706" s="119">
        <f t="shared" si="660"/>
        <v>1</v>
      </c>
      <c r="D706" s="110" t="s">
        <v>132</v>
      </c>
      <c r="E706" s="76" t="s">
        <v>56</v>
      </c>
      <c r="F706" s="168">
        <f>+F$7*$E702</f>
        <v>0</v>
      </c>
      <c r="G706" s="168">
        <f>+G$7*$E702</f>
        <v>0</v>
      </c>
      <c r="H706" s="168">
        <f>+H$7*$E702</f>
        <v>0</v>
      </c>
      <c r="I706" s="168">
        <f>+I$7*$E702</f>
        <v>0</v>
      </c>
      <c r="J706" s="168">
        <f>+J$7*$E702</f>
        <v>0</v>
      </c>
      <c r="K706" s="168">
        <f t="shared" ref="K706:P706" si="662">+K$7*$E702</f>
        <v>0</v>
      </c>
      <c r="L706" s="168">
        <f t="shared" si="662"/>
        <v>0</v>
      </c>
      <c r="M706" s="168">
        <f t="shared" si="662"/>
        <v>0</v>
      </c>
      <c r="N706" s="168">
        <f t="shared" si="662"/>
        <v>0</v>
      </c>
      <c r="O706" s="168">
        <f t="shared" si="662"/>
        <v>0</v>
      </c>
      <c r="P706" s="168">
        <f t="shared" si="662"/>
        <v>0</v>
      </c>
      <c r="Q706" s="190">
        <f>SUM(G706:P706)</f>
        <v>0</v>
      </c>
    </row>
    <row r="707" spans="3:20" ht="18.75" x14ac:dyDescent="0.25">
      <c r="C707" s="119">
        <f t="shared" si="660"/>
        <v>1</v>
      </c>
      <c r="D707" s="109" t="s">
        <v>91</v>
      </c>
      <c r="E707" s="76" t="s">
        <v>55</v>
      </c>
      <c r="F707" s="168">
        <f>+F$8*$E702</f>
        <v>0.81123567065509905</v>
      </c>
      <c r="G707" s="168">
        <f>+G$8*$E702</f>
        <v>1654.7909883297602</v>
      </c>
      <c r="H707" s="168">
        <f>+H$8*$E702</f>
        <v>0</v>
      </c>
      <c r="I707" s="168">
        <f>+I$8*$E702</f>
        <v>0</v>
      </c>
      <c r="J707" s="168">
        <f>+J$8*$E702</f>
        <v>25.13253083105247</v>
      </c>
      <c r="K707" s="168">
        <f t="shared" ref="K707:P707" si="663">+K$8*$E702</f>
        <v>7.4466758017933241</v>
      </c>
      <c r="L707" s="168">
        <f t="shared" si="663"/>
        <v>0</v>
      </c>
      <c r="M707" s="168">
        <f t="shared" si="663"/>
        <v>0</v>
      </c>
      <c r="N707" s="168">
        <f t="shared" si="663"/>
        <v>0</v>
      </c>
      <c r="O707" s="168">
        <f t="shared" si="663"/>
        <v>0</v>
      </c>
      <c r="P707" s="168">
        <f t="shared" si="663"/>
        <v>0</v>
      </c>
      <c r="Q707" s="190">
        <f>SUM(G707:P707)</f>
        <v>1687.3701949626061</v>
      </c>
    </row>
    <row r="708" spans="3:20" ht="18.75" x14ac:dyDescent="0.25">
      <c r="C708" s="119">
        <f t="shared" si="660"/>
        <v>1</v>
      </c>
      <c r="D708" s="130" t="s">
        <v>117</v>
      </c>
      <c r="E708" s="76" t="s">
        <v>54</v>
      </c>
      <c r="F708" s="168">
        <f>+F$9*$E702</f>
        <v>0</v>
      </c>
      <c r="G708" s="168">
        <f>+G$9*$E702</f>
        <v>0</v>
      </c>
      <c r="H708" s="168">
        <f>+H$9*$E702</f>
        <v>0</v>
      </c>
      <c r="I708" s="168">
        <f>+I$9*$E702</f>
        <v>0</v>
      </c>
      <c r="J708" s="168">
        <f>+J$9*$E702</f>
        <v>0</v>
      </c>
      <c r="K708" s="168">
        <f t="shared" ref="K708:P708" si="664">+K$9*$E702</f>
        <v>0</v>
      </c>
      <c r="L708" s="168">
        <f t="shared" si="664"/>
        <v>0</v>
      </c>
      <c r="M708" s="168">
        <f t="shared" si="664"/>
        <v>0</v>
      </c>
      <c r="N708" s="168">
        <f t="shared" si="664"/>
        <v>0</v>
      </c>
      <c r="O708" s="168">
        <f t="shared" si="664"/>
        <v>0</v>
      </c>
      <c r="P708" s="168">
        <f t="shared" si="664"/>
        <v>0</v>
      </c>
      <c r="Q708" s="190">
        <f>SUM(G708:P708)</f>
        <v>0</v>
      </c>
    </row>
    <row r="709" spans="3:20" ht="18.75" x14ac:dyDescent="0.25">
      <c r="C709" s="119">
        <f t="shared" si="660"/>
        <v>1</v>
      </c>
      <c r="D709" s="112" t="s">
        <v>31</v>
      </c>
      <c r="E709" s="76"/>
      <c r="F709" s="167"/>
      <c r="G709" s="185"/>
      <c r="H709" s="185"/>
      <c r="I709" s="185"/>
      <c r="J709" s="185"/>
      <c r="K709" s="185"/>
      <c r="L709" s="185"/>
      <c r="M709" s="185"/>
      <c r="N709" s="185"/>
      <c r="O709" s="185"/>
      <c r="P709" s="185"/>
      <c r="Q709" s="171"/>
    </row>
    <row r="710" spans="3:20" ht="18.75" x14ac:dyDescent="0.3">
      <c r="C710" s="119">
        <f t="shared" si="660"/>
        <v>1</v>
      </c>
      <c r="D710" s="125" t="s">
        <v>118</v>
      </c>
      <c r="E710" s="76" t="s">
        <v>53</v>
      </c>
      <c r="F710" s="168">
        <f>+F$11*$E702</f>
        <v>0</v>
      </c>
      <c r="G710" s="168">
        <f>+G$11*$E702</f>
        <v>0</v>
      </c>
      <c r="H710" s="168">
        <f>+H$11*$E702</f>
        <v>0</v>
      </c>
      <c r="I710" s="168">
        <f>+I$11*$E702</f>
        <v>0</v>
      </c>
      <c r="J710" s="168">
        <f>+J$11*$E702</f>
        <v>0</v>
      </c>
      <c r="K710" s="168">
        <f t="shared" ref="K710:P710" si="665">+K$11*$E702</f>
        <v>0</v>
      </c>
      <c r="L710" s="168">
        <f t="shared" si="665"/>
        <v>0</v>
      </c>
      <c r="M710" s="168">
        <f t="shared" si="665"/>
        <v>0</v>
      </c>
      <c r="N710" s="168">
        <f t="shared" si="665"/>
        <v>0</v>
      </c>
      <c r="O710" s="168">
        <f t="shared" si="665"/>
        <v>0</v>
      </c>
      <c r="P710" s="168">
        <f t="shared" si="665"/>
        <v>0</v>
      </c>
      <c r="Q710" s="190">
        <f t="shared" ref="Q710:Q716" si="666">SUM(G710:P710)</f>
        <v>0</v>
      </c>
    </row>
    <row r="711" spans="3:20" ht="18.75" x14ac:dyDescent="0.3">
      <c r="C711" s="119">
        <f t="shared" si="660"/>
        <v>1</v>
      </c>
      <c r="D711" s="125" t="s">
        <v>119</v>
      </c>
      <c r="E711" s="76" t="s">
        <v>52</v>
      </c>
      <c r="F711" s="168">
        <f>+F$12*$E702</f>
        <v>0</v>
      </c>
      <c r="G711" s="168">
        <f>+G$12*$E702</f>
        <v>0</v>
      </c>
      <c r="H711" s="168">
        <f>+H$12*$E702</f>
        <v>0</v>
      </c>
      <c r="I711" s="168">
        <f>+I$12*$E702</f>
        <v>0</v>
      </c>
      <c r="J711" s="168">
        <f>+J$12*$E702</f>
        <v>0</v>
      </c>
      <c r="K711" s="168">
        <f t="shared" ref="K711:P711" si="667">+K$12*$E702</f>
        <v>0</v>
      </c>
      <c r="L711" s="168">
        <f t="shared" si="667"/>
        <v>0</v>
      </c>
      <c r="M711" s="168">
        <f t="shared" si="667"/>
        <v>0</v>
      </c>
      <c r="N711" s="168">
        <f t="shared" si="667"/>
        <v>0</v>
      </c>
      <c r="O711" s="168">
        <f t="shared" si="667"/>
        <v>0</v>
      </c>
      <c r="P711" s="168">
        <f t="shared" si="667"/>
        <v>0</v>
      </c>
      <c r="Q711" s="190">
        <f t="shared" si="666"/>
        <v>0</v>
      </c>
    </row>
    <row r="712" spans="3:20" ht="18.75" x14ac:dyDescent="0.3">
      <c r="C712" s="119">
        <f t="shared" si="660"/>
        <v>1</v>
      </c>
      <c r="D712" s="125" t="s">
        <v>120</v>
      </c>
      <c r="E712" s="76" t="s">
        <v>51</v>
      </c>
      <c r="F712" s="168">
        <f>+F$13*$E702</f>
        <v>0</v>
      </c>
      <c r="G712" s="168">
        <f>+G$13*$E702</f>
        <v>0</v>
      </c>
      <c r="H712" s="168">
        <f>+H$13*$E702</f>
        <v>0</v>
      </c>
      <c r="I712" s="168">
        <f>+I$13*$E702</f>
        <v>0</v>
      </c>
      <c r="J712" s="168">
        <f>+J$13*$E702</f>
        <v>0</v>
      </c>
      <c r="K712" s="168">
        <f t="shared" ref="K712:P712" si="668">+K$13*$E702</f>
        <v>0</v>
      </c>
      <c r="L712" s="168">
        <f t="shared" si="668"/>
        <v>0</v>
      </c>
      <c r="M712" s="168">
        <f t="shared" si="668"/>
        <v>0</v>
      </c>
      <c r="N712" s="168">
        <f t="shared" si="668"/>
        <v>0</v>
      </c>
      <c r="O712" s="168">
        <f t="shared" si="668"/>
        <v>0</v>
      </c>
      <c r="P712" s="168">
        <f t="shared" si="668"/>
        <v>0</v>
      </c>
      <c r="Q712" s="190">
        <f t="shared" si="666"/>
        <v>0</v>
      </c>
    </row>
    <row r="713" spans="3:20" ht="18.75" x14ac:dyDescent="0.3">
      <c r="C713" s="119">
        <f t="shared" si="660"/>
        <v>1</v>
      </c>
      <c r="D713" s="125" t="s">
        <v>121</v>
      </c>
      <c r="E713" s="76" t="s">
        <v>50</v>
      </c>
      <c r="F713" s="168">
        <f>+F$14*$E702</f>
        <v>0</v>
      </c>
      <c r="G713" s="168">
        <f>+G$14*$E702</f>
        <v>0</v>
      </c>
      <c r="H713" s="168">
        <f>+H$14*$E702</f>
        <v>0</v>
      </c>
      <c r="I713" s="168">
        <f>+I$14*$E702</f>
        <v>0</v>
      </c>
      <c r="J713" s="168">
        <f>+J$14*$E702</f>
        <v>0</v>
      </c>
      <c r="K713" s="168">
        <f t="shared" ref="K713:P713" si="669">+K$14*$E702</f>
        <v>0</v>
      </c>
      <c r="L713" s="168">
        <f t="shared" si="669"/>
        <v>0</v>
      </c>
      <c r="M713" s="168">
        <f t="shared" si="669"/>
        <v>0</v>
      </c>
      <c r="N713" s="168">
        <f t="shared" si="669"/>
        <v>0</v>
      </c>
      <c r="O713" s="168">
        <f t="shared" si="669"/>
        <v>0</v>
      </c>
      <c r="P713" s="168">
        <f t="shared" si="669"/>
        <v>0</v>
      </c>
      <c r="Q713" s="190">
        <f t="shared" si="666"/>
        <v>0</v>
      </c>
    </row>
    <row r="714" spans="3:20" ht="18.75" x14ac:dyDescent="0.3">
      <c r="C714" s="119">
        <f t="shared" si="660"/>
        <v>1</v>
      </c>
      <c r="D714" s="125" t="s">
        <v>122</v>
      </c>
      <c r="E714" s="76" t="s">
        <v>49</v>
      </c>
      <c r="F714" s="168">
        <f>+F$15*$E702</f>
        <v>0</v>
      </c>
      <c r="G714" s="168">
        <f>+G$15*$E702</f>
        <v>0</v>
      </c>
      <c r="H714" s="168">
        <f>+H$15*$E702</f>
        <v>0</v>
      </c>
      <c r="I714" s="168">
        <f>+I$15*$E702</f>
        <v>0</v>
      </c>
      <c r="J714" s="168">
        <f>+J$15*$E702</f>
        <v>0</v>
      </c>
      <c r="K714" s="168">
        <f t="shared" ref="K714:P714" si="670">+K$15*$E702</f>
        <v>0</v>
      </c>
      <c r="L714" s="168">
        <f t="shared" si="670"/>
        <v>0</v>
      </c>
      <c r="M714" s="168">
        <f t="shared" si="670"/>
        <v>0</v>
      </c>
      <c r="N714" s="168">
        <f t="shared" si="670"/>
        <v>0</v>
      </c>
      <c r="O714" s="168">
        <f t="shared" si="670"/>
        <v>0</v>
      </c>
      <c r="P714" s="168">
        <f t="shared" si="670"/>
        <v>0</v>
      </c>
      <c r="Q714" s="190">
        <f t="shared" si="666"/>
        <v>0</v>
      </c>
    </row>
    <row r="715" spans="3:20" ht="18.75" x14ac:dyDescent="0.3">
      <c r="C715" s="119">
        <f t="shared" si="660"/>
        <v>1</v>
      </c>
      <c r="D715" s="125" t="s">
        <v>123</v>
      </c>
      <c r="E715" s="76" t="s">
        <v>47</v>
      </c>
      <c r="F715" s="168">
        <f>+F$16*$E702</f>
        <v>0</v>
      </c>
      <c r="G715" s="168">
        <f>+G$16*$E702</f>
        <v>0</v>
      </c>
      <c r="H715" s="168">
        <f>+H$16*$E702</f>
        <v>0</v>
      </c>
      <c r="I715" s="168">
        <f>+I$16*$E702</f>
        <v>0</v>
      </c>
      <c r="J715" s="168">
        <f>+J$16*$E702</f>
        <v>0</v>
      </c>
      <c r="K715" s="168">
        <f t="shared" ref="K715:P715" si="671">+K$16*$E702</f>
        <v>0</v>
      </c>
      <c r="L715" s="168">
        <f t="shared" si="671"/>
        <v>0</v>
      </c>
      <c r="M715" s="168">
        <f t="shared" si="671"/>
        <v>0</v>
      </c>
      <c r="N715" s="168">
        <f t="shared" si="671"/>
        <v>0</v>
      </c>
      <c r="O715" s="168">
        <f t="shared" si="671"/>
        <v>0</v>
      </c>
      <c r="P715" s="168">
        <f t="shared" si="671"/>
        <v>0</v>
      </c>
      <c r="Q715" s="190">
        <f t="shared" si="666"/>
        <v>0</v>
      </c>
    </row>
    <row r="716" spans="3:20" ht="19.5" thickBot="1" x14ac:dyDescent="0.35">
      <c r="C716" s="119">
        <f t="shared" si="660"/>
        <v>1</v>
      </c>
      <c r="D716" s="125" t="s">
        <v>16</v>
      </c>
      <c r="E716" s="70" t="s">
        <v>77</v>
      </c>
      <c r="F716" s="168">
        <f>+F$17*$E702</f>
        <v>42.905920805360928</v>
      </c>
      <c r="G716" s="168">
        <f>+G$17*$E702</f>
        <v>77436.743129930386</v>
      </c>
      <c r="H716" s="168">
        <f>+H$17*$E702</f>
        <v>1508.902670400302</v>
      </c>
      <c r="I716" s="168">
        <f>+I$17*$E702</f>
        <v>0</v>
      </c>
      <c r="J716" s="168">
        <f>+J$17*$E702</f>
        <v>0</v>
      </c>
      <c r="K716" s="168">
        <f t="shared" ref="K716:P716" si="672">+K$17*$E702</f>
        <v>5407.0393899147084</v>
      </c>
      <c r="L716" s="168">
        <f t="shared" si="672"/>
        <v>0</v>
      </c>
      <c r="M716" s="168">
        <f t="shared" si="672"/>
        <v>2.902147507267236</v>
      </c>
      <c r="N716" s="168">
        <f t="shared" si="672"/>
        <v>0</v>
      </c>
      <c r="O716" s="168">
        <f t="shared" si="672"/>
        <v>0</v>
      </c>
      <c r="P716" s="168">
        <f t="shared" si="672"/>
        <v>4888.72793739806</v>
      </c>
      <c r="Q716" s="190">
        <f t="shared" si="666"/>
        <v>89244.315275150715</v>
      </c>
    </row>
    <row r="717" spans="3:20" ht="19.5" thickBot="1" x14ac:dyDescent="0.3">
      <c r="C717" s="119">
        <f t="shared" si="660"/>
        <v>1</v>
      </c>
      <c r="D717" s="131" t="s">
        <v>124</v>
      </c>
      <c r="E717" s="116" t="s">
        <v>78</v>
      </c>
      <c r="F717" s="169">
        <f t="shared" ref="F717:Q717" si="673">SUBTOTAL(9,F705:F716)</f>
        <v>692.84958479440161</v>
      </c>
      <c r="G717" s="170">
        <f t="shared" si="673"/>
        <v>1326677.8615125683</v>
      </c>
      <c r="H717" s="170">
        <f t="shared" si="673"/>
        <v>59634.139148220536</v>
      </c>
      <c r="I717" s="170">
        <f t="shared" si="673"/>
        <v>197.67759416545513</v>
      </c>
      <c r="J717" s="170">
        <f t="shared" si="673"/>
        <v>20883.00150965634</v>
      </c>
      <c r="K717" s="170">
        <f t="shared" ref="K717:P717" si="674">SUBTOTAL(9,K705:K716)</f>
        <v>28303.547569617942</v>
      </c>
      <c r="L717" s="170">
        <f t="shared" si="674"/>
        <v>534.8109477400443</v>
      </c>
      <c r="M717" s="170">
        <f t="shared" si="674"/>
        <v>2.902147507267236</v>
      </c>
      <c r="N717" s="170">
        <f t="shared" si="674"/>
        <v>4.4680054810759948</v>
      </c>
      <c r="O717" s="170">
        <f t="shared" si="674"/>
        <v>0</v>
      </c>
      <c r="P717" s="170">
        <f t="shared" si="674"/>
        <v>4888.72793739806</v>
      </c>
      <c r="Q717" s="170">
        <f t="shared" si="673"/>
        <v>1441127.1363723553</v>
      </c>
    </row>
    <row r="718" spans="3:20" ht="15.75" hidden="1" thickBot="1" x14ac:dyDescent="0.3">
      <c r="R718" s="119"/>
      <c r="S718" s="119"/>
      <c r="T718" s="119"/>
    </row>
    <row r="719" spans="3:20" ht="45" x14ac:dyDescent="0.25">
      <c r="C719" s="119">
        <f>IF(E719&gt;0,1,0)</f>
        <v>1</v>
      </c>
      <c r="D719" s="96" t="str">
        <f>+A45</f>
        <v>Rensselaer</v>
      </c>
      <c r="E719" s="166">
        <f>+SUMIF(A:A,D719,B:B)</f>
        <v>1.5563194213553365E-3</v>
      </c>
      <c r="F719" s="98" t="s">
        <v>97</v>
      </c>
      <c r="G719" s="98" t="s">
        <v>126</v>
      </c>
      <c r="H719" s="98" t="s">
        <v>127</v>
      </c>
      <c r="I719" s="99" t="s">
        <v>128</v>
      </c>
      <c r="J719" s="99" t="s">
        <v>131</v>
      </c>
      <c r="K719" s="560" t="s">
        <v>474</v>
      </c>
      <c r="L719" s="560" t="s">
        <v>475</v>
      </c>
      <c r="M719" s="560" t="s">
        <v>476</v>
      </c>
      <c r="N719" s="560" t="s">
        <v>477</v>
      </c>
      <c r="O719" s="560" t="s">
        <v>478</v>
      </c>
      <c r="P719" s="560" t="s">
        <v>479</v>
      </c>
      <c r="Q719" s="99" t="s">
        <v>129</v>
      </c>
      <c r="R719" s="119"/>
      <c r="S719" s="119"/>
      <c r="T719" s="119"/>
    </row>
    <row r="720" spans="3:20" ht="18.75" x14ac:dyDescent="0.25">
      <c r="C720" s="119">
        <f>C719</f>
        <v>1</v>
      </c>
      <c r="D720" s="127"/>
      <c r="E720" s="128"/>
      <c r="F720" s="84" t="s">
        <v>57</v>
      </c>
      <c r="G720" s="84" t="s">
        <v>56</v>
      </c>
      <c r="H720" s="84" t="s">
        <v>55</v>
      </c>
      <c r="I720" s="84" t="s">
        <v>54</v>
      </c>
      <c r="J720" s="129" t="s">
        <v>53</v>
      </c>
      <c r="K720" s="129" t="s">
        <v>52</v>
      </c>
      <c r="L720" s="129" t="s">
        <v>51</v>
      </c>
      <c r="M720" s="129" t="s">
        <v>50</v>
      </c>
      <c r="N720" s="129" t="s">
        <v>49</v>
      </c>
      <c r="O720" s="129" t="s">
        <v>47</v>
      </c>
      <c r="P720" s="129" t="s">
        <v>77</v>
      </c>
      <c r="Q720" s="129" t="s">
        <v>78</v>
      </c>
      <c r="R720" s="119"/>
      <c r="S720" s="119"/>
      <c r="T720" s="119"/>
    </row>
    <row r="721" spans="3:20" ht="18.75" x14ac:dyDescent="0.25">
      <c r="C721" s="119">
        <f>C720</f>
        <v>1</v>
      </c>
      <c r="D721" s="133" t="s">
        <v>26</v>
      </c>
      <c r="E721" s="134"/>
      <c r="F721" s="135"/>
      <c r="G721" s="135"/>
      <c r="H721" s="136"/>
      <c r="I721" s="136"/>
      <c r="J721" s="137"/>
      <c r="K721" s="137"/>
      <c r="L721" s="137"/>
      <c r="M721" s="137"/>
      <c r="N721" s="137"/>
      <c r="O721" s="137"/>
      <c r="P721" s="137"/>
      <c r="Q721" s="138"/>
      <c r="R721" s="119"/>
      <c r="S721" s="119"/>
      <c r="T721" s="119"/>
    </row>
    <row r="722" spans="3:20" ht="18.75" x14ac:dyDescent="0.25">
      <c r="C722" s="119">
        <f t="shared" ref="C722:C734" si="675">C721</f>
        <v>1</v>
      </c>
      <c r="D722" s="109" t="s">
        <v>93</v>
      </c>
      <c r="E722" s="76" t="s">
        <v>57</v>
      </c>
      <c r="F722" s="168">
        <f>+F$6*$E719</f>
        <v>5.426622198217153</v>
      </c>
      <c r="G722" s="168">
        <f>+G$6*$E719</f>
        <v>10429.58164325375</v>
      </c>
      <c r="H722" s="168">
        <f>+H$6*$E719</f>
        <v>485.91579281331497</v>
      </c>
      <c r="I722" s="168">
        <f>+I$6*$E719</f>
        <v>1.6525466511777369</v>
      </c>
      <c r="J722" s="168">
        <f>+J$6*$E719</f>
        <v>174.36777130549095</v>
      </c>
      <c r="K722" s="168">
        <f t="shared" ref="K722:P722" si="676">+K$6*$E719</f>
        <v>191.34814998413046</v>
      </c>
      <c r="L722" s="168">
        <f t="shared" si="676"/>
        <v>4.4709166176985429</v>
      </c>
      <c r="M722" s="168">
        <f t="shared" si="676"/>
        <v>0</v>
      </c>
      <c r="N722" s="168">
        <f t="shared" si="676"/>
        <v>3.7351666112528076E-2</v>
      </c>
      <c r="O722" s="168">
        <f t="shared" si="676"/>
        <v>0</v>
      </c>
      <c r="P722" s="168">
        <f t="shared" si="676"/>
        <v>0</v>
      </c>
      <c r="Q722" s="190">
        <f>SUM(G722:P722)</f>
        <v>11287.374172291677</v>
      </c>
      <c r="R722" s="119"/>
      <c r="S722" s="119"/>
      <c r="T722" s="119"/>
    </row>
    <row r="723" spans="3:20" ht="18.75" x14ac:dyDescent="0.25">
      <c r="C723" s="119">
        <f t="shared" si="675"/>
        <v>1</v>
      </c>
      <c r="D723" s="110" t="s">
        <v>132</v>
      </c>
      <c r="E723" s="76" t="s">
        <v>56</v>
      </c>
      <c r="F723" s="168">
        <f>+F$7*$E719</f>
        <v>0</v>
      </c>
      <c r="G723" s="168">
        <f>+G$7*$E719</f>
        <v>0</v>
      </c>
      <c r="H723" s="168">
        <f>+H$7*$E719</f>
        <v>0</v>
      </c>
      <c r="I723" s="168">
        <f>+I$7*$E719</f>
        <v>0</v>
      </c>
      <c r="J723" s="168">
        <f>+J$7*$E719</f>
        <v>0</v>
      </c>
      <c r="K723" s="168">
        <f t="shared" ref="K723:P723" si="677">+K$7*$E719</f>
        <v>0</v>
      </c>
      <c r="L723" s="168">
        <f t="shared" si="677"/>
        <v>0</v>
      </c>
      <c r="M723" s="168">
        <f t="shared" si="677"/>
        <v>0</v>
      </c>
      <c r="N723" s="168">
        <f t="shared" si="677"/>
        <v>0</v>
      </c>
      <c r="O723" s="168">
        <f t="shared" si="677"/>
        <v>0</v>
      </c>
      <c r="P723" s="168">
        <f t="shared" si="677"/>
        <v>0</v>
      </c>
      <c r="Q723" s="190">
        <f>SUM(G723:P723)</f>
        <v>0</v>
      </c>
      <c r="R723" s="119"/>
      <c r="S723" s="119"/>
      <c r="T723" s="119"/>
    </row>
    <row r="724" spans="3:20" ht="18.75" x14ac:dyDescent="0.25">
      <c r="C724" s="119">
        <f t="shared" si="675"/>
        <v>1</v>
      </c>
      <c r="D724" s="109" t="s">
        <v>91</v>
      </c>
      <c r="E724" s="76" t="s">
        <v>55</v>
      </c>
      <c r="F724" s="168">
        <f>+F$8*$E719</f>
        <v>6.7817741131295335E-3</v>
      </c>
      <c r="G724" s="168">
        <f>+G$8*$E719</f>
        <v>13.833734256572248</v>
      </c>
      <c r="H724" s="168">
        <f>+H$8*$E719</f>
        <v>0</v>
      </c>
      <c r="I724" s="168">
        <f>+I$8*$E719</f>
        <v>0</v>
      </c>
      <c r="J724" s="168">
        <f>+J$8*$E719</f>
        <v>0.21010312188297042</v>
      </c>
      <c r="K724" s="168">
        <f t="shared" ref="K724:P724" si="678">+K$8*$E719</f>
        <v>6.225277685421346E-2</v>
      </c>
      <c r="L724" s="168">
        <f t="shared" si="678"/>
        <v>0</v>
      </c>
      <c r="M724" s="168">
        <f t="shared" si="678"/>
        <v>0</v>
      </c>
      <c r="N724" s="168">
        <f t="shared" si="678"/>
        <v>0</v>
      </c>
      <c r="O724" s="168">
        <f t="shared" si="678"/>
        <v>0</v>
      </c>
      <c r="P724" s="168">
        <f t="shared" si="678"/>
        <v>0</v>
      </c>
      <c r="Q724" s="190">
        <f>SUM(G724:P724)</f>
        <v>14.106090155309431</v>
      </c>
      <c r="R724" s="119"/>
      <c r="S724" s="119"/>
      <c r="T724" s="119"/>
    </row>
    <row r="725" spans="3:20" ht="18.75" x14ac:dyDescent="0.25">
      <c r="C725" s="119">
        <f t="shared" si="675"/>
        <v>1</v>
      </c>
      <c r="D725" s="130" t="s">
        <v>117</v>
      </c>
      <c r="E725" s="76" t="s">
        <v>54</v>
      </c>
      <c r="F725" s="168">
        <f>+F$9*$E719</f>
        <v>0</v>
      </c>
      <c r="G725" s="168">
        <f>+G$9*$E719</f>
        <v>0</v>
      </c>
      <c r="H725" s="168">
        <f>+H$9*$E719</f>
        <v>0</v>
      </c>
      <c r="I725" s="168">
        <f>+I$9*$E719</f>
        <v>0</v>
      </c>
      <c r="J725" s="168">
        <f>+J$9*$E719</f>
        <v>0</v>
      </c>
      <c r="K725" s="168">
        <f t="shared" ref="K725:P725" si="679">+K$9*$E719</f>
        <v>0</v>
      </c>
      <c r="L725" s="168">
        <f t="shared" si="679"/>
        <v>0</v>
      </c>
      <c r="M725" s="168">
        <f t="shared" si="679"/>
        <v>0</v>
      </c>
      <c r="N725" s="168">
        <f t="shared" si="679"/>
        <v>0</v>
      </c>
      <c r="O725" s="168">
        <f t="shared" si="679"/>
        <v>0</v>
      </c>
      <c r="P725" s="168">
        <f t="shared" si="679"/>
        <v>0</v>
      </c>
      <c r="Q725" s="190">
        <f>SUM(G725:P725)</f>
        <v>0</v>
      </c>
      <c r="R725" s="119"/>
      <c r="S725" s="119"/>
      <c r="T725" s="119"/>
    </row>
    <row r="726" spans="3:20" ht="18.75" x14ac:dyDescent="0.25">
      <c r="C726" s="119">
        <f t="shared" si="675"/>
        <v>1</v>
      </c>
      <c r="D726" s="112" t="s">
        <v>31</v>
      </c>
      <c r="E726" s="76"/>
      <c r="F726" s="167"/>
      <c r="G726" s="185"/>
      <c r="H726" s="185"/>
      <c r="I726" s="185"/>
      <c r="J726" s="185"/>
      <c r="K726" s="185"/>
      <c r="L726" s="185"/>
      <c r="M726" s="185"/>
      <c r="N726" s="185"/>
      <c r="O726" s="185"/>
      <c r="P726" s="185"/>
      <c r="Q726" s="171"/>
      <c r="R726" s="119"/>
      <c r="S726" s="119"/>
      <c r="T726" s="119"/>
    </row>
    <row r="727" spans="3:20" ht="18.75" x14ac:dyDescent="0.3">
      <c r="C727" s="119">
        <f t="shared" si="675"/>
        <v>1</v>
      </c>
      <c r="D727" s="125" t="s">
        <v>118</v>
      </c>
      <c r="E727" s="76" t="s">
        <v>53</v>
      </c>
      <c r="F727" s="168">
        <f>+F$11*$E719</f>
        <v>0</v>
      </c>
      <c r="G727" s="168">
        <f>+G$11*$E719</f>
        <v>0</v>
      </c>
      <c r="H727" s="168">
        <f>+H$11*$E719</f>
        <v>0</v>
      </c>
      <c r="I727" s="168">
        <f>+I$11*$E719</f>
        <v>0</v>
      </c>
      <c r="J727" s="168">
        <f>+J$11*$E719</f>
        <v>0</v>
      </c>
      <c r="K727" s="168">
        <f t="shared" ref="K727:P727" si="680">+K$11*$E719</f>
        <v>0</v>
      </c>
      <c r="L727" s="168">
        <f t="shared" si="680"/>
        <v>0</v>
      </c>
      <c r="M727" s="168">
        <f t="shared" si="680"/>
        <v>0</v>
      </c>
      <c r="N727" s="168">
        <f t="shared" si="680"/>
        <v>0</v>
      </c>
      <c r="O727" s="168">
        <f t="shared" si="680"/>
        <v>0</v>
      </c>
      <c r="P727" s="168">
        <f t="shared" si="680"/>
        <v>0</v>
      </c>
      <c r="Q727" s="190">
        <f t="shared" ref="Q727:Q733" si="681">SUM(G727:P727)</f>
        <v>0</v>
      </c>
      <c r="R727" s="119"/>
      <c r="S727" s="119"/>
      <c r="T727" s="119"/>
    </row>
    <row r="728" spans="3:20" ht="18.75" x14ac:dyDescent="0.3">
      <c r="C728" s="119">
        <f t="shared" si="675"/>
        <v>1</v>
      </c>
      <c r="D728" s="125" t="s">
        <v>119</v>
      </c>
      <c r="E728" s="76" t="s">
        <v>52</v>
      </c>
      <c r="F728" s="168">
        <f>+F$12*$E719</f>
        <v>0</v>
      </c>
      <c r="G728" s="168">
        <f>+G$12*$E719</f>
        <v>0</v>
      </c>
      <c r="H728" s="168">
        <f>+H$12*$E719</f>
        <v>0</v>
      </c>
      <c r="I728" s="168">
        <f>+I$12*$E719</f>
        <v>0</v>
      </c>
      <c r="J728" s="168">
        <f>+J$12*$E719</f>
        <v>0</v>
      </c>
      <c r="K728" s="168">
        <f t="shared" ref="K728:P728" si="682">+K$12*$E719</f>
        <v>0</v>
      </c>
      <c r="L728" s="168">
        <f t="shared" si="682"/>
        <v>0</v>
      </c>
      <c r="M728" s="168">
        <f t="shared" si="682"/>
        <v>0</v>
      </c>
      <c r="N728" s="168">
        <f t="shared" si="682"/>
        <v>0</v>
      </c>
      <c r="O728" s="168">
        <f t="shared" si="682"/>
        <v>0</v>
      </c>
      <c r="P728" s="168">
        <f t="shared" si="682"/>
        <v>0</v>
      </c>
      <c r="Q728" s="190">
        <f t="shared" si="681"/>
        <v>0</v>
      </c>
      <c r="R728" s="119"/>
      <c r="S728" s="119"/>
      <c r="T728" s="119"/>
    </row>
    <row r="729" spans="3:20" ht="18.75" x14ac:dyDescent="0.3">
      <c r="C729" s="119">
        <f t="shared" si="675"/>
        <v>1</v>
      </c>
      <c r="D729" s="125" t="s">
        <v>120</v>
      </c>
      <c r="E729" s="76" t="s">
        <v>51</v>
      </c>
      <c r="F729" s="168">
        <f>+F$13*$E719</f>
        <v>0</v>
      </c>
      <c r="G729" s="168">
        <f>+G$13*$E719</f>
        <v>0</v>
      </c>
      <c r="H729" s="168">
        <f>+H$13*$E719</f>
        <v>0</v>
      </c>
      <c r="I729" s="168">
        <f>+I$13*$E719</f>
        <v>0</v>
      </c>
      <c r="J729" s="168">
        <f>+J$13*$E719</f>
        <v>0</v>
      </c>
      <c r="K729" s="168">
        <f t="shared" ref="K729:P729" si="683">+K$13*$E719</f>
        <v>0</v>
      </c>
      <c r="L729" s="168">
        <f t="shared" si="683"/>
        <v>0</v>
      </c>
      <c r="M729" s="168">
        <f t="shared" si="683"/>
        <v>0</v>
      </c>
      <c r="N729" s="168">
        <f t="shared" si="683"/>
        <v>0</v>
      </c>
      <c r="O729" s="168">
        <f t="shared" si="683"/>
        <v>0</v>
      </c>
      <c r="P729" s="168">
        <f t="shared" si="683"/>
        <v>0</v>
      </c>
      <c r="Q729" s="190">
        <f t="shared" si="681"/>
        <v>0</v>
      </c>
      <c r="R729" s="119"/>
      <c r="S729" s="119"/>
      <c r="T729" s="119"/>
    </row>
    <row r="730" spans="3:20" ht="18.75" x14ac:dyDescent="0.3">
      <c r="C730" s="119">
        <f t="shared" si="675"/>
        <v>1</v>
      </c>
      <c r="D730" s="125" t="s">
        <v>121</v>
      </c>
      <c r="E730" s="76" t="s">
        <v>50</v>
      </c>
      <c r="F730" s="168">
        <f>+F$14*$E719</f>
        <v>0</v>
      </c>
      <c r="G730" s="168">
        <f>+G$14*$E719</f>
        <v>0</v>
      </c>
      <c r="H730" s="168">
        <f>+H$14*$E719</f>
        <v>0</v>
      </c>
      <c r="I730" s="168">
        <f>+I$14*$E719</f>
        <v>0</v>
      </c>
      <c r="J730" s="168">
        <f>+J$14*$E719</f>
        <v>0</v>
      </c>
      <c r="K730" s="168">
        <f t="shared" ref="K730:P730" si="684">+K$14*$E719</f>
        <v>0</v>
      </c>
      <c r="L730" s="168">
        <f t="shared" si="684"/>
        <v>0</v>
      </c>
      <c r="M730" s="168">
        <f t="shared" si="684"/>
        <v>0</v>
      </c>
      <c r="N730" s="168">
        <f t="shared" si="684"/>
        <v>0</v>
      </c>
      <c r="O730" s="168">
        <f t="shared" si="684"/>
        <v>0</v>
      </c>
      <c r="P730" s="168">
        <f t="shared" si="684"/>
        <v>0</v>
      </c>
      <c r="Q730" s="190">
        <f t="shared" si="681"/>
        <v>0</v>
      </c>
      <c r="R730" s="119"/>
      <c r="S730" s="119"/>
      <c r="T730" s="119"/>
    </row>
    <row r="731" spans="3:20" ht="18.75" x14ac:dyDescent="0.3">
      <c r="C731" s="119">
        <f t="shared" si="675"/>
        <v>1</v>
      </c>
      <c r="D731" s="125" t="s">
        <v>122</v>
      </c>
      <c r="E731" s="76" t="s">
        <v>49</v>
      </c>
      <c r="F731" s="168">
        <f>+F$15*$E719</f>
        <v>0</v>
      </c>
      <c r="G731" s="168">
        <f>+G$15*$E719</f>
        <v>0</v>
      </c>
      <c r="H731" s="168">
        <f>+H$15*$E719</f>
        <v>0</v>
      </c>
      <c r="I731" s="168">
        <f>+I$15*$E719</f>
        <v>0</v>
      </c>
      <c r="J731" s="168">
        <f>+J$15*$E719</f>
        <v>0</v>
      </c>
      <c r="K731" s="168">
        <f t="shared" ref="K731:P731" si="685">+K$15*$E719</f>
        <v>0</v>
      </c>
      <c r="L731" s="168">
        <f t="shared" si="685"/>
        <v>0</v>
      </c>
      <c r="M731" s="168">
        <f t="shared" si="685"/>
        <v>0</v>
      </c>
      <c r="N731" s="168">
        <f t="shared" si="685"/>
        <v>0</v>
      </c>
      <c r="O731" s="168">
        <f t="shared" si="685"/>
        <v>0</v>
      </c>
      <c r="P731" s="168">
        <f t="shared" si="685"/>
        <v>0</v>
      </c>
      <c r="Q731" s="190">
        <f t="shared" si="681"/>
        <v>0</v>
      </c>
      <c r="R731" s="119"/>
      <c r="S731" s="119"/>
      <c r="T731" s="119"/>
    </row>
    <row r="732" spans="3:20" ht="18.75" x14ac:dyDescent="0.3">
      <c r="C732" s="119">
        <f t="shared" si="675"/>
        <v>1</v>
      </c>
      <c r="D732" s="125" t="s">
        <v>123</v>
      </c>
      <c r="E732" s="76" t="s">
        <v>47</v>
      </c>
      <c r="F732" s="168">
        <f>+F$16*$E719</f>
        <v>0</v>
      </c>
      <c r="G732" s="168">
        <f>+G$16*$E719</f>
        <v>0</v>
      </c>
      <c r="H732" s="168">
        <f>+H$16*$E719</f>
        <v>0</v>
      </c>
      <c r="I732" s="168">
        <f>+I$16*$E719</f>
        <v>0</v>
      </c>
      <c r="J732" s="168">
        <f>+J$16*$E719</f>
        <v>0</v>
      </c>
      <c r="K732" s="168">
        <f t="shared" ref="K732:P732" si="686">+K$16*$E719</f>
        <v>0</v>
      </c>
      <c r="L732" s="168">
        <f t="shared" si="686"/>
        <v>0</v>
      </c>
      <c r="M732" s="168">
        <f t="shared" si="686"/>
        <v>0</v>
      </c>
      <c r="N732" s="168">
        <f t="shared" si="686"/>
        <v>0</v>
      </c>
      <c r="O732" s="168">
        <f t="shared" si="686"/>
        <v>0</v>
      </c>
      <c r="P732" s="168">
        <f t="shared" si="686"/>
        <v>0</v>
      </c>
      <c r="Q732" s="190">
        <f t="shared" si="681"/>
        <v>0</v>
      </c>
      <c r="R732" s="119"/>
      <c r="S732" s="119"/>
      <c r="T732" s="119"/>
    </row>
    <row r="733" spans="3:20" ht="19.5" thickBot="1" x14ac:dyDescent="0.35">
      <c r="C733" s="119">
        <f t="shared" si="675"/>
        <v>1</v>
      </c>
      <c r="D733" s="125" t="s">
        <v>16</v>
      </c>
      <c r="E733" s="70" t="s">
        <v>77</v>
      </c>
      <c r="F733" s="168">
        <f>+F$17*$E719</f>
        <v>0.3586852422093425</v>
      </c>
      <c r="G733" s="168">
        <f>+G$17*$E719</f>
        <v>647.35627261007971</v>
      </c>
      <c r="H733" s="168">
        <f>+H$17*$E719</f>
        <v>12.614135989717125</v>
      </c>
      <c r="I733" s="168">
        <f>+I$17*$E719</f>
        <v>0</v>
      </c>
      <c r="J733" s="168">
        <f>+J$17*$E719</f>
        <v>0</v>
      </c>
      <c r="K733" s="168">
        <f t="shared" ref="K733:P733" si="687">+K$17*$E719</f>
        <v>45.201808906632053</v>
      </c>
      <c r="L733" s="168">
        <f t="shared" si="687"/>
        <v>0</v>
      </c>
      <c r="M733" s="168">
        <f t="shared" si="687"/>
        <v>2.4261394745345371E-2</v>
      </c>
      <c r="N733" s="168">
        <f t="shared" si="687"/>
        <v>0</v>
      </c>
      <c r="O733" s="168">
        <f t="shared" si="687"/>
        <v>0</v>
      </c>
      <c r="P733" s="168">
        <f t="shared" si="687"/>
        <v>40.86882489425814</v>
      </c>
      <c r="Q733" s="190">
        <f t="shared" si="681"/>
        <v>746.06530379543256</v>
      </c>
      <c r="R733" s="119"/>
      <c r="S733" s="119"/>
      <c r="T733" s="119"/>
    </row>
    <row r="734" spans="3:20" ht="19.5" thickBot="1" x14ac:dyDescent="0.3">
      <c r="C734" s="119">
        <f t="shared" si="675"/>
        <v>1</v>
      </c>
      <c r="D734" s="131" t="s">
        <v>124</v>
      </c>
      <c r="E734" s="116" t="s">
        <v>78</v>
      </c>
      <c r="F734" s="169">
        <f t="shared" ref="F734:Q734" si="688">SUBTOTAL(9,F722:F733)</f>
        <v>5.792089214539625</v>
      </c>
      <c r="G734" s="170">
        <f t="shared" si="688"/>
        <v>11090.771650120401</v>
      </c>
      <c r="H734" s="170">
        <f t="shared" si="688"/>
        <v>498.52992880303208</v>
      </c>
      <c r="I734" s="170">
        <f t="shared" si="688"/>
        <v>1.6525466511777369</v>
      </c>
      <c r="J734" s="170">
        <f>SUBTOTAL(9,J722:J733)</f>
        <v>174.57787442737393</v>
      </c>
      <c r="K734" s="170">
        <f t="shared" ref="K734:P734" si="689">SUBTOTAL(9,K722:K733)</f>
        <v>236.61221166761675</v>
      </c>
      <c r="L734" s="170">
        <f t="shared" si="689"/>
        <v>4.4709166176985429</v>
      </c>
      <c r="M734" s="170">
        <f t="shared" si="689"/>
        <v>2.4261394745345371E-2</v>
      </c>
      <c r="N734" s="170">
        <f t="shared" si="689"/>
        <v>3.7351666112528076E-2</v>
      </c>
      <c r="O734" s="170">
        <f t="shared" si="689"/>
        <v>0</v>
      </c>
      <c r="P734" s="170">
        <f t="shared" si="689"/>
        <v>40.86882489425814</v>
      </c>
      <c r="Q734" s="170">
        <f t="shared" si="688"/>
        <v>12047.545566242419</v>
      </c>
      <c r="R734" s="119"/>
      <c r="S734" s="119"/>
      <c r="T734" s="119"/>
    </row>
    <row r="735" spans="3:20" ht="15.75" hidden="1" thickBot="1" x14ac:dyDescent="0.3">
      <c r="R735" s="119"/>
      <c r="S735" s="119"/>
      <c r="T735" s="119"/>
    </row>
    <row r="736" spans="3:20" ht="45" x14ac:dyDescent="0.25">
      <c r="C736" s="119">
        <f>IF(E736&gt;0,1,0)</f>
        <v>1</v>
      </c>
      <c r="D736" s="96" t="str">
        <f>+A46</f>
        <v>Richmond</v>
      </c>
      <c r="E736" s="166">
        <f>+SUMIF(A:A,D736,B:B)</f>
        <v>0.11418343852982973</v>
      </c>
      <c r="F736" s="98" t="s">
        <v>97</v>
      </c>
      <c r="G736" s="98" t="s">
        <v>126</v>
      </c>
      <c r="H736" s="98" t="s">
        <v>127</v>
      </c>
      <c r="I736" s="99" t="s">
        <v>128</v>
      </c>
      <c r="J736" s="99" t="s">
        <v>131</v>
      </c>
      <c r="K736" s="560" t="s">
        <v>474</v>
      </c>
      <c r="L736" s="560" t="s">
        <v>475</v>
      </c>
      <c r="M736" s="560" t="s">
        <v>476</v>
      </c>
      <c r="N736" s="560" t="s">
        <v>477</v>
      </c>
      <c r="O736" s="560" t="s">
        <v>478</v>
      </c>
      <c r="P736" s="560" t="s">
        <v>479</v>
      </c>
      <c r="Q736" s="99" t="s">
        <v>129</v>
      </c>
    </row>
    <row r="737" spans="3:20" ht="18.75" x14ac:dyDescent="0.25">
      <c r="C737" s="119">
        <f>C736</f>
        <v>1</v>
      </c>
      <c r="D737" s="127"/>
      <c r="E737" s="128"/>
      <c r="F737" s="84" t="s">
        <v>57</v>
      </c>
      <c r="G737" s="84" t="s">
        <v>56</v>
      </c>
      <c r="H737" s="84" t="s">
        <v>55</v>
      </c>
      <c r="I737" s="84" t="s">
        <v>54</v>
      </c>
      <c r="J737" s="129" t="s">
        <v>53</v>
      </c>
      <c r="K737" s="129" t="s">
        <v>52</v>
      </c>
      <c r="L737" s="129" t="s">
        <v>51</v>
      </c>
      <c r="M737" s="129" t="s">
        <v>50</v>
      </c>
      <c r="N737" s="129" t="s">
        <v>49</v>
      </c>
      <c r="O737" s="129" t="s">
        <v>47</v>
      </c>
      <c r="P737" s="129" t="s">
        <v>77</v>
      </c>
      <c r="Q737" s="129" t="s">
        <v>78</v>
      </c>
    </row>
    <row r="738" spans="3:20" ht="18.75" x14ac:dyDescent="0.25">
      <c r="C738" s="119">
        <f>C737</f>
        <v>1</v>
      </c>
      <c r="D738" s="133" t="s">
        <v>26</v>
      </c>
      <c r="E738" s="134"/>
      <c r="F738" s="135"/>
      <c r="G738" s="135"/>
      <c r="H738" s="136"/>
      <c r="I738" s="136"/>
      <c r="J738" s="137"/>
      <c r="K738" s="137"/>
      <c r="L738" s="137"/>
      <c r="M738" s="137"/>
      <c r="N738" s="137"/>
      <c r="O738" s="137"/>
      <c r="P738" s="137"/>
      <c r="Q738" s="138"/>
    </row>
    <row r="739" spans="3:20" ht="18.75" x14ac:dyDescent="0.25">
      <c r="C739" s="119">
        <f t="shared" ref="C739:C751" si="690">C738</f>
        <v>1</v>
      </c>
      <c r="D739" s="109" t="s">
        <v>93</v>
      </c>
      <c r="E739" s="76" t="s">
        <v>57</v>
      </c>
      <c r="F739" s="168">
        <f>+F$6*$E736</f>
        <v>398.13830868673887</v>
      </c>
      <c r="G739" s="168">
        <f>+G$6*$E736</f>
        <v>765193.49313087063</v>
      </c>
      <c r="H739" s="168">
        <f>+H$6*$E736</f>
        <v>35650.481063234583</v>
      </c>
      <c r="I739" s="168">
        <f>+I$6*$E736</f>
        <v>121.24340053412909</v>
      </c>
      <c r="J739" s="168">
        <f>+J$6*$E736</f>
        <v>12792.946886896256</v>
      </c>
      <c r="K739" s="168">
        <f t="shared" ref="K739:P739" si="691">+K$6*$E736</f>
        <v>14038.756711319815</v>
      </c>
      <c r="L739" s="168">
        <f t="shared" si="691"/>
        <v>328.02047303656838</v>
      </c>
      <c r="M739" s="168">
        <f t="shared" si="691"/>
        <v>0</v>
      </c>
      <c r="N739" s="168">
        <f t="shared" si="691"/>
        <v>2.7404025247159138</v>
      </c>
      <c r="O739" s="168">
        <f t="shared" si="691"/>
        <v>0</v>
      </c>
      <c r="P739" s="168">
        <f t="shared" si="691"/>
        <v>0</v>
      </c>
      <c r="Q739" s="190">
        <f>SUM(G739:P739)</f>
        <v>828127.68206841673</v>
      </c>
    </row>
    <row r="740" spans="3:20" ht="18.75" x14ac:dyDescent="0.25">
      <c r="C740" s="119">
        <f t="shared" si="690"/>
        <v>1</v>
      </c>
      <c r="D740" s="110" t="s">
        <v>132</v>
      </c>
      <c r="E740" s="76" t="s">
        <v>56</v>
      </c>
      <c r="F740" s="168">
        <f>+F$7*$E736</f>
        <v>0</v>
      </c>
      <c r="G740" s="168">
        <f>+G$7*$E736</f>
        <v>0</v>
      </c>
      <c r="H740" s="168">
        <f>+H$7*$E736</f>
        <v>0</v>
      </c>
      <c r="I740" s="168">
        <f>+I$7*$E736</f>
        <v>0</v>
      </c>
      <c r="J740" s="168">
        <f>+J$7*$E736</f>
        <v>0</v>
      </c>
      <c r="K740" s="168">
        <f t="shared" ref="K740:P740" si="692">+K$7*$E736</f>
        <v>0</v>
      </c>
      <c r="L740" s="168">
        <f t="shared" si="692"/>
        <v>0</v>
      </c>
      <c r="M740" s="168">
        <f t="shared" si="692"/>
        <v>0</v>
      </c>
      <c r="N740" s="168">
        <f t="shared" si="692"/>
        <v>0</v>
      </c>
      <c r="O740" s="168">
        <f t="shared" si="692"/>
        <v>0</v>
      </c>
      <c r="P740" s="168">
        <f t="shared" si="692"/>
        <v>0</v>
      </c>
      <c r="Q740" s="190">
        <f>SUM(G740:P740)</f>
        <v>0</v>
      </c>
    </row>
    <row r="741" spans="3:20" ht="18.75" x14ac:dyDescent="0.25">
      <c r="C741" s="119">
        <f t="shared" si="690"/>
        <v>1</v>
      </c>
      <c r="D741" s="109" t="s">
        <v>91</v>
      </c>
      <c r="E741" s="76" t="s">
        <v>55</v>
      </c>
      <c r="F741" s="168">
        <f>+F$8*$E736</f>
        <v>0.4975625677763193</v>
      </c>
      <c r="G741" s="168">
        <f>+G$8*$E736</f>
        <v>1014.948039232024</v>
      </c>
      <c r="H741" s="168">
        <f>+H$8*$E736</f>
        <v>0</v>
      </c>
      <c r="I741" s="168">
        <f>+I$8*$E736</f>
        <v>0</v>
      </c>
      <c r="J741" s="168">
        <f>+J$8*$E736</f>
        <v>15.414764201527014</v>
      </c>
      <c r="K741" s="168">
        <f t="shared" ref="K741:P741" si="693">+K$8*$E736</f>
        <v>4.5673375411931891</v>
      </c>
      <c r="L741" s="168">
        <f t="shared" si="693"/>
        <v>0</v>
      </c>
      <c r="M741" s="168">
        <f t="shared" si="693"/>
        <v>0</v>
      </c>
      <c r="N741" s="168">
        <f t="shared" si="693"/>
        <v>0</v>
      </c>
      <c r="O741" s="168">
        <f t="shared" si="693"/>
        <v>0</v>
      </c>
      <c r="P741" s="168">
        <f t="shared" si="693"/>
        <v>0</v>
      </c>
      <c r="Q741" s="190">
        <f>SUM(G741:P741)</f>
        <v>1034.9301409747443</v>
      </c>
    </row>
    <row r="742" spans="3:20" ht="18.75" x14ac:dyDescent="0.25">
      <c r="C742" s="119">
        <f t="shared" si="690"/>
        <v>1</v>
      </c>
      <c r="D742" s="130" t="s">
        <v>117</v>
      </c>
      <c r="E742" s="76" t="s">
        <v>54</v>
      </c>
      <c r="F742" s="168">
        <f>+F$9*$E736</f>
        <v>0</v>
      </c>
      <c r="G742" s="168">
        <f>+G$9*$E736</f>
        <v>0</v>
      </c>
      <c r="H742" s="168">
        <f>+H$9*$E736</f>
        <v>0</v>
      </c>
      <c r="I742" s="168">
        <f>+I$9*$E736</f>
        <v>0</v>
      </c>
      <c r="J742" s="168">
        <f>+J$9*$E736</f>
        <v>0</v>
      </c>
      <c r="K742" s="168">
        <f t="shared" ref="K742:P742" si="694">+K$9*$E736</f>
        <v>0</v>
      </c>
      <c r="L742" s="168">
        <f t="shared" si="694"/>
        <v>0</v>
      </c>
      <c r="M742" s="168">
        <f t="shared" si="694"/>
        <v>0</v>
      </c>
      <c r="N742" s="168">
        <f t="shared" si="694"/>
        <v>0</v>
      </c>
      <c r="O742" s="168">
        <f t="shared" si="694"/>
        <v>0</v>
      </c>
      <c r="P742" s="168">
        <f t="shared" si="694"/>
        <v>0</v>
      </c>
      <c r="Q742" s="190">
        <f>SUM(G742:P742)</f>
        <v>0</v>
      </c>
    </row>
    <row r="743" spans="3:20" ht="18.75" x14ac:dyDescent="0.25">
      <c r="C743" s="119">
        <f t="shared" si="690"/>
        <v>1</v>
      </c>
      <c r="D743" s="112" t="s">
        <v>31</v>
      </c>
      <c r="E743" s="76"/>
      <c r="F743" s="167"/>
      <c r="G743" s="185"/>
      <c r="H743" s="185"/>
      <c r="I743" s="185"/>
      <c r="J743" s="185"/>
      <c r="K743" s="185"/>
      <c r="L743" s="185"/>
      <c r="M743" s="185"/>
      <c r="N743" s="185"/>
      <c r="O743" s="185"/>
      <c r="P743" s="185"/>
      <c r="Q743" s="171"/>
    </row>
    <row r="744" spans="3:20" ht="18.75" x14ac:dyDescent="0.3">
      <c r="C744" s="119">
        <f t="shared" si="690"/>
        <v>1</v>
      </c>
      <c r="D744" s="125" t="s">
        <v>118</v>
      </c>
      <c r="E744" s="76" t="s">
        <v>53</v>
      </c>
      <c r="F744" s="168">
        <f>+F$11*$E736</f>
        <v>0</v>
      </c>
      <c r="G744" s="168">
        <f>+G$11*$E736</f>
        <v>0</v>
      </c>
      <c r="H744" s="168">
        <f>+H$11*$E736</f>
        <v>0</v>
      </c>
      <c r="I744" s="168">
        <f>+I$11*$E736</f>
        <v>0</v>
      </c>
      <c r="J744" s="168">
        <f>+J$11*$E736</f>
        <v>0</v>
      </c>
      <c r="K744" s="168">
        <f t="shared" ref="K744:P744" si="695">+K$11*$E736</f>
        <v>0</v>
      </c>
      <c r="L744" s="168">
        <f t="shared" si="695"/>
        <v>0</v>
      </c>
      <c r="M744" s="168">
        <f t="shared" si="695"/>
        <v>0</v>
      </c>
      <c r="N744" s="168">
        <f t="shared" si="695"/>
        <v>0</v>
      </c>
      <c r="O744" s="168">
        <f t="shared" si="695"/>
        <v>0</v>
      </c>
      <c r="P744" s="168">
        <f t="shared" si="695"/>
        <v>0</v>
      </c>
      <c r="Q744" s="190">
        <f t="shared" ref="Q744:Q750" si="696">SUM(G744:P744)</f>
        <v>0</v>
      </c>
    </row>
    <row r="745" spans="3:20" ht="18.75" x14ac:dyDescent="0.3">
      <c r="C745" s="119">
        <f t="shared" si="690"/>
        <v>1</v>
      </c>
      <c r="D745" s="125" t="s">
        <v>119</v>
      </c>
      <c r="E745" s="76" t="s">
        <v>52</v>
      </c>
      <c r="F745" s="168">
        <f>+F$12*$E736</f>
        <v>0</v>
      </c>
      <c r="G745" s="168">
        <f>+G$12*$E736</f>
        <v>0</v>
      </c>
      <c r="H745" s="168">
        <f>+H$12*$E736</f>
        <v>0</v>
      </c>
      <c r="I745" s="168">
        <f>+I$12*$E736</f>
        <v>0</v>
      </c>
      <c r="J745" s="168">
        <f>+J$12*$E736</f>
        <v>0</v>
      </c>
      <c r="K745" s="168">
        <f t="shared" ref="K745:P745" si="697">+K$12*$E736</f>
        <v>0</v>
      </c>
      <c r="L745" s="168">
        <f t="shared" si="697"/>
        <v>0</v>
      </c>
      <c r="M745" s="168">
        <f t="shared" si="697"/>
        <v>0</v>
      </c>
      <c r="N745" s="168">
        <f t="shared" si="697"/>
        <v>0</v>
      </c>
      <c r="O745" s="168">
        <f t="shared" si="697"/>
        <v>0</v>
      </c>
      <c r="P745" s="168">
        <f t="shared" si="697"/>
        <v>0</v>
      </c>
      <c r="Q745" s="190">
        <f t="shared" si="696"/>
        <v>0</v>
      </c>
    </row>
    <row r="746" spans="3:20" ht="18.75" x14ac:dyDescent="0.3">
      <c r="C746" s="119">
        <f t="shared" si="690"/>
        <v>1</v>
      </c>
      <c r="D746" s="125" t="s">
        <v>120</v>
      </c>
      <c r="E746" s="76" t="s">
        <v>51</v>
      </c>
      <c r="F746" s="168">
        <f>+F$13*$E736</f>
        <v>0</v>
      </c>
      <c r="G746" s="168">
        <f>+G$13*$E736</f>
        <v>0</v>
      </c>
      <c r="H746" s="168">
        <f>+H$13*$E736</f>
        <v>0</v>
      </c>
      <c r="I746" s="168">
        <f>+I$13*$E736</f>
        <v>0</v>
      </c>
      <c r="J746" s="168">
        <f>+J$13*$E736</f>
        <v>0</v>
      </c>
      <c r="K746" s="168">
        <f t="shared" ref="K746:P746" si="698">+K$13*$E736</f>
        <v>0</v>
      </c>
      <c r="L746" s="168">
        <f t="shared" si="698"/>
        <v>0</v>
      </c>
      <c r="M746" s="168">
        <f t="shared" si="698"/>
        <v>0</v>
      </c>
      <c r="N746" s="168">
        <f t="shared" si="698"/>
        <v>0</v>
      </c>
      <c r="O746" s="168">
        <f t="shared" si="698"/>
        <v>0</v>
      </c>
      <c r="P746" s="168">
        <f t="shared" si="698"/>
        <v>0</v>
      </c>
      <c r="Q746" s="190">
        <f t="shared" si="696"/>
        <v>0</v>
      </c>
    </row>
    <row r="747" spans="3:20" ht="18.75" x14ac:dyDescent="0.3">
      <c r="C747" s="119">
        <f t="shared" si="690"/>
        <v>1</v>
      </c>
      <c r="D747" s="125" t="s">
        <v>121</v>
      </c>
      <c r="E747" s="76" t="s">
        <v>50</v>
      </c>
      <c r="F747" s="168">
        <f>+F$14*$E736</f>
        <v>0</v>
      </c>
      <c r="G747" s="168">
        <f>+G$14*$E736</f>
        <v>0</v>
      </c>
      <c r="H747" s="168">
        <f>+H$14*$E736</f>
        <v>0</v>
      </c>
      <c r="I747" s="168">
        <f>+I$14*$E736</f>
        <v>0</v>
      </c>
      <c r="J747" s="168">
        <f>+J$14*$E736</f>
        <v>0</v>
      </c>
      <c r="K747" s="168">
        <f t="shared" ref="K747:P747" si="699">+K$14*$E736</f>
        <v>0</v>
      </c>
      <c r="L747" s="168">
        <f t="shared" si="699"/>
        <v>0</v>
      </c>
      <c r="M747" s="168">
        <f t="shared" si="699"/>
        <v>0</v>
      </c>
      <c r="N747" s="168">
        <f t="shared" si="699"/>
        <v>0</v>
      </c>
      <c r="O747" s="168">
        <f t="shared" si="699"/>
        <v>0</v>
      </c>
      <c r="P747" s="168">
        <f t="shared" si="699"/>
        <v>0</v>
      </c>
      <c r="Q747" s="190">
        <f t="shared" si="696"/>
        <v>0</v>
      </c>
    </row>
    <row r="748" spans="3:20" ht="18.75" x14ac:dyDescent="0.3">
      <c r="C748" s="119">
        <f t="shared" si="690"/>
        <v>1</v>
      </c>
      <c r="D748" s="125" t="s">
        <v>122</v>
      </c>
      <c r="E748" s="76" t="s">
        <v>49</v>
      </c>
      <c r="F748" s="168">
        <f>+F$15*$E736</f>
        <v>0</v>
      </c>
      <c r="G748" s="168">
        <f>+G$15*$E736</f>
        <v>0</v>
      </c>
      <c r="H748" s="168">
        <f>+H$15*$E736</f>
        <v>0</v>
      </c>
      <c r="I748" s="168">
        <f>+I$15*$E736</f>
        <v>0</v>
      </c>
      <c r="J748" s="168">
        <f>+J$15*$E736</f>
        <v>0</v>
      </c>
      <c r="K748" s="168">
        <f t="shared" ref="K748:P748" si="700">+K$15*$E736</f>
        <v>0</v>
      </c>
      <c r="L748" s="168">
        <f t="shared" si="700"/>
        <v>0</v>
      </c>
      <c r="M748" s="168">
        <f t="shared" si="700"/>
        <v>0</v>
      </c>
      <c r="N748" s="168">
        <f t="shared" si="700"/>
        <v>0</v>
      </c>
      <c r="O748" s="168">
        <f t="shared" si="700"/>
        <v>0</v>
      </c>
      <c r="P748" s="168">
        <f t="shared" si="700"/>
        <v>0</v>
      </c>
      <c r="Q748" s="190">
        <f t="shared" si="696"/>
        <v>0</v>
      </c>
    </row>
    <row r="749" spans="3:20" ht="18.75" x14ac:dyDescent="0.3">
      <c r="C749" s="119">
        <f t="shared" si="690"/>
        <v>1</v>
      </c>
      <c r="D749" s="125" t="s">
        <v>123</v>
      </c>
      <c r="E749" s="76" t="s">
        <v>47</v>
      </c>
      <c r="F749" s="168">
        <f>+F$16*$E736</f>
        <v>0</v>
      </c>
      <c r="G749" s="168">
        <f>+G$16*$E736</f>
        <v>0</v>
      </c>
      <c r="H749" s="168">
        <f>+H$16*$E736</f>
        <v>0</v>
      </c>
      <c r="I749" s="168">
        <f>+I$16*$E736</f>
        <v>0</v>
      </c>
      <c r="J749" s="168">
        <f>+J$16*$E736</f>
        <v>0</v>
      </c>
      <c r="K749" s="168">
        <f t="shared" ref="K749:P749" si="701">+K$16*$E736</f>
        <v>0</v>
      </c>
      <c r="L749" s="168">
        <f t="shared" si="701"/>
        <v>0</v>
      </c>
      <c r="M749" s="168">
        <f t="shared" si="701"/>
        <v>0</v>
      </c>
      <c r="N749" s="168">
        <f t="shared" si="701"/>
        <v>0</v>
      </c>
      <c r="O749" s="168">
        <f t="shared" si="701"/>
        <v>0</v>
      </c>
      <c r="P749" s="168">
        <f t="shared" si="701"/>
        <v>0</v>
      </c>
      <c r="Q749" s="190">
        <f t="shared" si="696"/>
        <v>0</v>
      </c>
    </row>
    <row r="750" spans="3:20" ht="19.5" thickBot="1" x14ac:dyDescent="0.35">
      <c r="C750" s="119">
        <f t="shared" si="690"/>
        <v>1</v>
      </c>
      <c r="D750" s="125" t="s">
        <v>16</v>
      </c>
      <c r="E750" s="70" t="s">
        <v>77</v>
      </c>
      <c r="F750" s="168">
        <f>+F$17*$E736</f>
        <v>26.315879467532877</v>
      </c>
      <c r="G750" s="168">
        <f>+G$17*$E736</f>
        <v>47494.9834501847</v>
      </c>
      <c r="H750" s="168">
        <f>+H$17*$E736</f>
        <v>925.46902751779351</v>
      </c>
      <c r="I750" s="168">
        <f>+I$17*$E736</f>
        <v>0</v>
      </c>
      <c r="J750" s="168">
        <f>+J$17*$E736</f>
        <v>0</v>
      </c>
      <c r="K750" s="168">
        <f t="shared" ref="K750:P750" si="702">+K$17*$E736</f>
        <v>3316.3487507164577</v>
      </c>
      <c r="L750" s="168">
        <f t="shared" si="702"/>
        <v>0</v>
      </c>
      <c r="M750" s="168">
        <f t="shared" si="702"/>
        <v>1.7800005818475089</v>
      </c>
      <c r="N750" s="168">
        <f t="shared" si="702"/>
        <v>0</v>
      </c>
      <c r="O750" s="168">
        <f t="shared" si="702"/>
        <v>0</v>
      </c>
      <c r="P750" s="168">
        <f t="shared" si="702"/>
        <v>2998.4480634675838</v>
      </c>
      <c r="Q750" s="190">
        <f t="shared" si="696"/>
        <v>54737.029292468389</v>
      </c>
    </row>
    <row r="751" spans="3:20" ht="19.5" thickBot="1" x14ac:dyDescent="0.3">
      <c r="C751" s="119">
        <f t="shared" si="690"/>
        <v>1</v>
      </c>
      <c r="D751" s="131" t="s">
        <v>124</v>
      </c>
      <c r="E751" s="116" t="s">
        <v>78</v>
      </c>
      <c r="F751" s="169">
        <f t="shared" ref="F751:Q751" si="703">SUBTOTAL(9,F739:F750)</f>
        <v>424.95175072204802</v>
      </c>
      <c r="G751" s="170">
        <f t="shared" si="703"/>
        <v>813703.42462028738</v>
      </c>
      <c r="H751" s="170">
        <f t="shared" si="703"/>
        <v>36575.950090752376</v>
      </c>
      <c r="I751" s="170">
        <f t="shared" si="703"/>
        <v>121.24340053412909</v>
      </c>
      <c r="J751" s="170">
        <f t="shared" si="703"/>
        <v>12808.361651097783</v>
      </c>
      <c r="K751" s="170">
        <f t="shared" ref="K751:P751" si="704">SUBTOTAL(9,K739:K750)</f>
        <v>17359.672799577467</v>
      </c>
      <c r="L751" s="170">
        <f t="shared" si="704"/>
        <v>328.02047303656838</v>
      </c>
      <c r="M751" s="170">
        <f t="shared" si="704"/>
        <v>1.7800005818475089</v>
      </c>
      <c r="N751" s="170">
        <f t="shared" si="704"/>
        <v>2.7404025247159138</v>
      </c>
      <c r="O751" s="170">
        <f t="shared" si="704"/>
        <v>0</v>
      </c>
      <c r="P751" s="170">
        <f t="shared" si="704"/>
        <v>2998.4480634675838</v>
      </c>
      <c r="Q751" s="170">
        <f t="shared" si="703"/>
        <v>883899.64150185976</v>
      </c>
    </row>
    <row r="752" spans="3:20" ht="15.75" hidden="1" thickBot="1" x14ac:dyDescent="0.3">
      <c r="R752" s="119"/>
      <c r="S752" s="119"/>
      <c r="T752" s="119"/>
    </row>
    <row r="753" spans="2:17" s="119" customFormat="1" ht="45.75" hidden="1" thickBot="1" x14ac:dyDescent="0.3">
      <c r="B753" s="310"/>
      <c r="C753" s="119">
        <f>IF(E753&gt;0,1,0)</f>
        <v>0</v>
      </c>
      <c r="D753" s="96" t="str">
        <f>+A47</f>
        <v>Rockland</v>
      </c>
      <c r="E753" s="166">
        <f>+SUMIF(A:A,D753,B:B)</f>
        <v>0</v>
      </c>
      <c r="F753" s="98" t="s">
        <v>97</v>
      </c>
      <c r="G753" s="98" t="s">
        <v>126</v>
      </c>
      <c r="H753" s="98" t="s">
        <v>127</v>
      </c>
      <c r="I753" s="99" t="s">
        <v>128</v>
      </c>
      <c r="J753" s="99" t="s">
        <v>131</v>
      </c>
      <c r="K753" s="560" t="s">
        <v>474</v>
      </c>
      <c r="L753" s="560" t="s">
        <v>475</v>
      </c>
      <c r="M753" s="560" t="s">
        <v>476</v>
      </c>
      <c r="N753" s="560" t="s">
        <v>477</v>
      </c>
      <c r="O753" s="560" t="s">
        <v>478</v>
      </c>
      <c r="P753" s="560" t="s">
        <v>479</v>
      </c>
      <c r="Q753" s="99" t="s">
        <v>129</v>
      </c>
    </row>
    <row r="754" spans="2:17" s="119" customFormat="1" ht="19.5" hidden="1" thickBot="1" x14ac:dyDescent="0.3">
      <c r="B754" s="310"/>
      <c r="C754" s="119">
        <f>C753</f>
        <v>0</v>
      </c>
      <c r="D754" s="127"/>
      <c r="E754" s="128"/>
      <c r="F754" s="84" t="s">
        <v>57</v>
      </c>
      <c r="G754" s="84" t="s">
        <v>56</v>
      </c>
      <c r="H754" s="84" t="s">
        <v>55</v>
      </c>
      <c r="I754" s="84" t="s">
        <v>54</v>
      </c>
      <c r="J754" s="129" t="s">
        <v>53</v>
      </c>
      <c r="K754" s="129" t="s">
        <v>52</v>
      </c>
      <c r="L754" s="129" t="s">
        <v>51</v>
      </c>
      <c r="M754" s="129" t="s">
        <v>50</v>
      </c>
      <c r="N754" s="129" t="s">
        <v>49</v>
      </c>
      <c r="O754" s="129" t="s">
        <v>47</v>
      </c>
      <c r="P754" s="129" t="s">
        <v>77</v>
      </c>
      <c r="Q754" s="129" t="s">
        <v>78</v>
      </c>
    </row>
    <row r="755" spans="2:17" s="119" customFormat="1" ht="19.5" hidden="1" thickBot="1" x14ac:dyDescent="0.3">
      <c r="B755" s="310"/>
      <c r="C755" s="119">
        <f>C754</f>
        <v>0</v>
      </c>
      <c r="D755" s="133" t="s">
        <v>26</v>
      </c>
      <c r="E755" s="134"/>
      <c r="F755" s="135"/>
      <c r="G755" s="135"/>
      <c r="H755" s="136"/>
      <c r="I755" s="136"/>
      <c r="J755" s="137"/>
      <c r="K755" s="137"/>
      <c r="L755" s="137"/>
      <c r="M755" s="137"/>
      <c r="N755" s="137"/>
      <c r="O755" s="137"/>
      <c r="P755" s="137"/>
      <c r="Q755" s="138"/>
    </row>
    <row r="756" spans="2:17" s="119" customFormat="1" ht="19.5" hidden="1" thickBot="1" x14ac:dyDescent="0.3">
      <c r="B756" s="310"/>
      <c r="C756" s="119">
        <f t="shared" ref="C756:C768" si="705">C755</f>
        <v>0</v>
      </c>
      <c r="D756" s="109" t="s">
        <v>93</v>
      </c>
      <c r="E756" s="76" t="s">
        <v>57</v>
      </c>
      <c r="F756" s="168">
        <f>+F$6*$E753</f>
        <v>0</v>
      </c>
      <c r="G756" s="168">
        <f>+G$6*$E753</f>
        <v>0</v>
      </c>
      <c r="H756" s="168">
        <f>+H$6*$E753</f>
        <v>0</v>
      </c>
      <c r="I756" s="168">
        <f>+I$6*$E753</f>
        <v>0</v>
      </c>
      <c r="J756" s="168">
        <f>+J$6*$E753</f>
        <v>0</v>
      </c>
      <c r="K756" s="168">
        <f t="shared" ref="K756:P756" si="706">+K$6*$E753</f>
        <v>0</v>
      </c>
      <c r="L756" s="168">
        <f t="shared" si="706"/>
        <v>0</v>
      </c>
      <c r="M756" s="168">
        <f t="shared" si="706"/>
        <v>0</v>
      </c>
      <c r="N756" s="168">
        <f t="shared" si="706"/>
        <v>0</v>
      </c>
      <c r="O756" s="168">
        <f t="shared" si="706"/>
        <v>0</v>
      </c>
      <c r="P756" s="168">
        <f t="shared" si="706"/>
        <v>0</v>
      </c>
      <c r="Q756" s="190">
        <f>SUM(G756:P756)</f>
        <v>0</v>
      </c>
    </row>
    <row r="757" spans="2:17" s="119" customFormat="1" ht="19.5" hidden="1" thickBot="1" x14ac:dyDescent="0.3">
      <c r="B757" s="310"/>
      <c r="C757" s="119">
        <f t="shared" si="705"/>
        <v>0</v>
      </c>
      <c r="D757" s="110" t="s">
        <v>132</v>
      </c>
      <c r="E757" s="76" t="s">
        <v>56</v>
      </c>
      <c r="F757" s="168">
        <f>+F$7*$E753</f>
        <v>0</v>
      </c>
      <c r="G757" s="168">
        <f>+G$7*$E753</f>
        <v>0</v>
      </c>
      <c r="H757" s="168">
        <f>+H$7*$E753</f>
        <v>0</v>
      </c>
      <c r="I757" s="168">
        <f>+I$7*$E753</f>
        <v>0</v>
      </c>
      <c r="J757" s="168">
        <f>+J$7*$E753</f>
        <v>0</v>
      </c>
      <c r="K757" s="168">
        <f t="shared" ref="K757:P757" si="707">+K$7*$E753</f>
        <v>0</v>
      </c>
      <c r="L757" s="168">
        <f t="shared" si="707"/>
        <v>0</v>
      </c>
      <c r="M757" s="168">
        <f t="shared" si="707"/>
        <v>0</v>
      </c>
      <c r="N757" s="168">
        <f t="shared" si="707"/>
        <v>0</v>
      </c>
      <c r="O757" s="168">
        <f t="shared" si="707"/>
        <v>0</v>
      </c>
      <c r="P757" s="168">
        <f t="shared" si="707"/>
        <v>0</v>
      </c>
      <c r="Q757" s="190">
        <f>SUM(G757:P757)</f>
        <v>0</v>
      </c>
    </row>
    <row r="758" spans="2:17" s="119" customFormat="1" ht="19.5" hidden="1" thickBot="1" x14ac:dyDescent="0.3">
      <c r="B758" s="310"/>
      <c r="C758" s="119">
        <f t="shared" si="705"/>
        <v>0</v>
      </c>
      <c r="D758" s="109" t="s">
        <v>91</v>
      </c>
      <c r="E758" s="76" t="s">
        <v>55</v>
      </c>
      <c r="F758" s="168">
        <f>+F$8*$E753</f>
        <v>0</v>
      </c>
      <c r="G758" s="168">
        <f>+G$8*$E753</f>
        <v>0</v>
      </c>
      <c r="H758" s="168">
        <f>+H$8*$E753</f>
        <v>0</v>
      </c>
      <c r="I758" s="168">
        <f>+I$8*$E753</f>
        <v>0</v>
      </c>
      <c r="J758" s="168">
        <f>+J$8*$E753</f>
        <v>0</v>
      </c>
      <c r="K758" s="168">
        <f t="shared" ref="K758:P758" si="708">+K$8*$E753</f>
        <v>0</v>
      </c>
      <c r="L758" s="168">
        <f t="shared" si="708"/>
        <v>0</v>
      </c>
      <c r="M758" s="168">
        <f t="shared" si="708"/>
        <v>0</v>
      </c>
      <c r="N758" s="168">
        <f t="shared" si="708"/>
        <v>0</v>
      </c>
      <c r="O758" s="168">
        <f t="shared" si="708"/>
        <v>0</v>
      </c>
      <c r="P758" s="168">
        <f t="shared" si="708"/>
        <v>0</v>
      </c>
      <c r="Q758" s="190">
        <f>SUM(G758:P758)</f>
        <v>0</v>
      </c>
    </row>
    <row r="759" spans="2:17" s="119" customFormat="1" ht="19.5" hidden="1" thickBot="1" x14ac:dyDescent="0.3">
      <c r="B759" s="310"/>
      <c r="C759" s="119">
        <f t="shared" si="705"/>
        <v>0</v>
      </c>
      <c r="D759" s="130" t="s">
        <v>117</v>
      </c>
      <c r="E759" s="76" t="s">
        <v>54</v>
      </c>
      <c r="F759" s="168">
        <f>+F$9*$E753</f>
        <v>0</v>
      </c>
      <c r="G759" s="168">
        <f>+G$9*$E753</f>
        <v>0</v>
      </c>
      <c r="H759" s="168">
        <f>+H$9*$E753</f>
        <v>0</v>
      </c>
      <c r="I759" s="168">
        <f>+I$9*$E753</f>
        <v>0</v>
      </c>
      <c r="J759" s="168">
        <f>+J$9*$E753</f>
        <v>0</v>
      </c>
      <c r="K759" s="168">
        <f t="shared" ref="K759:P759" si="709">+K$9*$E753</f>
        <v>0</v>
      </c>
      <c r="L759" s="168">
        <f t="shared" si="709"/>
        <v>0</v>
      </c>
      <c r="M759" s="168">
        <f t="shared" si="709"/>
        <v>0</v>
      </c>
      <c r="N759" s="168">
        <f t="shared" si="709"/>
        <v>0</v>
      </c>
      <c r="O759" s="168">
        <f t="shared" si="709"/>
        <v>0</v>
      </c>
      <c r="P759" s="168">
        <f t="shared" si="709"/>
        <v>0</v>
      </c>
      <c r="Q759" s="190">
        <f>SUM(G759:P759)</f>
        <v>0</v>
      </c>
    </row>
    <row r="760" spans="2:17" s="119" customFormat="1" ht="19.5" hidden="1" thickBot="1" x14ac:dyDescent="0.3">
      <c r="B760" s="310"/>
      <c r="C760" s="119">
        <f t="shared" si="705"/>
        <v>0</v>
      </c>
      <c r="D760" s="112" t="s">
        <v>31</v>
      </c>
      <c r="E760" s="76"/>
      <c r="F760" s="167"/>
      <c r="G760" s="185"/>
      <c r="H760" s="185"/>
      <c r="I760" s="185"/>
      <c r="J760" s="185"/>
      <c r="K760" s="185"/>
      <c r="L760" s="185"/>
      <c r="M760" s="185"/>
      <c r="N760" s="185"/>
      <c r="O760" s="185"/>
      <c r="P760" s="185"/>
      <c r="Q760" s="171"/>
    </row>
    <row r="761" spans="2:17" s="119" customFormat="1" ht="19.5" hidden="1" thickBot="1" x14ac:dyDescent="0.35">
      <c r="B761" s="310"/>
      <c r="C761" s="119">
        <f t="shared" si="705"/>
        <v>0</v>
      </c>
      <c r="D761" s="125" t="s">
        <v>118</v>
      </c>
      <c r="E761" s="76" t="s">
        <v>53</v>
      </c>
      <c r="F761" s="168">
        <f>+F$11*$E753</f>
        <v>0</v>
      </c>
      <c r="G761" s="168">
        <f>+G$11*$E753</f>
        <v>0</v>
      </c>
      <c r="H761" s="168">
        <f>+H$11*$E753</f>
        <v>0</v>
      </c>
      <c r="I761" s="168">
        <f>+I$11*$E753</f>
        <v>0</v>
      </c>
      <c r="J761" s="168">
        <f>+J$11*$E753</f>
        <v>0</v>
      </c>
      <c r="K761" s="168">
        <f t="shared" ref="K761:P761" si="710">+K$11*$E753</f>
        <v>0</v>
      </c>
      <c r="L761" s="168">
        <f t="shared" si="710"/>
        <v>0</v>
      </c>
      <c r="M761" s="168">
        <f t="shared" si="710"/>
        <v>0</v>
      </c>
      <c r="N761" s="168">
        <f t="shared" si="710"/>
        <v>0</v>
      </c>
      <c r="O761" s="168">
        <f t="shared" si="710"/>
        <v>0</v>
      </c>
      <c r="P761" s="168">
        <f t="shared" si="710"/>
        <v>0</v>
      </c>
      <c r="Q761" s="190">
        <f t="shared" ref="Q761:Q767" si="711">SUM(G761:P761)</f>
        <v>0</v>
      </c>
    </row>
    <row r="762" spans="2:17" s="119" customFormat="1" ht="19.5" hidden="1" thickBot="1" x14ac:dyDescent="0.35">
      <c r="B762" s="310"/>
      <c r="C762" s="119">
        <f t="shared" si="705"/>
        <v>0</v>
      </c>
      <c r="D762" s="125" t="s">
        <v>119</v>
      </c>
      <c r="E762" s="76" t="s">
        <v>52</v>
      </c>
      <c r="F762" s="168">
        <f>+F$12*$E753</f>
        <v>0</v>
      </c>
      <c r="G762" s="168">
        <f>+G$12*$E753</f>
        <v>0</v>
      </c>
      <c r="H762" s="168">
        <f>+H$12*$E753</f>
        <v>0</v>
      </c>
      <c r="I762" s="168">
        <f>+I$12*$E753</f>
        <v>0</v>
      </c>
      <c r="J762" s="168">
        <f>+J$12*$E753</f>
        <v>0</v>
      </c>
      <c r="K762" s="168">
        <f t="shared" ref="K762:P762" si="712">+K$12*$E753</f>
        <v>0</v>
      </c>
      <c r="L762" s="168">
        <f t="shared" si="712"/>
        <v>0</v>
      </c>
      <c r="M762" s="168">
        <f t="shared" si="712"/>
        <v>0</v>
      </c>
      <c r="N762" s="168">
        <f t="shared" si="712"/>
        <v>0</v>
      </c>
      <c r="O762" s="168">
        <f t="shared" si="712"/>
        <v>0</v>
      </c>
      <c r="P762" s="168">
        <f t="shared" si="712"/>
        <v>0</v>
      </c>
      <c r="Q762" s="190">
        <f t="shared" si="711"/>
        <v>0</v>
      </c>
    </row>
    <row r="763" spans="2:17" s="119" customFormat="1" ht="19.5" hidden="1" thickBot="1" x14ac:dyDescent="0.35">
      <c r="B763" s="310"/>
      <c r="C763" s="119">
        <f t="shared" si="705"/>
        <v>0</v>
      </c>
      <c r="D763" s="125" t="s">
        <v>120</v>
      </c>
      <c r="E763" s="76" t="s">
        <v>51</v>
      </c>
      <c r="F763" s="168">
        <f>+F$13*$E753</f>
        <v>0</v>
      </c>
      <c r="G763" s="168">
        <f>+G$13*$E753</f>
        <v>0</v>
      </c>
      <c r="H763" s="168">
        <f>+H$13*$E753</f>
        <v>0</v>
      </c>
      <c r="I763" s="168">
        <f>+I$13*$E753</f>
        <v>0</v>
      </c>
      <c r="J763" s="168">
        <f>+J$13*$E753</f>
        <v>0</v>
      </c>
      <c r="K763" s="168">
        <f t="shared" ref="K763:P763" si="713">+K$13*$E753</f>
        <v>0</v>
      </c>
      <c r="L763" s="168">
        <f t="shared" si="713"/>
        <v>0</v>
      </c>
      <c r="M763" s="168">
        <f t="shared" si="713"/>
        <v>0</v>
      </c>
      <c r="N763" s="168">
        <f t="shared" si="713"/>
        <v>0</v>
      </c>
      <c r="O763" s="168">
        <f t="shared" si="713"/>
        <v>0</v>
      </c>
      <c r="P763" s="168">
        <f t="shared" si="713"/>
        <v>0</v>
      </c>
      <c r="Q763" s="190">
        <f t="shared" si="711"/>
        <v>0</v>
      </c>
    </row>
    <row r="764" spans="2:17" s="119" customFormat="1" ht="19.5" hidden="1" thickBot="1" x14ac:dyDescent="0.35">
      <c r="B764" s="310"/>
      <c r="C764" s="119">
        <f t="shared" si="705"/>
        <v>0</v>
      </c>
      <c r="D764" s="125" t="s">
        <v>121</v>
      </c>
      <c r="E764" s="76" t="s">
        <v>50</v>
      </c>
      <c r="F764" s="168">
        <f>+F$14*$E753</f>
        <v>0</v>
      </c>
      <c r="G764" s="168">
        <f>+G$14*$E753</f>
        <v>0</v>
      </c>
      <c r="H764" s="168">
        <f>+H$14*$E753</f>
        <v>0</v>
      </c>
      <c r="I764" s="168">
        <f>+I$14*$E753</f>
        <v>0</v>
      </c>
      <c r="J764" s="168">
        <f>+J$14*$E753</f>
        <v>0</v>
      </c>
      <c r="K764" s="168">
        <f t="shared" ref="K764:P764" si="714">+K$14*$E753</f>
        <v>0</v>
      </c>
      <c r="L764" s="168">
        <f t="shared" si="714"/>
        <v>0</v>
      </c>
      <c r="M764" s="168">
        <f t="shared" si="714"/>
        <v>0</v>
      </c>
      <c r="N764" s="168">
        <f t="shared" si="714"/>
        <v>0</v>
      </c>
      <c r="O764" s="168">
        <f t="shared" si="714"/>
        <v>0</v>
      </c>
      <c r="P764" s="168">
        <f t="shared" si="714"/>
        <v>0</v>
      </c>
      <c r="Q764" s="190">
        <f t="shared" si="711"/>
        <v>0</v>
      </c>
    </row>
    <row r="765" spans="2:17" s="119" customFormat="1" ht="19.5" hidden="1" thickBot="1" x14ac:dyDescent="0.35">
      <c r="B765" s="310"/>
      <c r="C765" s="119">
        <f t="shared" si="705"/>
        <v>0</v>
      </c>
      <c r="D765" s="125" t="s">
        <v>122</v>
      </c>
      <c r="E765" s="76" t="s">
        <v>49</v>
      </c>
      <c r="F765" s="168">
        <f>+F$15*$E753</f>
        <v>0</v>
      </c>
      <c r="G765" s="168">
        <f>+G$15*$E753</f>
        <v>0</v>
      </c>
      <c r="H765" s="168">
        <f>+H$15*$E753</f>
        <v>0</v>
      </c>
      <c r="I765" s="168">
        <f>+I$15*$E753</f>
        <v>0</v>
      </c>
      <c r="J765" s="168">
        <f>+J$15*$E753</f>
        <v>0</v>
      </c>
      <c r="K765" s="168">
        <f t="shared" ref="K765:P765" si="715">+K$15*$E753</f>
        <v>0</v>
      </c>
      <c r="L765" s="168">
        <f t="shared" si="715"/>
        <v>0</v>
      </c>
      <c r="M765" s="168">
        <f t="shared" si="715"/>
        <v>0</v>
      </c>
      <c r="N765" s="168">
        <f t="shared" si="715"/>
        <v>0</v>
      </c>
      <c r="O765" s="168">
        <f t="shared" si="715"/>
        <v>0</v>
      </c>
      <c r="P765" s="168">
        <f t="shared" si="715"/>
        <v>0</v>
      </c>
      <c r="Q765" s="190">
        <f t="shared" si="711"/>
        <v>0</v>
      </c>
    </row>
    <row r="766" spans="2:17" s="119" customFormat="1" ht="19.5" hidden="1" thickBot="1" x14ac:dyDescent="0.35">
      <c r="B766" s="310"/>
      <c r="C766" s="119">
        <f t="shared" si="705"/>
        <v>0</v>
      </c>
      <c r="D766" s="125" t="s">
        <v>123</v>
      </c>
      <c r="E766" s="76" t="s">
        <v>47</v>
      </c>
      <c r="F766" s="168">
        <f>+F$16*$E753</f>
        <v>0</v>
      </c>
      <c r="G766" s="168">
        <f>+G$16*$E753</f>
        <v>0</v>
      </c>
      <c r="H766" s="168">
        <f>+H$16*$E753</f>
        <v>0</v>
      </c>
      <c r="I766" s="168">
        <f>+I$16*$E753</f>
        <v>0</v>
      </c>
      <c r="J766" s="168">
        <f>+J$16*$E753</f>
        <v>0</v>
      </c>
      <c r="K766" s="168">
        <f t="shared" ref="K766:P766" si="716">+K$16*$E753</f>
        <v>0</v>
      </c>
      <c r="L766" s="168">
        <f t="shared" si="716"/>
        <v>0</v>
      </c>
      <c r="M766" s="168">
        <f t="shared" si="716"/>
        <v>0</v>
      </c>
      <c r="N766" s="168">
        <f t="shared" si="716"/>
        <v>0</v>
      </c>
      <c r="O766" s="168">
        <f t="shared" si="716"/>
        <v>0</v>
      </c>
      <c r="P766" s="168">
        <f t="shared" si="716"/>
        <v>0</v>
      </c>
      <c r="Q766" s="190">
        <f t="shared" si="711"/>
        <v>0</v>
      </c>
    </row>
    <row r="767" spans="2:17" s="119" customFormat="1" ht="19.5" hidden="1" thickBot="1" x14ac:dyDescent="0.35">
      <c r="B767" s="310"/>
      <c r="C767" s="119">
        <f t="shared" si="705"/>
        <v>0</v>
      </c>
      <c r="D767" s="125" t="s">
        <v>16</v>
      </c>
      <c r="E767" s="70" t="s">
        <v>77</v>
      </c>
      <c r="F767" s="168">
        <f>+F$17*$E753</f>
        <v>0</v>
      </c>
      <c r="G767" s="168">
        <f>+G$17*$E753</f>
        <v>0</v>
      </c>
      <c r="H767" s="168">
        <f>+H$17*$E753</f>
        <v>0</v>
      </c>
      <c r="I767" s="168">
        <f>+I$17*$E753</f>
        <v>0</v>
      </c>
      <c r="J767" s="168">
        <f>+J$17*$E753</f>
        <v>0</v>
      </c>
      <c r="K767" s="168">
        <f t="shared" ref="K767:P767" si="717">+K$17*$E753</f>
        <v>0</v>
      </c>
      <c r="L767" s="168">
        <f t="shared" si="717"/>
        <v>0</v>
      </c>
      <c r="M767" s="168">
        <f t="shared" si="717"/>
        <v>0</v>
      </c>
      <c r="N767" s="168">
        <f t="shared" si="717"/>
        <v>0</v>
      </c>
      <c r="O767" s="168">
        <f t="shared" si="717"/>
        <v>0</v>
      </c>
      <c r="P767" s="168">
        <f t="shared" si="717"/>
        <v>0</v>
      </c>
      <c r="Q767" s="190">
        <f t="shared" si="711"/>
        <v>0</v>
      </c>
    </row>
    <row r="768" spans="2:17" s="119" customFormat="1" ht="19.5" hidden="1" thickBot="1" x14ac:dyDescent="0.3">
      <c r="B768" s="310"/>
      <c r="C768" s="119">
        <f t="shared" si="705"/>
        <v>0</v>
      </c>
      <c r="D768" s="131" t="s">
        <v>124</v>
      </c>
      <c r="E768" s="116" t="s">
        <v>78</v>
      </c>
      <c r="F768" s="169">
        <f t="shared" ref="F768:Q768" si="718">SUBTOTAL(9,F756:F767)</f>
        <v>0</v>
      </c>
      <c r="G768" s="170">
        <f t="shared" si="718"/>
        <v>0</v>
      </c>
      <c r="H768" s="170">
        <f t="shared" si="718"/>
        <v>0</v>
      </c>
      <c r="I768" s="170">
        <f t="shared" si="718"/>
        <v>0</v>
      </c>
      <c r="J768" s="170">
        <f t="shared" si="718"/>
        <v>0</v>
      </c>
      <c r="K768" s="170">
        <f t="shared" ref="K768:P768" si="719">SUBTOTAL(9,K756:K767)</f>
        <v>0</v>
      </c>
      <c r="L768" s="170">
        <f t="shared" si="719"/>
        <v>0</v>
      </c>
      <c r="M768" s="170">
        <f t="shared" si="719"/>
        <v>0</v>
      </c>
      <c r="N768" s="170">
        <f t="shared" si="719"/>
        <v>0</v>
      </c>
      <c r="O768" s="170">
        <f t="shared" si="719"/>
        <v>0</v>
      </c>
      <c r="P768" s="170">
        <f t="shared" si="719"/>
        <v>0</v>
      </c>
      <c r="Q768" s="170">
        <f t="shared" si="718"/>
        <v>0</v>
      </c>
    </row>
    <row r="769" spans="2:17" s="119" customFormat="1" ht="15.75" hidden="1" thickBot="1" x14ac:dyDescent="0.3">
      <c r="B769" s="310"/>
      <c r="D769" s="117"/>
      <c r="E769" s="132"/>
      <c r="F769" s="117"/>
      <c r="G769" s="117"/>
      <c r="H769" s="118"/>
      <c r="I769" s="118"/>
      <c r="J769" s="118"/>
      <c r="K769" s="118"/>
      <c r="L769" s="118"/>
      <c r="M769" s="118"/>
      <c r="N769" s="118"/>
      <c r="O769" s="118"/>
      <c r="P769" s="118"/>
      <c r="Q769" s="118"/>
    </row>
    <row r="770" spans="2:17" s="119" customFormat="1" ht="45.75" hidden="1" thickBot="1" x14ac:dyDescent="0.3">
      <c r="B770" s="310"/>
      <c r="C770" s="119">
        <f>IF(E770&gt;0,1,0)</f>
        <v>0</v>
      </c>
      <c r="D770" s="96" t="str">
        <f>+A48</f>
        <v>Saint Lawrence</v>
      </c>
      <c r="E770" s="166">
        <f>+SUMIF(A:A,D770,B:B)</f>
        <v>0</v>
      </c>
      <c r="F770" s="98" t="s">
        <v>97</v>
      </c>
      <c r="G770" s="98" t="s">
        <v>126</v>
      </c>
      <c r="H770" s="98" t="s">
        <v>127</v>
      </c>
      <c r="I770" s="99" t="s">
        <v>128</v>
      </c>
      <c r="J770" s="99" t="s">
        <v>131</v>
      </c>
      <c r="K770" s="560" t="s">
        <v>474</v>
      </c>
      <c r="L770" s="560" t="s">
        <v>475</v>
      </c>
      <c r="M770" s="560" t="s">
        <v>476</v>
      </c>
      <c r="N770" s="560" t="s">
        <v>477</v>
      </c>
      <c r="O770" s="560" t="s">
        <v>478</v>
      </c>
      <c r="P770" s="560" t="s">
        <v>479</v>
      </c>
      <c r="Q770" s="99" t="s">
        <v>129</v>
      </c>
    </row>
    <row r="771" spans="2:17" s="119" customFormat="1" ht="19.5" hidden="1" thickBot="1" x14ac:dyDescent="0.3">
      <c r="B771" s="310"/>
      <c r="C771" s="119">
        <f>C770</f>
        <v>0</v>
      </c>
      <c r="D771" s="127"/>
      <c r="E771" s="128"/>
      <c r="F771" s="84" t="s">
        <v>57</v>
      </c>
      <c r="G771" s="84" t="s">
        <v>56</v>
      </c>
      <c r="H771" s="84" t="s">
        <v>55</v>
      </c>
      <c r="I771" s="84" t="s">
        <v>54</v>
      </c>
      <c r="J771" s="129" t="s">
        <v>53</v>
      </c>
      <c r="K771" s="129" t="s">
        <v>52</v>
      </c>
      <c r="L771" s="129" t="s">
        <v>51</v>
      </c>
      <c r="M771" s="129" t="s">
        <v>50</v>
      </c>
      <c r="N771" s="129" t="s">
        <v>49</v>
      </c>
      <c r="O771" s="129" t="s">
        <v>47</v>
      </c>
      <c r="P771" s="129" t="s">
        <v>77</v>
      </c>
      <c r="Q771" s="129" t="s">
        <v>78</v>
      </c>
    </row>
    <row r="772" spans="2:17" s="119" customFormat="1" ht="19.5" hidden="1" thickBot="1" x14ac:dyDescent="0.3">
      <c r="B772" s="310"/>
      <c r="C772" s="119">
        <f>C771</f>
        <v>0</v>
      </c>
      <c r="D772" s="133" t="s">
        <v>26</v>
      </c>
      <c r="E772" s="134"/>
      <c r="F772" s="135"/>
      <c r="G772" s="135"/>
      <c r="H772" s="136"/>
      <c r="I772" s="136"/>
      <c r="J772" s="137"/>
      <c r="K772" s="137"/>
      <c r="L772" s="137"/>
      <c r="M772" s="137"/>
      <c r="N772" s="137"/>
      <c r="O772" s="137"/>
      <c r="P772" s="137"/>
      <c r="Q772" s="138"/>
    </row>
    <row r="773" spans="2:17" s="119" customFormat="1" ht="19.5" hidden="1" thickBot="1" x14ac:dyDescent="0.3">
      <c r="B773" s="310"/>
      <c r="C773" s="119">
        <f t="shared" ref="C773:C785" si="720">C772</f>
        <v>0</v>
      </c>
      <c r="D773" s="109" t="s">
        <v>93</v>
      </c>
      <c r="E773" s="76" t="s">
        <v>57</v>
      </c>
      <c r="F773" s="168">
        <f>+F$6*$E770</f>
        <v>0</v>
      </c>
      <c r="G773" s="168">
        <f>+G$6*$E770</f>
        <v>0</v>
      </c>
      <c r="H773" s="168">
        <f>+H$6*$E770</f>
        <v>0</v>
      </c>
      <c r="I773" s="168">
        <f>+I$6*$E770</f>
        <v>0</v>
      </c>
      <c r="J773" s="168">
        <f>+J$6*$E770</f>
        <v>0</v>
      </c>
      <c r="K773" s="168">
        <f t="shared" ref="K773:P773" si="721">+K$6*$E770</f>
        <v>0</v>
      </c>
      <c r="L773" s="168">
        <f t="shared" si="721"/>
        <v>0</v>
      </c>
      <c r="M773" s="168">
        <f t="shared" si="721"/>
        <v>0</v>
      </c>
      <c r="N773" s="168">
        <f t="shared" si="721"/>
        <v>0</v>
      </c>
      <c r="O773" s="168">
        <f t="shared" si="721"/>
        <v>0</v>
      </c>
      <c r="P773" s="168">
        <f t="shared" si="721"/>
        <v>0</v>
      </c>
      <c r="Q773" s="190">
        <f>SUM(G773:P773)</f>
        <v>0</v>
      </c>
    </row>
    <row r="774" spans="2:17" s="119" customFormat="1" ht="19.5" hidden="1" thickBot="1" x14ac:dyDescent="0.3">
      <c r="B774" s="310"/>
      <c r="C774" s="119">
        <f t="shared" si="720"/>
        <v>0</v>
      </c>
      <c r="D774" s="110" t="s">
        <v>132</v>
      </c>
      <c r="E774" s="76" t="s">
        <v>56</v>
      </c>
      <c r="F774" s="168">
        <f>+F$7*$E770</f>
        <v>0</v>
      </c>
      <c r="G774" s="168">
        <f>+G$7*$E770</f>
        <v>0</v>
      </c>
      <c r="H774" s="168">
        <f>+H$7*$E770</f>
        <v>0</v>
      </c>
      <c r="I774" s="168">
        <f>+I$7*$E770</f>
        <v>0</v>
      </c>
      <c r="J774" s="168">
        <f>+J$7*$E770</f>
        <v>0</v>
      </c>
      <c r="K774" s="168">
        <f t="shared" ref="K774:P774" si="722">+K$7*$E770</f>
        <v>0</v>
      </c>
      <c r="L774" s="168">
        <f t="shared" si="722"/>
        <v>0</v>
      </c>
      <c r="M774" s="168">
        <f t="shared" si="722"/>
        <v>0</v>
      </c>
      <c r="N774" s="168">
        <f t="shared" si="722"/>
        <v>0</v>
      </c>
      <c r="O774" s="168">
        <f t="shared" si="722"/>
        <v>0</v>
      </c>
      <c r="P774" s="168">
        <f t="shared" si="722"/>
        <v>0</v>
      </c>
      <c r="Q774" s="190">
        <f>SUM(G774:P774)</f>
        <v>0</v>
      </c>
    </row>
    <row r="775" spans="2:17" s="119" customFormat="1" ht="19.5" hidden="1" thickBot="1" x14ac:dyDescent="0.3">
      <c r="B775" s="310"/>
      <c r="C775" s="119">
        <f t="shared" si="720"/>
        <v>0</v>
      </c>
      <c r="D775" s="109" t="s">
        <v>91</v>
      </c>
      <c r="E775" s="76" t="s">
        <v>55</v>
      </c>
      <c r="F775" s="168">
        <f>+F$8*$E770</f>
        <v>0</v>
      </c>
      <c r="G775" s="168">
        <f>+G$8*$E770</f>
        <v>0</v>
      </c>
      <c r="H775" s="168">
        <f>+H$8*$E770</f>
        <v>0</v>
      </c>
      <c r="I775" s="168">
        <f>+I$8*$E770</f>
        <v>0</v>
      </c>
      <c r="J775" s="168">
        <f>+J$8*$E770</f>
        <v>0</v>
      </c>
      <c r="K775" s="168">
        <f t="shared" ref="K775:P775" si="723">+K$8*$E770</f>
        <v>0</v>
      </c>
      <c r="L775" s="168">
        <f t="shared" si="723"/>
        <v>0</v>
      </c>
      <c r="M775" s="168">
        <f t="shared" si="723"/>
        <v>0</v>
      </c>
      <c r="N775" s="168">
        <f t="shared" si="723"/>
        <v>0</v>
      </c>
      <c r="O775" s="168">
        <f t="shared" si="723"/>
        <v>0</v>
      </c>
      <c r="P775" s="168">
        <f t="shared" si="723"/>
        <v>0</v>
      </c>
      <c r="Q775" s="190">
        <f>SUM(G775:P775)</f>
        <v>0</v>
      </c>
    </row>
    <row r="776" spans="2:17" s="119" customFormat="1" ht="19.5" hidden="1" thickBot="1" x14ac:dyDescent="0.3">
      <c r="B776" s="310"/>
      <c r="C776" s="119">
        <f t="shared" si="720"/>
        <v>0</v>
      </c>
      <c r="D776" s="130" t="s">
        <v>117</v>
      </c>
      <c r="E776" s="76" t="s">
        <v>54</v>
      </c>
      <c r="F776" s="168">
        <f>+F$9*$E770</f>
        <v>0</v>
      </c>
      <c r="G776" s="168">
        <f>+G$9*$E770</f>
        <v>0</v>
      </c>
      <c r="H776" s="168">
        <f>+H$9*$E770</f>
        <v>0</v>
      </c>
      <c r="I776" s="168">
        <f>+I$9*$E770</f>
        <v>0</v>
      </c>
      <c r="J776" s="168">
        <f>+J$9*$E770</f>
        <v>0</v>
      </c>
      <c r="K776" s="168">
        <f t="shared" ref="K776:P776" si="724">+K$9*$E770</f>
        <v>0</v>
      </c>
      <c r="L776" s="168">
        <f t="shared" si="724"/>
        <v>0</v>
      </c>
      <c r="M776" s="168">
        <f t="shared" si="724"/>
        <v>0</v>
      </c>
      <c r="N776" s="168">
        <f t="shared" si="724"/>
        <v>0</v>
      </c>
      <c r="O776" s="168">
        <f t="shared" si="724"/>
        <v>0</v>
      </c>
      <c r="P776" s="168">
        <f t="shared" si="724"/>
        <v>0</v>
      </c>
      <c r="Q776" s="190">
        <f>SUM(G776:P776)</f>
        <v>0</v>
      </c>
    </row>
    <row r="777" spans="2:17" s="119" customFormat="1" ht="19.5" hidden="1" thickBot="1" x14ac:dyDescent="0.3">
      <c r="B777" s="310"/>
      <c r="C777" s="119">
        <f t="shared" si="720"/>
        <v>0</v>
      </c>
      <c r="D777" s="112" t="s">
        <v>31</v>
      </c>
      <c r="E777" s="76"/>
      <c r="F777" s="167"/>
      <c r="G777" s="185"/>
      <c r="H777" s="185"/>
      <c r="I777" s="185"/>
      <c r="J777" s="185"/>
      <c r="K777" s="185"/>
      <c r="L777" s="185"/>
      <c r="M777" s="185"/>
      <c r="N777" s="185"/>
      <c r="O777" s="185"/>
      <c r="P777" s="185"/>
      <c r="Q777" s="171"/>
    </row>
    <row r="778" spans="2:17" s="119" customFormat="1" ht="19.5" hidden="1" thickBot="1" x14ac:dyDescent="0.35">
      <c r="B778" s="310"/>
      <c r="C778" s="119">
        <f t="shared" si="720"/>
        <v>0</v>
      </c>
      <c r="D778" s="125" t="s">
        <v>118</v>
      </c>
      <c r="E778" s="76" t="s">
        <v>53</v>
      </c>
      <c r="F778" s="168">
        <f>+F$11*$E770</f>
        <v>0</v>
      </c>
      <c r="G778" s="168">
        <f>+G$11*$E770</f>
        <v>0</v>
      </c>
      <c r="H778" s="168">
        <f>+H$11*$E770</f>
        <v>0</v>
      </c>
      <c r="I778" s="168">
        <f>+I$11*$E770</f>
        <v>0</v>
      </c>
      <c r="J778" s="168">
        <f>+J$11*$E770</f>
        <v>0</v>
      </c>
      <c r="K778" s="168">
        <f t="shared" ref="K778:P778" si="725">+K$11*$E770</f>
        <v>0</v>
      </c>
      <c r="L778" s="168">
        <f t="shared" si="725"/>
        <v>0</v>
      </c>
      <c r="M778" s="168">
        <f t="shared" si="725"/>
        <v>0</v>
      </c>
      <c r="N778" s="168">
        <f t="shared" si="725"/>
        <v>0</v>
      </c>
      <c r="O778" s="168">
        <f t="shared" si="725"/>
        <v>0</v>
      </c>
      <c r="P778" s="168">
        <f t="shared" si="725"/>
        <v>0</v>
      </c>
      <c r="Q778" s="190">
        <f t="shared" ref="Q778:Q784" si="726">SUM(G778:P778)</f>
        <v>0</v>
      </c>
    </row>
    <row r="779" spans="2:17" s="119" customFormat="1" ht="19.5" hidden="1" thickBot="1" x14ac:dyDescent="0.35">
      <c r="B779" s="310"/>
      <c r="C779" s="119">
        <f t="shared" si="720"/>
        <v>0</v>
      </c>
      <c r="D779" s="125" t="s">
        <v>119</v>
      </c>
      <c r="E779" s="76" t="s">
        <v>52</v>
      </c>
      <c r="F779" s="168">
        <f>+F$12*$E770</f>
        <v>0</v>
      </c>
      <c r="G779" s="168">
        <f>+G$12*$E770</f>
        <v>0</v>
      </c>
      <c r="H779" s="168">
        <f>+H$12*$E770</f>
        <v>0</v>
      </c>
      <c r="I779" s="168">
        <f>+I$12*$E770</f>
        <v>0</v>
      </c>
      <c r="J779" s="168">
        <f>+J$12*$E770</f>
        <v>0</v>
      </c>
      <c r="K779" s="168">
        <f t="shared" ref="K779:P779" si="727">+K$12*$E770</f>
        <v>0</v>
      </c>
      <c r="L779" s="168">
        <f t="shared" si="727"/>
        <v>0</v>
      </c>
      <c r="M779" s="168">
        <f t="shared" si="727"/>
        <v>0</v>
      </c>
      <c r="N779" s="168">
        <f t="shared" si="727"/>
        <v>0</v>
      </c>
      <c r="O779" s="168">
        <f t="shared" si="727"/>
        <v>0</v>
      </c>
      <c r="P779" s="168">
        <f t="shared" si="727"/>
        <v>0</v>
      </c>
      <c r="Q779" s="190">
        <f t="shared" si="726"/>
        <v>0</v>
      </c>
    </row>
    <row r="780" spans="2:17" s="119" customFormat="1" ht="19.5" hidden="1" thickBot="1" x14ac:dyDescent="0.35">
      <c r="B780" s="310"/>
      <c r="C780" s="119">
        <f t="shared" si="720"/>
        <v>0</v>
      </c>
      <c r="D780" s="125" t="s">
        <v>120</v>
      </c>
      <c r="E780" s="76" t="s">
        <v>51</v>
      </c>
      <c r="F780" s="168">
        <f>+F$13*$E770</f>
        <v>0</v>
      </c>
      <c r="G780" s="168">
        <f>+G$13*$E770</f>
        <v>0</v>
      </c>
      <c r="H780" s="168">
        <f>+H$13*$E770</f>
        <v>0</v>
      </c>
      <c r="I780" s="168">
        <f>+I$13*$E770</f>
        <v>0</v>
      </c>
      <c r="J780" s="168">
        <f>+J$13*$E770</f>
        <v>0</v>
      </c>
      <c r="K780" s="168">
        <f t="shared" ref="K780:P780" si="728">+K$13*$E770</f>
        <v>0</v>
      </c>
      <c r="L780" s="168">
        <f t="shared" si="728"/>
        <v>0</v>
      </c>
      <c r="M780" s="168">
        <f t="shared" si="728"/>
        <v>0</v>
      </c>
      <c r="N780" s="168">
        <f t="shared" si="728"/>
        <v>0</v>
      </c>
      <c r="O780" s="168">
        <f t="shared" si="728"/>
        <v>0</v>
      </c>
      <c r="P780" s="168">
        <f t="shared" si="728"/>
        <v>0</v>
      </c>
      <c r="Q780" s="190">
        <f t="shared" si="726"/>
        <v>0</v>
      </c>
    </row>
    <row r="781" spans="2:17" s="119" customFormat="1" ht="19.5" hidden="1" thickBot="1" x14ac:dyDescent="0.35">
      <c r="B781" s="310"/>
      <c r="C781" s="119">
        <f t="shared" si="720"/>
        <v>0</v>
      </c>
      <c r="D781" s="125" t="s">
        <v>121</v>
      </c>
      <c r="E781" s="76" t="s">
        <v>50</v>
      </c>
      <c r="F781" s="168">
        <f>+F$14*$E770</f>
        <v>0</v>
      </c>
      <c r="G781" s="168">
        <f>+G$14*$E770</f>
        <v>0</v>
      </c>
      <c r="H781" s="168">
        <f>+H$14*$E770</f>
        <v>0</v>
      </c>
      <c r="I781" s="168">
        <f>+I$14*$E770</f>
        <v>0</v>
      </c>
      <c r="J781" s="168">
        <f>+J$14*$E770</f>
        <v>0</v>
      </c>
      <c r="K781" s="168">
        <f t="shared" ref="K781:P781" si="729">+K$14*$E770</f>
        <v>0</v>
      </c>
      <c r="L781" s="168">
        <f t="shared" si="729"/>
        <v>0</v>
      </c>
      <c r="M781" s="168">
        <f t="shared" si="729"/>
        <v>0</v>
      </c>
      <c r="N781" s="168">
        <f t="shared" si="729"/>
        <v>0</v>
      </c>
      <c r="O781" s="168">
        <f t="shared" si="729"/>
        <v>0</v>
      </c>
      <c r="P781" s="168">
        <f t="shared" si="729"/>
        <v>0</v>
      </c>
      <c r="Q781" s="190">
        <f t="shared" si="726"/>
        <v>0</v>
      </c>
    </row>
    <row r="782" spans="2:17" s="119" customFormat="1" ht="19.5" hidden="1" thickBot="1" x14ac:dyDescent="0.35">
      <c r="B782" s="310"/>
      <c r="C782" s="119">
        <f t="shared" si="720"/>
        <v>0</v>
      </c>
      <c r="D782" s="125" t="s">
        <v>122</v>
      </c>
      <c r="E782" s="76" t="s">
        <v>49</v>
      </c>
      <c r="F782" s="168">
        <f>+F$15*$E770</f>
        <v>0</v>
      </c>
      <c r="G782" s="168">
        <f>+G$15*$E770</f>
        <v>0</v>
      </c>
      <c r="H782" s="168">
        <f>+H$15*$E770</f>
        <v>0</v>
      </c>
      <c r="I782" s="168">
        <f>+I$15*$E770</f>
        <v>0</v>
      </c>
      <c r="J782" s="168">
        <f>+J$15*$E770</f>
        <v>0</v>
      </c>
      <c r="K782" s="168">
        <f t="shared" ref="K782:P782" si="730">+K$15*$E770</f>
        <v>0</v>
      </c>
      <c r="L782" s="168">
        <f t="shared" si="730"/>
        <v>0</v>
      </c>
      <c r="M782" s="168">
        <f t="shared" si="730"/>
        <v>0</v>
      </c>
      <c r="N782" s="168">
        <f t="shared" si="730"/>
        <v>0</v>
      </c>
      <c r="O782" s="168">
        <f t="shared" si="730"/>
        <v>0</v>
      </c>
      <c r="P782" s="168">
        <f t="shared" si="730"/>
        <v>0</v>
      </c>
      <c r="Q782" s="190">
        <f t="shared" si="726"/>
        <v>0</v>
      </c>
    </row>
    <row r="783" spans="2:17" s="119" customFormat="1" ht="19.5" hidden="1" thickBot="1" x14ac:dyDescent="0.35">
      <c r="B783" s="310"/>
      <c r="C783" s="119">
        <f t="shared" si="720"/>
        <v>0</v>
      </c>
      <c r="D783" s="125" t="s">
        <v>123</v>
      </c>
      <c r="E783" s="76" t="s">
        <v>47</v>
      </c>
      <c r="F783" s="168">
        <f>+F$16*$E770</f>
        <v>0</v>
      </c>
      <c r="G783" s="168">
        <f>+G$16*$E770</f>
        <v>0</v>
      </c>
      <c r="H783" s="168">
        <f>+H$16*$E770</f>
        <v>0</v>
      </c>
      <c r="I783" s="168">
        <f>+I$16*$E770</f>
        <v>0</v>
      </c>
      <c r="J783" s="168">
        <f>+J$16*$E770</f>
        <v>0</v>
      </c>
      <c r="K783" s="168">
        <f t="shared" ref="K783:P783" si="731">+K$16*$E770</f>
        <v>0</v>
      </c>
      <c r="L783" s="168">
        <f t="shared" si="731"/>
        <v>0</v>
      </c>
      <c r="M783" s="168">
        <f t="shared" si="731"/>
        <v>0</v>
      </c>
      <c r="N783" s="168">
        <f t="shared" si="731"/>
        <v>0</v>
      </c>
      <c r="O783" s="168">
        <f t="shared" si="731"/>
        <v>0</v>
      </c>
      <c r="P783" s="168">
        <f t="shared" si="731"/>
        <v>0</v>
      </c>
      <c r="Q783" s="190">
        <f t="shared" si="726"/>
        <v>0</v>
      </c>
    </row>
    <row r="784" spans="2:17" s="119" customFormat="1" ht="19.5" hidden="1" thickBot="1" x14ac:dyDescent="0.35">
      <c r="B784" s="310"/>
      <c r="C784" s="119">
        <f t="shared" si="720"/>
        <v>0</v>
      </c>
      <c r="D784" s="125" t="s">
        <v>16</v>
      </c>
      <c r="E784" s="70" t="s">
        <v>77</v>
      </c>
      <c r="F784" s="168">
        <f>+F$17*$E770</f>
        <v>0</v>
      </c>
      <c r="G784" s="168">
        <f>+G$17*$E770</f>
        <v>0</v>
      </c>
      <c r="H784" s="168">
        <f>+H$17*$E770</f>
        <v>0</v>
      </c>
      <c r="I784" s="168">
        <f>+I$17*$E770</f>
        <v>0</v>
      </c>
      <c r="J784" s="168">
        <f>+J$17*$E770</f>
        <v>0</v>
      </c>
      <c r="K784" s="168">
        <f t="shared" ref="K784:P784" si="732">+K$17*$E770</f>
        <v>0</v>
      </c>
      <c r="L784" s="168">
        <f t="shared" si="732"/>
        <v>0</v>
      </c>
      <c r="M784" s="168">
        <f t="shared" si="732"/>
        <v>0</v>
      </c>
      <c r="N784" s="168">
        <f t="shared" si="732"/>
        <v>0</v>
      </c>
      <c r="O784" s="168">
        <f t="shared" si="732"/>
        <v>0</v>
      </c>
      <c r="P784" s="168">
        <f t="shared" si="732"/>
        <v>0</v>
      </c>
      <c r="Q784" s="190">
        <f t="shared" si="726"/>
        <v>0</v>
      </c>
    </row>
    <row r="785" spans="2:17" s="119" customFormat="1" ht="19.5" hidden="1" thickBot="1" x14ac:dyDescent="0.3">
      <c r="B785" s="310"/>
      <c r="C785" s="119">
        <f t="shared" si="720"/>
        <v>0</v>
      </c>
      <c r="D785" s="131" t="s">
        <v>124</v>
      </c>
      <c r="E785" s="116" t="s">
        <v>78</v>
      </c>
      <c r="F785" s="169">
        <f t="shared" ref="F785:Q785" si="733">SUBTOTAL(9,F773:F784)</f>
        <v>0</v>
      </c>
      <c r="G785" s="170">
        <f t="shared" si="733"/>
        <v>0</v>
      </c>
      <c r="H785" s="170">
        <f t="shared" si="733"/>
        <v>0</v>
      </c>
      <c r="I785" s="170">
        <f t="shared" si="733"/>
        <v>0</v>
      </c>
      <c r="J785" s="170">
        <f t="shared" si="733"/>
        <v>0</v>
      </c>
      <c r="K785" s="170">
        <f t="shared" ref="K785:P785" si="734">SUBTOTAL(9,K773:K784)</f>
        <v>0</v>
      </c>
      <c r="L785" s="170">
        <f t="shared" si="734"/>
        <v>0</v>
      </c>
      <c r="M785" s="170">
        <f t="shared" si="734"/>
        <v>0</v>
      </c>
      <c r="N785" s="170">
        <f t="shared" si="734"/>
        <v>0</v>
      </c>
      <c r="O785" s="170">
        <f t="shared" si="734"/>
        <v>0</v>
      </c>
      <c r="P785" s="170">
        <f t="shared" si="734"/>
        <v>0</v>
      </c>
      <c r="Q785" s="170">
        <f t="shared" si="733"/>
        <v>0</v>
      </c>
    </row>
    <row r="786" spans="2:17" s="119" customFormat="1" ht="15.75" hidden="1" thickBot="1" x14ac:dyDescent="0.3">
      <c r="B786" s="310"/>
      <c r="D786" s="117"/>
      <c r="E786" s="132"/>
      <c r="F786" s="117"/>
      <c r="G786" s="117"/>
      <c r="H786" s="118"/>
      <c r="I786" s="118"/>
      <c r="J786" s="118"/>
      <c r="K786" s="118"/>
      <c r="L786" s="118"/>
      <c r="M786" s="118"/>
      <c r="N786" s="118"/>
      <c r="O786" s="118"/>
      <c r="P786" s="118"/>
      <c r="Q786" s="118"/>
    </row>
    <row r="787" spans="2:17" s="119" customFormat="1" ht="45" x14ac:dyDescent="0.25">
      <c r="B787" s="310"/>
      <c r="C787" s="119">
        <f>IF(E787&gt;0,1,0)</f>
        <v>1</v>
      </c>
      <c r="D787" s="96" t="str">
        <f>+A49</f>
        <v>Saratoga</v>
      </c>
      <c r="E787" s="166">
        <f>+SUMIF(A:A,D787,B:B)</f>
        <v>2.3438220793789384E-4</v>
      </c>
      <c r="F787" s="98" t="s">
        <v>97</v>
      </c>
      <c r="G787" s="98" t="s">
        <v>126</v>
      </c>
      <c r="H787" s="98" t="s">
        <v>127</v>
      </c>
      <c r="I787" s="99" t="s">
        <v>128</v>
      </c>
      <c r="J787" s="99" t="s">
        <v>131</v>
      </c>
      <c r="K787" s="560" t="s">
        <v>474</v>
      </c>
      <c r="L787" s="560" t="s">
        <v>475</v>
      </c>
      <c r="M787" s="560" t="s">
        <v>476</v>
      </c>
      <c r="N787" s="560" t="s">
        <v>477</v>
      </c>
      <c r="O787" s="560" t="s">
        <v>478</v>
      </c>
      <c r="P787" s="560" t="s">
        <v>479</v>
      </c>
      <c r="Q787" s="99" t="s">
        <v>129</v>
      </c>
    </row>
    <row r="788" spans="2:17" s="119" customFormat="1" ht="18.75" x14ac:dyDescent="0.25">
      <c r="B788" s="310"/>
      <c r="C788" s="119">
        <f>C787</f>
        <v>1</v>
      </c>
      <c r="D788" s="127"/>
      <c r="E788" s="128"/>
      <c r="F788" s="84" t="s">
        <v>57</v>
      </c>
      <c r="G788" s="84" t="s">
        <v>56</v>
      </c>
      <c r="H788" s="84" t="s">
        <v>55</v>
      </c>
      <c r="I788" s="84" t="s">
        <v>54</v>
      </c>
      <c r="J788" s="129" t="s">
        <v>53</v>
      </c>
      <c r="K788" s="129" t="s">
        <v>52</v>
      </c>
      <c r="L788" s="129" t="s">
        <v>51</v>
      </c>
      <c r="M788" s="129" t="s">
        <v>50</v>
      </c>
      <c r="N788" s="129" t="s">
        <v>49</v>
      </c>
      <c r="O788" s="129" t="s">
        <v>47</v>
      </c>
      <c r="P788" s="129" t="s">
        <v>77</v>
      </c>
      <c r="Q788" s="129" t="s">
        <v>78</v>
      </c>
    </row>
    <row r="789" spans="2:17" s="119" customFormat="1" ht="18.75" x14ac:dyDescent="0.25">
      <c r="B789" s="310"/>
      <c r="C789" s="119">
        <f>C788</f>
        <v>1</v>
      </c>
      <c r="D789" s="133" t="s">
        <v>26</v>
      </c>
      <c r="E789" s="134"/>
      <c r="F789" s="135"/>
      <c r="G789" s="135"/>
      <c r="H789" s="136"/>
      <c r="I789" s="136"/>
      <c r="J789" s="137"/>
      <c r="K789" s="137"/>
      <c r="L789" s="137"/>
      <c r="M789" s="137"/>
      <c r="N789" s="137"/>
      <c r="O789" s="137"/>
      <c r="P789" s="137"/>
      <c r="Q789" s="138"/>
    </row>
    <row r="790" spans="2:17" s="119" customFormat="1" ht="18.75" x14ac:dyDescent="0.25">
      <c r="B790" s="310"/>
      <c r="C790" s="119">
        <f t="shared" ref="C790:C802" si="735">C789</f>
        <v>1</v>
      </c>
      <c r="D790" s="109" t="s">
        <v>93</v>
      </c>
      <c r="E790" s="76" t="s">
        <v>57</v>
      </c>
      <c r="F790" s="168">
        <f>+F$6*$E787</f>
        <v>0.81725105721245395</v>
      </c>
      <c r="G790" s="168">
        <f>+G$6*$E787</f>
        <v>1570.6983668465155</v>
      </c>
      <c r="H790" s="168">
        <f>+H$6*$E787</f>
        <v>73.179075470442086</v>
      </c>
      <c r="I790" s="168">
        <f>+I$6*$E787</f>
        <v>0.2488740598546938</v>
      </c>
      <c r="J790" s="168">
        <f>+J$6*$E787</f>
        <v>26.259842723160116</v>
      </c>
      <c r="K790" s="168">
        <f t="shared" ref="K790:P790" si="736">+K$6*$E787</f>
        <v>28.817093241087299</v>
      </c>
      <c r="L790" s="168">
        <f t="shared" si="736"/>
        <v>0.67332148785358448</v>
      </c>
      <c r="M790" s="168">
        <f t="shared" si="736"/>
        <v>0</v>
      </c>
      <c r="N790" s="168">
        <f t="shared" si="736"/>
        <v>5.6251729905094517E-3</v>
      </c>
      <c r="O790" s="168">
        <f t="shared" si="736"/>
        <v>0</v>
      </c>
      <c r="P790" s="168">
        <f t="shared" si="736"/>
        <v>0</v>
      </c>
      <c r="Q790" s="190">
        <f>SUM(G790:P790)</f>
        <v>1699.8821990019037</v>
      </c>
    </row>
    <row r="791" spans="2:17" s="119" customFormat="1" ht="18.75" x14ac:dyDescent="0.25">
      <c r="B791" s="310"/>
      <c r="C791" s="119">
        <f t="shared" si="735"/>
        <v>1</v>
      </c>
      <c r="D791" s="110" t="s">
        <v>132</v>
      </c>
      <c r="E791" s="76" t="s">
        <v>56</v>
      </c>
      <c r="F791" s="168">
        <f>+F$7*$E787</f>
        <v>0</v>
      </c>
      <c r="G791" s="168">
        <f>+G$7*$E787</f>
        <v>0</v>
      </c>
      <c r="H791" s="168">
        <f>+H$7*$E787</f>
        <v>0</v>
      </c>
      <c r="I791" s="168">
        <f>+I$7*$E787</f>
        <v>0</v>
      </c>
      <c r="J791" s="168">
        <f>+J$7*$E787</f>
        <v>0</v>
      </c>
      <c r="K791" s="168">
        <f t="shared" ref="K791:P791" si="737">+K$7*$E787</f>
        <v>0</v>
      </c>
      <c r="L791" s="168">
        <f t="shared" si="737"/>
        <v>0</v>
      </c>
      <c r="M791" s="168">
        <f t="shared" si="737"/>
        <v>0</v>
      </c>
      <c r="N791" s="168">
        <f t="shared" si="737"/>
        <v>0</v>
      </c>
      <c r="O791" s="168">
        <f t="shared" si="737"/>
        <v>0</v>
      </c>
      <c r="P791" s="168">
        <f t="shared" si="737"/>
        <v>0</v>
      </c>
      <c r="Q791" s="190">
        <f>SUM(G791:P791)</f>
        <v>0</v>
      </c>
    </row>
    <row r="792" spans="2:17" s="119" customFormat="1" ht="18.75" x14ac:dyDescent="0.25">
      <c r="B792" s="310"/>
      <c r="C792" s="119">
        <f t="shared" si="735"/>
        <v>1</v>
      </c>
      <c r="D792" s="109" t="s">
        <v>91</v>
      </c>
      <c r="E792" s="76" t="s">
        <v>55</v>
      </c>
      <c r="F792" s="168">
        <f>+F$8*$E787</f>
        <v>1.0213373736524447E-3</v>
      </c>
      <c r="G792" s="168">
        <f>+G$8*$E787</f>
        <v>2.0833648508079539</v>
      </c>
      <c r="H792" s="168">
        <f>+H$8*$E787</f>
        <v>0</v>
      </c>
      <c r="I792" s="168">
        <f>+I$8*$E787</f>
        <v>0</v>
      </c>
      <c r="J792" s="168">
        <f>+J$8*$E787</f>
        <v>3.1641598071615672E-2</v>
      </c>
      <c r="K792" s="168">
        <f t="shared" ref="K792:P792" si="738">+K$8*$E787</f>
        <v>9.375288317515754E-3</v>
      </c>
      <c r="L792" s="168">
        <f t="shared" si="738"/>
        <v>0</v>
      </c>
      <c r="M792" s="168">
        <f t="shared" si="738"/>
        <v>0</v>
      </c>
      <c r="N792" s="168">
        <f t="shared" si="738"/>
        <v>0</v>
      </c>
      <c r="O792" s="168">
        <f t="shared" si="738"/>
        <v>0</v>
      </c>
      <c r="P792" s="168">
        <f t="shared" si="738"/>
        <v>0</v>
      </c>
      <c r="Q792" s="190">
        <f>SUM(G792:P792)</f>
        <v>2.1243817371970852</v>
      </c>
    </row>
    <row r="793" spans="2:17" s="119" customFormat="1" ht="18.75" x14ac:dyDescent="0.25">
      <c r="B793" s="310"/>
      <c r="C793" s="119">
        <f t="shared" si="735"/>
        <v>1</v>
      </c>
      <c r="D793" s="130" t="s">
        <v>117</v>
      </c>
      <c r="E793" s="76" t="s">
        <v>54</v>
      </c>
      <c r="F793" s="168">
        <f>+F$9*$E787</f>
        <v>0</v>
      </c>
      <c r="G793" s="168">
        <f>+G$9*$E787</f>
        <v>0</v>
      </c>
      <c r="H793" s="168">
        <f>+H$9*$E787</f>
        <v>0</v>
      </c>
      <c r="I793" s="168">
        <f>+I$9*$E787</f>
        <v>0</v>
      </c>
      <c r="J793" s="168">
        <f>+J$9*$E787</f>
        <v>0</v>
      </c>
      <c r="K793" s="168">
        <f t="shared" ref="K793:P793" si="739">+K$9*$E787</f>
        <v>0</v>
      </c>
      <c r="L793" s="168">
        <f t="shared" si="739"/>
        <v>0</v>
      </c>
      <c r="M793" s="168">
        <f t="shared" si="739"/>
        <v>0</v>
      </c>
      <c r="N793" s="168">
        <f t="shared" si="739"/>
        <v>0</v>
      </c>
      <c r="O793" s="168">
        <f t="shared" si="739"/>
        <v>0</v>
      </c>
      <c r="P793" s="168">
        <f t="shared" si="739"/>
        <v>0</v>
      </c>
      <c r="Q793" s="190">
        <f>SUM(G793:P793)</f>
        <v>0</v>
      </c>
    </row>
    <row r="794" spans="2:17" s="119" customFormat="1" ht="18.75" x14ac:dyDescent="0.25">
      <c r="B794" s="310"/>
      <c r="C794" s="119">
        <f t="shared" si="735"/>
        <v>1</v>
      </c>
      <c r="D794" s="112" t="s">
        <v>31</v>
      </c>
      <c r="E794" s="76"/>
      <c r="F794" s="167"/>
      <c r="G794" s="185"/>
      <c r="H794" s="185"/>
      <c r="I794" s="185"/>
      <c r="J794" s="185"/>
      <c r="K794" s="185"/>
      <c r="L794" s="185"/>
      <c r="M794" s="185"/>
      <c r="N794" s="185"/>
      <c r="O794" s="185"/>
      <c r="P794" s="185"/>
      <c r="Q794" s="171"/>
    </row>
    <row r="795" spans="2:17" s="119" customFormat="1" ht="18.75" x14ac:dyDescent="0.3">
      <c r="B795" s="310"/>
      <c r="C795" s="119">
        <f t="shared" si="735"/>
        <v>1</v>
      </c>
      <c r="D795" s="125" t="s">
        <v>118</v>
      </c>
      <c r="E795" s="76" t="s">
        <v>53</v>
      </c>
      <c r="F795" s="168">
        <f>+F$11*$E787</f>
        <v>0</v>
      </c>
      <c r="G795" s="168">
        <f>+G$11*$E787</f>
        <v>0</v>
      </c>
      <c r="H795" s="168">
        <f>+H$11*$E787</f>
        <v>0</v>
      </c>
      <c r="I795" s="168">
        <f>+I$11*$E787</f>
        <v>0</v>
      </c>
      <c r="J795" s="168">
        <f>+J$11*$E787</f>
        <v>0</v>
      </c>
      <c r="K795" s="168">
        <f t="shared" ref="K795:P795" si="740">+K$11*$E787</f>
        <v>0</v>
      </c>
      <c r="L795" s="168">
        <f t="shared" si="740"/>
        <v>0</v>
      </c>
      <c r="M795" s="168">
        <f t="shared" si="740"/>
        <v>0</v>
      </c>
      <c r="N795" s="168">
        <f t="shared" si="740"/>
        <v>0</v>
      </c>
      <c r="O795" s="168">
        <f t="shared" si="740"/>
        <v>0</v>
      </c>
      <c r="P795" s="168">
        <f t="shared" si="740"/>
        <v>0</v>
      </c>
      <c r="Q795" s="190">
        <f t="shared" ref="Q795:Q801" si="741">SUM(G795:P795)</f>
        <v>0</v>
      </c>
    </row>
    <row r="796" spans="2:17" s="119" customFormat="1" ht="18.75" x14ac:dyDescent="0.3">
      <c r="B796" s="310"/>
      <c r="C796" s="119">
        <f t="shared" si="735"/>
        <v>1</v>
      </c>
      <c r="D796" s="125" t="s">
        <v>119</v>
      </c>
      <c r="E796" s="76" t="s">
        <v>52</v>
      </c>
      <c r="F796" s="168">
        <f>+F$12*$E787</f>
        <v>0</v>
      </c>
      <c r="G796" s="168">
        <f>+G$12*$E787</f>
        <v>0</v>
      </c>
      <c r="H796" s="168">
        <f>+H$12*$E787</f>
        <v>0</v>
      </c>
      <c r="I796" s="168">
        <f>+I$12*$E787</f>
        <v>0</v>
      </c>
      <c r="J796" s="168">
        <f>+J$12*$E787</f>
        <v>0</v>
      </c>
      <c r="K796" s="168">
        <f t="shared" ref="K796:P796" si="742">+K$12*$E787</f>
        <v>0</v>
      </c>
      <c r="L796" s="168">
        <f t="shared" si="742"/>
        <v>0</v>
      </c>
      <c r="M796" s="168">
        <f t="shared" si="742"/>
        <v>0</v>
      </c>
      <c r="N796" s="168">
        <f t="shared" si="742"/>
        <v>0</v>
      </c>
      <c r="O796" s="168">
        <f t="shared" si="742"/>
        <v>0</v>
      </c>
      <c r="P796" s="168">
        <f t="shared" si="742"/>
        <v>0</v>
      </c>
      <c r="Q796" s="190">
        <f t="shared" si="741"/>
        <v>0</v>
      </c>
    </row>
    <row r="797" spans="2:17" s="119" customFormat="1" ht="18.75" x14ac:dyDescent="0.3">
      <c r="B797" s="310"/>
      <c r="C797" s="119">
        <f t="shared" si="735"/>
        <v>1</v>
      </c>
      <c r="D797" s="125" t="s">
        <v>120</v>
      </c>
      <c r="E797" s="76" t="s">
        <v>51</v>
      </c>
      <c r="F797" s="168">
        <f>+F$13*$E787</f>
        <v>0</v>
      </c>
      <c r="G797" s="168">
        <f>+G$13*$E787</f>
        <v>0</v>
      </c>
      <c r="H797" s="168">
        <f>+H$13*$E787</f>
        <v>0</v>
      </c>
      <c r="I797" s="168">
        <f>+I$13*$E787</f>
        <v>0</v>
      </c>
      <c r="J797" s="168">
        <f>+J$13*$E787</f>
        <v>0</v>
      </c>
      <c r="K797" s="168">
        <f t="shared" ref="K797:P797" si="743">+K$13*$E787</f>
        <v>0</v>
      </c>
      <c r="L797" s="168">
        <f t="shared" si="743"/>
        <v>0</v>
      </c>
      <c r="M797" s="168">
        <f t="shared" si="743"/>
        <v>0</v>
      </c>
      <c r="N797" s="168">
        <f t="shared" si="743"/>
        <v>0</v>
      </c>
      <c r="O797" s="168">
        <f t="shared" si="743"/>
        <v>0</v>
      </c>
      <c r="P797" s="168">
        <f t="shared" si="743"/>
        <v>0</v>
      </c>
      <c r="Q797" s="190">
        <f t="shared" si="741"/>
        <v>0</v>
      </c>
    </row>
    <row r="798" spans="2:17" s="119" customFormat="1" ht="18.75" x14ac:dyDescent="0.3">
      <c r="B798" s="310"/>
      <c r="C798" s="119">
        <f t="shared" si="735"/>
        <v>1</v>
      </c>
      <c r="D798" s="125" t="s">
        <v>121</v>
      </c>
      <c r="E798" s="76" t="s">
        <v>50</v>
      </c>
      <c r="F798" s="168">
        <f>+F$14*$E787</f>
        <v>0</v>
      </c>
      <c r="G798" s="168">
        <f>+G$14*$E787</f>
        <v>0</v>
      </c>
      <c r="H798" s="168">
        <f>+H$14*$E787</f>
        <v>0</v>
      </c>
      <c r="I798" s="168">
        <f>+I$14*$E787</f>
        <v>0</v>
      </c>
      <c r="J798" s="168">
        <f>+J$14*$E787</f>
        <v>0</v>
      </c>
      <c r="K798" s="168">
        <f t="shared" ref="K798:P798" si="744">+K$14*$E787</f>
        <v>0</v>
      </c>
      <c r="L798" s="168">
        <f t="shared" si="744"/>
        <v>0</v>
      </c>
      <c r="M798" s="168">
        <f t="shared" si="744"/>
        <v>0</v>
      </c>
      <c r="N798" s="168">
        <f t="shared" si="744"/>
        <v>0</v>
      </c>
      <c r="O798" s="168">
        <f t="shared" si="744"/>
        <v>0</v>
      </c>
      <c r="P798" s="168">
        <f t="shared" si="744"/>
        <v>0</v>
      </c>
      <c r="Q798" s="190">
        <f t="shared" si="741"/>
        <v>0</v>
      </c>
    </row>
    <row r="799" spans="2:17" s="119" customFormat="1" ht="18.75" x14ac:dyDescent="0.3">
      <c r="B799" s="310"/>
      <c r="C799" s="119">
        <f t="shared" si="735"/>
        <v>1</v>
      </c>
      <c r="D799" s="125" t="s">
        <v>122</v>
      </c>
      <c r="E799" s="76" t="s">
        <v>49</v>
      </c>
      <c r="F799" s="168">
        <f>+F$15*$E787</f>
        <v>0</v>
      </c>
      <c r="G799" s="168">
        <f>+G$15*$E787</f>
        <v>0</v>
      </c>
      <c r="H799" s="168">
        <f>+H$15*$E787</f>
        <v>0</v>
      </c>
      <c r="I799" s="168">
        <f>+I$15*$E787</f>
        <v>0</v>
      </c>
      <c r="J799" s="168">
        <f>+J$15*$E787</f>
        <v>0</v>
      </c>
      <c r="K799" s="168">
        <f t="shared" ref="K799:P799" si="745">+K$15*$E787</f>
        <v>0</v>
      </c>
      <c r="L799" s="168">
        <f t="shared" si="745"/>
        <v>0</v>
      </c>
      <c r="M799" s="168">
        <f t="shared" si="745"/>
        <v>0</v>
      </c>
      <c r="N799" s="168">
        <f t="shared" si="745"/>
        <v>0</v>
      </c>
      <c r="O799" s="168">
        <f t="shared" si="745"/>
        <v>0</v>
      </c>
      <c r="P799" s="168">
        <f t="shared" si="745"/>
        <v>0</v>
      </c>
      <c r="Q799" s="190">
        <f t="shared" si="741"/>
        <v>0</v>
      </c>
    </row>
    <row r="800" spans="2:17" s="119" customFormat="1" ht="18.75" x14ac:dyDescent="0.3">
      <c r="B800" s="310"/>
      <c r="C800" s="119">
        <f t="shared" si="735"/>
        <v>1</v>
      </c>
      <c r="D800" s="125" t="s">
        <v>123</v>
      </c>
      <c r="E800" s="76" t="s">
        <v>47</v>
      </c>
      <c r="F800" s="168">
        <f>+F$16*$E787</f>
        <v>0</v>
      </c>
      <c r="G800" s="168">
        <f>+G$16*$E787</f>
        <v>0</v>
      </c>
      <c r="H800" s="168">
        <f>+H$16*$E787</f>
        <v>0</v>
      </c>
      <c r="I800" s="168">
        <f>+I$16*$E787</f>
        <v>0</v>
      </c>
      <c r="J800" s="168">
        <f>+J$16*$E787</f>
        <v>0</v>
      </c>
      <c r="K800" s="168">
        <f t="shared" ref="K800:P800" si="746">+K$16*$E787</f>
        <v>0</v>
      </c>
      <c r="L800" s="168">
        <f t="shared" si="746"/>
        <v>0</v>
      </c>
      <c r="M800" s="168">
        <f t="shared" si="746"/>
        <v>0</v>
      </c>
      <c r="N800" s="168">
        <f t="shared" si="746"/>
        <v>0</v>
      </c>
      <c r="O800" s="168">
        <f t="shared" si="746"/>
        <v>0</v>
      </c>
      <c r="P800" s="168">
        <f t="shared" si="746"/>
        <v>0</v>
      </c>
      <c r="Q800" s="190">
        <f t="shared" si="741"/>
        <v>0</v>
      </c>
    </row>
    <row r="801" spans="2:17" s="119" customFormat="1" ht="19.5" thickBot="1" x14ac:dyDescent="0.35">
      <c r="B801" s="310"/>
      <c r="C801" s="119">
        <f t="shared" si="735"/>
        <v>1</v>
      </c>
      <c r="D801" s="125" t="s">
        <v>16</v>
      </c>
      <c r="E801" s="70" t="s">
        <v>77</v>
      </c>
      <c r="F801" s="168">
        <f>+F$17*$E787</f>
        <v>5.40181134220835E-2</v>
      </c>
      <c r="G801" s="168">
        <f>+G$17*$E787</f>
        <v>97.492063913628371</v>
      </c>
      <c r="H801" s="168">
        <f>+H$17*$E787</f>
        <v>1.899692957583236</v>
      </c>
      <c r="I801" s="168">
        <f>+I$17*$E787</f>
        <v>0</v>
      </c>
      <c r="J801" s="168">
        <f>+J$17*$E787</f>
        <v>0</v>
      </c>
      <c r="K801" s="168">
        <f t="shared" ref="K801:P801" si="747">+K$17*$E787</f>
        <v>6.8074070328678724</v>
      </c>
      <c r="L801" s="168">
        <f t="shared" si="747"/>
        <v>0</v>
      </c>
      <c r="M801" s="168">
        <f t="shared" si="747"/>
        <v>3.6537738911686718E-3</v>
      </c>
      <c r="N801" s="168">
        <f t="shared" si="747"/>
        <v>0</v>
      </c>
      <c r="O801" s="168">
        <f t="shared" si="747"/>
        <v>0</v>
      </c>
      <c r="P801" s="168">
        <f t="shared" si="747"/>
        <v>6.1548582399630272</v>
      </c>
      <c r="Q801" s="190">
        <f t="shared" si="741"/>
        <v>112.35767591793369</v>
      </c>
    </row>
    <row r="802" spans="2:17" s="119" customFormat="1" ht="19.5" thickBot="1" x14ac:dyDescent="0.3">
      <c r="B802" s="310"/>
      <c r="C802" s="119">
        <f t="shared" si="735"/>
        <v>1</v>
      </c>
      <c r="D802" s="131" t="s">
        <v>124</v>
      </c>
      <c r="E802" s="116" t="s">
        <v>78</v>
      </c>
      <c r="F802" s="169">
        <f t="shared" ref="F802:Q802" si="748">SUBTOTAL(9,F790:F801)</f>
        <v>0.87229050800818986</v>
      </c>
      <c r="G802" s="170">
        <f t="shared" si="748"/>
        <v>1670.2737956109518</v>
      </c>
      <c r="H802" s="170">
        <f t="shared" si="748"/>
        <v>75.078768428025327</v>
      </c>
      <c r="I802" s="170">
        <f t="shared" si="748"/>
        <v>0.2488740598546938</v>
      </c>
      <c r="J802" s="170">
        <f t="shared" si="748"/>
        <v>26.291484321231732</v>
      </c>
      <c r="K802" s="170">
        <f t="shared" ref="K802:P802" si="749">SUBTOTAL(9,K790:K801)</f>
        <v>35.633875562272685</v>
      </c>
      <c r="L802" s="170">
        <f t="shared" si="749"/>
        <v>0.67332148785358448</v>
      </c>
      <c r="M802" s="170">
        <f t="shared" si="749"/>
        <v>3.6537738911686718E-3</v>
      </c>
      <c r="N802" s="170">
        <f t="shared" si="749"/>
        <v>5.6251729905094517E-3</v>
      </c>
      <c r="O802" s="170">
        <f t="shared" si="749"/>
        <v>0</v>
      </c>
      <c r="P802" s="170">
        <f t="shared" si="749"/>
        <v>6.1548582399630272</v>
      </c>
      <c r="Q802" s="170">
        <f t="shared" si="748"/>
        <v>1814.3642566570345</v>
      </c>
    </row>
    <row r="803" spans="2:17" s="119" customFormat="1" ht="15.75" hidden="1" thickBot="1" x14ac:dyDescent="0.3">
      <c r="B803" s="310"/>
      <c r="D803" s="117"/>
      <c r="E803" s="132"/>
      <c r="F803" s="117"/>
      <c r="G803" s="117"/>
      <c r="H803" s="118"/>
      <c r="I803" s="118"/>
      <c r="J803" s="118"/>
      <c r="K803" s="118"/>
      <c r="L803" s="118"/>
      <c r="M803" s="118"/>
      <c r="N803" s="118"/>
      <c r="O803" s="118"/>
      <c r="P803" s="118"/>
      <c r="Q803" s="118"/>
    </row>
    <row r="804" spans="2:17" s="119" customFormat="1" ht="45" x14ac:dyDescent="0.25">
      <c r="B804" s="310"/>
      <c r="C804" s="119">
        <f>IF(E804&gt;0,1,0)</f>
        <v>1</v>
      </c>
      <c r="D804" s="96" t="str">
        <f>+A50</f>
        <v>Schenectady</v>
      </c>
      <c r="E804" s="166">
        <f>+SUMIF(A:A,D804,B:B)</f>
        <v>4.4993927533405302E-3</v>
      </c>
      <c r="F804" s="98" t="s">
        <v>97</v>
      </c>
      <c r="G804" s="98" t="s">
        <v>126</v>
      </c>
      <c r="H804" s="98" t="s">
        <v>127</v>
      </c>
      <c r="I804" s="99" t="s">
        <v>128</v>
      </c>
      <c r="J804" s="99" t="s">
        <v>131</v>
      </c>
      <c r="K804" s="560" t="s">
        <v>474</v>
      </c>
      <c r="L804" s="560" t="s">
        <v>475</v>
      </c>
      <c r="M804" s="560" t="s">
        <v>476</v>
      </c>
      <c r="N804" s="560" t="s">
        <v>477</v>
      </c>
      <c r="O804" s="560" t="s">
        <v>478</v>
      </c>
      <c r="P804" s="560" t="s">
        <v>479</v>
      </c>
      <c r="Q804" s="99" t="s">
        <v>129</v>
      </c>
    </row>
    <row r="805" spans="2:17" s="119" customFormat="1" ht="18.75" x14ac:dyDescent="0.25">
      <c r="B805" s="310"/>
      <c r="C805" s="119">
        <f>C804</f>
        <v>1</v>
      </c>
      <c r="D805" s="127"/>
      <c r="E805" s="128"/>
      <c r="F805" s="84" t="s">
        <v>57</v>
      </c>
      <c r="G805" s="84" t="s">
        <v>56</v>
      </c>
      <c r="H805" s="84" t="s">
        <v>55</v>
      </c>
      <c r="I805" s="84" t="s">
        <v>54</v>
      </c>
      <c r="J805" s="129" t="s">
        <v>53</v>
      </c>
      <c r="K805" s="129" t="s">
        <v>52</v>
      </c>
      <c r="L805" s="129" t="s">
        <v>51</v>
      </c>
      <c r="M805" s="129" t="s">
        <v>50</v>
      </c>
      <c r="N805" s="129" t="s">
        <v>49</v>
      </c>
      <c r="O805" s="129" t="s">
        <v>47</v>
      </c>
      <c r="P805" s="129" t="s">
        <v>77</v>
      </c>
      <c r="Q805" s="129" t="s">
        <v>78</v>
      </c>
    </row>
    <row r="806" spans="2:17" s="119" customFormat="1" ht="18.75" x14ac:dyDescent="0.25">
      <c r="B806" s="310"/>
      <c r="C806" s="119">
        <f>C805</f>
        <v>1</v>
      </c>
      <c r="D806" s="133" t="s">
        <v>26</v>
      </c>
      <c r="E806" s="134"/>
      <c r="F806" s="135"/>
      <c r="G806" s="135"/>
      <c r="H806" s="136"/>
      <c r="I806" s="136"/>
      <c r="J806" s="137"/>
      <c r="K806" s="137"/>
      <c r="L806" s="137"/>
      <c r="M806" s="137"/>
      <c r="N806" s="137"/>
      <c r="O806" s="137"/>
      <c r="P806" s="137"/>
      <c r="Q806" s="138"/>
    </row>
    <row r="807" spans="2:17" s="119" customFormat="1" ht="18.75" x14ac:dyDescent="0.25">
      <c r="B807" s="310"/>
      <c r="C807" s="119">
        <f t="shared" ref="C807:C819" si="750">C806</f>
        <v>1</v>
      </c>
      <c r="D807" s="109" t="s">
        <v>93</v>
      </c>
      <c r="E807" s="76" t="s">
        <v>57</v>
      </c>
      <c r="F807" s="168">
        <f>+F$6*$E804</f>
        <v>15.688620381355747</v>
      </c>
      <c r="G807" s="168">
        <f>+G$6*$E804</f>
        <v>30152.41178778241</v>
      </c>
      <c r="H807" s="168">
        <f>+H$6*$E804</f>
        <v>1404.8054447678637</v>
      </c>
      <c r="I807" s="168">
        <f>+I$6*$E804</f>
        <v>4.7775902072795748</v>
      </c>
      <c r="J807" s="168">
        <f>+J$6*$E804</f>
        <v>504.10543996478066</v>
      </c>
      <c r="K807" s="168">
        <f t="shared" ref="K807:P807" si="751">+K$6*$E804</f>
        <v>553.19651453937786</v>
      </c>
      <c r="L807" s="168">
        <f t="shared" si="751"/>
        <v>12.925630532159008</v>
      </c>
      <c r="M807" s="168">
        <f t="shared" si="751"/>
        <v>0</v>
      </c>
      <c r="N807" s="168">
        <f t="shared" si="751"/>
        <v>0.10798542608017273</v>
      </c>
      <c r="O807" s="168">
        <f t="shared" si="751"/>
        <v>0</v>
      </c>
      <c r="P807" s="168">
        <f t="shared" si="751"/>
        <v>0</v>
      </c>
      <c r="Q807" s="190">
        <f>SUM(G807:P807)</f>
        <v>32632.330393219945</v>
      </c>
    </row>
    <row r="808" spans="2:17" s="119" customFormat="1" ht="18.75" x14ac:dyDescent="0.25">
      <c r="B808" s="310"/>
      <c r="C808" s="119">
        <f t="shared" si="750"/>
        <v>1</v>
      </c>
      <c r="D808" s="110" t="s">
        <v>132</v>
      </c>
      <c r="E808" s="76" t="s">
        <v>56</v>
      </c>
      <c r="F808" s="168">
        <f>+F$7*$E804</f>
        <v>0</v>
      </c>
      <c r="G808" s="168">
        <f>+G$7*$E804</f>
        <v>0</v>
      </c>
      <c r="H808" s="168">
        <f>+H$7*$E804</f>
        <v>0</v>
      </c>
      <c r="I808" s="168">
        <f>+I$7*$E804</f>
        <v>0</v>
      </c>
      <c r="J808" s="168">
        <f>+J$7*$E804</f>
        <v>0</v>
      </c>
      <c r="K808" s="168">
        <f t="shared" ref="K808:P808" si="752">+K$7*$E804</f>
        <v>0</v>
      </c>
      <c r="L808" s="168">
        <f t="shared" si="752"/>
        <v>0</v>
      </c>
      <c r="M808" s="168">
        <f t="shared" si="752"/>
        <v>0</v>
      </c>
      <c r="N808" s="168">
        <f t="shared" si="752"/>
        <v>0</v>
      </c>
      <c r="O808" s="168">
        <f t="shared" si="752"/>
        <v>0</v>
      </c>
      <c r="P808" s="168">
        <f t="shared" si="752"/>
        <v>0</v>
      </c>
      <c r="Q808" s="190">
        <f>SUM(G808:P808)</f>
        <v>0</v>
      </c>
    </row>
    <row r="809" spans="2:17" s="119" customFormat="1" ht="18.75" x14ac:dyDescent="0.25">
      <c r="B809" s="310"/>
      <c r="C809" s="119">
        <f t="shared" si="750"/>
        <v>1</v>
      </c>
      <c r="D809" s="109" t="s">
        <v>91</v>
      </c>
      <c r="E809" s="76" t="s">
        <v>55</v>
      </c>
      <c r="F809" s="168">
        <f>+F$8*$E804</f>
        <v>1.9606428398120303E-2</v>
      </c>
      <c r="G809" s="168">
        <f>+G$8*$E804</f>
        <v>39.993977336255639</v>
      </c>
      <c r="H809" s="168">
        <f>+H$8*$E804</f>
        <v>0</v>
      </c>
      <c r="I809" s="168">
        <f>+I$8*$E804</f>
        <v>0</v>
      </c>
      <c r="J809" s="168">
        <f>+J$8*$E804</f>
        <v>0.60741802170097159</v>
      </c>
      <c r="K809" s="168">
        <f t="shared" ref="K809:P809" si="753">+K$8*$E804</f>
        <v>0.17997571013362121</v>
      </c>
      <c r="L809" s="168">
        <f t="shared" si="753"/>
        <v>0</v>
      </c>
      <c r="M809" s="168">
        <f t="shared" si="753"/>
        <v>0</v>
      </c>
      <c r="N809" s="168">
        <f t="shared" si="753"/>
        <v>0</v>
      </c>
      <c r="O809" s="168">
        <f t="shared" si="753"/>
        <v>0</v>
      </c>
      <c r="P809" s="168">
        <f t="shared" si="753"/>
        <v>0</v>
      </c>
      <c r="Q809" s="190">
        <f>SUM(G809:P809)</f>
        <v>40.78137106809023</v>
      </c>
    </row>
    <row r="810" spans="2:17" s="119" customFormat="1" ht="18.75" x14ac:dyDescent="0.25">
      <c r="B810" s="310"/>
      <c r="C810" s="119">
        <f t="shared" si="750"/>
        <v>1</v>
      </c>
      <c r="D810" s="130" t="s">
        <v>117</v>
      </c>
      <c r="E810" s="76" t="s">
        <v>54</v>
      </c>
      <c r="F810" s="168">
        <f>+F$9*$E804</f>
        <v>0</v>
      </c>
      <c r="G810" s="168">
        <f>+G$9*$E804</f>
        <v>0</v>
      </c>
      <c r="H810" s="168">
        <f>+H$9*$E804</f>
        <v>0</v>
      </c>
      <c r="I810" s="168">
        <f>+I$9*$E804</f>
        <v>0</v>
      </c>
      <c r="J810" s="168">
        <f>+J$9*$E804</f>
        <v>0</v>
      </c>
      <c r="K810" s="168">
        <f t="shared" ref="K810:P810" si="754">+K$9*$E804</f>
        <v>0</v>
      </c>
      <c r="L810" s="168">
        <f t="shared" si="754"/>
        <v>0</v>
      </c>
      <c r="M810" s="168">
        <f t="shared" si="754"/>
        <v>0</v>
      </c>
      <c r="N810" s="168">
        <f t="shared" si="754"/>
        <v>0</v>
      </c>
      <c r="O810" s="168">
        <f t="shared" si="754"/>
        <v>0</v>
      </c>
      <c r="P810" s="168">
        <f t="shared" si="754"/>
        <v>0</v>
      </c>
      <c r="Q810" s="190">
        <f>SUM(G810:P810)</f>
        <v>0</v>
      </c>
    </row>
    <row r="811" spans="2:17" s="119" customFormat="1" ht="18.75" x14ac:dyDescent="0.25">
      <c r="B811" s="310"/>
      <c r="C811" s="119">
        <f t="shared" si="750"/>
        <v>1</v>
      </c>
      <c r="D811" s="112" t="s">
        <v>31</v>
      </c>
      <c r="E811" s="76"/>
      <c r="F811" s="167"/>
      <c r="G811" s="185"/>
      <c r="H811" s="185"/>
      <c r="I811" s="185"/>
      <c r="J811" s="185"/>
      <c r="K811" s="185"/>
      <c r="L811" s="185"/>
      <c r="M811" s="185"/>
      <c r="N811" s="185"/>
      <c r="O811" s="185"/>
      <c r="P811" s="185"/>
      <c r="Q811" s="171"/>
    </row>
    <row r="812" spans="2:17" s="119" customFormat="1" ht="18.75" x14ac:dyDescent="0.3">
      <c r="B812" s="310"/>
      <c r="C812" s="119">
        <f t="shared" si="750"/>
        <v>1</v>
      </c>
      <c r="D812" s="125" t="s">
        <v>118</v>
      </c>
      <c r="E812" s="76" t="s">
        <v>53</v>
      </c>
      <c r="F812" s="168">
        <f>+F$11*$E804</f>
        <v>0</v>
      </c>
      <c r="G812" s="168">
        <f>+G$11*$E804</f>
        <v>0</v>
      </c>
      <c r="H812" s="168">
        <f>+H$11*$E804</f>
        <v>0</v>
      </c>
      <c r="I812" s="168">
        <f>+I$11*$E804</f>
        <v>0</v>
      </c>
      <c r="J812" s="168">
        <f>+J$11*$E804</f>
        <v>0</v>
      </c>
      <c r="K812" s="168">
        <f t="shared" ref="K812:P812" si="755">+K$11*$E804</f>
        <v>0</v>
      </c>
      <c r="L812" s="168">
        <f t="shared" si="755"/>
        <v>0</v>
      </c>
      <c r="M812" s="168">
        <f t="shared" si="755"/>
        <v>0</v>
      </c>
      <c r="N812" s="168">
        <f t="shared" si="755"/>
        <v>0</v>
      </c>
      <c r="O812" s="168">
        <f t="shared" si="755"/>
        <v>0</v>
      </c>
      <c r="P812" s="168">
        <f t="shared" si="755"/>
        <v>0</v>
      </c>
      <c r="Q812" s="190">
        <f t="shared" ref="Q812:Q818" si="756">SUM(G812:P812)</f>
        <v>0</v>
      </c>
    </row>
    <row r="813" spans="2:17" s="119" customFormat="1" ht="18.75" x14ac:dyDescent="0.3">
      <c r="B813" s="310"/>
      <c r="C813" s="119">
        <f t="shared" si="750"/>
        <v>1</v>
      </c>
      <c r="D813" s="125" t="s">
        <v>119</v>
      </c>
      <c r="E813" s="76" t="s">
        <v>52</v>
      </c>
      <c r="F813" s="168">
        <f>+F$12*$E804</f>
        <v>0</v>
      </c>
      <c r="G813" s="168">
        <f>+G$12*$E804</f>
        <v>0</v>
      </c>
      <c r="H813" s="168">
        <f>+H$12*$E804</f>
        <v>0</v>
      </c>
      <c r="I813" s="168">
        <f>+I$12*$E804</f>
        <v>0</v>
      </c>
      <c r="J813" s="168">
        <f>+J$12*$E804</f>
        <v>0</v>
      </c>
      <c r="K813" s="168">
        <f t="shared" ref="K813:P813" si="757">+K$12*$E804</f>
        <v>0</v>
      </c>
      <c r="L813" s="168">
        <f t="shared" si="757"/>
        <v>0</v>
      </c>
      <c r="M813" s="168">
        <f t="shared" si="757"/>
        <v>0</v>
      </c>
      <c r="N813" s="168">
        <f t="shared" si="757"/>
        <v>0</v>
      </c>
      <c r="O813" s="168">
        <f t="shared" si="757"/>
        <v>0</v>
      </c>
      <c r="P813" s="168">
        <f t="shared" si="757"/>
        <v>0</v>
      </c>
      <c r="Q813" s="190">
        <f t="shared" si="756"/>
        <v>0</v>
      </c>
    </row>
    <row r="814" spans="2:17" s="119" customFormat="1" ht="18.75" x14ac:dyDescent="0.3">
      <c r="B814" s="310"/>
      <c r="C814" s="119">
        <f t="shared" si="750"/>
        <v>1</v>
      </c>
      <c r="D814" s="125" t="s">
        <v>120</v>
      </c>
      <c r="E814" s="76" t="s">
        <v>51</v>
      </c>
      <c r="F814" s="168">
        <f>+F$13*$E804</f>
        <v>0</v>
      </c>
      <c r="G814" s="168">
        <f>+G$13*$E804</f>
        <v>0</v>
      </c>
      <c r="H814" s="168">
        <f>+H$13*$E804</f>
        <v>0</v>
      </c>
      <c r="I814" s="168">
        <f>+I$13*$E804</f>
        <v>0</v>
      </c>
      <c r="J814" s="168">
        <f>+J$13*$E804</f>
        <v>0</v>
      </c>
      <c r="K814" s="168">
        <f t="shared" ref="K814:P814" si="758">+K$13*$E804</f>
        <v>0</v>
      </c>
      <c r="L814" s="168">
        <f t="shared" si="758"/>
        <v>0</v>
      </c>
      <c r="M814" s="168">
        <f t="shared" si="758"/>
        <v>0</v>
      </c>
      <c r="N814" s="168">
        <f t="shared" si="758"/>
        <v>0</v>
      </c>
      <c r="O814" s="168">
        <f t="shared" si="758"/>
        <v>0</v>
      </c>
      <c r="P814" s="168">
        <f t="shared" si="758"/>
        <v>0</v>
      </c>
      <c r="Q814" s="190">
        <f t="shared" si="756"/>
        <v>0</v>
      </c>
    </row>
    <row r="815" spans="2:17" s="119" customFormat="1" ht="18.75" x14ac:dyDescent="0.3">
      <c r="B815" s="310"/>
      <c r="C815" s="119">
        <f t="shared" si="750"/>
        <v>1</v>
      </c>
      <c r="D815" s="125" t="s">
        <v>121</v>
      </c>
      <c r="E815" s="76" t="s">
        <v>50</v>
      </c>
      <c r="F815" s="168">
        <f>+F$14*$E804</f>
        <v>0</v>
      </c>
      <c r="G815" s="168">
        <f>+G$14*$E804</f>
        <v>0</v>
      </c>
      <c r="H815" s="168">
        <f>+H$14*$E804</f>
        <v>0</v>
      </c>
      <c r="I815" s="168">
        <f>+I$14*$E804</f>
        <v>0</v>
      </c>
      <c r="J815" s="168">
        <f>+J$14*$E804</f>
        <v>0</v>
      </c>
      <c r="K815" s="168">
        <f t="shared" ref="K815:P815" si="759">+K$14*$E804</f>
        <v>0</v>
      </c>
      <c r="L815" s="168">
        <f t="shared" si="759"/>
        <v>0</v>
      </c>
      <c r="M815" s="168">
        <f t="shared" si="759"/>
        <v>0</v>
      </c>
      <c r="N815" s="168">
        <f t="shared" si="759"/>
        <v>0</v>
      </c>
      <c r="O815" s="168">
        <f t="shared" si="759"/>
        <v>0</v>
      </c>
      <c r="P815" s="168">
        <f t="shared" si="759"/>
        <v>0</v>
      </c>
      <c r="Q815" s="190">
        <f t="shared" si="756"/>
        <v>0</v>
      </c>
    </row>
    <row r="816" spans="2:17" s="119" customFormat="1" ht="18.75" x14ac:dyDescent="0.3">
      <c r="B816" s="310"/>
      <c r="C816" s="119">
        <f t="shared" si="750"/>
        <v>1</v>
      </c>
      <c r="D816" s="125" t="s">
        <v>122</v>
      </c>
      <c r="E816" s="76" t="s">
        <v>49</v>
      </c>
      <c r="F816" s="168">
        <f>+F$15*$E804</f>
        <v>0</v>
      </c>
      <c r="G816" s="168">
        <f>+G$15*$E804</f>
        <v>0</v>
      </c>
      <c r="H816" s="168">
        <f>+H$15*$E804</f>
        <v>0</v>
      </c>
      <c r="I816" s="168">
        <f>+I$15*$E804</f>
        <v>0</v>
      </c>
      <c r="J816" s="168">
        <f>+J$15*$E804</f>
        <v>0</v>
      </c>
      <c r="K816" s="168">
        <f t="shared" ref="K816:P816" si="760">+K$15*$E804</f>
        <v>0</v>
      </c>
      <c r="L816" s="168">
        <f t="shared" si="760"/>
        <v>0</v>
      </c>
      <c r="M816" s="168">
        <f t="shared" si="760"/>
        <v>0</v>
      </c>
      <c r="N816" s="168">
        <f t="shared" si="760"/>
        <v>0</v>
      </c>
      <c r="O816" s="168">
        <f t="shared" si="760"/>
        <v>0</v>
      </c>
      <c r="P816" s="168">
        <f t="shared" si="760"/>
        <v>0</v>
      </c>
      <c r="Q816" s="190">
        <f t="shared" si="756"/>
        <v>0</v>
      </c>
    </row>
    <row r="817" spans="2:17" s="119" customFormat="1" ht="18.75" x14ac:dyDescent="0.3">
      <c r="B817" s="310"/>
      <c r="C817" s="119">
        <f t="shared" si="750"/>
        <v>1</v>
      </c>
      <c r="D817" s="125" t="s">
        <v>123</v>
      </c>
      <c r="E817" s="76" t="s">
        <v>47</v>
      </c>
      <c r="F817" s="168">
        <f>+F$16*$E804</f>
        <v>0</v>
      </c>
      <c r="G817" s="168">
        <f>+G$16*$E804</f>
        <v>0</v>
      </c>
      <c r="H817" s="168">
        <f>+H$16*$E804</f>
        <v>0</v>
      </c>
      <c r="I817" s="168">
        <f>+I$16*$E804</f>
        <v>0</v>
      </c>
      <c r="J817" s="168">
        <f>+J$16*$E804</f>
        <v>0</v>
      </c>
      <c r="K817" s="168">
        <f t="shared" ref="K817:P817" si="761">+K$16*$E804</f>
        <v>0</v>
      </c>
      <c r="L817" s="168">
        <f t="shared" si="761"/>
        <v>0</v>
      </c>
      <c r="M817" s="168">
        <f t="shared" si="761"/>
        <v>0</v>
      </c>
      <c r="N817" s="168">
        <f t="shared" si="761"/>
        <v>0</v>
      </c>
      <c r="O817" s="168">
        <f t="shared" si="761"/>
        <v>0</v>
      </c>
      <c r="P817" s="168">
        <f t="shared" si="761"/>
        <v>0</v>
      </c>
      <c r="Q817" s="190">
        <f t="shared" si="756"/>
        <v>0</v>
      </c>
    </row>
    <row r="818" spans="2:17" s="119" customFormat="1" ht="19.5" thickBot="1" x14ac:dyDescent="0.35">
      <c r="B818" s="310"/>
      <c r="C818" s="119">
        <f t="shared" si="750"/>
        <v>1</v>
      </c>
      <c r="D818" s="125" t="s">
        <v>16</v>
      </c>
      <c r="E818" s="70" t="s">
        <v>77</v>
      </c>
      <c r="F818" s="168">
        <f>+F$17*$E804</f>
        <v>1.0369759301220165</v>
      </c>
      <c r="G818" s="168">
        <f>+G$17*$E804</f>
        <v>1871.5374760759371</v>
      </c>
      <c r="H818" s="168">
        <f>+H$17*$E804</f>
        <v>36.468061300911295</v>
      </c>
      <c r="I818" s="168">
        <f>+I$17*$E804</f>
        <v>0</v>
      </c>
      <c r="J818" s="168">
        <f>+J$17*$E804</f>
        <v>0</v>
      </c>
      <c r="K818" s="168">
        <f t="shared" ref="K818:P818" si="762">+K$17*$E804</f>
        <v>130.68055865759715</v>
      </c>
      <c r="L818" s="168">
        <f t="shared" si="762"/>
        <v>0</v>
      </c>
      <c r="M818" s="168">
        <f t="shared" si="762"/>
        <v>7.0140834975943783E-2</v>
      </c>
      <c r="N818" s="168">
        <f t="shared" si="762"/>
        <v>0</v>
      </c>
      <c r="O818" s="168">
        <f t="shared" si="762"/>
        <v>0</v>
      </c>
      <c r="P818" s="168">
        <f t="shared" si="762"/>
        <v>118.15369778437264</v>
      </c>
      <c r="Q818" s="190">
        <f t="shared" si="756"/>
        <v>2156.9099346537942</v>
      </c>
    </row>
    <row r="819" spans="2:17" s="119" customFormat="1" ht="19.5" thickBot="1" x14ac:dyDescent="0.3">
      <c r="B819" s="310"/>
      <c r="C819" s="119">
        <f t="shared" si="750"/>
        <v>1</v>
      </c>
      <c r="D819" s="131" t="s">
        <v>124</v>
      </c>
      <c r="E819" s="116" t="s">
        <v>78</v>
      </c>
      <c r="F819" s="169">
        <f t="shared" ref="F819:Q819" si="763">SUBTOTAL(9,F807:F818)</f>
        <v>16.745202739875882</v>
      </c>
      <c r="G819" s="170">
        <f t="shared" si="763"/>
        <v>32063.943241194604</v>
      </c>
      <c r="H819" s="170">
        <f t="shared" si="763"/>
        <v>1441.2735060687751</v>
      </c>
      <c r="I819" s="170">
        <f t="shared" si="763"/>
        <v>4.7775902072795748</v>
      </c>
      <c r="J819" s="170">
        <f t="shared" si="763"/>
        <v>504.71285798648165</v>
      </c>
      <c r="K819" s="170">
        <f t="shared" ref="K819:P819" si="764">SUBTOTAL(9,K807:K818)</f>
        <v>684.05704890710854</v>
      </c>
      <c r="L819" s="170">
        <f t="shared" si="764"/>
        <v>12.925630532159008</v>
      </c>
      <c r="M819" s="170">
        <f t="shared" si="764"/>
        <v>7.0140834975943783E-2</v>
      </c>
      <c r="N819" s="170">
        <f t="shared" si="764"/>
        <v>0.10798542608017273</v>
      </c>
      <c r="O819" s="170">
        <f t="shared" si="764"/>
        <v>0</v>
      </c>
      <c r="P819" s="170">
        <f t="shared" si="764"/>
        <v>118.15369778437264</v>
      </c>
      <c r="Q819" s="170">
        <f t="shared" si="763"/>
        <v>34830.021698941826</v>
      </c>
    </row>
    <row r="820" spans="2:17" s="119" customFormat="1" ht="15.75" hidden="1" thickBot="1" x14ac:dyDescent="0.3">
      <c r="B820" s="310"/>
      <c r="D820" s="117"/>
      <c r="E820" s="132"/>
      <c r="F820" s="117"/>
      <c r="G820" s="117"/>
      <c r="H820" s="118"/>
      <c r="I820" s="118"/>
      <c r="J820" s="118"/>
      <c r="K820" s="118"/>
      <c r="L820" s="118"/>
      <c r="M820" s="118"/>
      <c r="N820" s="118"/>
      <c r="O820" s="118"/>
      <c r="P820" s="118"/>
      <c r="Q820" s="118"/>
    </row>
    <row r="821" spans="2:17" s="119" customFormat="1" ht="45.75" hidden="1" thickBot="1" x14ac:dyDescent="0.3">
      <c r="B821" s="310"/>
      <c r="C821" s="119">
        <f>IF(E821&gt;0,1,0)</f>
        <v>0</v>
      </c>
      <c r="D821" s="96" t="str">
        <f>+A51</f>
        <v>Schoharie</v>
      </c>
      <c r="E821" s="166">
        <f>+SUMIF(A:A,D821,B:B)</f>
        <v>0</v>
      </c>
      <c r="F821" s="98" t="s">
        <v>97</v>
      </c>
      <c r="G821" s="98" t="s">
        <v>126</v>
      </c>
      <c r="H821" s="98" t="s">
        <v>127</v>
      </c>
      <c r="I821" s="99" t="s">
        <v>128</v>
      </c>
      <c r="J821" s="99" t="s">
        <v>131</v>
      </c>
      <c r="K821" s="560" t="s">
        <v>474</v>
      </c>
      <c r="L821" s="560" t="s">
        <v>475</v>
      </c>
      <c r="M821" s="560" t="s">
        <v>476</v>
      </c>
      <c r="N821" s="560" t="s">
        <v>477</v>
      </c>
      <c r="O821" s="560" t="s">
        <v>478</v>
      </c>
      <c r="P821" s="560" t="s">
        <v>479</v>
      </c>
      <c r="Q821" s="99" t="s">
        <v>129</v>
      </c>
    </row>
    <row r="822" spans="2:17" s="119" customFormat="1" ht="19.5" hidden="1" thickBot="1" x14ac:dyDescent="0.3">
      <c r="B822" s="310"/>
      <c r="C822" s="119">
        <f>C821</f>
        <v>0</v>
      </c>
      <c r="D822" s="127"/>
      <c r="E822" s="128"/>
      <c r="F822" s="84" t="s">
        <v>57</v>
      </c>
      <c r="G822" s="84" t="s">
        <v>56</v>
      </c>
      <c r="H822" s="84" t="s">
        <v>55</v>
      </c>
      <c r="I822" s="84" t="s">
        <v>54</v>
      </c>
      <c r="J822" s="129" t="s">
        <v>53</v>
      </c>
      <c r="K822" s="129" t="s">
        <v>52</v>
      </c>
      <c r="L822" s="129" t="s">
        <v>51</v>
      </c>
      <c r="M822" s="129" t="s">
        <v>50</v>
      </c>
      <c r="N822" s="129" t="s">
        <v>49</v>
      </c>
      <c r="O822" s="129" t="s">
        <v>47</v>
      </c>
      <c r="P822" s="129" t="s">
        <v>77</v>
      </c>
      <c r="Q822" s="129" t="s">
        <v>78</v>
      </c>
    </row>
    <row r="823" spans="2:17" s="119" customFormat="1" ht="19.5" hidden="1" thickBot="1" x14ac:dyDescent="0.3">
      <c r="B823" s="310"/>
      <c r="C823" s="119">
        <f>C822</f>
        <v>0</v>
      </c>
      <c r="D823" s="133" t="s">
        <v>26</v>
      </c>
      <c r="E823" s="134"/>
      <c r="F823" s="135"/>
      <c r="G823" s="135"/>
      <c r="H823" s="136"/>
      <c r="I823" s="136"/>
      <c r="J823" s="137"/>
      <c r="K823" s="137"/>
      <c r="L823" s="137"/>
      <c r="M823" s="137"/>
      <c r="N823" s="137"/>
      <c r="O823" s="137"/>
      <c r="P823" s="137"/>
      <c r="Q823" s="138"/>
    </row>
    <row r="824" spans="2:17" s="119" customFormat="1" ht="19.5" hidden="1" thickBot="1" x14ac:dyDescent="0.3">
      <c r="B824" s="310"/>
      <c r="C824" s="119">
        <f t="shared" ref="C824:C836" si="765">C823</f>
        <v>0</v>
      </c>
      <c r="D824" s="109" t="s">
        <v>93</v>
      </c>
      <c r="E824" s="76" t="s">
        <v>57</v>
      </c>
      <c r="F824" s="168">
        <f>+F$6*$E821</f>
        <v>0</v>
      </c>
      <c r="G824" s="168">
        <f>+G$6*$E821</f>
        <v>0</v>
      </c>
      <c r="H824" s="168">
        <f>+H$6*$E821</f>
        <v>0</v>
      </c>
      <c r="I824" s="168">
        <f>+I$6*$E821</f>
        <v>0</v>
      </c>
      <c r="J824" s="168">
        <f>+J$6*$E821</f>
        <v>0</v>
      </c>
      <c r="K824" s="168">
        <f t="shared" ref="K824:P824" si="766">+K$6*$E821</f>
        <v>0</v>
      </c>
      <c r="L824" s="168">
        <f t="shared" si="766"/>
        <v>0</v>
      </c>
      <c r="M824" s="168">
        <f t="shared" si="766"/>
        <v>0</v>
      </c>
      <c r="N824" s="168">
        <f t="shared" si="766"/>
        <v>0</v>
      </c>
      <c r="O824" s="168">
        <f t="shared" si="766"/>
        <v>0</v>
      </c>
      <c r="P824" s="168">
        <f t="shared" si="766"/>
        <v>0</v>
      </c>
      <c r="Q824" s="190">
        <f>SUM(G824:P824)</f>
        <v>0</v>
      </c>
    </row>
    <row r="825" spans="2:17" s="119" customFormat="1" ht="19.5" hidden="1" thickBot="1" x14ac:dyDescent="0.3">
      <c r="B825" s="310"/>
      <c r="C825" s="119">
        <f t="shared" si="765"/>
        <v>0</v>
      </c>
      <c r="D825" s="110" t="s">
        <v>132</v>
      </c>
      <c r="E825" s="76" t="s">
        <v>56</v>
      </c>
      <c r="F825" s="168">
        <f>+F$7*$E821</f>
        <v>0</v>
      </c>
      <c r="G825" s="168">
        <f>+G$7*$E821</f>
        <v>0</v>
      </c>
      <c r="H825" s="168">
        <f>+H$7*$E821</f>
        <v>0</v>
      </c>
      <c r="I825" s="168">
        <f>+I$7*$E821</f>
        <v>0</v>
      </c>
      <c r="J825" s="168">
        <f>+J$7*$E821</f>
        <v>0</v>
      </c>
      <c r="K825" s="168">
        <f t="shared" ref="K825:P825" si="767">+K$7*$E821</f>
        <v>0</v>
      </c>
      <c r="L825" s="168">
        <f t="shared" si="767"/>
        <v>0</v>
      </c>
      <c r="M825" s="168">
        <f t="shared" si="767"/>
        <v>0</v>
      </c>
      <c r="N825" s="168">
        <f t="shared" si="767"/>
        <v>0</v>
      </c>
      <c r="O825" s="168">
        <f t="shared" si="767"/>
        <v>0</v>
      </c>
      <c r="P825" s="168">
        <f t="shared" si="767"/>
        <v>0</v>
      </c>
      <c r="Q825" s="190">
        <f>SUM(G825:P825)</f>
        <v>0</v>
      </c>
    </row>
    <row r="826" spans="2:17" s="119" customFormat="1" ht="19.5" hidden="1" thickBot="1" x14ac:dyDescent="0.3">
      <c r="B826" s="310"/>
      <c r="C826" s="119">
        <f t="shared" si="765"/>
        <v>0</v>
      </c>
      <c r="D826" s="109" t="s">
        <v>91</v>
      </c>
      <c r="E826" s="76" t="s">
        <v>55</v>
      </c>
      <c r="F826" s="168">
        <f>+F$8*$E821</f>
        <v>0</v>
      </c>
      <c r="G826" s="168">
        <f>+G$8*$E821</f>
        <v>0</v>
      </c>
      <c r="H826" s="168">
        <f>+H$8*$E821</f>
        <v>0</v>
      </c>
      <c r="I826" s="168">
        <f>+I$8*$E821</f>
        <v>0</v>
      </c>
      <c r="J826" s="168">
        <f>+J$8*$E821</f>
        <v>0</v>
      </c>
      <c r="K826" s="168">
        <f t="shared" ref="K826:P826" si="768">+K$8*$E821</f>
        <v>0</v>
      </c>
      <c r="L826" s="168">
        <f t="shared" si="768"/>
        <v>0</v>
      </c>
      <c r="M826" s="168">
        <f t="shared" si="768"/>
        <v>0</v>
      </c>
      <c r="N826" s="168">
        <f t="shared" si="768"/>
        <v>0</v>
      </c>
      <c r="O826" s="168">
        <f t="shared" si="768"/>
        <v>0</v>
      </c>
      <c r="P826" s="168">
        <f t="shared" si="768"/>
        <v>0</v>
      </c>
      <c r="Q826" s="190">
        <f>SUM(G826:P826)</f>
        <v>0</v>
      </c>
    </row>
    <row r="827" spans="2:17" s="119" customFormat="1" ht="19.5" hidden="1" thickBot="1" x14ac:dyDescent="0.3">
      <c r="B827" s="310"/>
      <c r="C827" s="119">
        <f t="shared" si="765"/>
        <v>0</v>
      </c>
      <c r="D827" s="130" t="s">
        <v>117</v>
      </c>
      <c r="E827" s="76" t="s">
        <v>54</v>
      </c>
      <c r="F827" s="168">
        <f>+F$9*$E821</f>
        <v>0</v>
      </c>
      <c r="G827" s="168">
        <f>+G$9*$E821</f>
        <v>0</v>
      </c>
      <c r="H827" s="168">
        <f>+H$9*$E821</f>
        <v>0</v>
      </c>
      <c r="I827" s="168">
        <f>+I$9*$E821</f>
        <v>0</v>
      </c>
      <c r="J827" s="168">
        <f>+J$9*$E821</f>
        <v>0</v>
      </c>
      <c r="K827" s="168">
        <f t="shared" ref="K827:P827" si="769">+K$9*$E821</f>
        <v>0</v>
      </c>
      <c r="L827" s="168">
        <f t="shared" si="769"/>
        <v>0</v>
      </c>
      <c r="M827" s="168">
        <f t="shared" si="769"/>
        <v>0</v>
      </c>
      <c r="N827" s="168">
        <f t="shared" si="769"/>
        <v>0</v>
      </c>
      <c r="O827" s="168">
        <f t="shared" si="769"/>
        <v>0</v>
      </c>
      <c r="P827" s="168">
        <f t="shared" si="769"/>
        <v>0</v>
      </c>
      <c r="Q827" s="190">
        <f>SUM(G827:P827)</f>
        <v>0</v>
      </c>
    </row>
    <row r="828" spans="2:17" s="119" customFormat="1" ht="19.5" hidden="1" thickBot="1" x14ac:dyDescent="0.3">
      <c r="B828" s="310"/>
      <c r="C828" s="119">
        <f t="shared" si="765"/>
        <v>0</v>
      </c>
      <c r="D828" s="112" t="s">
        <v>31</v>
      </c>
      <c r="E828" s="76"/>
      <c r="F828" s="167"/>
      <c r="G828" s="185"/>
      <c r="H828" s="185"/>
      <c r="I828" s="185"/>
      <c r="J828" s="185"/>
      <c r="K828" s="185"/>
      <c r="L828" s="185"/>
      <c r="M828" s="185"/>
      <c r="N828" s="185"/>
      <c r="O828" s="185"/>
      <c r="P828" s="185"/>
      <c r="Q828" s="171"/>
    </row>
    <row r="829" spans="2:17" s="119" customFormat="1" ht="19.5" hidden="1" thickBot="1" x14ac:dyDescent="0.35">
      <c r="B829" s="310"/>
      <c r="C829" s="119">
        <f t="shared" si="765"/>
        <v>0</v>
      </c>
      <c r="D829" s="125" t="s">
        <v>118</v>
      </c>
      <c r="E829" s="76" t="s">
        <v>53</v>
      </c>
      <c r="F829" s="168">
        <f>+F$11*$E821</f>
        <v>0</v>
      </c>
      <c r="G829" s="168">
        <f>+G$11*$E821</f>
        <v>0</v>
      </c>
      <c r="H829" s="168">
        <f>+H$11*$E821</f>
        <v>0</v>
      </c>
      <c r="I829" s="168">
        <f>+I$11*$E821</f>
        <v>0</v>
      </c>
      <c r="J829" s="168">
        <f>+J$11*$E821</f>
        <v>0</v>
      </c>
      <c r="K829" s="168">
        <f t="shared" ref="K829:P829" si="770">+K$11*$E821</f>
        <v>0</v>
      </c>
      <c r="L829" s="168">
        <f t="shared" si="770"/>
        <v>0</v>
      </c>
      <c r="M829" s="168">
        <f t="shared" si="770"/>
        <v>0</v>
      </c>
      <c r="N829" s="168">
        <f t="shared" si="770"/>
        <v>0</v>
      </c>
      <c r="O829" s="168">
        <f t="shared" si="770"/>
        <v>0</v>
      </c>
      <c r="P829" s="168">
        <f t="shared" si="770"/>
        <v>0</v>
      </c>
      <c r="Q829" s="190">
        <f t="shared" ref="Q829:Q835" si="771">SUM(G829:P829)</f>
        <v>0</v>
      </c>
    </row>
    <row r="830" spans="2:17" s="119" customFormat="1" ht="19.5" hidden="1" thickBot="1" x14ac:dyDescent="0.35">
      <c r="B830" s="310"/>
      <c r="C830" s="119">
        <f t="shared" si="765"/>
        <v>0</v>
      </c>
      <c r="D830" s="125" t="s">
        <v>119</v>
      </c>
      <c r="E830" s="76" t="s">
        <v>52</v>
      </c>
      <c r="F830" s="168">
        <f>+F$12*$E821</f>
        <v>0</v>
      </c>
      <c r="G830" s="168">
        <f>+G$12*$E821</f>
        <v>0</v>
      </c>
      <c r="H830" s="168">
        <f>+H$12*$E821</f>
        <v>0</v>
      </c>
      <c r="I830" s="168">
        <f>+I$12*$E821</f>
        <v>0</v>
      </c>
      <c r="J830" s="168">
        <f>+J$12*$E821</f>
        <v>0</v>
      </c>
      <c r="K830" s="168">
        <f t="shared" ref="K830:P830" si="772">+K$12*$E821</f>
        <v>0</v>
      </c>
      <c r="L830" s="168">
        <f t="shared" si="772"/>
        <v>0</v>
      </c>
      <c r="M830" s="168">
        <f t="shared" si="772"/>
        <v>0</v>
      </c>
      <c r="N830" s="168">
        <f t="shared" si="772"/>
        <v>0</v>
      </c>
      <c r="O830" s="168">
        <f t="shared" si="772"/>
        <v>0</v>
      </c>
      <c r="P830" s="168">
        <f t="shared" si="772"/>
        <v>0</v>
      </c>
      <c r="Q830" s="190">
        <f t="shared" si="771"/>
        <v>0</v>
      </c>
    </row>
    <row r="831" spans="2:17" s="119" customFormat="1" ht="19.5" hidden="1" thickBot="1" x14ac:dyDescent="0.35">
      <c r="B831" s="310"/>
      <c r="C831" s="119">
        <f t="shared" si="765"/>
        <v>0</v>
      </c>
      <c r="D831" s="125" t="s">
        <v>120</v>
      </c>
      <c r="E831" s="76" t="s">
        <v>51</v>
      </c>
      <c r="F831" s="168">
        <f>+F$13*$E821</f>
        <v>0</v>
      </c>
      <c r="G831" s="168">
        <f>+G$13*$E821</f>
        <v>0</v>
      </c>
      <c r="H831" s="168">
        <f>+H$13*$E821</f>
        <v>0</v>
      </c>
      <c r="I831" s="168">
        <f>+I$13*$E821</f>
        <v>0</v>
      </c>
      <c r="J831" s="168">
        <f>+J$13*$E821</f>
        <v>0</v>
      </c>
      <c r="K831" s="168">
        <f t="shared" ref="K831:P831" si="773">+K$13*$E821</f>
        <v>0</v>
      </c>
      <c r="L831" s="168">
        <f t="shared" si="773"/>
        <v>0</v>
      </c>
      <c r="M831" s="168">
        <f t="shared" si="773"/>
        <v>0</v>
      </c>
      <c r="N831" s="168">
        <f t="shared" si="773"/>
        <v>0</v>
      </c>
      <c r="O831" s="168">
        <f t="shared" si="773"/>
        <v>0</v>
      </c>
      <c r="P831" s="168">
        <f t="shared" si="773"/>
        <v>0</v>
      </c>
      <c r="Q831" s="190">
        <f t="shared" si="771"/>
        <v>0</v>
      </c>
    </row>
    <row r="832" spans="2:17" s="119" customFormat="1" ht="19.5" hidden="1" thickBot="1" x14ac:dyDescent="0.35">
      <c r="B832" s="310"/>
      <c r="C832" s="119">
        <f t="shared" si="765"/>
        <v>0</v>
      </c>
      <c r="D832" s="125" t="s">
        <v>121</v>
      </c>
      <c r="E832" s="76" t="s">
        <v>50</v>
      </c>
      <c r="F832" s="168">
        <f>+F$14*$E821</f>
        <v>0</v>
      </c>
      <c r="G832" s="168">
        <f>+G$14*$E821</f>
        <v>0</v>
      </c>
      <c r="H832" s="168">
        <f>+H$14*$E821</f>
        <v>0</v>
      </c>
      <c r="I832" s="168">
        <f>+I$14*$E821</f>
        <v>0</v>
      </c>
      <c r="J832" s="168">
        <f>+J$14*$E821</f>
        <v>0</v>
      </c>
      <c r="K832" s="168">
        <f t="shared" ref="K832:P832" si="774">+K$14*$E821</f>
        <v>0</v>
      </c>
      <c r="L832" s="168">
        <f t="shared" si="774"/>
        <v>0</v>
      </c>
      <c r="M832" s="168">
        <f t="shared" si="774"/>
        <v>0</v>
      </c>
      <c r="N832" s="168">
        <f t="shared" si="774"/>
        <v>0</v>
      </c>
      <c r="O832" s="168">
        <f t="shared" si="774"/>
        <v>0</v>
      </c>
      <c r="P832" s="168">
        <f t="shared" si="774"/>
        <v>0</v>
      </c>
      <c r="Q832" s="190">
        <f t="shared" si="771"/>
        <v>0</v>
      </c>
    </row>
    <row r="833" spans="2:17" s="119" customFormat="1" ht="19.5" hidden="1" thickBot="1" x14ac:dyDescent="0.35">
      <c r="B833" s="310"/>
      <c r="C833" s="119">
        <f t="shared" si="765"/>
        <v>0</v>
      </c>
      <c r="D833" s="125" t="s">
        <v>122</v>
      </c>
      <c r="E833" s="76" t="s">
        <v>49</v>
      </c>
      <c r="F833" s="168">
        <f>+F$15*$E821</f>
        <v>0</v>
      </c>
      <c r="G833" s="168">
        <f>+G$15*$E821</f>
        <v>0</v>
      </c>
      <c r="H833" s="168">
        <f>+H$15*$E821</f>
        <v>0</v>
      </c>
      <c r="I833" s="168">
        <f>+I$15*$E821</f>
        <v>0</v>
      </c>
      <c r="J833" s="168">
        <f>+J$15*$E821</f>
        <v>0</v>
      </c>
      <c r="K833" s="168">
        <f t="shared" ref="K833:P833" si="775">+K$15*$E821</f>
        <v>0</v>
      </c>
      <c r="L833" s="168">
        <f t="shared" si="775"/>
        <v>0</v>
      </c>
      <c r="M833" s="168">
        <f t="shared" si="775"/>
        <v>0</v>
      </c>
      <c r="N833" s="168">
        <f t="shared" si="775"/>
        <v>0</v>
      </c>
      <c r="O833" s="168">
        <f t="shared" si="775"/>
        <v>0</v>
      </c>
      <c r="P833" s="168">
        <f t="shared" si="775"/>
        <v>0</v>
      </c>
      <c r="Q833" s="190">
        <f t="shared" si="771"/>
        <v>0</v>
      </c>
    </row>
    <row r="834" spans="2:17" s="119" customFormat="1" ht="19.5" hidden="1" thickBot="1" x14ac:dyDescent="0.35">
      <c r="B834" s="310"/>
      <c r="C834" s="119">
        <f t="shared" si="765"/>
        <v>0</v>
      </c>
      <c r="D834" s="125" t="s">
        <v>123</v>
      </c>
      <c r="E834" s="76" t="s">
        <v>47</v>
      </c>
      <c r="F834" s="168">
        <f>+F$16*$E821</f>
        <v>0</v>
      </c>
      <c r="G834" s="168">
        <f>+G$16*$E821</f>
        <v>0</v>
      </c>
      <c r="H834" s="168">
        <f>+H$16*$E821</f>
        <v>0</v>
      </c>
      <c r="I834" s="168">
        <f>+I$16*$E821</f>
        <v>0</v>
      </c>
      <c r="J834" s="168">
        <f>+J$16*$E821</f>
        <v>0</v>
      </c>
      <c r="K834" s="168">
        <f t="shared" ref="K834:P834" si="776">+K$16*$E821</f>
        <v>0</v>
      </c>
      <c r="L834" s="168">
        <f t="shared" si="776"/>
        <v>0</v>
      </c>
      <c r="M834" s="168">
        <f t="shared" si="776"/>
        <v>0</v>
      </c>
      <c r="N834" s="168">
        <f t="shared" si="776"/>
        <v>0</v>
      </c>
      <c r="O834" s="168">
        <f t="shared" si="776"/>
        <v>0</v>
      </c>
      <c r="P834" s="168">
        <f t="shared" si="776"/>
        <v>0</v>
      </c>
      <c r="Q834" s="190">
        <f t="shared" si="771"/>
        <v>0</v>
      </c>
    </row>
    <row r="835" spans="2:17" s="119" customFormat="1" ht="19.5" hidden="1" thickBot="1" x14ac:dyDescent="0.35">
      <c r="B835" s="310"/>
      <c r="C835" s="119">
        <f t="shared" si="765"/>
        <v>0</v>
      </c>
      <c r="D835" s="125" t="s">
        <v>16</v>
      </c>
      <c r="E835" s="70" t="s">
        <v>77</v>
      </c>
      <c r="F835" s="168">
        <f>+F$17*$E821</f>
        <v>0</v>
      </c>
      <c r="G835" s="168">
        <f>+G$17*$E821</f>
        <v>0</v>
      </c>
      <c r="H835" s="168">
        <f>+H$17*$E821</f>
        <v>0</v>
      </c>
      <c r="I835" s="168">
        <f>+I$17*$E821</f>
        <v>0</v>
      </c>
      <c r="J835" s="168">
        <f>+J$17*$E821</f>
        <v>0</v>
      </c>
      <c r="K835" s="168">
        <f t="shared" ref="K835:P835" si="777">+K$17*$E821</f>
        <v>0</v>
      </c>
      <c r="L835" s="168">
        <f t="shared" si="777"/>
        <v>0</v>
      </c>
      <c r="M835" s="168">
        <f t="shared" si="777"/>
        <v>0</v>
      </c>
      <c r="N835" s="168">
        <f t="shared" si="777"/>
        <v>0</v>
      </c>
      <c r="O835" s="168">
        <f t="shared" si="777"/>
        <v>0</v>
      </c>
      <c r="P835" s="168">
        <f t="shared" si="777"/>
        <v>0</v>
      </c>
      <c r="Q835" s="190">
        <f t="shared" si="771"/>
        <v>0</v>
      </c>
    </row>
    <row r="836" spans="2:17" s="119" customFormat="1" ht="19.5" hidden="1" thickBot="1" x14ac:dyDescent="0.3">
      <c r="B836" s="310"/>
      <c r="C836" s="119">
        <f t="shared" si="765"/>
        <v>0</v>
      </c>
      <c r="D836" s="131" t="s">
        <v>124</v>
      </c>
      <c r="E836" s="116" t="s">
        <v>78</v>
      </c>
      <c r="F836" s="169">
        <f t="shared" ref="F836:Q836" si="778">SUBTOTAL(9,F824:F835)</f>
        <v>0</v>
      </c>
      <c r="G836" s="170">
        <f t="shared" si="778"/>
        <v>0</v>
      </c>
      <c r="H836" s="170">
        <f t="shared" si="778"/>
        <v>0</v>
      </c>
      <c r="I836" s="170">
        <f t="shared" si="778"/>
        <v>0</v>
      </c>
      <c r="J836" s="170">
        <f t="shared" si="778"/>
        <v>0</v>
      </c>
      <c r="K836" s="170">
        <f t="shared" ref="K836:P836" si="779">SUBTOTAL(9,K824:K835)</f>
        <v>0</v>
      </c>
      <c r="L836" s="170">
        <f t="shared" si="779"/>
        <v>0</v>
      </c>
      <c r="M836" s="170">
        <f t="shared" si="779"/>
        <v>0</v>
      </c>
      <c r="N836" s="170">
        <f t="shared" si="779"/>
        <v>0</v>
      </c>
      <c r="O836" s="170">
        <f t="shared" si="779"/>
        <v>0</v>
      </c>
      <c r="P836" s="170">
        <f t="shared" si="779"/>
        <v>0</v>
      </c>
      <c r="Q836" s="170">
        <f t="shared" si="778"/>
        <v>0</v>
      </c>
    </row>
    <row r="837" spans="2:17" s="119" customFormat="1" ht="15.75" hidden="1" thickBot="1" x14ac:dyDescent="0.3">
      <c r="B837" s="310"/>
      <c r="D837" s="117"/>
      <c r="E837" s="132"/>
      <c r="F837" s="117"/>
      <c r="G837" s="117"/>
      <c r="H837" s="118"/>
      <c r="I837" s="118"/>
      <c r="J837" s="118"/>
      <c r="K837" s="118"/>
      <c r="L837" s="118"/>
      <c r="M837" s="118"/>
      <c r="N837" s="118"/>
      <c r="O837" s="118"/>
      <c r="P837" s="118"/>
      <c r="Q837" s="118"/>
    </row>
    <row r="838" spans="2:17" s="119" customFormat="1" ht="45.75" hidden="1" thickBot="1" x14ac:dyDescent="0.3">
      <c r="B838" s="310"/>
      <c r="C838" s="119">
        <f>IF(E838&gt;0,1,0)</f>
        <v>0</v>
      </c>
      <c r="D838" s="96" t="str">
        <f>+A52</f>
        <v>Schuyler</v>
      </c>
      <c r="E838" s="166">
        <f>+SUMIF(A:A,D838,B:B)</f>
        <v>0</v>
      </c>
      <c r="F838" s="98" t="s">
        <v>97</v>
      </c>
      <c r="G838" s="98" t="s">
        <v>126</v>
      </c>
      <c r="H838" s="98" t="s">
        <v>127</v>
      </c>
      <c r="I838" s="99" t="s">
        <v>128</v>
      </c>
      <c r="J838" s="99" t="s">
        <v>131</v>
      </c>
      <c r="K838" s="560" t="s">
        <v>474</v>
      </c>
      <c r="L838" s="560" t="s">
        <v>475</v>
      </c>
      <c r="M838" s="560" t="s">
        <v>476</v>
      </c>
      <c r="N838" s="560" t="s">
        <v>477</v>
      </c>
      <c r="O838" s="560" t="s">
        <v>478</v>
      </c>
      <c r="P838" s="560" t="s">
        <v>479</v>
      </c>
      <c r="Q838" s="99" t="s">
        <v>129</v>
      </c>
    </row>
    <row r="839" spans="2:17" s="119" customFormat="1" ht="19.5" hidden="1" thickBot="1" x14ac:dyDescent="0.3">
      <c r="B839" s="310"/>
      <c r="C839" s="119">
        <f>C838</f>
        <v>0</v>
      </c>
      <c r="D839" s="127"/>
      <c r="E839" s="128"/>
      <c r="F839" s="84" t="s">
        <v>57</v>
      </c>
      <c r="G839" s="84" t="s">
        <v>56</v>
      </c>
      <c r="H839" s="84" t="s">
        <v>55</v>
      </c>
      <c r="I839" s="84" t="s">
        <v>54</v>
      </c>
      <c r="J839" s="129" t="s">
        <v>53</v>
      </c>
      <c r="K839" s="129" t="s">
        <v>52</v>
      </c>
      <c r="L839" s="129" t="s">
        <v>51</v>
      </c>
      <c r="M839" s="129" t="s">
        <v>50</v>
      </c>
      <c r="N839" s="129" t="s">
        <v>49</v>
      </c>
      <c r="O839" s="129" t="s">
        <v>47</v>
      </c>
      <c r="P839" s="129" t="s">
        <v>77</v>
      </c>
      <c r="Q839" s="129" t="s">
        <v>78</v>
      </c>
    </row>
    <row r="840" spans="2:17" s="119" customFormat="1" ht="19.5" hidden="1" thickBot="1" x14ac:dyDescent="0.3">
      <c r="B840" s="310"/>
      <c r="C840" s="119">
        <f>C839</f>
        <v>0</v>
      </c>
      <c r="D840" s="133" t="s">
        <v>26</v>
      </c>
      <c r="E840" s="134"/>
      <c r="F840" s="135"/>
      <c r="G840" s="135"/>
      <c r="H840" s="136"/>
      <c r="I840" s="136"/>
      <c r="J840" s="137"/>
      <c r="K840" s="137"/>
      <c r="L840" s="137"/>
      <c r="M840" s="137"/>
      <c r="N840" s="137"/>
      <c r="O840" s="137"/>
      <c r="P840" s="137"/>
      <c r="Q840" s="138"/>
    </row>
    <row r="841" spans="2:17" s="119" customFormat="1" ht="19.5" hidden="1" thickBot="1" x14ac:dyDescent="0.3">
      <c r="B841" s="310"/>
      <c r="C841" s="119">
        <f t="shared" ref="C841:C853" si="780">C840</f>
        <v>0</v>
      </c>
      <c r="D841" s="109" t="s">
        <v>93</v>
      </c>
      <c r="E841" s="76" t="s">
        <v>57</v>
      </c>
      <c r="F841" s="168">
        <f>+F$6*$E838</f>
        <v>0</v>
      </c>
      <c r="G841" s="168">
        <f>+G$6*$E838</f>
        <v>0</v>
      </c>
      <c r="H841" s="168">
        <f>+H$6*$E838</f>
        <v>0</v>
      </c>
      <c r="I841" s="168">
        <f>+I$6*$E838</f>
        <v>0</v>
      </c>
      <c r="J841" s="168">
        <f>+J$6*$E838</f>
        <v>0</v>
      </c>
      <c r="K841" s="168">
        <f t="shared" ref="K841:P841" si="781">+K$6*$E838</f>
        <v>0</v>
      </c>
      <c r="L841" s="168">
        <f t="shared" si="781"/>
        <v>0</v>
      </c>
      <c r="M841" s="168">
        <f t="shared" si="781"/>
        <v>0</v>
      </c>
      <c r="N841" s="168">
        <f t="shared" si="781"/>
        <v>0</v>
      </c>
      <c r="O841" s="168">
        <f t="shared" si="781"/>
        <v>0</v>
      </c>
      <c r="P841" s="168">
        <f t="shared" si="781"/>
        <v>0</v>
      </c>
      <c r="Q841" s="190">
        <f>SUM(G841:P841)</f>
        <v>0</v>
      </c>
    </row>
    <row r="842" spans="2:17" s="119" customFormat="1" ht="19.5" hidden="1" thickBot="1" x14ac:dyDescent="0.3">
      <c r="B842" s="310"/>
      <c r="C842" s="119">
        <f t="shared" si="780"/>
        <v>0</v>
      </c>
      <c r="D842" s="110" t="s">
        <v>132</v>
      </c>
      <c r="E842" s="76" t="s">
        <v>56</v>
      </c>
      <c r="F842" s="168">
        <f>+F$7*$E838</f>
        <v>0</v>
      </c>
      <c r="G842" s="168">
        <f>+G$7*$E838</f>
        <v>0</v>
      </c>
      <c r="H842" s="168">
        <f>+H$7*$E838</f>
        <v>0</v>
      </c>
      <c r="I842" s="168">
        <f>+I$7*$E838</f>
        <v>0</v>
      </c>
      <c r="J842" s="168">
        <f>+J$7*$E838</f>
        <v>0</v>
      </c>
      <c r="K842" s="168">
        <f t="shared" ref="K842:P842" si="782">+K$7*$E838</f>
        <v>0</v>
      </c>
      <c r="L842" s="168">
        <f t="shared" si="782"/>
        <v>0</v>
      </c>
      <c r="M842" s="168">
        <f t="shared" si="782"/>
        <v>0</v>
      </c>
      <c r="N842" s="168">
        <f t="shared" si="782"/>
        <v>0</v>
      </c>
      <c r="O842" s="168">
        <f t="shared" si="782"/>
        <v>0</v>
      </c>
      <c r="P842" s="168">
        <f t="shared" si="782"/>
        <v>0</v>
      </c>
      <c r="Q842" s="190">
        <f>SUM(G842:P842)</f>
        <v>0</v>
      </c>
    </row>
    <row r="843" spans="2:17" s="119" customFormat="1" ht="19.5" hidden="1" thickBot="1" x14ac:dyDescent="0.3">
      <c r="B843" s="310"/>
      <c r="C843" s="119">
        <f t="shared" si="780"/>
        <v>0</v>
      </c>
      <c r="D843" s="109" t="s">
        <v>91</v>
      </c>
      <c r="E843" s="76" t="s">
        <v>55</v>
      </c>
      <c r="F843" s="168">
        <f>+F$8*$E838</f>
        <v>0</v>
      </c>
      <c r="G843" s="168">
        <f>+G$8*$E838</f>
        <v>0</v>
      </c>
      <c r="H843" s="168">
        <f>+H$8*$E838</f>
        <v>0</v>
      </c>
      <c r="I843" s="168">
        <f>+I$8*$E838</f>
        <v>0</v>
      </c>
      <c r="J843" s="168">
        <f>+J$8*$E838</f>
        <v>0</v>
      </c>
      <c r="K843" s="168">
        <f t="shared" ref="K843:P843" si="783">+K$8*$E838</f>
        <v>0</v>
      </c>
      <c r="L843" s="168">
        <f t="shared" si="783"/>
        <v>0</v>
      </c>
      <c r="M843" s="168">
        <f t="shared" si="783"/>
        <v>0</v>
      </c>
      <c r="N843" s="168">
        <f t="shared" si="783"/>
        <v>0</v>
      </c>
      <c r="O843" s="168">
        <f t="shared" si="783"/>
        <v>0</v>
      </c>
      <c r="P843" s="168">
        <f t="shared" si="783"/>
        <v>0</v>
      </c>
      <c r="Q843" s="190">
        <f>SUM(G843:P843)</f>
        <v>0</v>
      </c>
    </row>
    <row r="844" spans="2:17" s="119" customFormat="1" ht="19.5" hidden="1" thickBot="1" x14ac:dyDescent="0.3">
      <c r="B844" s="310"/>
      <c r="C844" s="119">
        <f t="shared" si="780"/>
        <v>0</v>
      </c>
      <c r="D844" s="130" t="s">
        <v>117</v>
      </c>
      <c r="E844" s="76" t="s">
        <v>54</v>
      </c>
      <c r="F844" s="168">
        <f>+F$9*$E838</f>
        <v>0</v>
      </c>
      <c r="G844" s="168">
        <f>+G$9*$E838</f>
        <v>0</v>
      </c>
      <c r="H844" s="168">
        <f>+H$9*$E838</f>
        <v>0</v>
      </c>
      <c r="I844" s="168">
        <f>+I$9*$E838</f>
        <v>0</v>
      </c>
      <c r="J844" s="168">
        <f>+J$9*$E838</f>
        <v>0</v>
      </c>
      <c r="K844" s="168">
        <f t="shared" ref="K844:P844" si="784">+K$9*$E838</f>
        <v>0</v>
      </c>
      <c r="L844" s="168">
        <f t="shared" si="784"/>
        <v>0</v>
      </c>
      <c r="M844" s="168">
        <f t="shared" si="784"/>
        <v>0</v>
      </c>
      <c r="N844" s="168">
        <f t="shared" si="784"/>
        <v>0</v>
      </c>
      <c r="O844" s="168">
        <f t="shared" si="784"/>
        <v>0</v>
      </c>
      <c r="P844" s="168">
        <f t="shared" si="784"/>
        <v>0</v>
      </c>
      <c r="Q844" s="190">
        <f>SUM(G844:P844)</f>
        <v>0</v>
      </c>
    </row>
    <row r="845" spans="2:17" s="119" customFormat="1" ht="19.5" hidden="1" thickBot="1" x14ac:dyDescent="0.3">
      <c r="B845" s="310"/>
      <c r="C845" s="119">
        <f t="shared" si="780"/>
        <v>0</v>
      </c>
      <c r="D845" s="112" t="s">
        <v>31</v>
      </c>
      <c r="E845" s="76"/>
      <c r="F845" s="167"/>
      <c r="G845" s="185"/>
      <c r="H845" s="185"/>
      <c r="I845" s="185"/>
      <c r="J845" s="185"/>
      <c r="K845" s="185"/>
      <c r="L845" s="185"/>
      <c r="M845" s="185"/>
      <c r="N845" s="185"/>
      <c r="O845" s="185"/>
      <c r="P845" s="185"/>
      <c r="Q845" s="171"/>
    </row>
    <row r="846" spans="2:17" s="119" customFormat="1" ht="19.5" hidden="1" thickBot="1" x14ac:dyDescent="0.35">
      <c r="B846" s="310"/>
      <c r="C846" s="119">
        <f t="shared" si="780"/>
        <v>0</v>
      </c>
      <c r="D846" s="125" t="s">
        <v>118</v>
      </c>
      <c r="E846" s="76" t="s">
        <v>53</v>
      </c>
      <c r="F846" s="168">
        <f>+F$11*$E838</f>
        <v>0</v>
      </c>
      <c r="G846" s="168">
        <f>+G$11*$E838</f>
        <v>0</v>
      </c>
      <c r="H846" s="168">
        <f>+H$11*$E838</f>
        <v>0</v>
      </c>
      <c r="I846" s="168">
        <f>+I$11*$E838</f>
        <v>0</v>
      </c>
      <c r="J846" s="168">
        <f>+J$11*$E838</f>
        <v>0</v>
      </c>
      <c r="K846" s="168">
        <f t="shared" ref="K846:P846" si="785">+K$11*$E838</f>
        <v>0</v>
      </c>
      <c r="L846" s="168">
        <f t="shared" si="785"/>
        <v>0</v>
      </c>
      <c r="M846" s="168">
        <f t="shared" si="785"/>
        <v>0</v>
      </c>
      <c r="N846" s="168">
        <f t="shared" si="785"/>
        <v>0</v>
      </c>
      <c r="O846" s="168">
        <f t="shared" si="785"/>
        <v>0</v>
      </c>
      <c r="P846" s="168">
        <f t="shared" si="785"/>
        <v>0</v>
      </c>
      <c r="Q846" s="190">
        <f t="shared" ref="Q846:Q852" si="786">SUM(G846:P846)</f>
        <v>0</v>
      </c>
    </row>
    <row r="847" spans="2:17" s="119" customFormat="1" ht="19.5" hidden="1" thickBot="1" x14ac:dyDescent="0.35">
      <c r="B847" s="310"/>
      <c r="C847" s="119">
        <f t="shared" si="780"/>
        <v>0</v>
      </c>
      <c r="D847" s="125" t="s">
        <v>119</v>
      </c>
      <c r="E847" s="76" t="s">
        <v>52</v>
      </c>
      <c r="F847" s="168">
        <f>+F$12*$E838</f>
        <v>0</v>
      </c>
      <c r="G847" s="168">
        <f>+G$12*$E838</f>
        <v>0</v>
      </c>
      <c r="H847" s="168">
        <f>+H$12*$E838</f>
        <v>0</v>
      </c>
      <c r="I847" s="168">
        <f>+I$12*$E838</f>
        <v>0</v>
      </c>
      <c r="J847" s="168">
        <f>+J$12*$E838</f>
        <v>0</v>
      </c>
      <c r="K847" s="168">
        <f t="shared" ref="K847:P847" si="787">+K$12*$E838</f>
        <v>0</v>
      </c>
      <c r="L847" s="168">
        <f t="shared" si="787"/>
        <v>0</v>
      </c>
      <c r="M847" s="168">
        <f t="shared" si="787"/>
        <v>0</v>
      </c>
      <c r="N847" s="168">
        <f t="shared" si="787"/>
        <v>0</v>
      </c>
      <c r="O847" s="168">
        <f t="shared" si="787"/>
        <v>0</v>
      </c>
      <c r="P847" s="168">
        <f t="shared" si="787"/>
        <v>0</v>
      </c>
      <c r="Q847" s="190">
        <f t="shared" si="786"/>
        <v>0</v>
      </c>
    </row>
    <row r="848" spans="2:17" s="119" customFormat="1" ht="19.5" hidden="1" thickBot="1" x14ac:dyDescent="0.35">
      <c r="B848" s="310"/>
      <c r="C848" s="119">
        <f t="shared" si="780"/>
        <v>0</v>
      </c>
      <c r="D848" s="125" t="s">
        <v>120</v>
      </c>
      <c r="E848" s="76" t="s">
        <v>51</v>
      </c>
      <c r="F848" s="168">
        <f>+F$13*$E838</f>
        <v>0</v>
      </c>
      <c r="G848" s="168">
        <f>+G$13*$E838</f>
        <v>0</v>
      </c>
      <c r="H848" s="168">
        <f>+H$13*$E838</f>
        <v>0</v>
      </c>
      <c r="I848" s="168">
        <f>+I$13*$E838</f>
        <v>0</v>
      </c>
      <c r="J848" s="168">
        <f>+J$13*$E838</f>
        <v>0</v>
      </c>
      <c r="K848" s="168">
        <f t="shared" ref="K848:P848" si="788">+K$13*$E838</f>
        <v>0</v>
      </c>
      <c r="L848" s="168">
        <f t="shared" si="788"/>
        <v>0</v>
      </c>
      <c r="M848" s="168">
        <f t="shared" si="788"/>
        <v>0</v>
      </c>
      <c r="N848" s="168">
        <f t="shared" si="788"/>
        <v>0</v>
      </c>
      <c r="O848" s="168">
        <f t="shared" si="788"/>
        <v>0</v>
      </c>
      <c r="P848" s="168">
        <f t="shared" si="788"/>
        <v>0</v>
      </c>
      <c r="Q848" s="190">
        <f t="shared" si="786"/>
        <v>0</v>
      </c>
    </row>
    <row r="849" spans="2:17" s="119" customFormat="1" ht="19.5" hidden="1" thickBot="1" x14ac:dyDescent="0.35">
      <c r="B849" s="310"/>
      <c r="C849" s="119">
        <f t="shared" si="780"/>
        <v>0</v>
      </c>
      <c r="D849" s="125" t="s">
        <v>121</v>
      </c>
      <c r="E849" s="76" t="s">
        <v>50</v>
      </c>
      <c r="F849" s="168">
        <f>+F$14*$E838</f>
        <v>0</v>
      </c>
      <c r="G849" s="168">
        <f>+G$14*$E838</f>
        <v>0</v>
      </c>
      <c r="H849" s="168">
        <f>+H$14*$E838</f>
        <v>0</v>
      </c>
      <c r="I849" s="168">
        <f>+I$14*$E838</f>
        <v>0</v>
      </c>
      <c r="J849" s="168">
        <f>+J$14*$E838</f>
        <v>0</v>
      </c>
      <c r="K849" s="168">
        <f t="shared" ref="K849:P849" si="789">+K$14*$E838</f>
        <v>0</v>
      </c>
      <c r="L849" s="168">
        <f t="shared" si="789"/>
        <v>0</v>
      </c>
      <c r="M849" s="168">
        <f t="shared" si="789"/>
        <v>0</v>
      </c>
      <c r="N849" s="168">
        <f t="shared" si="789"/>
        <v>0</v>
      </c>
      <c r="O849" s="168">
        <f t="shared" si="789"/>
        <v>0</v>
      </c>
      <c r="P849" s="168">
        <f t="shared" si="789"/>
        <v>0</v>
      </c>
      <c r="Q849" s="190">
        <f t="shared" si="786"/>
        <v>0</v>
      </c>
    </row>
    <row r="850" spans="2:17" s="119" customFormat="1" ht="19.5" hidden="1" thickBot="1" x14ac:dyDescent="0.35">
      <c r="B850" s="310"/>
      <c r="C850" s="119">
        <f t="shared" si="780"/>
        <v>0</v>
      </c>
      <c r="D850" s="125" t="s">
        <v>122</v>
      </c>
      <c r="E850" s="76" t="s">
        <v>49</v>
      </c>
      <c r="F850" s="168">
        <f>+F$15*$E838</f>
        <v>0</v>
      </c>
      <c r="G850" s="168">
        <f>+G$15*$E838</f>
        <v>0</v>
      </c>
      <c r="H850" s="168">
        <f>+H$15*$E838</f>
        <v>0</v>
      </c>
      <c r="I850" s="168">
        <f>+I$15*$E838</f>
        <v>0</v>
      </c>
      <c r="J850" s="168">
        <f>+J$15*$E838</f>
        <v>0</v>
      </c>
      <c r="K850" s="168">
        <f t="shared" ref="K850:P850" si="790">+K$15*$E838</f>
        <v>0</v>
      </c>
      <c r="L850" s="168">
        <f t="shared" si="790"/>
        <v>0</v>
      </c>
      <c r="M850" s="168">
        <f t="shared" si="790"/>
        <v>0</v>
      </c>
      <c r="N850" s="168">
        <f t="shared" si="790"/>
        <v>0</v>
      </c>
      <c r="O850" s="168">
        <f t="shared" si="790"/>
        <v>0</v>
      </c>
      <c r="P850" s="168">
        <f t="shared" si="790"/>
        <v>0</v>
      </c>
      <c r="Q850" s="190">
        <f t="shared" si="786"/>
        <v>0</v>
      </c>
    </row>
    <row r="851" spans="2:17" s="119" customFormat="1" ht="19.5" hidden="1" thickBot="1" x14ac:dyDescent="0.35">
      <c r="B851" s="310"/>
      <c r="C851" s="119">
        <f t="shared" si="780"/>
        <v>0</v>
      </c>
      <c r="D851" s="125" t="s">
        <v>123</v>
      </c>
      <c r="E851" s="76" t="s">
        <v>47</v>
      </c>
      <c r="F851" s="168">
        <f>+F$16*$E838</f>
        <v>0</v>
      </c>
      <c r="G851" s="168">
        <f>+G$16*$E838</f>
        <v>0</v>
      </c>
      <c r="H851" s="168">
        <f>+H$16*$E838</f>
        <v>0</v>
      </c>
      <c r="I851" s="168">
        <f>+I$16*$E838</f>
        <v>0</v>
      </c>
      <c r="J851" s="168">
        <f>+J$16*$E838</f>
        <v>0</v>
      </c>
      <c r="K851" s="168">
        <f t="shared" ref="K851:P851" si="791">+K$16*$E838</f>
        <v>0</v>
      </c>
      <c r="L851" s="168">
        <f t="shared" si="791"/>
        <v>0</v>
      </c>
      <c r="M851" s="168">
        <f t="shared" si="791"/>
        <v>0</v>
      </c>
      <c r="N851" s="168">
        <f t="shared" si="791"/>
        <v>0</v>
      </c>
      <c r="O851" s="168">
        <f t="shared" si="791"/>
        <v>0</v>
      </c>
      <c r="P851" s="168">
        <f t="shared" si="791"/>
        <v>0</v>
      </c>
      <c r="Q851" s="190">
        <f t="shared" si="786"/>
        <v>0</v>
      </c>
    </row>
    <row r="852" spans="2:17" s="119" customFormat="1" ht="19.5" hidden="1" thickBot="1" x14ac:dyDescent="0.35">
      <c r="B852" s="310"/>
      <c r="C852" s="119">
        <f t="shared" si="780"/>
        <v>0</v>
      </c>
      <c r="D852" s="125" t="s">
        <v>16</v>
      </c>
      <c r="E852" s="70" t="s">
        <v>77</v>
      </c>
      <c r="F852" s="168">
        <f>+F$17*$E838</f>
        <v>0</v>
      </c>
      <c r="G852" s="168">
        <f>+G$17*$E838</f>
        <v>0</v>
      </c>
      <c r="H852" s="168">
        <f>+H$17*$E838</f>
        <v>0</v>
      </c>
      <c r="I852" s="168">
        <f>+I$17*$E838</f>
        <v>0</v>
      </c>
      <c r="J852" s="168">
        <f>+J$17*$E838</f>
        <v>0</v>
      </c>
      <c r="K852" s="168">
        <f t="shared" ref="K852:P852" si="792">+K$17*$E838</f>
        <v>0</v>
      </c>
      <c r="L852" s="168">
        <f t="shared" si="792"/>
        <v>0</v>
      </c>
      <c r="M852" s="168">
        <f t="shared" si="792"/>
        <v>0</v>
      </c>
      <c r="N852" s="168">
        <f t="shared" si="792"/>
        <v>0</v>
      </c>
      <c r="O852" s="168">
        <f t="shared" si="792"/>
        <v>0</v>
      </c>
      <c r="P852" s="168">
        <f t="shared" si="792"/>
        <v>0</v>
      </c>
      <c r="Q852" s="190">
        <f t="shared" si="786"/>
        <v>0</v>
      </c>
    </row>
    <row r="853" spans="2:17" s="119" customFormat="1" ht="19.5" hidden="1" thickBot="1" x14ac:dyDescent="0.3">
      <c r="B853" s="310"/>
      <c r="C853" s="119">
        <f t="shared" si="780"/>
        <v>0</v>
      </c>
      <c r="D853" s="131" t="s">
        <v>124</v>
      </c>
      <c r="E853" s="116" t="s">
        <v>78</v>
      </c>
      <c r="F853" s="169">
        <f t="shared" ref="F853:Q853" si="793">SUBTOTAL(9,F841:F852)</f>
        <v>0</v>
      </c>
      <c r="G853" s="170">
        <f t="shared" si="793"/>
        <v>0</v>
      </c>
      <c r="H853" s="170">
        <f t="shared" si="793"/>
        <v>0</v>
      </c>
      <c r="I853" s="170">
        <f t="shared" si="793"/>
        <v>0</v>
      </c>
      <c r="J853" s="170">
        <f t="shared" si="793"/>
        <v>0</v>
      </c>
      <c r="K853" s="170">
        <f t="shared" ref="K853:P853" si="794">SUBTOTAL(9,K841:K852)</f>
        <v>0</v>
      </c>
      <c r="L853" s="170">
        <f t="shared" si="794"/>
        <v>0</v>
      </c>
      <c r="M853" s="170">
        <f t="shared" si="794"/>
        <v>0</v>
      </c>
      <c r="N853" s="170">
        <f t="shared" si="794"/>
        <v>0</v>
      </c>
      <c r="O853" s="170">
        <f t="shared" si="794"/>
        <v>0</v>
      </c>
      <c r="P853" s="170">
        <f t="shared" si="794"/>
        <v>0</v>
      </c>
      <c r="Q853" s="170">
        <f t="shared" si="793"/>
        <v>0</v>
      </c>
    </row>
    <row r="854" spans="2:17" s="119" customFormat="1" ht="15.75" hidden="1" thickBot="1" x14ac:dyDescent="0.3">
      <c r="B854" s="310"/>
      <c r="D854" s="117"/>
      <c r="E854" s="132"/>
      <c r="F854" s="117"/>
      <c r="G854" s="117"/>
      <c r="H854" s="118"/>
      <c r="I854" s="118"/>
      <c r="J854" s="118"/>
      <c r="K854" s="118"/>
      <c r="L854" s="118"/>
      <c r="M854" s="118"/>
      <c r="N854" s="118"/>
      <c r="O854" s="118"/>
      <c r="P854" s="118"/>
      <c r="Q854" s="118"/>
    </row>
    <row r="855" spans="2:17" s="119" customFormat="1" ht="45.75" hidden="1" thickBot="1" x14ac:dyDescent="0.3">
      <c r="B855" s="310"/>
      <c r="C855" s="119">
        <f>IF(E855&gt;0,1,0)</f>
        <v>0</v>
      </c>
      <c r="D855" s="96" t="str">
        <f>+A53</f>
        <v>Seneca</v>
      </c>
      <c r="E855" s="166">
        <f>+SUMIF(A:A,D855,B:B)</f>
        <v>0</v>
      </c>
      <c r="F855" s="98" t="s">
        <v>97</v>
      </c>
      <c r="G855" s="98" t="s">
        <v>126</v>
      </c>
      <c r="H855" s="98" t="s">
        <v>127</v>
      </c>
      <c r="I855" s="99" t="s">
        <v>128</v>
      </c>
      <c r="J855" s="99" t="s">
        <v>131</v>
      </c>
      <c r="K855" s="560" t="s">
        <v>474</v>
      </c>
      <c r="L855" s="560" t="s">
        <v>475</v>
      </c>
      <c r="M855" s="560" t="s">
        <v>476</v>
      </c>
      <c r="N855" s="560" t="s">
        <v>477</v>
      </c>
      <c r="O855" s="560" t="s">
        <v>478</v>
      </c>
      <c r="P855" s="560" t="s">
        <v>479</v>
      </c>
      <c r="Q855" s="99" t="s">
        <v>129</v>
      </c>
    </row>
    <row r="856" spans="2:17" s="119" customFormat="1" ht="19.5" hidden="1" thickBot="1" x14ac:dyDescent="0.3">
      <c r="B856" s="310"/>
      <c r="C856" s="119">
        <f>C855</f>
        <v>0</v>
      </c>
      <c r="D856" s="127"/>
      <c r="E856" s="128"/>
      <c r="F856" s="84" t="s">
        <v>57</v>
      </c>
      <c r="G856" s="84" t="s">
        <v>56</v>
      </c>
      <c r="H856" s="84" t="s">
        <v>55</v>
      </c>
      <c r="I856" s="84" t="s">
        <v>54</v>
      </c>
      <c r="J856" s="129" t="s">
        <v>53</v>
      </c>
      <c r="K856" s="129" t="s">
        <v>52</v>
      </c>
      <c r="L856" s="129" t="s">
        <v>51</v>
      </c>
      <c r="M856" s="129" t="s">
        <v>50</v>
      </c>
      <c r="N856" s="129" t="s">
        <v>49</v>
      </c>
      <c r="O856" s="129" t="s">
        <v>47</v>
      </c>
      <c r="P856" s="129" t="s">
        <v>77</v>
      </c>
      <c r="Q856" s="129" t="s">
        <v>78</v>
      </c>
    </row>
    <row r="857" spans="2:17" s="119" customFormat="1" ht="19.5" hidden="1" thickBot="1" x14ac:dyDescent="0.3">
      <c r="B857" s="310"/>
      <c r="C857" s="119">
        <f>C856</f>
        <v>0</v>
      </c>
      <c r="D857" s="133" t="s">
        <v>26</v>
      </c>
      <c r="E857" s="134"/>
      <c r="F857" s="135"/>
      <c r="G857" s="135"/>
      <c r="H857" s="136"/>
      <c r="I857" s="136"/>
      <c r="J857" s="137"/>
      <c r="K857" s="137"/>
      <c r="L857" s="137"/>
      <c r="M857" s="137"/>
      <c r="N857" s="137"/>
      <c r="O857" s="137"/>
      <c r="P857" s="137"/>
      <c r="Q857" s="138"/>
    </row>
    <row r="858" spans="2:17" s="119" customFormat="1" ht="19.5" hidden="1" thickBot="1" x14ac:dyDescent="0.3">
      <c r="B858" s="310"/>
      <c r="C858" s="119">
        <f t="shared" ref="C858:C870" si="795">C857</f>
        <v>0</v>
      </c>
      <c r="D858" s="109" t="s">
        <v>93</v>
      </c>
      <c r="E858" s="76" t="s">
        <v>57</v>
      </c>
      <c r="F858" s="168">
        <f>+F$6*$E855</f>
        <v>0</v>
      </c>
      <c r="G858" s="168">
        <f>+G$6*$E855</f>
        <v>0</v>
      </c>
      <c r="H858" s="168">
        <f>+H$6*$E855</f>
        <v>0</v>
      </c>
      <c r="I858" s="168">
        <f>+I$6*$E855</f>
        <v>0</v>
      </c>
      <c r="J858" s="168">
        <f>+J$6*$E855</f>
        <v>0</v>
      </c>
      <c r="K858" s="168">
        <f t="shared" ref="K858:P858" si="796">+K$6*$E855</f>
        <v>0</v>
      </c>
      <c r="L858" s="168">
        <f t="shared" si="796"/>
        <v>0</v>
      </c>
      <c r="M858" s="168">
        <f t="shared" si="796"/>
        <v>0</v>
      </c>
      <c r="N858" s="168">
        <f t="shared" si="796"/>
        <v>0</v>
      </c>
      <c r="O858" s="168">
        <f t="shared" si="796"/>
        <v>0</v>
      </c>
      <c r="P858" s="168">
        <f t="shared" si="796"/>
        <v>0</v>
      </c>
      <c r="Q858" s="190">
        <f>SUM(G858:P858)</f>
        <v>0</v>
      </c>
    </row>
    <row r="859" spans="2:17" s="119" customFormat="1" ht="19.5" hidden="1" thickBot="1" x14ac:dyDescent="0.3">
      <c r="B859" s="310"/>
      <c r="C859" s="119">
        <f t="shared" si="795"/>
        <v>0</v>
      </c>
      <c r="D859" s="110" t="s">
        <v>132</v>
      </c>
      <c r="E859" s="76" t="s">
        <v>56</v>
      </c>
      <c r="F859" s="168">
        <f>+F$7*$E855</f>
        <v>0</v>
      </c>
      <c r="G859" s="168">
        <f>+G$7*$E855</f>
        <v>0</v>
      </c>
      <c r="H859" s="168">
        <f>+H$7*$E855</f>
        <v>0</v>
      </c>
      <c r="I859" s="168">
        <f>+I$7*$E855</f>
        <v>0</v>
      </c>
      <c r="J859" s="168">
        <f>+J$7*$E855</f>
        <v>0</v>
      </c>
      <c r="K859" s="168">
        <f t="shared" ref="K859:P859" si="797">+K$7*$E855</f>
        <v>0</v>
      </c>
      <c r="L859" s="168">
        <f t="shared" si="797"/>
        <v>0</v>
      </c>
      <c r="M859" s="168">
        <f t="shared" si="797"/>
        <v>0</v>
      </c>
      <c r="N859" s="168">
        <f t="shared" si="797"/>
        <v>0</v>
      </c>
      <c r="O859" s="168">
        <f t="shared" si="797"/>
        <v>0</v>
      </c>
      <c r="P859" s="168">
        <f t="shared" si="797"/>
        <v>0</v>
      </c>
      <c r="Q859" s="190">
        <f>SUM(G859:P859)</f>
        <v>0</v>
      </c>
    </row>
    <row r="860" spans="2:17" s="119" customFormat="1" ht="19.5" hidden="1" thickBot="1" x14ac:dyDescent="0.3">
      <c r="B860" s="310"/>
      <c r="C860" s="119">
        <f t="shared" si="795"/>
        <v>0</v>
      </c>
      <c r="D860" s="109" t="s">
        <v>91</v>
      </c>
      <c r="E860" s="76" t="s">
        <v>55</v>
      </c>
      <c r="F860" s="168">
        <f>+F$8*$E855</f>
        <v>0</v>
      </c>
      <c r="G860" s="168">
        <f>+G$8*$E855</f>
        <v>0</v>
      </c>
      <c r="H860" s="168">
        <f>+H$8*$E855</f>
        <v>0</v>
      </c>
      <c r="I860" s="168">
        <f>+I$8*$E855</f>
        <v>0</v>
      </c>
      <c r="J860" s="168">
        <f>+J$8*$E855</f>
        <v>0</v>
      </c>
      <c r="K860" s="168">
        <f t="shared" ref="K860:P860" si="798">+K$8*$E855</f>
        <v>0</v>
      </c>
      <c r="L860" s="168">
        <f t="shared" si="798"/>
        <v>0</v>
      </c>
      <c r="M860" s="168">
        <f t="shared" si="798"/>
        <v>0</v>
      </c>
      <c r="N860" s="168">
        <f t="shared" si="798"/>
        <v>0</v>
      </c>
      <c r="O860" s="168">
        <f t="shared" si="798"/>
        <v>0</v>
      </c>
      <c r="P860" s="168">
        <f t="shared" si="798"/>
        <v>0</v>
      </c>
      <c r="Q860" s="190">
        <f>SUM(G860:P860)</f>
        <v>0</v>
      </c>
    </row>
    <row r="861" spans="2:17" s="119" customFormat="1" ht="19.5" hidden="1" thickBot="1" x14ac:dyDescent="0.3">
      <c r="B861" s="310"/>
      <c r="C861" s="119">
        <f t="shared" si="795"/>
        <v>0</v>
      </c>
      <c r="D861" s="130" t="s">
        <v>117</v>
      </c>
      <c r="E861" s="76" t="s">
        <v>54</v>
      </c>
      <c r="F861" s="168">
        <f>+F$9*$E855</f>
        <v>0</v>
      </c>
      <c r="G861" s="168">
        <f>+G$9*$E855</f>
        <v>0</v>
      </c>
      <c r="H861" s="168">
        <f>+H$9*$E855</f>
        <v>0</v>
      </c>
      <c r="I861" s="168">
        <f>+I$9*$E855</f>
        <v>0</v>
      </c>
      <c r="J861" s="168">
        <f>+J$9*$E855</f>
        <v>0</v>
      </c>
      <c r="K861" s="168">
        <f t="shared" ref="K861:P861" si="799">+K$9*$E855</f>
        <v>0</v>
      </c>
      <c r="L861" s="168">
        <f t="shared" si="799"/>
        <v>0</v>
      </c>
      <c r="M861" s="168">
        <f t="shared" si="799"/>
        <v>0</v>
      </c>
      <c r="N861" s="168">
        <f t="shared" si="799"/>
        <v>0</v>
      </c>
      <c r="O861" s="168">
        <f t="shared" si="799"/>
        <v>0</v>
      </c>
      <c r="P861" s="168">
        <f t="shared" si="799"/>
        <v>0</v>
      </c>
      <c r="Q861" s="190">
        <f>SUM(G861:P861)</f>
        <v>0</v>
      </c>
    </row>
    <row r="862" spans="2:17" s="119" customFormat="1" ht="19.5" hidden="1" thickBot="1" x14ac:dyDescent="0.3">
      <c r="B862" s="310"/>
      <c r="C862" s="119">
        <f t="shared" si="795"/>
        <v>0</v>
      </c>
      <c r="D862" s="112" t="s">
        <v>31</v>
      </c>
      <c r="E862" s="76"/>
      <c r="F862" s="167"/>
      <c r="G862" s="185"/>
      <c r="H862" s="185"/>
      <c r="I862" s="185"/>
      <c r="J862" s="185"/>
      <c r="K862" s="185"/>
      <c r="L862" s="185"/>
      <c r="M862" s="185"/>
      <c r="N862" s="185"/>
      <c r="O862" s="185"/>
      <c r="P862" s="185"/>
      <c r="Q862" s="171"/>
    </row>
    <row r="863" spans="2:17" s="119" customFormat="1" ht="19.5" hidden="1" thickBot="1" x14ac:dyDescent="0.35">
      <c r="B863" s="310"/>
      <c r="C863" s="119">
        <f t="shared" si="795"/>
        <v>0</v>
      </c>
      <c r="D863" s="125" t="s">
        <v>118</v>
      </c>
      <c r="E863" s="76" t="s">
        <v>53</v>
      </c>
      <c r="F863" s="168">
        <f>+F$11*$E855</f>
        <v>0</v>
      </c>
      <c r="G863" s="168">
        <f>+G$11*$E855</f>
        <v>0</v>
      </c>
      <c r="H863" s="168">
        <f>+H$11*$E855</f>
        <v>0</v>
      </c>
      <c r="I863" s="168">
        <f>+I$11*$E855</f>
        <v>0</v>
      </c>
      <c r="J863" s="168">
        <f>+J$11*$E855</f>
        <v>0</v>
      </c>
      <c r="K863" s="168">
        <f t="shared" ref="K863:P863" si="800">+K$11*$E855</f>
        <v>0</v>
      </c>
      <c r="L863" s="168">
        <f t="shared" si="800"/>
        <v>0</v>
      </c>
      <c r="M863" s="168">
        <f t="shared" si="800"/>
        <v>0</v>
      </c>
      <c r="N863" s="168">
        <f t="shared" si="800"/>
        <v>0</v>
      </c>
      <c r="O863" s="168">
        <f t="shared" si="800"/>
        <v>0</v>
      </c>
      <c r="P863" s="168">
        <f t="shared" si="800"/>
        <v>0</v>
      </c>
      <c r="Q863" s="190">
        <f t="shared" ref="Q863:Q869" si="801">SUM(G863:P863)</f>
        <v>0</v>
      </c>
    </row>
    <row r="864" spans="2:17" s="119" customFormat="1" ht="19.5" hidden="1" thickBot="1" x14ac:dyDescent="0.35">
      <c r="B864" s="310"/>
      <c r="C864" s="119">
        <f t="shared" si="795"/>
        <v>0</v>
      </c>
      <c r="D864" s="125" t="s">
        <v>119</v>
      </c>
      <c r="E864" s="76" t="s">
        <v>52</v>
      </c>
      <c r="F864" s="168">
        <f>+F$12*$E855</f>
        <v>0</v>
      </c>
      <c r="G864" s="168">
        <f>+G$12*$E855</f>
        <v>0</v>
      </c>
      <c r="H864" s="168">
        <f>+H$12*$E855</f>
        <v>0</v>
      </c>
      <c r="I864" s="168">
        <f>+I$12*$E855</f>
        <v>0</v>
      </c>
      <c r="J864" s="168">
        <f>+J$12*$E855</f>
        <v>0</v>
      </c>
      <c r="K864" s="168">
        <f t="shared" ref="K864:P864" si="802">+K$12*$E855</f>
        <v>0</v>
      </c>
      <c r="L864" s="168">
        <f t="shared" si="802"/>
        <v>0</v>
      </c>
      <c r="M864" s="168">
        <f t="shared" si="802"/>
        <v>0</v>
      </c>
      <c r="N864" s="168">
        <f t="shared" si="802"/>
        <v>0</v>
      </c>
      <c r="O864" s="168">
        <f t="shared" si="802"/>
        <v>0</v>
      </c>
      <c r="P864" s="168">
        <f t="shared" si="802"/>
        <v>0</v>
      </c>
      <c r="Q864" s="190">
        <f t="shared" si="801"/>
        <v>0</v>
      </c>
    </row>
    <row r="865" spans="2:17" s="119" customFormat="1" ht="19.5" hidden="1" thickBot="1" x14ac:dyDescent="0.35">
      <c r="B865" s="310"/>
      <c r="C865" s="119">
        <f t="shared" si="795"/>
        <v>0</v>
      </c>
      <c r="D865" s="125" t="s">
        <v>120</v>
      </c>
      <c r="E865" s="76" t="s">
        <v>51</v>
      </c>
      <c r="F865" s="168">
        <f>+F$13*$E855</f>
        <v>0</v>
      </c>
      <c r="G865" s="168">
        <f>+G$13*$E855</f>
        <v>0</v>
      </c>
      <c r="H865" s="168">
        <f>+H$13*$E855</f>
        <v>0</v>
      </c>
      <c r="I865" s="168">
        <f>+I$13*$E855</f>
        <v>0</v>
      </c>
      <c r="J865" s="168">
        <f>+J$13*$E855</f>
        <v>0</v>
      </c>
      <c r="K865" s="168">
        <f t="shared" ref="K865:P865" si="803">+K$13*$E855</f>
        <v>0</v>
      </c>
      <c r="L865" s="168">
        <f t="shared" si="803"/>
        <v>0</v>
      </c>
      <c r="M865" s="168">
        <f t="shared" si="803"/>
        <v>0</v>
      </c>
      <c r="N865" s="168">
        <f t="shared" si="803"/>
        <v>0</v>
      </c>
      <c r="O865" s="168">
        <f t="shared" si="803"/>
        <v>0</v>
      </c>
      <c r="P865" s="168">
        <f t="shared" si="803"/>
        <v>0</v>
      </c>
      <c r="Q865" s="190">
        <f t="shared" si="801"/>
        <v>0</v>
      </c>
    </row>
    <row r="866" spans="2:17" s="119" customFormat="1" ht="19.5" hidden="1" thickBot="1" x14ac:dyDescent="0.35">
      <c r="B866" s="310"/>
      <c r="C866" s="119">
        <f t="shared" si="795"/>
        <v>0</v>
      </c>
      <c r="D866" s="125" t="s">
        <v>121</v>
      </c>
      <c r="E866" s="76" t="s">
        <v>50</v>
      </c>
      <c r="F866" s="168">
        <f>+F$14*$E855</f>
        <v>0</v>
      </c>
      <c r="G866" s="168">
        <f>+G$14*$E855</f>
        <v>0</v>
      </c>
      <c r="H866" s="168">
        <f>+H$14*$E855</f>
        <v>0</v>
      </c>
      <c r="I866" s="168">
        <f>+I$14*$E855</f>
        <v>0</v>
      </c>
      <c r="J866" s="168">
        <f>+J$14*$E855</f>
        <v>0</v>
      </c>
      <c r="K866" s="168">
        <f t="shared" ref="K866:P866" si="804">+K$14*$E855</f>
        <v>0</v>
      </c>
      <c r="L866" s="168">
        <f t="shared" si="804"/>
        <v>0</v>
      </c>
      <c r="M866" s="168">
        <f t="shared" si="804"/>
        <v>0</v>
      </c>
      <c r="N866" s="168">
        <f t="shared" si="804"/>
        <v>0</v>
      </c>
      <c r="O866" s="168">
        <f t="shared" si="804"/>
        <v>0</v>
      </c>
      <c r="P866" s="168">
        <f t="shared" si="804"/>
        <v>0</v>
      </c>
      <c r="Q866" s="190">
        <f t="shared" si="801"/>
        <v>0</v>
      </c>
    </row>
    <row r="867" spans="2:17" s="119" customFormat="1" ht="19.5" hidden="1" thickBot="1" x14ac:dyDescent="0.35">
      <c r="B867" s="310"/>
      <c r="C867" s="119">
        <f t="shared" si="795"/>
        <v>0</v>
      </c>
      <c r="D867" s="125" t="s">
        <v>122</v>
      </c>
      <c r="E867" s="76" t="s">
        <v>49</v>
      </c>
      <c r="F867" s="168">
        <f>+F$15*$E855</f>
        <v>0</v>
      </c>
      <c r="G867" s="168">
        <f>+G$15*$E855</f>
        <v>0</v>
      </c>
      <c r="H867" s="168">
        <f>+H$15*$E855</f>
        <v>0</v>
      </c>
      <c r="I867" s="168">
        <f>+I$15*$E855</f>
        <v>0</v>
      </c>
      <c r="J867" s="168">
        <f>+J$15*$E855</f>
        <v>0</v>
      </c>
      <c r="K867" s="168">
        <f t="shared" ref="K867:P867" si="805">+K$15*$E855</f>
        <v>0</v>
      </c>
      <c r="L867" s="168">
        <f t="shared" si="805"/>
        <v>0</v>
      </c>
      <c r="M867" s="168">
        <f t="shared" si="805"/>
        <v>0</v>
      </c>
      <c r="N867" s="168">
        <f t="shared" si="805"/>
        <v>0</v>
      </c>
      <c r="O867" s="168">
        <f t="shared" si="805"/>
        <v>0</v>
      </c>
      <c r="P867" s="168">
        <f t="shared" si="805"/>
        <v>0</v>
      </c>
      <c r="Q867" s="190">
        <f t="shared" si="801"/>
        <v>0</v>
      </c>
    </row>
    <row r="868" spans="2:17" s="119" customFormat="1" ht="19.5" hidden="1" thickBot="1" x14ac:dyDescent="0.35">
      <c r="B868" s="310"/>
      <c r="C868" s="119">
        <f t="shared" si="795"/>
        <v>0</v>
      </c>
      <c r="D868" s="125" t="s">
        <v>123</v>
      </c>
      <c r="E868" s="76" t="s">
        <v>47</v>
      </c>
      <c r="F868" s="168">
        <f>+F$16*$E855</f>
        <v>0</v>
      </c>
      <c r="G868" s="168">
        <f>+G$16*$E855</f>
        <v>0</v>
      </c>
      <c r="H868" s="168">
        <f>+H$16*$E855</f>
        <v>0</v>
      </c>
      <c r="I868" s="168">
        <f>+I$16*$E855</f>
        <v>0</v>
      </c>
      <c r="J868" s="168">
        <f>+J$16*$E855</f>
        <v>0</v>
      </c>
      <c r="K868" s="168">
        <f t="shared" ref="K868:P868" si="806">+K$16*$E855</f>
        <v>0</v>
      </c>
      <c r="L868" s="168">
        <f t="shared" si="806"/>
        <v>0</v>
      </c>
      <c r="M868" s="168">
        <f t="shared" si="806"/>
        <v>0</v>
      </c>
      <c r="N868" s="168">
        <f t="shared" si="806"/>
        <v>0</v>
      </c>
      <c r="O868" s="168">
        <f t="shared" si="806"/>
        <v>0</v>
      </c>
      <c r="P868" s="168">
        <f t="shared" si="806"/>
        <v>0</v>
      </c>
      <c r="Q868" s="190">
        <f t="shared" si="801"/>
        <v>0</v>
      </c>
    </row>
    <row r="869" spans="2:17" s="119" customFormat="1" ht="19.5" hidden="1" thickBot="1" x14ac:dyDescent="0.35">
      <c r="B869" s="310"/>
      <c r="C869" s="119">
        <f t="shared" si="795"/>
        <v>0</v>
      </c>
      <c r="D869" s="125" t="s">
        <v>16</v>
      </c>
      <c r="E869" s="70" t="s">
        <v>77</v>
      </c>
      <c r="F869" s="168">
        <f>+F$17*$E855</f>
        <v>0</v>
      </c>
      <c r="G869" s="168">
        <f>+G$17*$E855</f>
        <v>0</v>
      </c>
      <c r="H869" s="168">
        <f>+H$17*$E855</f>
        <v>0</v>
      </c>
      <c r="I869" s="168">
        <f>+I$17*$E855</f>
        <v>0</v>
      </c>
      <c r="J869" s="168">
        <f>+J$17*$E855</f>
        <v>0</v>
      </c>
      <c r="K869" s="168">
        <f t="shared" ref="K869:P869" si="807">+K$17*$E855</f>
        <v>0</v>
      </c>
      <c r="L869" s="168">
        <f t="shared" si="807"/>
        <v>0</v>
      </c>
      <c r="M869" s="168">
        <f t="shared" si="807"/>
        <v>0</v>
      </c>
      <c r="N869" s="168">
        <f t="shared" si="807"/>
        <v>0</v>
      </c>
      <c r="O869" s="168">
        <f t="shared" si="807"/>
        <v>0</v>
      </c>
      <c r="P869" s="168">
        <f t="shared" si="807"/>
        <v>0</v>
      </c>
      <c r="Q869" s="190">
        <f t="shared" si="801"/>
        <v>0</v>
      </c>
    </row>
    <row r="870" spans="2:17" s="119" customFormat="1" ht="19.5" hidden="1" thickBot="1" x14ac:dyDescent="0.3">
      <c r="B870" s="310"/>
      <c r="C870" s="119">
        <f t="shared" si="795"/>
        <v>0</v>
      </c>
      <c r="D870" s="131" t="s">
        <v>124</v>
      </c>
      <c r="E870" s="116" t="s">
        <v>78</v>
      </c>
      <c r="F870" s="169">
        <f t="shared" ref="F870:Q870" si="808">SUBTOTAL(9,F858:F869)</f>
        <v>0</v>
      </c>
      <c r="G870" s="170">
        <f t="shared" si="808"/>
        <v>0</v>
      </c>
      <c r="H870" s="170">
        <f t="shared" si="808"/>
        <v>0</v>
      </c>
      <c r="I870" s="170">
        <f t="shared" si="808"/>
        <v>0</v>
      </c>
      <c r="J870" s="170">
        <f t="shared" si="808"/>
        <v>0</v>
      </c>
      <c r="K870" s="170">
        <f t="shared" ref="K870:P870" si="809">SUBTOTAL(9,K858:K869)</f>
        <v>0</v>
      </c>
      <c r="L870" s="170">
        <f t="shared" si="809"/>
        <v>0</v>
      </c>
      <c r="M870" s="170">
        <f t="shared" si="809"/>
        <v>0</v>
      </c>
      <c r="N870" s="170">
        <f t="shared" si="809"/>
        <v>0</v>
      </c>
      <c r="O870" s="170">
        <f t="shared" si="809"/>
        <v>0</v>
      </c>
      <c r="P870" s="170">
        <f t="shared" si="809"/>
        <v>0</v>
      </c>
      <c r="Q870" s="170">
        <f t="shared" si="808"/>
        <v>0</v>
      </c>
    </row>
    <row r="871" spans="2:17" s="119" customFormat="1" ht="15.75" hidden="1" thickBot="1" x14ac:dyDescent="0.3">
      <c r="B871" s="310"/>
      <c r="D871" s="117"/>
      <c r="E871" s="132"/>
      <c r="F871" s="117"/>
      <c r="G871" s="117"/>
      <c r="H871" s="118"/>
      <c r="I871" s="118"/>
      <c r="J871" s="118"/>
      <c r="K871" s="118"/>
      <c r="L871" s="118"/>
      <c r="M871" s="118"/>
      <c r="N871" s="118"/>
      <c r="O871" s="118"/>
      <c r="P871" s="118"/>
      <c r="Q871" s="118"/>
    </row>
    <row r="872" spans="2:17" s="119" customFormat="1" ht="45.75" hidden="1" thickBot="1" x14ac:dyDescent="0.3">
      <c r="B872" s="310"/>
      <c r="C872" s="119">
        <f>IF(E872&gt;0,1,0)</f>
        <v>0</v>
      </c>
      <c r="D872" s="96" t="str">
        <f>+A54</f>
        <v>Steuben</v>
      </c>
      <c r="E872" s="166">
        <f>+SUMIF(A:A,D872,B:B)</f>
        <v>0</v>
      </c>
      <c r="F872" s="98" t="s">
        <v>97</v>
      </c>
      <c r="G872" s="98" t="s">
        <v>126</v>
      </c>
      <c r="H872" s="98" t="s">
        <v>127</v>
      </c>
      <c r="I872" s="99" t="s">
        <v>128</v>
      </c>
      <c r="J872" s="99" t="s">
        <v>131</v>
      </c>
      <c r="K872" s="560" t="s">
        <v>474</v>
      </c>
      <c r="L872" s="560" t="s">
        <v>475</v>
      </c>
      <c r="M872" s="560" t="s">
        <v>476</v>
      </c>
      <c r="N872" s="560" t="s">
        <v>477</v>
      </c>
      <c r="O872" s="560" t="s">
        <v>478</v>
      </c>
      <c r="P872" s="560" t="s">
        <v>479</v>
      </c>
      <c r="Q872" s="99" t="s">
        <v>129</v>
      </c>
    </row>
    <row r="873" spans="2:17" s="119" customFormat="1" ht="19.5" hidden="1" thickBot="1" x14ac:dyDescent="0.3">
      <c r="B873" s="310"/>
      <c r="C873" s="119">
        <f>C872</f>
        <v>0</v>
      </c>
      <c r="D873" s="127"/>
      <c r="E873" s="128"/>
      <c r="F873" s="84" t="s">
        <v>57</v>
      </c>
      <c r="G873" s="84" t="s">
        <v>56</v>
      </c>
      <c r="H873" s="84" t="s">
        <v>55</v>
      </c>
      <c r="I873" s="84" t="s">
        <v>54</v>
      </c>
      <c r="J873" s="129" t="s">
        <v>53</v>
      </c>
      <c r="K873" s="129" t="s">
        <v>52</v>
      </c>
      <c r="L873" s="129" t="s">
        <v>51</v>
      </c>
      <c r="M873" s="129" t="s">
        <v>50</v>
      </c>
      <c r="N873" s="129" t="s">
        <v>49</v>
      </c>
      <c r="O873" s="129" t="s">
        <v>47</v>
      </c>
      <c r="P873" s="129" t="s">
        <v>77</v>
      </c>
      <c r="Q873" s="129" t="s">
        <v>78</v>
      </c>
    </row>
    <row r="874" spans="2:17" s="119" customFormat="1" ht="19.5" hidden="1" thickBot="1" x14ac:dyDescent="0.3">
      <c r="B874" s="310"/>
      <c r="C874" s="119">
        <f>C873</f>
        <v>0</v>
      </c>
      <c r="D874" s="133" t="s">
        <v>26</v>
      </c>
      <c r="E874" s="134"/>
      <c r="F874" s="135"/>
      <c r="G874" s="135"/>
      <c r="H874" s="136"/>
      <c r="I874" s="136"/>
      <c r="J874" s="137"/>
      <c r="K874" s="137"/>
      <c r="L874" s="137"/>
      <c r="M874" s="137"/>
      <c r="N874" s="137"/>
      <c r="O874" s="137"/>
      <c r="P874" s="137"/>
      <c r="Q874" s="138"/>
    </row>
    <row r="875" spans="2:17" s="119" customFormat="1" ht="19.5" hidden="1" thickBot="1" x14ac:dyDescent="0.3">
      <c r="B875" s="310"/>
      <c r="C875" s="119">
        <f t="shared" ref="C875:C887" si="810">C874</f>
        <v>0</v>
      </c>
      <c r="D875" s="109" t="s">
        <v>93</v>
      </c>
      <c r="E875" s="76" t="s">
        <v>57</v>
      </c>
      <c r="F875" s="168">
        <f>+F$6*$E872</f>
        <v>0</v>
      </c>
      <c r="G875" s="168">
        <f>+G$6*$E872</f>
        <v>0</v>
      </c>
      <c r="H875" s="168">
        <f>+H$6*$E872</f>
        <v>0</v>
      </c>
      <c r="I875" s="168">
        <f>+I$6*$E872</f>
        <v>0</v>
      </c>
      <c r="J875" s="168">
        <f>+J$6*$E872</f>
        <v>0</v>
      </c>
      <c r="K875" s="168">
        <f t="shared" ref="K875:P875" si="811">+K$6*$E872</f>
        <v>0</v>
      </c>
      <c r="L875" s="168">
        <f t="shared" si="811"/>
        <v>0</v>
      </c>
      <c r="M875" s="168">
        <f t="shared" si="811"/>
        <v>0</v>
      </c>
      <c r="N875" s="168">
        <f t="shared" si="811"/>
        <v>0</v>
      </c>
      <c r="O875" s="168">
        <f t="shared" si="811"/>
        <v>0</v>
      </c>
      <c r="P875" s="168">
        <f t="shared" si="811"/>
        <v>0</v>
      </c>
      <c r="Q875" s="190">
        <f>SUM(G875:P875)</f>
        <v>0</v>
      </c>
    </row>
    <row r="876" spans="2:17" s="119" customFormat="1" ht="19.5" hidden="1" thickBot="1" x14ac:dyDescent="0.3">
      <c r="B876" s="310"/>
      <c r="C876" s="119">
        <f t="shared" si="810"/>
        <v>0</v>
      </c>
      <c r="D876" s="110" t="s">
        <v>132</v>
      </c>
      <c r="E876" s="76" t="s">
        <v>56</v>
      </c>
      <c r="F876" s="168">
        <f>+F$7*$E872</f>
        <v>0</v>
      </c>
      <c r="G876" s="168">
        <f>+G$7*$E872</f>
        <v>0</v>
      </c>
      <c r="H876" s="168">
        <f>+H$7*$E872</f>
        <v>0</v>
      </c>
      <c r="I876" s="168">
        <f>+I$7*$E872</f>
        <v>0</v>
      </c>
      <c r="J876" s="168">
        <f>+J$7*$E872</f>
        <v>0</v>
      </c>
      <c r="K876" s="168">
        <f t="shared" ref="K876:P876" si="812">+K$7*$E872</f>
        <v>0</v>
      </c>
      <c r="L876" s="168">
        <f t="shared" si="812"/>
        <v>0</v>
      </c>
      <c r="M876" s="168">
        <f t="shared" si="812"/>
        <v>0</v>
      </c>
      <c r="N876" s="168">
        <f t="shared" si="812"/>
        <v>0</v>
      </c>
      <c r="O876" s="168">
        <f t="shared" si="812"/>
        <v>0</v>
      </c>
      <c r="P876" s="168">
        <f t="shared" si="812"/>
        <v>0</v>
      </c>
      <c r="Q876" s="190">
        <f>SUM(G876:P876)</f>
        <v>0</v>
      </c>
    </row>
    <row r="877" spans="2:17" s="119" customFormat="1" ht="19.5" hidden="1" thickBot="1" x14ac:dyDescent="0.3">
      <c r="B877" s="310"/>
      <c r="C877" s="119">
        <f t="shared" si="810"/>
        <v>0</v>
      </c>
      <c r="D877" s="109" t="s">
        <v>91</v>
      </c>
      <c r="E877" s="76" t="s">
        <v>55</v>
      </c>
      <c r="F877" s="168">
        <f>+F$8*$E872</f>
        <v>0</v>
      </c>
      <c r="G877" s="168">
        <f>+G$8*$E872</f>
        <v>0</v>
      </c>
      <c r="H877" s="168">
        <f>+H$8*$E872</f>
        <v>0</v>
      </c>
      <c r="I877" s="168">
        <f>+I$8*$E872</f>
        <v>0</v>
      </c>
      <c r="J877" s="168">
        <f>+J$8*$E872</f>
        <v>0</v>
      </c>
      <c r="K877" s="168">
        <f t="shared" ref="K877:P877" si="813">+K$8*$E872</f>
        <v>0</v>
      </c>
      <c r="L877" s="168">
        <f t="shared" si="813"/>
        <v>0</v>
      </c>
      <c r="M877" s="168">
        <f t="shared" si="813"/>
        <v>0</v>
      </c>
      <c r="N877" s="168">
        <f t="shared" si="813"/>
        <v>0</v>
      </c>
      <c r="O877" s="168">
        <f t="shared" si="813"/>
        <v>0</v>
      </c>
      <c r="P877" s="168">
        <f t="shared" si="813"/>
        <v>0</v>
      </c>
      <c r="Q877" s="190">
        <f>SUM(G877:P877)</f>
        <v>0</v>
      </c>
    </row>
    <row r="878" spans="2:17" s="119" customFormat="1" ht="19.5" hidden="1" thickBot="1" x14ac:dyDescent="0.3">
      <c r="B878" s="310"/>
      <c r="C878" s="119">
        <f t="shared" si="810"/>
        <v>0</v>
      </c>
      <c r="D878" s="130" t="s">
        <v>117</v>
      </c>
      <c r="E878" s="76" t="s">
        <v>54</v>
      </c>
      <c r="F878" s="168">
        <f>+F$9*$E872</f>
        <v>0</v>
      </c>
      <c r="G878" s="168">
        <f>+G$9*$E872</f>
        <v>0</v>
      </c>
      <c r="H878" s="168">
        <f>+H$9*$E872</f>
        <v>0</v>
      </c>
      <c r="I878" s="168">
        <f>+I$9*$E872</f>
        <v>0</v>
      </c>
      <c r="J878" s="168">
        <f>+J$9*$E872</f>
        <v>0</v>
      </c>
      <c r="K878" s="168">
        <f t="shared" ref="K878:P878" si="814">+K$9*$E872</f>
        <v>0</v>
      </c>
      <c r="L878" s="168">
        <f t="shared" si="814"/>
        <v>0</v>
      </c>
      <c r="M878" s="168">
        <f t="shared" si="814"/>
        <v>0</v>
      </c>
      <c r="N878" s="168">
        <f t="shared" si="814"/>
        <v>0</v>
      </c>
      <c r="O878" s="168">
        <f t="shared" si="814"/>
        <v>0</v>
      </c>
      <c r="P878" s="168">
        <f t="shared" si="814"/>
        <v>0</v>
      </c>
      <c r="Q878" s="190">
        <f>SUM(G878:P878)</f>
        <v>0</v>
      </c>
    </row>
    <row r="879" spans="2:17" s="119" customFormat="1" ht="19.5" hidden="1" thickBot="1" x14ac:dyDescent="0.3">
      <c r="B879" s="310"/>
      <c r="C879" s="119">
        <f t="shared" si="810"/>
        <v>0</v>
      </c>
      <c r="D879" s="112" t="s">
        <v>31</v>
      </c>
      <c r="E879" s="76"/>
      <c r="F879" s="167"/>
      <c r="G879" s="185"/>
      <c r="H879" s="185"/>
      <c r="I879" s="185"/>
      <c r="J879" s="185"/>
      <c r="K879" s="185"/>
      <c r="L879" s="185"/>
      <c r="M879" s="185"/>
      <c r="N879" s="185"/>
      <c r="O879" s="185"/>
      <c r="P879" s="185"/>
      <c r="Q879" s="171"/>
    </row>
    <row r="880" spans="2:17" s="119" customFormat="1" ht="19.5" hidden="1" thickBot="1" x14ac:dyDescent="0.35">
      <c r="B880" s="310"/>
      <c r="C880" s="119">
        <f t="shared" si="810"/>
        <v>0</v>
      </c>
      <c r="D880" s="125" t="s">
        <v>118</v>
      </c>
      <c r="E880" s="76" t="s">
        <v>53</v>
      </c>
      <c r="F880" s="168">
        <f>+F$11*$E872</f>
        <v>0</v>
      </c>
      <c r="G880" s="168">
        <f>+G$11*$E872</f>
        <v>0</v>
      </c>
      <c r="H880" s="168">
        <f>+H$11*$E872</f>
        <v>0</v>
      </c>
      <c r="I880" s="168">
        <f>+I$11*$E872</f>
        <v>0</v>
      </c>
      <c r="J880" s="168">
        <f>+J$11*$E872</f>
        <v>0</v>
      </c>
      <c r="K880" s="168">
        <f t="shared" ref="K880:P880" si="815">+K$11*$E872</f>
        <v>0</v>
      </c>
      <c r="L880" s="168">
        <f t="shared" si="815"/>
        <v>0</v>
      </c>
      <c r="M880" s="168">
        <f t="shared" si="815"/>
        <v>0</v>
      </c>
      <c r="N880" s="168">
        <f t="shared" si="815"/>
        <v>0</v>
      </c>
      <c r="O880" s="168">
        <f t="shared" si="815"/>
        <v>0</v>
      </c>
      <c r="P880" s="168">
        <f t="shared" si="815"/>
        <v>0</v>
      </c>
      <c r="Q880" s="190">
        <f t="shared" ref="Q880:Q886" si="816">SUM(G880:P880)</f>
        <v>0</v>
      </c>
    </row>
    <row r="881" spans="2:17" s="119" customFormat="1" ht="19.5" hidden="1" thickBot="1" x14ac:dyDescent="0.35">
      <c r="B881" s="310"/>
      <c r="C881" s="119">
        <f t="shared" si="810"/>
        <v>0</v>
      </c>
      <c r="D881" s="125" t="s">
        <v>119</v>
      </c>
      <c r="E881" s="76" t="s">
        <v>52</v>
      </c>
      <c r="F881" s="168">
        <f>+F$12*$E872</f>
        <v>0</v>
      </c>
      <c r="G881" s="168">
        <f>+G$12*$E872</f>
        <v>0</v>
      </c>
      <c r="H881" s="168">
        <f>+H$12*$E872</f>
        <v>0</v>
      </c>
      <c r="I881" s="168">
        <f>+I$12*$E872</f>
        <v>0</v>
      </c>
      <c r="J881" s="168">
        <f>+J$12*$E872</f>
        <v>0</v>
      </c>
      <c r="K881" s="168">
        <f t="shared" ref="K881:P881" si="817">+K$12*$E872</f>
        <v>0</v>
      </c>
      <c r="L881" s="168">
        <f t="shared" si="817"/>
        <v>0</v>
      </c>
      <c r="M881" s="168">
        <f t="shared" si="817"/>
        <v>0</v>
      </c>
      <c r="N881" s="168">
        <f t="shared" si="817"/>
        <v>0</v>
      </c>
      <c r="O881" s="168">
        <f t="shared" si="817"/>
        <v>0</v>
      </c>
      <c r="P881" s="168">
        <f t="shared" si="817"/>
        <v>0</v>
      </c>
      <c r="Q881" s="190">
        <f t="shared" si="816"/>
        <v>0</v>
      </c>
    </row>
    <row r="882" spans="2:17" s="119" customFormat="1" ht="19.5" hidden="1" thickBot="1" x14ac:dyDescent="0.35">
      <c r="B882" s="310"/>
      <c r="C882" s="119">
        <f t="shared" si="810"/>
        <v>0</v>
      </c>
      <c r="D882" s="125" t="s">
        <v>120</v>
      </c>
      <c r="E882" s="76" t="s">
        <v>51</v>
      </c>
      <c r="F882" s="168">
        <f>+F$13*$E872</f>
        <v>0</v>
      </c>
      <c r="G882" s="168">
        <f>+G$13*$E872</f>
        <v>0</v>
      </c>
      <c r="H882" s="168">
        <f>+H$13*$E872</f>
        <v>0</v>
      </c>
      <c r="I882" s="168">
        <f>+I$13*$E872</f>
        <v>0</v>
      </c>
      <c r="J882" s="168">
        <f>+J$13*$E872</f>
        <v>0</v>
      </c>
      <c r="K882" s="168">
        <f t="shared" ref="K882:P882" si="818">+K$13*$E872</f>
        <v>0</v>
      </c>
      <c r="L882" s="168">
        <f t="shared" si="818"/>
        <v>0</v>
      </c>
      <c r="M882" s="168">
        <f t="shared" si="818"/>
        <v>0</v>
      </c>
      <c r="N882" s="168">
        <f t="shared" si="818"/>
        <v>0</v>
      </c>
      <c r="O882" s="168">
        <f t="shared" si="818"/>
        <v>0</v>
      </c>
      <c r="P882" s="168">
        <f t="shared" si="818"/>
        <v>0</v>
      </c>
      <c r="Q882" s="190">
        <f t="shared" si="816"/>
        <v>0</v>
      </c>
    </row>
    <row r="883" spans="2:17" s="119" customFormat="1" ht="19.5" hidden="1" thickBot="1" x14ac:dyDescent="0.35">
      <c r="B883" s="310"/>
      <c r="C883" s="119">
        <f t="shared" si="810"/>
        <v>0</v>
      </c>
      <c r="D883" s="125" t="s">
        <v>121</v>
      </c>
      <c r="E883" s="76" t="s">
        <v>50</v>
      </c>
      <c r="F883" s="168">
        <f>+F$14*$E872</f>
        <v>0</v>
      </c>
      <c r="G883" s="168">
        <f>+G$14*$E872</f>
        <v>0</v>
      </c>
      <c r="H883" s="168">
        <f>+H$14*$E872</f>
        <v>0</v>
      </c>
      <c r="I883" s="168">
        <f>+I$14*$E872</f>
        <v>0</v>
      </c>
      <c r="J883" s="168">
        <f>+J$14*$E872</f>
        <v>0</v>
      </c>
      <c r="K883" s="168">
        <f t="shared" ref="K883:P883" si="819">+K$14*$E872</f>
        <v>0</v>
      </c>
      <c r="L883" s="168">
        <f t="shared" si="819"/>
        <v>0</v>
      </c>
      <c r="M883" s="168">
        <f t="shared" si="819"/>
        <v>0</v>
      </c>
      <c r="N883" s="168">
        <f t="shared" si="819"/>
        <v>0</v>
      </c>
      <c r="O883" s="168">
        <f t="shared" si="819"/>
        <v>0</v>
      </c>
      <c r="P883" s="168">
        <f t="shared" si="819"/>
        <v>0</v>
      </c>
      <c r="Q883" s="190">
        <f t="shared" si="816"/>
        <v>0</v>
      </c>
    </row>
    <row r="884" spans="2:17" s="119" customFormat="1" ht="19.5" hidden="1" thickBot="1" x14ac:dyDescent="0.35">
      <c r="B884" s="310"/>
      <c r="C884" s="119">
        <f t="shared" si="810"/>
        <v>0</v>
      </c>
      <c r="D884" s="125" t="s">
        <v>122</v>
      </c>
      <c r="E884" s="76" t="s">
        <v>49</v>
      </c>
      <c r="F884" s="168">
        <f>+F$15*$E872</f>
        <v>0</v>
      </c>
      <c r="G884" s="168">
        <f>+G$15*$E872</f>
        <v>0</v>
      </c>
      <c r="H884" s="168">
        <f>+H$15*$E872</f>
        <v>0</v>
      </c>
      <c r="I884" s="168">
        <f>+I$15*$E872</f>
        <v>0</v>
      </c>
      <c r="J884" s="168">
        <f>+J$15*$E872</f>
        <v>0</v>
      </c>
      <c r="K884" s="168">
        <f t="shared" ref="K884:P884" si="820">+K$15*$E872</f>
        <v>0</v>
      </c>
      <c r="L884" s="168">
        <f t="shared" si="820"/>
        <v>0</v>
      </c>
      <c r="M884" s="168">
        <f t="shared" si="820"/>
        <v>0</v>
      </c>
      <c r="N884" s="168">
        <f t="shared" si="820"/>
        <v>0</v>
      </c>
      <c r="O884" s="168">
        <f t="shared" si="820"/>
        <v>0</v>
      </c>
      <c r="P884" s="168">
        <f t="shared" si="820"/>
        <v>0</v>
      </c>
      <c r="Q884" s="190">
        <f t="shared" si="816"/>
        <v>0</v>
      </c>
    </row>
    <row r="885" spans="2:17" s="119" customFormat="1" ht="19.5" hidden="1" thickBot="1" x14ac:dyDescent="0.35">
      <c r="B885" s="310"/>
      <c r="C885" s="119">
        <f t="shared" si="810"/>
        <v>0</v>
      </c>
      <c r="D885" s="125" t="s">
        <v>123</v>
      </c>
      <c r="E885" s="76" t="s">
        <v>47</v>
      </c>
      <c r="F885" s="168">
        <f>+F$16*$E872</f>
        <v>0</v>
      </c>
      <c r="G885" s="168">
        <f>+G$16*$E872</f>
        <v>0</v>
      </c>
      <c r="H885" s="168">
        <f>+H$16*$E872</f>
        <v>0</v>
      </c>
      <c r="I885" s="168">
        <f>+I$16*$E872</f>
        <v>0</v>
      </c>
      <c r="J885" s="168">
        <f>+J$16*$E872</f>
        <v>0</v>
      </c>
      <c r="K885" s="168">
        <f t="shared" ref="K885:P885" si="821">+K$16*$E872</f>
        <v>0</v>
      </c>
      <c r="L885" s="168">
        <f t="shared" si="821"/>
        <v>0</v>
      </c>
      <c r="M885" s="168">
        <f t="shared" si="821"/>
        <v>0</v>
      </c>
      <c r="N885" s="168">
        <f t="shared" si="821"/>
        <v>0</v>
      </c>
      <c r="O885" s="168">
        <f t="shared" si="821"/>
        <v>0</v>
      </c>
      <c r="P885" s="168">
        <f t="shared" si="821"/>
        <v>0</v>
      </c>
      <c r="Q885" s="190">
        <f t="shared" si="816"/>
        <v>0</v>
      </c>
    </row>
    <row r="886" spans="2:17" s="119" customFormat="1" ht="19.5" hidden="1" thickBot="1" x14ac:dyDescent="0.35">
      <c r="B886" s="310"/>
      <c r="C886" s="119">
        <f t="shared" si="810"/>
        <v>0</v>
      </c>
      <c r="D886" s="125" t="s">
        <v>16</v>
      </c>
      <c r="E886" s="70" t="s">
        <v>77</v>
      </c>
      <c r="F886" s="168">
        <f>+F$17*$E872</f>
        <v>0</v>
      </c>
      <c r="G886" s="168">
        <f>+G$17*$E872</f>
        <v>0</v>
      </c>
      <c r="H886" s="168">
        <f>+H$17*$E872</f>
        <v>0</v>
      </c>
      <c r="I886" s="168">
        <f>+I$17*$E872</f>
        <v>0</v>
      </c>
      <c r="J886" s="168">
        <f>+J$17*$E872</f>
        <v>0</v>
      </c>
      <c r="K886" s="168">
        <f t="shared" ref="K886:P886" si="822">+K$17*$E872</f>
        <v>0</v>
      </c>
      <c r="L886" s="168">
        <f t="shared" si="822"/>
        <v>0</v>
      </c>
      <c r="M886" s="168">
        <f t="shared" si="822"/>
        <v>0</v>
      </c>
      <c r="N886" s="168">
        <f t="shared" si="822"/>
        <v>0</v>
      </c>
      <c r="O886" s="168">
        <f t="shared" si="822"/>
        <v>0</v>
      </c>
      <c r="P886" s="168">
        <f t="shared" si="822"/>
        <v>0</v>
      </c>
      <c r="Q886" s="190">
        <f t="shared" si="816"/>
        <v>0</v>
      </c>
    </row>
    <row r="887" spans="2:17" s="119" customFormat="1" ht="19.5" hidden="1" thickBot="1" x14ac:dyDescent="0.3">
      <c r="B887" s="310"/>
      <c r="C887" s="119">
        <f t="shared" si="810"/>
        <v>0</v>
      </c>
      <c r="D887" s="131" t="s">
        <v>124</v>
      </c>
      <c r="E887" s="116" t="s">
        <v>78</v>
      </c>
      <c r="F887" s="169">
        <f t="shared" ref="F887:Q887" si="823">SUBTOTAL(9,F875:F886)</f>
        <v>0</v>
      </c>
      <c r="G887" s="170">
        <f t="shared" si="823"/>
        <v>0</v>
      </c>
      <c r="H887" s="170">
        <f t="shared" si="823"/>
        <v>0</v>
      </c>
      <c r="I887" s="170">
        <f t="shared" si="823"/>
        <v>0</v>
      </c>
      <c r="J887" s="170">
        <f t="shared" si="823"/>
        <v>0</v>
      </c>
      <c r="K887" s="170">
        <f t="shared" ref="K887:P887" si="824">SUBTOTAL(9,K875:K886)</f>
        <v>0</v>
      </c>
      <c r="L887" s="170">
        <f t="shared" si="824"/>
        <v>0</v>
      </c>
      <c r="M887" s="170">
        <f t="shared" si="824"/>
        <v>0</v>
      </c>
      <c r="N887" s="170">
        <f t="shared" si="824"/>
        <v>0</v>
      </c>
      <c r="O887" s="170">
        <f t="shared" si="824"/>
        <v>0</v>
      </c>
      <c r="P887" s="170">
        <f t="shared" si="824"/>
        <v>0</v>
      </c>
      <c r="Q887" s="170">
        <f t="shared" si="823"/>
        <v>0</v>
      </c>
    </row>
    <row r="888" spans="2:17" s="119" customFormat="1" ht="15.75" hidden="1" thickBot="1" x14ac:dyDescent="0.3">
      <c r="B888" s="310"/>
      <c r="D888" s="117"/>
      <c r="E888" s="132"/>
      <c r="F888" s="117"/>
      <c r="G888" s="117"/>
      <c r="H888" s="118"/>
      <c r="I888" s="118"/>
      <c r="J888" s="118"/>
      <c r="K888" s="118"/>
      <c r="L888" s="118"/>
      <c r="M888" s="118"/>
      <c r="N888" s="118"/>
      <c r="O888" s="118"/>
      <c r="P888" s="118"/>
      <c r="Q888" s="118"/>
    </row>
    <row r="889" spans="2:17" s="119" customFormat="1" ht="45.75" hidden="1" thickBot="1" x14ac:dyDescent="0.3">
      <c r="B889" s="310"/>
      <c r="C889" s="119">
        <f>IF(E889&gt;0,1,0)</f>
        <v>1</v>
      </c>
      <c r="D889" s="96" t="str">
        <f>+A55</f>
        <v>Suffolk</v>
      </c>
      <c r="E889" s="166">
        <f>+SUMIF(A:A,D889,B:B)</f>
        <v>1.3789830938469415E-5</v>
      </c>
      <c r="F889" s="98" t="s">
        <v>97</v>
      </c>
      <c r="G889" s="98" t="s">
        <v>126</v>
      </c>
      <c r="H889" s="98" t="s">
        <v>127</v>
      </c>
      <c r="I889" s="99" t="s">
        <v>128</v>
      </c>
      <c r="J889" s="99" t="s">
        <v>131</v>
      </c>
      <c r="K889" s="560" t="s">
        <v>474</v>
      </c>
      <c r="L889" s="560" t="s">
        <v>475</v>
      </c>
      <c r="M889" s="560" t="s">
        <v>476</v>
      </c>
      <c r="N889" s="560" t="s">
        <v>477</v>
      </c>
      <c r="O889" s="560" t="s">
        <v>478</v>
      </c>
      <c r="P889" s="560" t="s">
        <v>479</v>
      </c>
      <c r="Q889" s="99" t="s">
        <v>129</v>
      </c>
    </row>
    <row r="890" spans="2:17" s="119" customFormat="1" ht="19.5" hidden="1" thickBot="1" x14ac:dyDescent="0.3">
      <c r="B890" s="310"/>
      <c r="C890" s="119">
        <f>C889</f>
        <v>1</v>
      </c>
      <c r="D890" s="127"/>
      <c r="E890" s="128"/>
      <c r="F890" s="84" t="s">
        <v>57</v>
      </c>
      <c r="G890" s="84" t="s">
        <v>56</v>
      </c>
      <c r="H890" s="84" t="s">
        <v>55</v>
      </c>
      <c r="I890" s="84" t="s">
        <v>54</v>
      </c>
      <c r="J890" s="129" t="s">
        <v>53</v>
      </c>
      <c r="K890" s="129" t="s">
        <v>52</v>
      </c>
      <c r="L890" s="129" t="s">
        <v>51</v>
      </c>
      <c r="M890" s="129" t="s">
        <v>50</v>
      </c>
      <c r="N890" s="129" t="s">
        <v>49</v>
      </c>
      <c r="O890" s="129" t="s">
        <v>47</v>
      </c>
      <c r="P890" s="129" t="s">
        <v>77</v>
      </c>
      <c r="Q890" s="129" t="s">
        <v>78</v>
      </c>
    </row>
    <row r="891" spans="2:17" s="119" customFormat="1" ht="19.5" hidden="1" thickBot="1" x14ac:dyDescent="0.3">
      <c r="B891" s="310"/>
      <c r="C891" s="119">
        <f>C890</f>
        <v>1</v>
      </c>
      <c r="D891" s="133" t="s">
        <v>26</v>
      </c>
      <c r="E891" s="134"/>
      <c r="F891" s="135"/>
      <c r="G891" s="135"/>
      <c r="H891" s="136"/>
      <c r="I891" s="136"/>
      <c r="J891" s="137"/>
      <c r="K891" s="137"/>
      <c r="L891" s="137"/>
      <c r="M891" s="137"/>
      <c r="N891" s="137"/>
      <c r="O891" s="137"/>
      <c r="P891" s="137"/>
      <c r="Q891" s="138"/>
    </row>
    <row r="892" spans="2:17" s="119" customFormat="1" ht="19.5" hidden="1" thickBot="1" x14ac:dyDescent="0.3">
      <c r="B892" s="310"/>
      <c r="C892" s="119">
        <f t="shared" ref="C892:C904" si="825">C891</f>
        <v>1</v>
      </c>
      <c r="D892" s="109" t="s">
        <v>93</v>
      </c>
      <c r="E892" s="76" t="s">
        <v>57</v>
      </c>
      <c r="F892" s="168">
        <f>+F$6*$E889</f>
        <v>4.8082804630935866E-2</v>
      </c>
      <c r="G892" s="168">
        <f>+G$6*$E889</f>
        <v>92.411728367550836</v>
      </c>
      <c r="H892" s="168">
        <f>+H$6*$E889</f>
        <v>4.3054764602195714</v>
      </c>
      <c r="I892" s="168">
        <f>+I$6*$E889</f>
        <v>1.4642456185394979E-2</v>
      </c>
      <c r="J892" s="168">
        <f>+J$6*$E889</f>
        <v>1.5449926630912525</v>
      </c>
      <c r="K892" s="168">
        <f t="shared" ref="K892:P892" si="826">+K$6*$E889</f>
        <v>1.6954479925285169</v>
      </c>
      <c r="L892" s="168">
        <f t="shared" si="826"/>
        <v>3.9614736828488012E-2</v>
      </c>
      <c r="M892" s="168">
        <f t="shared" si="826"/>
        <v>0</v>
      </c>
      <c r="N892" s="168">
        <f t="shared" si="826"/>
        <v>3.30955942523266E-4</v>
      </c>
      <c r="O892" s="168">
        <f t="shared" si="826"/>
        <v>0</v>
      </c>
      <c r="P892" s="168">
        <f t="shared" si="826"/>
        <v>0</v>
      </c>
      <c r="Q892" s="190">
        <f>SUM(G892:P892)</f>
        <v>100.01223363234656</v>
      </c>
    </row>
    <row r="893" spans="2:17" s="119" customFormat="1" ht="19.5" hidden="1" thickBot="1" x14ac:dyDescent="0.3">
      <c r="B893" s="310"/>
      <c r="C893" s="119">
        <f t="shared" si="825"/>
        <v>1</v>
      </c>
      <c r="D893" s="110" t="s">
        <v>132</v>
      </c>
      <c r="E893" s="76" t="s">
        <v>56</v>
      </c>
      <c r="F893" s="168">
        <f>+F$7*$E889</f>
        <v>0</v>
      </c>
      <c r="G893" s="168">
        <f>+G$7*$E889</f>
        <v>0</v>
      </c>
      <c r="H893" s="168">
        <f>+H$7*$E889</f>
        <v>0</v>
      </c>
      <c r="I893" s="168">
        <f>+I$7*$E889</f>
        <v>0</v>
      </c>
      <c r="J893" s="168">
        <f>+J$7*$E889</f>
        <v>0</v>
      </c>
      <c r="K893" s="168">
        <f t="shared" ref="K893:P893" si="827">+K$7*$E889</f>
        <v>0</v>
      </c>
      <c r="L893" s="168">
        <f t="shared" si="827"/>
        <v>0</v>
      </c>
      <c r="M893" s="168">
        <f t="shared" si="827"/>
        <v>0</v>
      </c>
      <c r="N893" s="168">
        <f t="shared" si="827"/>
        <v>0</v>
      </c>
      <c r="O893" s="168">
        <f t="shared" si="827"/>
        <v>0</v>
      </c>
      <c r="P893" s="168">
        <f t="shared" si="827"/>
        <v>0</v>
      </c>
      <c r="Q893" s="190">
        <f>SUM(G893:P893)</f>
        <v>0</v>
      </c>
    </row>
    <row r="894" spans="2:17" s="119" customFormat="1" ht="19.5" hidden="1" thickBot="1" x14ac:dyDescent="0.3">
      <c r="B894" s="310"/>
      <c r="C894" s="119">
        <f t="shared" si="825"/>
        <v>1</v>
      </c>
      <c r="D894" s="109" t="s">
        <v>91</v>
      </c>
      <c r="E894" s="76" t="s">
        <v>55</v>
      </c>
      <c r="F894" s="168">
        <f>+F$8*$E889</f>
        <v>6.0090182773342382E-5</v>
      </c>
      <c r="G894" s="168">
        <f>+G$8*$E889</f>
        <v>0.12257435975432002</v>
      </c>
      <c r="H894" s="168">
        <f>+H$8*$E889</f>
        <v>0</v>
      </c>
      <c r="I894" s="168">
        <f>+I$8*$E889</f>
        <v>0</v>
      </c>
      <c r="J894" s="168">
        <f>+J$8*$E889</f>
        <v>1.8616271766933711E-3</v>
      </c>
      <c r="K894" s="168">
        <f t="shared" ref="K894:P894" si="828">+K$8*$E889</f>
        <v>5.5159323753877659E-4</v>
      </c>
      <c r="L894" s="168">
        <f t="shared" si="828"/>
        <v>0</v>
      </c>
      <c r="M894" s="168">
        <f t="shared" si="828"/>
        <v>0</v>
      </c>
      <c r="N894" s="168">
        <f t="shared" si="828"/>
        <v>0</v>
      </c>
      <c r="O894" s="168">
        <f t="shared" si="828"/>
        <v>0</v>
      </c>
      <c r="P894" s="168">
        <f t="shared" si="828"/>
        <v>0</v>
      </c>
      <c r="Q894" s="190">
        <f>SUM(G894:P894)</f>
        <v>0.12498758016855217</v>
      </c>
    </row>
    <row r="895" spans="2:17" s="119" customFormat="1" ht="19.5" hidden="1" thickBot="1" x14ac:dyDescent="0.3">
      <c r="B895" s="310"/>
      <c r="C895" s="119">
        <f t="shared" si="825"/>
        <v>1</v>
      </c>
      <c r="D895" s="130" t="s">
        <v>117</v>
      </c>
      <c r="E895" s="76" t="s">
        <v>54</v>
      </c>
      <c r="F895" s="168">
        <f>+F$9*$E889</f>
        <v>0</v>
      </c>
      <c r="G895" s="168">
        <f>+G$9*$E889</f>
        <v>0</v>
      </c>
      <c r="H895" s="168">
        <f>+H$9*$E889</f>
        <v>0</v>
      </c>
      <c r="I895" s="168">
        <f>+I$9*$E889</f>
        <v>0</v>
      </c>
      <c r="J895" s="168">
        <f>+J$9*$E889</f>
        <v>0</v>
      </c>
      <c r="K895" s="168">
        <f t="shared" ref="K895:P895" si="829">+K$9*$E889</f>
        <v>0</v>
      </c>
      <c r="L895" s="168">
        <f t="shared" si="829"/>
        <v>0</v>
      </c>
      <c r="M895" s="168">
        <f t="shared" si="829"/>
        <v>0</v>
      </c>
      <c r="N895" s="168">
        <f t="shared" si="829"/>
        <v>0</v>
      </c>
      <c r="O895" s="168">
        <f t="shared" si="829"/>
        <v>0</v>
      </c>
      <c r="P895" s="168">
        <f t="shared" si="829"/>
        <v>0</v>
      </c>
      <c r="Q895" s="190">
        <f>SUM(G895:P895)</f>
        <v>0</v>
      </c>
    </row>
    <row r="896" spans="2:17" s="119" customFormat="1" ht="19.5" hidden="1" thickBot="1" x14ac:dyDescent="0.3">
      <c r="B896" s="310"/>
      <c r="C896" s="119">
        <f t="shared" si="825"/>
        <v>1</v>
      </c>
      <c r="D896" s="112" t="s">
        <v>31</v>
      </c>
      <c r="E896" s="76"/>
      <c r="F896" s="167"/>
      <c r="G896" s="185"/>
      <c r="H896" s="185"/>
      <c r="I896" s="185"/>
      <c r="J896" s="185"/>
      <c r="K896" s="185"/>
      <c r="L896" s="185"/>
      <c r="M896" s="185"/>
      <c r="N896" s="185"/>
      <c r="O896" s="185"/>
      <c r="P896" s="185"/>
      <c r="Q896" s="171"/>
    </row>
    <row r="897" spans="2:17" s="119" customFormat="1" ht="19.5" hidden="1" thickBot="1" x14ac:dyDescent="0.35">
      <c r="B897" s="310"/>
      <c r="C897" s="119">
        <f t="shared" si="825"/>
        <v>1</v>
      </c>
      <c r="D897" s="125" t="s">
        <v>118</v>
      </c>
      <c r="E897" s="76" t="s">
        <v>53</v>
      </c>
      <c r="F897" s="168">
        <f>+F$11*$E889</f>
        <v>0</v>
      </c>
      <c r="G897" s="168">
        <f>+G$11*$E889</f>
        <v>0</v>
      </c>
      <c r="H897" s="168">
        <f>+H$11*$E889</f>
        <v>0</v>
      </c>
      <c r="I897" s="168">
        <f>+I$11*$E889</f>
        <v>0</v>
      </c>
      <c r="J897" s="168">
        <f>+J$11*$E889</f>
        <v>0</v>
      </c>
      <c r="K897" s="168">
        <f t="shared" ref="K897:P897" si="830">+K$11*$E889</f>
        <v>0</v>
      </c>
      <c r="L897" s="168">
        <f t="shared" si="830"/>
        <v>0</v>
      </c>
      <c r="M897" s="168">
        <f t="shared" si="830"/>
        <v>0</v>
      </c>
      <c r="N897" s="168">
        <f t="shared" si="830"/>
        <v>0</v>
      </c>
      <c r="O897" s="168">
        <f t="shared" si="830"/>
        <v>0</v>
      </c>
      <c r="P897" s="168">
        <f t="shared" si="830"/>
        <v>0</v>
      </c>
      <c r="Q897" s="190">
        <f t="shared" ref="Q897:Q903" si="831">SUM(G897:P897)</f>
        <v>0</v>
      </c>
    </row>
    <row r="898" spans="2:17" s="119" customFormat="1" ht="19.5" hidden="1" thickBot="1" x14ac:dyDescent="0.35">
      <c r="B898" s="310"/>
      <c r="C898" s="119">
        <f t="shared" si="825"/>
        <v>1</v>
      </c>
      <c r="D898" s="125" t="s">
        <v>119</v>
      </c>
      <c r="E898" s="76" t="s">
        <v>52</v>
      </c>
      <c r="F898" s="168">
        <f>+F$12*$E889</f>
        <v>0</v>
      </c>
      <c r="G898" s="168">
        <f>+G$12*$E889</f>
        <v>0</v>
      </c>
      <c r="H898" s="168">
        <f>+H$12*$E889</f>
        <v>0</v>
      </c>
      <c r="I898" s="168">
        <f>+I$12*$E889</f>
        <v>0</v>
      </c>
      <c r="J898" s="168">
        <f>+J$12*$E889</f>
        <v>0</v>
      </c>
      <c r="K898" s="168">
        <f t="shared" ref="K898:P898" si="832">+K$12*$E889</f>
        <v>0</v>
      </c>
      <c r="L898" s="168">
        <f t="shared" si="832"/>
        <v>0</v>
      </c>
      <c r="M898" s="168">
        <f t="shared" si="832"/>
        <v>0</v>
      </c>
      <c r="N898" s="168">
        <f t="shared" si="832"/>
        <v>0</v>
      </c>
      <c r="O898" s="168">
        <f t="shared" si="832"/>
        <v>0</v>
      </c>
      <c r="P898" s="168">
        <f t="shared" si="832"/>
        <v>0</v>
      </c>
      <c r="Q898" s="190">
        <f t="shared" si="831"/>
        <v>0</v>
      </c>
    </row>
    <row r="899" spans="2:17" s="119" customFormat="1" ht="19.5" hidden="1" thickBot="1" x14ac:dyDescent="0.35">
      <c r="B899" s="310"/>
      <c r="C899" s="119">
        <f t="shared" si="825"/>
        <v>1</v>
      </c>
      <c r="D899" s="125" t="s">
        <v>120</v>
      </c>
      <c r="E899" s="76" t="s">
        <v>51</v>
      </c>
      <c r="F899" s="168">
        <f>+F$13*$E889</f>
        <v>0</v>
      </c>
      <c r="G899" s="168">
        <f>+G$13*$E889</f>
        <v>0</v>
      </c>
      <c r="H899" s="168">
        <f>+H$13*$E889</f>
        <v>0</v>
      </c>
      <c r="I899" s="168">
        <f>+I$13*$E889</f>
        <v>0</v>
      </c>
      <c r="J899" s="168">
        <f>+J$13*$E889</f>
        <v>0</v>
      </c>
      <c r="K899" s="168">
        <f t="shared" ref="K899:P899" si="833">+K$13*$E889</f>
        <v>0</v>
      </c>
      <c r="L899" s="168">
        <f t="shared" si="833"/>
        <v>0</v>
      </c>
      <c r="M899" s="168">
        <f t="shared" si="833"/>
        <v>0</v>
      </c>
      <c r="N899" s="168">
        <f t="shared" si="833"/>
        <v>0</v>
      </c>
      <c r="O899" s="168">
        <f t="shared" si="833"/>
        <v>0</v>
      </c>
      <c r="P899" s="168">
        <f t="shared" si="833"/>
        <v>0</v>
      </c>
      <c r="Q899" s="190">
        <f t="shared" si="831"/>
        <v>0</v>
      </c>
    </row>
    <row r="900" spans="2:17" s="119" customFormat="1" ht="19.5" hidden="1" thickBot="1" x14ac:dyDescent="0.35">
      <c r="B900" s="310"/>
      <c r="C900" s="119">
        <f t="shared" si="825"/>
        <v>1</v>
      </c>
      <c r="D900" s="125" t="s">
        <v>121</v>
      </c>
      <c r="E900" s="76" t="s">
        <v>50</v>
      </c>
      <c r="F900" s="168">
        <f>+F$14*$E889</f>
        <v>0</v>
      </c>
      <c r="G900" s="168">
        <f>+G$14*$E889</f>
        <v>0</v>
      </c>
      <c r="H900" s="168">
        <f>+H$14*$E889</f>
        <v>0</v>
      </c>
      <c r="I900" s="168">
        <f>+I$14*$E889</f>
        <v>0</v>
      </c>
      <c r="J900" s="168">
        <f>+J$14*$E889</f>
        <v>0</v>
      </c>
      <c r="K900" s="168">
        <f t="shared" ref="K900:P900" si="834">+K$14*$E889</f>
        <v>0</v>
      </c>
      <c r="L900" s="168">
        <f t="shared" si="834"/>
        <v>0</v>
      </c>
      <c r="M900" s="168">
        <f t="shared" si="834"/>
        <v>0</v>
      </c>
      <c r="N900" s="168">
        <f t="shared" si="834"/>
        <v>0</v>
      </c>
      <c r="O900" s="168">
        <f t="shared" si="834"/>
        <v>0</v>
      </c>
      <c r="P900" s="168">
        <f t="shared" si="834"/>
        <v>0</v>
      </c>
      <c r="Q900" s="190">
        <f t="shared" si="831"/>
        <v>0</v>
      </c>
    </row>
    <row r="901" spans="2:17" s="119" customFormat="1" ht="19.5" hidden="1" thickBot="1" x14ac:dyDescent="0.35">
      <c r="B901" s="310"/>
      <c r="C901" s="119">
        <f t="shared" si="825"/>
        <v>1</v>
      </c>
      <c r="D901" s="125" t="s">
        <v>122</v>
      </c>
      <c r="E901" s="76" t="s">
        <v>49</v>
      </c>
      <c r="F901" s="168">
        <f>+F$15*$E889</f>
        <v>0</v>
      </c>
      <c r="G901" s="168">
        <f>+G$15*$E889</f>
        <v>0</v>
      </c>
      <c r="H901" s="168">
        <f>+H$15*$E889</f>
        <v>0</v>
      </c>
      <c r="I901" s="168">
        <f>+I$15*$E889</f>
        <v>0</v>
      </c>
      <c r="J901" s="168">
        <f>+J$15*$E889</f>
        <v>0</v>
      </c>
      <c r="K901" s="168">
        <f t="shared" ref="K901:P901" si="835">+K$15*$E889</f>
        <v>0</v>
      </c>
      <c r="L901" s="168">
        <f t="shared" si="835"/>
        <v>0</v>
      </c>
      <c r="M901" s="168">
        <f t="shared" si="835"/>
        <v>0</v>
      </c>
      <c r="N901" s="168">
        <f t="shared" si="835"/>
        <v>0</v>
      </c>
      <c r="O901" s="168">
        <f t="shared" si="835"/>
        <v>0</v>
      </c>
      <c r="P901" s="168">
        <f t="shared" si="835"/>
        <v>0</v>
      </c>
      <c r="Q901" s="190">
        <f t="shared" si="831"/>
        <v>0</v>
      </c>
    </row>
    <row r="902" spans="2:17" s="119" customFormat="1" ht="19.5" hidden="1" thickBot="1" x14ac:dyDescent="0.35">
      <c r="B902" s="310"/>
      <c r="C902" s="119">
        <f t="shared" si="825"/>
        <v>1</v>
      </c>
      <c r="D902" s="125" t="s">
        <v>123</v>
      </c>
      <c r="E902" s="76" t="s">
        <v>47</v>
      </c>
      <c r="F902" s="168">
        <f>+F$16*$E889</f>
        <v>0</v>
      </c>
      <c r="G902" s="168">
        <f>+G$16*$E889</f>
        <v>0</v>
      </c>
      <c r="H902" s="168">
        <f>+H$16*$E889</f>
        <v>0</v>
      </c>
      <c r="I902" s="168">
        <f>+I$16*$E889</f>
        <v>0</v>
      </c>
      <c r="J902" s="168">
        <f>+J$16*$E889</f>
        <v>0</v>
      </c>
      <c r="K902" s="168">
        <f t="shared" ref="K902:P902" si="836">+K$16*$E889</f>
        <v>0</v>
      </c>
      <c r="L902" s="168">
        <f t="shared" si="836"/>
        <v>0</v>
      </c>
      <c r="M902" s="168">
        <f t="shared" si="836"/>
        <v>0</v>
      </c>
      <c r="N902" s="168">
        <f t="shared" si="836"/>
        <v>0</v>
      </c>
      <c r="O902" s="168">
        <f t="shared" si="836"/>
        <v>0</v>
      </c>
      <c r="P902" s="168">
        <f t="shared" si="836"/>
        <v>0</v>
      </c>
      <c r="Q902" s="190">
        <f t="shared" si="831"/>
        <v>0</v>
      </c>
    </row>
    <row r="903" spans="2:17" s="119" customFormat="1" ht="19.5" hidden="1" thickBot="1" x14ac:dyDescent="0.35">
      <c r="B903" s="310"/>
      <c r="C903" s="119">
        <f t="shared" si="825"/>
        <v>1</v>
      </c>
      <c r="D903" s="125" t="s">
        <v>16</v>
      </c>
      <c r="E903" s="70" t="s">
        <v>77</v>
      </c>
      <c r="F903" s="168">
        <f>+F$17*$E889</f>
        <v>3.1781450403563886E-3</v>
      </c>
      <c r="G903" s="168">
        <f>+G$17*$E889</f>
        <v>5.7359263360452113</v>
      </c>
      <c r="H903" s="168">
        <f>+H$17*$E889</f>
        <v>0.11176806017210683</v>
      </c>
      <c r="I903" s="168">
        <f>+I$17*$E889</f>
        <v>0</v>
      </c>
      <c r="J903" s="168">
        <f>+J$17*$E889</f>
        <v>0</v>
      </c>
      <c r="K903" s="168">
        <f t="shared" ref="K903:P903" si="837">+K$17*$E889</f>
        <v>0.40051244903994571</v>
      </c>
      <c r="L903" s="168">
        <f t="shared" si="837"/>
        <v>0</v>
      </c>
      <c r="M903" s="168">
        <f t="shared" si="837"/>
        <v>2.1496906565519015E-4</v>
      </c>
      <c r="N903" s="168">
        <f t="shared" si="837"/>
        <v>0</v>
      </c>
      <c r="O903" s="168">
        <f t="shared" si="837"/>
        <v>0</v>
      </c>
      <c r="P903" s="168">
        <f t="shared" si="837"/>
        <v>0.36211986961836895</v>
      </c>
      <c r="Q903" s="190">
        <f t="shared" si="831"/>
        <v>6.610541683941288</v>
      </c>
    </row>
    <row r="904" spans="2:17" s="119" customFormat="1" ht="19.5" hidden="1" thickBot="1" x14ac:dyDescent="0.3">
      <c r="B904" s="310"/>
      <c r="C904" s="119">
        <f t="shared" si="825"/>
        <v>1</v>
      </c>
      <c r="D904" s="131" t="s">
        <v>124</v>
      </c>
      <c r="E904" s="116" t="s">
        <v>78</v>
      </c>
      <c r="F904" s="169">
        <f t="shared" ref="F904:Q904" si="838">SUBTOTAL(9,F892:F903)</f>
        <v>0</v>
      </c>
      <c r="G904" s="170">
        <f t="shared" si="838"/>
        <v>0</v>
      </c>
      <c r="H904" s="170">
        <f t="shared" si="838"/>
        <v>0</v>
      </c>
      <c r="I904" s="170">
        <f t="shared" si="838"/>
        <v>0</v>
      </c>
      <c r="J904" s="170">
        <f t="shared" si="838"/>
        <v>0</v>
      </c>
      <c r="K904" s="170">
        <f t="shared" ref="K904:P904" si="839">SUBTOTAL(9,K892:K903)</f>
        <v>0</v>
      </c>
      <c r="L904" s="170">
        <f t="shared" si="839"/>
        <v>0</v>
      </c>
      <c r="M904" s="170">
        <f t="shared" si="839"/>
        <v>0</v>
      </c>
      <c r="N904" s="170">
        <f t="shared" si="839"/>
        <v>0</v>
      </c>
      <c r="O904" s="170">
        <f t="shared" si="839"/>
        <v>0</v>
      </c>
      <c r="P904" s="170">
        <f t="shared" si="839"/>
        <v>0</v>
      </c>
      <c r="Q904" s="170">
        <f t="shared" si="838"/>
        <v>0</v>
      </c>
    </row>
    <row r="905" spans="2:17" s="119" customFormat="1" ht="15.75" hidden="1" thickBot="1" x14ac:dyDescent="0.3">
      <c r="B905" s="310"/>
      <c r="D905" s="117"/>
      <c r="E905" s="132"/>
      <c r="F905" s="117"/>
      <c r="G905" s="117"/>
      <c r="H905" s="118"/>
      <c r="I905" s="118"/>
      <c r="J905" s="118"/>
      <c r="K905" s="118"/>
      <c r="L905" s="118"/>
      <c r="M905" s="118"/>
      <c r="N905" s="118"/>
      <c r="O905" s="118"/>
      <c r="P905" s="118"/>
      <c r="Q905" s="118"/>
    </row>
    <row r="906" spans="2:17" s="119" customFormat="1" ht="45.75" hidden="1" thickBot="1" x14ac:dyDescent="0.3">
      <c r="B906" s="310"/>
      <c r="C906" s="119">
        <f>IF(E906&gt;0,1,0)</f>
        <v>0</v>
      </c>
      <c r="D906" s="96" t="str">
        <f>+A56</f>
        <v>Sullivan</v>
      </c>
      <c r="E906" s="166">
        <f>+SUMIF(A:A,D906,B:B)</f>
        <v>0</v>
      </c>
      <c r="F906" s="98" t="s">
        <v>97</v>
      </c>
      <c r="G906" s="98" t="s">
        <v>126</v>
      </c>
      <c r="H906" s="98" t="s">
        <v>127</v>
      </c>
      <c r="I906" s="99" t="s">
        <v>128</v>
      </c>
      <c r="J906" s="99" t="s">
        <v>131</v>
      </c>
      <c r="K906" s="560" t="s">
        <v>474</v>
      </c>
      <c r="L906" s="560" t="s">
        <v>475</v>
      </c>
      <c r="M906" s="560" t="s">
        <v>476</v>
      </c>
      <c r="N906" s="560" t="s">
        <v>477</v>
      </c>
      <c r="O906" s="560" t="s">
        <v>478</v>
      </c>
      <c r="P906" s="560" t="s">
        <v>479</v>
      </c>
      <c r="Q906" s="99" t="s">
        <v>129</v>
      </c>
    </row>
    <row r="907" spans="2:17" s="119" customFormat="1" ht="19.5" hidden="1" thickBot="1" x14ac:dyDescent="0.3">
      <c r="B907" s="310"/>
      <c r="C907" s="119">
        <f>C906</f>
        <v>0</v>
      </c>
      <c r="D907" s="127"/>
      <c r="E907" s="128"/>
      <c r="F907" s="84" t="s">
        <v>57</v>
      </c>
      <c r="G907" s="84" t="s">
        <v>56</v>
      </c>
      <c r="H907" s="84" t="s">
        <v>55</v>
      </c>
      <c r="I907" s="84" t="s">
        <v>54</v>
      </c>
      <c r="J907" s="129" t="s">
        <v>53</v>
      </c>
      <c r="K907" s="129" t="s">
        <v>52</v>
      </c>
      <c r="L907" s="129" t="s">
        <v>51</v>
      </c>
      <c r="M907" s="129" t="s">
        <v>50</v>
      </c>
      <c r="N907" s="129" t="s">
        <v>49</v>
      </c>
      <c r="O907" s="129" t="s">
        <v>47</v>
      </c>
      <c r="P907" s="129" t="s">
        <v>77</v>
      </c>
      <c r="Q907" s="129" t="s">
        <v>78</v>
      </c>
    </row>
    <row r="908" spans="2:17" s="119" customFormat="1" ht="19.5" hidden="1" thickBot="1" x14ac:dyDescent="0.3">
      <c r="B908" s="310"/>
      <c r="C908" s="119">
        <f>C907</f>
        <v>0</v>
      </c>
      <c r="D908" s="133" t="s">
        <v>26</v>
      </c>
      <c r="E908" s="134"/>
      <c r="F908" s="135"/>
      <c r="G908" s="135"/>
      <c r="H908" s="136"/>
      <c r="I908" s="136"/>
      <c r="J908" s="137"/>
      <c r="K908" s="137"/>
      <c r="L908" s="137"/>
      <c r="M908" s="137"/>
      <c r="N908" s="137"/>
      <c r="O908" s="137"/>
      <c r="P908" s="137"/>
      <c r="Q908" s="138"/>
    </row>
    <row r="909" spans="2:17" s="119" customFormat="1" ht="19.5" hidden="1" thickBot="1" x14ac:dyDescent="0.3">
      <c r="B909" s="310"/>
      <c r="C909" s="119">
        <f t="shared" ref="C909:C921" si="840">C908</f>
        <v>0</v>
      </c>
      <c r="D909" s="109" t="s">
        <v>93</v>
      </c>
      <c r="E909" s="76" t="s">
        <v>57</v>
      </c>
      <c r="F909" s="168">
        <f>+F$6*$E906</f>
        <v>0</v>
      </c>
      <c r="G909" s="168">
        <f>+G$6*$E906</f>
        <v>0</v>
      </c>
      <c r="H909" s="168">
        <f>+H$6*$E906</f>
        <v>0</v>
      </c>
      <c r="I909" s="168">
        <f>+I$6*$E906</f>
        <v>0</v>
      </c>
      <c r="J909" s="168">
        <f>+J$6*$E906</f>
        <v>0</v>
      </c>
      <c r="K909" s="168">
        <f t="shared" ref="K909:P909" si="841">+K$6*$E906</f>
        <v>0</v>
      </c>
      <c r="L909" s="168">
        <f t="shared" si="841"/>
        <v>0</v>
      </c>
      <c r="M909" s="168">
        <f t="shared" si="841"/>
        <v>0</v>
      </c>
      <c r="N909" s="168">
        <f t="shared" si="841"/>
        <v>0</v>
      </c>
      <c r="O909" s="168">
        <f t="shared" si="841"/>
        <v>0</v>
      </c>
      <c r="P909" s="168">
        <f t="shared" si="841"/>
        <v>0</v>
      </c>
      <c r="Q909" s="190">
        <f>SUM(G909:P909)</f>
        <v>0</v>
      </c>
    </row>
    <row r="910" spans="2:17" s="119" customFormat="1" ht="19.5" hidden="1" thickBot="1" x14ac:dyDescent="0.3">
      <c r="B910" s="310"/>
      <c r="C910" s="119">
        <f t="shared" si="840"/>
        <v>0</v>
      </c>
      <c r="D910" s="110" t="s">
        <v>132</v>
      </c>
      <c r="E910" s="76" t="s">
        <v>56</v>
      </c>
      <c r="F910" s="168">
        <f>+F$7*$E906</f>
        <v>0</v>
      </c>
      <c r="G910" s="168">
        <f>+G$7*$E906</f>
        <v>0</v>
      </c>
      <c r="H910" s="168">
        <f>+H$7*$E906</f>
        <v>0</v>
      </c>
      <c r="I910" s="168">
        <f>+I$7*$E906</f>
        <v>0</v>
      </c>
      <c r="J910" s="168">
        <f>+J$7*$E906</f>
        <v>0</v>
      </c>
      <c r="K910" s="168">
        <f t="shared" ref="K910:P910" si="842">+K$7*$E906</f>
        <v>0</v>
      </c>
      <c r="L910" s="168">
        <f t="shared" si="842"/>
        <v>0</v>
      </c>
      <c r="M910" s="168">
        <f t="shared" si="842"/>
        <v>0</v>
      </c>
      <c r="N910" s="168">
        <f t="shared" si="842"/>
        <v>0</v>
      </c>
      <c r="O910" s="168">
        <f t="shared" si="842"/>
        <v>0</v>
      </c>
      <c r="P910" s="168">
        <f t="shared" si="842"/>
        <v>0</v>
      </c>
      <c r="Q910" s="190">
        <f>SUM(G910:P910)</f>
        <v>0</v>
      </c>
    </row>
    <row r="911" spans="2:17" s="119" customFormat="1" ht="19.5" hidden="1" thickBot="1" x14ac:dyDescent="0.3">
      <c r="B911" s="310"/>
      <c r="C911" s="119">
        <f t="shared" si="840"/>
        <v>0</v>
      </c>
      <c r="D911" s="109" t="s">
        <v>91</v>
      </c>
      <c r="E911" s="76" t="s">
        <v>55</v>
      </c>
      <c r="F911" s="168">
        <f>+F$8*$E906</f>
        <v>0</v>
      </c>
      <c r="G911" s="168">
        <f>+G$8*$E906</f>
        <v>0</v>
      </c>
      <c r="H911" s="168">
        <f>+H$8*$E906</f>
        <v>0</v>
      </c>
      <c r="I911" s="168">
        <f>+I$8*$E906</f>
        <v>0</v>
      </c>
      <c r="J911" s="168">
        <f>+J$8*$E906</f>
        <v>0</v>
      </c>
      <c r="K911" s="168">
        <f t="shared" ref="K911:P911" si="843">+K$8*$E906</f>
        <v>0</v>
      </c>
      <c r="L911" s="168">
        <f t="shared" si="843"/>
        <v>0</v>
      </c>
      <c r="M911" s="168">
        <f t="shared" si="843"/>
        <v>0</v>
      </c>
      <c r="N911" s="168">
        <f t="shared" si="843"/>
        <v>0</v>
      </c>
      <c r="O911" s="168">
        <f t="shared" si="843"/>
        <v>0</v>
      </c>
      <c r="P911" s="168">
        <f t="shared" si="843"/>
        <v>0</v>
      </c>
      <c r="Q911" s="190">
        <f>SUM(G911:P911)</f>
        <v>0</v>
      </c>
    </row>
    <row r="912" spans="2:17" s="119" customFormat="1" ht="19.5" hidden="1" thickBot="1" x14ac:dyDescent="0.3">
      <c r="B912" s="310"/>
      <c r="C912" s="119">
        <f t="shared" si="840"/>
        <v>0</v>
      </c>
      <c r="D912" s="130" t="s">
        <v>117</v>
      </c>
      <c r="E912" s="76" t="s">
        <v>54</v>
      </c>
      <c r="F912" s="168">
        <f>+F$9*$E906</f>
        <v>0</v>
      </c>
      <c r="G912" s="168">
        <f>+G$9*$E906</f>
        <v>0</v>
      </c>
      <c r="H912" s="168">
        <f>+H$9*$E906</f>
        <v>0</v>
      </c>
      <c r="I912" s="168">
        <f>+I$9*$E906</f>
        <v>0</v>
      </c>
      <c r="J912" s="168">
        <f>+J$9*$E906</f>
        <v>0</v>
      </c>
      <c r="K912" s="168">
        <f t="shared" ref="K912:P912" si="844">+K$9*$E906</f>
        <v>0</v>
      </c>
      <c r="L912" s="168">
        <f t="shared" si="844"/>
        <v>0</v>
      </c>
      <c r="M912" s="168">
        <f t="shared" si="844"/>
        <v>0</v>
      </c>
      <c r="N912" s="168">
        <f t="shared" si="844"/>
        <v>0</v>
      </c>
      <c r="O912" s="168">
        <f t="shared" si="844"/>
        <v>0</v>
      </c>
      <c r="P912" s="168">
        <f t="shared" si="844"/>
        <v>0</v>
      </c>
      <c r="Q912" s="190">
        <f>SUM(G912:P912)</f>
        <v>0</v>
      </c>
    </row>
    <row r="913" spans="2:17" s="119" customFormat="1" ht="19.5" hidden="1" thickBot="1" x14ac:dyDescent="0.3">
      <c r="B913" s="310"/>
      <c r="C913" s="119">
        <f t="shared" si="840"/>
        <v>0</v>
      </c>
      <c r="D913" s="112" t="s">
        <v>31</v>
      </c>
      <c r="E913" s="76"/>
      <c r="F913" s="167"/>
      <c r="G913" s="185"/>
      <c r="H913" s="185"/>
      <c r="I913" s="185"/>
      <c r="J913" s="185"/>
      <c r="K913" s="185"/>
      <c r="L913" s="185"/>
      <c r="M913" s="185"/>
      <c r="N913" s="185"/>
      <c r="O913" s="185"/>
      <c r="P913" s="185"/>
      <c r="Q913" s="171"/>
    </row>
    <row r="914" spans="2:17" s="119" customFormat="1" ht="19.5" hidden="1" thickBot="1" x14ac:dyDescent="0.35">
      <c r="B914" s="310"/>
      <c r="C914" s="119">
        <f t="shared" si="840"/>
        <v>0</v>
      </c>
      <c r="D914" s="125" t="s">
        <v>118</v>
      </c>
      <c r="E914" s="76" t="s">
        <v>53</v>
      </c>
      <c r="F914" s="168">
        <f>+F$11*$E906</f>
        <v>0</v>
      </c>
      <c r="G914" s="168">
        <f>+G$11*$E906</f>
        <v>0</v>
      </c>
      <c r="H914" s="168">
        <f>+H$11*$E906</f>
        <v>0</v>
      </c>
      <c r="I914" s="168">
        <f>+I$11*$E906</f>
        <v>0</v>
      </c>
      <c r="J914" s="168">
        <f>+J$11*$E906</f>
        <v>0</v>
      </c>
      <c r="K914" s="168">
        <f t="shared" ref="K914:P914" si="845">+K$11*$E906</f>
        <v>0</v>
      </c>
      <c r="L914" s="168">
        <f t="shared" si="845"/>
        <v>0</v>
      </c>
      <c r="M914" s="168">
        <f t="shared" si="845"/>
        <v>0</v>
      </c>
      <c r="N914" s="168">
        <f t="shared" si="845"/>
        <v>0</v>
      </c>
      <c r="O914" s="168">
        <f t="shared" si="845"/>
        <v>0</v>
      </c>
      <c r="P914" s="168">
        <f t="shared" si="845"/>
        <v>0</v>
      </c>
      <c r="Q914" s="190">
        <f t="shared" ref="Q914:Q920" si="846">SUM(G914:P914)</f>
        <v>0</v>
      </c>
    </row>
    <row r="915" spans="2:17" s="119" customFormat="1" ht="19.5" hidden="1" thickBot="1" x14ac:dyDescent="0.35">
      <c r="B915" s="310"/>
      <c r="C915" s="119">
        <f t="shared" si="840"/>
        <v>0</v>
      </c>
      <c r="D915" s="125" t="s">
        <v>119</v>
      </c>
      <c r="E915" s="76" t="s">
        <v>52</v>
      </c>
      <c r="F915" s="168">
        <f>+F$12*$E906</f>
        <v>0</v>
      </c>
      <c r="G915" s="168">
        <f>+G$12*$E906</f>
        <v>0</v>
      </c>
      <c r="H915" s="168">
        <f>+H$12*$E906</f>
        <v>0</v>
      </c>
      <c r="I915" s="168">
        <f>+I$12*$E906</f>
        <v>0</v>
      </c>
      <c r="J915" s="168">
        <f>+J$12*$E906</f>
        <v>0</v>
      </c>
      <c r="K915" s="168">
        <f t="shared" ref="K915:P915" si="847">+K$12*$E906</f>
        <v>0</v>
      </c>
      <c r="L915" s="168">
        <f t="shared" si="847"/>
        <v>0</v>
      </c>
      <c r="M915" s="168">
        <f t="shared" si="847"/>
        <v>0</v>
      </c>
      <c r="N915" s="168">
        <f t="shared" si="847"/>
        <v>0</v>
      </c>
      <c r="O915" s="168">
        <f t="shared" si="847"/>
        <v>0</v>
      </c>
      <c r="P915" s="168">
        <f t="shared" si="847"/>
        <v>0</v>
      </c>
      <c r="Q915" s="190">
        <f t="shared" si="846"/>
        <v>0</v>
      </c>
    </row>
    <row r="916" spans="2:17" s="119" customFormat="1" ht="19.5" hidden="1" thickBot="1" x14ac:dyDescent="0.35">
      <c r="B916" s="310"/>
      <c r="C916" s="119">
        <f t="shared" si="840"/>
        <v>0</v>
      </c>
      <c r="D916" s="125" t="s">
        <v>120</v>
      </c>
      <c r="E916" s="76" t="s">
        <v>51</v>
      </c>
      <c r="F916" s="168">
        <f>+F$13*$E906</f>
        <v>0</v>
      </c>
      <c r="G916" s="168">
        <f>+G$13*$E906</f>
        <v>0</v>
      </c>
      <c r="H916" s="168">
        <f>+H$13*$E906</f>
        <v>0</v>
      </c>
      <c r="I916" s="168">
        <f>+I$13*$E906</f>
        <v>0</v>
      </c>
      <c r="J916" s="168">
        <f>+J$13*$E906</f>
        <v>0</v>
      </c>
      <c r="K916" s="168">
        <f t="shared" ref="K916:P916" si="848">+K$13*$E906</f>
        <v>0</v>
      </c>
      <c r="L916" s="168">
        <f t="shared" si="848"/>
        <v>0</v>
      </c>
      <c r="M916" s="168">
        <f t="shared" si="848"/>
        <v>0</v>
      </c>
      <c r="N916" s="168">
        <f t="shared" si="848"/>
        <v>0</v>
      </c>
      <c r="O916" s="168">
        <f t="shared" si="848"/>
        <v>0</v>
      </c>
      <c r="P916" s="168">
        <f t="shared" si="848"/>
        <v>0</v>
      </c>
      <c r="Q916" s="190">
        <f t="shared" si="846"/>
        <v>0</v>
      </c>
    </row>
    <row r="917" spans="2:17" s="119" customFormat="1" ht="19.5" hidden="1" thickBot="1" x14ac:dyDescent="0.35">
      <c r="B917" s="310"/>
      <c r="C917" s="119">
        <f t="shared" si="840"/>
        <v>0</v>
      </c>
      <c r="D917" s="125" t="s">
        <v>121</v>
      </c>
      <c r="E917" s="76" t="s">
        <v>50</v>
      </c>
      <c r="F917" s="168">
        <f>+F$14*$E906</f>
        <v>0</v>
      </c>
      <c r="G917" s="168">
        <f>+G$14*$E906</f>
        <v>0</v>
      </c>
      <c r="H917" s="168">
        <f>+H$14*$E906</f>
        <v>0</v>
      </c>
      <c r="I917" s="168">
        <f>+I$14*$E906</f>
        <v>0</v>
      </c>
      <c r="J917" s="168">
        <f>+J$14*$E906</f>
        <v>0</v>
      </c>
      <c r="K917" s="168">
        <f t="shared" ref="K917:P917" si="849">+K$14*$E906</f>
        <v>0</v>
      </c>
      <c r="L917" s="168">
        <f t="shared" si="849"/>
        <v>0</v>
      </c>
      <c r="M917" s="168">
        <f t="shared" si="849"/>
        <v>0</v>
      </c>
      <c r="N917" s="168">
        <f t="shared" si="849"/>
        <v>0</v>
      </c>
      <c r="O917" s="168">
        <f t="shared" si="849"/>
        <v>0</v>
      </c>
      <c r="P917" s="168">
        <f t="shared" si="849"/>
        <v>0</v>
      </c>
      <c r="Q917" s="190">
        <f t="shared" si="846"/>
        <v>0</v>
      </c>
    </row>
    <row r="918" spans="2:17" s="119" customFormat="1" ht="19.5" hidden="1" thickBot="1" x14ac:dyDescent="0.35">
      <c r="B918" s="310"/>
      <c r="C918" s="119">
        <f t="shared" si="840"/>
        <v>0</v>
      </c>
      <c r="D918" s="125" t="s">
        <v>122</v>
      </c>
      <c r="E918" s="76" t="s">
        <v>49</v>
      </c>
      <c r="F918" s="168">
        <f>+F$15*$E906</f>
        <v>0</v>
      </c>
      <c r="G918" s="168">
        <f>+G$15*$E906</f>
        <v>0</v>
      </c>
      <c r="H918" s="168">
        <f>+H$15*$E906</f>
        <v>0</v>
      </c>
      <c r="I918" s="168">
        <f>+I$15*$E906</f>
        <v>0</v>
      </c>
      <c r="J918" s="168">
        <f>+J$15*$E906</f>
        <v>0</v>
      </c>
      <c r="K918" s="168">
        <f t="shared" ref="K918:P918" si="850">+K$15*$E906</f>
        <v>0</v>
      </c>
      <c r="L918" s="168">
        <f t="shared" si="850"/>
        <v>0</v>
      </c>
      <c r="M918" s="168">
        <f t="shared" si="850"/>
        <v>0</v>
      </c>
      <c r="N918" s="168">
        <f t="shared" si="850"/>
        <v>0</v>
      </c>
      <c r="O918" s="168">
        <f t="shared" si="850"/>
        <v>0</v>
      </c>
      <c r="P918" s="168">
        <f t="shared" si="850"/>
        <v>0</v>
      </c>
      <c r="Q918" s="190">
        <f t="shared" si="846"/>
        <v>0</v>
      </c>
    </row>
    <row r="919" spans="2:17" s="119" customFormat="1" ht="19.5" hidden="1" thickBot="1" x14ac:dyDescent="0.35">
      <c r="B919" s="310"/>
      <c r="C919" s="119">
        <f t="shared" si="840"/>
        <v>0</v>
      </c>
      <c r="D919" s="125" t="s">
        <v>123</v>
      </c>
      <c r="E919" s="76" t="s">
        <v>47</v>
      </c>
      <c r="F919" s="168">
        <f>+F$16*$E906</f>
        <v>0</v>
      </c>
      <c r="G919" s="168">
        <f>+G$16*$E906</f>
        <v>0</v>
      </c>
      <c r="H919" s="168">
        <f>+H$16*$E906</f>
        <v>0</v>
      </c>
      <c r="I919" s="168">
        <f>+I$16*$E906</f>
        <v>0</v>
      </c>
      <c r="J919" s="168">
        <f>+J$16*$E906</f>
        <v>0</v>
      </c>
      <c r="K919" s="168">
        <f t="shared" ref="K919:P919" si="851">+K$16*$E906</f>
        <v>0</v>
      </c>
      <c r="L919" s="168">
        <f t="shared" si="851"/>
        <v>0</v>
      </c>
      <c r="M919" s="168">
        <f t="shared" si="851"/>
        <v>0</v>
      </c>
      <c r="N919" s="168">
        <f t="shared" si="851"/>
        <v>0</v>
      </c>
      <c r="O919" s="168">
        <f t="shared" si="851"/>
        <v>0</v>
      </c>
      <c r="P919" s="168">
        <f t="shared" si="851"/>
        <v>0</v>
      </c>
      <c r="Q919" s="190">
        <f t="shared" si="846"/>
        <v>0</v>
      </c>
    </row>
    <row r="920" spans="2:17" s="119" customFormat="1" ht="19.5" hidden="1" thickBot="1" x14ac:dyDescent="0.35">
      <c r="B920" s="310"/>
      <c r="C920" s="119">
        <f t="shared" si="840"/>
        <v>0</v>
      </c>
      <c r="D920" s="125" t="s">
        <v>16</v>
      </c>
      <c r="E920" s="70" t="s">
        <v>77</v>
      </c>
      <c r="F920" s="168">
        <f>+F$17*$E906</f>
        <v>0</v>
      </c>
      <c r="G920" s="168">
        <f>+G$17*$E906</f>
        <v>0</v>
      </c>
      <c r="H920" s="168">
        <f>+H$17*$E906</f>
        <v>0</v>
      </c>
      <c r="I920" s="168">
        <f>+I$17*$E906</f>
        <v>0</v>
      </c>
      <c r="J920" s="168">
        <f>+J$17*$E906</f>
        <v>0</v>
      </c>
      <c r="K920" s="168">
        <f t="shared" ref="K920:P920" si="852">+K$17*$E906</f>
        <v>0</v>
      </c>
      <c r="L920" s="168">
        <f t="shared" si="852"/>
        <v>0</v>
      </c>
      <c r="M920" s="168">
        <f t="shared" si="852"/>
        <v>0</v>
      </c>
      <c r="N920" s="168">
        <f t="shared" si="852"/>
        <v>0</v>
      </c>
      <c r="O920" s="168">
        <f t="shared" si="852"/>
        <v>0</v>
      </c>
      <c r="P920" s="168">
        <f t="shared" si="852"/>
        <v>0</v>
      </c>
      <c r="Q920" s="190">
        <f t="shared" si="846"/>
        <v>0</v>
      </c>
    </row>
    <row r="921" spans="2:17" s="119" customFormat="1" ht="19.5" hidden="1" thickBot="1" x14ac:dyDescent="0.3">
      <c r="B921" s="310"/>
      <c r="C921" s="119">
        <f t="shared" si="840"/>
        <v>0</v>
      </c>
      <c r="D921" s="131" t="s">
        <v>124</v>
      </c>
      <c r="E921" s="116" t="s">
        <v>78</v>
      </c>
      <c r="F921" s="169">
        <f t="shared" ref="F921:Q921" si="853">SUBTOTAL(9,F909:F920)</f>
        <v>0</v>
      </c>
      <c r="G921" s="170">
        <f t="shared" si="853"/>
        <v>0</v>
      </c>
      <c r="H921" s="170">
        <f t="shared" si="853"/>
        <v>0</v>
      </c>
      <c r="I921" s="170">
        <f t="shared" si="853"/>
        <v>0</v>
      </c>
      <c r="J921" s="170">
        <f t="shared" si="853"/>
        <v>0</v>
      </c>
      <c r="K921" s="170">
        <f t="shared" ref="K921:P921" si="854">SUBTOTAL(9,K909:K920)</f>
        <v>0</v>
      </c>
      <c r="L921" s="170">
        <f t="shared" si="854"/>
        <v>0</v>
      </c>
      <c r="M921" s="170">
        <f t="shared" si="854"/>
        <v>0</v>
      </c>
      <c r="N921" s="170">
        <f t="shared" si="854"/>
        <v>0</v>
      </c>
      <c r="O921" s="170">
        <f t="shared" si="854"/>
        <v>0</v>
      </c>
      <c r="P921" s="170">
        <f t="shared" si="854"/>
        <v>0</v>
      </c>
      <c r="Q921" s="170">
        <f t="shared" si="853"/>
        <v>0</v>
      </c>
    </row>
    <row r="922" spans="2:17" s="119" customFormat="1" ht="15.75" hidden="1" thickBot="1" x14ac:dyDescent="0.3">
      <c r="B922" s="310"/>
      <c r="D922" s="117"/>
      <c r="E922" s="132"/>
      <c r="F922" s="117"/>
      <c r="G922" s="117"/>
      <c r="H922" s="118"/>
      <c r="I922" s="118"/>
      <c r="J922" s="118"/>
      <c r="K922" s="118"/>
      <c r="L922" s="118"/>
      <c r="M922" s="118"/>
      <c r="N922" s="118"/>
      <c r="O922" s="118"/>
      <c r="P922" s="118"/>
      <c r="Q922" s="118"/>
    </row>
    <row r="923" spans="2:17" s="119" customFormat="1" ht="45.75" hidden="1" thickBot="1" x14ac:dyDescent="0.3">
      <c r="B923" s="310"/>
      <c r="C923" s="119">
        <f>IF(E923&gt;0,1,0)</f>
        <v>0</v>
      </c>
      <c r="D923" s="96" t="str">
        <f>+A57</f>
        <v>Tioga</v>
      </c>
      <c r="E923" s="166">
        <f>+SUMIF(A:A,D923,B:B)</f>
        <v>0</v>
      </c>
      <c r="F923" s="98" t="s">
        <v>97</v>
      </c>
      <c r="G923" s="98" t="s">
        <v>126</v>
      </c>
      <c r="H923" s="98" t="s">
        <v>127</v>
      </c>
      <c r="I923" s="99" t="s">
        <v>128</v>
      </c>
      <c r="J923" s="99" t="s">
        <v>131</v>
      </c>
      <c r="K923" s="560" t="s">
        <v>474</v>
      </c>
      <c r="L923" s="560" t="s">
        <v>475</v>
      </c>
      <c r="M923" s="560" t="s">
        <v>476</v>
      </c>
      <c r="N923" s="560" t="s">
        <v>477</v>
      </c>
      <c r="O923" s="560" t="s">
        <v>478</v>
      </c>
      <c r="P923" s="560" t="s">
        <v>479</v>
      </c>
      <c r="Q923" s="99" t="s">
        <v>129</v>
      </c>
    </row>
    <row r="924" spans="2:17" s="119" customFormat="1" ht="19.5" hidden="1" thickBot="1" x14ac:dyDescent="0.3">
      <c r="B924" s="310"/>
      <c r="C924" s="119">
        <f>C923</f>
        <v>0</v>
      </c>
      <c r="D924" s="127"/>
      <c r="E924" s="128"/>
      <c r="F924" s="84" t="s">
        <v>57</v>
      </c>
      <c r="G924" s="84" t="s">
        <v>56</v>
      </c>
      <c r="H924" s="84" t="s">
        <v>55</v>
      </c>
      <c r="I924" s="84" t="s">
        <v>54</v>
      </c>
      <c r="J924" s="129" t="s">
        <v>53</v>
      </c>
      <c r="K924" s="129" t="s">
        <v>52</v>
      </c>
      <c r="L924" s="129" t="s">
        <v>51</v>
      </c>
      <c r="M924" s="129" t="s">
        <v>50</v>
      </c>
      <c r="N924" s="129" t="s">
        <v>49</v>
      </c>
      <c r="O924" s="129" t="s">
        <v>47</v>
      </c>
      <c r="P924" s="129" t="s">
        <v>77</v>
      </c>
      <c r="Q924" s="129" t="s">
        <v>78</v>
      </c>
    </row>
    <row r="925" spans="2:17" s="119" customFormat="1" ht="19.5" hidden="1" thickBot="1" x14ac:dyDescent="0.3">
      <c r="B925" s="310"/>
      <c r="C925" s="119">
        <f>C924</f>
        <v>0</v>
      </c>
      <c r="D925" s="133" t="s">
        <v>26</v>
      </c>
      <c r="E925" s="134"/>
      <c r="F925" s="135"/>
      <c r="G925" s="135"/>
      <c r="H925" s="136"/>
      <c r="I925" s="136"/>
      <c r="J925" s="137"/>
      <c r="K925" s="137"/>
      <c r="L925" s="137"/>
      <c r="M925" s="137"/>
      <c r="N925" s="137"/>
      <c r="O925" s="137"/>
      <c r="P925" s="137"/>
      <c r="Q925" s="138"/>
    </row>
    <row r="926" spans="2:17" s="119" customFormat="1" ht="19.5" hidden="1" thickBot="1" x14ac:dyDescent="0.3">
      <c r="B926" s="310"/>
      <c r="C926" s="119">
        <f t="shared" ref="C926:C938" si="855">C925</f>
        <v>0</v>
      </c>
      <c r="D926" s="109" t="s">
        <v>93</v>
      </c>
      <c r="E926" s="76" t="s">
        <v>57</v>
      </c>
      <c r="F926" s="168">
        <f>+F$6*$E923</f>
        <v>0</v>
      </c>
      <c r="G926" s="168">
        <f>+G$6*$E923</f>
        <v>0</v>
      </c>
      <c r="H926" s="168">
        <f>+H$6*$E923</f>
        <v>0</v>
      </c>
      <c r="I926" s="168">
        <f>+I$6*$E923</f>
        <v>0</v>
      </c>
      <c r="J926" s="168">
        <f>+J$6*$E923</f>
        <v>0</v>
      </c>
      <c r="K926" s="168">
        <f t="shared" ref="K926:P926" si="856">+K$6*$E923</f>
        <v>0</v>
      </c>
      <c r="L926" s="168">
        <f t="shared" si="856"/>
        <v>0</v>
      </c>
      <c r="M926" s="168">
        <f t="shared" si="856"/>
        <v>0</v>
      </c>
      <c r="N926" s="168">
        <f t="shared" si="856"/>
        <v>0</v>
      </c>
      <c r="O926" s="168">
        <f t="shared" si="856"/>
        <v>0</v>
      </c>
      <c r="P926" s="168">
        <f t="shared" si="856"/>
        <v>0</v>
      </c>
      <c r="Q926" s="190">
        <f>SUM(G926:P926)</f>
        <v>0</v>
      </c>
    </row>
    <row r="927" spans="2:17" s="119" customFormat="1" ht="19.5" hidden="1" thickBot="1" x14ac:dyDescent="0.3">
      <c r="B927" s="310"/>
      <c r="C927" s="119">
        <f t="shared" si="855"/>
        <v>0</v>
      </c>
      <c r="D927" s="110" t="s">
        <v>132</v>
      </c>
      <c r="E927" s="76" t="s">
        <v>56</v>
      </c>
      <c r="F927" s="168">
        <f>+F$7*$E923</f>
        <v>0</v>
      </c>
      <c r="G927" s="168">
        <f>+G$7*$E923</f>
        <v>0</v>
      </c>
      <c r="H927" s="168">
        <f>+H$7*$E923</f>
        <v>0</v>
      </c>
      <c r="I927" s="168">
        <f>+I$7*$E923</f>
        <v>0</v>
      </c>
      <c r="J927" s="168">
        <f>+J$7*$E923</f>
        <v>0</v>
      </c>
      <c r="K927" s="168">
        <f t="shared" ref="K927:P927" si="857">+K$7*$E923</f>
        <v>0</v>
      </c>
      <c r="L927" s="168">
        <f t="shared" si="857"/>
        <v>0</v>
      </c>
      <c r="M927" s="168">
        <f t="shared" si="857"/>
        <v>0</v>
      </c>
      <c r="N927" s="168">
        <f t="shared" si="857"/>
        <v>0</v>
      </c>
      <c r="O927" s="168">
        <f t="shared" si="857"/>
        <v>0</v>
      </c>
      <c r="P927" s="168">
        <f t="shared" si="857"/>
        <v>0</v>
      </c>
      <c r="Q927" s="190">
        <f>SUM(G927:P927)</f>
        <v>0</v>
      </c>
    </row>
    <row r="928" spans="2:17" s="119" customFormat="1" ht="19.5" hidden="1" thickBot="1" x14ac:dyDescent="0.3">
      <c r="B928" s="310"/>
      <c r="C928" s="119">
        <f t="shared" si="855"/>
        <v>0</v>
      </c>
      <c r="D928" s="109" t="s">
        <v>91</v>
      </c>
      <c r="E928" s="76" t="s">
        <v>55</v>
      </c>
      <c r="F928" s="168">
        <f>+F$8*$E923</f>
        <v>0</v>
      </c>
      <c r="G928" s="168">
        <f>+G$8*$E923</f>
        <v>0</v>
      </c>
      <c r="H928" s="168">
        <f>+H$8*$E923</f>
        <v>0</v>
      </c>
      <c r="I928" s="168">
        <f>+I$8*$E923</f>
        <v>0</v>
      </c>
      <c r="J928" s="168">
        <f>+J$8*$E923</f>
        <v>0</v>
      </c>
      <c r="K928" s="168">
        <f t="shared" ref="K928:P928" si="858">+K$8*$E923</f>
        <v>0</v>
      </c>
      <c r="L928" s="168">
        <f t="shared" si="858"/>
        <v>0</v>
      </c>
      <c r="M928" s="168">
        <f t="shared" si="858"/>
        <v>0</v>
      </c>
      <c r="N928" s="168">
        <f t="shared" si="858"/>
        <v>0</v>
      </c>
      <c r="O928" s="168">
        <f t="shared" si="858"/>
        <v>0</v>
      </c>
      <c r="P928" s="168">
        <f t="shared" si="858"/>
        <v>0</v>
      </c>
      <c r="Q928" s="190">
        <f>SUM(G928:P928)</f>
        <v>0</v>
      </c>
    </row>
    <row r="929" spans="2:17" s="119" customFormat="1" ht="19.5" hidden="1" thickBot="1" x14ac:dyDescent="0.3">
      <c r="B929" s="310"/>
      <c r="C929" s="119">
        <f t="shared" si="855"/>
        <v>0</v>
      </c>
      <c r="D929" s="130" t="s">
        <v>117</v>
      </c>
      <c r="E929" s="76" t="s">
        <v>54</v>
      </c>
      <c r="F929" s="168">
        <f>+F$9*$E923</f>
        <v>0</v>
      </c>
      <c r="G929" s="168">
        <f>+G$9*$E923</f>
        <v>0</v>
      </c>
      <c r="H929" s="168">
        <f>+H$9*$E923</f>
        <v>0</v>
      </c>
      <c r="I929" s="168">
        <f>+I$9*$E923</f>
        <v>0</v>
      </c>
      <c r="J929" s="168">
        <f>+J$9*$E923</f>
        <v>0</v>
      </c>
      <c r="K929" s="168">
        <f t="shared" ref="K929:P929" si="859">+K$9*$E923</f>
        <v>0</v>
      </c>
      <c r="L929" s="168">
        <f t="shared" si="859"/>
        <v>0</v>
      </c>
      <c r="M929" s="168">
        <f t="shared" si="859"/>
        <v>0</v>
      </c>
      <c r="N929" s="168">
        <f t="shared" si="859"/>
        <v>0</v>
      </c>
      <c r="O929" s="168">
        <f t="shared" si="859"/>
        <v>0</v>
      </c>
      <c r="P929" s="168">
        <f t="shared" si="859"/>
        <v>0</v>
      </c>
      <c r="Q929" s="190">
        <f>SUM(G929:P929)</f>
        <v>0</v>
      </c>
    </row>
    <row r="930" spans="2:17" s="119" customFormat="1" ht="19.5" hidden="1" thickBot="1" x14ac:dyDescent="0.3">
      <c r="B930" s="310"/>
      <c r="C930" s="119">
        <f t="shared" si="855"/>
        <v>0</v>
      </c>
      <c r="D930" s="112" t="s">
        <v>31</v>
      </c>
      <c r="E930" s="76"/>
      <c r="F930" s="167"/>
      <c r="G930" s="185"/>
      <c r="H930" s="185"/>
      <c r="I930" s="185"/>
      <c r="J930" s="185"/>
      <c r="K930" s="185"/>
      <c r="L930" s="185"/>
      <c r="M930" s="185"/>
      <c r="N930" s="185"/>
      <c r="O930" s="185"/>
      <c r="P930" s="185"/>
      <c r="Q930" s="171"/>
    </row>
    <row r="931" spans="2:17" s="119" customFormat="1" ht="19.5" hidden="1" thickBot="1" x14ac:dyDescent="0.35">
      <c r="B931" s="310"/>
      <c r="C931" s="119">
        <f t="shared" si="855"/>
        <v>0</v>
      </c>
      <c r="D931" s="125" t="s">
        <v>118</v>
      </c>
      <c r="E931" s="76" t="s">
        <v>53</v>
      </c>
      <c r="F931" s="168">
        <f>+F$11*$E923</f>
        <v>0</v>
      </c>
      <c r="G931" s="168">
        <f>+G$11*$E923</f>
        <v>0</v>
      </c>
      <c r="H931" s="168">
        <f>+H$11*$E923</f>
        <v>0</v>
      </c>
      <c r="I931" s="168">
        <f>+I$11*$E923</f>
        <v>0</v>
      </c>
      <c r="J931" s="168">
        <f>+J$11*$E923</f>
        <v>0</v>
      </c>
      <c r="K931" s="168">
        <f t="shared" ref="K931:P931" si="860">+K$11*$E923</f>
        <v>0</v>
      </c>
      <c r="L931" s="168">
        <f t="shared" si="860"/>
        <v>0</v>
      </c>
      <c r="M931" s="168">
        <f t="shared" si="860"/>
        <v>0</v>
      </c>
      <c r="N931" s="168">
        <f t="shared" si="860"/>
        <v>0</v>
      </c>
      <c r="O931" s="168">
        <f t="shared" si="860"/>
        <v>0</v>
      </c>
      <c r="P931" s="168">
        <f t="shared" si="860"/>
        <v>0</v>
      </c>
      <c r="Q931" s="190">
        <f t="shared" ref="Q931:Q937" si="861">SUM(G931:P931)</f>
        <v>0</v>
      </c>
    </row>
    <row r="932" spans="2:17" s="119" customFormat="1" ht="19.5" hidden="1" thickBot="1" x14ac:dyDescent="0.35">
      <c r="B932" s="310"/>
      <c r="C932" s="119">
        <f t="shared" si="855"/>
        <v>0</v>
      </c>
      <c r="D932" s="125" t="s">
        <v>119</v>
      </c>
      <c r="E932" s="76" t="s">
        <v>52</v>
      </c>
      <c r="F932" s="168">
        <f>+F$12*$E923</f>
        <v>0</v>
      </c>
      <c r="G932" s="168">
        <f>+G$12*$E923</f>
        <v>0</v>
      </c>
      <c r="H932" s="168">
        <f>+H$12*$E923</f>
        <v>0</v>
      </c>
      <c r="I932" s="168">
        <f>+I$12*$E923</f>
        <v>0</v>
      </c>
      <c r="J932" s="168">
        <f>+J$12*$E923</f>
        <v>0</v>
      </c>
      <c r="K932" s="168">
        <f t="shared" ref="K932:P932" si="862">+K$12*$E923</f>
        <v>0</v>
      </c>
      <c r="L932" s="168">
        <f t="shared" si="862"/>
        <v>0</v>
      </c>
      <c r="M932" s="168">
        <f t="shared" si="862"/>
        <v>0</v>
      </c>
      <c r="N932" s="168">
        <f t="shared" si="862"/>
        <v>0</v>
      </c>
      <c r="O932" s="168">
        <f t="shared" si="862"/>
        <v>0</v>
      </c>
      <c r="P932" s="168">
        <f t="shared" si="862"/>
        <v>0</v>
      </c>
      <c r="Q932" s="190">
        <f t="shared" si="861"/>
        <v>0</v>
      </c>
    </row>
    <row r="933" spans="2:17" s="119" customFormat="1" ht="19.5" hidden="1" thickBot="1" x14ac:dyDescent="0.35">
      <c r="B933" s="310"/>
      <c r="C933" s="119">
        <f t="shared" si="855"/>
        <v>0</v>
      </c>
      <c r="D933" s="125" t="s">
        <v>120</v>
      </c>
      <c r="E933" s="76" t="s">
        <v>51</v>
      </c>
      <c r="F933" s="168">
        <f>+F$13*$E923</f>
        <v>0</v>
      </c>
      <c r="G933" s="168">
        <f>+G$13*$E923</f>
        <v>0</v>
      </c>
      <c r="H933" s="168">
        <f>+H$13*$E923</f>
        <v>0</v>
      </c>
      <c r="I933" s="168">
        <f>+I$13*$E923</f>
        <v>0</v>
      </c>
      <c r="J933" s="168">
        <f>+J$13*$E923</f>
        <v>0</v>
      </c>
      <c r="K933" s="168">
        <f t="shared" ref="K933:P933" si="863">+K$13*$E923</f>
        <v>0</v>
      </c>
      <c r="L933" s="168">
        <f t="shared" si="863"/>
        <v>0</v>
      </c>
      <c r="M933" s="168">
        <f t="shared" si="863"/>
        <v>0</v>
      </c>
      <c r="N933" s="168">
        <f t="shared" si="863"/>
        <v>0</v>
      </c>
      <c r="O933" s="168">
        <f t="shared" si="863"/>
        <v>0</v>
      </c>
      <c r="P933" s="168">
        <f t="shared" si="863"/>
        <v>0</v>
      </c>
      <c r="Q933" s="190">
        <f t="shared" si="861"/>
        <v>0</v>
      </c>
    </row>
    <row r="934" spans="2:17" s="119" customFormat="1" ht="19.5" hidden="1" thickBot="1" x14ac:dyDescent="0.35">
      <c r="B934" s="310"/>
      <c r="C934" s="119">
        <f t="shared" si="855"/>
        <v>0</v>
      </c>
      <c r="D934" s="125" t="s">
        <v>121</v>
      </c>
      <c r="E934" s="76" t="s">
        <v>50</v>
      </c>
      <c r="F934" s="168">
        <f>+F$14*$E923</f>
        <v>0</v>
      </c>
      <c r="G934" s="168">
        <f>+G$14*$E923</f>
        <v>0</v>
      </c>
      <c r="H934" s="168">
        <f>+H$14*$E923</f>
        <v>0</v>
      </c>
      <c r="I934" s="168">
        <f>+I$14*$E923</f>
        <v>0</v>
      </c>
      <c r="J934" s="168">
        <f>+J$14*$E923</f>
        <v>0</v>
      </c>
      <c r="K934" s="168">
        <f t="shared" ref="K934:P934" si="864">+K$14*$E923</f>
        <v>0</v>
      </c>
      <c r="L934" s="168">
        <f t="shared" si="864"/>
        <v>0</v>
      </c>
      <c r="M934" s="168">
        <f t="shared" si="864"/>
        <v>0</v>
      </c>
      <c r="N934" s="168">
        <f t="shared" si="864"/>
        <v>0</v>
      </c>
      <c r="O934" s="168">
        <f t="shared" si="864"/>
        <v>0</v>
      </c>
      <c r="P934" s="168">
        <f t="shared" si="864"/>
        <v>0</v>
      </c>
      <c r="Q934" s="190">
        <f t="shared" si="861"/>
        <v>0</v>
      </c>
    </row>
    <row r="935" spans="2:17" s="119" customFormat="1" ht="19.5" hidden="1" thickBot="1" x14ac:dyDescent="0.35">
      <c r="B935" s="310"/>
      <c r="C935" s="119">
        <f t="shared" si="855"/>
        <v>0</v>
      </c>
      <c r="D935" s="125" t="s">
        <v>122</v>
      </c>
      <c r="E935" s="76" t="s">
        <v>49</v>
      </c>
      <c r="F935" s="168">
        <f>+F$15*$E923</f>
        <v>0</v>
      </c>
      <c r="G935" s="168">
        <f>+G$15*$E923</f>
        <v>0</v>
      </c>
      <c r="H935" s="168">
        <f>+H$15*$E923</f>
        <v>0</v>
      </c>
      <c r="I935" s="168">
        <f>+I$15*$E923</f>
        <v>0</v>
      </c>
      <c r="J935" s="168">
        <f>+J$15*$E923</f>
        <v>0</v>
      </c>
      <c r="K935" s="168">
        <f t="shared" ref="K935:P935" si="865">+K$15*$E923</f>
        <v>0</v>
      </c>
      <c r="L935" s="168">
        <f t="shared" si="865"/>
        <v>0</v>
      </c>
      <c r="M935" s="168">
        <f t="shared" si="865"/>
        <v>0</v>
      </c>
      <c r="N935" s="168">
        <f t="shared" si="865"/>
        <v>0</v>
      </c>
      <c r="O935" s="168">
        <f t="shared" si="865"/>
        <v>0</v>
      </c>
      <c r="P935" s="168">
        <f t="shared" si="865"/>
        <v>0</v>
      </c>
      <c r="Q935" s="190">
        <f t="shared" si="861"/>
        <v>0</v>
      </c>
    </row>
    <row r="936" spans="2:17" s="119" customFormat="1" ht="19.5" hidden="1" thickBot="1" x14ac:dyDescent="0.35">
      <c r="B936" s="310"/>
      <c r="C936" s="119">
        <f t="shared" si="855"/>
        <v>0</v>
      </c>
      <c r="D936" s="125" t="s">
        <v>123</v>
      </c>
      <c r="E936" s="76" t="s">
        <v>47</v>
      </c>
      <c r="F936" s="168">
        <f>+F$16*$E923</f>
        <v>0</v>
      </c>
      <c r="G936" s="168">
        <f>+G$16*$E923</f>
        <v>0</v>
      </c>
      <c r="H936" s="168">
        <f>+H$16*$E923</f>
        <v>0</v>
      </c>
      <c r="I936" s="168">
        <f>+I$16*$E923</f>
        <v>0</v>
      </c>
      <c r="J936" s="168">
        <f>+J$16*$E923</f>
        <v>0</v>
      </c>
      <c r="K936" s="168">
        <f t="shared" ref="K936:P936" si="866">+K$16*$E923</f>
        <v>0</v>
      </c>
      <c r="L936" s="168">
        <f t="shared" si="866"/>
        <v>0</v>
      </c>
      <c r="M936" s="168">
        <f t="shared" si="866"/>
        <v>0</v>
      </c>
      <c r="N936" s="168">
        <f t="shared" si="866"/>
        <v>0</v>
      </c>
      <c r="O936" s="168">
        <f t="shared" si="866"/>
        <v>0</v>
      </c>
      <c r="P936" s="168">
        <f t="shared" si="866"/>
        <v>0</v>
      </c>
      <c r="Q936" s="190">
        <f t="shared" si="861"/>
        <v>0</v>
      </c>
    </row>
    <row r="937" spans="2:17" s="119" customFormat="1" ht="19.5" hidden="1" thickBot="1" x14ac:dyDescent="0.35">
      <c r="B937" s="310"/>
      <c r="C937" s="119">
        <f t="shared" si="855"/>
        <v>0</v>
      </c>
      <c r="D937" s="125" t="s">
        <v>16</v>
      </c>
      <c r="E937" s="70" t="s">
        <v>77</v>
      </c>
      <c r="F937" s="168">
        <f>+F$17*$E923</f>
        <v>0</v>
      </c>
      <c r="G937" s="168">
        <f>+G$17*$E923</f>
        <v>0</v>
      </c>
      <c r="H937" s="168">
        <f>+H$17*$E923</f>
        <v>0</v>
      </c>
      <c r="I937" s="168">
        <f>+I$17*$E923</f>
        <v>0</v>
      </c>
      <c r="J937" s="168">
        <f>+J$17*$E923</f>
        <v>0</v>
      </c>
      <c r="K937" s="168">
        <f t="shared" ref="K937:P937" si="867">+K$17*$E923</f>
        <v>0</v>
      </c>
      <c r="L937" s="168">
        <f t="shared" si="867"/>
        <v>0</v>
      </c>
      <c r="M937" s="168">
        <f t="shared" si="867"/>
        <v>0</v>
      </c>
      <c r="N937" s="168">
        <f t="shared" si="867"/>
        <v>0</v>
      </c>
      <c r="O937" s="168">
        <f t="shared" si="867"/>
        <v>0</v>
      </c>
      <c r="P937" s="168">
        <f t="shared" si="867"/>
        <v>0</v>
      </c>
      <c r="Q937" s="190">
        <f t="shared" si="861"/>
        <v>0</v>
      </c>
    </row>
    <row r="938" spans="2:17" s="119" customFormat="1" ht="19.5" hidden="1" thickBot="1" x14ac:dyDescent="0.3">
      <c r="B938" s="310"/>
      <c r="C938" s="119">
        <f t="shared" si="855"/>
        <v>0</v>
      </c>
      <c r="D938" s="131" t="s">
        <v>124</v>
      </c>
      <c r="E938" s="116" t="s">
        <v>78</v>
      </c>
      <c r="F938" s="169">
        <f t="shared" ref="F938:Q938" si="868">SUBTOTAL(9,F926:F937)</f>
        <v>0</v>
      </c>
      <c r="G938" s="170">
        <f t="shared" si="868"/>
        <v>0</v>
      </c>
      <c r="H938" s="170">
        <f t="shared" si="868"/>
        <v>0</v>
      </c>
      <c r="I938" s="170">
        <f t="shared" si="868"/>
        <v>0</v>
      </c>
      <c r="J938" s="170">
        <f t="shared" si="868"/>
        <v>0</v>
      </c>
      <c r="K938" s="170">
        <f t="shared" ref="K938:P938" si="869">SUBTOTAL(9,K926:K937)</f>
        <v>0</v>
      </c>
      <c r="L938" s="170">
        <f t="shared" si="869"/>
        <v>0</v>
      </c>
      <c r="M938" s="170">
        <f t="shared" si="869"/>
        <v>0</v>
      </c>
      <c r="N938" s="170">
        <f t="shared" si="869"/>
        <v>0</v>
      </c>
      <c r="O938" s="170">
        <f t="shared" si="869"/>
        <v>0</v>
      </c>
      <c r="P938" s="170">
        <f t="shared" si="869"/>
        <v>0</v>
      </c>
      <c r="Q938" s="170">
        <f t="shared" si="868"/>
        <v>0</v>
      </c>
    </row>
    <row r="939" spans="2:17" s="119" customFormat="1" ht="15.75" hidden="1" thickBot="1" x14ac:dyDescent="0.3">
      <c r="B939" s="310"/>
      <c r="D939" s="117"/>
      <c r="E939" s="132"/>
      <c r="F939" s="117"/>
      <c r="G939" s="117"/>
      <c r="H939" s="118"/>
      <c r="I939" s="118"/>
      <c r="J939" s="118"/>
      <c r="K939" s="118"/>
      <c r="L939" s="118"/>
      <c r="M939" s="118"/>
      <c r="N939" s="118"/>
      <c r="O939" s="118"/>
      <c r="P939" s="118"/>
      <c r="Q939" s="118"/>
    </row>
    <row r="940" spans="2:17" s="119" customFormat="1" ht="45.75" hidden="1" thickBot="1" x14ac:dyDescent="0.3">
      <c r="B940" s="310"/>
      <c r="C940" s="119">
        <f>IF(E940&gt;0,1,0)</f>
        <v>0</v>
      </c>
      <c r="D940" s="96" t="str">
        <f>+A58</f>
        <v>Tompkins</v>
      </c>
      <c r="E940" s="166">
        <f>+SUMIF(A:A,D940,B:B)</f>
        <v>0</v>
      </c>
      <c r="F940" s="98" t="s">
        <v>97</v>
      </c>
      <c r="G940" s="98" t="s">
        <v>126</v>
      </c>
      <c r="H940" s="98" t="s">
        <v>127</v>
      </c>
      <c r="I940" s="99" t="s">
        <v>128</v>
      </c>
      <c r="J940" s="99" t="s">
        <v>131</v>
      </c>
      <c r="K940" s="560" t="s">
        <v>474</v>
      </c>
      <c r="L940" s="560" t="s">
        <v>475</v>
      </c>
      <c r="M940" s="560" t="s">
        <v>476</v>
      </c>
      <c r="N940" s="560" t="s">
        <v>477</v>
      </c>
      <c r="O940" s="560" t="s">
        <v>478</v>
      </c>
      <c r="P940" s="560" t="s">
        <v>479</v>
      </c>
      <c r="Q940" s="99" t="s">
        <v>129</v>
      </c>
    </row>
    <row r="941" spans="2:17" s="119" customFormat="1" ht="19.5" hidden="1" thickBot="1" x14ac:dyDescent="0.3">
      <c r="B941" s="310"/>
      <c r="C941" s="119">
        <f>C940</f>
        <v>0</v>
      </c>
      <c r="D941" s="127"/>
      <c r="E941" s="128"/>
      <c r="F941" s="84" t="s">
        <v>57</v>
      </c>
      <c r="G941" s="84" t="s">
        <v>56</v>
      </c>
      <c r="H941" s="84" t="s">
        <v>55</v>
      </c>
      <c r="I941" s="84" t="s">
        <v>54</v>
      </c>
      <c r="J941" s="129" t="s">
        <v>53</v>
      </c>
      <c r="K941" s="129" t="s">
        <v>52</v>
      </c>
      <c r="L941" s="129" t="s">
        <v>51</v>
      </c>
      <c r="M941" s="129" t="s">
        <v>50</v>
      </c>
      <c r="N941" s="129" t="s">
        <v>49</v>
      </c>
      <c r="O941" s="129" t="s">
        <v>47</v>
      </c>
      <c r="P941" s="129" t="s">
        <v>77</v>
      </c>
      <c r="Q941" s="129" t="s">
        <v>78</v>
      </c>
    </row>
    <row r="942" spans="2:17" s="119" customFormat="1" ht="19.5" hidden="1" thickBot="1" x14ac:dyDescent="0.3">
      <c r="B942" s="310"/>
      <c r="C942" s="119">
        <f>C941</f>
        <v>0</v>
      </c>
      <c r="D942" s="133" t="s">
        <v>26</v>
      </c>
      <c r="E942" s="134"/>
      <c r="F942" s="135"/>
      <c r="G942" s="135"/>
      <c r="H942" s="136"/>
      <c r="I942" s="136"/>
      <c r="J942" s="137"/>
      <c r="K942" s="137"/>
      <c r="L942" s="137"/>
      <c r="M942" s="137"/>
      <c r="N942" s="137"/>
      <c r="O942" s="137"/>
      <c r="P942" s="137"/>
      <c r="Q942" s="138"/>
    </row>
    <row r="943" spans="2:17" s="119" customFormat="1" ht="19.5" hidden="1" thickBot="1" x14ac:dyDescent="0.3">
      <c r="B943" s="310"/>
      <c r="C943" s="119">
        <f t="shared" ref="C943:C955" si="870">C942</f>
        <v>0</v>
      </c>
      <c r="D943" s="109" t="s">
        <v>93</v>
      </c>
      <c r="E943" s="76" t="s">
        <v>57</v>
      </c>
      <c r="F943" s="168">
        <f>+F$6*$E940</f>
        <v>0</v>
      </c>
      <c r="G943" s="168">
        <f>+G$6*$E940</f>
        <v>0</v>
      </c>
      <c r="H943" s="168">
        <f>+H$6*$E940</f>
        <v>0</v>
      </c>
      <c r="I943" s="168">
        <f>+I$6*$E940</f>
        <v>0</v>
      </c>
      <c r="J943" s="168">
        <f>+J$6*$E940</f>
        <v>0</v>
      </c>
      <c r="K943" s="168">
        <f t="shared" ref="K943:P943" si="871">+K$6*$E940</f>
        <v>0</v>
      </c>
      <c r="L943" s="168">
        <f t="shared" si="871"/>
        <v>0</v>
      </c>
      <c r="M943" s="168">
        <f t="shared" si="871"/>
        <v>0</v>
      </c>
      <c r="N943" s="168">
        <f t="shared" si="871"/>
        <v>0</v>
      </c>
      <c r="O943" s="168">
        <f t="shared" si="871"/>
        <v>0</v>
      </c>
      <c r="P943" s="168">
        <f t="shared" si="871"/>
        <v>0</v>
      </c>
      <c r="Q943" s="190">
        <f>SUM(G943:P943)</f>
        <v>0</v>
      </c>
    </row>
    <row r="944" spans="2:17" s="119" customFormat="1" ht="19.5" hidden="1" thickBot="1" x14ac:dyDescent="0.3">
      <c r="B944" s="310"/>
      <c r="C944" s="119">
        <f t="shared" si="870"/>
        <v>0</v>
      </c>
      <c r="D944" s="110" t="s">
        <v>132</v>
      </c>
      <c r="E944" s="76" t="s">
        <v>56</v>
      </c>
      <c r="F944" s="168">
        <f>+F$7*$E940</f>
        <v>0</v>
      </c>
      <c r="G944" s="168">
        <f>+G$7*$E940</f>
        <v>0</v>
      </c>
      <c r="H944" s="168">
        <f>+H$7*$E940</f>
        <v>0</v>
      </c>
      <c r="I944" s="168">
        <f>+I$7*$E940</f>
        <v>0</v>
      </c>
      <c r="J944" s="168">
        <f>+J$7*$E940</f>
        <v>0</v>
      </c>
      <c r="K944" s="168">
        <f t="shared" ref="K944:P944" si="872">+K$7*$E940</f>
        <v>0</v>
      </c>
      <c r="L944" s="168">
        <f t="shared" si="872"/>
        <v>0</v>
      </c>
      <c r="M944" s="168">
        <f t="shared" si="872"/>
        <v>0</v>
      </c>
      <c r="N944" s="168">
        <f t="shared" si="872"/>
        <v>0</v>
      </c>
      <c r="O944" s="168">
        <f t="shared" si="872"/>
        <v>0</v>
      </c>
      <c r="P944" s="168">
        <f t="shared" si="872"/>
        <v>0</v>
      </c>
      <c r="Q944" s="190">
        <f>SUM(G944:P944)</f>
        <v>0</v>
      </c>
    </row>
    <row r="945" spans="2:17" s="119" customFormat="1" ht="19.5" hidden="1" thickBot="1" x14ac:dyDescent="0.3">
      <c r="B945" s="310"/>
      <c r="C945" s="119">
        <f t="shared" si="870"/>
        <v>0</v>
      </c>
      <c r="D945" s="109" t="s">
        <v>91</v>
      </c>
      <c r="E945" s="76" t="s">
        <v>55</v>
      </c>
      <c r="F945" s="168">
        <f>+F$8*$E940</f>
        <v>0</v>
      </c>
      <c r="G945" s="168">
        <f>+G$8*$E940</f>
        <v>0</v>
      </c>
      <c r="H945" s="168">
        <f>+H$8*$E940</f>
        <v>0</v>
      </c>
      <c r="I945" s="168">
        <f>+I$8*$E940</f>
        <v>0</v>
      </c>
      <c r="J945" s="168">
        <f>+J$8*$E940</f>
        <v>0</v>
      </c>
      <c r="K945" s="168">
        <f t="shared" ref="K945:P945" si="873">+K$8*$E940</f>
        <v>0</v>
      </c>
      <c r="L945" s="168">
        <f t="shared" si="873"/>
        <v>0</v>
      </c>
      <c r="M945" s="168">
        <f t="shared" si="873"/>
        <v>0</v>
      </c>
      <c r="N945" s="168">
        <f t="shared" si="873"/>
        <v>0</v>
      </c>
      <c r="O945" s="168">
        <f t="shared" si="873"/>
        <v>0</v>
      </c>
      <c r="P945" s="168">
        <f t="shared" si="873"/>
        <v>0</v>
      </c>
      <c r="Q945" s="190">
        <f>SUM(G945:P945)</f>
        <v>0</v>
      </c>
    </row>
    <row r="946" spans="2:17" s="119" customFormat="1" ht="19.5" hidden="1" thickBot="1" x14ac:dyDescent="0.3">
      <c r="B946" s="310"/>
      <c r="C946" s="119">
        <f t="shared" si="870"/>
        <v>0</v>
      </c>
      <c r="D946" s="130" t="s">
        <v>117</v>
      </c>
      <c r="E946" s="76" t="s">
        <v>54</v>
      </c>
      <c r="F946" s="168">
        <f>+F$9*$E940</f>
        <v>0</v>
      </c>
      <c r="G946" s="168">
        <f>+G$9*$E940</f>
        <v>0</v>
      </c>
      <c r="H946" s="168">
        <f>+H$9*$E940</f>
        <v>0</v>
      </c>
      <c r="I946" s="168">
        <f>+I$9*$E940</f>
        <v>0</v>
      </c>
      <c r="J946" s="168">
        <f>+J$9*$E940</f>
        <v>0</v>
      </c>
      <c r="K946" s="168">
        <f t="shared" ref="K946:P946" si="874">+K$9*$E940</f>
        <v>0</v>
      </c>
      <c r="L946" s="168">
        <f t="shared" si="874"/>
        <v>0</v>
      </c>
      <c r="M946" s="168">
        <f t="shared" si="874"/>
        <v>0</v>
      </c>
      <c r="N946" s="168">
        <f t="shared" si="874"/>
        <v>0</v>
      </c>
      <c r="O946" s="168">
        <f t="shared" si="874"/>
        <v>0</v>
      </c>
      <c r="P946" s="168">
        <f t="shared" si="874"/>
        <v>0</v>
      </c>
      <c r="Q946" s="190">
        <f>SUM(G946:P946)</f>
        <v>0</v>
      </c>
    </row>
    <row r="947" spans="2:17" s="119" customFormat="1" ht="19.5" hidden="1" thickBot="1" x14ac:dyDescent="0.3">
      <c r="B947" s="310"/>
      <c r="C947" s="119">
        <f t="shared" si="870"/>
        <v>0</v>
      </c>
      <c r="D947" s="112" t="s">
        <v>31</v>
      </c>
      <c r="E947" s="76"/>
      <c r="F947" s="167"/>
      <c r="G947" s="185"/>
      <c r="H947" s="185"/>
      <c r="I947" s="185"/>
      <c r="J947" s="185"/>
      <c r="K947" s="185"/>
      <c r="L947" s="185"/>
      <c r="M947" s="185"/>
      <c r="N947" s="185"/>
      <c r="O947" s="185"/>
      <c r="P947" s="185"/>
      <c r="Q947" s="171"/>
    </row>
    <row r="948" spans="2:17" s="119" customFormat="1" ht="19.5" hidden="1" thickBot="1" x14ac:dyDescent="0.35">
      <c r="B948" s="310"/>
      <c r="C948" s="119">
        <f t="shared" si="870"/>
        <v>0</v>
      </c>
      <c r="D948" s="125" t="s">
        <v>118</v>
      </c>
      <c r="E948" s="76" t="s">
        <v>53</v>
      </c>
      <c r="F948" s="168">
        <f>+F$11*$E940</f>
        <v>0</v>
      </c>
      <c r="G948" s="168">
        <f>+G$11*$E940</f>
        <v>0</v>
      </c>
      <c r="H948" s="168">
        <f>+H$11*$E940</f>
        <v>0</v>
      </c>
      <c r="I948" s="168">
        <f>+I$11*$E940</f>
        <v>0</v>
      </c>
      <c r="J948" s="168">
        <f>+J$11*$E940</f>
        <v>0</v>
      </c>
      <c r="K948" s="168">
        <f t="shared" ref="K948:P948" si="875">+K$11*$E940</f>
        <v>0</v>
      </c>
      <c r="L948" s="168">
        <f t="shared" si="875"/>
        <v>0</v>
      </c>
      <c r="M948" s="168">
        <f t="shared" si="875"/>
        <v>0</v>
      </c>
      <c r="N948" s="168">
        <f t="shared" si="875"/>
        <v>0</v>
      </c>
      <c r="O948" s="168">
        <f t="shared" si="875"/>
        <v>0</v>
      </c>
      <c r="P948" s="168">
        <f t="shared" si="875"/>
        <v>0</v>
      </c>
      <c r="Q948" s="190">
        <f t="shared" ref="Q948:Q954" si="876">SUM(G948:P948)</f>
        <v>0</v>
      </c>
    </row>
    <row r="949" spans="2:17" s="119" customFormat="1" ht="19.5" hidden="1" thickBot="1" x14ac:dyDescent="0.35">
      <c r="B949" s="310"/>
      <c r="C949" s="119">
        <f t="shared" si="870"/>
        <v>0</v>
      </c>
      <c r="D949" s="125" t="s">
        <v>119</v>
      </c>
      <c r="E949" s="76" t="s">
        <v>52</v>
      </c>
      <c r="F949" s="168">
        <f>+F$12*$E940</f>
        <v>0</v>
      </c>
      <c r="G949" s="168">
        <f>+G$12*$E940</f>
        <v>0</v>
      </c>
      <c r="H949" s="168">
        <f>+H$12*$E940</f>
        <v>0</v>
      </c>
      <c r="I949" s="168">
        <f>+I$12*$E940</f>
        <v>0</v>
      </c>
      <c r="J949" s="168">
        <f>+J$12*$E940</f>
        <v>0</v>
      </c>
      <c r="K949" s="168">
        <f t="shared" ref="K949:P949" si="877">+K$12*$E940</f>
        <v>0</v>
      </c>
      <c r="L949" s="168">
        <f t="shared" si="877"/>
        <v>0</v>
      </c>
      <c r="M949" s="168">
        <f t="shared" si="877"/>
        <v>0</v>
      </c>
      <c r="N949" s="168">
        <f t="shared" si="877"/>
        <v>0</v>
      </c>
      <c r="O949" s="168">
        <f t="shared" si="877"/>
        <v>0</v>
      </c>
      <c r="P949" s="168">
        <f t="shared" si="877"/>
        <v>0</v>
      </c>
      <c r="Q949" s="190">
        <f t="shared" si="876"/>
        <v>0</v>
      </c>
    </row>
    <row r="950" spans="2:17" s="119" customFormat="1" ht="19.5" hidden="1" thickBot="1" x14ac:dyDescent="0.35">
      <c r="B950" s="310"/>
      <c r="C950" s="119">
        <f t="shared" si="870"/>
        <v>0</v>
      </c>
      <c r="D950" s="125" t="s">
        <v>120</v>
      </c>
      <c r="E950" s="76" t="s">
        <v>51</v>
      </c>
      <c r="F950" s="168">
        <f>+F$13*$E940</f>
        <v>0</v>
      </c>
      <c r="G950" s="168">
        <f>+G$13*$E940</f>
        <v>0</v>
      </c>
      <c r="H950" s="168">
        <f>+H$13*$E940</f>
        <v>0</v>
      </c>
      <c r="I950" s="168">
        <f>+I$13*$E940</f>
        <v>0</v>
      </c>
      <c r="J950" s="168">
        <f>+J$13*$E940</f>
        <v>0</v>
      </c>
      <c r="K950" s="168">
        <f t="shared" ref="K950:P950" si="878">+K$13*$E940</f>
        <v>0</v>
      </c>
      <c r="L950" s="168">
        <f t="shared" si="878"/>
        <v>0</v>
      </c>
      <c r="M950" s="168">
        <f t="shared" si="878"/>
        <v>0</v>
      </c>
      <c r="N950" s="168">
        <f t="shared" si="878"/>
        <v>0</v>
      </c>
      <c r="O950" s="168">
        <f t="shared" si="878"/>
        <v>0</v>
      </c>
      <c r="P950" s="168">
        <f t="shared" si="878"/>
        <v>0</v>
      </c>
      <c r="Q950" s="190">
        <f t="shared" si="876"/>
        <v>0</v>
      </c>
    </row>
    <row r="951" spans="2:17" s="119" customFormat="1" ht="19.5" hidden="1" thickBot="1" x14ac:dyDescent="0.35">
      <c r="B951" s="310"/>
      <c r="C951" s="119">
        <f t="shared" si="870"/>
        <v>0</v>
      </c>
      <c r="D951" s="125" t="s">
        <v>121</v>
      </c>
      <c r="E951" s="76" t="s">
        <v>50</v>
      </c>
      <c r="F951" s="168">
        <f>+F$14*$E940</f>
        <v>0</v>
      </c>
      <c r="G951" s="168">
        <f>+G$14*$E940</f>
        <v>0</v>
      </c>
      <c r="H951" s="168">
        <f>+H$14*$E940</f>
        <v>0</v>
      </c>
      <c r="I951" s="168">
        <f>+I$14*$E940</f>
        <v>0</v>
      </c>
      <c r="J951" s="168">
        <f>+J$14*$E940</f>
        <v>0</v>
      </c>
      <c r="K951" s="168">
        <f t="shared" ref="K951:P951" si="879">+K$14*$E940</f>
        <v>0</v>
      </c>
      <c r="L951" s="168">
        <f t="shared" si="879"/>
        <v>0</v>
      </c>
      <c r="M951" s="168">
        <f t="shared" si="879"/>
        <v>0</v>
      </c>
      <c r="N951" s="168">
        <f t="shared" si="879"/>
        <v>0</v>
      </c>
      <c r="O951" s="168">
        <f t="shared" si="879"/>
        <v>0</v>
      </c>
      <c r="P951" s="168">
        <f t="shared" si="879"/>
        <v>0</v>
      </c>
      <c r="Q951" s="190">
        <f t="shared" si="876"/>
        <v>0</v>
      </c>
    </row>
    <row r="952" spans="2:17" s="119" customFormat="1" ht="19.5" hidden="1" thickBot="1" x14ac:dyDescent="0.35">
      <c r="B952" s="310"/>
      <c r="C952" s="119">
        <f t="shared" si="870"/>
        <v>0</v>
      </c>
      <c r="D952" s="125" t="s">
        <v>122</v>
      </c>
      <c r="E952" s="76" t="s">
        <v>49</v>
      </c>
      <c r="F952" s="168">
        <f>+F$15*$E940</f>
        <v>0</v>
      </c>
      <c r="G952" s="168">
        <f>+G$15*$E940</f>
        <v>0</v>
      </c>
      <c r="H952" s="168">
        <f>+H$15*$E940</f>
        <v>0</v>
      </c>
      <c r="I952" s="168">
        <f>+I$15*$E940</f>
        <v>0</v>
      </c>
      <c r="J952" s="168">
        <f>+J$15*$E940</f>
        <v>0</v>
      </c>
      <c r="K952" s="168">
        <f t="shared" ref="K952:P952" si="880">+K$15*$E940</f>
        <v>0</v>
      </c>
      <c r="L952" s="168">
        <f t="shared" si="880"/>
        <v>0</v>
      </c>
      <c r="M952" s="168">
        <f t="shared" si="880"/>
        <v>0</v>
      </c>
      <c r="N952" s="168">
        <f t="shared" si="880"/>
        <v>0</v>
      </c>
      <c r="O952" s="168">
        <f t="shared" si="880"/>
        <v>0</v>
      </c>
      <c r="P952" s="168">
        <f t="shared" si="880"/>
        <v>0</v>
      </c>
      <c r="Q952" s="190">
        <f t="shared" si="876"/>
        <v>0</v>
      </c>
    </row>
    <row r="953" spans="2:17" s="119" customFormat="1" ht="19.5" hidden="1" thickBot="1" x14ac:dyDescent="0.35">
      <c r="B953" s="310"/>
      <c r="C953" s="119">
        <f t="shared" si="870"/>
        <v>0</v>
      </c>
      <c r="D953" s="125" t="s">
        <v>123</v>
      </c>
      <c r="E953" s="76" t="s">
        <v>47</v>
      </c>
      <c r="F953" s="168">
        <f>+F$16*$E940</f>
        <v>0</v>
      </c>
      <c r="G953" s="168">
        <f>+G$16*$E940</f>
        <v>0</v>
      </c>
      <c r="H953" s="168">
        <f>+H$16*$E940</f>
        <v>0</v>
      </c>
      <c r="I953" s="168">
        <f>+I$16*$E940</f>
        <v>0</v>
      </c>
      <c r="J953" s="168">
        <f>+J$16*$E940</f>
        <v>0</v>
      </c>
      <c r="K953" s="168">
        <f t="shared" ref="K953:P953" si="881">+K$16*$E940</f>
        <v>0</v>
      </c>
      <c r="L953" s="168">
        <f t="shared" si="881"/>
        <v>0</v>
      </c>
      <c r="M953" s="168">
        <f t="shared" si="881"/>
        <v>0</v>
      </c>
      <c r="N953" s="168">
        <f t="shared" si="881"/>
        <v>0</v>
      </c>
      <c r="O953" s="168">
        <f t="shared" si="881"/>
        <v>0</v>
      </c>
      <c r="P953" s="168">
        <f t="shared" si="881"/>
        <v>0</v>
      </c>
      <c r="Q953" s="190">
        <f t="shared" si="876"/>
        <v>0</v>
      </c>
    </row>
    <row r="954" spans="2:17" s="119" customFormat="1" ht="19.5" hidden="1" thickBot="1" x14ac:dyDescent="0.35">
      <c r="B954" s="310"/>
      <c r="C954" s="119">
        <f t="shared" si="870"/>
        <v>0</v>
      </c>
      <c r="D954" s="125" t="s">
        <v>16</v>
      </c>
      <c r="E954" s="70" t="s">
        <v>77</v>
      </c>
      <c r="F954" s="168">
        <f>+F$17*$E940</f>
        <v>0</v>
      </c>
      <c r="G954" s="168">
        <f>+G$17*$E940</f>
        <v>0</v>
      </c>
      <c r="H954" s="168">
        <f>+H$17*$E940</f>
        <v>0</v>
      </c>
      <c r="I954" s="168">
        <f>+I$17*$E940</f>
        <v>0</v>
      </c>
      <c r="J954" s="168">
        <f>+J$17*$E940</f>
        <v>0</v>
      </c>
      <c r="K954" s="168">
        <f t="shared" ref="K954:P954" si="882">+K$17*$E940</f>
        <v>0</v>
      </c>
      <c r="L954" s="168">
        <f t="shared" si="882"/>
        <v>0</v>
      </c>
      <c r="M954" s="168">
        <f t="shared" si="882"/>
        <v>0</v>
      </c>
      <c r="N954" s="168">
        <f t="shared" si="882"/>
        <v>0</v>
      </c>
      <c r="O954" s="168">
        <f t="shared" si="882"/>
        <v>0</v>
      </c>
      <c r="P954" s="168">
        <f t="shared" si="882"/>
        <v>0</v>
      </c>
      <c r="Q954" s="190">
        <f t="shared" si="876"/>
        <v>0</v>
      </c>
    </row>
    <row r="955" spans="2:17" s="119" customFormat="1" ht="19.5" hidden="1" thickBot="1" x14ac:dyDescent="0.3">
      <c r="B955" s="310"/>
      <c r="C955" s="119">
        <f t="shared" si="870"/>
        <v>0</v>
      </c>
      <c r="D955" s="131" t="s">
        <v>124</v>
      </c>
      <c r="E955" s="116" t="s">
        <v>78</v>
      </c>
      <c r="F955" s="169">
        <f t="shared" ref="F955:Q955" si="883">SUBTOTAL(9,F943:F954)</f>
        <v>0</v>
      </c>
      <c r="G955" s="170">
        <f t="shared" si="883"/>
        <v>0</v>
      </c>
      <c r="H955" s="170">
        <f t="shared" si="883"/>
        <v>0</v>
      </c>
      <c r="I955" s="170">
        <f t="shared" si="883"/>
        <v>0</v>
      </c>
      <c r="J955" s="170">
        <f t="shared" si="883"/>
        <v>0</v>
      </c>
      <c r="K955" s="170">
        <f t="shared" ref="K955:P955" si="884">SUBTOTAL(9,K943:K954)</f>
        <v>0</v>
      </c>
      <c r="L955" s="170">
        <f t="shared" si="884"/>
        <v>0</v>
      </c>
      <c r="M955" s="170">
        <f t="shared" si="884"/>
        <v>0</v>
      </c>
      <c r="N955" s="170">
        <f t="shared" si="884"/>
        <v>0</v>
      </c>
      <c r="O955" s="170">
        <f t="shared" si="884"/>
        <v>0</v>
      </c>
      <c r="P955" s="170">
        <f t="shared" si="884"/>
        <v>0</v>
      </c>
      <c r="Q955" s="170">
        <f t="shared" si="883"/>
        <v>0</v>
      </c>
    </row>
    <row r="956" spans="2:17" s="119" customFormat="1" ht="15.75" hidden="1" thickBot="1" x14ac:dyDescent="0.3">
      <c r="B956" s="310"/>
      <c r="D956" s="117"/>
      <c r="E956" s="132"/>
      <c r="F956" s="117"/>
      <c r="G956" s="117"/>
      <c r="H956" s="118"/>
      <c r="I956" s="118"/>
      <c r="J956" s="118"/>
      <c r="K956" s="118"/>
      <c r="L956" s="118"/>
      <c r="M956" s="118"/>
      <c r="N956" s="118"/>
      <c r="O956" s="118"/>
      <c r="P956" s="118"/>
      <c r="Q956" s="118"/>
    </row>
    <row r="957" spans="2:17" s="119" customFormat="1" ht="45.75" hidden="1" thickBot="1" x14ac:dyDescent="0.3">
      <c r="B957" s="310"/>
      <c r="C957" s="119">
        <f>IF(E957&gt;0,1,0)</f>
        <v>0</v>
      </c>
      <c r="D957" s="96" t="str">
        <f>+A59</f>
        <v>Ulster</v>
      </c>
      <c r="E957" s="166">
        <f>+SUMIF(A:A,D957,B:B)</f>
        <v>0</v>
      </c>
      <c r="F957" s="98" t="s">
        <v>97</v>
      </c>
      <c r="G957" s="98" t="s">
        <v>126</v>
      </c>
      <c r="H957" s="98" t="s">
        <v>127</v>
      </c>
      <c r="I957" s="99" t="s">
        <v>128</v>
      </c>
      <c r="J957" s="99" t="s">
        <v>131</v>
      </c>
      <c r="K957" s="560" t="s">
        <v>474</v>
      </c>
      <c r="L957" s="560" t="s">
        <v>475</v>
      </c>
      <c r="M957" s="560" t="s">
        <v>476</v>
      </c>
      <c r="N957" s="560" t="s">
        <v>477</v>
      </c>
      <c r="O957" s="560" t="s">
        <v>478</v>
      </c>
      <c r="P957" s="560" t="s">
        <v>479</v>
      </c>
      <c r="Q957" s="99" t="s">
        <v>129</v>
      </c>
    </row>
    <row r="958" spans="2:17" s="119" customFormat="1" ht="19.5" hidden="1" thickBot="1" x14ac:dyDescent="0.3">
      <c r="B958" s="310"/>
      <c r="C958" s="119">
        <f>C957</f>
        <v>0</v>
      </c>
      <c r="D958" s="127"/>
      <c r="E958" s="128"/>
      <c r="F958" s="84" t="s">
        <v>57</v>
      </c>
      <c r="G958" s="84" t="s">
        <v>56</v>
      </c>
      <c r="H958" s="84" t="s">
        <v>55</v>
      </c>
      <c r="I958" s="84" t="s">
        <v>54</v>
      </c>
      <c r="J958" s="129" t="s">
        <v>53</v>
      </c>
      <c r="K958" s="129" t="s">
        <v>52</v>
      </c>
      <c r="L958" s="129" t="s">
        <v>51</v>
      </c>
      <c r="M958" s="129" t="s">
        <v>50</v>
      </c>
      <c r="N958" s="129" t="s">
        <v>49</v>
      </c>
      <c r="O958" s="129" t="s">
        <v>47</v>
      </c>
      <c r="P958" s="129" t="s">
        <v>77</v>
      </c>
      <c r="Q958" s="129" t="s">
        <v>78</v>
      </c>
    </row>
    <row r="959" spans="2:17" s="119" customFormat="1" ht="19.5" hidden="1" thickBot="1" x14ac:dyDescent="0.3">
      <c r="B959" s="310"/>
      <c r="C959" s="119">
        <f>C958</f>
        <v>0</v>
      </c>
      <c r="D959" s="133" t="s">
        <v>26</v>
      </c>
      <c r="E959" s="134"/>
      <c r="F959" s="135"/>
      <c r="G959" s="135"/>
      <c r="H959" s="136"/>
      <c r="I959" s="136"/>
      <c r="J959" s="137"/>
      <c r="K959" s="137"/>
      <c r="L959" s="137"/>
      <c r="M959" s="137"/>
      <c r="N959" s="137"/>
      <c r="O959" s="137"/>
      <c r="P959" s="137"/>
      <c r="Q959" s="138"/>
    </row>
    <row r="960" spans="2:17" s="119" customFormat="1" ht="19.5" hidden="1" thickBot="1" x14ac:dyDescent="0.3">
      <c r="B960" s="310"/>
      <c r="C960" s="119">
        <f t="shared" ref="C960:C972" si="885">C959</f>
        <v>0</v>
      </c>
      <c r="D960" s="109" t="s">
        <v>93</v>
      </c>
      <c r="E960" s="76" t="s">
        <v>57</v>
      </c>
      <c r="F960" s="168">
        <f>+F$6*$E957</f>
        <v>0</v>
      </c>
      <c r="G960" s="168">
        <f>+G$6*$E957</f>
        <v>0</v>
      </c>
      <c r="H960" s="168">
        <f>+H$6*$E957</f>
        <v>0</v>
      </c>
      <c r="I960" s="168">
        <f>+I$6*$E957</f>
        <v>0</v>
      </c>
      <c r="J960" s="168">
        <f>+J$6*$E957</f>
        <v>0</v>
      </c>
      <c r="K960" s="168">
        <f t="shared" ref="K960:P960" si="886">+K$6*$E957</f>
        <v>0</v>
      </c>
      <c r="L960" s="168">
        <f t="shared" si="886"/>
        <v>0</v>
      </c>
      <c r="M960" s="168">
        <f t="shared" si="886"/>
        <v>0</v>
      </c>
      <c r="N960" s="168">
        <f t="shared" si="886"/>
        <v>0</v>
      </c>
      <c r="O960" s="168">
        <f t="shared" si="886"/>
        <v>0</v>
      </c>
      <c r="P960" s="168">
        <f t="shared" si="886"/>
        <v>0</v>
      </c>
      <c r="Q960" s="190">
        <f>SUM(G960:P960)</f>
        <v>0</v>
      </c>
    </row>
    <row r="961" spans="2:17" s="119" customFormat="1" ht="19.5" hidden="1" thickBot="1" x14ac:dyDescent="0.3">
      <c r="B961" s="310"/>
      <c r="C961" s="119">
        <f t="shared" si="885"/>
        <v>0</v>
      </c>
      <c r="D961" s="110" t="s">
        <v>132</v>
      </c>
      <c r="E961" s="76" t="s">
        <v>56</v>
      </c>
      <c r="F961" s="168">
        <f>+F$7*$E957</f>
        <v>0</v>
      </c>
      <c r="G961" s="168">
        <f>+G$7*$E957</f>
        <v>0</v>
      </c>
      <c r="H961" s="168">
        <f>+H$7*$E957</f>
        <v>0</v>
      </c>
      <c r="I961" s="168">
        <f>+I$7*$E957</f>
        <v>0</v>
      </c>
      <c r="J961" s="168">
        <f>+J$7*$E957</f>
        <v>0</v>
      </c>
      <c r="K961" s="168">
        <f t="shared" ref="K961:P961" si="887">+K$7*$E957</f>
        <v>0</v>
      </c>
      <c r="L961" s="168">
        <f t="shared" si="887"/>
        <v>0</v>
      </c>
      <c r="M961" s="168">
        <f t="shared" si="887"/>
        <v>0</v>
      </c>
      <c r="N961" s="168">
        <f t="shared" si="887"/>
        <v>0</v>
      </c>
      <c r="O961" s="168">
        <f t="shared" si="887"/>
        <v>0</v>
      </c>
      <c r="P961" s="168">
        <f t="shared" si="887"/>
        <v>0</v>
      </c>
      <c r="Q961" s="190">
        <f>SUM(G961:P961)</f>
        <v>0</v>
      </c>
    </row>
    <row r="962" spans="2:17" s="119" customFormat="1" ht="19.5" hidden="1" thickBot="1" x14ac:dyDescent="0.3">
      <c r="B962" s="310"/>
      <c r="C962" s="119">
        <f t="shared" si="885"/>
        <v>0</v>
      </c>
      <c r="D962" s="109" t="s">
        <v>91</v>
      </c>
      <c r="E962" s="76" t="s">
        <v>55</v>
      </c>
      <c r="F962" s="168">
        <f>+F$8*$E957</f>
        <v>0</v>
      </c>
      <c r="G962" s="168">
        <f>+G$8*$E957</f>
        <v>0</v>
      </c>
      <c r="H962" s="168">
        <f>+H$8*$E957</f>
        <v>0</v>
      </c>
      <c r="I962" s="168">
        <f>+I$8*$E957</f>
        <v>0</v>
      </c>
      <c r="J962" s="168">
        <f>+J$8*$E957</f>
        <v>0</v>
      </c>
      <c r="K962" s="168">
        <f t="shared" ref="K962:P962" si="888">+K$8*$E957</f>
        <v>0</v>
      </c>
      <c r="L962" s="168">
        <f t="shared" si="888"/>
        <v>0</v>
      </c>
      <c r="M962" s="168">
        <f t="shared" si="888"/>
        <v>0</v>
      </c>
      <c r="N962" s="168">
        <f t="shared" si="888"/>
        <v>0</v>
      </c>
      <c r="O962" s="168">
        <f t="shared" si="888"/>
        <v>0</v>
      </c>
      <c r="P962" s="168">
        <f t="shared" si="888"/>
        <v>0</v>
      </c>
      <c r="Q962" s="190">
        <f>SUM(G962:P962)</f>
        <v>0</v>
      </c>
    </row>
    <row r="963" spans="2:17" s="119" customFormat="1" ht="19.5" hidden="1" thickBot="1" x14ac:dyDescent="0.3">
      <c r="B963" s="310"/>
      <c r="C963" s="119">
        <f t="shared" si="885"/>
        <v>0</v>
      </c>
      <c r="D963" s="130" t="s">
        <v>117</v>
      </c>
      <c r="E963" s="76" t="s">
        <v>54</v>
      </c>
      <c r="F963" s="168">
        <f>+F$9*$E957</f>
        <v>0</v>
      </c>
      <c r="G963" s="168">
        <f>+G$9*$E957</f>
        <v>0</v>
      </c>
      <c r="H963" s="168">
        <f>+H$9*$E957</f>
        <v>0</v>
      </c>
      <c r="I963" s="168">
        <f>+I$9*$E957</f>
        <v>0</v>
      </c>
      <c r="J963" s="168">
        <f>+J$9*$E957</f>
        <v>0</v>
      </c>
      <c r="K963" s="168">
        <f t="shared" ref="K963:P963" si="889">+K$9*$E957</f>
        <v>0</v>
      </c>
      <c r="L963" s="168">
        <f t="shared" si="889"/>
        <v>0</v>
      </c>
      <c r="M963" s="168">
        <f t="shared" si="889"/>
        <v>0</v>
      </c>
      <c r="N963" s="168">
        <f t="shared" si="889"/>
        <v>0</v>
      </c>
      <c r="O963" s="168">
        <f t="shared" si="889"/>
        <v>0</v>
      </c>
      <c r="P963" s="168">
        <f t="shared" si="889"/>
        <v>0</v>
      </c>
      <c r="Q963" s="190">
        <f>SUM(G963:P963)</f>
        <v>0</v>
      </c>
    </row>
    <row r="964" spans="2:17" s="119" customFormat="1" ht="19.5" hidden="1" thickBot="1" x14ac:dyDescent="0.3">
      <c r="B964" s="310"/>
      <c r="C964" s="119">
        <f t="shared" si="885"/>
        <v>0</v>
      </c>
      <c r="D964" s="112" t="s">
        <v>31</v>
      </c>
      <c r="E964" s="76"/>
      <c r="F964" s="167"/>
      <c r="G964" s="185"/>
      <c r="H964" s="185"/>
      <c r="I964" s="185"/>
      <c r="J964" s="185"/>
      <c r="K964" s="185"/>
      <c r="L964" s="185"/>
      <c r="M964" s="185"/>
      <c r="N964" s="185"/>
      <c r="O964" s="185"/>
      <c r="P964" s="185"/>
      <c r="Q964" s="171"/>
    </row>
    <row r="965" spans="2:17" s="119" customFormat="1" ht="19.5" hidden="1" thickBot="1" x14ac:dyDescent="0.35">
      <c r="B965" s="310"/>
      <c r="C965" s="119">
        <f t="shared" si="885"/>
        <v>0</v>
      </c>
      <c r="D965" s="125" t="s">
        <v>118</v>
      </c>
      <c r="E965" s="76" t="s">
        <v>53</v>
      </c>
      <c r="F965" s="168">
        <f>+F$11*$E957</f>
        <v>0</v>
      </c>
      <c r="G965" s="168">
        <f>+G$11*$E957</f>
        <v>0</v>
      </c>
      <c r="H965" s="168">
        <f>+H$11*$E957</f>
        <v>0</v>
      </c>
      <c r="I965" s="168">
        <f>+I$11*$E957</f>
        <v>0</v>
      </c>
      <c r="J965" s="168">
        <f>+J$11*$E957</f>
        <v>0</v>
      </c>
      <c r="K965" s="168">
        <f t="shared" ref="K965:P965" si="890">+K$11*$E957</f>
        <v>0</v>
      </c>
      <c r="L965" s="168">
        <f t="shared" si="890"/>
        <v>0</v>
      </c>
      <c r="M965" s="168">
        <f t="shared" si="890"/>
        <v>0</v>
      </c>
      <c r="N965" s="168">
        <f t="shared" si="890"/>
        <v>0</v>
      </c>
      <c r="O965" s="168">
        <f t="shared" si="890"/>
        <v>0</v>
      </c>
      <c r="P965" s="168">
        <f t="shared" si="890"/>
        <v>0</v>
      </c>
      <c r="Q965" s="190">
        <f t="shared" ref="Q965:Q971" si="891">SUM(G965:P965)</f>
        <v>0</v>
      </c>
    </row>
    <row r="966" spans="2:17" s="119" customFormat="1" ht="19.5" hidden="1" thickBot="1" x14ac:dyDescent="0.35">
      <c r="B966" s="310"/>
      <c r="C966" s="119">
        <f t="shared" si="885"/>
        <v>0</v>
      </c>
      <c r="D966" s="125" t="s">
        <v>119</v>
      </c>
      <c r="E966" s="76" t="s">
        <v>52</v>
      </c>
      <c r="F966" s="168">
        <f>+F$12*$E957</f>
        <v>0</v>
      </c>
      <c r="G966" s="168">
        <f>+G$12*$E957</f>
        <v>0</v>
      </c>
      <c r="H966" s="168">
        <f>+H$12*$E957</f>
        <v>0</v>
      </c>
      <c r="I966" s="168">
        <f>+I$12*$E957</f>
        <v>0</v>
      </c>
      <c r="J966" s="168">
        <f>+J$12*$E957</f>
        <v>0</v>
      </c>
      <c r="K966" s="168">
        <f t="shared" ref="K966:P966" si="892">+K$12*$E957</f>
        <v>0</v>
      </c>
      <c r="L966" s="168">
        <f t="shared" si="892"/>
        <v>0</v>
      </c>
      <c r="M966" s="168">
        <f t="shared" si="892"/>
        <v>0</v>
      </c>
      <c r="N966" s="168">
        <f t="shared" si="892"/>
        <v>0</v>
      </c>
      <c r="O966" s="168">
        <f t="shared" si="892"/>
        <v>0</v>
      </c>
      <c r="P966" s="168">
        <f t="shared" si="892"/>
        <v>0</v>
      </c>
      <c r="Q966" s="190">
        <f t="shared" si="891"/>
        <v>0</v>
      </c>
    </row>
    <row r="967" spans="2:17" s="119" customFormat="1" ht="19.5" hidden="1" thickBot="1" x14ac:dyDescent="0.35">
      <c r="B967" s="310"/>
      <c r="C967" s="119">
        <f t="shared" si="885"/>
        <v>0</v>
      </c>
      <c r="D967" s="125" t="s">
        <v>120</v>
      </c>
      <c r="E967" s="76" t="s">
        <v>51</v>
      </c>
      <c r="F967" s="168">
        <f>+F$13*$E957</f>
        <v>0</v>
      </c>
      <c r="G967" s="168">
        <f>+G$13*$E957</f>
        <v>0</v>
      </c>
      <c r="H967" s="168">
        <f>+H$13*$E957</f>
        <v>0</v>
      </c>
      <c r="I967" s="168">
        <f>+I$13*$E957</f>
        <v>0</v>
      </c>
      <c r="J967" s="168">
        <f>+J$13*$E957</f>
        <v>0</v>
      </c>
      <c r="K967" s="168">
        <f t="shared" ref="K967:P967" si="893">+K$13*$E957</f>
        <v>0</v>
      </c>
      <c r="L967" s="168">
        <f t="shared" si="893"/>
        <v>0</v>
      </c>
      <c r="M967" s="168">
        <f t="shared" si="893"/>
        <v>0</v>
      </c>
      <c r="N967" s="168">
        <f t="shared" si="893"/>
        <v>0</v>
      </c>
      <c r="O967" s="168">
        <f t="shared" si="893"/>
        <v>0</v>
      </c>
      <c r="P967" s="168">
        <f t="shared" si="893"/>
        <v>0</v>
      </c>
      <c r="Q967" s="190">
        <f t="shared" si="891"/>
        <v>0</v>
      </c>
    </row>
    <row r="968" spans="2:17" s="119" customFormat="1" ht="19.5" hidden="1" thickBot="1" x14ac:dyDescent="0.35">
      <c r="B968" s="310"/>
      <c r="C968" s="119">
        <f t="shared" si="885"/>
        <v>0</v>
      </c>
      <c r="D968" s="125" t="s">
        <v>121</v>
      </c>
      <c r="E968" s="76" t="s">
        <v>50</v>
      </c>
      <c r="F968" s="168">
        <f>+F$14*$E957</f>
        <v>0</v>
      </c>
      <c r="G968" s="168">
        <f>+G$14*$E957</f>
        <v>0</v>
      </c>
      <c r="H968" s="168">
        <f>+H$14*$E957</f>
        <v>0</v>
      </c>
      <c r="I968" s="168">
        <f>+I$14*$E957</f>
        <v>0</v>
      </c>
      <c r="J968" s="168">
        <f>+J$14*$E957</f>
        <v>0</v>
      </c>
      <c r="K968" s="168">
        <f t="shared" ref="K968:P968" si="894">+K$14*$E957</f>
        <v>0</v>
      </c>
      <c r="L968" s="168">
        <f t="shared" si="894"/>
        <v>0</v>
      </c>
      <c r="M968" s="168">
        <f t="shared" si="894"/>
        <v>0</v>
      </c>
      <c r="N968" s="168">
        <f t="shared" si="894"/>
        <v>0</v>
      </c>
      <c r="O968" s="168">
        <f t="shared" si="894"/>
        <v>0</v>
      </c>
      <c r="P968" s="168">
        <f t="shared" si="894"/>
        <v>0</v>
      </c>
      <c r="Q968" s="190">
        <f t="shared" si="891"/>
        <v>0</v>
      </c>
    </row>
    <row r="969" spans="2:17" s="119" customFormat="1" ht="19.5" hidden="1" thickBot="1" x14ac:dyDescent="0.35">
      <c r="B969" s="310"/>
      <c r="C969" s="119">
        <f t="shared" si="885"/>
        <v>0</v>
      </c>
      <c r="D969" s="125" t="s">
        <v>122</v>
      </c>
      <c r="E969" s="76" t="s">
        <v>49</v>
      </c>
      <c r="F969" s="168">
        <f>+F$15*$E957</f>
        <v>0</v>
      </c>
      <c r="G969" s="168">
        <f>+G$15*$E957</f>
        <v>0</v>
      </c>
      <c r="H969" s="168">
        <f>+H$15*$E957</f>
        <v>0</v>
      </c>
      <c r="I969" s="168">
        <f>+I$15*$E957</f>
        <v>0</v>
      </c>
      <c r="J969" s="168">
        <f>+J$15*$E957</f>
        <v>0</v>
      </c>
      <c r="K969" s="168">
        <f t="shared" ref="K969:P969" si="895">+K$15*$E957</f>
        <v>0</v>
      </c>
      <c r="L969" s="168">
        <f t="shared" si="895"/>
        <v>0</v>
      </c>
      <c r="M969" s="168">
        <f t="shared" si="895"/>
        <v>0</v>
      </c>
      <c r="N969" s="168">
        <f t="shared" si="895"/>
        <v>0</v>
      </c>
      <c r="O969" s="168">
        <f t="shared" si="895"/>
        <v>0</v>
      </c>
      <c r="P969" s="168">
        <f t="shared" si="895"/>
        <v>0</v>
      </c>
      <c r="Q969" s="190">
        <f t="shared" si="891"/>
        <v>0</v>
      </c>
    </row>
    <row r="970" spans="2:17" s="119" customFormat="1" ht="19.5" hidden="1" thickBot="1" x14ac:dyDescent="0.35">
      <c r="B970" s="310"/>
      <c r="C970" s="119">
        <f t="shared" si="885"/>
        <v>0</v>
      </c>
      <c r="D970" s="125" t="s">
        <v>123</v>
      </c>
      <c r="E970" s="76" t="s">
        <v>47</v>
      </c>
      <c r="F970" s="168">
        <f>+F$16*$E957</f>
        <v>0</v>
      </c>
      <c r="G970" s="168">
        <f>+G$16*$E957</f>
        <v>0</v>
      </c>
      <c r="H970" s="168">
        <f>+H$16*$E957</f>
        <v>0</v>
      </c>
      <c r="I970" s="168">
        <f>+I$16*$E957</f>
        <v>0</v>
      </c>
      <c r="J970" s="168">
        <f>+J$16*$E957</f>
        <v>0</v>
      </c>
      <c r="K970" s="168">
        <f t="shared" ref="K970:P970" si="896">+K$16*$E957</f>
        <v>0</v>
      </c>
      <c r="L970" s="168">
        <f t="shared" si="896"/>
        <v>0</v>
      </c>
      <c r="M970" s="168">
        <f t="shared" si="896"/>
        <v>0</v>
      </c>
      <c r="N970" s="168">
        <f t="shared" si="896"/>
        <v>0</v>
      </c>
      <c r="O970" s="168">
        <f t="shared" si="896"/>
        <v>0</v>
      </c>
      <c r="P970" s="168">
        <f t="shared" si="896"/>
        <v>0</v>
      </c>
      <c r="Q970" s="190">
        <f t="shared" si="891"/>
        <v>0</v>
      </c>
    </row>
    <row r="971" spans="2:17" s="119" customFormat="1" ht="19.5" hidden="1" thickBot="1" x14ac:dyDescent="0.35">
      <c r="B971" s="310"/>
      <c r="C971" s="119">
        <f t="shared" si="885"/>
        <v>0</v>
      </c>
      <c r="D971" s="125" t="s">
        <v>16</v>
      </c>
      <c r="E971" s="70" t="s">
        <v>77</v>
      </c>
      <c r="F971" s="168">
        <f>+F$17*$E957</f>
        <v>0</v>
      </c>
      <c r="G971" s="168">
        <f>+G$17*$E957</f>
        <v>0</v>
      </c>
      <c r="H971" s="168">
        <f>+H$17*$E957</f>
        <v>0</v>
      </c>
      <c r="I971" s="168">
        <f>+I$17*$E957</f>
        <v>0</v>
      </c>
      <c r="J971" s="168">
        <f>+J$17*$E957</f>
        <v>0</v>
      </c>
      <c r="K971" s="168">
        <f t="shared" ref="K971:P971" si="897">+K$17*$E957</f>
        <v>0</v>
      </c>
      <c r="L971" s="168">
        <f t="shared" si="897"/>
        <v>0</v>
      </c>
      <c r="M971" s="168">
        <f t="shared" si="897"/>
        <v>0</v>
      </c>
      <c r="N971" s="168">
        <f t="shared" si="897"/>
        <v>0</v>
      </c>
      <c r="O971" s="168">
        <f t="shared" si="897"/>
        <v>0</v>
      </c>
      <c r="P971" s="168">
        <f t="shared" si="897"/>
        <v>0</v>
      </c>
      <c r="Q971" s="190">
        <f t="shared" si="891"/>
        <v>0</v>
      </c>
    </row>
    <row r="972" spans="2:17" s="119" customFormat="1" ht="19.5" hidden="1" thickBot="1" x14ac:dyDescent="0.3">
      <c r="B972" s="310"/>
      <c r="C972" s="119">
        <f t="shared" si="885"/>
        <v>0</v>
      </c>
      <c r="D972" s="131" t="s">
        <v>124</v>
      </c>
      <c r="E972" s="116" t="s">
        <v>78</v>
      </c>
      <c r="F972" s="169">
        <f t="shared" ref="F972:Q972" si="898">SUBTOTAL(9,F960:F971)</f>
        <v>0</v>
      </c>
      <c r="G972" s="170">
        <f t="shared" si="898"/>
        <v>0</v>
      </c>
      <c r="H972" s="170">
        <f t="shared" si="898"/>
        <v>0</v>
      </c>
      <c r="I972" s="170">
        <f t="shared" si="898"/>
        <v>0</v>
      </c>
      <c r="J972" s="170">
        <f t="shared" si="898"/>
        <v>0</v>
      </c>
      <c r="K972" s="170">
        <f t="shared" ref="K972:P972" si="899">SUBTOTAL(9,K960:K971)</f>
        <v>0</v>
      </c>
      <c r="L972" s="170">
        <f t="shared" si="899"/>
        <v>0</v>
      </c>
      <c r="M972" s="170">
        <f t="shared" si="899"/>
        <v>0</v>
      </c>
      <c r="N972" s="170">
        <f t="shared" si="899"/>
        <v>0</v>
      </c>
      <c r="O972" s="170">
        <f t="shared" si="899"/>
        <v>0</v>
      </c>
      <c r="P972" s="170">
        <f t="shared" si="899"/>
        <v>0</v>
      </c>
      <c r="Q972" s="170">
        <f t="shared" si="898"/>
        <v>0</v>
      </c>
    </row>
    <row r="973" spans="2:17" s="119" customFormat="1" ht="15.75" hidden="1" thickBot="1" x14ac:dyDescent="0.3">
      <c r="B973" s="310"/>
      <c r="D973" s="117"/>
      <c r="E973" s="132"/>
      <c r="F973" s="117"/>
      <c r="G973" s="117"/>
      <c r="H973" s="118"/>
      <c r="I973" s="118"/>
      <c r="J973" s="118"/>
      <c r="K973" s="118"/>
      <c r="L973" s="118"/>
      <c r="M973" s="118"/>
      <c r="N973" s="118"/>
      <c r="O973" s="118"/>
      <c r="P973" s="118"/>
      <c r="Q973" s="118"/>
    </row>
    <row r="974" spans="2:17" s="119" customFormat="1" ht="45.75" hidden="1" thickBot="1" x14ac:dyDescent="0.3">
      <c r="B974" s="310"/>
      <c r="C974" s="119">
        <f>IF(E974&gt;0,1,0)</f>
        <v>0</v>
      </c>
      <c r="D974" s="96" t="str">
        <f>+A60</f>
        <v>Warren</v>
      </c>
      <c r="E974" s="166">
        <f>+SUMIF(A:A,D974,B:B)</f>
        <v>0</v>
      </c>
      <c r="F974" s="98" t="s">
        <v>97</v>
      </c>
      <c r="G974" s="98" t="s">
        <v>126</v>
      </c>
      <c r="H974" s="98" t="s">
        <v>127</v>
      </c>
      <c r="I974" s="99" t="s">
        <v>128</v>
      </c>
      <c r="J974" s="99" t="s">
        <v>131</v>
      </c>
      <c r="K974" s="560" t="s">
        <v>474</v>
      </c>
      <c r="L974" s="560" t="s">
        <v>475</v>
      </c>
      <c r="M974" s="560" t="s">
        <v>476</v>
      </c>
      <c r="N974" s="560" t="s">
        <v>477</v>
      </c>
      <c r="O974" s="560" t="s">
        <v>478</v>
      </c>
      <c r="P974" s="560" t="s">
        <v>479</v>
      </c>
      <c r="Q974" s="99" t="s">
        <v>129</v>
      </c>
    </row>
    <row r="975" spans="2:17" s="119" customFormat="1" ht="19.5" hidden="1" thickBot="1" x14ac:dyDescent="0.3">
      <c r="B975" s="310"/>
      <c r="C975" s="119">
        <f>C974</f>
        <v>0</v>
      </c>
      <c r="D975" s="127"/>
      <c r="E975" s="128"/>
      <c r="F975" s="84" t="s">
        <v>57</v>
      </c>
      <c r="G975" s="84" t="s">
        <v>56</v>
      </c>
      <c r="H975" s="84" t="s">
        <v>55</v>
      </c>
      <c r="I975" s="84" t="s">
        <v>54</v>
      </c>
      <c r="J975" s="129" t="s">
        <v>53</v>
      </c>
      <c r="K975" s="129" t="s">
        <v>52</v>
      </c>
      <c r="L975" s="129" t="s">
        <v>51</v>
      </c>
      <c r="M975" s="129" t="s">
        <v>50</v>
      </c>
      <c r="N975" s="129" t="s">
        <v>49</v>
      </c>
      <c r="O975" s="129" t="s">
        <v>47</v>
      </c>
      <c r="P975" s="129" t="s">
        <v>77</v>
      </c>
      <c r="Q975" s="129" t="s">
        <v>78</v>
      </c>
    </row>
    <row r="976" spans="2:17" s="119" customFormat="1" ht="19.5" hidden="1" thickBot="1" x14ac:dyDescent="0.3">
      <c r="B976" s="310"/>
      <c r="C976" s="119">
        <f>C975</f>
        <v>0</v>
      </c>
      <c r="D976" s="133" t="s">
        <v>26</v>
      </c>
      <c r="E976" s="134"/>
      <c r="F976" s="135"/>
      <c r="G976" s="135"/>
      <c r="H976" s="136"/>
      <c r="I976" s="136"/>
      <c r="J976" s="137"/>
      <c r="K976" s="137"/>
      <c r="L976" s="137"/>
      <c r="M976" s="137"/>
      <c r="N976" s="137"/>
      <c r="O976" s="137"/>
      <c r="P976" s="137"/>
      <c r="Q976" s="138"/>
    </row>
    <row r="977" spans="2:17" s="119" customFormat="1" ht="19.5" hidden="1" thickBot="1" x14ac:dyDescent="0.3">
      <c r="B977" s="310"/>
      <c r="C977" s="119">
        <f t="shared" ref="C977:C989" si="900">C976</f>
        <v>0</v>
      </c>
      <c r="D977" s="109" t="s">
        <v>93</v>
      </c>
      <c r="E977" s="76" t="s">
        <v>57</v>
      </c>
      <c r="F977" s="168">
        <f>+F$6*$E974</f>
        <v>0</v>
      </c>
      <c r="G977" s="168">
        <f>+G$6*$E974</f>
        <v>0</v>
      </c>
      <c r="H977" s="168">
        <f>+H$6*$E974</f>
        <v>0</v>
      </c>
      <c r="I977" s="168">
        <f>+I$6*$E974</f>
        <v>0</v>
      </c>
      <c r="J977" s="168">
        <f>+J$6*$E974</f>
        <v>0</v>
      </c>
      <c r="K977" s="168">
        <f t="shared" ref="K977:P977" si="901">+K$6*$E974</f>
        <v>0</v>
      </c>
      <c r="L977" s="168">
        <f t="shared" si="901"/>
        <v>0</v>
      </c>
      <c r="M977" s="168">
        <f t="shared" si="901"/>
        <v>0</v>
      </c>
      <c r="N977" s="168">
        <f t="shared" si="901"/>
        <v>0</v>
      </c>
      <c r="O977" s="168">
        <f t="shared" si="901"/>
        <v>0</v>
      </c>
      <c r="P977" s="168">
        <f t="shared" si="901"/>
        <v>0</v>
      </c>
      <c r="Q977" s="190">
        <f>SUM(G977:P977)</f>
        <v>0</v>
      </c>
    </row>
    <row r="978" spans="2:17" s="119" customFormat="1" ht="19.5" hidden="1" thickBot="1" x14ac:dyDescent="0.3">
      <c r="B978" s="310"/>
      <c r="C978" s="119">
        <f t="shared" si="900"/>
        <v>0</v>
      </c>
      <c r="D978" s="110" t="s">
        <v>132</v>
      </c>
      <c r="E978" s="76" t="s">
        <v>56</v>
      </c>
      <c r="F978" s="168">
        <f>+F$7*$E974</f>
        <v>0</v>
      </c>
      <c r="G978" s="168">
        <f>+G$7*$E974</f>
        <v>0</v>
      </c>
      <c r="H978" s="168">
        <f>+H$7*$E974</f>
        <v>0</v>
      </c>
      <c r="I978" s="168">
        <f>+I$7*$E974</f>
        <v>0</v>
      </c>
      <c r="J978" s="168">
        <f>+J$7*$E974</f>
        <v>0</v>
      </c>
      <c r="K978" s="168">
        <f t="shared" ref="K978:P978" si="902">+K$7*$E974</f>
        <v>0</v>
      </c>
      <c r="L978" s="168">
        <f t="shared" si="902"/>
        <v>0</v>
      </c>
      <c r="M978" s="168">
        <f t="shared" si="902"/>
        <v>0</v>
      </c>
      <c r="N978" s="168">
        <f t="shared" si="902"/>
        <v>0</v>
      </c>
      <c r="O978" s="168">
        <f t="shared" si="902"/>
        <v>0</v>
      </c>
      <c r="P978" s="168">
        <f t="shared" si="902"/>
        <v>0</v>
      </c>
      <c r="Q978" s="190">
        <f>SUM(G978:P978)</f>
        <v>0</v>
      </c>
    </row>
    <row r="979" spans="2:17" s="119" customFormat="1" ht="19.5" hidden="1" thickBot="1" x14ac:dyDescent="0.3">
      <c r="B979" s="310"/>
      <c r="C979" s="119">
        <f t="shared" si="900"/>
        <v>0</v>
      </c>
      <c r="D979" s="109" t="s">
        <v>91</v>
      </c>
      <c r="E979" s="76" t="s">
        <v>55</v>
      </c>
      <c r="F979" s="168">
        <f>+F$8*$E974</f>
        <v>0</v>
      </c>
      <c r="G979" s="168">
        <f>+G$8*$E974</f>
        <v>0</v>
      </c>
      <c r="H979" s="168">
        <f>+H$8*$E974</f>
        <v>0</v>
      </c>
      <c r="I979" s="168">
        <f>+I$8*$E974</f>
        <v>0</v>
      </c>
      <c r="J979" s="168">
        <f>+J$8*$E974</f>
        <v>0</v>
      </c>
      <c r="K979" s="168">
        <f t="shared" ref="K979:P979" si="903">+K$8*$E974</f>
        <v>0</v>
      </c>
      <c r="L979" s="168">
        <f t="shared" si="903"/>
        <v>0</v>
      </c>
      <c r="M979" s="168">
        <f t="shared" si="903"/>
        <v>0</v>
      </c>
      <c r="N979" s="168">
        <f t="shared" si="903"/>
        <v>0</v>
      </c>
      <c r="O979" s="168">
        <f t="shared" si="903"/>
        <v>0</v>
      </c>
      <c r="P979" s="168">
        <f t="shared" si="903"/>
        <v>0</v>
      </c>
      <c r="Q979" s="190">
        <f>SUM(G979:P979)</f>
        <v>0</v>
      </c>
    </row>
    <row r="980" spans="2:17" s="119" customFormat="1" ht="19.5" hidden="1" thickBot="1" x14ac:dyDescent="0.3">
      <c r="B980" s="310"/>
      <c r="C980" s="119">
        <f t="shared" si="900"/>
        <v>0</v>
      </c>
      <c r="D980" s="130" t="s">
        <v>117</v>
      </c>
      <c r="E980" s="76" t="s">
        <v>54</v>
      </c>
      <c r="F980" s="168">
        <f>+F$9*$E974</f>
        <v>0</v>
      </c>
      <c r="G980" s="168">
        <f>+G$9*$E974</f>
        <v>0</v>
      </c>
      <c r="H980" s="168">
        <f>+H$9*$E974</f>
        <v>0</v>
      </c>
      <c r="I980" s="168">
        <f>+I$9*$E974</f>
        <v>0</v>
      </c>
      <c r="J980" s="168">
        <f>+J$9*$E974</f>
        <v>0</v>
      </c>
      <c r="K980" s="168">
        <f t="shared" ref="K980:P980" si="904">+K$9*$E974</f>
        <v>0</v>
      </c>
      <c r="L980" s="168">
        <f t="shared" si="904"/>
        <v>0</v>
      </c>
      <c r="M980" s="168">
        <f t="shared" si="904"/>
        <v>0</v>
      </c>
      <c r="N980" s="168">
        <f t="shared" si="904"/>
        <v>0</v>
      </c>
      <c r="O980" s="168">
        <f t="shared" si="904"/>
        <v>0</v>
      </c>
      <c r="P980" s="168">
        <f t="shared" si="904"/>
        <v>0</v>
      </c>
      <c r="Q980" s="190">
        <f>SUM(G980:P980)</f>
        <v>0</v>
      </c>
    </row>
    <row r="981" spans="2:17" s="119" customFormat="1" ht="19.5" hidden="1" thickBot="1" x14ac:dyDescent="0.3">
      <c r="B981" s="310"/>
      <c r="C981" s="119">
        <f t="shared" si="900"/>
        <v>0</v>
      </c>
      <c r="D981" s="112" t="s">
        <v>31</v>
      </c>
      <c r="E981" s="76"/>
      <c r="F981" s="167"/>
      <c r="G981" s="185"/>
      <c r="H981" s="185"/>
      <c r="I981" s="185"/>
      <c r="J981" s="185"/>
      <c r="K981" s="185"/>
      <c r="L981" s="185"/>
      <c r="M981" s="185"/>
      <c r="N981" s="185"/>
      <c r="O981" s="185"/>
      <c r="P981" s="185"/>
      <c r="Q981" s="171"/>
    </row>
    <row r="982" spans="2:17" s="119" customFormat="1" ht="19.5" hidden="1" thickBot="1" x14ac:dyDescent="0.35">
      <c r="B982" s="310"/>
      <c r="C982" s="119">
        <f t="shared" si="900"/>
        <v>0</v>
      </c>
      <c r="D982" s="125" t="s">
        <v>118</v>
      </c>
      <c r="E982" s="76" t="s">
        <v>53</v>
      </c>
      <c r="F982" s="168">
        <f>+F$11*$E974</f>
        <v>0</v>
      </c>
      <c r="G982" s="168">
        <f>+G$11*$E974</f>
        <v>0</v>
      </c>
      <c r="H982" s="168">
        <f>+H$11*$E974</f>
        <v>0</v>
      </c>
      <c r="I982" s="168">
        <f>+I$11*$E974</f>
        <v>0</v>
      </c>
      <c r="J982" s="168">
        <f>+J$11*$E974</f>
        <v>0</v>
      </c>
      <c r="K982" s="168">
        <f t="shared" ref="K982:P982" si="905">+K$11*$E974</f>
        <v>0</v>
      </c>
      <c r="L982" s="168">
        <f t="shared" si="905"/>
        <v>0</v>
      </c>
      <c r="M982" s="168">
        <f t="shared" si="905"/>
        <v>0</v>
      </c>
      <c r="N982" s="168">
        <f t="shared" si="905"/>
        <v>0</v>
      </c>
      <c r="O982" s="168">
        <f t="shared" si="905"/>
        <v>0</v>
      </c>
      <c r="P982" s="168">
        <f t="shared" si="905"/>
        <v>0</v>
      </c>
      <c r="Q982" s="190">
        <f t="shared" ref="Q982:Q988" si="906">SUM(G982:P982)</f>
        <v>0</v>
      </c>
    </row>
    <row r="983" spans="2:17" s="119" customFormat="1" ht="19.5" hidden="1" thickBot="1" x14ac:dyDescent="0.35">
      <c r="B983" s="310"/>
      <c r="C983" s="119">
        <f t="shared" si="900"/>
        <v>0</v>
      </c>
      <c r="D983" s="125" t="s">
        <v>119</v>
      </c>
      <c r="E983" s="76" t="s">
        <v>52</v>
      </c>
      <c r="F983" s="168">
        <f>+F$12*$E974</f>
        <v>0</v>
      </c>
      <c r="G983" s="168">
        <f>+G$12*$E974</f>
        <v>0</v>
      </c>
      <c r="H983" s="168">
        <f>+H$12*$E974</f>
        <v>0</v>
      </c>
      <c r="I983" s="168">
        <f>+I$12*$E974</f>
        <v>0</v>
      </c>
      <c r="J983" s="168">
        <f>+J$12*$E974</f>
        <v>0</v>
      </c>
      <c r="K983" s="168">
        <f t="shared" ref="K983:P983" si="907">+K$12*$E974</f>
        <v>0</v>
      </c>
      <c r="L983" s="168">
        <f t="shared" si="907"/>
        <v>0</v>
      </c>
      <c r="M983" s="168">
        <f t="shared" si="907"/>
        <v>0</v>
      </c>
      <c r="N983" s="168">
        <f t="shared" si="907"/>
        <v>0</v>
      </c>
      <c r="O983" s="168">
        <f t="shared" si="907"/>
        <v>0</v>
      </c>
      <c r="P983" s="168">
        <f t="shared" si="907"/>
        <v>0</v>
      </c>
      <c r="Q983" s="190">
        <f t="shared" si="906"/>
        <v>0</v>
      </c>
    </row>
    <row r="984" spans="2:17" s="119" customFormat="1" ht="19.5" hidden="1" thickBot="1" x14ac:dyDescent="0.35">
      <c r="B984" s="310"/>
      <c r="C984" s="119">
        <f t="shared" si="900"/>
        <v>0</v>
      </c>
      <c r="D984" s="125" t="s">
        <v>120</v>
      </c>
      <c r="E984" s="76" t="s">
        <v>51</v>
      </c>
      <c r="F984" s="168">
        <f>+F$13*$E974</f>
        <v>0</v>
      </c>
      <c r="G984" s="168">
        <f>+G$13*$E974</f>
        <v>0</v>
      </c>
      <c r="H984" s="168">
        <f>+H$13*$E974</f>
        <v>0</v>
      </c>
      <c r="I984" s="168">
        <f>+I$13*$E974</f>
        <v>0</v>
      </c>
      <c r="J984" s="168">
        <f>+J$13*$E974</f>
        <v>0</v>
      </c>
      <c r="K984" s="168">
        <f t="shared" ref="K984:P984" si="908">+K$13*$E974</f>
        <v>0</v>
      </c>
      <c r="L984" s="168">
        <f t="shared" si="908"/>
        <v>0</v>
      </c>
      <c r="M984" s="168">
        <f t="shared" si="908"/>
        <v>0</v>
      </c>
      <c r="N984" s="168">
        <f t="shared" si="908"/>
        <v>0</v>
      </c>
      <c r="O984" s="168">
        <f t="shared" si="908"/>
        <v>0</v>
      </c>
      <c r="P984" s="168">
        <f t="shared" si="908"/>
        <v>0</v>
      </c>
      <c r="Q984" s="190">
        <f t="shared" si="906"/>
        <v>0</v>
      </c>
    </row>
    <row r="985" spans="2:17" s="119" customFormat="1" ht="19.5" hidden="1" thickBot="1" x14ac:dyDescent="0.35">
      <c r="B985" s="310"/>
      <c r="C985" s="119">
        <f t="shared" si="900"/>
        <v>0</v>
      </c>
      <c r="D985" s="125" t="s">
        <v>121</v>
      </c>
      <c r="E985" s="76" t="s">
        <v>50</v>
      </c>
      <c r="F985" s="168">
        <f>+F$14*$E974</f>
        <v>0</v>
      </c>
      <c r="G985" s="168">
        <f>+G$14*$E974</f>
        <v>0</v>
      </c>
      <c r="H985" s="168">
        <f>+H$14*$E974</f>
        <v>0</v>
      </c>
      <c r="I985" s="168">
        <f>+I$14*$E974</f>
        <v>0</v>
      </c>
      <c r="J985" s="168">
        <f>+J$14*$E974</f>
        <v>0</v>
      </c>
      <c r="K985" s="168">
        <f t="shared" ref="K985:P985" si="909">+K$14*$E974</f>
        <v>0</v>
      </c>
      <c r="L985" s="168">
        <f t="shared" si="909"/>
        <v>0</v>
      </c>
      <c r="M985" s="168">
        <f t="shared" si="909"/>
        <v>0</v>
      </c>
      <c r="N985" s="168">
        <f t="shared" si="909"/>
        <v>0</v>
      </c>
      <c r="O985" s="168">
        <f t="shared" si="909"/>
        <v>0</v>
      </c>
      <c r="P985" s="168">
        <f t="shared" si="909"/>
        <v>0</v>
      </c>
      <c r="Q985" s="190">
        <f t="shared" si="906"/>
        <v>0</v>
      </c>
    </row>
    <row r="986" spans="2:17" s="119" customFormat="1" ht="19.5" hidden="1" thickBot="1" x14ac:dyDescent="0.35">
      <c r="B986" s="310"/>
      <c r="C986" s="119">
        <f t="shared" si="900"/>
        <v>0</v>
      </c>
      <c r="D986" s="125" t="s">
        <v>122</v>
      </c>
      <c r="E986" s="76" t="s">
        <v>49</v>
      </c>
      <c r="F986" s="168">
        <f>+F$15*$E974</f>
        <v>0</v>
      </c>
      <c r="G986" s="168">
        <f>+G$15*$E974</f>
        <v>0</v>
      </c>
      <c r="H986" s="168">
        <f>+H$15*$E974</f>
        <v>0</v>
      </c>
      <c r="I986" s="168">
        <f>+I$15*$E974</f>
        <v>0</v>
      </c>
      <c r="J986" s="168">
        <f>+J$15*$E974</f>
        <v>0</v>
      </c>
      <c r="K986" s="168">
        <f t="shared" ref="K986:P986" si="910">+K$15*$E974</f>
        <v>0</v>
      </c>
      <c r="L986" s="168">
        <f t="shared" si="910"/>
        <v>0</v>
      </c>
      <c r="M986" s="168">
        <f t="shared" si="910"/>
        <v>0</v>
      </c>
      <c r="N986" s="168">
        <f t="shared" si="910"/>
        <v>0</v>
      </c>
      <c r="O986" s="168">
        <f t="shared" si="910"/>
        <v>0</v>
      </c>
      <c r="P986" s="168">
        <f t="shared" si="910"/>
        <v>0</v>
      </c>
      <c r="Q986" s="190">
        <f t="shared" si="906"/>
        <v>0</v>
      </c>
    </row>
    <row r="987" spans="2:17" s="119" customFormat="1" ht="19.5" hidden="1" thickBot="1" x14ac:dyDescent="0.35">
      <c r="B987" s="310"/>
      <c r="C987" s="119">
        <f t="shared" si="900"/>
        <v>0</v>
      </c>
      <c r="D987" s="125" t="s">
        <v>123</v>
      </c>
      <c r="E987" s="76" t="s">
        <v>47</v>
      </c>
      <c r="F987" s="168">
        <f>+F$16*$E974</f>
        <v>0</v>
      </c>
      <c r="G987" s="168">
        <f>+G$16*$E974</f>
        <v>0</v>
      </c>
      <c r="H987" s="168">
        <f>+H$16*$E974</f>
        <v>0</v>
      </c>
      <c r="I987" s="168">
        <f>+I$16*$E974</f>
        <v>0</v>
      </c>
      <c r="J987" s="168">
        <f>+J$16*$E974</f>
        <v>0</v>
      </c>
      <c r="K987" s="168">
        <f t="shared" ref="K987:P987" si="911">+K$16*$E974</f>
        <v>0</v>
      </c>
      <c r="L987" s="168">
        <f t="shared" si="911"/>
        <v>0</v>
      </c>
      <c r="M987" s="168">
        <f t="shared" si="911"/>
        <v>0</v>
      </c>
      <c r="N987" s="168">
        <f t="shared" si="911"/>
        <v>0</v>
      </c>
      <c r="O987" s="168">
        <f t="shared" si="911"/>
        <v>0</v>
      </c>
      <c r="P987" s="168">
        <f t="shared" si="911"/>
        <v>0</v>
      </c>
      <c r="Q987" s="190">
        <f t="shared" si="906"/>
        <v>0</v>
      </c>
    </row>
    <row r="988" spans="2:17" s="119" customFormat="1" ht="19.5" hidden="1" thickBot="1" x14ac:dyDescent="0.35">
      <c r="B988" s="310"/>
      <c r="C988" s="119">
        <f t="shared" si="900"/>
        <v>0</v>
      </c>
      <c r="D988" s="125" t="s">
        <v>16</v>
      </c>
      <c r="E988" s="70" t="s">
        <v>77</v>
      </c>
      <c r="F988" s="168">
        <f>+F$17*$E974</f>
        <v>0</v>
      </c>
      <c r="G988" s="168">
        <f>+G$17*$E974</f>
        <v>0</v>
      </c>
      <c r="H988" s="168">
        <f>+H$17*$E974</f>
        <v>0</v>
      </c>
      <c r="I988" s="168">
        <f>+I$17*$E974</f>
        <v>0</v>
      </c>
      <c r="J988" s="168">
        <f>+J$17*$E974</f>
        <v>0</v>
      </c>
      <c r="K988" s="168">
        <f t="shared" ref="K988:P988" si="912">+K$17*$E974</f>
        <v>0</v>
      </c>
      <c r="L988" s="168">
        <f t="shared" si="912"/>
        <v>0</v>
      </c>
      <c r="M988" s="168">
        <f t="shared" si="912"/>
        <v>0</v>
      </c>
      <c r="N988" s="168">
        <f t="shared" si="912"/>
        <v>0</v>
      </c>
      <c r="O988" s="168">
        <f t="shared" si="912"/>
        <v>0</v>
      </c>
      <c r="P988" s="168">
        <f t="shared" si="912"/>
        <v>0</v>
      </c>
      <c r="Q988" s="190">
        <f t="shared" si="906"/>
        <v>0</v>
      </c>
    </row>
    <row r="989" spans="2:17" s="119" customFormat="1" ht="19.5" hidden="1" thickBot="1" x14ac:dyDescent="0.3">
      <c r="B989" s="310"/>
      <c r="C989" s="119">
        <f t="shared" si="900"/>
        <v>0</v>
      </c>
      <c r="D989" s="131" t="s">
        <v>124</v>
      </c>
      <c r="E989" s="116" t="s">
        <v>78</v>
      </c>
      <c r="F989" s="169">
        <f t="shared" ref="F989:Q989" si="913">SUBTOTAL(9,F977:F988)</f>
        <v>0</v>
      </c>
      <c r="G989" s="170">
        <f t="shared" si="913"/>
        <v>0</v>
      </c>
      <c r="H989" s="170">
        <f t="shared" si="913"/>
        <v>0</v>
      </c>
      <c r="I989" s="170">
        <f t="shared" si="913"/>
        <v>0</v>
      </c>
      <c r="J989" s="170">
        <f t="shared" si="913"/>
        <v>0</v>
      </c>
      <c r="K989" s="170">
        <f t="shared" ref="K989:P989" si="914">SUBTOTAL(9,K977:K988)</f>
        <v>0</v>
      </c>
      <c r="L989" s="170">
        <f t="shared" si="914"/>
        <v>0</v>
      </c>
      <c r="M989" s="170">
        <f t="shared" si="914"/>
        <v>0</v>
      </c>
      <c r="N989" s="170">
        <f t="shared" si="914"/>
        <v>0</v>
      </c>
      <c r="O989" s="170">
        <f t="shared" si="914"/>
        <v>0</v>
      </c>
      <c r="P989" s="170">
        <f t="shared" si="914"/>
        <v>0</v>
      </c>
      <c r="Q989" s="170">
        <f t="shared" si="913"/>
        <v>0</v>
      </c>
    </row>
    <row r="990" spans="2:17" s="119" customFormat="1" ht="15.75" hidden="1" thickBot="1" x14ac:dyDescent="0.3">
      <c r="B990" s="310"/>
      <c r="D990" s="117"/>
      <c r="E990" s="132"/>
      <c r="F990" s="117"/>
      <c r="G990" s="117"/>
      <c r="H990" s="118"/>
      <c r="I990" s="118"/>
      <c r="J990" s="118"/>
      <c r="K990" s="118"/>
      <c r="L990" s="118"/>
      <c r="M990" s="118"/>
      <c r="N990" s="118"/>
      <c r="O990" s="118"/>
      <c r="P990" s="118"/>
      <c r="Q990" s="118"/>
    </row>
    <row r="991" spans="2:17" s="119" customFormat="1" ht="45.75" hidden="1" thickBot="1" x14ac:dyDescent="0.3">
      <c r="B991" s="310"/>
      <c r="C991" s="119">
        <f>IF(E991&gt;0,1,0)</f>
        <v>0</v>
      </c>
      <c r="D991" s="96" t="str">
        <f>+A61</f>
        <v>Washington</v>
      </c>
      <c r="E991" s="166">
        <f>+SUMIF(A:A,D991,B:B)</f>
        <v>0</v>
      </c>
      <c r="F991" s="98" t="s">
        <v>97</v>
      </c>
      <c r="G991" s="98" t="s">
        <v>126</v>
      </c>
      <c r="H991" s="98" t="s">
        <v>127</v>
      </c>
      <c r="I991" s="99" t="s">
        <v>128</v>
      </c>
      <c r="J991" s="99" t="s">
        <v>131</v>
      </c>
      <c r="K991" s="560" t="s">
        <v>474</v>
      </c>
      <c r="L991" s="560" t="s">
        <v>475</v>
      </c>
      <c r="M991" s="560" t="s">
        <v>476</v>
      </c>
      <c r="N991" s="560" t="s">
        <v>477</v>
      </c>
      <c r="O991" s="560" t="s">
        <v>478</v>
      </c>
      <c r="P991" s="560" t="s">
        <v>479</v>
      </c>
      <c r="Q991" s="99" t="s">
        <v>129</v>
      </c>
    </row>
    <row r="992" spans="2:17" s="119" customFormat="1" ht="19.5" hidden="1" thickBot="1" x14ac:dyDescent="0.3">
      <c r="B992" s="310"/>
      <c r="C992" s="119">
        <f>C991</f>
        <v>0</v>
      </c>
      <c r="D992" s="127"/>
      <c r="E992" s="128"/>
      <c r="F992" s="84" t="s">
        <v>57</v>
      </c>
      <c r="G992" s="84" t="s">
        <v>56</v>
      </c>
      <c r="H992" s="84" t="s">
        <v>55</v>
      </c>
      <c r="I992" s="84" t="s">
        <v>54</v>
      </c>
      <c r="J992" s="129" t="s">
        <v>53</v>
      </c>
      <c r="K992" s="129" t="s">
        <v>52</v>
      </c>
      <c r="L992" s="129" t="s">
        <v>51</v>
      </c>
      <c r="M992" s="129" t="s">
        <v>50</v>
      </c>
      <c r="N992" s="129" t="s">
        <v>49</v>
      </c>
      <c r="O992" s="129" t="s">
        <v>47</v>
      </c>
      <c r="P992" s="129" t="s">
        <v>77</v>
      </c>
      <c r="Q992" s="129" t="s">
        <v>78</v>
      </c>
    </row>
    <row r="993" spans="2:17" s="119" customFormat="1" ht="19.5" hidden="1" thickBot="1" x14ac:dyDescent="0.3">
      <c r="B993" s="310"/>
      <c r="C993" s="119">
        <f>C992</f>
        <v>0</v>
      </c>
      <c r="D993" s="133" t="s">
        <v>26</v>
      </c>
      <c r="E993" s="134"/>
      <c r="F993" s="135"/>
      <c r="G993" s="135"/>
      <c r="H993" s="136"/>
      <c r="I993" s="136"/>
      <c r="J993" s="137"/>
      <c r="K993" s="137"/>
      <c r="L993" s="137"/>
      <c r="M993" s="137"/>
      <c r="N993" s="137"/>
      <c r="O993" s="137"/>
      <c r="P993" s="137"/>
      <c r="Q993" s="138"/>
    </row>
    <row r="994" spans="2:17" s="119" customFormat="1" ht="19.5" hidden="1" thickBot="1" x14ac:dyDescent="0.3">
      <c r="B994" s="310"/>
      <c r="C994" s="119">
        <f t="shared" ref="C994:C1006" si="915">C993</f>
        <v>0</v>
      </c>
      <c r="D994" s="109" t="s">
        <v>93</v>
      </c>
      <c r="E994" s="76" t="s">
        <v>57</v>
      </c>
      <c r="F994" s="168">
        <f>+F$6*$E991</f>
        <v>0</v>
      </c>
      <c r="G994" s="168">
        <f>+G$6*$E991</f>
        <v>0</v>
      </c>
      <c r="H994" s="168">
        <f>+H$6*$E991</f>
        <v>0</v>
      </c>
      <c r="I994" s="168">
        <f>+I$6*$E991</f>
        <v>0</v>
      </c>
      <c r="J994" s="168">
        <f>+J$6*$E991</f>
        <v>0</v>
      </c>
      <c r="K994" s="559"/>
      <c r="L994" s="559"/>
      <c r="M994" s="559"/>
      <c r="N994" s="559"/>
      <c r="O994" s="559"/>
      <c r="P994" s="559"/>
      <c r="Q994" s="190">
        <f>SUM(G994:P994)</f>
        <v>0</v>
      </c>
    </row>
    <row r="995" spans="2:17" s="119" customFormat="1" ht="19.5" hidden="1" thickBot="1" x14ac:dyDescent="0.3">
      <c r="B995" s="310"/>
      <c r="C995" s="119">
        <f t="shared" si="915"/>
        <v>0</v>
      </c>
      <c r="D995" s="110" t="s">
        <v>132</v>
      </c>
      <c r="E995" s="76" t="s">
        <v>56</v>
      </c>
      <c r="F995" s="168">
        <f>+F$7*$E991</f>
        <v>0</v>
      </c>
      <c r="G995" s="168">
        <f>+G$7*$E991</f>
        <v>0</v>
      </c>
      <c r="H995" s="168">
        <f>+H$7*$E991</f>
        <v>0</v>
      </c>
      <c r="I995" s="168">
        <f>+I$7*$E991</f>
        <v>0</v>
      </c>
      <c r="J995" s="168">
        <f>+J$7*$E991</f>
        <v>0</v>
      </c>
      <c r="K995" s="559"/>
      <c r="L995" s="559"/>
      <c r="M995" s="559"/>
      <c r="N995" s="559"/>
      <c r="O995" s="559"/>
      <c r="P995" s="559"/>
      <c r="Q995" s="190">
        <f>SUM(G995:P995)</f>
        <v>0</v>
      </c>
    </row>
    <row r="996" spans="2:17" s="119" customFormat="1" ht="19.5" hidden="1" thickBot="1" x14ac:dyDescent="0.3">
      <c r="B996" s="310"/>
      <c r="C996" s="119">
        <f t="shared" si="915"/>
        <v>0</v>
      </c>
      <c r="D996" s="109" t="s">
        <v>91</v>
      </c>
      <c r="E996" s="76" t="s">
        <v>55</v>
      </c>
      <c r="F996" s="168">
        <f>+F$8*$E991</f>
        <v>0</v>
      </c>
      <c r="G996" s="168">
        <f>+G$8*$E991</f>
        <v>0</v>
      </c>
      <c r="H996" s="168">
        <f>+H$8*$E991</f>
        <v>0</v>
      </c>
      <c r="I996" s="168">
        <f>+I$8*$E991</f>
        <v>0</v>
      </c>
      <c r="J996" s="168">
        <f>+J$8*$E991</f>
        <v>0</v>
      </c>
      <c r="K996" s="559"/>
      <c r="L996" s="559"/>
      <c r="M996" s="559"/>
      <c r="N996" s="559"/>
      <c r="O996" s="559"/>
      <c r="P996" s="559"/>
      <c r="Q996" s="190">
        <f>SUM(G996:P996)</f>
        <v>0</v>
      </c>
    </row>
    <row r="997" spans="2:17" s="119" customFormat="1" ht="19.5" hidden="1" thickBot="1" x14ac:dyDescent="0.3">
      <c r="B997" s="310"/>
      <c r="C997" s="119">
        <f t="shared" si="915"/>
        <v>0</v>
      </c>
      <c r="D997" s="130" t="s">
        <v>117</v>
      </c>
      <c r="E997" s="76" t="s">
        <v>54</v>
      </c>
      <c r="F997" s="168">
        <f>+F$9*$E991</f>
        <v>0</v>
      </c>
      <c r="G997" s="168">
        <f>+G$9*$E991</f>
        <v>0</v>
      </c>
      <c r="H997" s="168">
        <f>+H$9*$E991</f>
        <v>0</v>
      </c>
      <c r="I997" s="168">
        <f>+I$9*$E991</f>
        <v>0</v>
      </c>
      <c r="J997" s="168">
        <f>+J$9*$E991</f>
        <v>0</v>
      </c>
      <c r="K997" s="559"/>
      <c r="L997" s="559"/>
      <c r="M997" s="559"/>
      <c r="N997" s="559"/>
      <c r="O997" s="559"/>
      <c r="P997" s="559"/>
      <c r="Q997" s="190">
        <f>SUM(G997:P997)</f>
        <v>0</v>
      </c>
    </row>
    <row r="998" spans="2:17" s="119" customFormat="1" ht="19.5" hidden="1" thickBot="1" x14ac:dyDescent="0.3">
      <c r="B998" s="310"/>
      <c r="C998" s="119">
        <f t="shared" si="915"/>
        <v>0</v>
      </c>
      <c r="D998" s="112" t="s">
        <v>31</v>
      </c>
      <c r="E998" s="76"/>
      <c r="F998" s="167"/>
      <c r="G998" s="185"/>
      <c r="H998" s="185"/>
      <c r="I998" s="185"/>
      <c r="J998" s="185"/>
      <c r="K998" s="558"/>
      <c r="L998" s="558"/>
      <c r="M998" s="558"/>
      <c r="N998" s="558"/>
      <c r="O998" s="558"/>
      <c r="P998" s="558"/>
      <c r="Q998" s="171"/>
    </row>
    <row r="999" spans="2:17" s="119" customFormat="1" ht="19.5" hidden="1" thickBot="1" x14ac:dyDescent="0.35">
      <c r="B999" s="310"/>
      <c r="C999" s="119">
        <f t="shared" si="915"/>
        <v>0</v>
      </c>
      <c r="D999" s="125" t="s">
        <v>118</v>
      </c>
      <c r="E999" s="76" t="s">
        <v>53</v>
      </c>
      <c r="F999" s="168">
        <f>+F$11*$E991</f>
        <v>0</v>
      </c>
      <c r="G999" s="168">
        <f>+G$11*$E991</f>
        <v>0</v>
      </c>
      <c r="H999" s="168">
        <f>+H$11*$E991</f>
        <v>0</v>
      </c>
      <c r="I999" s="168">
        <f>+I$11*$E991</f>
        <v>0</v>
      </c>
      <c r="J999" s="168">
        <f>+J$11*$E991</f>
        <v>0</v>
      </c>
      <c r="K999" s="559"/>
      <c r="L999" s="559"/>
      <c r="M999" s="559"/>
      <c r="N999" s="559"/>
      <c r="O999" s="559"/>
      <c r="P999" s="559"/>
      <c r="Q999" s="190">
        <f t="shared" ref="Q999:Q1005" si="916">SUM(G999:P999)</f>
        <v>0</v>
      </c>
    </row>
    <row r="1000" spans="2:17" s="119" customFormat="1" ht="19.5" hidden="1" thickBot="1" x14ac:dyDescent="0.35">
      <c r="B1000" s="310"/>
      <c r="C1000" s="119">
        <f t="shared" si="915"/>
        <v>0</v>
      </c>
      <c r="D1000" s="125" t="s">
        <v>119</v>
      </c>
      <c r="E1000" s="76" t="s">
        <v>52</v>
      </c>
      <c r="F1000" s="168">
        <f>+F$12*$E991</f>
        <v>0</v>
      </c>
      <c r="G1000" s="168">
        <f>+G$12*$E991</f>
        <v>0</v>
      </c>
      <c r="H1000" s="168">
        <f>+H$12*$E991</f>
        <v>0</v>
      </c>
      <c r="I1000" s="168">
        <f>+I$12*$E991</f>
        <v>0</v>
      </c>
      <c r="J1000" s="168">
        <f>+J$12*$E991</f>
        <v>0</v>
      </c>
      <c r="K1000" s="559"/>
      <c r="L1000" s="559"/>
      <c r="M1000" s="559"/>
      <c r="N1000" s="559"/>
      <c r="O1000" s="559"/>
      <c r="P1000" s="559"/>
      <c r="Q1000" s="190">
        <f t="shared" si="916"/>
        <v>0</v>
      </c>
    </row>
    <row r="1001" spans="2:17" s="119" customFormat="1" ht="19.5" hidden="1" thickBot="1" x14ac:dyDescent="0.35">
      <c r="B1001" s="310"/>
      <c r="C1001" s="119">
        <f t="shared" si="915"/>
        <v>0</v>
      </c>
      <c r="D1001" s="125" t="s">
        <v>120</v>
      </c>
      <c r="E1001" s="76" t="s">
        <v>51</v>
      </c>
      <c r="F1001" s="168">
        <f>+F$13*$E991</f>
        <v>0</v>
      </c>
      <c r="G1001" s="168">
        <f>+G$13*$E991</f>
        <v>0</v>
      </c>
      <c r="H1001" s="168">
        <f>+H$13*$E991</f>
        <v>0</v>
      </c>
      <c r="I1001" s="168">
        <f>+I$13*$E991</f>
        <v>0</v>
      </c>
      <c r="J1001" s="168">
        <f>+J$13*$E991</f>
        <v>0</v>
      </c>
      <c r="K1001" s="559"/>
      <c r="L1001" s="559"/>
      <c r="M1001" s="559"/>
      <c r="N1001" s="559"/>
      <c r="O1001" s="559"/>
      <c r="P1001" s="559"/>
      <c r="Q1001" s="190">
        <f t="shared" si="916"/>
        <v>0</v>
      </c>
    </row>
    <row r="1002" spans="2:17" s="119" customFormat="1" ht="19.5" hidden="1" thickBot="1" x14ac:dyDescent="0.35">
      <c r="B1002" s="310"/>
      <c r="C1002" s="119">
        <f t="shared" si="915"/>
        <v>0</v>
      </c>
      <c r="D1002" s="125" t="s">
        <v>121</v>
      </c>
      <c r="E1002" s="76" t="s">
        <v>50</v>
      </c>
      <c r="F1002" s="168">
        <f>+F$14*$E991</f>
        <v>0</v>
      </c>
      <c r="G1002" s="168">
        <f>+G$14*$E991</f>
        <v>0</v>
      </c>
      <c r="H1002" s="168">
        <f>+H$14*$E991</f>
        <v>0</v>
      </c>
      <c r="I1002" s="168">
        <f>+I$14*$E991</f>
        <v>0</v>
      </c>
      <c r="J1002" s="168">
        <f>+J$14*$E991</f>
        <v>0</v>
      </c>
      <c r="K1002" s="559"/>
      <c r="L1002" s="559"/>
      <c r="M1002" s="559"/>
      <c r="N1002" s="559"/>
      <c r="O1002" s="559"/>
      <c r="P1002" s="559"/>
      <c r="Q1002" s="190">
        <f t="shared" si="916"/>
        <v>0</v>
      </c>
    </row>
    <row r="1003" spans="2:17" s="119" customFormat="1" ht="19.5" hidden="1" thickBot="1" x14ac:dyDescent="0.35">
      <c r="B1003" s="310"/>
      <c r="C1003" s="119">
        <f t="shared" si="915"/>
        <v>0</v>
      </c>
      <c r="D1003" s="125" t="s">
        <v>122</v>
      </c>
      <c r="E1003" s="76" t="s">
        <v>49</v>
      </c>
      <c r="F1003" s="168">
        <f>+F$15*$E991</f>
        <v>0</v>
      </c>
      <c r="G1003" s="168">
        <f>+G$15*$E991</f>
        <v>0</v>
      </c>
      <c r="H1003" s="168">
        <f>+H$15*$E991</f>
        <v>0</v>
      </c>
      <c r="I1003" s="168">
        <f>+I$15*$E991</f>
        <v>0</v>
      </c>
      <c r="J1003" s="168">
        <f>+J$15*$E991</f>
        <v>0</v>
      </c>
      <c r="K1003" s="559"/>
      <c r="L1003" s="559"/>
      <c r="M1003" s="559"/>
      <c r="N1003" s="559"/>
      <c r="O1003" s="559"/>
      <c r="P1003" s="559"/>
      <c r="Q1003" s="190">
        <f t="shared" si="916"/>
        <v>0</v>
      </c>
    </row>
    <row r="1004" spans="2:17" s="119" customFormat="1" ht="19.5" hidden="1" thickBot="1" x14ac:dyDescent="0.35">
      <c r="B1004" s="310"/>
      <c r="C1004" s="119">
        <f t="shared" si="915"/>
        <v>0</v>
      </c>
      <c r="D1004" s="125" t="s">
        <v>123</v>
      </c>
      <c r="E1004" s="76" t="s">
        <v>47</v>
      </c>
      <c r="F1004" s="168">
        <f>+F$16*$E991</f>
        <v>0</v>
      </c>
      <c r="G1004" s="168">
        <f>+G$16*$E991</f>
        <v>0</v>
      </c>
      <c r="H1004" s="168">
        <f>+H$16*$E991</f>
        <v>0</v>
      </c>
      <c r="I1004" s="168">
        <f>+I$16*$E991</f>
        <v>0</v>
      </c>
      <c r="J1004" s="168">
        <f>+J$16*$E991</f>
        <v>0</v>
      </c>
      <c r="K1004" s="559"/>
      <c r="L1004" s="559"/>
      <c r="M1004" s="559"/>
      <c r="N1004" s="559"/>
      <c r="O1004" s="559"/>
      <c r="P1004" s="559"/>
      <c r="Q1004" s="190">
        <f t="shared" si="916"/>
        <v>0</v>
      </c>
    </row>
    <row r="1005" spans="2:17" s="119" customFormat="1" ht="19.5" hidden="1" thickBot="1" x14ac:dyDescent="0.35">
      <c r="B1005" s="310"/>
      <c r="C1005" s="119">
        <f t="shared" si="915"/>
        <v>0</v>
      </c>
      <c r="D1005" s="125" t="s">
        <v>16</v>
      </c>
      <c r="E1005" s="70" t="s">
        <v>77</v>
      </c>
      <c r="F1005" s="168">
        <f>+F$17*$E991</f>
        <v>0</v>
      </c>
      <c r="G1005" s="168">
        <f>+G$17*$E991</f>
        <v>0</v>
      </c>
      <c r="H1005" s="168">
        <f>+H$17*$E991</f>
        <v>0</v>
      </c>
      <c r="I1005" s="168">
        <f>+I$17*$E991</f>
        <v>0</v>
      </c>
      <c r="J1005" s="168">
        <f>+J$17*$E991</f>
        <v>0</v>
      </c>
      <c r="K1005" s="559"/>
      <c r="L1005" s="559"/>
      <c r="M1005" s="559"/>
      <c r="N1005" s="559"/>
      <c r="O1005" s="559"/>
      <c r="P1005" s="559"/>
      <c r="Q1005" s="190">
        <f t="shared" si="916"/>
        <v>0</v>
      </c>
    </row>
    <row r="1006" spans="2:17" s="119" customFormat="1" ht="19.5" hidden="1" thickBot="1" x14ac:dyDescent="0.3">
      <c r="B1006" s="310"/>
      <c r="C1006" s="119">
        <f t="shared" si="915"/>
        <v>0</v>
      </c>
      <c r="D1006" s="131" t="s">
        <v>124</v>
      </c>
      <c r="E1006" s="116" t="s">
        <v>78</v>
      </c>
      <c r="F1006" s="169">
        <f t="shared" ref="F1006:Q1006" si="917">SUBTOTAL(9,F994:F1005)</f>
        <v>0</v>
      </c>
      <c r="G1006" s="170">
        <f t="shared" si="917"/>
        <v>0</v>
      </c>
      <c r="H1006" s="170">
        <f t="shared" si="917"/>
        <v>0</v>
      </c>
      <c r="I1006" s="170">
        <f t="shared" si="917"/>
        <v>0</v>
      </c>
      <c r="J1006" s="170">
        <f t="shared" si="917"/>
        <v>0</v>
      </c>
      <c r="K1006" s="170"/>
      <c r="L1006" s="170"/>
      <c r="M1006" s="170"/>
      <c r="N1006" s="170"/>
      <c r="O1006" s="170"/>
      <c r="P1006" s="170"/>
      <c r="Q1006" s="170">
        <f t="shared" si="917"/>
        <v>0</v>
      </c>
    </row>
    <row r="1007" spans="2:17" s="119" customFormat="1" ht="15.75" hidden="1" thickBot="1" x14ac:dyDescent="0.3">
      <c r="B1007" s="310"/>
      <c r="D1007" s="117"/>
      <c r="E1007" s="132"/>
      <c r="F1007" s="117"/>
      <c r="G1007" s="117"/>
      <c r="H1007" s="118"/>
      <c r="I1007" s="118"/>
      <c r="J1007" s="118"/>
      <c r="K1007" s="118"/>
      <c r="L1007" s="118"/>
      <c r="M1007" s="118"/>
      <c r="N1007" s="118"/>
      <c r="O1007" s="118"/>
      <c r="P1007" s="118"/>
      <c r="Q1007" s="118"/>
    </row>
    <row r="1008" spans="2:17" s="119" customFormat="1" ht="45.75" hidden="1" thickBot="1" x14ac:dyDescent="0.3">
      <c r="B1008" s="310"/>
      <c r="C1008" s="119">
        <f>IF(E1008&gt;0,1,0)</f>
        <v>0</v>
      </c>
      <c r="D1008" s="96" t="str">
        <f>+A62</f>
        <v>Wayne</v>
      </c>
      <c r="E1008" s="166">
        <f>+SUMIF(A:A,D1008,B:B)</f>
        <v>0</v>
      </c>
      <c r="F1008" s="98" t="s">
        <v>97</v>
      </c>
      <c r="G1008" s="98" t="s">
        <v>126</v>
      </c>
      <c r="H1008" s="98" t="s">
        <v>127</v>
      </c>
      <c r="I1008" s="99" t="s">
        <v>128</v>
      </c>
      <c r="J1008" s="99" t="s">
        <v>131</v>
      </c>
      <c r="K1008" s="560" t="s">
        <v>474</v>
      </c>
      <c r="L1008" s="560" t="s">
        <v>475</v>
      </c>
      <c r="M1008" s="560" t="s">
        <v>476</v>
      </c>
      <c r="N1008" s="560" t="s">
        <v>477</v>
      </c>
      <c r="O1008" s="560" t="s">
        <v>478</v>
      </c>
      <c r="P1008" s="560" t="s">
        <v>479</v>
      </c>
      <c r="Q1008" s="99" t="s">
        <v>129</v>
      </c>
    </row>
    <row r="1009" spans="2:17" s="119" customFormat="1" ht="19.5" hidden="1" thickBot="1" x14ac:dyDescent="0.3">
      <c r="B1009" s="310"/>
      <c r="C1009" s="119">
        <f>C1008</f>
        <v>0</v>
      </c>
      <c r="D1009" s="127"/>
      <c r="E1009" s="128"/>
      <c r="F1009" s="84" t="s">
        <v>57</v>
      </c>
      <c r="G1009" s="84" t="s">
        <v>56</v>
      </c>
      <c r="H1009" s="84" t="s">
        <v>55</v>
      </c>
      <c r="I1009" s="84" t="s">
        <v>54</v>
      </c>
      <c r="J1009" s="129" t="s">
        <v>53</v>
      </c>
      <c r="K1009" s="129" t="s">
        <v>52</v>
      </c>
      <c r="L1009" s="129" t="s">
        <v>51</v>
      </c>
      <c r="M1009" s="129" t="s">
        <v>50</v>
      </c>
      <c r="N1009" s="129" t="s">
        <v>49</v>
      </c>
      <c r="O1009" s="129" t="s">
        <v>47</v>
      </c>
      <c r="P1009" s="129" t="s">
        <v>77</v>
      </c>
      <c r="Q1009" s="129" t="s">
        <v>78</v>
      </c>
    </row>
    <row r="1010" spans="2:17" s="119" customFormat="1" ht="19.5" hidden="1" thickBot="1" x14ac:dyDescent="0.3">
      <c r="B1010" s="310"/>
      <c r="C1010" s="119">
        <f>C1009</f>
        <v>0</v>
      </c>
      <c r="D1010" s="133" t="s">
        <v>26</v>
      </c>
      <c r="E1010" s="134"/>
      <c r="F1010" s="135"/>
      <c r="G1010" s="135"/>
      <c r="H1010" s="136"/>
      <c r="I1010" s="136"/>
      <c r="J1010" s="137"/>
      <c r="K1010" s="137"/>
      <c r="L1010" s="137"/>
      <c r="M1010" s="137"/>
      <c r="N1010" s="137"/>
      <c r="O1010" s="137"/>
      <c r="P1010" s="137"/>
      <c r="Q1010" s="138"/>
    </row>
    <row r="1011" spans="2:17" s="119" customFormat="1" ht="19.5" hidden="1" thickBot="1" x14ac:dyDescent="0.3">
      <c r="B1011" s="310"/>
      <c r="C1011" s="119">
        <f t="shared" ref="C1011:C1023" si="918">C1010</f>
        <v>0</v>
      </c>
      <c r="D1011" s="109" t="s">
        <v>93</v>
      </c>
      <c r="E1011" s="76" t="s">
        <v>57</v>
      </c>
      <c r="F1011" s="168">
        <f>+F$6*$E1008</f>
        <v>0</v>
      </c>
      <c r="G1011" s="168">
        <f>+G$6*$E1008</f>
        <v>0</v>
      </c>
      <c r="H1011" s="168">
        <f>+H$6*$E1008</f>
        <v>0</v>
      </c>
      <c r="I1011" s="168">
        <f>+I$6*$E1008</f>
        <v>0</v>
      </c>
      <c r="J1011" s="168">
        <f>+J$6*$E1008</f>
        <v>0</v>
      </c>
      <c r="K1011" s="168">
        <f t="shared" ref="K1011:P1011" si="919">+K$6*$E1008</f>
        <v>0</v>
      </c>
      <c r="L1011" s="168">
        <f t="shared" si="919"/>
        <v>0</v>
      </c>
      <c r="M1011" s="168">
        <f t="shared" si="919"/>
        <v>0</v>
      </c>
      <c r="N1011" s="168">
        <f t="shared" si="919"/>
        <v>0</v>
      </c>
      <c r="O1011" s="168">
        <f t="shared" si="919"/>
        <v>0</v>
      </c>
      <c r="P1011" s="168">
        <f t="shared" si="919"/>
        <v>0</v>
      </c>
      <c r="Q1011" s="190">
        <f>SUM(G1011:P1011)</f>
        <v>0</v>
      </c>
    </row>
    <row r="1012" spans="2:17" s="119" customFormat="1" ht="19.5" hidden="1" thickBot="1" x14ac:dyDescent="0.3">
      <c r="B1012" s="310"/>
      <c r="C1012" s="119">
        <f t="shared" si="918"/>
        <v>0</v>
      </c>
      <c r="D1012" s="110" t="s">
        <v>132</v>
      </c>
      <c r="E1012" s="76" t="s">
        <v>56</v>
      </c>
      <c r="F1012" s="168">
        <f>+F$7*$E1008</f>
        <v>0</v>
      </c>
      <c r="G1012" s="168">
        <f>+G$7*$E1008</f>
        <v>0</v>
      </c>
      <c r="H1012" s="168">
        <f>+H$7*$E1008</f>
        <v>0</v>
      </c>
      <c r="I1012" s="168">
        <f>+I$7*$E1008</f>
        <v>0</v>
      </c>
      <c r="J1012" s="168">
        <f>+J$7*$E1008</f>
        <v>0</v>
      </c>
      <c r="K1012" s="168">
        <f t="shared" ref="K1012:P1012" si="920">+K$7*$E1008</f>
        <v>0</v>
      </c>
      <c r="L1012" s="168">
        <f t="shared" si="920"/>
        <v>0</v>
      </c>
      <c r="M1012" s="168">
        <f t="shared" si="920"/>
        <v>0</v>
      </c>
      <c r="N1012" s="168">
        <f t="shared" si="920"/>
        <v>0</v>
      </c>
      <c r="O1012" s="168">
        <f t="shared" si="920"/>
        <v>0</v>
      </c>
      <c r="P1012" s="168">
        <f t="shared" si="920"/>
        <v>0</v>
      </c>
      <c r="Q1012" s="190">
        <f>SUM(G1012:P1012)</f>
        <v>0</v>
      </c>
    </row>
    <row r="1013" spans="2:17" s="119" customFormat="1" ht="19.5" hidden="1" thickBot="1" x14ac:dyDescent="0.3">
      <c r="B1013" s="310"/>
      <c r="C1013" s="119">
        <f t="shared" si="918"/>
        <v>0</v>
      </c>
      <c r="D1013" s="109" t="s">
        <v>91</v>
      </c>
      <c r="E1013" s="76" t="s">
        <v>55</v>
      </c>
      <c r="F1013" s="168">
        <f>+F$8*$E1008</f>
        <v>0</v>
      </c>
      <c r="G1013" s="168">
        <f>+G$8*$E1008</f>
        <v>0</v>
      </c>
      <c r="H1013" s="168">
        <f>+H$8*$E1008</f>
        <v>0</v>
      </c>
      <c r="I1013" s="168">
        <f>+I$8*$E1008</f>
        <v>0</v>
      </c>
      <c r="J1013" s="168">
        <f>+J$8*$E1008</f>
        <v>0</v>
      </c>
      <c r="K1013" s="168">
        <f t="shared" ref="K1013:P1013" si="921">+K$8*$E1008</f>
        <v>0</v>
      </c>
      <c r="L1013" s="168">
        <f t="shared" si="921"/>
        <v>0</v>
      </c>
      <c r="M1013" s="168">
        <f t="shared" si="921"/>
        <v>0</v>
      </c>
      <c r="N1013" s="168">
        <f t="shared" si="921"/>
        <v>0</v>
      </c>
      <c r="O1013" s="168">
        <f t="shared" si="921"/>
        <v>0</v>
      </c>
      <c r="P1013" s="168">
        <f t="shared" si="921"/>
        <v>0</v>
      </c>
      <c r="Q1013" s="190">
        <f>SUM(G1013:P1013)</f>
        <v>0</v>
      </c>
    </row>
    <row r="1014" spans="2:17" s="119" customFormat="1" ht="19.5" hidden="1" thickBot="1" x14ac:dyDescent="0.3">
      <c r="B1014" s="310"/>
      <c r="C1014" s="119">
        <f t="shared" si="918"/>
        <v>0</v>
      </c>
      <c r="D1014" s="130" t="s">
        <v>117</v>
      </c>
      <c r="E1014" s="76" t="s">
        <v>54</v>
      </c>
      <c r="F1014" s="168">
        <f>+F$9*$E1008</f>
        <v>0</v>
      </c>
      <c r="G1014" s="168">
        <f>+G$9*$E1008</f>
        <v>0</v>
      </c>
      <c r="H1014" s="168">
        <f>+H$9*$E1008</f>
        <v>0</v>
      </c>
      <c r="I1014" s="168">
        <f>+I$9*$E1008</f>
        <v>0</v>
      </c>
      <c r="J1014" s="168">
        <f>+J$9*$E1008</f>
        <v>0</v>
      </c>
      <c r="K1014" s="168">
        <f t="shared" ref="K1014:P1014" si="922">+K$9*$E1008</f>
        <v>0</v>
      </c>
      <c r="L1014" s="168">
        <f t="shared" si="922"/>
        <v>0</v>
      </c>
      <c r="M1014" s="168">
        <f t="shared" si="922"/>
        <v>0</v>
      </c>
      <c r="N1014" s="168">
        <f t="shared" si="922"/>
        <v>0</v>
      </c>
      <c r="O1014" s="168">
        <f t="shared" si="922"/>
        <v>0</v>
      </c>
      <c r="P1014" s="168">
        <f t="shared" si="922"/>
        <v>0</v>
      </c>
      <c r="Q1014" s="190">
        <f>SUM(G1014:P1014)</f>
        <v>0</v>
      </c>
    </row>
    <row r="1015" spans="2:17" s="119" customFormat="1" ht="19.5" hidden="1" thickBot="1" x14ac:dyDescent="0.3">
      <c r="B1015" s="310"/>
      <c r="C1015" s="119">
        <f t="shared" si="918"/>
        <v>0</v>
      </c>
      <c r="D1015" s="112" t="s">
        <v>31</v>
      </c>
      <c r="E1015" s="76"/>
      <c r="F1015" s="167"/>
      <c r="G1015" s="185"/>
      <c r="H1015" s="185"/>
      <c r="I1015" s="185"/>
      <c r="J1015" s="185"/>
      <c r="K1015" s="185"/>
      <c r="L1015" s="185"/>
      <c r="M1015" s="185"/>
      <c r="N1015" s="185"/>
      <c r="O1015" s="185"/>
      <c r="P1015" s="185"/>
      <c r="Q1015" s="171"/>
    </row>
    <row r="1016" spans="2:17" s="119" customFormat="1" ht="19.5" hidden="1" thickBot="1" x14ac:dyDescent="0.35">
      <c r="B1016" s="310"/>
      <c r="C1016" s="119">
        <f t="shared" si="918"/>
        <v>0</v>
      </c>
      <c r="D1016" s="125" t="s">
        <v>118</v>
      </c>
      <c r="E1016" s="76" t="s">
        <v>53</v>
      </c>
      <c r="F1016" s="168">
        <f>+F$11*$E1008</f>
        <v>0</v>
      </c>
      <c r="G1016" s="168">
        <f>+G$11*$E1008</f>
        <v>0</v>
      </c>
      <c r="H1016" s="168">
        <f>+H$11*$E1008</f>
        <v>0</v>
      </c>
      <c r="I1016" s="168">
        <f>+I$11*$E1008</f>
        <v>0</v>
      </c>
      <c r="J1016" s="168">
        <f>+J$11*$E1008</f>
        <v>0</v>
      </c>
      <c r="K1016" s="168">
        <f t="shared" ref="K1016:P1016" si="923">+K$11*$E1008</f>
        <v>0</v>
      </c>
      <c r="L1016" s="168">
        <f t="shared" si="923"/>
        <v>0</v>
      </c>
      <c r="M1016" s="168">
        <f t="shared" si="923"/>
        <v>0</v>
      </c>
      <c r="N1016" s="168">
        <f t="shared" si="923"/>
        <v>0</v>
      </c>
      <c r="O1016" s="168">
        <f t="shared" si="923"/>
        <v>0</v>
      </c>
      <c r="P1016" s="168">
        <f t="shared" si="923"/>
        <v>0</v>
      </c>
      <c r="Q1016" s="190">
        <f t="shared" ref="Q1016:Q1022" si="924">SUM(G1016:P1016)</f>
        <v>0</v>
      </c>
    </row>
    <row r="1017" spans="2:17" s="119" customFormat="1" ht="19.5" hidden="1" thickBot="1" x14ac:dyDescent="0.35">
      <c r="B1017" s="310"/>
      <c r="C1017" s="119">
        <f t="shared" si="918"/>
        <v>0</v>
      </c>
      <c r="D1017" s="125" t="s">
        <v>119</v>
      </c>
      <c r="E1017" s="76" t="s">
        <v>52</v>
      </c>
      <c r="F1017" s="168">
        <f>+F$12*$E1008</f>
        <v>0</v>
      </c>
      <c r="G1017" s="168">
        <f>+G$12*$E1008</f>
        <v>0</v>
      </c>
      <c r="H1017" s="168">
        <f>+H$12*$E1008</f>
        <v>0</v>
      </c>
      <c r="I1017" s="168">
        <f>+I$12*$E1008</f>
        <v>0</v>
      </c>
      <c r="J1017" s="168">
        <f>+J$12*$E1008</f>
        <v>0</v>
      </c>
      <c r="K1017" s="168">
        <f t="shared" ref="K1017:P1017" si="925">+K$12*$E1008</f>
        <v>0</v>
      </c>
      <c r="L1017" s="168">
        <f t="shared" si="925"/>
        <v>0</v>
      </c>
      <c r="M1017" s="168">
        <f t="shared" si="925"/>
        <v>0</v>
      </c>
      <c r="N1017" s="168">
        <f t="shared" si="925"/>
        <v>0</v>
      </c>
      <c r="O1017" s="168">
        <f t="shared" si="925"/>
        <v>0</v>
      </c>
      <c r="P1017" s="168">
        <f t="shared" si="925"/>
        <v>0</v>
      </c>
      <c r="Q1017" s="190">
        <f t="shared" si="924"/>
        <v>0</v>
      </c>
    </row>
    <row r="1018" spans="2:17" s="119" customFormat="1" ht="19.5" hidden="1" thickBot="1" x14ac:dyDescent="0.35">
      <c r="B1018" s="310"/>
      <c r="C1018" s="119">
        <f t="shared" si="918"/>
        <v>0</v>
      </c>
      <c r="D1018" s="125" t="s">
        <v>120</v>
      </c>
      <c r="E1018" s="76" t="s">
        <v>51</v>
      </c>
      <c r="F1018" s="168">
        <f>+F$13*$E1008</f>
        <v>0</v>
      </c>
      <c r="G1018" s="168">
        <f>+G$13*$E1008</f>
        <v>0</v>
      </c>
      <c r="H1018" s="168">
        <f>+H$13*$E1008</f>
        <v>0</v>
      </c>
      <c r="I1018" s="168">
        <f>+I$13*$E1008</f>
        <v>0</v>
      </c>
      <c r="J1018" s="168">
        <f>+J$13*$E1008</f>
        <v>0</v>
      </c>
      <c r="K1018" s="168">
        <f t="shared" ref="K1018:P1018" si="926">+K$13*$E1008</f>
        <v>0</v>
      </c>
      <c r="L1018" s="168">
        <f t="shared" si="926"/>
        <v>0</v>
      </c>
      <c r="M1018" s="168">
        <f t="shared" si="926"/>
        <v>0</v>
      </c>
      <c r="N1018" s="168">
        <f t="shared" si="926"/>
        <v>0</v>
      </c>
      <c r="O1018" s="168">
        <f t="shared" si="926"/>
        <v>0</v>
      </c>
      <c r="P1018" s="168">
        <f t="shared" si="926"/>
        <v>0</v>
      </c>
      <c r="Q1018" s="190">
        <f t="shared" si="924"/>
        <v>0</v>
      </c>
    </row>
    <row r="1019" spans="2:17" s="119" customFormat="1" ht="19.5" hidden="1" thickBot="1" x14ac:dyDescent="0.35">
      <c r="B1019" s="310"/>
      <c r="C1019" s="119">
        <f t="shared" si="918"/>
        <v>0</v>
      </c>
      <c r="D1019" s="125" t="s">
        <v>121</v>
      </c>
      <c r="E1019" s="76" t="s">
        <v>50</v>
      </c>
      <c r="F1019" s="168">
        <f>+F$14*$E1008</f>
        <v>0</v>
      </c>
      <c r="G1019" s="168">
        <f>+G$14*$E1008</f>
        <v>0</v>
      </c>
      <c r="H1019" s="168">
        <f>+H$14*$E1008</f>
        <v>0</v>
      </c>
      <c r="I1019" s="168">
        <f>+I$14*$E1008</f>
        <v>0</v>
      </c>
      <c r="J1019" s="168">
        <f>+J$14*$E1008</f>
        <v>0</v>
      </c>
      <c r="K1019" s="168">
        <f t="shared" ref="K1019:P1019" si="927">+K$14*$E1008</f>
        <v>0</v>
      </c>
      <c r="L1019" s="168">
        <f t="shared" si="927"/>
        <v>0</v>
      </c>
      <c r="M1019" s="168">
        <f t="shared" si="927"/>
        <v>0</v>
      </c>
      <c r="N1019" s="168">
        <f t="shared" si="927"/>
        <v>0</v>
      </c>
      <c r="O1019" s="168">
        <f t="shared" si="927"/>
        <v>0</v>
      </c>
      <c r="P1019" s="168">
        <f t="shared" si="927"/>
        <v>0</v>
      </c>
      <c r="Q1019" s="190">
        <f t="shared" si="924"/>
        <v>0</v>
      </c>
    </row>
    <row r="1020" spans="2:17" s="119" customFormat="1" ht="19.5" hidden="1" thickBot="1" x14ac:dyDescent="0.35">
      <c r="B1020" s="310"/>
      <c r="C1020" s="119">
        <f t="shared" si="918"/>
        <v>0</v>
      </c>
      <c r="D1020" s="125" t="s">
        <v>122</v>
      </c>
      <c r="E1020" s="76" t="s">
        <v>49</v>
      </c>
      <c r="F1020" s="168">
        <f>+F$15*$E1008</f>
        <v>0</v>
      </c>
      <c r="G1020" s="168">
        <f>+G$15*$E1008</f>
        <v>0</v>
      </c>
      <c r="H1020" s="168">
        <f>+H$15*$E1008</f>
        <v>0</v>
      </c>
      <c r="I1020" s="168">
        <f>+I$15*$E1008</f>
        <v>0</v>
      </c>
      <c r="J1020" s="168">
        <f>+J$15*$E1008</f>
        <v>0</v>
      </c>
      <c r="K1020" s="168">
        <f t="shared" ref="K1020:P1020" si="928">+K$15*$E1008</f>
        <v>0</v>
      </c>
      <c r="L1020" s="168">
        <f t="shared" si="928"/>
        <v>0</v>
      </c>
      <c r="M1020" s="168">
        <f t="shared" si="928"/>
        <v>0</v>
      </c>
      <c r="N1020" s="168">
        <f t="shared" si="928"/>
        <v>0</v>
      </c>
      <c r="O1020" s="168">
        <f t="shared" si="928"/>
        <v>0</v>
      </c>
      <c r="P1020" s="168">
        <f t="shared" si="928"/>
        <v>0</v>
      </c>
      <c r="Q1020" s="190">
        <f t="shared" si="924"/>
        <v>0</v>
      </c>
    </row>
    <row r="1021" spans="2:17" s="119" customFormat="1" ht="19.5" hidden="1" thickBot="1" x14ac:dyDescent="0.35">
      <c r="B1021" s="310"/>
      <c r="C1021" s="119">
        <f t="shared" si="918"/>
        <v>0</v>
      </c>
      <c r="D1021" s="125" t="s">
        <v>123</v>
      </c>
      <c r="E1021" s="76" t="s">
        <v>47</v>
      </c>
      <c r="F1021" s="168">
        <f>+F$16*$E1008</f>
        <v>0</v>
      </c>
      <c r="G1021" s="168">
        <f>+G$16*$E1008</f>
        <v>0</v>
      </c>
      <c r="H1021" s="168">
        <f>+H$16*$E1008</f>
        <v>0</v>
      </c>
      <c r="I1021" s="168">
        <f>+I$16*$E1008</f>
        <v>0</v>
      </c>
      <c r="J1021" s="168">
        <f>+J$16*$E1008</f>
        <v>0</v>
      </c>
      <c r="K1021" s="168">
        <f t="shared" ref="K1021:P1021" si="929">+K$16*$E1008</f>
        <v>0</v>
      </c>
      <c r="L1021" s="168">
        <f t="shared" si="929"/>
        <v>0</v>
      </c>
      <c r="M1021" s="168">
        <f t="shared" si="929"/>
        <v>0</v>
      </c>
      <c r="N1021" s="168">
        <f t="shared" si="929"/>
        <v>0</v>
      </c>
      <c r="O1021" s="168">
        <f t="shared" si="929"/>
        <v>0</v>
      </c>
      <c r="P1021" s="168">
        <f t="shared" si="929"/>
        <v>0</v>
      </c>
      <c r="Q1021" s="190">
        <f t="shared" si="924"/>
        <v>0</v>
      </c>
    </row>
    <row r="1022" spans="2:17" s="119" customFormat="1" ht="19.5" hidden="1" thickBot="1" x14ac:dyDescent="0.35">
      <c r="B1022" s="310"/>
      <c r="C1022" s="119">
        <f t="shared" si="918"/>
        <v>0</v>
      </c>
      <c r="D1022" s="125" t="s">
        <v>16</v>
      </c>
      <c r="E1022" s="70" t="s">
        <v>77</v>
      </c>
      <c r="F1022" s="168">
        <f>+F$17*$E1008</f>
        <v>0</v>
      </c>
      <c r="G1022" s="168">
        <f>+G$17*$E1008</f>
        <v>0</v>
      </c>
      <c r="H1022" s="168">
        <f>+H$17*$E1008</f>
        <v>0</v>
      </c>
      <c r="I1022" s="168">
        <f>+I$17*$E1008</f>
        <v>0</v>
      </c>
      <c r="J1022" s="168">
        <f>+J$17*$E1008</f>
        <v>0</v>
      </c>
      <c r="K1022" s="168">
        <f t="shared" ref="K1022:P1022" si="930">+K$17*$E1008</f>
        <v>0</v>
      </c>
      <c r="L1022" s="168">
        <f t="shared" si="930"/>
        <v>0</v>
      </c>
      <c r="M1022" s="168">
        <f t="shared" si="930"/>
        <v>0</v>
      </c>
      <c r="N1022" s="168">
        <f t="shared" si="930"/>
        <v>0</v>
      </c>
      <c r="O1022" s="168">
        <f t="shared" si="930"/>
        <v>0</v>
      </c>
      <c r="P1022" s="168">
        <f t="shared" si="930"/>
        <v>0</v>
      </c>
      <c r="Q1022" s="190">
        <f t="shared" si="924"/>
        <v>0</v>
      </c>
    </row>
    <row r="1023" spans="2:17" s="119" customFormat="1" ht="19.5" hidden="1" thickBot="1" x14ac:dyDescent="0.3">
      <c r="B1023" s="310"/>
      <c r="C1023" s="119">
        <f t="shared" si="918"/>
        <v>0</v>
      </c>
      <c r="D1023" s="131" t="s">
        <v>124</v>
      </c>
      <c r="E1023" s="116" t="s">
        <v>78</v>
      </c>
      <c r="F1023" s="169">
        <f t="shared" ref="F1023:Q1023" si="931">SUBTOTAL(9,F1011:F1022)</f>
        <v>0</v>
      </c>
      <c r="G1023" s="170">
        <f t="shared" si="931"/>
        <v>0</v>
      </c>
      <c r="H1023" s="170">
        <f t="shared" si="931"/>
        <v>0</v>
      </c>
      <c r="I1023" s="170">
        <f t="shared" si="931"/>
        <v>0</v>
      </c>
      <c r="J1023" s="170">
        <f t="shared" si="931"/>
        <v>0</v>
      </c>
      <c r="K1023" s="170">
        <f t="shared" ref="K1023:P1023" si="932">SUBTOTAL(9,K1011:K1022)</f>
        <v>0</v>
      </c>
      <c r="L1023" s="170">
        <f t="shared" si="932"/>
        <v>0</v>
      </c>
      <c r="M1023" s="170">
        <f t="shared" si="932"/>
        <v>0</v>
      </c>
      <c r="N1023" s="170">
        <f t="shared" si="932"/>
        <v>0</v>
      </c>
      <c r="O1023" s="170">
        <f t="shared" si="932"/>
        <v>0</v>
      </c>
      <c r="P1023" s="170">
        <f t="shared" si="932"/>
        <v>0</v>
      </c>
      <c r="Q1023" s="170">
        <f t="shared" si="931"/>
        <v>0</v>
      </c>
    </row>
    <row r="1024" spans="2:17" s="119" customFormat="1" ht="15.75" hidden="1" thickBot="1" x14ac:dyDescent="0.3">
      <c r="B1024" s="310"/>
      <c r="D1024" s="117"/>
      <c r="E1024" s="132"/>
      <c r="F1024" s="117"/>
      <c r="G1024" s="117"/>
      <c r="H1024" s="118"/>
      <c r="I1024" s="118"/>
      <c r="J1024" s="118"/>
      <c r="K1024" s="118"/>
      <c r="L1024" s="118"/>
      <c r="M1024" s="118"/>
      <c r="N1024" s="118"/>
      <c r="O1024" s="118"/>
      <c r="P1024" s="118"/>
      <c r="Q1024" s="118"/>
    </row>
    <row r="1025" spans="2:17" s="119" customFormat="1" ht="45" x14ac:dyDescent="0.25">
      <c r="B1025" s="310"/>
      <c r="C1025" s="119">
        <f>IF(E1025&gt;0,1,0)</f>
        <v>1</v>
      </c>
      <c r="D1025" s="96" t="str">
        <f>+A63</f>
        <v>Westchester</v>
      </c>
      <c r="E1025" s="166">
        <f>+SUMIF(A:A,D1025,B:B)</f>
        <v>3.234950600513449E-2</v>
      </c>
      <c r="F1025" s="98" t="s">
        <v>97</v>
      </c>
      <c r="G1025" s="98" t="s">
        <v>126</v>
      </c>
      <c r="H1025" s="98" t="s">
        <v>127</v>
      </c>
      <c r="I1025" s="99" t="s">
        <v>128</v>
      </c>
      <c r="J1025" s="99" t="s">
        <v>131</v>
      </c>
      <c r="K1025" s="560" t="s">
        <v>474</v>
      </c>
      <c r="L1025" s="560" t="s">
        <v>475</v>
      </c>
      <c r="M1025" s="560" t="s">
        <v>476</v>
      </c>
      <c r="N1025" s="560" t="s">
        <v>477</v>
      </c>
      <c r="O1025" s="560" t="s">
        <v>478</v>
      </c>
      <c r="P1025" s="560" t="s">
        <v>479</v>
      </c>
      <c r="Q1025" s="99" t="s">
        <v>129</v>
      </c>
    </row>
    <row r="1026" spans="2:17" s="119" customFormat="1" ht="18.75" x14ac:dyDescent="0.25">
      <c r="B1026" s="310"/>
      <c r="C1026" s="119">
        <f>C1025</f>
        <v>1</v>
      </c>
      <c r="D1026" s="127"/>
      <c r="E1026" s="128"/>
      <c r="F1026" s="84" t="s">
        <v>57</v>
      </c>
      <c r="G1026" s="84" t="s">
        <v>56</v>
      </c>
      <c r="H1026" s="84" t="s">
        <v>55</v>
      </c>
      <c r="I1026" s="84" t="s">
        <v>54</v>
      </c>
      <c r="J1026" s="129" t="s">
        <v>53</v>
      </c>
      <c r="K1026" s="129" t="s">
        <v>52</v>
      </c>
      <c r="L1026" s="129" t="s">
        <v>51</v>
      </c>
      <c r="M1026" s="129" t="s">
        <v>50</v>
      </c>
      <c r="N1026" s="129" t="s">
        <v>49</v>
      </c>
      <c r="O1026" s="129" t="s">
        <v>47</v>
      </c>
      <c r="P1026" s="129" t="s">
        <v>77</v>
      </c>
      <c r="Q1026" s="129" t="s">
        <v>78</v>
      </c>
    </row>
    <row r="1027" spans="2:17" s="119" customFormat="1" ht="18.75" x14ac:dyDescent="0.25">
      <c r="B1027" s="310"/>
      <c r="C1027" s="119">
        <f>C1026</f>
        <v>1</v>
      </c>
      <c r="D1027" s="133" t="s">
        <v>26</v>
      </c>
      <c r="E1027" s="134"/>
      <c r="F1027" s="135"/>
      <c r="G1027" s="135"/>
      <c r="H1027" s="136"/>
      <c r="I1027" s="136"/>
      <c r="J1027" s="137"/>
      <c r="K1027" s="137"/>
      <c r="L1027" s="137"/>
      <c r="M1027" s="137"/>
      <c r="N1027" s="137"/>
      <c r="O1027" s="137"/>
      <c r="P1027" s="137"/>
      <c r="Q1027" s="138"/>
    </row>
    <row r="1028" spans="2:17" s="119" customFormat="1" ht="18.75" x14ac:dyDescent="0.25">
      <c r="B1028" s="310"/>
      <c r="C1028" s="119">
        <f t="shared" ref="C1028:C1040" si="933">C1027</f>
        <v>1</v>
      </c>
      <c r="D1028" s="109" t="s">
        <v>93</v>
      </c>
      <c r="E1028" s="76" t="s">
        <v>57</v>
      </c>
      <c r="F1028" s="168">
        <f>+F$6*$E1025</f>
        <v>112.79724777574496</v>
      </c>
      <c r="G1028" s="168">
        <f>+G$6*$E1025</f>
        <v>216788.28225741512</v>
      </c>
      <c r="H1028" s="168">
        <f>+H$6*$E1025</f>
        <v>10100.198996369814</v>
      </c>
      <c r="I1028" s="168">
        <f>+I$6*$E1025</f>
        <v>34.349675961431956</v>
      </c>
      <c r="J1028" s="168">
        <f>+J$6*$E1025</f>
        <v>3624.3917460315611</v>
      </c>
      <c r="K1028" s="168">
        <f t="shared" ref="K1028:P1028" si="934">+K$6*$E1025</f>
        <v>3977.3442662511811</v>
      </c>
      <c r="L1028" s="168">
        <f t="shared" si="934"/>
        <v>92.932043376250107</v>
      </c>
      <c r="M1028" s="168">
        <f t="shared" si="934"/>
        <v>0</v>
      </c>
      <c r="N1028" s="168">
        <f t="shared" si="934"/>
        <v>0.77638814412322776</v>
      </c>
      <c r="O1028" s="168">
        <f t="shared" si="934"/>
        <v>0</v>
      </c>
      <c r="P1028" s="168">
        <f t="shared" si="934"/>
        <v>0</v>
      </c>
      <c r="Q1028" s="190">
        <f>SUM(G1028:P1028)</f>
        <v>234618.27537354949</v>
      </c>
    </row>
    <row r="1029" spans="2:17" s="119" customFormat="1" ht="18.75" x14ac:dyDescent="0.25">
      <c r="B1029" s="310"/>
      <c r="C1029" s="119">
        <f t="shared" si="933"/>
        <v>1</v>
      </c>
      <c r="D1029" s="110" t="s">
        <v>132</v>
      </c>
      <c r="E1029" s="76" t="s">
        <v>56</v>
      </c>
      <c r="F1029" s="168">
        <f>+F$7*$E1025</f>
        <v>0</v>
      </c>
      <c r="G1029" s="168">
        <f>+G$7*$E1025</f>
        <v>0</v>
      </c>
      <c r="H1029" s="168">
        <f>+H$7*$E1025</f>
        <v>0</v>
      </c>
      <c r="I1029" s="168">
        <f>+I$7*$E1025</f>
        <v>0</v>
      </c>
      <c r="J1029" s="168">
        <f>+J$7*$E1025</f>
        <v>0</v>
      </c>
      <c r="K1029" s="168">
        <f t="shared" ref="K1029:P1029" si="935">+K$7*$E1025</f>
        <v>0</v>
      </c>
      <c r="L1029" s="168">
        <f t="shared" si="935"/>
        <v>0</v>
      </c>
      <c r="M1029" s="168">
        <f t="shared" si="935"/>
        <v>0</v>
      </c>
      <c r="N1029" s="168">
        <f t="shared" si="935"/>
        <v>0</v>
      </c>
      <c r="O1029" s="168">
        <f t="shared" si="935"/>
        <v>0</v>
      </c>
      <c r="P1029" s="168">
        <f t="shared" si="935"/>
        <v>0</v>
      </c>
      <c r="Q1029" s="190">
        <f>SUM(G1029:P1029)</f>
        <v>0</v>
      </c>
    </row>
    <row r="1030" spans="2:17" s="119" customFormat="1" ht="18.75" x14ac:dyDescent="0.25">
      <c r="B1030" s="310"/>
      <c r="C1030" s="119">
        <f t="shared" si="933"/>
        <v>1</v>
      </c>
      <c r="D1030" s="109" t="s">
        <v>91</v>
      </c>
      <c r="E1030" s="76" t="s">
        <v>55</v>
      </c>
      <c r="F1030" s="168">
        <f>+F$8*$E1025</f>
        <v>0.14096530531444121</v>
      </c>
      <c r="G1030" s="168">
        <f>+G$8*$E1025</f>
        <v>287.54667150313918</v>
      </c>
      <c r="H1030" s="168">
        <f>+H$8*$E1025</f>
        <v>0</v>
      </c>
      <c r="I1030" s="168">
        <f>+I$8*$E1025</f>
        <v>0</v>
      </c>
      <c r="J1030" s="168">
        <f>+J$8*$E1025</f>
        <v>4.3671833106931564</v>
      </c>
      <c r="K1030" s="168">
        <f t="shared" ref="K1030:P1030" si="936">+K$8*$E1025</f>
        <v>1.2939802402053795</v>
      </c>
      <c r="L1030" s="168">
        <f t="shared" si="936"/>
        <v>0</v>
      </c>
      <c r="M1030" s="168">
        <f t="shared" si="936"/>
        <v>0</v>
      </c>
      <c r="N1030" s="168">
        <f t="shared" si="936"/>
        <v>0</v>
      </c>
      <c r="O1030" s="168">
        <f t="shared" si="936"/>
        <v>0</v>
      </c>
      <c r="P1030" s="168">
        <f t="shared" si="936"/>
        <v>0</v>
      </c>
      <c r="Q1030" s="190">
        <f>SUM(G1030:P1030)</f>
        <v>293.20783505403773</v>
      </c>
    </row>
    <row r="1031" spans="2:17" s="119" customFormat="1" ht="18.75" x14ac:dyDescent="0.25">
      <c r="B1031" s="310"/>
      <c r="C1031" s="119">
        <f t="shared" si="933"/>
        <v>1</v>
      </c>
      <c r="D1031" s="130" t="s">
        <v>117</v>
      </c>
      <c r="E1031" s="76" t="s">
        <v>54</v>
      </c>
      <c r="F1031" s="168">
        <f>+F$9*$E1025</f>
        <v>0</v>
      </c>
      <c r="G1031" s="168">
        <f>+G$9*$E1025</f>
        <v>0</v>
      </c>
      <c r="H1031" s="168">
        <f>+H$9*$E1025</f>
        <v>0</v>
      </c>
      <c r="I1031" s="168">
        <f>+I$9*$E1025</f>
        <v>0</v>
      </c>
      <c r="J1031" s="168">
        <f>+J$9*$E1025</f>
        <v>0</v>
      </c>
      <c r="K1031" s="168">
        <f t="shared" ref="K1031:P1031" si="937">+K$9*$E1025</f>
        <v>0</v>
      </c>
      <c r="L1031" s="168">
        <f t="shared" si="937"/>
        <v>0</v>
      </c>
      <c r="M1031" s="168">
        <f t="shared" si="937"/>
        <v>0</v>
      </c>
      <c r="N1031" s="168">
        <f t="shared" si="937"/>
        <v>0</v>
      </c>
      <c r="O1031" s="168">
        <f t="shared" si="937"/>
        <v>0</v>
      </c>
      <c r="P1031" s="168">
        <f t="shared" si="937"/>
        <v>0</v>
      </c>
      <c r="Q1031" s="190">
        <f>SUM(G1031:P1031)</f>
        <v>0</v>
      </c>
    </row>
    <row r="1032" spans="2:17" s="119" customFormat="1" ht="18.75" x14ac:dyDescent="0.25">
      <c r="B1032" s="310"/>
      <c r="C1032" s="119">
        <f t="shared" si="933"/>
        <v>1</v>
      </c>
      <c r="D1032" s="112" t="s">
        <v>31</v>
      </c>
      <c r="E1032" s="76"/>
      <c r="F1032" s="167"/>
      <c r="G1032" s="185"/>
      <c r="H1032" s="185"/>
      <c r="I1032" s="185"/>
      <c r="J1032" s="185"/>
      <c r="K1032" s="185"/>
      <c r="L1032" s="185"/>
      <c r="M1032" s="185"/>
      <c r="N1032" s="185"/>
      <c r="O1032" s="185"/>
      <c r="P1032" s="185"/>
      <c r="Q1032" s="171"/>
    </row>
    <row r="1033" spans="2:17" s="119" customFormat="1" ht="18.75" x14ac:dyDescent="0.3">
      <c r="B1033" s="310"/>
      <c r="C1033" s="119">
        <f t="shared" si="933"/>
        <v>1</v>
      </c>
      <c r="D1033" s="125" t="s">
        <v>118</v>
      </c>
      <c r="E1033" s="76" t="s">
        <v>53</v>
      </c>
      <c r="F1033" s="168">
        <f>+F$11*$E1025</f>
        <v>0</v>
      </c>
      <c r="G1033" s="168">
        <f>+G$11*$E1025</f>
        <v>0</v>
      </c>
      <c r="H1033" s="168">
        <f>+H$11*$E1025</f>
        <v>0</v>
      </c>
      <c r="I1033" s="168">
        <f>+I$11*$E1025</f>
        <v>0</v>
      </c>
      <c r="J1033" s="168">
        <f>+J$11*$E1025</f>
        <v>0</v>
      </c>
      <c r="K1033" s="168">
        <f t="shared" ref="K1033:P1033" si="938">+K$11*$E1025</f>
        <v>0</v>
      </c>
      <c r="L1033" s="168">
        <f t="shared" si="938"/>
        <v>0</v>
      </c>
      <c r="M1033" s="168">
        <f t="shared" si="938"/>
        <v>0</v>
      </c>
      <c r="N1033" s="168">
        <f t="shared" si="938"/>
        <v>0</v>
      </c>
      <c r="O1033" s="168">
        <f t="shared" si="938"/>
        <v>0</v>
      </c>
      <c r="P1033" s="168">
        <f t="shared" si="938"/>
        <v>0</v>
      </c>
      <c r="Q1033" s="190">
        <f t="shared" ref="Q1033:Q1039" si="939">SUM(G1033:P1033)</f>
        <v>0</v>
      </c>
    </row>
    <row r="1034" spans="2:17" s="119" customFormat="1" ht="18.75" x14ac:dyDescent="0.3">
      <c r="B1034" s="310"/>
      <c r="C1034" s="119">
        <f t="shared" si="933"/>
        <v>1</v>
      </c>
      <c r="D1034" s="125" t="s">
        <v>119</v>
      </c>
      <c r="E1034" s="76" t="s">
        <v>52</v>
      </c>
      <c r="F1034" s="168">
        <f>+F$12*$E1025</f>
        <v>0</v>
      </c>
      <c r="G1034" s="168">
        <f>+G$12*$E1025</f>
        <v>0</v>
      </c>
      <c r="H1034" s="168">
        <f>+H$12*$E1025</f>
        <v>0</v>
      </c>
      <c r="I1034" s="168">
        <f>+I$12*$E1025</f>
        <v>0</v>
      </c>
      <c r="J1034" s="168">
        <f>+J$12*$E1025</f>
        <v>0</v>
      </c>
      <c r="K1034" s="168">
        <f t="shared" ref="K1034:P1034" si="940">+K$12*$E1025</f>
        <v>0</v>
      </c>
      <c r="L1034" s="168">
        <f t="shared" si="940"/>
        <v>0</v>
      </c>
      <c r="M1034" s="168">
        <f t="shared" si="940"/>
        <v>0</v>
      </c>
      <c r="N1034" s="168">
        <f t="shared" si="940"/>
        <v>0</v>
      </c>
      <c r="O1034" s="168">
        <f t="shared" si="940"/>
        <v>0</v>
      </c>
      <c r="P1034" s="168">
        <f t="shared" si="940"/>
        <v>0</v>
      </c>
      <c r="Q1034" s="190">
        <f t="shared" si="939"/>
        <v>0</v>
      </c>
    </row>
    <row r="1035" spans="2:17" s="119" customFormat="1" ht="18.75" x14ac:dyDescent="0.3">
      <c r="B1035" s="310"/>
      <c r="C1035" s="119">
        <f t="shared" si="933"/>
        <v>1</v>
      </c>
      <c r="D1035" s="125" t="s">
        <v>120</v>
      </c>
      <c r="E1035" s="76" t="s">
        <v>51</v>
      </c>
      <c r="F1035" s="168">
        <f>+F$13*$E1025</f>
        <v>0</v>
      </c>
      <c r="G1035" s="168">
        <f>+G$13*$E1025</f>
        <v>0</v>
      </c>
      <c r="H1035" s="168">
        <f>+H$13*$E1025</f>
        <v>0</v>
      </c>
      <c r="I1035" s="168">
        <f>+I$13*$E1025</f>
        <v>0</v>
      </c>
      <c r="J1035" s="168">
        <f>+J$13*$E1025</f>
        <v>0</v>
      </c>
      <c r="K1035" s="168">
        <f t="shared" ref="K1035:P1035" si="941">+K$13*$E1025</f>
        <v>0</v>
      </c>
      <c r="L1035" s="168">
        <f t="shared" si="941"/>
        <v>0</v>
      </c>
      <c r="M1035" s="168">
        <f t="shared" si="941"/>
        <v>0</v>
      </c>
      <c r="N1035" s="168">
        <f t="shared" si="941"/>
        <v>0</v>
      </c>
      <c r="O1035" s="168">
        <f t="shared" si="941"/>
        <v>0</v>
      </c>
      <c r="P1035" s="168">
        <f t="shared" si="941"/>
        <v>0</v>
      </c>
      <c r="Q1035" s="190">
        <f t="shared" si="939"/>
        <v>0</v>
      </c>
    </row>
    <row r="1036" spans="2:17" s="119" customFormat="1" ht="18.75" x14ac:dyDescent="0.3">
      <c r="B1036" s="310"/>
      <c r="C1036" s="119">
        <f t="shared" si="933"/>
        <v>1</v>
      </c>
      <c r="D1036" s="125" t="s">
        <v>121</v>
      </c>
      <c r="E1036" s="76" t="s">
        <v>50</v>
      </c>
      <c r="F1036" s="168">
        <f>+F$14*$E1025</f>
        <v>0</v>
      </c>
      <c r="G1036" s="168">
        <f>+G$14*$E1025</f>
        <v>0</v>
      </c>
      <c r="H1036" s="168">
        <f>+H$14*$E1025</f>
        <v>0</v>
      </c>
      <c r="I1036" s="168">
        <f>+I$14*$E1025</f>
        <v>0</v>
      </c>
      <c r="J1036" s="168">
        <f>+J$14*$E1025</f>
        <v>0</v>
      </c>
      <c r="K1036" s="168">
        <f t="shared" ref="K1036:P1036" si="942">+K$14*$E1025</f>
        <v>0</v>
      </c>
      <c r="L1036" s="168">
        <f t="shared" si="942"/>
        <v>0</v>
      </c>
      <c r="M1036" s="168">
        <f t="shared" si="942"/>
        <v>0</v>
      </c>
      <c r="N1036" s="168">
        <f t="shared" si="942"/>
        <v>0</v>
      </c>
      <c r="O1036" s="168">
        <f t="shared" si="942"/>
        <v>0</v>
      </c>
      <c r="P1036" s="168">
        <f t="shared" si="942"/>
        <v>0</v>
      </c>
      <c r="Q1036" s="190">
        <f t="shared" si="939"/>
        <v>0</v>
      </c>
    </row>
    <row r="1037" spans="2:17" s="119" customFormat="1" ht="18.75" x14ac:dyDescent="0.3">
      <c r="B1037" s="310"/>
      <c r="C1037" s="119">
        <f t="shared" si="933"/>
        <v>1</v>
      </c>
      <c r="D1037" s="125" t="s">
        <v>122</v>
      </c>
      <c r="E1037" s="76" t="s">
        <v>49</v>
      </c>
      <c r="F1037" s="168">
        <f>+F$15*$E1025</f>
        <v>0</v>
      </c>
      <c r="G1037" s="168">
        <f>+G$15*$E1025</f>
        <v>0</v>
      </c>
      <c r="H1037" s="168">
        <f>+H$15*$E1025</f>
        <v>0</v>
      </c>
      <c r="I1037" s="168">
        <f>+I$15*$E1025</f>
        <v>0</v>
      </c>
      <c r="J1037" s="168">
        <f>+J$15*$E1025</f>
        <v>0</v>
      </c>
      <c r="K1037" s="168">
        <f t="shared" ref="K1037:P1037" si="943">+K$15*$E1025</f>
        <v>0</v>
      </c>
      <c r="L1037" s="168">
        <f t="shared" si="943"/>
        <v>0</v>
      </c>
      <c r="M1037" s="168">
        <f t="shared" si="943"/>
        <v>0</v>
      </c>
      <c r="N1037" s="168">
        <f t="shared" si="943"/>
        <v>0</v>
      </c>
      <c r="O1037" s="168">
        <f t="shared" si="943"/>
        <v>0</v>
      </c>
      <c r="P1037" s="168">
        <f t="shared" si="943"/>
        <v>0</v>
      </c>
      <c r="Q1037" s="190">
        <f t="shared" si="939"/>
        <v>0</v>
      </c>
    </row>
    <row r="1038" spans="2:17" s="119" customFormat="1" ht="18.75" x14ac:dyDescent="0.3">
      <c r="B1038" s="310"/>
      <c r="C1038" s="119">
        <f t="shared" si="933"/>
        <v>1</v>
      </c>
      <c r="D1038" s="125" t="s">
        <v>123</v>
      </c>
      <c r="E1038" s="76" t="s">
        <v>47</v>
      </c>
      <c r="F1038" s="168">
        <f>+F$16*$E1025</f>
        <v>0</v>
      </c>
      <c r="G1038" s="168">
        <f>+G$16*$E1025</f>
        <v>0</v>
      </c>
      <c r="H1038" s="168">
        <f>+H$16*$E1025</f>
        <v>0</v>
      </c>
      <c r="I1038" s="168">
        <f>+I$16*$E1025</f>
        <v>0</v>
      </c>
      <c r="J1038" s="168">
        <f>+J$16*$E1025</f>
        <v>0</v>
      </c>
      <c r="K1038" s="168">
        <f t="shared" ref="K1038:P1038" si="944">+K$16*$E1025</f>
        <v>0</v>
      </c>
      <c r="L1038" s="168">
        <f t="shared" si="944"/>
        <v>0</v>
      </c>
      <c r="M1038" s="168">
        <f t="shared" si="944"/>
        <v>0</v>
      </c>
      <c r="N1038" s="168">
        <f t="shared" si="944"/>
        <v>0</v>
      </c>
      <c r="O1038" s="168">
        <f t="shared" si="944"/>
        <v>0</v>
      </c>
      <c r="P1038" s="168">
        <f t="shared" si="944"/>
        <v>0</v>
      </c>
      <c r="Q1038" s="190">
        <f t="shared" si="939"/>
        <v>0</v>
      </c>
    </row>
    <row r="1039" spans="2:17" s="119" customFormat="1" ht="19.5" thickBot="1" x14ac:dyDescent="0.35">
      <c r="B1039" s="310"/>
      <c r="C1039" s="119">
        <f t="shared" si="933"/>
        <v>1</v>
      </c>
      <c r="D1039" s="125" t="s">
        <v>16</v>
      </c>
      <c r="E1039" s="70" t="s">
        <v>77</v>
      </c>
      <c r="F1039" s="168">
        <f>+F$17*$E1025</f>
        <v>7.4555969922288847</v>
      </c>
      <c r="G1039" s="168">
        <f>+G$17*$E1025</f>
        <v>13455.885302789578</v>
      </c>
      <c r="H1039" s="168">
        <f>+H$17*$E1025</f>
        <v>262.19621907280003</v>
      </c>
      <c r="I1039" s="168">
        <f>+I$17*$E1025</f>
        <v>0</v>
      </c>
      <c r="J1039" s="168">
        <f>+J$17*$E1025</f>
        <v>0</v>
      </c>
      <c r="K1039" s="168">
        <f t="shared" ref="K1039:P1039" si="945">+K$17*$E1025</f>
        <v>939.56045822175406</v>
      </c>
      <c r="L1039" s="168">
        <f t="shared" si="945"/>
        <v>0</v>
      </c>
      <c r="M1039" s="168">
        <f t="shared" si="945"/>
        <v>0.50429502082805022</v>
      </c>
      <c r="N1039" s="168">
        <f t="shared" si="945"/>
        <v>0</v>
      </c>
      <c r="O1039" s="168">
        <f t="shared" si="945"/>
        <v>0</v>
      </c>
      <c r="P1039" s="168">
        <f t="shared" si="945"/>
        <v>849.49546873111774</v>
      </c>
      <c r="Q1039" s="190">
        <f t="shared" si="939"/>
        <v>15507.64174383608</v>
      </c>
    </row>
    <row r="1040" spans="2:17" s="119" customFormat="1" ht="19.5" thickBot="1" x14ac:dyDescent="0.3">
      <c r="B1040" s="310"/>
      <c r="C1040" s="119">
        <f t="shared" si="933"/>
        <v>1</v>
      </c>
      <c r="D1040" s="131" t="s">
        <v>124</v>
      </c>
      <c r="E1040" s="116" t="s">
        <v>78</v>
      </c>
      <c r="F1040" s="169">
        <f t="shared" ref="F1040:Q1040" si="946">SUBTOTAL(9,F1028:F1039)</f>
        <v>120.39381007328829</v>
      </c>
      <c r="G1040" s="170">
        <f t="shared" si="946"/>
        <v>230531.71423170783</v>
      </c>
      <c r="H1040" s="170">
        <f t="shared" si="946"/>
        <v>10362.395215442615</v>
      </c>
      <c r="I1040" s="170">
        <f t="shared" si="946"/>
        <v>34.349675961431956</v>
      </c>
      <c r="J1040" s="170">
        <f t="shared" si="946"/>
        <v>3628.7589293422543</v>
      </c>
      <c r="K1040" s="170">
        <f t="shared" ref="K1040:P1040" si="947">SUBTOTAL(9,K1028:K1039)</f>
        <v>4918.1987047131406</v>
      </c>
      <c r="L1040" s="170">
        <f t="shared" si="947"/>
        <v>92.932043376250107</v>
      </c>
      <c r="M1040" s="170">
        <f t="shared" si="947"/>
        <v>0.50429502082805022</v>
      </c>
      <c r="N1040" s="170">
        <f t="shared" si="947"/>
        <v>0.77638814412322776</v>
      </c>
      <c r="O1040" s="170">
        <f t="shared" si="947"/>
        <v>0</v>
      </c>
      <c r="P1040" s="170">
        <f t="shared" si="947"/>
        <v>849.49546873111774</v>
      </c>
      <c r="Q1040" s="170">
        <f t="shared" si="946"/>
        <v>250419.1249524396</v>
      </c>
    </row>
    <row r="1041" spans="2:17" s="119" customFormat="1" hidden="1" x14ac:dyDescent="0.25">
      <c r="B1041" s="310"/>
      <c r="D1041" s="117"/>
      <c r="E1041" s="132"/>
      <c r="F1041" s="117"/>
      <c r="G1041" s="117"/>
      <c r="H1041" s="118"/>
      <c r="I1041" s="118"/>
      <c r="J1041" s="118"/>
      <c r="K1041" s="118"/>
      <c r="L1041" s="118"/>
      <c r="M1041" s="118"/>
      <c r="N1041" s="118"/>
      <c r="O1041" s="118"/>
      <c r="P1041" s="118"/>
      <c r="Q1041" s="118"/>
    </row>
    <row r="1042" spans="2:17" s="119" customFormat="1" ht="45" hidden="1" x14ac:dyDescent="0.25">
      <c r="B1042" s="310"/>
      <c r="C1042" s="119">
        <f>IF(E1042&gt;0,1,0)</f>
        <v>0</v>
      </c>
      <c r="D1042" s="96" t="str">
        <f>+A64</f>
        <v>Wyoming</v>
      </c>
      <c r="E1042" s="166">
        <f>+SUMIF(A:A,D1042,B:B)</f>
        <v>0</v>
      </c>
      <c r="F1042" s="98" t="s">
        <v>97</v>
      </c>
      <c r="G1042" s="98" t="s">
        <v>126</v>
      </c>
      <c r="H1042" s="98" t="s">
        <v>127</v>
      </c>
      <c r="I1042" s="99" t="s">
        <v>128</v>
      </c>
      <c r="J1042" s="99" t="s">
        <v>131</v>
      </c>
      <c r="K1042" s="560" t="s">
        <v>474</v>
      </c>
      <c r="L1042" s="560" t="s">
        <v>475</v>
      </c>
      <c r="M1042" s="560" t="s">
        <v>476</v>
      </c>
      <c r="N1042" s="560" t="s">
        <v>477</v>
      </c>
      <c r="O1042" s="560" t="s">
        <v>478</v>
      </c>
      <c r="P1042" s="560" t="s">
        <v>479</v>
      </c>
      <c r="Q1042" s="99" t="s">
        <v>129</v>
      </c>
    </row>
    <row r="1043" spans="2:17" s="119" customFormat="1" ht="18.75" hidden="1" x14ac:dyDescent="0.25">
      <c r="B1043" s="310"/>
      <c r="C1043" s="119">
        <f>C1042</f>
        <v>0</v>
      </c>
      <c r="D1043" s="127"/>
      <c r="E1043" s="128"/>
      <c r="F1043" s="84" t="s">
        <v>57</v>
      </c>
      <c r="G1043" s="84" t="s">
        <v>56</v>
      </c>
      <c r="H1043" s="84" t="s">
        <v>55</v>
      </c>
      <c r="I1043" s="84" t="s">
        <v>54</v>
      </c>
      <c r="J1043" s="129" t="s">
        <v>53</v>
      </c>
      <c r="K1043" s="129" t="s">
        <v>52</v>
      </c>
      <c r="L1043" s="129" t="s">
        <v>51</v>
      </c>
      <c r="M1043" s="129" t="s">
        <v>50</v>
      </c>
      <c r="N1043" s="129" t="s">
        <v>49</v>
      </c>
      <c r="O1043" s="129" t="s">
        <v>47</v>
      </c>
      <c r="P1043" s="129" t="s">
        <v>77</v>
      </c>
      <c r="Q1043" s="129" t="s">
        <v>78</v>
      </c>
    </row>
    <row r="1044" spans="2:17" s="119" customFormat="1" ht="18.75" hidden="1" x14ac:dyDescent="0.25">
      <c r="B1044" s="310"/>
      <c r="C1044" s="119">
        <f>C1043</f>
        <v>0</v>
      </c>
      <c r="D1044" s="133" t="s">
        <v>26</v>
      </c>
      <c r="E1044" s="134"/>
      <c r="F1044" s="135"/>
      <c r="G1044" s="135"/>
      <c r="H1044" s="136"/>
      <c r="I1044" s="136"/>
      <c r="J1044" s="137"/>
      <c r="K1044" s="137"/>
      <c r="L1044" s="137"/>
      <c r="M1044" s="137"/>
      <c r="N1044" s="137"/>
      <c r="O1044" s="137"/>
      <c r="P1044" s="137"/>
      <c r="Q1044" s="138"/>
    </row>
    <row r="1045" spans="2:17" s="119" customFormat="1" ht="18.75" hidden="1" x14ac:dyDescent="0.25">
      <c r="B1045" s="310"/>
      <c r="C1045" s="119">
        <f t="shared" ref="C1045:C1057" si="948">C1044</f>
        <v>0</v>
      </c>
      <c r="D1045" s="109" t="s">
        <v>93</v>
      </c>
      <c r="E1045" s="76" t="s">
        <v>57</v>
      </c>
      <c r="F1045" s="168">
        <f>+F$6*$E1042</f>
        <v>0</v>
      </c>
      <c r="G1045" s="168">
        <f>+G$6*$E1042</f>
        <v>0</v>
      </c>
      <c r="H1045" s="168">
        <f>+H$6*$E1042</f>
        <v>0</v>
      </c>
      <c r="I1045" s="168">
        <f>+I$6*$E1042</f>
        <v>0</v>
      </c>
      <c r="J1045" s="168">
        <f>+J$6*$E1042</f>
        <v>0</v>
      </c>
      <c r="K1045" s="168">
        <f t="shared" ref="K1045:P1045" si="949">+K$6*$E1042</f>
        <v>0</v>
      </c>
      <c r="L1045" s="168">
        <f t="shared" si="949"/>
        <v>0</v>
      </c>
      <c r="M1045" s="168">
        <f t="shared" si="949"/>
        <v>0</v>
      </c>
      <c r="N1045" s="168">
        <f t="shared" si="949"/>
        <v>0</v>
      </c>
      <c r="O1045" s="168">
        <f t="shared" si="949"/>
        <v>0</v>
      </c>
      <c r="P1045" s="168">
        <f t="shared" si="949"/>
        <v>0</v>
      </c>
      <c r="Q1045" s="190">
        <f>SUM(G1045:P1045)</f>
        <v>0</v>
      </c>
    </row>
    <row r="1046" spans="2:17" s="119" customFormat="1" ht="18.75" hidden="1" x14ac:dyDescent="0.25">
      <c r="B1046" s="310"/>
      <c r="C1046" s="119">
        <f t="shared" si="948"/>
        <v>0</v>
      </c>
      <c r="D1046" s="110" t="s">
        <v>132</v>
      </c>
      <c r="E1046" s="76" t="s">
        <v>56</v>
      </c>
      <c r="F1046" s="168">
        <f>+F$7*$E1042</f>
        <v>0</v>
      </c>
      <c r="G1046" s="168">
        <f>+G$7*$E1042</f>
        <v>0</v>
      </c>
      <c r="H1046" s="168">
        <f>+H$7*$E1042</f>
        <v>0</v>
      </c>
      <c r="I1046" s="168">
        <f>+I$7*$E1042</f>
        <v>0</v>
      </c>
      <c r="J1046" s="168">
        <f>+J$7*$E1042</f>
        <v>0</v>
      </c>
      <c r="K1046" s="168">
        <f t="shared" ref="K1046:P1046" si="950">+K$7*$E1042</f>
        <v>0</v>
      </c>
      <c r="L1046" s="168">
        <f t="shared" si="950"/>
        <v>0</v>
      </c>
      <c r="M1046" s="168">
        <f t="shared" si="950"/>
        <v>0</v>
      </c>
      <c r="N1046" s="168">
        <f t="shared" si="950"/>
        <v>0</v>
      </c>
      <c r="O1046" s="168">
        <f t="shared" si="950"/>
        <v>0</v>
      </c>
      <c r="P1046" s="168">
        <f t="shared" si="950"/>
        <v>0</v>
      </c>
      <c r="Q1046" s="190">
        <f>SUM(G1046:P1046)</f>
        <v>0</v>
      </c>
    </row>
    <row r="1047" spans="2:17" s="119" customFormat="1" ht="18.75" hidden="1" x14ac:dyDescent="0.25">
      <c r="B1047" s="310"/>
      <c r="C1047" s="119">
        <f t="shared" si="948"/>
        <v>0</v>
      </c>
      <c r="D1047" s="109" t="s">
        <v>91</v>
      </c>
      <c r="E1047" s="76" t="s">
        <v>55</v>
      </c>
      <c r="F1047" s="168">
        <f>+F$8*$E1042</f>
        <v>0</v>
      </c>
      <c r="G1047" s="168">
        <f>+G$8*$E1042</f>
        <v>0</v>
      </c>
      <c r="H1047" s="168">
        <f>+H$8*$E1042</f>
        <v>0</v>
      </c>
      <c r="I1047" s="168">
        <f>+I$8*$E1042</f>
        <v>0</v>
      </c>
      <c r="J1047" s="168">
        <f>+J$8*$E1042</f>
        <v>0</v>
      </c>
      <c r="K1047" s="168">
        <f t="shared" ref="K1047:P1047" si="951">+K$8*$E1042</f>
        <v>0</v>
      </c>
      <c r="L1047" s="168">
        <f t="shared" si="951"/>
        <v>0</v>
      </c>
      <c r="M1047" s="168">
        <f t="shared" si="951"/>
        <v>0</v>
      </c>
      <c r="N1047" s="168">
        <f t="shared" si="951"/>
        <v>0</v>
      </c>
      <c r="O1047" s="168">
        <f t="shared" si="951"/>
        <v>0</v>
      </c>
      <c r="P1047" s="168">
        <f t="shared" si="951"/>
        <v>0</v>
      </c>
      <c r="Q1047" s="190">
        <f>SUM(G1047:P1047)</f>
        <v>0</v>
      </c>
    </row>
    <row r="1048" spans="2:17" s="119" customFormat="1" ht="18.75" hidden="1" x14ac:dyDescent="0.25">
      <c r="B1048" s="310"/>
      <c r="C1048" s="119">
        <f t="shared" si="948"/>
        <v>0</v>
      </c>
      <c r="D1048" s="130" t="s">
        <v>117</v>
      </c>
      <c r="E1048" s="76" t="s">
        <v>54</v>
      </c>
      <c r="F1048" s="168">
        <f>+F$9*$E1042</f>
        <v>0</v>
      </c>
      <c r="G1048" s="168">
        <f>+G$9*$E1042</f>
        <v>0</v>
      </c>
      <c r="H1048" s="168">
        <f>+H$9*$E1042</f>
        <v>0</v>
      </c>
      <c r="I1048" s="168">
        <f>+I$9*$E1042</f>
        <v>0</v>
      </c>
      <c r="J1048" s="168">
        <f>+J$9*$E1042</f>
        <v>0</v>
      </c>
      <c r="K1048" s="168">
        <f t="shared" ref="K1048:P1048" si="952">+K$9*$E1042</f>
        <v>0</v>
      </c>
      <c r="L1048" s="168">
        <f t="shared" si="952"/>
        <v>0</v>
      </c>
      <c r="M1048" s="168">
        <f t="shared" si="952"/>
        <v>0</v>
      </c>
      <c r="N1048" s="168">
        <f t="shared" si="952"/>
        <v>0</v>
      </c>
      <c r="O1048" s="168">
        <f t="shared" si="952"/>
        <v>0</v>
      </c>
      <c r="P1048" s="168">
        <f t="shared" si="952"/>
        <v>0</v>
      </c>
      <c r="Q1048" s="190">
        <f>SUM(G1048:P1048)</f>
        <v>0</v>
      </c>
    </row>
    <row r="1049" spans="2:17" s="119" customFormat="1" ht="18.75" hidden="1" x14ac:dyDescent="0.25">
      <c r="B1049" s="310"/>
      <c r="C1049" s="119">
        <f t="shared" si="948"/>
        <v>0</v>
      </c>
      <c r="D1049" s="112" t="s">
        <v>31</v>
      </c>
      <c r="E1049" s="76"/>
      <c r="F1049" s="167"/>
      <c r="G1049" s="185"/>
      <c r="H1049" s="185"/>
      <c r="I1049" s="185"/>
      <c r="J1049" s="185"/>
      <c r="K1049" s="185"/>
      <c r="L1049" s="185"/>
      <c r="M1049" s="185"/>
      <c r="N1049" s="185"/>
      <c r="O1049" s="185"/>
      <c r="P1049" s="185"/>
      <c r="Q1049" s="171"/>
    </row>
    <row r="1050" spans="2:17" s="119" customFormat="1" ht="18.75" hidden="1" x14ac:dyDescent="0.3">
      <c r="B1050" s="310"/>
      <c r="C1050" s="119">
        <f t="shared" si="948"/>
        <v>0</v>
      </c>
      <c r="D1050" s="125" t="s">
        <v>118</v>
      </c>
      <c r="E1050" s="76" t="s">
        <v>53</v>
      </c>
      <c r="F1050" s="168">
        <f>+F$11*$E1042</f>
        <v>0</v>
      </c>
      <c r="G1050" s="168">
        <f>+G$11*$E1042</f>
        <v>0</v>
      </c>
      <c r="H1050" s="168">
        <f>+H$11*$E1042</f>
        <v>0</v>
      </c>
      <c r="I1050" s="168">
        <f>+I$11*$E1042</f>
        <v>0</v>
      </c>
      <c r="J1050" s="168">
        <f>+J$11*$E1042</f>
        <v>0</v>
      </c>
      <c r="K1050" s="168">
        <f t="shared" ref="K1050:P1050" si="953">+K$11*$E1042</f>
        <v>0</v>
      </c>
      <c r="L1050" s="168">
        <f t="shared" si="953"/>
        <v>0</v>
      </c>
      <c r="M1050" s="168">
        <f t="shared" si="953"/>
        <v>0</v>
      </c>
      <c r="N1050" s="168">
        <f t="shared" si="953"/>
        <v>0</v>
      </c>
      <c r="O1050" s="168">
        <f t="shared" si="953"/>
        <v>0</v>
      </c>
      <c r="P1050" s="168">
        <f t="shared" si="953"/>
        <v>0</v>
      </c>
      <c r="Q1050" s="190">
        <f t="shared" ref="Q1050:Q1056" si="954">SUM(G1050:P1050)</f>
        <v>0</v>
      </c>
    </row>
    <row r="1051" spans="2:17" s="119" customFormat="1" ht="18.75" hidden="1" x14ac:dyDescent="0.3">
      <c r="B1051" s="310"/>
      <c r="C1051" s="119">
        <f t="shared" si="948"/>
        <v>0</v>
      </c>
      <c r="D1051" s="125" t="s">
        <v>119</v>
      </c>
      <c r="E1051" s="76" t="s">
        <v>52</v>
      </c>
      <c r="F1051" s="168">
        <f>+F$12*$E1042</f>
        <v>0</v>
      </c>
      <c r="G1051" s="168">
        <f>+G$12*$E1042</f>
        <v>0</v>
      </c>
      <c r="H1051" s="168">
        <f>+H$12*$E1042</f>
        <v>0</v>
      </c>
      <c r="I1051" s="168">
        <f>+I$12*$E1042</f>
        <v>0</v>
      </c>
      <c r="J1051" s="168">
        <f>+J$12*$E1042</f>
        <v>0</v>
      </c>
      <c r="K1051" s="168">
        <f t="shared" ref="K1051:P1051" si="955">+K$12*$E1042</f>
        <v>0</v>
      </c>
      <c r="L1051" s="168">
        <f t="shared" si="955"/>
        <v>0</v>
      </c>
      <c r="M1051" s="168">
        <f t="shared" si="955"/>
        <v>0</v>
      </c>
      <c r="N1051" s="168">
        <f t="shared" si="955"/>
        <v>0</v>
      </c>
      <c r="O1051" s="168">
        <f t="shared" si="955"/>
        <v>0</v>
      </c>
      <c r="P1051" s="168">
        <f t="shared" si="955"/>
        <v>0</v>
      </c>
      <c r="Q1051" s="190">
        <f t="shared" si="954"/>
        <v>0</v>
      </c>
    </row>
    <row r="1052" spans="2:17" s="119" customFormat="1" ht="18.75" hidden="1" x14ac:dyDescent="0.3">
      <c r="B1052" s="310"/>
      <c r="C1052" s="119">
        <f t="shared" si="948"/>
        <v>0</v>
      </c>
      <c r="D1052" s="125" t="s">
        <v>120</v>
      </c>
      <c r="E1052" s="76" t="s">
        <v>51</v>
      </c>
      <c r="F1052" s="168">
        <f>+F$13*$E1042</f>
        <v>0</v>
      </c>
      <c r="G1052" s="168">
        <f>+G$13*$E1042</f>
        <v>0</v>
      </c>
      <c r="H1052" s="168">
        <f>+H$13*$E1042</f>
        <v>0</v>
      </c>
      <c r="I1052" s="168">
        <f>+I$13*$E1042</f>
        <v>0</v>
      </c>
      <c r="J1052" s="168">
        <f>+J$13*$E1042</f>
        <v>0</v>
      </c>
      <c r="K1052" s="168">
        <f t="shared" ref="K1052:P1052" si="956">+K$13*$E1042</f>
        <v>0</v>
      </c>
      <c r="L1052" s="168">
        <f t="shared" si="956"/>
        <v>0</v>
      </c>
      <c r="M1052" s="168">
        <f t="shared" si="956"/>
        <v>0</v>
      </c>
      <c r="N1052" s="168">
        <f t="shared" si="956"/>
        <v>0</v>
      </c>
      <c r="O1052" s="168">
        <f t="shared" si="956"/>
        <v>0</v>
      </c>
      <c r="P1052" s="168">
        <f t="shared" si="956"/>
        <v>0</v>
      </c>
      <c r="Q1052" s="190">
        <f t="shared" si="954"/>
        <v>0</v>
      </c>
    </row>
    <row r="1053" spans="2:17" s="119" customFormat="1" ht="18.75" hidden="1" x14ac:dyDescent="0.3">
      <c r="B1053" s="310"/>
      <c r="C1053" s="119">
        <f t="shared" si="948"/>
        <v>0</v>
      </c>
      <c r="D1053" s="125" t="s">
        <v>121</v>
      </c>
      <c r="E1053" s="76" t="s">
        <v>50</v>
      </c>
      <c r="F1053" s="168">
        <f>+F$14*$E1042</f>
        <v>0</v>
      </c>
      <c r="G1053" s="168">
        <f>+G$14*$E1042</f>
        <v>0</v>
      </c>
      <c r="H1053" s="168">
        <f>+H$14*$E1042</f>
        <v>0</v>
      </c>
      <c r="I1053" s="168">
        <f>+I$14*$E1042</f>
        <v>0</v>
      </c>
      <c r="J1053" s="168">
        <f>+J$14*$E1042</f>
        <v>0</v>
      </c>
      <c r="K1053" s="168">
        <f t="shared" ref="K1053:P1053" si="957">+K$14*$E1042</f>
        <v>0</v>
      </c>
      <c r="L1053" s="168">
        <f t="shared" si="957"/>
        <v>0</v>
      </c>
      <c r="M1053" s="168">
        <f t="shared" si="957"/>
        <v>0</v>
      </c>
      <c r="N1053" s="168">
        <f t="shared" si="957"/>
        <v>0</v>
      </c>
      <c r="O1053" s="168">
        <f t="shared" si="957"/>
        <v>0</v>
      </c>
      <c r="P1053" s="168">
        <f t="shared" si="957"/>
        <v>0</v>
      </c>
      <c r="Q1053" s="190">
        <f t="shared" si="954"/>
        <v>0</v>
      </c>
    </row>
    <row r="1054" spans="2:17" s="119" customFormat="1" ht="18.75" hidden="1" x14ac:dyDescent="0.3">
      <c r="B1054" s="310"/>
      <c r="C1054" s="119">
        <f t="shared" si="948"/>
        <v>0</v>
      </c>
      <c r="D1054" s="125" t="s">
        <v>122</v>
      </c>
      <c r="E1054" s="76" t="s">
        <v>49</v>
      </c>
      <c r="F1054" s="168">
        <f>+F$15*$E1042</f>
        <v>0</v>
      </c>
      <c r="G1054" s="168">
        <f>+G$15*$E1042</f>
        <v>0</v>
      </c>
      <c r="H1054" s="168">
        <f>+H$15*$E1042</f>
        <v>0</v>
      </c>
      <c r="I1054" s="168">
        <f>+I$15*$E1042</f>
        <v>0</v>
      </c>
      <c r="J1054" s="168">
        <f>+J$15*$E1042</f>
        <v>0</v>
      </c>
      <c r="K1054" s="168">
        <f t="shared" ref="K1054:P1054" si="958">+K$15*$E1042</f>
        <v>0</v>
      </c>
      <c r="L1054" s="168">
        <f t="shared" si="958"/>
        <v>0</v>
      </c>
      <c r="M1054" s="168">
        <f t="shared" si="958"/>
        <v>0</v>
      </c>
      <c r="N1054" s="168">
        <f t="shared" si="958"/>
        <v>0</v>
      </c>
      <c r="O1054" s="168">
        <f t="shared" si="958"/>
        <v>0</v>
      </c>
      <c r="P1054" s="168">
        <f t="shared" si="958"/>
        <v>0</v>
      </c>
      <c r="Q1054" s="190">
        <f t="shared" si="954"/>
        <v>0</v>
      </c>
    </row>
    <row r="1055" spans="2:17" s="119" customFormat="1" ht="18.75" hidden="1" x14ac:dyDescent="0.3">
      <c r="B1055" s="310"/>
      <c r="C1055" s="119">
        <f t="shared" si="948"/>
        <v>0</v>
      </c>
      <c r="D1055" s="125" t="s">
        <v>123</v>
      </c>
      <c r="E1055" s="76" t="s">
        <v>47</v>
      </c>
      <c r="F1055" s="168">
        <f>+F$16*$E1042</f>
        <v>0</v>
      </c>
      <c r="G1055" s="168">
        <f>+G$16*$E1042</f>
        <v>0</v>
      </c>
      <c r="H1055" s="168">
        <f>+H$16*$E1042</f>
        <v>0</v>
      </c>
      <c r="I1055" s="168">
        <f>+I$16*$E1042</f>
        <v>0</v>
      </c>
      <c r="J1055" s="168">
        <f>+J$16*$E1042</f>
        <v>0</v>
      </c>
      <c r="K1055" s="168">
        <f t="shared" ref="K1055:P1055" si="959">+K$16*$E1042</f>
        <v>0</v>
      </c>
      <c r="L1055" s="168">
        <f t="shared" si="959"/>
        <v>0</v>
      </c>
      <c r="M1055" s="168">
        <f t="shared" si="959"/>
        <v>0</v>
      </c>
      <c r="N1055" s="168">
        <f t="shared" si="959"/>
        <v>0</v>
      </c>
      <c r="O1055" s="168">
        <f t="shared" si="959"/>
        <v>0</v>
      </c>
      <c r="P1055" s="168">
        <f t="shared" si="959"/>
        <v>0</v>
      </c>
      <c r="Q1055" s="190">
        <f t="shared" si="954"/>
        <v>0</v>
      </c>
    </row>
    <row r="1056" spans="2:17" s="119" customFormat="1" ht="19.5" hidden="1" thickBot="1" x14ac:dyDescent="0.35">
      <c r="B1056" s="310"/>
      <c r="C1056" s="119">
        <f t="shared" si="948"/>
        <v>0</v>
      </c>
      <c r="D1056" s="125" t="s">
        <v>16</v>
      </c>
      <c r="E1056" s="70" t="s">
        <v>77</v>
      </c>
      <c r="F1056" s="168">
        <f>+F$17*$E1042</f>
        <v>0</v>
      </c>
      <c r="G1056" s="168">
        <f>+G$17*$E1042</f>
        <v>0</v>
      </c>
      <c r="H1056" s="168">
        <f>+H$17*$E1042</f>
        <v>0</v>
      </c>
      <c r="I1056" s="168">
        <f>+I$17*$E1042</f>
        <v>0</v>
      </c>
      <c r="J1056" s="168">
        <f>+J$17*$E1042</f>
        <v>0</v>
      </c>
      <c r="K1056" s="168">
        <f t="shared" ref="K1056:P1056" si="960">+K$17*$E1042</f>
        <v>0</v>
      </c>
      <c r="L1056" s="168">
        <f t="shared" si="960"/>
        <v>0</v>
      </c>
      <c r="M1056" s="168">
        <f t="shared" si="960"/>
        <v>0</v>
      </c>
      <c r="N1056" s="168">
        <f t="shared" si="960"/>
        <v>0</v>
      </c>
      <c r="O1056" s="168">
        <f t="shared" si="960"/>
        <v>0</v>
      </c>
      <c r="P1056" s="168">
        <f t="shared" si="960"/>
        <v>0</v>
      </c>
      <c r="Q1056" s="190">
        <f t="shared" si="954"/>
        <v>0</v>
      </c>
    </row>
    <row r="1057" spans="2:17" s="119" customFormat="1" ht="19.5" hidden="1" thickBot="1" x14ac:dyDescent="0.3">
      <c r="B1057" s="310"/>
      <c r="C1057" s="119">
        <f t="shared" si="948"/>
        <v>0</v>
      </c>
      <c r="D1057" s="131" t="s">
        <v>124</v>
      </c>
      <c r="E1057" s="116" t="s">
        <v>78</v>
      </c>
      <c r="F1057" s="169">
        <f t="shared" ref="F1057:Q1057" si="961">SUBTOTAL(9,F1045:F1056)</f>
        <v>0</v>
      </c>
      <c r="G1057" s="170">
        <f t="shared" si="961"/>
        <v>0</v>
      </c>
      <c r="H1057" s="170">
        <f t="shared" si="961"/>
        <v>0</v>
      </c>
      <c r="I1057" s="170">
        <f t="shared" si="961"/>
        <v>0</v>
      </c>
      <c r="J1057" s="170">
        <f t="shared" si="961"/>
        <v>0</v>
      </c>
      <c r="K1057" s="170">
        <f t="shared" ref="K1057:P1057" si="962">SUBTOTAL(9,K1045:K1056)</f>
        <v>0</v>
      </c>
      <c r="L1057" s="170">
        <f t="shared" si="962"/>
        <v>0</v>
      </c>
      <c r="M1057" s="170">
        <f t="shared" si="962"/>
        <v>0</v>
      </c>
      <c r="N1057" s="170">
        <f t="shared" si="962"/>
        <v>0</v>
      </c>
      <c r="O1057" s="170">
        <f t="shared" si="962"/>
        <v>0</v>
      </c>
      <c r="P1057" s="170">
        <f t="shared" si="962"/>
        <v>0</v>
      </c>
      <c r="Q1057" s="170">
        <f t="shared" si="961"/>
        <v>0</v>
      </c>
    </row>
    <row r="1058" spans="2:17" s="119" customFormat="1" hidden="1" x14ac:dyDescent="0.25">
      <c r="B1058" s="310"/>
      <c r="D1058" s="117"/>
      <c r="E1058" s="132"/>
      <c r="F1058" s="117"/>
      <c r="G1058" s="117"/>
      <c r="H1058" s="118"/>
      <c r="I1058" s="118"/>
      <c r="J1058" s="118"/>
      <c r="K1058" s="118"/>
      <c r="L1058" s="118"/>
      <c r="M1058" s="118"/>
      <c r="N1058" s="118"/>
      <c r="O1058" s="118"/>
      <c r="P1058" s="118"/>
      <c r="Q1058" s="118"/>
    </row>
    <row r="1059" spans="2:17" s="119" customFormat="1" ht="45" hidden="1" x14ac:dyDescent="0.25">
      <c r="B1059" s="310"/>
      <c r="C1059" s="119">
        <f>IF(E1059&gt;0,1,0)</f>
        <v>0</v>
      </c>
      <c r="D1059" s="96" t="str">
        <f>+A65</f>
        <v>Yates</v>
      </c>
      <c r="E1059" s="166">
        <f>+SUMIF(A:A,D1059,B:B)</f>
        <v>0</v>
      </c>
      <c r="F1059" s="98" t="s">
        <v>97</v>
      </c>
      <c r="G1059" s="98" t="s">
        <v>126</v>
      </c>
      <c r="H1059" s="98" t="s">
        <v>127</v>
      </c>
      <c r="I1059" s="99" t="s">
        <v>128</v>
      </c>
      <c r="J1059" s="99" t="s">
        <v>131</v>
      </c>
      <c r="K1059" s="560" t="s">
        <v>474</v>
      </c>
      <c r="L1059" s="560" t="s">
        <v>475</v>
      </c>
      <c r="M1059" s="560" t="s">
        <v>476</v>
      </c>
      <c r="N1059" s="560" t="s">
        <v>477</v>
      </c>
      <c r="O1059" s="560" t="s">
        <v>478</v>
      </c>
      <c r="P1059" s="560" t="s">
        <v>479</v>
      </c>
      <c r="Q1059" s="99" t="s">
        <v>129</v>
      </c>
    </row>
    <row r="1060" spans="2:17" s="119" customFormat="1" ht="18.75" hidden="1" x14ac:dyDescent="0.25">
      <c r="B1060" s="310"/>
      <c r="C1060" s="119">
        <f>C1059</f>
        <v>0</v>
      </c>
      <c r="D1060" s="127"/>
      <c r="E1060" s="128"/>
      <c r="F1060" s="84" t="s">
        <v>57</v>
      </c>
      <c r="G1060" s="84" t="s">
        <v>56</v>
      </c>
      <c r="H1060" s="84" t="s">
        <v>55</v>
      </c>
      <c r="I1060" s="84" t="s">
        <v>54</v>
      </c>
      <c r="J1060" s="129" t="s">
        <v>53</v>
      </c>
      <c r="K1060" s="129" t="s">
        <v>52</v>
      </c>
      <c r="L1060" s="129" t="s">
        <v>51</v>
      </c>
      <c r="M1060" s="129" t="s">
        <v>50</v>
      </c>
      <c r="N1060" s="129" t="s">
        <v>49</v>
      </c>
      <c r="O1060" s="129" t="s">
        <v>47</v>
      </c>
      <c r="P1060" s="129" t="s">
        <v>77</v>
      </c>
      <c r="Q1060" s="129" t="s">
        <v>78</v>
      </c>
    </row>
    <row r="1061" spans="2:17" s="119" customFormat="1" ht="18.75" hidden="1" x14ac:dyDescent="0.25">
      <c r="B1061" s="310"/>
      <c r="C1061" s="119">
        <f>C1060</f>
        <v>0</v>
      </c>
      <c r="D1061" s="133" t="s">
        <v>26</v>
      </c>
      <c r="E1061" s="134"/>
      <c r="F1061" s="135"/>
      <c r="G1061" s="135"/>
      <c r="H1061" s="136"/>
      <c r="I1061" s="136"/>
      <c r="J1061" s="137"/>
      <c r="K1061" s="137"/>
      <c r="L1061" s="137"/>
      <c r="M1061" s="137"/>
      <c r="N1061" s="137"/>
      <c r="O1061" s="137"/>
      <c r="P1061" s="137"/>
      <c r="Q1061" s="138"/>
    </row>
    <row r="1062" spans="2:17" s="119" customFormat="1" ht="18.75" hidden="1" x14ac:dyDescent="0.25">
      <c r="B1062" s="310"/>
      <c r="C1062" s="119">
        <f t="shared" ref="C1062:C1074" si="963">C1061</f>
        <v>0</v>
      </c>
      <c r="D1062" s="109" t="s">
        <v>93</v>
      </c>
      <c r="E1062" s="76" t="s">
        <v>57</v>
      </c>
      <c r="F1062" s="168">
        <f>+F$6*$E1059</f>
        <v>0</v>
      </c>
      <c r="G1062" s="168">
        <f>+G$6*$E1059</f>
        <v>0</v>
      </c>
      <c r="H1062" s="168">
        <f>+H$6*$E1059</f>
        <v>0</v>
      </c>
      <c r="I1062" s="168">
        <f>+I$6*$E1059</f>
        <v>0</v>
      </c>
      <c r="J1062" s="168">
        <f>+J$6*$E1059</f>
        <v>0</v>
      </c>
      <c r="K1062" s="168">
        <f t="shared" ref="K1062:P1062" si="964">+K$6*$E1059</f>
        <v>0</v>
      </c>
      <c r="L1062" s="168">
        <f t="shared" si="964"/>
        <v>0</v>
      </c>
      <c r="M1062" s="168">
        <f t="shared" si="964"/>
        <v>0</v>
      </c>
      <c r="N1062" s="168">
        <f t="shared" si="964"/>
        <v>0</v>
      </c>
      <c r="O1062" s="168">
        <f t="shared" si="964"/>
        <v>0</v>
      </c>
      <c r="P1062" s="168">
        <f t="shared" si="964"/>
        <v>0</v>
      </c>
      <c r="Q1062" s="190">
        <f>SUM(G1062:P1062)</f>
        <v>0</v>
      </c>
    </row>
    <row r="1063" spans="2:17" s="119" customFormat="1" ht="18.75" hidden="1" x14ac:dyDescent="0.25">
      <c r="B1063" s="310"/>
      <c r="C1063" s="119">
        <f t="shared" si="963"/>
        <v>0</v>
      </c>
      <c r="D1063" s="110" t="s">
        <v>132</v>
      </c>
      <c r="E1063" s="76" t="s">
        <v>56</v>
      </c>
      <c r="F1063" s="168">
        <f>+F$7*$E1059</f>
        <v>0</v>
      </c>
      <c r="G1063" s="168">
        <f>+G$7*$E1059</f>
        <v>0</v>
      </c>
      <c r="H1063" s="168">
        <f>+H$7*$E1059</f>
        <v>0</v>
      </c>
      <c r="I1063" s="168">
        <f>+I$7*$E1059</f>
        <v>0</v>
      </c>
      <c r="J1063" s="168">
        <f>+J$7*$E1059</f>
        <v>0</v>
      </c>
      <c r="K1063" s="168">
        <f t="shared" ref="K1063:P1063" si="965">+K$7*$E1059</f>
        <v>0</v>
      </c>
      <c r="L1063" s="168">
        <f t="shared" si="965"/>
        <v>0</v>
      </c>
      <c r="M1063" s="168">
        <f t="shared" si="965"/>
        <v>0</v>
      </c>
      <c r="N1063" s="168">
        <f t="shared" si="965"/>
        <v>0</v>
      </c>
      <c r="O1063" s="168">
        <f t="shared" si="965"/>
        <v>0</v>
      </c>
      <c r="P1063" s="168">
        <f t="shared" si="965"/>
        <v>0</v>
      </c>
      <c r="Q1063" s="190">
        <f>SUM(G1063:P1063)</f>
        <v>0</v>
      </c>
    </row>
    <row r="1064" spans="2:17" s="119" customFormat="1" ht="18.75" hidden="1" x14ac:dyDescent="0.25">
      <c r="B1064" s="310"/>
      <c r="C1064" s="119">
        <f t="shared" si="963"/>
        <v>0</v>
      </c>
      <c r="D1064" s="109" t="s">
        <v>91</v>
      </c>
      <c r="E1064" s="76" t="s">
        <v>55</v>
      </c>
      <c r="F1064" s="168">
        <f>+F$8*$E1059</f>
        <v>0</v>
      </c>
      <c r="G1064" s="168">
        <f>+G$8*$E1059</f>
        <v>0</v>
      </c>
      <c r="H1064" s="168">
        <f>+H$8*$E1059</f>
        <v>0</v>
      </c>
      <c r="I1064" s="168">
        <f>+I$8*$E1059</f>
        <v>0</v>
      </c>
      <c r="J1064" s="168">
        <f>+J$8*$E1059</f>
        <v>0</v>
      </c>
      <c r="K1064" s="168">
        <f t="shared" ref="K1064:P1064" si="966">+K$8*$E1059</f>
        <v>0</v>
      </c>
      <c r="L1064" s="168">
        <f t="shared" si="966"/>
        <v>0</v>
      </c>
      <c r="M1064" s="168">
        <f t="shared" si="966"/>
        <v>0</v>
      </c>
      <c r="N1064" s="168">
        <f t="shared" si="966"/>
        <v>0</v>
      </c>
      <c r="O1064" s="168">
        <f t="shared" si="966"/>
        <v>0</v>
      </c>
      <c r="P1064" s="168">
        <f t="shared" si="966"/>
        <v>0</v>
      </c>
      <c r="Q1064" s="190">
        <f>SUM(G1064:P1064)</f>
        <v>0</v>
      </c>
    </row>
    <row r="1065" spans="2:17" s="119" customFormat="1" ht="18.75" hidden="1" x14ac:dyDescent="0.25">
      <c r="B1065" s="310"/>
      <c r="C1065" s="119">
        <f t="shared" si="963"/>
        <v>0</v>
      </c>
      <c r="D1065" s="130" t="s">
        <v>117</v>
      </c>
      <c r="E1065" s="76" t="s">
        <v>54</v>
      </c>
      <c r="F1065" s="168">
        <f>+F$9*$E1059</f>
        <v>0</v>
      </c>
      <c r="G1065" s="168">
        <f>+G$9*$E1059</f>
        <v>0</v>
      </c>
      <c r="H1065" s="168">
        <f>+H$9*$E1059</f>
        <v>0</v>
      </c>
      <c r="I1065" s="168">
        <f>+I$9*$E1059</f>
        <v>0</v>
      </c>
      <c r="J1065" s="168">
        <f>+J$9*$E1059</f>
        <v>0</v>
      </c>
      <c r="K1065" s="168">
        <f t="shared" ref="K1065:P1065" si="967">+K$9*$E1059</f>
        <v>0</v>
      </c>
      <c r="L1065" s="168">
        <f t="shared" si="967"/>
        <v>0</v>
      </c>
      <c r="M1065" s="168">
        <f t="shared" si="967"/>
        <v>0</v>
      </c>
      <c r="N1065" s="168">
        <f t="shared" si="967"/>
        <v>0</v>
      </c>
      <c r="O1065" s="168">
        <f t="shared" si="967"/>
        <v>0</v>
      </c>
      <c r="P1065" s="168">
        <f t="shared" si="967"/>
        <v>0</v>
      </c>
      <c r="Q1065" s="190">
        <f>SUM(G1065:P1065)</f>
        <v>0</v>
      </c>
    </row>
    <row r="1066" spans="2:17" s="119" customFormat="1" ht="18.75" hidden="1" x14ac:dyDescent="0.25">
      <c r="B1066" s="310"/>
      <c r="C1066" s="119">
        <f t="shared" si="963"/>
        <v>0</v>
      </c>
      <c r="D1066" s="112" t="s">
        <v>31</v>
      </c>
      <c r="E1066" s="76"/>
      <c r="F1066" s="167"/>
      <c r="G1066" s="185"/>
      <c r="H1066" s="185"/>
      <c r="I1066" s="185"/>
      <c r="J1066" s="185"/>
      <c r="K1066" s="185"/>
      <c r="L1066" s="185"/>
      <c r="M1066" s="185"/>
      <c r="N1066" s="185"/>
      <c r="O1066" s="185"/>
      <c r="P1066" s="185"/>
      <c r="Q1066" s="171"/>
    </row>
    <row r="1067" spans="2:17" s="119" customFormat="1" ht="18.75" hidden="1" x14ac:dyDescent="0.3">
      <c r="B1067" s="310"/>
      <c r="C1067" s="119">
        <f t="shared" si="963"/>
        <v>0</v>
      </c>
      <c r="D1067" s="125" t="s">
        <v>118</v>
      </c>
      <c r="E1067" s="76" t="s">
        <v>53</v>
      </c>
      <c r="F1067" s="168">
        <f>+F$11*$E1059</f>
        <v>0</v>
      </c>
      <c r="G1067" s="168">
        <f>+G$11*$E1059</f>
        <v>0</v>
      </c>
      <c r="H1067" s="168">
        <f>+H$11*$E1059</f>
        <v>0</v>
      </c>
      <c r="I1067" s="168">
        <f>+I$11*$E1059</f>
        <v>0</v>
      </c>
      <c r="J1067" s="168">
        <f>+J$11*$E1059</f>
        <v>0</v>
      </c>
      <c r="K1067" s="168">
        <f t="shared" ref="K1067:P1067" si="968">+K$11*$E1059</f>
        <v>0</v>
      </c>
      <c r="L1067" s="168">
        <f t="shared" si="968"/>
        <v>0</v>
      </c>
      <c r="M1067" s="168">
        <f t="shared" si="968"/>
        <v>0</v>
      </c>
      <c r="N1067" s="168">
        <f t="shared" si="968"/>
        <v>0</v>
      </c>
      <c r="O1067" s="168">
        <f t="shared" si="968"/>
        <v>0</v>
      </c>
      <c r="P1067" s="168">
        <f t="shared" si="968"/>
        <v>0</v>
      </c>
      <c r="Q1067" s="190">
        <f t="shared" ref="Q1067:Q1073" si="969">SUM(G1067:P1067)</f>
        <v>0</v>
      </c>
    </row>
    <row r="1068" spans="2:17" s="119" customFormat="1" ht="18.75" hidden="1" x14ac:dyDescent="0.3">
      <c r="B1068" s="310"/>
      <c r="C1068" s="119">
        <f t="shared" si="963"/>
        <v>0</v>
      </c>
      <c r="D1068" s="125" t="s">
        <v>119</v>
      </c>
      <c r="E1068" s="76" t="s">
        <v>52</v>
      </c>
      <c r="F1068" s="168">
        <f>+F$12*$E1059</f>
        <v>0</v>
      </c>
      <c r="G1068" s="168">
        <f>+G$12*$E1059</f>
        <v>0</v>
      </c>
      <c r="H1068" s="168">
        <f>+H$12*$E1059</f>
        <v>0</v>
      </c>
      <c r="I1068" s="168">
        <f>+I$12*$E1059</f>
        <v>0</v>
      </c>
      <c r="J1068" s="168">
        <f>+J$12*$E1059</f>
        <v>0</v>
      </c>
      <c r="K1068" s="168">
        <f t="shared" ref="K1068:P1068" si="970">+K$12*$E1059</f>
        <v>0</v>
      </c>
      <c r="L1068" s="168">
        <f t="shared" si="970"/>
        <v>0</v>
      </c>
      <c r="M1068" s="168">
        <f t="shared" si="970"/>
        <v>0</v>
      </c>
      <c r="N1068" s="168">
        <f t="shared" si="970"/>
        <v>0</v>
      </c>
      <c r="O1068" s="168">
        <f t="shared" si="970"/>
        <v>0</v>
      </c>
      <c r="P1068" s="168">
        <f t="shared" si="970"/>
        <v>0</v>
      </c>
      <c r="Q1068" s="190">
        <f t="shared" si="969"/>
        <v>0</v>
      </c>
    </row>
    <row r="1069" spans="2:17" s="119" customFormat="1" ht="18.75" hidden="1" x14ac:dyDescent="0.3">
      <c r="B1069" s="310"/>
      <c r="C1069" s="119">
        <f t="shared" si="963"/>
        <v>0</v>
      </c>
      <c r="D1069" s="125" t="s">
        <v>120</v>
      </c>
      <c r="E1069" s="76" t="s">
        <v>51</v>
      </c>
      <c r="F1069" s="168">
        <f>+F$13*$E1059</f>
        <v>0</v>
      </c>
      <c r="G1069" s="168">
        <f>+G$13*$E1059</f>
        <v>0</v>
      </c>
      <c r="H1069" s="168">
        <f>+H$13*$E1059</f>
        <v>0</v>
      </c>
      <c r="I1069" s="168">
        <f>+I$13*$E1059</f>
        <v>0</v>
      </c>
      <c r="J1069" s="168">
        <f>+J$13*$E1059</f>
        <v>0</v>
      </c>
      <c r="K1069" s="168">
        <f t="shared" ref="K1069:P1069" si="971">+K$13*$E1059</f>
        <v>0</v>
      </c>
      <c r="L1069" s="168">
        <f t="shared" si="971"/>
        <v>0</v>
      </c>
      <c r="M1069" s="168">
        <f t="shared" si="971"/>
        <v>0</v>
      </c>
      <c r="N1069" s="168">
        <f t="shared" si="971"/>
        <v>0</v>
      </c>
      <c r="O1069" s="168">
        <f t="shared" si="971"/>
        <v>0</v>
      </c>
      <c r="P1069" s="168">
        <f t="shared" si="971"/>
        <v>0</v>
      </c>
      <c r="Q1069" s="190">
        <f t="shared" si="969"/>
        <v>0</v>
      </c>
    </row>
    <row r="1070" spans="2:17" s="119" customFormat="1" ht="18.75" hidden="1" x14ac:dyDescent="0.3">
      <c r="B1070" s="310"/>
      <c r="C1070" s="119">
        <f t="shared" si="963"/>
        <v>0</v>
      </c>
      <c r="D1070" s="125" t="s">
        <v>121</v>
      </c>
      <c r="E1070" s="76" t="s">
        <v>50</v>
      </c>
      <c r="F1070" s="168">
        <f>+F$14*$E1059</f>
        <v>0</v>
      </c>
      <c r="G1070" s="168">
        <f>+G$14*$E1059</f>
        <v>0</v>
      </c>
      <c r="H1070" s="168">
        <f>+H$14*$E1059</f>
        <v>0</v>
      </c>
      <c r="I1070" s="168">
        <f>+I$14*$E1059</f>
        <v>0</v>
      </c>
      <c r="J1070" s="168">
        <f>+J$14*$E1059</f>
        <v>0</v>
      </c>
      <c r="K1070" s="168">
        <f t="shared" ref="K1070:P1070" si="972">+K$14*$E1059</f>
        <v>0</v>
      </c>
      <c r="L1070" s="168">
        <f t="shared" si="972"/>
        <v>0</v>
      </c>
      <c r="M1070" s="168">
        <f t="shared" si="972"/>
        <v>0</v>
      </c>
      <c r="N1070" s="168">
        <f t="shared" si="972"/>
        <v>0</v>
      </c>
      <c r="O1070" s="168">
        <f t="shared" si="972"/>
        <v>0</v>
      </c>
      <c r="P1070" s="168">
        <f t="shared" si="972"/>
        <v>0</v>
      </c>
      <c r="Q1070" s="190">
        <f t="shared" si="969"/>
        <v>0</v>
      </c>
    </row>
    <row r="1071" spans="2:17" s="119" customFormat="1" ht="18.75" hidden="1" x14ac:dyDescent="0.3">
      <c r="B1071" s="310"/>
      <c r="C1071" s="119">
        <f t="shared" si="963"/>
        <v>0</v>
      </c>
      <c r="D1071" s="125" t="s">
        <v>122</v>
      </c>
      <c r="E1071" s="76" t="s">
        <v>49</v>
      </c>
      <c r="F1071" s="168">
        <f>+F$15*$E1059</f>
        <v>0</v>
      </c>
      <c r="G1071" s="168">
        <f>+G$15*$E1059</f>
        <v>0</v>
      </c>
      <c r="H1071" s="168">
        <f>+H$15*$E1059</f>
        <v>0</v>
      </c>
      <c r="I1071" s="168">
        <f>+I$15*$E1059</f>
        <v>0</v>
      </c>
      <c r="J1071" s="168">
        <f>+J$15*$E1059</f>
        <v>0</v>
      </c>
      <c r="K1071" s="168">
        <f t="shared" ref="K1071:P1071" si="973">+K$15*$E1059</f>
        <v>0</v>
      </c>
      <c r="L1071" s="168">
        <f t="shared" si="973"/>
        <v>0</v>
      </c>
      <c r="M1071" s="168">
        <f t="shared" si="973"/>
        <v>0</v>
      </c>
      <c r="N1071" s="168">
        <f t="shared" si="973"/>
        <v>0</v>
      </c>
      <c r="O1071" s="168">
        <f t="shared" si="973"/>
        <v>0</v>
      </c>
      <c r="P1071" s="168">
        <f t="shared" si="973"/>
        <v>0</v>
      </c>
      <c r="Q1071" s="190">
        <f t="shared" si="969"/>
        <v>0</v>
      </c>
    </row>
    <row r="1072" spans="2:17" s="119" customFormat="1" ht="18.75" hidden="1" x14ac:dyDescent="0.3">
      <c r="B1072" s="310"/>
      <c r="C1072" s="119">
        <f t="shared" si="963"/>
        <v>0</v>
      </c>
      <c r="D1072" s="125" t="s">
        <v>123</v>
      </c>
      <c r="E1072" s="76" t="s">
        <v>47</v>
      </c>
      <c r="F1072" s="168">
        <f>+F$16*$E1059</f>
        <v>0</v>
      </c>
      <c r="G1072" s="168">
        <f>+G$16*$E1059</f>
        <v>0</v>
      </c>
      <c r="H1072" s="168">
        <f>+H$16*$E1059</f>
        <v>0</v>
      </c>
      <c r="I1072" s="168">
        <f>+I$16*$E1059</f>
        <v>0</v>
      </c>
      <c r="J1072" s="168">
        <f>+J$16*$E1059</f>
        <v>0</v>
      </c>
      <c r="K1072" s="168">
        <f t="shared" ref="K1072:P1072" si="974">+K$16*$E1059</f>
        <v>0</v>
      </c>
      <c r="L1072" s="168">
        <f t="shared" si="974"/>
        <v>0</v>
      </c>
      <c r="M1072" s="168">
        <f t="shared" si="974"/>
        <v>0</v>
      </c>
      <c r="N1072" s="168">
        <f t="shared" si="974"/>
        <v>0</v>
      </c>
      <c r="O1072" s="168">
        <f t="shared" si="974"/>
        <v>0</v>
      </c>
      <c r="P1072" s="168">
        <f t="shared" si="974"/>
        <v>0</v>
      </c>
      <c r="Q1072" s="190">
        <f t="shared" si="969"/>
        <v>0</v>
      </c>
    </row>
    <row r="1073" spans="3:20" ht="19.5" hidden="1" thickBot="1" x14ac:dyDescent="0.35">
      <c r="C1073" s="119">
        <f t="shared" si="963"/>
        <v>0</v>
      </c>
      <c r="D1073" s="125" t="s">
        <v>16</v>
      </c>
      <c r="E1073" s="70" t="s">
        <v>77</v>
      </c>
      <c r="F1073" s="168">
        <f>+F$17*$E1059</f>
        <v>0</v>
      </c>
      <c r="G1073" s="168">
        <f>+G$17*$E1059</f>
        <v>0</v>
      </c>
      <c r="H1073" s="168">
        <f>+H$17*$E1059</f>
        <v>0</v>
      </c>
      <c r="I1073" s="168">
        <f>+I$17*$E1059</f>
        <v>0</v>
      </c>
      <c r="J1073" s="168">
        <f>+J$17*$E1059</f>
        <v>0</v>
      </c>
      <c r="K1073" s="168">
        <f t="shared" ref="K1073:P1073" si="975">+K$17*$E1059</f>
        <v>0</v>
      </c>
      <c r="L1073" s="168">
        <f t="shared" si="975"/>
        <v>0</v>
      </c>
      <c r="M1073" s="168">
        <f t="shared" si="975"/>
        <v>0</v>
      </c>
      <c r="N1073" s="168">
        <f t="shared" si="975"/>
        <v>0</v>
      </c>
      <c r="O1073" s="168">
        <f t="shared" si="975"/>
        <v>0</v>
      </c>
      <c r="P1073" s="168">
        <f t="shared" si="975"/>
        <v>0</v>
      </c>
      <c r="Q1073" s="190">
        <f t="shared" si="969"/>
        <v>0</v>
      </c>
      <c r="R1073" s="119"/>
      <c r="S1073" s="119"/>
      <c r="T1073" s="119"/>
    </row>
    <row r="1074" spans="3:20" ht="19.5" hidden="1" thickBot="1" x14ac:dyDescent="0.3">
      <c r="C1074" s="119">
        <f t="shared" si="963"/>
        <v>0</v>
      </c>
      <c r="D1074" s="131" t="s">
        <v>124</v>
      </c>
      <c r="E1074" s="116" t="s">
        <v>78</v>
      </c>
      <c r="F1074" s="169">
        <f t="shared" ref="F1074:Q1074" si="976">SUBTOTAL(9,F1062:F1073)</f>
        <v>0</v>
      </c>
      <c r="G1074" s="170">
        <f t="shared" si="976"/>
        <v>0</v>
      </c>
      <c r="H1074" s="170">
        <f t="shared" si="976"/>
        <v>0</v>
      </c>
      <c r="I1074" s="170">
        <f t="shared" si="976"/>
        <v>0</v>
      </c>
      <c r="J1074" s="170">
        <f t="shared" si="976"/>
        <v>0</v>
      </c>
      <c r="K1074" s="170">
        <f t="shared" ref="K1074:P1074" si="977">SUBTOTAL(9,K1062:K1073)</f>
        <v>0</v>
      </c>
      <c r="L1074" s="170">
        <f t="shared" si="977"/>
        <v>0</v>
      </c>
      <c r="M1074" s="170">
        <f t="shared" si="977"/>
        <v>0</v>
      </c>
      <c r="N1074" s="170">
        <f t="shared" si="977"/>
        <v>0</v>
      </c>
      <c r="O1074" s="170">
        <f t="shared" si="977"/>
        <v>0</v>
      </c>
      <c r="P1074" s="170">
        <f t="shared" si="977"/>
        <v>0</v>
      </c>
      <c r="Q1074" s="170">
        <f t="shared" si="976"/>
        <v>0</v>
      </c>
      <c r="R1074" s="119"/>
      <c r="S1074" s="119"/>
      <c r="T1074" s="119"/>
    </row>
    <row r="1075" spans="3:20" ht="15.75" thickBot="1" x14ac:dyDescent="0.3">
      <c r="C1075" s="119">
        <v>1</v>
      </c>
    </row>
    <row r="1076" spans="3:20" ht="15.75" thickBot="1" x14ac:dyDescent="0.3">
      <c r="C1076" s="119">
        <v>1</v>
      </c>
      <c r="D1076" s="337" t="s">
        <v>379</v>
      </c>
      <c r="E1076" s="338">
        <f>SUM(E22:E1074)</f>
        <v>1</v>
      </c>
    </row>
    <row r="1077" spans="3:20" x14ac:dyDescent="0.25">
      <c r="C1077" s="119">
        <v>1</v>
      </c>
    </row>
    <row r="1078" spans="3:20" x14ac:dyDescent="0.25">
      <c r="C1078" s="119">
        <v>1</v>
      </c>
    </row>
    <row r="1079" spans="3:20" x14ac:dyDescent="0.25">
      <c r="C1079" s="119">
        <v>1</v>
      </c>
      <c r="E1079" s="67" t="s">
        <v>68</v>
      </c>
      <c r="F1079" s="66">
        <f>SUBTOTAL(9,F22:F1074)</f>
        <v>3721.6000366171502</v>
      </c>
      <c r="G1079" s="66">
        <f t="shared" ref="G1079:Q1079" si="978">SUBTOTAL(9,G22:G1074)</f>
        <v>7126170.6528257001</v>
      </c>
      <c r="H1079" s="66">
        <f t="shared" si="978"/>
        <v>320321.20579751406</v>
      </c>
      <c r="I1079" s="66">
        <f t="shared" si="978"/>
        <v>1061.8133543413396</v>
      </c>
      <c r="J1079" s="66">
        <f t="shared" si="978"/>
        <v>112171.79152395013</v>
      </c>
      <c r="K1079" s="66">
        <f t="shared" si="978"/>
        <v>152030.81012561003</v>
      </c>
      <c r="L1079" s="66">
        <f t="shared" si="978"/>
        <v>2872.7049656574818</v>
      </c>
      <c r="M1079" s="66">
        <f t="shared" si="978"/>
        <v>15.588711469776126</v>
      </c>
      <c r="N1079" s="66">
        <f t="shared" si="978"/>
        <v>23.999623766697262</v>
      </c>
      <c r="O1079" s="66">
        <f t="shared" si="978"/>
        <v>0</v>
      </c>
      <c r="P1079" s="66">
        <f t="shared" si="978"/>
        <v>26259.509235660174</v>
      </c>
      <c r="Q1079" s="66">
        <f t="shared" si="978"/>
        <v>7740928.0761636691</v>
      </c>
    </row>
    <row r="1080" spans="3:20" x14ac:dyDescent="0.25">
      <c r="C1080" s="119">
        <v>1</v>
      </c>
      <c r="E1080" s="65" t="s">
        <v>69</v>
      </c>
      <c r="F1080" s="64">
        <f t="shared" ref="F1080:Q1080" si="979">+F1079-F18</f>
        <v>-5.8342159313269804E-2</v>
      </c>
      <c r="G1080" s="64">
        <f t="shared" si="979"/>
        <v>-111.71436463668942</v>
      </c>
      <c r="H1080" s="64">
        <f t="shared" si="979"/>
        <v>-5.0215581031516194</v>
      </c>
      <c r="I1080" s="64">
        <f t="shared" si="979"/>
        <v>-1.6645658660308982E-2</v>
      </c>
      <c r="J1080" s="64">
        <f t="shared" si="979"/>
        <v>-1.7584760498721153</v>
      </c>
      <c r="K1080" s="64"/>
      <c r="L1080" s="64"/>
      <c r="M1080" s="64"/>
      <c r="N1080" s="64"/>
      <c r="O1080" s="64"/>
      <c r="P1080" s="64"/>
      <c r="Q1080" s="64">
        <f t="shared" si="979"/>
        <v>-121.35169137362391</v>
      </c>
    </row>
  </sheetData>
  <autoFilter ref="A1:Q1080" xr:uid="{00000000-0009-0000-0000-000017000000}">
    <filterColumn colId="2">
      <filters>
        <filter val="1"/>
      </filters>
    </filterColumn>
    <filterColumn colId="4" showButton="0"/>
    <filterColumn colId="5" showButton="0"/>
    <filterColumn colId="6" showButton="0"/>
  </autoFilter>
  <customSheetViews>
    <customSheetView guid="{DE5AAEC6-B417-4CB5-A2E1-8776196B56AA}" scale="70" showPageBreaks="1" fitToPage="1" printArea="1">
      <pageMargins left="0.7" right="0.7" top="0.75" bottom="0.75" header="0.3" footer="0.3"/>
      <pageSetup paperSize="17" orientation="landscape" r:id="rId1"/>
    </customSheetView>
    <customSheetView guid="{3ACE1F12-3844-4D90-9B24-992DA32A7B7A}" scale="70" fitToPage="1">
      <selection activeCell="B7" sqref="B7"/>
      <pageMargins left="0.7" right="0.7" top="0.75" bottom="0.75" header="0.3" footer="0.3"/>
      <pageSetup paperSize="17" orientation="landscape" r:id="rId2"/>
    </customSheetView>
  </customSheetViews>
  <mergeCells count="2">
    <mergeCell ref="E1:H1"/>
    <mergeCell ref="E2:H2"/>
  </mergeCells>
  <phoneticPr fontId="100" type="noConversion"/>
  <conditionalFormatting sqref="D1076:E1076">
    <cfRule type="cellIs" dxfId="457" priority="1" operator="lessThan">
      <formula>1</formula>
    </cfRule>
    <cfRule type="cellIs" dxfId="456" priority="2" operator="greaterThan">
      <formula>1</formula>
    </cfRule>
    <cfRule type="cellIs" dxfId="455" priority="3" operator="equal">
      <formula>1</formula>
    </cfRule>
  </conditionalFormatting>
  <conditionalFormatting sqref="F1080:Q1080">
    <cfRule type="cellIs" dxfId="454" priority="4" operator="equal">
      <formula>0</formula>
    </cfRule>
    <cfRule type="cellIs" dxfId="453" priority="5" operator="lessThan">
      <formula>0</formula>
    </cfRule>
    <cfRule type="cellIs" dxfId="452" priority="6" operator="greaterThan">
      <formula>0</formula>
    </cfRule>
  </conditionalFormatting>
  <pageMargins left="0.7" right="0.7" top="0.75" bottom="0.75" header="0.3" footer="0.3"/>
  <pageSetup paperSize="17" scale="39" orientation="landscape"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2" filterMode="1">
    <tabColor rgb="FF92D050"/>
    <pageSetUpPr fitToPage="1"/>
  </sheetPr>
  <dimension ref="A1:T891"/>
  <sheetViews>
    <sheetView zoomScale="85" zoomScaleNormal="85" workbookViewId="0"/>
  </sheetViews>
  <sheetFormatPr defaultColWidth="7.28515625" defaultRowHeight="15" x14ac:dyDescent="0.25"/>
  <cols>
    <col min="1" max="1" width="16.28515625" style="119" bestFit="1" customWidth="1"/>
    <col min="2" max="2" width="13.28515625" style="119" customWidth="1"/>
    <col min="3" max="3" width="2.7109375" style="143" customWidth="1"/>
    <col min="4" max="4" width="56.42578125" style="145" bestFit="1" customWidth="1"/>
    <col min="5" max="5" width="9.7109375" style="146" bestFit="1" customWidth="1"/>
    <col min="6" max="8" width="22" style="145" customWidth="1"/>
    <col min="9" max="17" width="22" style="144" customWidth="1"/>
    <col min="18" max="16384" width="7.28515625" style="143"/>
  </cols>
  <sheetData>
    <row r="1" spans="1:20" s="36" customFormat="1" ht="18.75" x14ac:dyDescent="0.25">
      <c r="A1" s="289" t="s">
        <v>15</v>
      </c>
      <c r="B1" s="62"/>
      <c r="C1" s="36">
        <v>1</v>
      </c>
      <c r="D1" s="165" t="s">
        <v>65</v>
      </c>
      <c r="E1" s="963"/>
      <c r="F1" s="964"/>
      <c r="G1" s="964"/>
      <c r="H1" s="965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</row>
    <row r="2" spans="1:20" s="36" customFormat="1" ht="19.5" thickBot="1" x14ac:dyDescent="0.3">
      <c r="A2" s="62"/>
      <c r="B2" s="62"/>
      <c r="C2" s="36">
        <v>1</v>
      </c>
      <c r="D2" s="164" t="s">
        <v>66</v>
      </c>
      <c r="E2" s="966"/>
      <c r="F2" s="967"/>
      <c r="G2" s="967"/>
      <c r="H2" s="968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</row>
    <row r="3" spans="1:20" s="161" customFormat="1" ht="45" x14ac:dyDescent="0.25">
      <c r="A3" s="121"/>
      <c r="B3" s="121"/>
      <c r="C3" s="161">
        <v>1</v>
      </c>
      <c r="D3" s="163" t="s">
        <v>134</v>
      </c>
      <c r="E3" s="162"/>
      <c r="F3" s="509" t="s">
        <v>97</v>
      </c>
      <c r="G3" s="509" t="s">
        <v>126</v>
      </c>
      <c r="H3" s="509" t="s">
        <v>127</v>
      </c>
      <c r="I3" s="508" t="s">
        <v>128</v>
      </c>
      <c r="J3" s="508" t="s">
        <v>487</v>
      </c>
      <c r="K3" s="508" t="s">
        <v>474</v>
      </c>
      <c r="L3" s="508" t="s">
        <v>475</v>
      </c>
      <c r="M3" s="508" t="s">
        <v>476</v>
      </c>
      <c r="N3" s="508" t="s">
        <v>477</v>
      </c>
      <c r="O3" s="508" t="s">
        <v>478</v>
      </c>
      <c r="P3" s="508" t="s">
        <v>479</v>
      </c>
      <c r="Q3" s="508" t="s">
        <v>129</v>
      </c>
    </row>
    <row r="4" spans="1:20" ht="18.75" x14ac:dyDescent="0.25">
      <c r="A4" s="60" t="s">
        <v>303</v>
      </c>
      <c r="B4" s="24">
        <f>IFERROR(+GETPIVOTDATA("Unique Billed Hours",'County allocation'!$A$3,"County",A4,"HHA/CDPAP","CDPAP"),0)</f>
        <v>2.8863005701790602E-2</v>
      </c>
      <c r="C4" s="143">
        <v>1</v>
      </c>
      <c r="D4" s="160"/>
      <c r="E4" s="159"/>
      <c r="F4" s="49" t="s">
        <v>57</v>
      </c>
      <c r="G4" s="49" t="s">
        <v>56</v>
      </c>
      <c r="H4" s="49" t="s">
        <v>55</v>
      </c>
      <c r="I4" s="49" t="s">
        <v>54</v>
      </c>
      <c r="J4" s="58" t="s">
        <v>53</v>
      </c>
      <c r="K4" s="49" t="s">
        <v>52</v>
      </c>
      <c r="L4" s="49" t="s">
        <v>51</v>
      </c>
      <c r="M4" s="49" t="s">
        <v>50</v>
      </c>
      <c r="N4" s="49" t="s">
        <v>49</v>
      </c>
      <c r="O4" s="49" t="s">
        <v>47</v>
      </c>
      <c r="P4" s="49" t="s">
        <v>77</v>
      </c>
      <c r="Q4" s="573" t="s">
        <v>78</v>
      </c>
    </row>
    <row r="5" spans="1:20" s="151" customFormat="1" ht="15.75" customHeight="1" x14ac:dyDescent="0.25">
      <c r="A5" s="60" t="s">
        <v>304</v>
      </c>
      <c r="B5" s="24">
        <f>IFERROR(+GETPIVOTDATA("Unique Billed Hours",'County allocation'!$A$3,"County",A5,"HHA/CDPAP","CDPAP"),0)</f>
        <v>6.0503815062404201E-4</v>
      </c>
      <c r="C5" s="143">
        <v>1</v>
      </c>
      <c r="D5" s="158" t="s">
        <v>26</v>
      </c>
      <c r="E5" s="157"/>
      <c r="F5" s="156"/>
      <c r="G5" s="156"/>
      <c r="H5" s="156"/>
      <c r="I5" s="155"/>
      <c r="J5" s="154"/>
      <c r="K5" s="154"/>
      <c r="L5" s="154"/>
      <c r="M5" s="154"/>
      <c r="N5" s="154"/>
      <c r="O5" s="154"/>
      <c r="P5" s="154"/>
      <c r="Q5" s="153"/>
    </row>
    <row r="6" spans="1:20" s="151" customFormat="1" ht="15.75" customHeight="1" x14ac:dyDescent="0.25">
      <c r="A6" s="60" t="s">
        <v>305</v>
      </c>
      <c r="B6" s="24">
        <f>IFERROR(+GETPIVOTDATA("Unique Billed Hours",'County allocation'!$A$3,"County",A6,"HHA/CDPAP","CDPAP"),0)</f>
        <v>0.10098052035465671</v>
      </c>
      <c r="C6" s="143">
        <v>1</v>
      </c>
      <c r="D6" s="152" t="s">
        <v>133</v>
      </c>
      <c r="E6" s="38" t="s">
        <v>57</v>
      </c>
      <c r="F6" s="168">
        <f>'Payroll Reports Input'!W35</f>
        <v>1870.0174567307695</v>
      </c>
      <c r="G6" s="186">
        <f>'Payroll Reports Input'!X35</f>
        <v>3745501.7800000003</v>
      </c>
      <c r="H6" s="186">
        <f>'Payroll Reports Input'!Y35</f>
        <v>56465.85</v>
      </c>
      <c r="I6" s="186">
        <f>'Payroll Reports Input'!Z35</f>
        <v>0</v>
      </c>
      <c r="J6" s="186">
        <f>'Payroll Reports Input'!AA35</f>
        <v>71957.429999999993</v>
      </c>
      <c r="K6" s="186">
        <f>'Payroll Reports Input'!AB35</f>
        <v>12385.5</v>
      </c>
      <c r="L6" s="186">
        <f>'Payroll Reports Input'!AC35</f>
        <v>3325.75</v>
      </c>
      <c r="M6" s="186">
        <f>'Payroll Reports Input'!AD35</f>
        <v>0</v>
      </c>
      <c r="N6" s="186">
        <f>'Payroll Reports Input'!AE35</f>
        <v>0</v>
      </c>
      <c r="O6" s="186">
        <f>'Payroll Reports Input'!AF35</f>
        <v>0</v>
      </c>
      <c r="P6" s="186">
        <f>'Payroll Reports Input'!AG35</f>
        <v>0</v>
      </c>
      <c r="Q6" s="189">
        <f>SUM(G6:P6)</f>
        <v>3889636.3100000005</v>
      </c>
      <c r="R6" s="143">
        <f>'Schedule 11c'!Q6/'Schedule 12c'!Q6</f>
        <v>19.138527185334709</v>
      </c>
      <c r="S6" s="143">
        <f ca="1">SUM('Schedule 11c'!S6:U6)/'Schedule 12c'!Q6</f>
        <v>2.5441130161884287</v>
      </c>
      <c r="T6" s="143">
        <f ca="1">SUBTOTAL(9,R6:S6)</f>
        <v>21.682640201523139</v>
      </c>
    </row>
    <row r="7" spans="1:20" ht="15.75" customHeight="1" x14ac:dyDescent="0.25">
      <c r="A7" s="60" t="s">
        <v>306</v>
      </c>
      <c r="B7" s="24">
        <f>IFERROR(+GETPIVOTDATA("Unique Billed Hours",'County allocation'!$A$3,"County",A7,"HHA/CDPAP","CDPAP"),0)</f>
        <v>1.3044882123262387E-2</v>
      </c>
      <c r="C7" s="143">
        <v>1</v>
      </c>
      <c r="D7" s="150" t="s">
        <v>31</v>
      </c>
      <c r="E7" s="38"/>
      <c r="F7" s="167"/>
      <c r="G7" s="185"/>
      <c r="H7" s="185"/>
      <c r="I7" s="187"/>
      <c r="J7" s="188"/>
      <c r="K7" s="188"/>
      <c r="L7" s="188"/>
      <c r="M7" s="188"/>
      <c r="N7" s="188"/>
      <c r="O7" s="188"/>
      <c r="P7" s="188"/>
      <c r="Q7" s="171"/>
    </row>
    <row r="8" spans="1:20" ht="15.75" customHeight="1" x14ac:dyDescent="0.3">
      <c r="A8" s="60" t="s">
        <v>307</v>
      </c>
      <c r="B8" s="24">
        <f>IFERROR(+GETPIVOTDATA("Unique Billed Hours",'County allocation'!$A$3,"County",A8,"HHA/CDPAP","CDPAP"),0)</f>
        <v>2.4245220368889499E-3</v>
      </c>
      <c r="C8" s="143">
        <v>1</v>
      </c>
      <c r="D8" s="149" t="s">
        <v>118</v>
      </c>
      <c r="E8" s="38" t="s">
        <v>56</v>
      </c>
      <c r="F8" s="168"/>
      <c r="G8" s="186"/>
      <c r="H8" s="186"/>
      <c r="I8" s="186"/>
      <c r="J8" s="186"/>
      <c r="K8" s="186"/>
      <c r="L8" s="186"/>
      <c r="M8" s="186"/>
      <c r="N8" s="186"/>
      <c r="O8" s="186"/>
      <c r="P8" s="186"/>
      <c r="Q8" s="189">
        <f t="shared" ref="Q8:Q14" si="0">SUM(G8:P8)</f>
        <v>0</v>
      </c>
    </row>
    <row r="9" spans="1:20" ht="15.75" customHeight="1" x14ac:dyDescent="0.3">
      <c r="A9" s="60" t="s">
        <v>308</v>
      </c>
      <c r="B9" s="24">
        <f>IFERROR(+GETPIVOTDATA("Unique Billed Hours",'County allocation'!$A$3,"County",A9,"HHA/CDPAP","CDPAP"),0)</f>
        <v>2.2764753186393966E-3</v>
      </c>
      <c r="C9" s="143">
        <v>1</v>
      </c>
      <c r="D9" s="149" t="s">
        <v>119</v>
      </c>
      <c r="E9" s="38" t="s">
        <v>55</v>
      </c>
      <c r="F9" s="168"/>
      <c r="G9" s="186"/>
      <c r="H9" s="186"/>
      <c r="I9" s="186"/>
      <c r="J9" s="186"/>
      <c r="K9" s="186"/>
      <c r="L9" s="186"/>
      <c r="M9" s="186"/>
      <c r="N9" s="186"/>
      <c r="O9" s="186"/>
      <c r="P9" s="186"/>
      <c r="Q9" s="189">
        <f t="shared" si="0"/>
        <v>0</v>
      </c>
    </row>
    <row r="10" spans="1:20" ht="15.75" customHeight="1" x14ac:dyDescent="0.3">
      <c r="A10" s="60" t="s">
        <v>309</v>
      </c>
      <c r="B10" s="24">
        <f>IFERROR(+GETPIVOTDATA("Unique Billed Hours",'County allocation'!$A$3,"County",A10,"HHA/CDPAP","CDPAP"),0)</f>
        <v>4.8428754605175017E-3</v>
      </c>
      <c r="C10" s="143">
        <v>1</v>
      </c>
      <c r="D10" s="149" t="s">
        <v>120</v>
      </c>
      <c r="E10" s="38" t="s">
        <v>54</v>
      </c>
      <c r="F10" s="168"/>
      <c r="G10" s="186"/>
      <c r="H10" s="186"/>
      <c r="I10" s="186"/>
      <c r="J10" s="186"/>
      <c r="K10" s="186"/>
      <c r="L10" s="186"/>
      <c r="M10" s="186"/>
      <c r="N10" s="186"/>
      <c r="O10" s="186"/>
      <c r="P10" s="186"/>
      <c r="Q10" s="189">
        <f t="shared" si="0"/>
        <v>0</v>
      </c>
    </row>
    <row r="11" spans="1:20" ht="15.75" customHeight="1" x14ac:dyDescent="0.3">
      <c r="A11" s="60" t="s">
        <v>310</v>
      </c>
      <c r="B11" s="24">
        <f>IFERROR(+GETPIVOTDATA("Unique Billed Hours",'County allocation'!$A$3,"County",A11,"HHA/CDPAP","CDPAP"),0)</f>
        <v>4.5517940222924687E-3</v>
      </c>
      <c r="C11" s="143">
        <v>1</v>
      </c>
      <c r="D11" s="149" t="s">
        <v>121</v>
      </c>
      <c r="E11" s="38" t="s">
        <v>53</v>
      </c>
      <c r="F11" s="168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89">
        <f t="shared" si="0"/>
        <v>0</v>
      </c>
    </row>
    <row r="12" spans="1:20" ht="15.75" customHeight="1" x14ac:dyDescent="0.3">
      <c r="A12" s="60" t="s">
        <v>360</v>
      </c>
      <c r="B12" s="24">
        <f>IFERROR(+GETPIVOTDATA("Unique Billed Hours",'County allocation'!$A$3,"County",A12,"HHA/CDPAP","CDPAP"),0)</f>
        <v>2.3404746812160262E-3</v>
      </c>
      <c r="C12" s="143">
        <v>1</v>
      </c>
      <c r="D12" s="149" t="s">
        <v>122</v>
      </c>
      <c r="E12" s="38" t="s">
        <v>52</v>
      </c>
      <c r="F12" s="168"/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89">
        <f t="shared" si="0"/>
        <v>0</v>
      </c>
    </row>
    <row r="13" spans="1:20" ht="15.75" customHeight="1" x14ac:dyDescent="0.3">
      <c r="A13" s="60" t="s">
        <v>311</v>
      </c>
      <c r="B13" s="24">
        <f>IFERROR(+GETPIVOTDATA("Unique Billed Hours",'County allocation'!$A$3,"County",A13,"HHA/CDPAP","CDPAP"),0)</f>
        <v>1.9496030722264293E-3</v>
      </c>
      <c r="C13" s="143">
        <v>1</v>
      </c>
      <c r="D13" s="149" t="s">
        <v>123</v>
      </c>
      <c r="E13" s="38" t="s">
        <v>51</v>
      </c>
      <c r="F13" s="168"/>
      <c r="G13" s="186"/>
      <c r="H13" s="186"/>
      <c r="I13" s="186"/>
      <c r="J13" s="186"/>
      <c r="K13" s="186"/>
      <c r="L13" s="186"/>
      <c r="M13" s="186"/>
      <c r="N13" s="186"/>
      <c r="O13" s="186"/>
      <c r="P13" s="186"/>
      <c r="Q13" s="189">
        <f t="shared" si="0"/>
        <v>0</v>
      </c>
    </row>
    <row r="14" spans="1:20" ht="15.75" customHeight="1" thickBot="1" x14ac:dyDescent="0.35">
      <c r="A14" s="60" t="s">
        <v>312</v>
      </c>
      <c r="B14" s="24">
        <f>IFERROR(+GETPIVOTDATA("Unique Billed Hours",'County allocation'!$A$3,"County",A14,"HHA/CDPAP","CDPAP"),0)</f>
        <v>5.0344880099186158E-4</v>
      </c>
      <c r="C14" s="143">
        <v>1</v>
      </c>
      <c r="D14" s="149" t="s">
        <v>16</v>
      </c>
      <c r="E14" s="37" t="s">
        <v>50</v>
      </c>
      <c r="F14" s="168">
        <f>'Payroll Reports Input'!W38</f>
        <v>124.35053468507616</v>
      </c>
      <c r="G14" s="186">
        <f>'Payroll Reports Input'!X38</f>
        <v>224428.24280966364</v>
      </c>
      <c r="H14" s="186">
        <f>'Payroll Reports Input'!Y38</f>
        <v>4373.1226443827491</v>
      </c>
      <c r="I14" s="186">
        <f>'Payroll Reports Input'!Z38</f>
        <v>0</v>
      </c>
      <c r="J14" s="186">
        <f>'Payroll Reports Input'!AA38</f>
        <v>0</v>
      </c>
      <c r="K14" s="186">
        <f>'Payroll Reports Input'!AB38</f>
        <v>15670.756543119156</v>
      </c>
      <c r="L14" s="186">
        <f>'Payroll Reports Input'!AC38</f>
        <v>0</v>
      </c>
      <c r="M14" s="186">
        <f>'Payroll Reports Input'!AD38</f>
        <v>8.4110441517094952</v>
      </c>
      <c r="N14" s="186">
        <f>'Payroll Reports Input'!AE38</f>
        <v>0</v>
      </c>
      <c r="O14" s="186">
        <f>'Payroll Reports Input'!AF38</f>
        <v>0</v>
      </c>
      <c r="P14" s="186">
        <f>'Payroll Reports Input'!AG38</f>
        <v>14168.579103641137</v>
      </c>
      <c r="Q14" s="189">
        <f t="shared" si="0"/>
        <v>258649.11214495837</v>
      </c>
      <c r="R14" s="143">
        <f>'Schedule 11c'!Q14/'Schedule 12c'!Q14</f>
        <v>37.606558238672854</v>
      </c>
      <c r="S14" s="143">
        <f ca="1">SUM('Schedule 11c'!S14:U14)/'Schedule 12c'!Q14</f>
        <v>3.4165196442305072</v>
      </c>
      <c r="T14" s="143">
        <f ca="1">SUBTOTAL(9,R14:S14)</f>
        <v>41.023077882903358</v>
      </c>
    </row>
    <row r="15" spans="1:20" ht="15.75" customHeight="1" thickBot="1" x14ac:dyDescent="0.3">
      <c r="A15" s="60" t="s">
        <v>313</v>
      </c>
      <c r="B15" s="24">
        <f>IFERROR(+GETPIVOTDATA("Unique Billed Hours",'County allocation'!$A$3,"County",A15,"HHA/CDPAP","CDPAP"),0)</f>
        <v>1.1321975588355585E-3</v>
      </c>
      <c r="C15" s="143">
        <v>1</v>
      </c>
      <c r="D15" s="148" t="s">
        <v>124</v>
      </c>
      <c r="E15" s="147" t="s">
        <v>49</v>
      </c>
      <c r="F15" s="169">
        <f>SUBTOTAL(9,F6:F14)</f>
        <v>1994.3679914158456</v>
      </c>
      <c r="G15" s="170">
        <f t="shared" ref="G15:Q15" si="1">SUBTOTAL(9,G6:G14)</f>
        <v>3969930.0228096638</v>
      </c>
      <c r="H15" s="170">
        <f t="shared" si="1"/>
        <v>60838.972644382746</v>
      </c>
      <c r="I15" s="170">
        <f t="shared" si="1"/>
        <v>0</v>
      </c>
      <c r="J15" s="170">
        <f t="shared" si="1"/>
        <v>71957.429999999993</v>
      </c>
      <c r="K15" s="170">
        <f t="shared" ref="K15:P15" si="2">SUBTOTAL(9,K6:K14)</f>
        <v>28056.256543119154</v>
      </c>
      <c r="L15" s="170">
        <f t="shared" si="2"/>
        <v>3325.75</v>
      </c>
      <c r="M15" s="170">
        <f t="shared" si="2"/>
        <v>8.4110441517094952</v>
      </c>
      <c r="N15" s="170">
        <f t="shared" si="2"/>
        <v>0</v>
      </c>
      <c r="O15" s="170">
        <f t="shared" si="2"/>
        <v>0</v>
      </c>
      <c r="P15" s="170">
        <f t="shared" si="2"/>
        <v>14168.579103641137</v>
      </c>
      <c r="Q15" s="170">
        <f t="shared" si="1"/>
        <v>4148285.4221449587</v>
      </c>
    </row>
    <row r="16" spans="1:20" ht="15.75" thickBot="1" x14ac:dyDescent="0.3">
      <c r="A16" s="60" t="s">
        <v>314</v>
      </c>
      <c r="B16" s="24">
        <f>IFERROR(+GETPIVOTDATA("Unique Billed Hours",'County allocation'!$A$3,"County",A16,"HHA/CDPAP","CDPAP"),0)</f>
        <v>1.0651138896287298E-3</v>
      </c>
      <c r="C16" s="143">
        <v>1</v>
      </c>
    </row>
    <row r="17" spans="1:17" ht="15.75" hidden="1" thickBot="1" x14ac:dyDescent="0.3">
      <c r="A17" s="60" t="s">
        <v>315</v>
      </c>
      <c r="B17" s="24">
        <f>IFERROR(+GETPIVOTDATA("Unique Billed Hours",'County allocation'!$A$3,"County",A17,"HHA/CDPAP","CDPAP"),0)</f>
        <v>8.4414902213022138E-3</v>
      </c>
    </row>
    <row r="18" spans="1:17" ht="15.75" hidden="1" thickBot="1" x14ac:dyDescent="0.3">
      <c r="A18" s="60" t="s">
        <v>316</v>
      </c>
      <c r="B18" s="24">
        <f>IFERROR(+GETPIVOTDATA("Unique Billed Hours",'County allocation'!$A$3,"County",A18,"HHA/CDPAP","CDPAP"),0)</f>
        <v>2.6305537197862446E-2</v>
      </c>
    </row>
    <row r="19" spans="1:17" ht="15.75" hidden="1" thickBot="1" x14ac:dyDescent="0.3">
      <c r="A19" s="60" t="s">
        <v>317</v>
      </c>
      <c r="B19" s="24">
        <f>IFERROR(+GETPIVOTDATA("Unique Billed Hours",'County allocation'!$A$3,"County",A19,"HHA/CDPAP","CDPAP"),0)</f>
        <v>2.022791098305527E-4</v>
      </c>
    </row>
    <row r="20" spans="1:17" ht="45" x14ac:dyDescent="0.25">
      <c r="A20" s="60" t="s">
        <v>318</v>
      </c>
      <c r="B20" s="24">
        <f>IFERROR(+GETPIVOTDATA("Unique Billed Hours",'County allocation'!$A$3,"County",A20,"HHA/CDPAP","CDPAP"),0)</f>
        <v>9.3602280587727475E-4</v>
      </c>
      <c r="C20" s="143">
        <f>IF(E20&gt;0,1,0)</f>
        <v>1</v>
      </c>
      <c r="D20" s="163" t="str">
        <f>+A4</f>
        <v>Albany</v>
      </c>
      <c r="E20" s="166">
        <f>+SUMIF(A:A,D20,B:B)</f>
        <v>2.8863005701790602E-2</v>
      </c>
      <c r="F20" s="509" t="s">
        <v>97</v>
      </c>
      <c r="G20" s="509" t="s">
        <v>126</v>
      </c>
      <c r="H20" s="509" t="s">
        <v>127</v>
      </c>
      <c r="I20" s="508" t="s">
        <v>128</v>
      </c>
      <c r="J20" s="508" t="s">
        <v>487</v>
      </c>
      <c r="K20" s="508" t="s">
        <v>474</v>
      </c>
      <c r="L20" s="508" t="s">
        <v>475</v>
      </c>
      <c r="M20" s="508" t="s">
        <v>476</v>
      </c>
      <c r="N20" s="508" t="s">
        <v>477</v>
      </c>
      <c r="O20" s="508" t="s">
        <v>478</v>
      </c>
      <c r="P20" s="508" t="s">
        <v>479</v>
      </c>
      <c r="Q20" s="508" t="s">
        <v>129</v>
      </c>
    </row>
    <row r="21" spans="1:17" ht="18.75" x14ac:dyDescent="0.25">
      <c r="A21" s="119" t="s">
        <v>319</v>
      </c>
      <c r="B21" s="24">
        <f>IFERROR(+GETPIVOTDATA("Unique Billed Hours",'County allocation'!$A$3,"County",A21,"HHA/CDPAP","CDPAP"),0)</f>
        <v>4.1658701551888161E-3</v>
      </c>
      <c r="C21" s="143">
        <f>C20</f>
        <v>1</v>
      </c>
      <c r="D21" s="160"/>
      <c r="E21" s="159"/>
      <c r="F21" s="49" t="s">
        <v>57</v>
      </c>
      <c r="G21" s="49" t="s">
        <v>56</v>
      </c>
      <c r="H21" s="49" t="s">
        <v>55</v>
      </c>
      <c r="I21" s="49" t="s">
        <v>54</v>
      </c>
      <c r="J21" s="58" t="s">
        <v>53</v>
      </c>
      <c r="K21" s="49" t="s">
        <v>52</v>
      </c>
      <c r="L21" s="49" t="s">
        <v>51</v>
      </c>
      <c r="M21" s="49" t="s">
        <v>50</v>
      </c>
      <c r="N21" s="49" t="s">
        <v>49</v>
      </c>
      <c r="O21" s="49" t="s">
        <v>47</v>
      </c>
      <c r="P21" s="49" t="s">
        <v>77</v>
      </c>
      <c r="Q21" s="573" t="s">
        <v>78</v>
      </c>
    </row>
    <row r="22" spans="1:17" ht="18.75" x14ac:dyDescent="0.25">
      <c r="A22" s="119" t="s">
        <v>320</v>
      </c>
      <c r="B22" s="24">
        <f>IFERROR(+GETPIVOTDATA("Unique Billed Hours",'County allocation'!$A$3,"County",A22,"HHA/CDPAP","CDPAP"),0)</f>
        <v>1.7283040715096493E-3</v>
      </c>
      <c r="C22" s="143">
        <f>C21</f>
        <v>1</v>
      </c>
      <c r="D22" s="158" t="s">
        <v>26</v>
      </c>
      <c r="E22" s="157"/>
      <c r="F22" s="156"/>
      <c r="G22" s="156"/>
      <c r="H22" s="156"/>
      <c r="I22" s="155"/>
      <c r="J22" s="154"/>
      <c r="K22" s="154"/>
      <c r="L22" s="154"/>
      <c r="M22" s="154"/>
      <c r="N22" s="154"/>
      <c r="O22" s="154"/>
      <c r="P22" s="154"/>
      <c r="Q22" s="153"/>
    </row>
    <row r="23" spans="1:17" ht="18.75" x14ac:dyDescent="0.25">
      <c r="A23" s="119" t="s">
        <v>321</v>
      </c>
      <c r="B23" s="24">
        <f>IFERROR(+GETPIVOTDATA("Unique Billed Hours",'County allocation'!$A$3,"County",A23,"HHA/CDPAP","CDPAP"),0)</f>
        <v>1.8330419841601578E-3</v>
      </c>
      <c r="C23" s="143">
        <f t="shared" ref="C23:C32" si="3">C22</f>
        <v>1</v>
      </c>
      <c r="D23" s="152" t="s">
        <v>133</v>
      </c>
      <c r="E23" s="38" t="s">
        <v>57</v>
      </c>
      <c r="F23" s="168">
        <f>F6*$E$20</f>
        <v>53.974324516068158</v>
      </c>
      <c r="G23" s="186">
        <f t="shared" ref="G23:J23" si="4">G6*$E$20</f>
        <v>108106.43923220686</v>
      </c>
      <c r="H23" s="186">
        <f t="shared" si="4"/>
        <v>1629.7741505064528</v>
      </c>
      <c r="I23" s="186">
        <f t="shared" si="4"/>
        <v>0</v>
      </c>
      <c r="J23" s="186">
        <f t="shared" si="4"/>
        <v>2076.9077123761981</v>
      </c>
      <c r="K23" s="186">
        <f t="shared" ref="K23:P23" si="5">K6*$E$20</f>
        <v>357.48275711952749</v>
      </c>
      <c r="L23" s="186">
        <f t="shared" si="5"/>
        <v>95.991141212730099</v>
      </c>
      <c r="M23" s="186">
        <f t="shared" si="5"/>
        <v>0</v>
      </c>
      <c r="N23" s="186">
        <f t="shared" si="5"/>
        <v>0</v>
      </c>
      <c r="O23" s="186">
        <f t="shared" si="5"/>
        <v>0</v>
      </c>
      <c r="P23" s="186">
        <f t="shared" si="5"/>
        <v>0</v>
      </c>
      <c r="Q23" s="189">
        <f>SUM(G23:P23)</f>
        <v>112266.59499342176</v>
      </c>
    </row>
    <row r="24" spans="1:17" ht="18.75" x14ac:dyDescent="0.25">
      <c r="A24" s="119" t="s">
        <v>322</v>
      </c>
      <c r="B24" s="24">
        <f>IFERROR(+GETPIVOTDATA("Unique Billed Hours",'County allocation'!$A$3,"County",A24,"HHA/CDPAP","CDPAP"),0)</f>
        <v>1.0782221928070756E-4</v>
      </c>
      <c r="C24" s="143">
        <f t="shared" si="3"/>
        <v>1</v>
      </c>
      <c r="D24" s="150" t="s">
        <v>31</v>
      </c>
      <c r="E24" s="38"/>
      <c r="F24" s="167"/>
      <c r="G24" s="185"/>
      <c r="H24" s="185"/>
      <c r="I24" s="187"/>
      <c r="J24" s="188"/>
      <c r="K24" s="188"/>
      <c r="L24" s="188"/>
      <c r="M24" s="188"/>
      <c r="N24" s="188"/>
      <c r="O24" s="188"/>
      <c r="P24" s="188"/>
      <c r="Q24" s="171"/>
    </row>
    <row r="25" spans="1:17" ht="18.75" x14ac:dyDescent="0.3">
      <c r="A25" s="119" t="s">
        <v>323</v>
      </c>
      <c r="B25" s="24">
        <f>IFERROR(+GETPIVOTDATA("Unique Billed Hours",'County allocation'!$A$3,"County",A25,"HHA/CDPAP","CDPAP"),0)</f>
        <v>1.6613489150790787E-3</v>
      </c>
      <c r="C25" s="143">
        <f t="shared" si="3"/>
        <v>1</v>
      </c>
      <c r="D25" s="149" t="s">
        <v>118</v>
      </c>
      <c r="E25" s="38" t="s">
        <v>56</v>
      </c>
      <c r="F25" s="168">
        <f t="shared" ref="F25:J31" si="6">F8*$E$20</f>
        <v>0</v>
      </c>
      <c r="G25" s="186">
        <f t="shared" si="6"/>
        <v>0</v>
      </c>
      <c r="H25" s="186">
        <f t="shared" si="6"/>
        <v>0</v>
      </c>
      <c r="I25" s="186">
        <f t="shared" si="6"/>
        <v>0</v>
      </c>
      <c r="J25" s="186">
        <f t="shared" si="6"/>
        <v>0</v>
      </c>
      <c r="K25" s="186">
        <f t="shared" ref="K25:P25" si="7">K8*$E$20</f>
        <v>0</v>
      </c>
      <c r="L25" s="186">
        <f t="shared" si="7"/>
        <v>0</v>
      </c>
      <c r="M25" s="186">
        <f t="shared" si="7"/>
        <v>0</v>
      </c>
      <c r="N25" s="186">
        <f t="shared" si="7"/>
        <v>0</v>
      </c>
      <c r="O25" s="186">
        <f t="shared" si="7"/>
        <v>0</v>
      </c>
      <c r="P25" s="186">
        <f t="shared" si="7"/>
        <v>0</v>
      </c>
      <c r="Q25" s="189">
        <f t="shared" ref="Q25:Q31" si="8">SUM(G25:P25)</f>
        <v>0</v>
      </c>
    </row>
    <row r="26" spans="1:17" ht="18.75" x14ac:dyDescent="0.3">
      <c r="A26" s="119" t="s">
        <v>324</v>
      </c>
      <c r="B26" s="24">
        <f>IFERROR(+GETPIVOTDATA("Unique Billed Hours",'County allocation'!$A$3,"County",A26,"HHA/CDPAP","CDPAP"),0)</f>
        <v>6.5581997416250632E-3</v>
      </c>
      <c r="C26" s="143">
        <f t="shared" si="3"/>
        <v>1</v>
      </c>
      <c r="D26" s="149" t="s">
        <v>119</v>
      </c>
      <c r="E26" s="38" t="s">
        <v>55</v>
      </c>
      <c r="F26" s="168">
        <f t="shared" si="6"/>
        <v>0</v>
      </c>
      <c r="G26" s="186">
        <f t="shared" si="6"/>
        <v>0</v>
      </c>
      <c r="H26" s="186">
        <f t="shared" si="6"/>
        <v>0</v>
      </c>
      <c r="I26" s="186">
        <f t="shared" si="6"/>
        <v>0</v>
      </c>
      <c r="J26" s="186">
        <f t="shared" si="6"/>
        <v>0</v>
      </c>
      <c r="K26" s="186">
        <f t="shared" ref="K26:P26" si="9">K9*$E$20</f>
        <v>0</v>
      </c>
      <c r="L26" s="186">
        <f t="shared" si="9"/>
        <v>0</v>
      </c>
      <c r="M26" s="186">
        <f t="shared" si="9"/>
        <v>0</v>
      </c>
      <c r="N26" s="186">
        <f t="shared" si="9"/>
        <v>0</v>
      </c>
      <c r="O26" s="186">
        <f t="shared" si="9"/>
        <v>0</v>
      </c>
      <c r="P26" s="186">
        <f t="shared" si="9"/>
        <v>0</v>
      </c>
      <c r="Q26" s="189">
        <f t="shared" si="8"/>
        <v>0</v>
      </c>
    </row>
    <row r="27" spans="1:17" ht="18.75" x14ac:dyDescent="0.3">
      <c r="A27" s="302" t="s">
        <v>365</v>
      </c>
      <c r="B27" s="24">
        <f>IFERROR(+GETPIVOTDATA("Unique Billed Hours",'County allocation'!$A$3,"County",A27,"HHA/CDPAP","CDPAP"),0)</f>
        <v>0.19849003913535318</v>
      </c>
      <c r="C27" s="143">
        <f t="shared" si="3"/>
        <v>1</v>
      </c>
      <c r="D27" s="149" t="s">
        <v>120</v>
      </c>
      <c r="E27" s="38" t="s">
        <v>54</v>
      </c>
      <c r="F27" s="168">
        <f t="shared" si="6"/>
        <v>0</v>
      </c>
      <c r="G27" s="186">
        <f t="shared" si="6"/>
        <v>0</v>
      </c>
      <c r="H27" s="186">
        <f t="shared" si="6"/>
        <v>0</v>
      </c>
      <c r="I27" s="186">
        <f t="shared" si="6"/>
        <v>0</v>
      </c>
      <c r="J27" s="186">
        <f t="shared" si="6"/>
        <v>0</v>
      </c>
      <c r="K27" s="186">
        <f t="shared" ref="K27:P27" si="10">K10*$E$20</f>
        <v>0</v>
      </c>
      <c r="L27" s="186">
        <f t="shared" si="10"/>
        <v>0</v>
      </c>
      <c r="M27" s="186">
        <f t="shared" si="10"/>
        <v>0</v>
      </c>
      <c r="N27" s="186">
        <f t="shared" si="10"/>
        <v>0</v>
      </c>
      <c r="O27" s="186">
        <f t="shared" si="10"/>
        <v>0</v>
      </c>
      <c r="P27" s="186">
        <f t="shared" si="10"/>
        <v>0</v>
      </c>
      <c r="Q27" s="189">
        <f t="shared" si="8"/>
        <v>0</v>
      </c>
    </row>
    <row r="28" spans="1:17" ht="18.75" x14ac:dyDescent="0.3">
      <c r="A28" s="119" t="s">
        <v>325</v>
      </c>
      <c r="B28" s="24">
        <f>IFERROR(+GETPIVOTDATA("Unique Billed Hours",'County allocation'!$A$3,"County",A28,"HHA/CDPAP","CDPAP"),0)</f>
        <v>1.5695907928306577E-3</v>
      </c>
      <c r="C28" s="143">
        <f t="shared" si="3"/>
        <v>1</v>
      </c>
      <c r="D28" s="149" t="s">
        <v>121</v>
      </c>
      <c r="E28" s="38" t="s">
        <v>53</v>
      </c>
      <c r="F28" s="168">
        <f t="shared" si="6"/>
        <v>0</v>
      </c>
      <c r="G28" s="186">
        <f t="shared" si="6"/>
        <v>0</v>
      </c>
      <c r="H28" s="186">
        <f t="shared" si="6"/>
        <v>0</v>
      </c>
      <c r="I28" s="186">
        <f t="shared" si="6"/>
        <v>0</v>
      </c>
      <c r="J28" s="186">
        <f t="shared" si="6"/>
        <v>0</v>
      </c>
      <c r="K28" s="186">
        <f t="shared" ref="K28:P28" si="11">K11*$E$20</f>
        <v>0</v>
      </c>
      <c r="L28" s="186">
        <f t="shared" si="11"/>
        <v>0</v>
      </c>
      <c r="M28" s="186">
        <f t="shared" si="11"/>
        <v>0</v>
      </c>
      <c r="N28" s="186">
        <f t="shared" si="11"/>
        <v>0</v>
      </c>
      <c r="O28" s="186">
        <f t="shared" si="11"/>
        <v>0</v>
      </c>
      <c r="P28" s="186">
        <f t="shared" si="11"/>
        <v>0</v>
      </c>
      <c r="Q28" s="189">
        <f t="shared" si="8"/>
        <v>0</v>
      </c>
    </row>
    <row r="29" spans="1:17" ht="18.75" x14ac:dyDescent="0.3">
      <c r="A29" s="119" t="s">
        <v>326</v>
      </c>
      <c r="B29" s="24">
        <f>IFERROR(+GETPIVOTDATA("Unique Billed Hours",'County allocation'!$A$3,"County",A29,"HHA/CDPAP","CDPAP"),0)</f>
        <v>1.1180611534471463E-3</v>
      </c>
      <c r="C29" s="143">
        <f t="shared" si="3"/>
        <v>1</v>
      </c>
      <c r="D29" s="149" t="s">
        <v>122</v>
      </c>
      <c r="E29" s="38" t="s">
        <v>52</v>
      </c>
      <c r="F29" s="168">
        <f t="shared" si="6"/>
        <v>0</v>
      </c>
      <c r="G29" s="186">
        <f t="shared" si="6"/>
        <v>0</v>
      </c>
      <c r="H29" s="186">
        <f t="shared" si="6"/>
        <v>0</v>
      </c>
      <c r="I29" s="186">
        <f t="shared" si="6"/>
        <v>0</v>
      </c>
      <c r="J29" s="186">
        <f t="shared" si="6"/>
        <v>0</v>
      </c>
      <c r="K29" s="186">
        <f t="shared" ref="K29:P29" si="12">K12*$E$20</f>
        <v>0</v>
      </c>
      <c r="L29" s="186">
        <f t="shared" si="12"/>
        <v>0</v>
      </c>
      <c r="M29" s="186">
        <f t="shared" si="12"/>
        <v>0</v>
      </c>
      <c r="N29" s="186">
        <f t="shared" si="12"/>
        <v>0</v>
      </c>
      <c r="O29" s="186">
        <f t="shared" si="12"/>
        <v>0</v>
      </c>
      <c r="P29" s="186">
        <f t="shared" si="12"/>
        <v>0</v>
      </c>
      <c r="Q29" s="189">
        <f t="shared" si="8"/>
        <v>0</v>
      </c>
    </row>
    <row r="30" spans="1:17" ht="18.75" x14ac:dyDescent="0.3">
      <c r="A30" s="119" t="s">
        <v>327</v>
      </c>
      <c r="B30" s="24">
        <f>IFERROR(+GETPIVOTDATA("Unique Billed Hours",'County allocation'!$A$3,"County",A30,"HHA/CDPAP","CDPAP"),0)</f>
        <v>1.9127199054402991E-3</v>
      </c>
      <c r="C30" s="143">
        <f t="shared" si="3"/>
        <v>1</v>
      </c>
      <c r="D30" s="149" t="s">
        <v>123</v>
      </c>
      <c r="E30" s="38" t="s">
        <v>51</v>
      </c>
      <c r="F30" s="168">
        <f t="shared" si="6"/>
        <v>0</v>
      </c>
      <c r="G30" s="186">
        <f t="shared" si="6"/>
        <v>0</v>
      </c>
      <c r="H30" s="186">
        <f t="shared" si="6"/>
        <v>0</v>
      </c>
      <c r="I30" s="186">
        <f t="shared" si="6"/>
        <v>0</v>
      </c>
      <c r="J30" s="186">
        <f t="shared" si="6"/>
        <v>0</v>
      </c>
      <c r="K30" s="186">
        <f t="shared" ref="K30:P30" si="13">K13*$E$20</f>
        <v>0</v>
      </c>
      <c r="L30" s="186">
        <f t="shared" si="13"/>
        <v>0</v>
      </c>
      <c r="M30" s="186">
        <f t="shared" si="13"/>
        <v>0</v>
      </c>
      <c r="N30" s="186">
        <f t="shared" si="13"/>
        <v>0</v>
      </c>
      <c r="O30" s="186">
        <f t="shared" si="13"/>
        <v>0</v>
      </c>
      <c r="P30" s="186">
        <f t="shared" si="13"/>
        <v>0</v>
      </c>
      <c r="Q30" s="189">
        <f t="shared" si="8"/>
        <v>0</v>
      </c>
    </row>
    <row r="31" spans="1:17" ht="19.5" thickBot="1" x14ac:dyDescent="0.35">
      <c r="A31" s="119" t="s">
        <v>285</v>
      </c>
      <c r="B31" s="24">
        <f>IFERROR(+GETPIVOTDATA("Unique Billed Hours",'County allocation'!$A$3,"County",A31,"HHA/CDPAP","CDPAP"),0)</f>
        <v>3.1956436739103963E-2</v>
      </c>
      <c r="C31" s="143">
        <f t="shared" si="3"/>
        <v>1</v>
      </c>
      <c r="D31" s="149" t="s">
        <v>16</v>
      </c>
      <c r="E31" s="37" t="s">
        <v>50</v>
      </c>
      <c r="F31" s="168">
        <f t="shared" si="6"/>
        <v>3.5891301916360629</v>
      </c>
      <c r="G31" s="186">
        <f t="shared" si="6"/>
        <v>6477.6736518581674</v>
      </c>
      <c r="H31" s="186">
        <f t="shared" si="6"/>
        <v>126.22146381944889</v>
      </c>
      <c r="I31" s="186">
        <f t="shared" si="6"/>
        <v>0</v>
      </c>
      <c r="J31" s="186">
        <f t="shared" si="6"/>
        <v>0</v>
      </c>
      <c r="K31" s="186">
        <f t="shared" ref="K31:P31" si="14">K14*$E$20</f>
        <v>452.30513545542061</v>
      </c>
      <c r="L31" s="186">
        <f t="shared" si="14"/>
        <v>0</v>
      </c>
      <c r="M31" s="186">
        <f t="shared" si="14"/>
        <v>0.24276801530880365</v>
      </c>
      <c r="N31" s="186">
        <f t="shared" si="14"/>
        <v>0</v>
      </c>
      <c r="O31" s="186">
        <f t="shared" si="14"/>
        <v>0</v>
      </c>
      <c r="P31" s="186">
        <f t="shared" si="14"/>
        <v>408.94777945466535</v>
      </c>
      <c r="Q31" s="189">
        <f t="shared" si="8"/>
        <v>7465.3907986030117</v>
      </c>
    </row>
    <row r="32" spans="1:17" ht="19.5" thickBot="1" x14ac:dyDescent="0.3">
      <c r="A32" s="119" t="s">
        <v>328</v>
      </c>
      <c r="B32" s="24">
        <f>IFERROR(+GETPIVOTDATA("Unique Billed Hours",'County allocation'!$A$3,"County",A32,"HHA/CDPAP","CDPAP"),0)</f>
        <v>5.4683471425666123E-3</v>
      </c>
      <c r="C32" s="143">
        <f t="shared" si="3"/>
        <v>1</v>
      </c>
      <c r="D32" s="148" t="s">
        <v>124</v>
      </c>
      <c r="E32" s="147" t="s">
        <v>49</v>
      </c>
      <c r="F32" s="169">
        <f>SUBTOTAL(9,F23:F31)</f>
        <v>57.563454707704224</v>
      </c>
      <c r="G32" s="170">
        <f t="shared" ref="G32:Q32" si="15">SUBTOTAL(9,G23:G31)</f>
        <v>114584.11288406502</v>
      </c>
      <c r="H32" s="170">
        <f t="shared" si="15"/>
        <v>1755.9956143259017</v>
      </c>
      <c r="I32" s="170">
        <f t="shared" si="15"/>
        <v>0</v>
      </c>
      <c r="J32" s="170">
        <f t="shared" si="15"/>
        <v>2076.9077123761981</v>
      </c>
      <c r="K32" s="170">
        <f t="shared" ref="K32:P32" si="16">SUBTOTAL(9,K23:K31)</f>
        <v>809.78789257494805</v>
      </c>
      <c r="L32" s="170">
        <f t="shared" si="16"/>
        <v>95.991141212730099</v>
      </c>
      <c r="M32" s="170">
        <f t="shared" si="16"/>
        <v>0.24276801530880365</v>
      </c>
      <c r="N32" s="170">
        <f t="shared" si="16"/>
        <v>0</v>
      </c>
      <c r="O32" s="170">
        <f t="shared" si="16"/>
        <v>0</v>
      </c>
      <c r="P32" s="170">
        <f t="shared" si="16"/>
        <v>408.94777945466535</v>
      </c>
      <c r="Q32" s="170">
        <f t="shared" si="15"/>
        <v>119731.98579202477</v>
      </c>
    </row>
    <row r="33" spans="1:17" ht="15.75" hidden="1" thickBot="1" x14ac:dyDescent="0.3">
      <c r="A33" s="119" t="s">
        <v>329</v>
      </c>
      <c r="B33" s="24">
        <f>IFERROR(+GETPIVOTDATA("Unique Billed Hours",'County allocation'!$A$3,"County",A33,"HHA/CDPAP","CDPAP"),0)</f>
        <v>5.1693236147688171E-2</v>
      </c>
    </row>
    <row r="34" spans="1:17" ht="45" x14ac:dyDescent="0.25">
      <c r="A34" s="302" t="s">
        <v>366</v>
      </c>
      <c r="B34" s="24">
        <f>IFERROR(+GETPIVOTDATA("Unique Billed Hours",'County allocation'!$A$3,"County",A34,"HHA/CDPAP","CDPAP"),0)</f>
        <v>6.8695669215824678E-2</v>
      </c>
      <c r="C34" s="143">
        <f>IF(E34&gt;0,1,0)</f>
        <v>1</v>
      </c>
      <c r="D34" s="163" t="str">
        <f>A5</f>
        <v>Allegany</v>
      </c>
      <c r="E34" s="166">
        <f>+SUMIF(A:A,D34,B:B)</f>
        <v>6.0503815062404201E-4</v>
      </c>
      <c r="F34" s="509" t="s">
        <v>97</v>
      </c>
      <c r="G34" s="509" t="s">
        <v>126</v>
      </c>
      <c r="H34" s="509" t="s">
        <v>127</v>
      </c>
      <c r="I34" s="508" t="s">
        <v>128</v>
      </c>
      <c r="J34" s="508" t="s">
        <v>487</v>
      </c>
      <c r="K34" s="508" t="s">
        <v>474</v>
      </c>
      <c r="L34" s="508" t="s">
        <v>475</v>
      </c>
      <c r="M34" s="508" t="s">
        <v>476</v>
      </c>
      <c r="N34" s="508" t="s">
        <v>477</v>
      </c>
      <c r="O34" s="508" t="s">
        <v>478</v>
      </c>
      <c r="P34" s="508" t="s">
        <v>479</v>
      </c>
      <c r="Q34" s="508" t="s">
        <v>129</v>
      </c>
    </row>
    <row r="35" spans="1:17" ht="18.75" x14ac:dyDescent="0.25">
      <c r="A35" s="119" t="s">
        <v>330</v>
      </c>
      <c r="B35" s="24">
        <f>IFERROR(+GETPIVOTDATA("Unique Billed Hours",'County allocation'!$A$3,"County",A35,"HHA/CDPAP","CDPAP"),0)</f>
        <v>5.8328093760351305E-3</v>
      </c>
      <c r="C35" s="143">
        <f>C34</f>
        <v>1</v>
      </c>
      <c r="D35" s="160"/>
      <c r="E35" s="159"/>
      <c r="F35" s="49" t="s">
        <v>57</v>
      </c>
      <c r="G35" s="49" t="s">
        <v>56</v>
      </c>
      <c r="H35" s="49" t="s">
        <v>55</v>
      </c>
      <c r="I35" s="49" t="s">
        <v>54</v>
      </c>
      <c r="J35" s="58" t="s">
        <v>53</v>
      </c>
      <c r="K35" s="49" t="s">
        <v>52</v>
      </c>
      <c r="L35" s="49" t="s">
        <v>51</v>
      </c>
      <c r="M35" s="49" t="s">
        <v>50</v>
      </c>
      <c r="N35" s="49" t="s">
        <v>49</v>
      </c>
      <c r="O35" s="49" t="s">
        <v>47</v>
      </c>
      <c r="P35" s="49" t="s">
        <v>77</v>
      </c>
      <c r="Q35" s="573" t="s">
        <v>78</v>
      </c>
    </row>
    <row r="36" spans="1:17" ht="18.75" x14ac:dyDescent="0.25">
      <c r="A36" s="119" t="s">
        <v>331</v>
      </c>
      <c r="B36" s="24">
        <f>IFERROR(+GETPIVOTDATA("Unique Billed Hours",'County allocation'!$A$3,"County",A36,"HHA/CDPAP","CDPAP"),0)</f>
        <v>7.1008449393757042E-3</v>
      </c>
      <c r="C36" s="143">
        <f>C35</f>
        <v>1</v>
      </c>
      <c r="D36" s="158" t="s">
        <v>26</v>
      </c>
      <c r="E36" s="157"/>
      <c r="F36" s="156"/>
      <c r="G36" s="156"/>
      <c r="H36" s="156"/>
      <c r="I36" s="155"/>
      <c r="J36" s="154"/>
      <c r="K36" s="154"/>
      <c r="L36" s="154"/>
      <c r="M36" s="154"/>
      <c r="N36" s="154"/>
      <c r="O36" s="154"/>
      <c r="P36" s="154"/>
      <c r="Q36" s="153"/>
    </row>
    <row r="37" spans="1:17" ht="18.75" x14ac:dyDescent="0.25">
      <c r="A37" s="119" t="s">
        <v>332</v>
      </c>
      <c r="B37" s="24">
        <f>IFERROR(+GETPIVOTDATA("Unique Billed Hours",'County allocation'!$A$3,"County",A37,"HHA/CDPAP","CDPAP"),0)</f>
        <v>2.2146992270920353E-2</v>
      </c>
      <c r="C37" s="143">
        <f t="shared" ref="C37:C46" si="17">C36</f>
        <v>1</v>
      </c>
      <c r="D37" s="152" t="s">
        <v>133</v>
      </c>
      <c r="E37" s="38" t="s">
        <v>57</v>
      </c>
      <c r="F37" s="168">
        <f>F6*$E$34</f>
        <v>1.1314319036550593</v>
      </c>
      <c r="G37" s="186">
        <f t="shared" ref="G37:J37" si="18">G6*$E$34</f>
        <v>2266.1714701302576</v>
      </c>
      <c r="H37" s="186">
        <f t="shared" si="18"/>
        <v>34.163993457414563</v>
      </c>
      <c r="I37" s="186">
        <f t="shared" si="18"/>
        <v>0</v>
      </c>
      <c r="J37" s="186">
        <f t="shared" si="18"/>
        <v>43.536990370858952</v>
      </c>
      <c r="K37" s="186">
        <f t="shared" ref="K37:P37" si="19">K6*$E$34</f>
        <v>7.4937000145540722</v>
      </c>
      <c r="L37" s="186">
        <f t="shared" si="19"/>
        <v>2.0122056294379078</v>
      </c>
      <c r="M37" s="186">
        <f t="shared" si="19"/>
        <v>0</v>
      </c>
      <c r="N37" s="186">
        <f t="shared" si="19"/>
        <v>0</v>
      </c>
      <c r="O37" s="186">
        <f t="shared" si="19"/>
        <v>0</v>
      </c>
      <c r="P37" s="186">
        <f t="shared" si="19"/>
        <v>0</v>
      </c>
      <c r="Q37" s="189">
        <f>SUM(G37:P37)</f>
        <v>2353.3783596025232</v>
      </c>
    </row>
    <row r="38" spans="1:17" ht="18.75" x14ac:dyDescent="0.25">
      <c r="A38" s="119" t="s">
        <v>333</v>
      </c>
      <c r="B38" s="24">
        <f>IFERROR(+GETPIVOTDATA("Unique Billed Hours",'County allocation'!$A$3,"County",A38,"HHA/CDPAP","CDPAP"),0)</f>
        <v>3.0558410502578128E-3</v>
      </c>
      <c r="C38" s="143">
        <f t="shared" si="17"/>
        <v>1</v>
      </c>
      <c r="D38" s="150" t="s">
        <v>31</v>
      </c>
      <c r="E38" s="38"/>
      <c r="F38" s="167"/>
      <c r="G38" s="185"/>
      <c r="H38" s="185"/>
      <c r="I38" s="187"/>
      <c r="J38" s="188"/>
      <c r="K38" s="188"/>
      <c r="L38" s="188"/>
      <c r="M38" s="188"/>
      <c r="N38" s="188"/>
      <c r="O38" s="188"/>
      <c r="P38" s="188"/>
      <c r="Q38" s="171"/>
    </row>
    <row r="39" spans="1:17" ht="18.75" x14ac:dyDescent="0.3">
      <c r="A39" s="119" t="s">
        <v>334</v>
      </c>
      <c r="B39" s="24">
        <f>IFERROR(+GETPIVOTDATA("Unique Billed Hours",'County allocation'!$A$3,"County",A39,"HHA/CDPAP","CDPAP"),0)</f>
        <v>1.2293981971585183E-2</v>
      </c>
      <c r="C39" s="143">
        <f t="shared" si="17"/>
        <v>1</v>
      </c>
      <c r="D39" s="149" t="s">
        <v>118</v>
      </c>
      <c r="E39" s="38" t="s">
        <v>56</v>
      </c>
      <c r="F39" s="168">
        <f t="shared" ref="F39:J45" si="20">F8*$E$34</f>
        <v>0</v>
      </c>
      <c r="G39" s="186">
        <f t="shared" si="20"/>
        <v>0</v>
      </c>
      <c r="H39" s="186">
        <f t="shared" si="20"/>
        <v>0</v>
      </c>
      <c r="I39" s="186">
        <f t="shared" si="20"/>
        <v>0</v>
      </c>
      <c r="J39" s="186">
        <f t="shared" si="20"/>
        <v>0</v>
      </c>
      <c r="K39" s="186">
        <f t="shared" ref="K39:P39" si="21">K8*$E$34</f>
        <v>0</v>
      </c>
      <c r="L39" s="186">
        <f t="shared" si="21"/>
        <v>0</v>
      </c>
      <c r="M39" s="186">
        <f t="shared" si="21"/>
        <v>0</v>
      </c>
      <c r="N39" s="186">
        <f t="shared" si="21"/>
        <v>0</v>
      </c>
      <c r="O39" s="186">
        <f t="shared" si="21"/>
        <v>0</v>
      </c>
      <c r="P39" s="186">
        <f t="shared" si="21"/>
        <v>0</v>
      </c>
      <c r="Q39" s="189">
        <f t="shared" ref="Q39:Q45" si="22">SUM(G39:P39)</f>
        <v>0</v>
      </c>
    </row>
    <row r="40" spans="1:17" ht="18.75" x14ac:dyDescent="0.3">
      <c r="A40" s="119" t="s">
        <v>335</v>
      </c>
      <c r="B40" s="24">
        <f>IFERROR(+GETPIVOTDATA("Unique Billed Hours",'County allocation'!$A$3,"County",A40,"HHA/CDPAP","CDPAP"),0)</f>
        <v>1.1805826190968058E-3</v>
      </c>
      <c r="C40" s="143">
        <f t="shared" si="17"/>
        <v>1</v>
      </c>
      <c r="D40" s="149" t="s">
        <v>119</v>
      </c>
      <c r="E40" s="38" t="s">
        <v>55</v>
      </c>
      <c r="F40" s="168">
        <f t="shared" si="20"/>
        <v>0</v>
      </c>
      <c r="G40" s="186">
        <f t="shared" si="20"/>
        <v>0</v>
      </c>
      <c r="H40" s="186">
        <f t="shared" si="20"/>
        <v>0</v>
      </c>
      <c r="I40" s="186">
        <f t="shared" si="20"/>
        <v>0</v>
      </c>
      <c r="J40" s="186">
        <f t="shared" si="20"/>
        <v>0</v>
      </c>
      <c r="K40" s="186">
        <f t="shared" ref="K40:P40" si="23">K9*$E$34</f>
        <v>0</v>
      </c>
      <c r="L40" s="186">
        <f t="shared" si="23"/>
        <v>0</v>
      </c>
      <c r="M40" s="186">
        <f t="shared" si="23"/>
        <v>0</v>
      </c>
      <c r="N40" s="186">
        <f t="shared" si="23"/>
        <v>0</v>
      </c>
      <c r="O40" s="186">
        <f t="shared" si="23"/>
        <v>0</v>
      </c>
      <c r="P40" s="186">
        <f t="shared" si="23"/>
        <v>0</v>
      </c>
      <c r="Q40" s="189">
        <f t="shared" si="22"/>
        <v>0</v>
      </c>
    </row>
    <row r="41" spans="1:17" ht="18.75" x14ac:dyDescent="0.3">
      <c r="A41" s="119" t="s">
        <v>336</v>
      </c>
      <c r="B41" s="24">
        <f>IFERROR(+GETPIVOTDATA("Unique Billed Hours",'County allocation'!$A$3,"County",A41,"HHA/CDPAP","CDPAP"),0)</f>
        <v>3.9130855242887541E-3</v>
      </c>
      <c r="C41" s="143">
        <f t="shared" si="17"/>
        <v>1</v>
      </c>
      <c r="D41" s="149" t="s">
        <v>120</v>
      </c>
      <c r="E41" s="38" t="s">
        <v>54</v>
      </c>
      <c r="F41" s="168">
        <f t="shared" si="20"/>
        <v>0</v>
      </c>
      <c r="G41" s="186">
        <f t="shared" si="20"/>
        <v>0</v>
      </c>
      <c r="H41" s="186">
        <f t="shared" si="20"/>
        <v>0</v>
      </c>
      <c r="I41" s="186">
        <f t="shared" si="20"/>
        <v>0</v>
      </c>
      <c r="J41" s="186">
        <f t="shared" si="20"/>
        <v>0</v>
      </c>
      <c r="K41" s="186">
        <f t="shared" ref="K41:P41" si="24">K10*$E$34</f>
        <v>0</v>
      </c>
      <c r="L41" s="186">
        <f t="shared" si="24"/>
        <v>0</v>
      </c>
      <c r="M41" s="186">
        <f t="shared" si="24"/>
        <v>0</v>
      </c>
      <c r="N41" s="186">
        <f t="shared" si="24"/>
        <v>0</v>
      </c>
      <c r="O41" s="186">
        <f t="shared" si="24"/>
        <v>0</v>
      </c>
      <c r="P41" s="186">
        <f t="shared" si="24"/>
        <v>0</v>
      </c>
      <c r="Q41" s="189">
        <f t="shared" si="22"/>
        <v>0</v>
      </c>
    </row>
    <row r="42" spans="1:17" ht="18.75" x14ac:dyDescent="0.3">
      <c r="A42" s="119" t="s">
        <v>337</v>
      </c>
      <c r="B42" s="24">
        <f>IFERROR(+GETPIVOTDATA("Unique Billed Hours",'County allocation'!$A$3,"County",A42,"HHA/CDPAP","CDPAP"),0)</f>
        <v>1.6648187600380527E-3</v>
      </c>
      <c r="C42" s="143">
        <f t="shared" si="17"/>
        <v>1</v>
      </c>
      <c r="D42" s="149" t="s">
        <v>121</v>
      </c>
      <c r="E42" s="38" t="s">
        <v>53</v>
      </c>
      <c r="F42" s="168">
        <f t="shared" si="20"/>
        <v>0</v>
      </c>
      <c r="G42" s="186">
        <f t="shared" si="20"/>
        <v>0</v>
      </c>
      <c r="H42" s="186">
        <f t="shared" si="20"/>
        <v>0</v>
      </c>
      <c r="I42" s="186">
        <f t="shared" si="20"/>
        <v>0</v>
      </c>
      <c r="J42" s="186">
        <f t="shared" si="20"/>
        <v>0</v>
      </c>
      <c r="K42" s="186">
        <f t="shared" ref="K42:P42" si="25">K11*$E$34</f>
        <v>0</v>
      </c>
      <c r="L42" s="186">
        <f t="shared" si="25"/>
        <v>0</v>
      </c>
      <c r="M42" s="186">
        <f t="shared" si="25"/>
        <v>0</v>
      </c>
      <c r="N42" s="186">
        <f t="shared" si="25"/>
        <v>0</v>
      </c>
      <c r="O42" s="186">
        <f t="shared" si="25"/>
        <v>0</v>
      </c>
      <c r="P42" s="186">
        <f t="shared" si="25"/>
        <v>0</v>
      </c>
      <c r="Q42" s="189">
        <f t="shared" si="22"/>
        <v>0</v>
      </c>
    </row>
    <row r="43" spans="1:17" ht="18.75" x14ac:dyDescent="0.3">
      <c r="A43" s="119" t="s">
        <v>338</v>
      </c>
      <c r="B43" s="24">
        <f>IFERROR(+GETPIVOTDATA("Unique Billed Hours",'County allocation'!$A$3,"County",A43,"HHA/CDPAP","CDPAP"),0)</f>
        <v>6.9943078478575799E-4</v>
      </c>
      <c r="C43" s="143">
        <f t="shared" si="17"/>
        <v>1</v>
      </c>
      <c r="D43" s="149" t="s">
        <v>122</v>
      </c>
      <c r="E43" s="38" t="s">
        <v>52</v>
      </c>
      <c r="F43" s="168">
        <f t="shared" si="20"/>
        <v>0</v>
      </c>
      <c r="G43" s="186">
        <f t="shared" si="20"/>
        <v>0</v>
      </c>
      <c r="H43" s="186">
        <f t="shared" si="20"/>
        <v>0</v>
      </c>
      <c r="I43" s="186">
        <f t="shared" si="20"/>
        <v>0</v>
      </c>
      <c r="J43" s="186">
        <f t="shared" si="20"/>
        <v>0</v>
      </c>
      <c r="K43" s="186">
        <f t="shared" ref="K43:P43" si="26">K12*$E$34</f>
        <v>0</v>
      </c>
      <c r="L43" s="186">
        <f t="shared" si="26"/>
        <v>0</v>
      </c>
      <c r="M43" s="186">
        <f t="shared" si="26"/>
        <v>0</v>
      </c>
      <c r="N43" s="186">
        <f t="shared" si="26"/>
        <v>0</v>
      </c>
      <c r="O43" s="186">
        <f t="shared" si="26"/>
        <v>0</v>
      </c>
      <c r="P43" s="186">
        <f t="shared" si="26"/>
        <v>0</v>
      </c>
      <c r="Q43" s="189">
        <f t="shared" si="22"/>
        <v>0</v>
      </c>
    </row>
    <row r="44" spans="1:17" ht="18.75" x14ac:dyDescent="0.3">
      <c r="A44" s="119" t="s">
        <v>339</v>
      </c>
      <c r="B44" s="24">
        <f>IFERROR(+GETPIVOTDATA("Unique Billed Hours",'County allocation'!$A$3,"County",A44,"HHA/CDPAP","CDPAP"),0)</f>
        <v>0.13455152735828174</v>
      </c>
      <c r="C44" s="143">
        <f t="shared" si="17"/>
        <v>1</v>
      </c>
      <c r="D44" s="149" t="s">
        <v>123</v>
      </c>
      <c r="E44" s="38" t="s">
        <v>51</v>
      </c>
      <c r="F44" s="168">
        <f t="shared" si="20"/>
        <v>0</v>
      </c>
      <c r="G44" s="186">
        <f t="shared" si="20"/>
        <v>0</v>
      </c>
      <c r="H44" s="186">
        <f t="shared" si="20"/>
        <v>0</v>
      </c>
      <c r="I44" s="186">
        <f t="shared" si="20"/>
        <v>0</v>
      </c>
      <c r="J44" s="186">
        <f t="shared" si="20"/>
        <v>0</v>
      </c>
      <c r="K44" s="186">
        <f t="shared" ref="K44:P44" si="27">K13*$E$34</f>
        <v>0</v>
      </c>
      <c r="L44" s="186">
        <f t="shared" si="27"/>
        <v>0</v>
      </c>
      <c r="M44" s="186">
        <f t="shared" si="27"/>
        <v>0</v>
      </c>
      <c r="N44" s="186">
        <f t="shared" si="27"/>
        <v>0</v>
      </c>
      <c r="O44" s="186">
        <f t="shared" si="27"/>
        <v>0</v>
      </c>
      <c r="P44" s="186">
        <f t="shared" si="27"/>
        <v>0</v>
      </c>
      <c r="Q44" s="189">
        <f t="shared" si="22"/>
        <v>0</v>
      </c>
    </row>
    <row r="45" spans="1:17" ht="19.5" thickBot="1" x14ac:dyDescent="0.35">
      <c r="A45" s="119" t="s">
        <v>340</v>
      </c>
      <c r="B45" s="24">
        <f>IFERROR(+GETPIVOTDATA("Unique Billed Hours",'County allocation'!$A$3,"County",A45,"HHA/CDPAP","CDPAP"),0)</f>
        <v>1.1879078473435285E-2</v>
      </c>
      <c r="C45" s="143">
        <f t="shared" si="17"/>
        <v>1</v>
      </c>
      <c r="D45" s="149" t="s">
        <v>16</v>
      </c>
      <c r="E45" s="37" t="s">
        <v>50</v>
      </c>
      <c r="F45" s="168">
        <f t="shared" si="20"/>
        <v>7.5236817534969261E-2</v>
      </c>
      <c r="G45" s="186">
        <f t="shared" si="20"/>
        <v>135.78764897736235</v>
      </c>
      <c r="H45" s="186">
        <f t="shared" si="20"/>
        <v>2.6459060372094587</v>
      </c>
      <c r="I45" s="186">
        <f t="shared" si="20"/>
        <v>0</v>
      </c>
      <c r="J45" s="186">
        <f t="shared" si="20"/>
        <v>0</v>
      </c>
      <c r="K45" s="186">
        <f t="shared" ref="K45:P45" si="28">K14*$E$34</f>
        <v>9.4814055577284204</v>
      </c>
      <c r="L45" s="186">
        <f t="shared" si="28"/>
        <v>0</v>
      </c>
      <c r="M45" s="186">
        <f t="shared" si="28"/>
        <v>5.0890025983674776E-3</v>
      </c>
      <c r="N45" s="186">
        <f t="shared" si="28"/>
        <v>0</v>
      </c>
      <c r="O45" s="186">
        <f t="shared" si="28"/>
        <v>0</v>
      </c>
      <c r="P45" s="186">
        <f t="shared" si="28"/>
        <v>8.5725308978374812</v>
      </c>
      <c r="Q45" s="189">
        <f t="shared" si="22"/>
        <v>156.49258047273608</v>
      </c>
    </row>
    <row r="46" spans="1:17" ht="19.5" thickBot="1" x14ac:dyDescent="0.3">
      <c r="A46" s="302" t="s">
        <v>367</v>
      </c>
      <c r="B46" s="24">
        <f>IFERROR(+GETPIVOTDATA("Unique Billed Hours",'County allocation'!$A$3,"County",A46,"HHA/CDPAP","CDPAP"),0)</f>
        <v>6.7007910925224526E-2</v>
      </c>
      <c r="C46" s="143">
        <f t="shared" si="17"/>
        <v>1</v>
      </c>
      <c r="D46" s="148" t="s">
        <v>124</v>
      </c>
      <c r="E46" s="147" t="s">
        <v>49</v>
      </c>
      <c r="F46" s="169">
        <f>SUBTOTAL(9,F37:F45)</f>
        <v>1.2066687211900287</v>
      </c>
      <c r="G46" s="170">
        <f t="shared" ref="G46:Q46" si="29">SUBTOTAL(9,G37:G45)</f>
        <v>2401.9591191076202</v>
      </c>
      <c r="H46" s="170">
        <f t="shared" si="29"/>
        <v>36.80989949462402</v>
      </c>
      <c r="I46" s="170">
        <f t="shared" si="29"/>
        <v>0</v>
      </c>
      <c r="J46" s="170">
        <f t="shared" si="29"/>
        <v>43.536990370858952</v>
      </c>
      <c r="K46" s="170">
        <f t="shared" ref="K46:P46" si="30">SUBTOTAL(9,K37:K45)</f>
        <v>16.975105572282494</v>
      </c>
      <c r="L46" s="170">
        <f t="shared" si="30"/>
        <v>2.0122056294379078</v>
      </c>
      <c r="M46" s="170">
        <f t="shared" si="30"/>
        <v>5.0890025983674776E-3</v>
      </c>
      <c r="N46" s="170">
        <f t="shared" si="30"/>
        <v>0</v>
      </c>
      <c r="O46" s="170">
        <f t="shared" si="30"/>
        <v>0</v>
      </c>
      <c r="P46" s="170">
        <f t="shared" si="30"/>
        <v>8.5725308978374812</v>
      </c>
      <c r="Q46" s="170">
        <f t="shared" si="29"/>
        <v>2509.8709400752591</v>
      </c>
    </row>
    <row r="47" spans="1:17" ht="15.75" hidden="1" thickBot="1" x14ac:dyDescent="0.3">
      <c r="A47" s="119" t="s">
        <v>341</v>
      </c>
      <c r="B47" s="24">
        <f>IFERROR(+GETPIVOTDATA("Unique Billed Hours",'County allocation'!$A$3,"County",A47,"HHA/CDPAP","CDPAP"),0)</f>
        <v>8.6451829716716073E-3</v>
      </c>
    </row>
    <row r="48" spans="1:17" ht="45" x14ac:dyDescent="0.25">
      <c r="A48" s="119" t="s">
        <v>342</v>
      </c>
      <c r="B48" s="24">
        <f>IFERROR(+GETPIVOTDATA("Unique Billed Hours",'County allocation'!$A$3,"County",A48,"HHA/CDPAP","CDPAP"),0)</f>
        <v>2.5221917468452523E-3</v>
      </c>
      <c r="C48" s="143">
        <f>IF(E48&gt;0,1,0)</f>
        <v>1</v>
      </c>
      <c r="D48" s="163" t="str">
        <f>A6</f>
        <v>Bronx</v>
      </c>
      <c r="E48" s="166">
        <f>+SUMIF(A:A,D48,B:B)</f>
        <v>0.10098052035465671</v>
      </c>
      <c r="F48" s="509" t="s">
        <v>97</v>
      </c>
      <c r="G48" s="509" t="s">
        <v>126</v>
      </c>
      <c r="H48" s="509" t="s">
        <v>127</v>
      </c>
      <c r="I48" s="508" t="s">
        <v>128</v>
      </c>
      <c r="J48" s="508" t="s">
        <v>487</v>
      </c>
      <c r="K48" s="508" t="s">
        <v>474</v>
      </c>
      <c r="L48" s="508" t="s">
        <v>475</v>
      </c>
      <c r="M48" s="508" t="s">
        <v>476</v>
      </c>
      <c r="N48" s="508" t="s">
        <v>477</v>
      </c>
      <c r="O48" s="508" t="s">
        <v>478</v>
      </c>
      <c r="P48" s="508" t="s">
        <v>479</v>
      </c>
      <c r="Q48" s="508" t="s">
        <v>129</v>
      </c>
    </row>
    <row r="49" spans="1:17" ht="18.75" x14ac:dyDescent="0.25">
      <c r="A49" s="119" t="s">
        <v>343</v>
      </c>
      <c r="B49" s="24">
        <f>IFERROR(+GETPIVOTDATA("Unique Billed Hours",'County allocation'!$A$3,"County",A49,"HHA/CDPAP","CDPAP"),0)</f>
        <v>6.3457038660819764E-3</v>
      </c>
      <c r="C49" s="143">
        <f>C48</f>
        <v>1</v>
      </c>
      <c r="D49" s="160"/>
      <c r="E49" s="159"/>
      <c r="F49" s="49" t="s">
        <v>57</v>
      </c>
      <c r="G49" s="49" t="s">
        <v>56</v>
      </c>
      <c r="H49" s="49" t="s">
        <v>55</v>
      </c>
      <c r="I49" s="49" t="s">
        <v>54</v>
      </c>
      <c r="J49" s="58" t="s">
        <v>53</v>
      </c>
      <c r="K49" s="49" t="s">
        <v>52</v>
      </c>
      <c r="L49" s="49" t="s">
        <v>51</v>
      </c>
      <c r="M49" s="49" t="s">
        <v>50</v>
      </c>
      <c r="N49" s="49" t="s">
        <v>49</v>
      </c>
      <c r="O49" s="49" t="s">
        <v>47</v>
      </c>
      <c r="P49" s="49" t="s">
        <v>77</v>
      </c>
      <c r="Q49" s="573" t="s">
        <v>78</v>
      </c>
    </row>
    <row r="50" spans="1:17" ht="18.75" x14ac:dyDescent="0.25">
      <c r="A50" s="119" t="s">
        <v>344</v>
      </c>
      <c r="B50" s="24">
        <f>IFERROR(+GETPIVOTDATA("Unique Billed Hours",'County allocation'!$A$3,"County",A50,"HHA/CDPAP","CDPAP"),0)</f>
        <v>3.6612583135718163E-2</v>
      </c>
      <c r="C50" s="143">
        <f>C49</f>
        <v>1</v>
      </c>
      <c r="D50" s="158" t="s">
        <v>26</v>
      </c>
      <c r="E50" s="157"/>
      <c r="F50" s="156"/>
      <c r="G50" s="156"/>
      <c r="H50" s="156"/>
      <c r="I50" s="155"/>
      <c r="J50" s="154"/>
      <c r="K50" s="154"/>
      <c r="L50" s="154"/>
      <c r="M50" s="154"/>
      <c r="N50" s="154"/>
      <c r="O50" s="154"/>
      <c r="P50" s="154"/>
      <c r="Q50" s="153"/>
    </row>
    <row r="51" spans="1:17" ht="18.75" x14ac:dyDescent="0.25">
      <c r="A51" s="119" t="s">
        <v>345</v>
      </c>
      <c r="B51" s="24">
        <f>IFERROR(+GETPIVOTDATA("Unique Billed Hours",'County allocation'!$A$3,"County",A51,"HHA/CDPAP","CDPAP"),0)</f>
        <v>2.3823698462762297E-3</v>
      </c>
      <c r="C51" s="143">
        <f t="shared" ref="C51:C60" si="31">C50</f>
        <v>1</v>
      </c>
      <c r="D51" s="152" t="s">
        <v>133</v>
      </c>
      <c r="E51" s="38" t="s">
        <v>57</v>
      </c>
      <c r="F51" s="168">
        <f>F6*$E$48</f>
        <v>188.83533585296485</v>
      </c>
      <c r="G51" s="186">
        <f t="shared" ref="G51:J51" si="32">G6*$E$48</f>
        <v>378222.71873369295</v>
      </c>
      <c r="H51" s="186">
        <f t="shared" si="32"/>
        <v>5701.9509152679921</v>
      </c>
      <c r="I51" s="186">
        <f t="shared" si="32"/>
        <v>0</v>
      </c>
      <c r="J51" s="186">
        <f t="shared" si="32"/>
        <v>7266.2987247837846</v>
      </c>
      <c r="K51" s="186">
        <f t="shared" ref="K51:P51" si="33">K6*$E$48</f>
        <v>1250.6942348526006</v>
      </c>
      <c r="L51" s="186">
        <f t="shared" si="33"/>
        <v>335.83596556949954</v>
      </c>
      <c r="M51" s="186">
        <f t="shared" si="33"/>
        <v>0</v>
      </c>
      <c r="N51" s="186">
        <f t="shared" si="33"/>
        <v>0</v>
      </c>
      <c r="O51" s="186">
        <f t="shared" si="33"/>
        <v>0</v>
      </c>
      <c r="P51" s="186">
        <f t="shared" si="33"/>
        <v>0</v>
      </c>
      <c r="Q51" s="189">
        <f>SUM(G51:P51)</f>
        <v>392777.49857416679</v>
      </c>
    </row>
    <row r="52" spans="1:17" ht="18.75" x14ac:dyDescent="0.25">
      <c r="A52" s="119" t="s">
        <v>346</v>
      </c>
      <c r="B52" s="24">
        <f>IFERROR(+GETPIVOTDATA("Unique Billed Hours",'County allocation'!$A$3,"County",A52,"HHA/CDPAP","CDPAP"),0)</f>
        <v>6.2373675956962351E-4</v>
      </c>
      <c r="C52" s="143">
        <f t="shared" si="31"/>
        <v>1</v>
      </c>
      <c r="D52" s="150" t="s">
        <v>31</v>
      </c>
      <c r="E52" s="38"/>
      <c r="F52" s="167"/>
      <c r="G52" s="185"/>
      <c r="H52" s="185"/>
      <c r="I52" s="187"/>
      <c r="J52" s="188"/>
      <c r="K52" s="188"/>
      <c r="L52" s="188"/>
      <c r="M52" s="188"/>
      <c r="N52" s="188"/>
      <c r="O52" s="188"/>
      <c r="P52" s="188"/>
      <c r="Q52" s="171"/>
    </row>
    <row r="53" spans="1:17" ht="18.75" x14ac:dyDescent="0.3">
      <c r="A53" s="119" t="s">
        <v>347</v>
      </c>
      <c r="B53" s="24">
        <f>IFERROR(+GETPIVOTDATA("Unique Billed Hours",'County allocation'!$A$3,"County",A53,"HHA/CDPAP","CDPAP"),0)</f>
        <v>5.0916761953535567E-4</v>
      </c>
      <c r="C53" s="143">
        <f t="shared" si="31"/>
        <v>1</v>
      </c>
      <c r="D53" s="149" t="s">
        <v>118</v>
      </c>
      <c r="E53" s="38" t="s">
        <v>56</v>
      </c>
      <c r="F53" s="168">
        <f t="shared" ref="F53:J59" si="34">F8*$E$48</f>
        <v>0</v>
      </c>
      <c r="G53" s="186">
        <f t="shared" si="34"/>
        <v>0</v>
      </c>
      <c r="H53" s="186">
        <f t="shared" si="34"/>
        <v>0</v>
      </c>
      <c r="I53" s="186">
        <f t="shared" si="34"/>
        <v>0</v>
      </c>
      <c r="J53" s="186">
        <f t="shared" si="34"/>
        <v>0</v>
      </c>
      <c r="K53" s="186">
        <f t="shared" ref="K53:P53" si="35">K8*$E$48</f>
        <v>0</v>
      </c>
      <c r="L53" s="186">
        <f t="shared" si="35"/>
        <v>0</v>
      </c>
      <c r="M53" s="186">
        <f t="shared" si="35"/>
        <v>0</v>
      </c>
      <c r="N53" s="186">
        <f t="shared" si="35"/>
        <v>0</v>
      </c>
      <c r="O53" s="186">
        <f t="shared" si="35"/>
        <v>0</v>
      </c>
      <c r="P53" s="186">
        <f t="shared" si="35"/>
        <v>0</v>
      </c>
      <c r="Q53" s="189">
        <f t="shared" ref="Q53:Q59" si="36">SUM(G53:P53)</f>
        <v>0</v>
      </c>
    </row>
    <row r="54" spans="1:17" ht="18.75" x14ac:dyDescent="0.3">
      <c r="A54" s="119" t="s">
        <v>348</v>
      </c>
      <c r="B54" s="24">
        <f>IFERROR(+GETPIVOTDATA("Unique Billed Hours",'County allocation'!$A$3,"County",A54,"HHA/CDPAP","CDPAP"),0)</f>
        <v>2.7722133530557608E-3</v>
      </c>
      <c r="C54" s="143">
        <f t="shared" si="31"/>
        <v>1</v>
      </c>
      <c r="D54" s="149" t="s">
        <v>119</v>
      </c>
      <c r="E54" s="38" t="s">
        <v>55</v>
      </c>
      <c r="F54" s="168">
        <f t="shared" si="34"/>
        <v>0</v>
      </c>
      <c r="G54" s="186">
        <f t="shared" si="34"/>
        <v>0</v>
      </c>
      <c r="H54" s="186">
        <f t="shared" si="34"/>
        <v>0</v>
      </c>
      <c r="I54" s="186">
        <f t="shared" si="34"/>
        <v>0</v>
      </c>
      <c r="J54" s="186">
        <f t="shared" si="34"/>
        <v>0</v>
      </c>
      <c r="K54" s="186">
        <f t="shared" ref="K54:P54" si="37">K9*$E$48</f>
        <v>0</v>
      </c>
      <c r="L54" s="186">
        <f t="shared" si="37"/>
        <v>0</v>
      </c>
      <c r="M54" s="186">
        <f t="shared" si="37"/>
        <v>0</v>
      </c>
      <c r="N54" s="186">
        <f t="shared" si="37"/>
        <v>0</v>
      </c>
      <c r="O54" s="186">
        <f t="shared" si="37"/>
        <v>0</v>
      </c>
      <c r="P54" s="186">
        <f t="shared" si="37"/>
        <v>0</v>
      </c>
      <c r="Q54" s="189">
        <f t="shared" si="36"/>
        <v>0</v>
      </c>
    </row>
    <row r="55" spans="1:17" ht="18.75" x14ac:dyDescent="0.3">
      <c r="A55" s="119" t="s">
        <v>349</v>
      </c>
      <c r="B55" s="24">
        <f>IFERROR(+GETPIVOTDATA("Unique Billed Hours",'County allocation'!$A$3,"County",A55,"HHA/CDPAP","CDPAP"),0)</f>
        <v>4.7178453804958088E-2</v>
      </c>
      <c r="C55" s="143">
        <f t="shared" si="31"/>
        <v>1</v>
      </c>
      <c r="D55" s="149" t="s">
        <v>120</v>
      </c>
      <c r="E55" s="38" t="s">
        <v>54</v>
      </c>
      <c r="F55" s="168">
        <f t="shared" si="34"/>
        <v>0</v>
      </c>
      <c r="G55" s="186">
        <f t="shared" si="34"/>
        <v>0</v>
      </c>
      <c r="H55" s="186">
        <f t="shared" si="34"/>
        <v>0</v>
      </c>
      <c r="I55" s="186">
        <f t="shared" si="34"/>
        <v>0</v>
      </c>
      <c r="J55" s="186">
        <f t="shared" si="34"/>
        <v>0</v>
      </c>
      <c r="K55" s="186">
        <f t="shared" ref="K55:P55" si="38">K10*$E$48</f>
        <v>0</v>
      </c>
      <c r="L55" s="186">
        <f t="shared" si="38"/>
        <v>0</v>
      </c>
      <c r="M55" s="186">
        <f t="shared" si="38"/>
        <v>0</v>
      </c>
      <c r="N55" s="186">
        <f t="shared" si="38"/>
        <v>0</v>
      </c>
      <c r="O55" s="186">
        <f t="shared" si="38"/>
        <v>0</v>
      </c>
      <c r="P55" s="186">
        <f t="shared" si="38"/>
        <v>0</v>
      </c>
      <c r="Q55" s="189">
        <f t="shared" si="36"/>
        <v>0</v>
      </c>
    </row>
    <row r="56" spans="1:17" ht="18.75" x14ac:dyDescent="0.3">
      <c r="A56" s="119" t="s">
        <v>350</v>
      </c>
      <c r="B56" s="24">
        <f>IFERROR(+GETPIVOTDATA("Unique Billed Hours",'County allocation'!$A$3,"County",A56,"HHA/CDPAP","CDPAP"),0)</f>
        <v>2.5908175693671806E-3</v>
      </c>
      <c r="C56" s="143">
        <f t="shared" si="31"/>
        <v>1</v>
      </c>
      <c r="D56" s="149" t="s">
        <v>121</v>
      </c>
      <c r="E56" s="38" t="s">
        <v>53</v>
      </c>
      <c r="F56" s="168">
        <f t="shared" si="34"/>
        <v>0</v>
      </c>
      <c r="G56" s="186">
        <f t="shared" si="34"/>
        <v>0</v>
      </c>
      <c r="H56" s="186">
        <f t="shared" si="34"/>
        <v>0</v>
      </c>
      <c r="I56" s="186">
        <f t="shared" si="34"/>
        <v>0</v>
      </c>
      <c r="J56" s="186">
        <f t="shared" si="34"/>
        <v>0</v>
      </c>
      <c r="K56" s="186">
        <f t="shared" ref="K56:P56" si="39">K11*$E$48</f>
        <v>0</v>
      </c>
      <c r="L56" s="186">
        <f t="shared" si="39"/>
        <v>0</v>
      </c>
      <c r="M56" s="186">
        <f t="shared" si="39"/>
        <v>0</v>
      </c>
      <c r="N56" s="186">
        <f t="shared" si="39"/>
        <v>0</v>
      </c>
      <c r="O56" s="186">
        <f t="shared" si="39"/>
        <v>0</v>
      </c>
      <c r="P56" s="186">
        <f t="shared" si="39"/>
        <v>0</v>
      </c>
      <c r="Q56" s="189">
        <f t="shared" si="36"/>
        <v>0</v>
      </c>
    </row>
    <row r="57" spans="1:17" ht="18.75" x14ac:dyDescent="0.3">
      <c r="A57" s="119" t="s">
        <v>351</v>
      </c>
      <c r="B57" s="24">
        <f>IFERROR(+GETPIVOTDATA("Unique Billed Hours",'County allocation'!$A$3,"County",A57,"HHA/CDPAP","CDPAP"),0)</f>
        <v>1.4345881213713213E-3</v>
      </c>
      <c r="C57" s="143">
        <f t="shared" si="31"/>
        <v>1</v>
      </c>
      <c r="D57" s="149" t="s">
        <v>122</v>
      </c>
      <c r="E57" s="38" t="s">
        <v>52</v>
      </c>
      <c r="F57" s="168">
        <f t="shared" si="34"/>
        <v>0</v>
      </c>
      <c r="G57" s="186">
        <f t="shared" si="34"/>
        <v>0</v>
      </c>
      <c r="H57" s="186">
        <f t="shared" si="34"/>
        <v>0</v>
      </c>
      <c r="I57" s="186">
        <f t="shared" si="34"/>
        <v>0</v>
      </c>
      <c r="J57" s="186">
        <f t="shared" si="34"/>
        <v>0</v>
      </c>
      <c r="K57" s="186">
        <f t="shared" ref="K57:P57" si="40">K12*$E$48</f>
        <v>0</v>
      </c>
      <c r="L57" s="186">
        <f t="shared" si="40"/>
        <v>0</v>
      </c>
      <c r="M57" s="186">
        <f t="shared" si="40"/>
        <v>0</v>
      </c>
      <c r="N57" s="186">
        <f t="shared" si="40"/>
        <v>0</v>
      </c>
      <c r="O57" s="186">
        <f t="shared" si="40"/>
        <v>0</v>
      </c>
      <c r="P57" s="186">
        <f t="shared" si="40"/>
        <v>0</v>
      </c>
      <c r="Q57" s="189">
        <f t="shared" si="36"/>
        <v>0</v>
      </c>
    </row>
    <row r="58" spans="1:17" ht="18.75" x14ac:dyDescent="0.3">
      <c r="A58" s="119" t="s">
        <v>352</v>
      </c>
      <c r="B58" s="24">
        <f>IFERROR(+GETPIVOTDATA("Unique Billed Hours",'County allocation'!$A$3,"County",A58,"HHA/CDPAP","CDPAP"),0)</f>
        <v>1.0364555405231305E-3</v>
      </c>
      <c r="C58" s="143">
        <f t="shared" si="31"/>
        <v>1</v>
      </c>
      <c r="D58" s="149" t="s">
        <v>123</v>
      </c>
      <c r="E58" s="38" t="s">
        <v>51</v>
      </c>
      <c r="F58" s="168">
        <f t="shared" si="34"/>
        <v>0</v>
      </c>
      <c r="G58" s="186">
        <f t="shared" si="34"/>
        <v>0</v>
      </c>
      <c r="H58" s="186">
        <f t="shared" si="34"/>
        <v>0</v>
      </c>
      <c r="I58" s="186">
        <f t="shared" si="34"/>
        <v>0</v>
      </c>
      <c r="J58" s="186">
        <f t="shared" si="34"/>
        <v>0</v>
      </c>
      <c r="K58" s="186">
        <f t="shared" ref="K58:P58" si="41">K13*$E$48</f>
        <v>0</v>
      </c>
      <c r="L58" s="186">
        <f t="shared" si="41"/>
        <v>0</v>
      </c>
      <c r="M58" s="186">
        <f t="shared" si="41"/>
        <v>0</v>
      </c>
      <c r="N58" s="186">
        <f t="shared" si="41"/>
        <v>0</v>
      </c>
      <c r="O58" s="186">
        <f t="shared" si="41"/>
        <v>0</v>
      </c>
      <c r="P58" s="186">
        <f t="shared" si="41"/>
        <v>0</v>
      </c>
      <c r="Q58" s="189">
        <f t="shared" si="36"/>
        <v>0</v>
      </c>
    </row>
    <row r="59" spans="1:17" ht="19.5" thickBot="1" x14ac:dyDescent="0.35">
      <c r="A59" s="119" t="s">
        <v>353</v>
      </c>
      <c r="B59" s="24">
        <f>IFERROR(+GETPIVOTDATA("Unique Billed Hours",'County allocation'!$A$3,"County",A59,"HHA/CDPAP","CDPAP"),0)</f>
        <v>8.5279793197240439E-3</v>
      </c>
      <c r="C59" s="143">
        <f t="shared" si="31"/>
        <v>1</v>
      </c>
      <c r="D59" s="149" t="s">
        <v>16</v>
      </c>
      <c r="E59" s="37" t="s">
        <v>50</v>
      </c>
      <c r="F59" s="168">
        <f t="shared" si="34"/>
        <v>12.556981698878777</v>
      </c>
      <c r="G59" s="186">
        <f t="shared" si="34"/>
        <v>22662.880741201079</v>
      </c>
      <c r="H59" s="186">
        <f t="shared" si="34"/>
        <v>441.60020020450236</v>
      </c>
      <c r="I59" s="186">
        <f t="shared" si="34"/>
        <v>0</v>
      </c>
      <c r="J59" s="186">
        <f t="shared" si="34"/>
        <v>0</v>
      </c>
      <c r="K59" s="186">
        <f t="shared" ref="K59:P59" si="42">K14*$E$48</f>
        <v>1582.4411500753138</v>
      </c>
      <c r="L59" s="186">
        <f t="shared" si="42"/>
        <v>0</v>
      </c>
      <c r="M59" s="186">
        <f t="shared" si="42"/>
        <v>0.84935161516561697</v>
      </c>
      <c r="N59" s="186">
        <f t="shared" si="42"/>
        <v>0</v>
      </c>
      <c r="O59" s="186">
        <f t="shared" si="42"/>
        <v>0</v>
      </c>
      <c r="P59" s="186">
        <f t="shared" si="42"/>
        <v>1430.7504905717976</v>
      </c>
      <c r="Q59" s="189">
        <f t="shared" si="36"/>
        <v>26118.521933667857</v>
      </c>
    </row>
    <row r="60" spans="1:17" ht="19.5" thickBot="1" x14ac:dyDescent="0.3">
      <c r="A60" s="119" t="s">
        <v>354</v>
      </c>
      <c r="B60" s="24">
        <f>IFERROR(+GETPIVOTDATA("Unique Billed Hours",'County allocation'!$A$3,"County",A60,"HHA/CDPAP","CDPAP"),0)</f>
        <v>1.4283552517227942E-3</v>
      </c>
      <c r="C60" s="143">
        <f t="shared" si="31"/>
        <v>1</v>
      </c>
      <c r="D60" s="148" t="s">
        <v>124</v>
      </c>
      <c r="E60" s="147" t="s">
        <v>49</v>
      </c>
      <c r="F60" s="169">
        <f>SUBTOTAL(9,F51:F59)</f>
        <v>201.39231755184363</v>
      </c>
      <c r="G60" s="170">
        <f t="shared" ref="G60:Q60" si="43">SUBTOTAL(9,G51:G59)</f>
        <v>400885.599474894</v>
      </c>
      <c r="H60" s="170">
        <f t="shared" si="43"/>
        <v>6143.5511154724945</v>
      </c>
      <c r="I60" s="170">
        <f t="shared" si="43"/>
        <v>0</v>
      </c>
      <c r="J60" s="170">
        <f t="shared" si="43"/>
        <v>7266.2987247837846</v>
      </c>
      <c r="K60" s="170">
        <f t="shared" ref="K60:P60" si="44">SUBTOTAL(9,K51:K59)</f>
        <v>2833.1353849279144</v>
      </c>
      <c r="L60" s="170">
        <f t="shared" si="44"/>
        <v>335.83596556949954</v>
      </c>
      <c r="M60" s="170">
        <f t="shared" si="44"/>
        <v>0.84935161516561697</v>
      </c>
      <c r="N60" s="170">
        <f t="shared" si="44"/>
        <v>0</v>
      </c>
      <c r="O60" s="170">
        <f t="shared" si="44"/>
        <v>0</v>
      </c>
      <c r="P60" s="170">
        <f t="shared" si="44"/>
        <v>1430.7504905717976</v>
      </c>
      <c r="Q60" s="170">
        <f t="shared" si="43"/>
        <v>418896.02050783462</v>
      </c>
    </row>
    <row r="61" spans="1:17" ht="15.75" hidden="1" thickBot="1" x14ac:dyDescent="0.3">
      <c r="A61" s="119" t="s">
        <v>355</v>
      </c>
      <c r="B61" s="24">
        <f>IFERROR(+GETPIVOTDATA("Unique Billed Hours",'County allocation'!$A$3,"County",A61,"HHA/CDPAP","CDPAP"),0)</f>
        <v>2.2537928136298082E-3</v>
      </c>
    </row>
    <row r="62" spans="1:17" ht="45" x14ac:dyDescent="0.25">
      <c r="A62" s="119" t="s">
        <v>361</v>
      </c>
      <c r="B62" s="24">
        <f>IFERROR(+GETPIVOTDATA("Unique Billed Hours",'County allocation'!$A$3,"County",A62,"HHA/CDPAP","CDPAP"),0)</f>
        <v>8.7420816049703603E-4</v>
      </c>
      <c r="C62" s="143">
        <f>IF(E62&gt;0,1,0)</f>
        <v>1</v>
      </c>
      <c r="D62" s="163" t="str">
        <f>A7</f>
        <v>Broome</v>
      </c>
      <c r="E62" s="166">
        <f>+SUMIF(A:A,D62,B:B)</f>
        <v>1.3044882123262387E-2</v>
      </c>
      <c r="F62" s="509" t="s">
        <v>97</v>
      </c>
      <c r="G62" s="509" t="s">
        <v>126</v>
      </c>
      <c r="H62" s="509" t="s">
        <v>127</v>
      </c>
      <c r="I62" s="508" t="s">
        <v>128</v>
      </c>
      <c r="J62" s="508" t="s">
        <v>487</v>
      </c>
      <c r="K62" s="508" t="s">
        <v>474</v>
      </c>
      <c r="L62" s="508" t="s">
        <v>475</v>
      </c>
      <c r="M62" s="508" t="s">
        <v>476</v>
      </c>
      <c r="N62" s="508" t="s">
        <v>477</v>
      </c>
      <c r="O62" s="508" t="s">
        <v>478</v>
      </c>
      <c r="P62" s="508" t="s">
        <v>479</v>
      </c>
      <c r="Q62" s="508" t="s">
        <v>129</v>
      </c>
    </row>
    <row r="63" spans="1:17" ht="18.75" x14ac:dyDescent="0.25">
      <c r="A63" s="119" t="s">
        <v>362</v>
      </c>
      <c r="B63" s="24">
        <f>IFERROR(+GETPIVOTDATA("Unique Billed Hours",'County allocation'!$A$3,"County",A63,"HHA/CDPAP","CDPAP"),0)</f>
        <v>2.408470791134289E-2</v>
      </c>
      <c r="C63" s="143">
        <f>C62</f>
        <v>1</v>
      </c>
      <c r="D63" s="160"/>
      <c r="E63" s="159"/>
      <c r="F63" s="49" t="s">
        <v>57</v>
      </c>
      <c r="G63" s="49" t="s">
        <v>56</v>
      </c>
      <c r="H63" s="49" t="s">
        <v>55</v>
      </c>
      <c r="I63" s="49" t="s">
        <v>54</v>
      </c>
      <c r="J63" s="58" t="s">
        <v>53</v>
      </c>
      <c r="K63" s="49" t="s">
        <v>52</v>
      </c>
      <c r="L63" s="49" t="s">
        <v>51</v>
      </c>
      <c r="M63" s="49" t="s">
        <v>50</v>
      </c>
      <c r="N63" s="49" t="s">
        <v>49</v>
      </c>
      <c r="O63" s="49" t="s">
        <v>47</v>
      </c>
      <c r="P63" s="49" t="s">
        <v>77</v>
      </c>
      <c r="Q63" s="573" t="s">
        <v>78</v>
      </c>
    </row>
    <row r="64" spans="1:17" ht="18.75" x14ac:dyDescent="0.25">
      <c r="A64" s="119" t="s">
        <v>363</v>
      </c>
      <c r="B64" s="24">
        <f>IFERROR(+GETPIVOTDATA("Unique Billed Hours",'County allocation'!$A$3,"County",A64,"HHA/CDPAP","CDPAP"),0)</f>
        <v>6.0201810038197211E-4</v>
      </c>
      <c r="C64" s="143">
        <f>C63</f>
        <v>1</v>
      </c>
      <c r="D64" s="158" t="s">
        <v>26</v>
      </c>
      <c r="E64" s="157"/>
      <c r="F64" s="156"/>
      <c r="G64" s="156"/>
      <c r="H64" s="156"/>
      <c r="I64" s="155"/>
      <c r="J64" s="154"/>
      <c r="K64" s="154"/>
      <c r="L64" s="154"/>
      <c r="M64" s="154"/>
      <c r="N64" s="154"/>
      <c r="O64" s="154"/>
      <c r="P64" s="154"/>
      <c r="Q64" s="153"/>
    </row>
    <row r="65" spans="1:17" ht="18.75" x14ac:dyDescent="0.25">
      <c r="A65" s="119" t="s">
        <v>364</v>
      </c>
      <c r="B65" s="24">
        <f>IFERROR(+GETPIVOTDATA("Unique Billed Hours",'County allocation'!$A$3,"County",A65,"HHA/CDPAP","CDPAP"),0)</f>
        <v>8.2460222886133507E-4</v>
      </c>
      <c r="C65" s="143">
        <f t="shared" ref="C65:C74" si="45">C64</f>
        <v>1</v>
      </c>
      <c r="D65" s="152" t="s">
        <v>133</v>
      </c>
      <c r="E65" s="38" t="s">
        <v>57</v>
      </c>
      <c r="F65" s="168">
        <f>F6*$E$62</f>
        <v>24.394157291495809</v>
      </c>
      <c r="G65" s="186">
        <f t="shared" ref="G65:J65" si="46">G6*$E$62</f>
        <v>48859.629212569453</v>
      </c>
      <c r="H65" s="186">
        <f t="shared" si="46"/>
        <v>736.59035723981549</v>
      </c>
      <c r="I65" s="186">
        <f t="shared" si="46"/>
        <v>0</v>
      </c>
      <c r="J65" s="186">
        <f t="shared" si="46"/>
        <v>938.67619224290445</v>
      </c>
      <c r="K65" s="186">
        <f t="shared" ref="K65:P65" si="47">K6*$E$62</f>
        <v>161.56738753766629</v>
      </c>
      <c r="L65" s="186">
        <f t="shared" si="47"/>
        <v>43.384016721439885</v>
      </c>
      <c r="M65" s="186">
        <f t="shared" si="47"/>
        <v>0</v>
      </c>
      <c r="N65" s="186">
        <f t="shared" si="47"/>
        <v>0</v>
      </c>
      <c r="O65" s="186">
        <f t="shared" si="47"/>
        <v>0</v>
      </c>
      <c r="P65" s="186">
        <f t="shared" si="47"/>
        <v>0</v>
      </c>
      <c r="Q65" s="189">
        <f>SUM(G65:P65)</f>
        <v>50739.84716631128</v>
      </c>
    </row>
    <row r="66" spans="1:17" ht="18.75" x14ac:dyDescent="0.25">
      <c r="B66" s="24"/>
      <c r="C66" s="143">
        <f t="shared" si="45"/>
        <v>1</v>
      </c>
      <c r="D66" s="150" t="s">
        <v>31</v>
      </c>
      <c r="E66" s="38"/>
      <c r="F66" s="167"/>
      <c r="G66" s="185"/>
      <c r="H66" s="185"/>
      <c r="I66" s="187"/>
      <c r="J66" s="188"/>
      <c r="K66" s="188"/>
      <c r="L66" s="188"/>
      <c r="M66" s="188"/>
      <c r="N66" s="188"/>
      <c r="O66" s="188"/>
      <c r="P66" s="188"/>
      <c r="Q66" s="171"/>
    </row>
    <row r="67" spans="1:17" ht="18.75" x14ac:dyDescent="0.3">
      <c r="C67" s="143">
        <f t="shared" si="45"/>
        <v>1</v>
      </c>
      <c r="D67" s="149" t="s">
        <v>118</v>
      </c>
      <c r="E67" s="38" t="s">
        <v>56</v>
      </c>
      <c r="F67" s="168">
        <f t="shared" ref="F67:J73" si="48">F8*$E$62</f>
        <v>0</v>
      </c>
      <c r="G67" s="186">
        <f t="shared" si="48"/>
        <v>0</v>
      </c>
      <c r="H67" s="186">
        <f t="shared" si="48"/>
        <v>0</v>
      </c>
      <c r="I67" s="186">
        <f t="shared" si="48"/>
        <v>0</v>
      </c>
      <c r="J67" s="186">
        <f t="shared" si="48"/>
        <v>0</v>
      </c>
      <c r="K67" s="186">
        <f t="shared" ref="K67:P67" si="49">K8*$E$62</f>
        <v>0</v>
      </c>
      <c r="L67" s="186">
        <f t="shared" si="49"/>
        <v>0</v>
      </c>
      <c r="M67" s="186">
        <f t="shared" si="49"/>
        <v>0</v>
      </c>
      <c r="N67" s="186">
        <f t="shared" si="49"/>
        <v>0</v>
      </c>
      <c r="O67" s="186">
        <f t="shared" si="49"/>
        <v>0</v>
      </c>
      <c r="P67" s="186">
        <f t="shared" si="49"/>
        <v>0</v>
      </c>
      <c r="Q67" s="189">
        <f t="shared" ref="Q67:Q73" si="50">SUM(G67:P67)</f>
        <v>0</v>
      </c>
    </row>
    <row r="68" spans="1:17" ht="18.75" x14ac:dyDescent="0.3">
      <c r="C68" s="143">
        <f t="shared" si="45"/>
        <v>1</v>
      </c>
      <c r="D68" s="149" t="s">
        <v>119</v>
      </c>
      <c r="E68" s="38" t="s">
        <v>55</v>
      </c>
      <c r="F68" s="168">
        <f t="shared" si="48"/>
        <v>0</v>
      </c>
      <c r="G68" s="186">
        <f t="shared" si="48"/>
        <v>0</v>
      </c>
      <c r="H68" s="186">
        <f t="shared" si="48"/>
        <v>0</v>
      </c>
      <c r="I68" s="186">
        <f t="shared" si="48"/>
        <v>0</v>
      </c>
      <c r="J68" s="186">
        <f t="shared" si="48"/>
        <v>0</v>
      </c>
      <c r="K68" s="186">
        <f t="shared" ref="K68:P68" si="51">K9*$E$62</f>
        <v>0</v>
      </c>
      <c r="L68" s="186">
        <f t="shared" si="51"/>
        <v>0</v>
      </c>
      <c r="M68" s="186">
        <f t="shared" si="51"/>
        <v>0</v>
      </c>
      <c r="N68" s="186">
        <f t="shared" si="51"/>
        <v>0</v>
      </c>
      <c r="O68" s="186">
        <f t="shared" si="51"/>
        <v>0</v>
      </c>
      <c r="P68" s="186">
        <f t="shared" si="51"/>
        <v>0</v>
      </c>
      <c r="Q68" s="189">
        <f t="shared" si="50"/>
        <v>0</v>
      </c>
    </row>
    <row r="69" spans="1:17" ht="18.75" x14ac:dyDescent="0.3">
      <c r="C69" s="143">
        <f t="shared" si="45"/>
        <v>1</v>
      </c>
      <c r="D69" s="149" t="s">
        <v>120</v>
      </c>
      <c r="E69" s="38" t="s">
        <v>54</v>
      </c>
      <c r="F69" s="168">
        <f t="shared" si="48"/>
        <v>0</v>
      </c>
      <c r="G69" s="186">
        <f t="shared" si="48"/>
        <v>0</v>
      </c>
      <c r="H69" s="186">
        <f t="shared" si="48"/>
        <v>0</v>
      </c>
      <c r="I69" s="186">
        <f t="shared" si="48"/>
        <v>0</v>
      </c>
      <c r="J69" s="186">
        <f t="shared" si="48"/>
        <v>0</v>
      </c>
      <c r="K69" s="186">
        <f t="shared" ref="K69:P69" si="52">K10*$E$62</f>
        <v>0</v>
      </c>
      <c r="L69" s="186">
        <f t="shared" si="52"/>
        <v>0</v>
      </c>
      <c r="M69" s="186">
        <f t="shared" si="52"/>
        <v>0</v>
      </c>
      <c r="N69" s="186">
        <f t="shared" si="52"/>
        <v>0</v>
      </c>
      <c r="O69" s="186">
        <f t="shared" si="52"/>
        <v>0</v>
      </c>
      <c r="P69" s="186">
        <f t="shared" si="52"/>
        <v>0</v>
      </c>
      <c r="Q69" s="189">
        <f t="shared" si="50"/>
        <v>0</v>
      </c>
    </row>
    <row r="70" spans="1:17" ht="18.75" x14ac:dyDescent="0.3">
      <c r="C70" s="143">
        <f t="shared" si="45"/>
        <v>1</v>
      </c>
      <c r="D70" s="149" t="s">
        <v>121</v>
      </c>
      <c r="E70" s="38" t="s">
        <v>53</v>
      </c>
      <c r="F70" s="168">
        <f t="shared" si="48"/>
        <v>0</v>
      </c>
      <c r="G70" s="186">
        <f t="shared" si="48"/>
        <v>0</v>
      </c>
      <c r="H70" s="186">
        <f t="shared" si="48"/>
        <v>0</v>
      </c>
      <c r="I70" s="186">
        <f t="shared" si="48"/>
        <v>0</v>
      </c>
      <c r="J70" s="186">
        <f t="shared" si="48"/>
        <v>0</v>
      </c>
      <c r="K70" s="186">
        <f t="shared" ref="K70:P70" si="53">K11*$E$62</f>
        <v>0</v>
      </c>
      <c r="L70" s="186">
        <f t="shared" si="53"/>
        <v>0</v>
      </c>
      <c r="M70" s="186">
        <f t="shared" si="53"/>
        <v>0</v>
      </c>
      <c r="N70" s="186">
        <f t="shared" si="53"/>
        <v>0</v>
      </c>
      <c r="O70" s="186">
        <f t="shared" si="53"/>
        <v>0</v>
      </c>
      <c r="P70" s="186">
        <f t="shared" si="53"/>
        <v>0</v>
      </c>
      <c r="Q70" s="189">
        <f t="shared" si="50"/>
        <v>0</v>
      </c>
    </row>
    <row r="71" spans="1:17" ht="18.75" x14ac:dyDescent="0.3">
      <c r="C71" s="143">
        <f t="shared" si="45"/>
        <v>1</v>
      </c>
      <c r="D71" s="149" t="s">
        <v>122</v>
      </c>
      <c r="E71" s="38" t="s">
        <v>52</v>
      </c>
      <c r="F71" s="168">
        <f t="shared" si="48"/>
        <v>0</v>
      </c>
      <c r="G71" s="186">
        <f t="shared" si="48"/>
        <v>0</v>
      </c>
      <c r="H71" s="186">
        <f t="shared" si="48"/>
        <v>0</v>
      </c>
      <c r="I71" s="186">
        <f t="shared" si="48"/>
        <v>0</v>
      </c>
      <c r="J71" s="186">
        <f t="shared" si="48"/>
        <v>0</v>
      </c>
      <c r="K71" s="186">
        <f t="shared" ref="K71:P71" si="54">K12*$E$62</f>
        <v>0</v>
      </c>
      <c r="L71" s="186">
        <f t="shared" si="54"/>
        <v>0</v>
      </c>
      <c r="M71" s="186">
        <f t="shared" si="54"/>
        <v>0</v>
      </c>
      <c r="N71" s="186">
        <f t="shared" si="54"/>
        <v>0</v>
      </c>
      <c r="O71" s="186">
        <f t="shared" si="54"/>
        <v>0</v>
      </c>
      <c r="P71" s="186">
        <f t="shared" si="54"/>
        <v>0</v>
      </c>
      <c r="Q71" s="189">
        <f t="shared" si="50"/>
        <v>0</v>
      </c>
    </row>
    <row r="72" spans="1:17" ht="18.75" x14ac:dyDescent="0.3">
      <c r="C72" s="143">
        <f t="shared" si="45"/>
        <v>1</v>
      </c>
      <c r="D72" s="149" t="s">
        <v>123</v>
      </c>
      <c r="E72" s="38" t="s">
        <v>51</v>
      </c>
      <c r="F72" s="168">
        <f t="shared" si="48"/>
        <v>0</v>
      </c>
      <c r="G72" s="186">
        <f t="shared" si="48"/>
        <v>0</v>
      </c>
      <c r="H72" s="186">
        <f t="shared" si="48"/>
        <v>0</v>
      </c>
      <c r="I72" s="186">
        <f t="shared" si="48"/>
        <v>0</v>
      </c>
      <c r="J72" s="186">
        <f t="shared" si="48"/>
        <v>0</v>
      </c>
      <c r="K72" s="186">
        <f t="shared" ref="K72:P72" si="55">K13*$E$62</f>
        <v>0</v>
      </c>
      <c r="L72" s="186">
        <f t="shared" si="55"/>
        <v>0</v>
      </c>
      <c r="M72" s="186">
        <f t="shared" si="55"/>
        <v>0</v>
      </c>
      <c r="N72" s="186">
        <f t="shared" si="55"/>
        <v>0</v>
      </c>
      <c r="O72" s="186">
        <f t="shared" si="55"/>
        <v>0</v>
      </c>
      <c r="P72" s="186">
        <f t="shared" si="55"/>
        <v>0</v>
      </c>
      <c r="Q72" s="189">
        <f t="shared" si="50"/>
        <v>0</v>
      </c>
    </row>
    <row r="73" spans="1:17" ht="19.5" thickBot="1" x14ac:dyDescent="0.35">
      <c r="C73" s="143">
        <f t="shared" si="45"/>
        <v>1</v>
      </c>
      <c r="D73" s="149" t="s">
        <v>16</v>
      </c>
      <c r="E73" s="37" t="s">
        <v>50</v>
      </c>
      <c r="F73" s="168">
        <f t="shared" si="48"/>
        <v>1.6221380669314693</v>
      </c>
      <c r="G73" s="186">
        <f t="shared" si="48"/>
        <v>2927.6399725829715</v>
      </c>
      <c r="H73" s="186">
        <f t="shared" si="48"/>
        <v>57.046869406542463</v>
      </c>
      <c r="I73" s="186">
        <f t="shared" si="48"/>
        <v>0</v>
      </c>
      <c r="J73" s="186">
        <f t="shared" si="48"/>
        <v>0</v>
      </c>
      <c r="K73" s="186">
        <f t="shared" ref="K73:P73" si="56">K14*$E$62</f>
        <v>204.42317188733216</v>
      </c>
      <c r="L73" s="186">
        <f t="shared" si="56"/>
        <v>0</v>
      </c>
      <c r="M73" s="186">
        <f t="shared" si="56"/>
        <v>0.10972107949260584</v>
      </c>
      <c r="N73" s="186">
        <f t="shared" si="56"/>
        <v>0</v>
      </c>
      <c r="O73" s="186">
        <f t="shared" si="56"/>
        <v>0</v>
      </c>
      <c r="P73" s="186">
        <f t="shared" si="56"/>
        <v>184.82744426111728</v>
      </c>
      <c r="Q73" s="189">
        <f t="shared" si="50"/>
        <v>3374.0471792174562</v>
      </c>
    </row>
    <row r="74" spans="1:17" ht="19.5" thickBot="1" x14ac:dyDescent="0.3">
      <c r="C74" s="143">
        <f t="shared" si="45"/>
        <v>1</v>
      </c>
      <c r="D74" s="148" t="s">
        <v>124</v>
      </c>
      <c r="E74" s="147" t="s">
        <v>49</v>
      </c>
      <c r="F74" s="169">
        <f>SUBTOTAL(9,F65:F73)</f>
        <v>26.016295358427278</v>
      </c>
      <c r="G74" s="170">
        <f t="shared" ref="G74:Q74" si="57">SUBTOTAL(9,G65:G73)</f>
        <v>51787.269185152421</v>
      </c>
      <c r="H74" s="170">
        <f t="shared" si="57"/>
        <v>793.63722664635793</v>
      </c>
      <c r="I74" s="170">
        <f t="shared" si="57"/>
        <v>0</v>
      </c>
      <c r="J74" s="170">
        <f t="shared" si="57"/>
        <v>938.67619224290445</v>
      </c>
      <c r="K74" s="170">
        <f t="shared" ref="K74:P74" si="58">SUBTOTAL(9,K65:K73)</f>
        <v>365.99055942499842</v>
      </c>
      <c r="L74" s="170">
        <f t="shared" si="58"/>
        <v>43.384016721439885</v>
      </c>
      <c r="M74" s="170">
        <f t="shared" si="58"/>
        <v>0.10972107949260584</v>
      </c>
      <c r="N74" s="170">
        <f t="shared" si="58"/>
        <v>0</v>
      </c>
      <c r="O74" s="170">
        <f t="shared" si="58"/>
        <v>0</v>
      </c>
      <c r="P74" s="170">
        <f t="shared" si="58"/>
        <v>184.82744426111728</v>
      </c>
      <c r="Q74" s="170">
        <f t="shared" si="57"/>
        <v>54113.894345528737</v>
      </c>
    </row>
    <row r="75" spans="1:17" ht="15.75" hidden="1" thickBot="1" x14ac:dyDescent="0.3"/>
    <row r="76" spans="1:17" ht="45" x14ac:dyDescent="0.25">
      <c r="C76" s="143">
        <f>IF(E76&gt;0,1,0)</f>
        <v>1</v>
      </c>
      <c r="D76" s="163" t="str">
        <f>A8</f>
        <v>Cattaraugus</v>
      </c>
      <c r="E76" s="166">
        <f>+SUMIF(A:A,D76,B:B)</f>
        <v>2.4245220368889499E-3</v>
      </c>
      <c r="F76" s="509" t="s">
        <v>97</v>
      </c>
      <c r="G76" s="509" t="s">
        <v>126</v>
      </c>
      <c r="H76" s="509" t="s">
        <v>127</v>
      </c>
      <c r="I76" s="508" t="s">
        <v>128</v>
      </c>
      <c r="J76" s="508" t="s">
        <v>487</v>
      </c>
      <c r="K76" s="508" t="s">
        <v>474</v>
      </c>
      <c r="L76" s="508" t="s">
        <v>475</v>
      </c>
      <c r="M76" s="508" t="s">
        <v>476</v>
      </c>
      <c r="N76" s="508" t="s">
        <v>477</v>
      </c>
      <c r="O76" s="508" t="s">
        <v>478</v>
      </c>
      <c r="P76" s="508" t="s">
        <v>479</v>
      </c>
      <c r="Q76" s="508" t="s">
        <v>129</v>
      </c>
    </row>
    <row r="77" spans="1:17" ht="18.75" x14ac:dyDescent="0.25">
      <c r="C77" s="143">
        <f>C76</f>
        <v>1</v>
      </c>
      <c r="D77" s="160"/>
      <c r="E77" s="159"/>
      <c r="F77" s="49" t="s">
        <v>57</v>
      </c>
      <c r="G77" s="49" t="s">
        <v>56</v>
      </c>
      <c r="H77" s="49" t="s">
        <v>55</v>
      </c>
      <c r="I77" s="49" t="s">
        <v>54</v>
      </c>
      <c r="J77" s="58" t="s">
        <v>53</v>
      </c>
      <c r="K77" s="49" t="s">
        <v>52</v>
      </c>
      <c r="L77" s="49" t="s">
        <v>51</v>
      </c>
      <c r="M77" s="49" t="s">
        <v>50</v>
      </c>
      <c r="N77" s="49" t="s">
        <v>49</v>
      </c>
      <c r="O77" s="49" t="s">
        <v>47</v>
      </c>
      <c r="P77" s="49" t="s">
        <v>77</v>
      </c>
      <c r="Q77" s="573" t="s">
        <v>78</v>
      </c>
    </row>
    <row r="78" spans="1:17" ht="18.75" x14ac:dyDescent="0.25">
      <c r="C78" s="143">
        <f>C77</f>
        <v>1</v>
      </c>
      <c r="D78" s="158" t="s">
        <v>26</v>
      </c>
      <c r="E78" s="157"/>
      <c r="F78" s="156"/>
      <c r="G78" s="156"/>
      <c r="H78" s="156"/>
      <c r="I78" s="155"/>
      <c r="J78" s="154"/>
      <c r="K78" s="154"/>
      <c r="L78" s="154"/>
      <c r="M78" s="154"/>
      <c r="N78" s="154"/>
      <c r="O78" s="154"/>
      <c r="P78" s="154"/>
      <c r="Q78" s="153"/>
    </row>
    <row r="79" spans="1:17" ht="18.75" x14ac:dyDescent="0.25">
      <c r="C79" s="143">
        <f t="shared" ref="C79:C88" si="59">C78</f>
        <v>1</v>
      </c>
      <c r="D79" s="152" t="s">
        <v>133</v>
      </c>
      <c r="E79" s="38" t="s">
        <v>57</v>
      </c>
      <c r="F79" s="168">
        <f>F6*$E$76</f>
        <v>4.5338985332107793</v>
      </c>
      <c r="G79" s="186">
        <f t="shared" ref="G79:J79" si="60">G6*$E$76</f>
        <v>9081.0516048167883</v>
      </c>
      <c r="H79" s="186">
        <f t="shared" si="60"/>
        <v>136.90269765666591</v>
      </c>
      <c r="I79" s="186">
        <f t="shared" si="60"/>
        <v>0</v>
      </c>
      <c r="J79" s="186">
        <f t="shared" si="60"/>
        <v>174.46237475289402</v>
      </c>
      <c r="K79" s="186">
        <f t="shared" ref="K79:P79" si="61">K6*$E$76</f>
        <v>30.028917687888089</v>
      </c>
      <c r="L79" s="186">
        <f t="shared" si="61"/>
        <v>8.0633541641834245</v>
      </c>
      <c r="M79" s="186">
        <f t="shared" si="61"/>
        <v>0</v>
      </c>
      <c r="N79" s="186">
        <f t="shared" si="61"/>
        <v>0</v>
      </c>
      <c r="O79" s="186">
        <f t="shared" si="61"/>
        <v>0</v>
      </c>
      <c r="P79" s="186">
        <f t="shared" si="61"/>
        <v>0</v>
      </c>
      <c r="Q79" s="189">
        <f>SUM(G79:P79)</f>
        <v>9430.5089490784212</v>
      </c>
    </row>
    <row r="80" spans="1:17" ht="18.75" x14ac:dyDescent="0.25">
      <c r="C80" s="143">
        <f t="shared" si="59"/>
        <v>1</v>
      </c>
      <c r="D80" s="150" t="s">
        <v>31</v>
      </c>
      <c r="E80" s="38"/>
      <c r="F80" s="167"/>
      <c r="G80" s="185"/>
      <c r="H80" s="185"/>
      <c r="I80" s="187"/>
      <c r="J80" s="188"/>
      <c r="K80" s="188"/>
      <c r="L80" s="188"/>
      <c r="M80" s="188"/>
      <c r="N80" s="188"/>
      <c r="O80" s="188"/>
      <c r="P80" s="188"/>
      <c r="Q80" s="171"/>
    </row>
    <row r="81" spans="3:17" ht="18.75" x14ac:dyDescent="0.3">
      <c r="C81" s="143">
        <f t="shared" si="59"/>
        <v>1</v>
      </c>
      <c r="D81" s="149" t="s">
        <v>118</v>
      </c>
      <c r="E81" s="38" t="s">
        <v>56</v>
      </c>
      <c r="F81" s="168">
        <f t="shared" ref="F81:J87" si="62">F8*$E$76</f>
        <v>0</v>
      </c>
      <c r="G81" s="186">
        <f t="shared" si="62"/>
        <v>0</v>
      </c>
      <c r="H81" s="186">
        <f t="shared" si="62"/>
        <v>0</v>
      </c>
      <c r="I81" s="186">
        <f t="shared" si="62"/>
        <v>0</v>
      </c>
      <c r="J81" s="186">
        <f t="shared" si="62"/>
        <v>0</v>
      </c>
      <c r="K81" s="186">
        <f t="shared" ref="K81:P81" si="63">K8*$E$76</f>
        <v>0</v>
      </c>
      <c r="L81" s="186">
        <f t="shared" si="63"/>
        <v>0</v>
      </c>
      <c r="M81" s="186">
        <f t="shared" si="63"/>
        <v>0</v>
      </c>
      <c r="N81" s="186">
        <f t="shared" si="63"/>
        <v>0</v>
      </c>
      <c r="O81" s="186">
        <f t="shared" si="63"/>
        <v>0</v>
      </c>
      <c r="P81" s="186">
        <f t="shared" si="63"/>
        <v>0</v>
      </c>
      <c r="Q81" s="189">
        <f t="shared" ref="Q81:Q87" si="64">SUM(G81:P81)</f>
        <v>0</v>
      </c>
    </row>
    <row r="82" spans="3:17" ht="18.75" x14ac:dyDescent="0.3">
      <c r="C82" s="143">
        <f t="shared" si="59"/>
        <v>1</v>
      </c>
      <c r="D82" s="149" t="s">
        <v>119</v>
      </c>
      <c r="E82" s="38" t="s">
        <v>55</v>
      </c>
      <c r="F82" s="168">
        <f t="shared" si="62"/>
        <v>0</v>
      </c>
      <c r="G82" s="186">
        <f t="shared" si="62"/>
        <v>0</v>
      </c>
      <c r="H82" s="186">
        <f t="shared" si="62"/>
        <v>0</v>
      </c>
      <c r="I82" s="186">
        <f t="shared" si="62"/>
        <v>0</v>
      </c>
      <c r="J82" s="186">
        <f t="shared" si="62"/>
        <v>0</v>
      </c>
      <c r="K82" s="186">
        <f t="shared" ref="K82:P82" si="65">K9*$E$76</f>
        <v>0</v>
      </c>
      <c r="L82" s="186">
        <f t="shared" si="65"/>
        <v>0</v>
      </c>
      <c r="M82" s="186">
        <f t="shared" si="65"/>
        <v>0</v>
      </c>
      <c r="N82" s="186">
        <f t="shared" si="65"/>
        <v>0</v>
      </c>
      <c r="O82" s="186">
        <f t="shared" si="65"/>
        <v>0</v>
      </c>
      <c r="P82" s="186">
        <f t="shared" si="65"/>
        <v>0</v>
      </c>
      <c r="Q82" s="189">
        <f t="shared" si="64"/>
        <v>0</v>
      </c>
    </row>
    <row r="83" spans="3:17" ht="18.75" x14ac:dyDescent="0.3">
      <c r="C83" s="143">
        <f t="shared" si="59"/>
        <v>1</v>
      </c>
      <c r="D83" s="149" t="s">
        <v>120</v>
      </c>
      <c r="E83" s="38" t="s">
        <v>54</v>
      </c>
      <c r="F83" s="168">
        <f t="shared" si="62"/>
        <v>0</v>
      </c>
      <c r="G83" s="186">
        <f t="shared" si="62"/>
        <v>0</v>
      </c>
      <c r="H83" s="186">
        <f t="shared" si="62"/>
        <v>0</v>
      </c>
      <c r="I83" s="186">
        <f t="shared" si="62"/>
        <v>0</v>
      </c>
      <c r="J83" s="186">
        <f t="shared" si="62"/>
        <v>0</v>
      </c>
      <c r="K83" s="186">
        <f t="shared" ref="K83:P83" si="66">K10*$E$76</f>
        <v>0</v>
      </c>
      <c r="L83" s="186">
        <f t="shared" si="66"/>
        <v>0</v>
      </c>
      <c r="M83" s="186">
        <f t="shared" si="66"/>
        <v>0</v>
      </c>
      <c r="N83" s="186">
        <f t="shared" si="66"/>
        <v>0</v>
      </c>
      <c r="O83" s="186">
        <f t="shared" si="66"/>
        <v>0</v>
      </c>
      <c r="P83" s="186">
        <f t="shared" si="66"/>
        <v>0</v>
      </c>
      <c r="Q83" s="189">
        <f t="shared" si="64"/>
        <v>0</v>
      </c>
    </row>
    <row r="84" spans="3:17" ht="18.75" x14ac:dyDescent="0.3">
      <c r="C84" s="143">
        <f t="shared" si="59"/>
        <v>1</v>
      </c>
      <c r="D84" s="149" t="s">
        <v>121</v>
      </c>
      <c r="E84" s="38" t="s">
        <v>53</v>
      </c>
      <c r="F84" s="168">
        <f t="shared" si="62"/>
        <v>0</v>
      </c>
      <c r="G84" s="186">
        <f t="shared" si="62"/>
        <v>0</v>
      </c>
      <c r="H84" s="186">
        <f t="shared" si="62"/>
        <v>0</v>
      </c>
      <c r="I84" s="186">
        <f t="shared" si="62"/>
        <v>0</v>
      </c>
      <c r="J84" s="186">
        <f t="shared" si="62"/>
        <v>0</v>
      </c>
      <c r="K84" s="186">
        <f t="shared" ref="K84:P84" si="67">K11*$E$76</f>
        <v>0</v>
      </c>
      <c r="L84" s="186">
        <f t="shared" si="67"/>
        <v>0</v>
      </c>
      <c r="M84" s="186">
        <f t="shared" si="67"/>
        <v>0</v>
      </c>
      <c r="N84" s="186">
        <f t="shared" si="67"/>
        <v>0</v>
      </c>
      <c r="O84" s="186">
        <f t="shared" si="67"/>
        <v>0</v>
      </c>
      <c r="P84" s="186">
        <f t="shared" si="67"/>
        <v>0</v>
      </c>
      <c r="Q84" s="189">
        <f t="shared" si="64"/>
        <v>0</v>
      </c>
    </row>
    <row r="85" spans="3:17" ht="18.75" x14ac:dyDescent="0.3">
      <c r="C85" s="143">
        <f t="shared" si="59"/>
        <v>1</v>
      </c>
      <c r="D85" s="149" t="s">
        <v>122</v>
      </c>
      <c r="E85" s="38" t="s">
        <v>52</v>
      </c>
      <c r="F85" s="168">
        <f t="shared" si="62"/>
        <v>0</v>
      </c>
      <c r="G85" s="186">
        <f t="shared" si="62"/>
        <v>0</v>
      </c>
      <c r="H85" s="186">
        <f t="shared" si="62"/>
        <v>0</v>
      </c>
      <c r="I85" s="186">
        <f t="shared" si="62"/>
        <v>0</v>
      </c>
      <c r="J85" s="186">
        <f t="shared" si="62"/>
        <v>0</v>
      </c>
      <c r="K85" s="186">
        <f t="shared" ref="K85:P85" si="68">K12*$E$76</f>
        <v>0</v>
      </c>
      <c r="L85" s="186">
        <f t="shared" si="68"/>
        <v>0</v>
      </c>
      <c r="M85" s="186">
        <f t="shared" si="68"/>
        <v>0</v>
      </c>
      <c r="N85" s="186">
        <f t="shared" si="68"/>
        <v>0</v>
      </c>
      <c r="O85" s="186">
        <f t="shared" si="68"/>
        <v>0</v>
      </c>
      <c r="P85" s="186">
        <f t="shared" si="68"/>
        <v>0</v>
      </c>
      <c r="Q85" s="189">
        <f t="shared" si="64"/>
        <v>0</v>
      </c>
    </row>
    <row r="86" spans="3:17" ht="18.75" x14ac:dyDescent="0.3">
      <c r="C86" s="143">
        <f t="shared" si="59"/>
        <v>1</v>
      </c>
      <c r="D86" s="149" t="s">
        <v>123</v>
      </c>
      <c r="E86" s="38" t="s">
        <v>51</v>
      </c>
      <c r="F86" s="168">
        <f t="shared" si="62"/>
        <v>0</v>
      </c>
      <c r="G86" s="186">
        <f t="shared" si="62"/>
        <v>0</v>
      </c>
      <c r="H86" s="186">
        <f t="shared" si="62"/>
        <v>0</v>
      </c>
      <c r="I86" s="186">
        <f t="shared" si="62"/>
        <v>0</v>
      </c>
      <c r="J86" s="186">
        <f t="shared" si="62"/>
        <v>0</v>
      </c>
      <c r="K86" s="186">
        <f t="shared" ref="K86:P86" si="69">K13*$E$76</f>
        <v>0</v>
      </c>
      <c r="L86" s="186">
        <f t="shared" si="69"/>
        <v>0</v>
      </c>
      <c r="M86" s="186">
        <f t="shared" si="69"/>
        <v>0</v>
      </c>
      <c r="N86" s="186">
        <f t="shared" si="69"/>
        <v>0</v>
      </c>
      <c r="O86" s="186">
        <f t="shared" si="69"/>
        <v>0</v>
      </c>
      <c r="P86" s="186">
        <f t="shared" si="69"/>
        <v>0</v>
      </c>
      <c r="Q86" s="189">
        <f t="shared" si="64"/>
        <v>0</v>
      </c>
    </row>
    <row r="87" spans="3:17" ht="19.5" thickBot="1" x14ac:dyDescent="0.35">
      <c r="C87" s="143">
        <f t="shared" si="59"/>
        <v>1</v>
      </c>
      <c r="D87" s="149" t="s">
        <v>16</v>
      </c>
      <c r="E87" s="37" t="s">
        <v>50</v>
      </c>
      <c r="F87" s="168">
        <f t="shared" si="62"/>
        <v>0.30149061164289087</v>
      </c>
      <c r="G87" s="186">
        <f t="shared" si="62"/>
        <v>544.13122039229347</v>
      </c>
      <c r="H87" s="186">
        <f t="shared" si="62"/>
        <v>10.602732221324054</v>
      </c>
      <c r="I87" s="186">
        <f t="shared" si="62"/>
        <v>0</v>
      </c>
      <c r="J87" s="186">
        <f t="shared" si="62"/>
        <v>0</v>
      </c>
      <c r="K87" s="186">
        <f t="shared" ref="K87:P87" si="70">K14*$E$76</f>
        <v>37.994094573514097</v>
      </c>
      <c r="L87" s="186">
        <f t="shared" si="70"/>
        <v>0</v>
      </c>
      <c r="M87" s="186">
        <f t="shared" si="70"/>
        <v>2.0392761899065595E-2</v>
      </c>
      <c r="N87" s="186">
        <f t="shared" si="70"/>
        <v>0</v>
      </c>
      <c r="O87" s="186">
        <f t="shared" si="70"/>
        <v>0</v>
      </c>
      <c r="P87" s="186">
        <f t="shared" si="70"/>
        <v>34.352032268182221</v>
      </c>
      <c r="Q87" s="189">
        <f t="shared" si="64"/>
        <v>627.10047221721288</v>
      </c>
    </row>
    <row r="88" spans="3:17" ht="19.5" thickBot="1" x14ac:dyDescent="0.3">
      <c r="C88" s="143">
        <f t="shared" si="59"/>
        <v>1</v>
      </c>
      <c r="D88" s="148" t="s">
        <v>124</v>
      </c>
      <c r="E88" s="147" t="s">
        <v>49</v>
      </c>
      <c r="F88" s="169">
        <f>SUBTOTAL(9,F79:F87)</f>
        <v>4.8353891448536706</v>
      </c>
      <c r="G88" s="170">
        <f t="shared" ref="G88:Q88" si="71">SUBTOTAL(9,G79:G87)</f>
        <v>9625.1828252090818</v>
      </c>
      <c r="H88" s="170">
        <f t="shared" si="71"/>
        <v>147.50542987798997</v>
      </c>
      <c r="I88" s="170">
        <f t="shared" si="71"/>
        <v>0</v>
      </c>
      <c r="J88" s="170">
        <f t="shared" si="71"/>
        <v>174.46237475289402</v>
      </c>
      <c r="K88" s="170">
        <f t="shared" ref="K88:P88" si="72">SUBTOTAL(9,K79:K87)</f>
        <v>68.023012261402187</v>
      </c>
      <c r="L88" s="170">
        <f t="shared" si="72"/>
        <v>8.0633541641834245</v>
      </c>
      <c r="M88" s="170">
        <f t="shared" si="72"/>
        <v>2.0392761899065595E-2</v>
      </c>
      <c r="N88" s="170">
        <f t="shared" si="72"/>
        <v>0</v>
      </c>
      <c r="O88" s="170">
        <f t="shared" si="72"/>
        <v>0</v>
      </c>
      <c r="P88" s="170">
        <f t="shared" si="72"/>
        <v>34.352032268182221</v>
      </c>
      <c r="Q88" s="170">
        <f t="shared" si="71"/>
        <v>10057.609421295634</v>
      </c>
    </row>
    <row r="89" spans="3:17" ht="15.75" hidden="1" thickBot="1" x14ac:dyDescent="0.3"/>
    <row r="90" spans="3:17" ht="45" x14ac:dyDescent="0.25">
      <c r="C90" s="143">
        <f>IF(E90&gt;0,1,0)</f>
        <v>1</v>
      </c>
      <c r="D90" s="163" t="str">
        <f>A9</f>
        <v>Cayuga</v>
      </c>
      <c r="E90" s="166">
        <f>+SUMIF(A:A,D90,B:B)</f>
        <v>2.2764753186393966E-3</v>
      </c>
      <c r="F90" s="509" t="s">
        <v>97</v>
      </c>
      <c r="G90" s="509" t="s">
        <v>126</v>
      </c>
      <c r="H90" s="509" t="s">
        <v>127</v>
      </c>
      <c r="I90" s="508" t="s">
        <v>128</v>
      </c>
      <c r="J90" s="508" t="s">
        <v>487</v>
      </c>
      <c r="K90" s="508" t="s">
        <v>474</v>
      </c>
      <c r="L90" s="508" t="s">
        <v>475</v>
      </c>
      <c r="M90" s="508" t="s">
        <v>476</v>
      </c>
      <c r="N90" s="508" t="s">
        <v>477</v>
      </c>
      <c r="O90" s="508" t="s">
        <v>478</v>
      </c>
      <c r="P90" s="508" t="s">
        <v>479</v>
      </c>
      <c r="Q90" s="508" t="s">
        <v>129</v>
      </c>
    </row>
    <row r="91" spans="3:17" ht="18.75" x14ac:dyDescent="0.25">
      <c r="C91" s="143">
        <f>C90</f>
        <v>1</v>
      </c>
      <c r="D91" s="160"/>
      <c r="E91" s="159"/>
      <c r="F91" s="49" t="s">
        <v>57</v>
      </c>
      <c r="G91" s="49" t="s">
        <v>56</v>
      </c>
      <c r="H91" s="49" t="s">
        <v>55</v>
      </c>
      <c r="I91" s="49" t="s">
        <v>54</v>
      </c>
      <c r="J91" s="58" t="s">
        <v>53</v>
      </c>
      <c r="K91" s="49" t="s">
        <v>52</v>
      </c>
      <c r="L91" s="49" t="s">
        <v>51</v>
      </c>
      <c r="M91" s="49" t="s">
        <v>50</v>
      </c>
      <c r="N91" s="49" t="s">
        <v>49</v>
      </c>
      <c r="O91" s="49" t="s">
        <v>47</v>
      </c>
      <c r="P91" s="49" t="s">
        <v>77</v>
      </c>
      <c r="Q91" s="573" t="s">
        <v>78</v>
      </c>
    </row>
    <row r="92" spans="3:17" ht="18.75" x14ac:dyDescent="0.25">
      <c r="C92" s="143">
        <f>C91</f>
        <v>1</v>
      </c>
      <c r="D92" s="158" t="s">
        <v>26</v>
      </c>
      <c r="E92" s="157"/>
      <c r="F92" s="156"/>
      <c r="G92" s="156"/>
      <c r="H92" s="156"/>
      <c r="I92" s="155"/>
      <c r="J92" s="154"/>
      <c r="K92" s="154"/>
      <c r="L92" s="154"/>
      <c r="M92" s="154"/>
      <c r="N92" s="154"/>
      <c r="O92" s="154"/>
      <c r="P92" s="154"/>
      <c r="Q92" s="153"/>
    </row>
    <row r="93" spans="3:17" ht="18.75" x14ac:dyDescent="0.25">
      <c r="C93" s="143">
        <f t="shared" ref="C93:C102" si="73">C92</f>
        <v>1</v>
      </c>
      <c r="D93" s="152" t="s">
        <v>133</v>
      </c>
      <c r="E93" s="38" t="s">
        <v>57</v>
      </c>
      <c r="F93" s="168">
        <f>F6*$E$90</f>
        <v>4.2570485856724121</v>
      </c>
      <c r="G93" s="186">
        <f t="shared" ref="G93:J93" si="74">G6*$E$90</f>
        <v>8526.5423580899278</v>
      </c>
      <c r="H93" s="186">
        <f t="shared" si="74"/>
        <v>128.54311387099438</v>
      </c>
      <c r="I93" s="186">
        <f t="shared" si="74"/>
        <v>0</v>
      </c>
      <c r="J93" s="186">
        <f t="shared" si="74"/>
        <v>163.80931338772206</v>
      </c>
      <c r="K93" s="186">
        <f t="shared" ref="K93:P93" si="75">K6*$E$90</f>
        <v>28.195285059008246</v>
      </c>
      <c r="L93" s="186">
        <f t="shared" si="75"/>
        <v>7.5709877909649732</v>
      </c>
      <c r="M93" s="186">
        <f t="shared" si="75"/>
        <v>0</v>
      </c>
      <c r="N93" s="186">
        <f t="shared" si="75"/>
        <v>0</v>
      </c>
      <c r="O93" s="186">
        <f t="shared" si="75"/>
        <v>0</v>
      </c>
      <c r="P93" s="186">
        <f t="shared" si="75"/>
        <v>0</v>
      </c>
      <c r="Q93" s="189">
        <f>SUM(G93:P93)</f>
        <v>8854.661058198617</v>
      </c>
    </row>
    <row r="94" spans="3:17" ht="18.75" x14ac:dyDescent="0.25">
      <c r="C94" s="143">
        <f t="shared" si="73"/>
        <v>1</v>
      </c>
      <c r="D94" s="150" t="s">
        <v>31</v>
      </c>
      <c r="E94" s="38"/>
      <c r="F94" s="167"/>
      <c r="G94" s="185"/>
      <c r="H94" s="185"/>
      <c r="I94" s="187"/>
      <c r="J94" s="188"/>
      <c r="K94" s="188"/>
      <c r="L94" s="188"/>
      <c r="M94" s="188"/>
      <c r="N94" s="188"/>
      <c r="O94" s="188"/>
      <c r="P94" s="188"/>
      <c r="Q94" s="171"/>
    </row>
    <row r="95" spans="3:17" ht="18.75" x14ac:dyDescent="0.3">
      <c r="C95" s="143">
        <f t="shared" si="73"/>
        <v>1</v>
      </c>
      <c r="D95" s="149" t="s">
        <v>118</v>
      </c>
      <c r="E95" s="38" t="s">
        <v>56</v>
      </c>
      <c r="F95" s="168">
        <f t="shared" ref="F95:J101" si="76">F8*$E$90</f>
        <v>0</v>
      </c>
      <c r="G95" s="186">
        <f t="shared" si="76"/>
        <v>0</v>
      </c>
      <c r="H95" s="186">
        <f t="shared" si="76"/>
        <v>0</v>
      </c>
      <c r="I95" s="186">
        <f t="shared" si="76"/>
        <v>0</v>
      </c>
      <c r="J95" s="186">
        <f t="shared" si="76"/>
        <v>0</v>
      </c>
      <c r="K95" s="186">
        <f t="shared" ref="K95:P95" si="77">K8*$E$90</f>
        <v>0</v>
      </c>
      <c r="L95" s="186">
        <f t="shared" si="77"/>
        <v>0</v>
      </c>
      <c r="M95" s="186">
        <f t="shared" si="77"/>
        <v>0</v>
      </c>
      <c r="N95" s="186">
        <f t="shared" si="77"/>
        <v>0</v>
      </c>
      <c r="O95" s="186">
        <f t="shared" si="77"/>
        <v>0</v>
      </c>
      <c r="P95" s="186">
        <f t="shared" si="77"/>
        <v>0</v>
      </c>
      <c r="Q95" s="189">
        <f t="shared" ref="Q95:Q101" si="78">SUM(G95:P95)</f>
        <v>0</v>
      </c>
    </row>
    <row r="96" spans="3:17" ht="18.75" x14ac:dyDescent="0.3">
      <c r="C96" s="143">
        <f t="shared" si="73"/>
        <v>1</v>
      </c>
      <c r="D96" s="149" t="s">
        <v>119</v>
      </c>
      <c r="E96" s="38" t="s">
        <v>55</v>
      </c>
      <c r="F96" s="168">
        <f t="shared" si="76"/>
        <v>0</v>
      </c>
      <c r="G96" s="186">
        <f t="shared" si="76"/>
        <v>0</v>
      </c>
      <c r="H96" s="186">
        <f t="shared" si="76"/>
        <v>0</v>
      </c>
      <c r="I96" s="186">
        <f t="shared" si="76"/>
        <v>0</v>
      </c>
      <c r="J96" s="186">
        <f t="shared" si="76"/>
        <v>0</v>
      </c>
      <c r="K96" s="186">
        <f t="shared" ref="K96:P96" si="79">K9*$E$90</f>
        <v>0</v>
      </c>
      <c r="L96" s="186">
        <f t="shared" si="79"/>
        <v>0</v>
      </c>
      <c r="M96" s="186">
        <f t="shared" si="79"/>
        <v>0</v>
      </c>
      <c r="N96" s="186">
        <f t="shared" si="79"/>
        <v>0</v>
      </c>
      <c r="O96" s="186">
        <f t="shared" si="79"/>
        <v>0</v>
      </c>
      <c r="P96" s="186">
        <f t="shared" si="79"/>
        <v>0</v>
      </c>
      <c r="Q96" s="189">
        <f t="shared" si="78"/>
        <v>0</v>
      </c>
    </row>
    <row r="97" spans="3:17" ht="18.75" x14ac:dyDescent="0.3">
      <c r="C97" s="143">
        <f t="shared" si="73"/>
        <v>1</v>
      </c>
      <c r="D97" s="149" t="s">
        <v>120</v>
      </c>
      <c r="E97" s="38" t="s">
        <v>54</v>
      </c>
      <c r="F97" s="168">
        <f t="shared" si="76"/>
        <v>0</v>
      </c>
      <c r="G97" s="186">
        <f t="shared" si="76"/>
        <v>0</v>
      </c>
      <c r="H97" s="186">
        <f t="shared" si="76"/>
        <v>0</v>
      </c>
      <c r="I97" s="186">
        <f t="shared" si="76"/>
        <v>0</v>
      </c>
      <c r="J97" s="186">
        <f t="shared" si="76"/>
        <v>0</v>
      </c>
      <c r="K97" s="186">
        <f t="shared" ref="K97:P97" si="80">K10*$E$90</f>
        <v>0</v>
      </c>
      <c r="L97" s="186">
        <f t="shared" si="80"/>
        <v>0</v>
      </c>
      <c r="M97" s="186">
        <f t="shared" si="80"/>
        <v>0</v>
      </c>
      <c r="N97" s="186">
        <f t="shared" si="80"/>
        <v>0</v>
      </c>
      <c r="O97" s="186">
        <f t="shared" si="80"/>
        <v>0</v>
      </c>
      <c r="P97" s="186">
        <f t="shared" si="80"/>
        <v>0</v>
      </c>
      <c r="Q97" s="189">
        <f t="shared" si="78"/>
        <v>0</v>
      </c>
    </row>
    <row r="98" spans="3:17" ht="18.75" x14ac:dyDescent="0.3">
      <c r="C98" s="143">
        <f t="shared" si="73"/>
        <v>1</v>
      </c>
      <c r="D98" s="149" t="s">
        <v>121</v>
      </c>
      <c r="E98" s="38" t="s">
        <v>53</v>
      </c>
      <c r="F98" s="168">
        <f t="shared" si="76"/>
        <v>0</v>
      </c>
      <c r="G98" s="186">
        <f t="shared" si="76"/>
        <v>0</v>
      </c>
      <c r="H98" s="186">
        <f t="shared" si="76"/>
        <v>0</v>
      </c>
      <c r="I98" s="186">
        <f t="shared" si="76"/>
        <v>0</v>
      </c>
      <c r="J98" s="186">
        <f t="shared" si="76"/>
        <v>0</v>
      </c>
      <c r="K98" s="186">
        <f t="shared" ref="K98:P98" si="81">K11*$E$90</f>
        <v>0</v>
      </c>
      <c r="L98" s="186">
        <f t="shared" si="81"/>
        <v>0</v>
      </c>
      <c r="M98" s="186">
        <f t="shared" si="81"/>
        <v>0</v>
      </c>
      <c r="N98" s="186">
        <f t="shared" si="81"/>
        <v>0</v>
      </c>
      <c r="O98" s="186">
        <f t="shared" si="81"/>
        <v>0</v>
      </c>
      <c r="P98" s="186">
        <f t="shared" si="81"/>
        <v>0</v>
      </c>
      <c r="Q98" s="189">
        <f t="shared" si="78"/>
        <v>0</v>
      </c>
    </row>
    <row r="99" spans="3:17" ht="18.75" x14ac:dyDescent="0.3">
      <c r="C99" s="143">
        <f t="shared" si="73"/>
        <v>1</v>
      </c>
      <c r="D99" s="149" t="s">
        <v>122</v>
      </c>
      <c r="E99" s="38" t="s">
        <v>52</v>
      </c>
      <c r="F99" s="168">
        <f t="shared" si="76"/>
        <v>0</v>
      </c>
      <c r="G99" s="186">
        <f t="shared" si="76"/>
        <v>0</v>
      </c>
      <c r="H99" s="186">
        <f t="shared" si="76"/>
        <v>0</v>
      </c>
      <c r="I99" s="186">
        <f t="shared" si="76"/>
        <v>0</v>
      </c>
      <c r="J99" s="186">
        <f t="shared" si="76"/>
        <v>0</v>
      </c>
      <c r="K99" s="186">
        <f t="shared" ref="K99:P99" si="82">K12*$E$90</f>
        <v>0</v>
      </c>
      <c r="L99" s="186">
        <f t="shared" si="82"/>
        <v>0</v>
      </c>
      <c r="M99" s="186">
        <f t="shared" si="82"/>
        <v>0</v>
      </c>
      <c r="N99" s="186">
        <f t="shared" si="82"/>
        <v>0</v>
      </c>
      <c r="O99" s="186">
        <f t="shared" si="82"/>
        <v>0</v>
      </c>
      <c r="P99" s="186">
        <f t="shared" si="82"/>
        <v>0</v>
      </c>
      <c r="Q99" s="189">
        <f t="shared" si="78"/>
        <v>0</v>
      </c>
    </row>
    <row r="100" spans="3:17" ht="18.75" x14ac:dyDescent="0.3">
      <c r="C100" s="143">
        <f t="shared" si="73"/>
        <v>1</v>
      </c>
      <c r="D100" s="149" t="s">
        <v>123</v>
      </c>
      <c r="E100" s="38" t="s">
        <v>51</v>
      </c>
      <c r="F100" s="168">
        <f t="shared" si="76"/>
        <v>0</v>
      </c>
      <c r="G100" s="186">
        <f t="shared" si="76"/>
        <v>0</v>
      </c>
      <c r="H100" s="186">
        <f t="shared" si="76"/>
        <v>0</v>
      </c>
      <c r="I100" s="186">
        <f t="shared" si="76"/>
        <v>0</v>
      </c>
      <c r="J100" s="186">
        <f t="shared" si="76"/>
        <v>0</v>
      </c>
      <c r="K100" s="186">
        <f t="shared" ref="K100:P100" si="83">K13*$E$90</f>
        <v>0</v>
      </c>
      <c r="L100" s="186">
        <f t="shared" si="83"/>
        <v>0</v>
      </c>
      <c r="M100" s="186">
        <f t="shared" si="83"/>
        <v>0</v>
      </c>
      <c r="N100" s="186">
        <f t="shared" si="83"/>
        <v>0</v>
      </c>
      <c r="O100" s="186">
        <f t="shared" si="83"/>
        <v>0</v>
      </c>
      <c r="P100" s="186">
        <f t="shared" si="83"/>
        <v>0</v>
      </c>
      <c r="Q100" s="189">
        <f t="shared" si="78"/>
        <v>0</v>
      </c>
    </row>
    <row r="101" spans="3:17" ht="19.5" thickBot="1" x14ac:dyDescent="0.35">
      <c r="C101" s="143">
        <f t="shared" si="73"/>
        <v>1</v>
      </c>
      <c r="D101" s="149" t="s">
        <v>16</v>
      </c>
      <c r="E101" s="37" t="s">
        <v>50</v>
      </c>
      <c r="F101" s="168">
        <f t="shared" si="76"/>
        <v>0.28308092307018806</v>
      </c>
      <c r="G101" s="186">
        <f t="shared" si="76"/>
        <v>510.9053555618089</v>
      </c>
      <c r="H101" s="186">
        <f t="shared" si="76"/>
        <v>9.9553057653203787</v>
      </c>
      <c r="I101" s="186">
        <f t="shared" si="76"/>
        <v>0</v>
      </c>
      <c r="J101" s="186">
        <f t="shared" si="76"/>
        <v>0</v>
      </c>
      <c r="K101" s="186">
        <f t="shared" ref="K101:P101" si="84">K14*$E$90</f>
        <v>35.674090494817591</v>
      </c>
      <c r="L101" s="186">
        <f t="shared" si="84"/>
        <v>0</v>
      </c>
      <c r="M101" s="186">
        <f t="shared" si="84"/>
        <v>1.9147534415352906E-2</v>
      </c>
      <c r="N101" s="186">
        <f t="shared" si="84"/>
        <v>0</v>
      </c>
      <c r="O101" s="186">
        <f t="shared" si="84"/>
        <v>0</v>
      </c>
      <c r="P101" s="186">
        <f t="shared" si="84"/>
        <v>32.254420629628953</v>
      </c>
      <c r="Q101" s="189">
        <f t="shared" si="78"/>
        <v>588.80831998599115</v>
      </c>
    </row>
    <row r="102" spans="3:17" ht="19.5" thickBot="1" x14ac:dyDescent="0.3">
      <c r="C102" s="143">
        <f t="shared" si="73"/>
        <v>1</v>
      </c>
      <c r="D102" s="148" t="s">
        <v>124</v>
      </c>
      <c r="E102" s="147" t="s">
        <v>49</v>
      </c>
      <c r="F102" s="169">
        <f>SUBTOTAL(9,F93:F101)</f>
        <v>4.5401295087426004</v>
      </c>
      <c r="G102" s="170">
        <f t="shared" ref="G102:Q102" si="85">SUBTOTAL(9,G93:G101)</f>
        <v>9037.4477136517362</v>
      </c>
      <c r="H102" s="170">
        <f t="shared" si="85"/>
        <v>138.49841963631476</v>
      </c>
      <c r="I102" s="170">
        <f t="shared" si="85"/>
        <v>0</v>
      </c>
      <c r="J102" s="170">
        <f t="shared" si="85"/>
        <v>163.80931338772206</v>
      </c>
      <c r="K102" s="170">
        <f t="shared" ref="K102:P102" si="86">SUBTOTAL(9,K93:K101)</f>
        <v>63.869375553825833</v>
      </c>
      <c r="L102" s="170">
        <f t="shared" si="86"/>
        <v>7.5709877909649732</v>
      </c>
      <c r="M102" s="170">
        <f t="shared" si="86"/>
        <v>1.9147534415352906E-2</v>
      </c>
      <c r="N102" s="170">
        <f t="shared" si="86"/>
        <v>0</v>
      </c>
      <c r="O102" s="170">
        <f t="shared" si="86"/>
        <v>0</v>
      </c>
      <c r="P102" s="170">
        <f t="shared" si="86"/>
        <v>32.254420629628953</v>
      </c>
      <c r="Q102" s="170">
        <f t="shared" si="85"/>
        <v>9443.4693781846072</v>
      </c>
    </row>
    <row r="103" spans="3:17" ht="15.75" hidden="1" thickBot="1" x14ac:dyDescent="0.3"/>
    <row r="104" spans="3:17" ht="45" x14ac:dyDescent="0.25">
      <c r="C104" s="143">
        <f>IF(E104&gt;0,1,0)</f>
        <v>1</v>
      </c>
      <c r="D104" s="163" t="str">
        <f>A10</f>
        <v>Chautauqua</v>
      </c>
      <c r="E104" s="166">
        <f>+SUMIF(A:A,D104,B:B)</f>
        <v>4.8428754605175017E-3</v>
      </c>
      <c r="F104" s="509" t="s">
        <v>97</v>
      </c>
      <c r="G104" s="509" t="s">
        <v>126</v>
      </c>
      <c r="H104" s="509" t="s">
        <v>127</v>
      </c>
      <c r="I104" s="508" t="s">
        <v>128</v>
      </c>
      <c r="J104" s="508" t="s">
        <v>487</v>
      </c>
      <c r="K104" s="508" t="s">
        <v>474</v>
      </c>
      <c r="L104" s="508" t="s">
        <v>475</v>
      </c>
      <c r="M104" s="508" t="s">
        <v>476</v>
      </c>
      <c r="N104" s="508" t="s">
        <v>477</v>
      </c>
      <c r="O104" s="508" t="s">
        <v>478</v>
      </c>
      <c r="P104" s="508" t="s">
        <v>479</v>
      </c>
      <c r="Q104" s="508" t="s">
        <v>129</v>
      </c>
    </row>
    <row r="105" spans="3:17" ht="18.75" x14ac:dyDescent="0.25">
      <c r="C105" s="143">
        <f>C104</f>
        <v>1</v>
      </c>
      <c r="D105" s="160"/>
      <c r="E105" s="159"/>
      <c r="F105" s="49" t="s">
        <v>57</v>
      </c>
      <c r="G105" s="49" t="s">
        <v>56</v>
      </c>
      <c r="H105" s="49" t="s">
        <v>55</v>
      </c>
      <c r="I105" s="49" t="s">
        <v>54</v>
      </c>
      <c r="J105" s="58" t="s">
        <v>53</v>
      </c>
      <c r="K105" s="49" t="s">
        <v>52</v>
      </c>
      <c r="L105" s="49" t="s">
        <v>51</v>
      </c>
      <c r="M105" s="49" t="s">
        <v>50</v>
      </c>
      <c r="N105" s="49" t="s">
        <v>49</v>
      </c>
      <c r="O105" s="49" t="s">
        <v>47</v>
      </c>
      <c r="P105" s="49" t="s">
        <v>77</v>
      </c>
      <c r="Q105" s="573" t="s">
        <v>78</v>
      </c>
    </row>
    <row r="106" spans="3:17" ht="18.75" x14ac:dyDescent="0.25">
      <c r="C106" s="143">
        <f>C105</f>
        <v>1</v>
      </c>
      <c r="D106" s="158" t="s">
        <v>26</v>
      </c>
      <c r="E106" s="157"/>
      <c r="F106" s="156"/>
      <c r="G106" s="156"/>
      <c r="H106" s="156"/>
      <c r="I106" s="155"/>
      <c r="J106" s="154"/>
      <c r="K106" s="154"/>
      <c r="L106" s="154"/>
      <c r="M106" s="154"/>
      <c r="N106" s="154"/>
      <c r="O106" s="154"/>
      <c r="P106" s="154"/>
      <c r="Q106" s="153"/>
    </row>
    <row r="107" spans="3:17" ht="18.75" x14ac:dyDescent="0.25">
      <c r="C107" s="143">
        <f t="shared" ref="C107:C116" si="87">C106</f>
        <v>1</v>
      </c>
      <c r="D107" s="152" t="s">
        <v>133</v>
      </c>
      <c r="E107" s="38" t="s">
        <v>57</v>
      </c>
      <c r="F107" s="168">
        <f>F6*$E$104</f>
        <v>9.0562616519407921</v>
      </c>
      <c r="G107" s="186">
        <f t="shared" ref="G107:J107" si="88">G6*$E$104</f>
        <v>18138.998657686625</v>
      </c>
      <c r="H107" s="186">
        <f t="shared" si="88"/>
        <v>273.45707932226219</v>
      </c>
      <c r="I107" s="186">
        <f t="shared" si="88"/>
        <v>0</v>
      </c>
      <c r="J107" s="186">
        <f t="shared" si="88"/>
        <v>348.48087194890587</v>
      </c>
      <c r="K107" s="186">
        <f t="shared" ref="K107:P107" si="89">K6*$E$104</f>
        <v>59.981434016239518</v>
      </c>
      <c r="L107" s="186">
        <f t="shared" si="89"/>
        <v>16.106193062816082</v>
      </c>
      <c r="M107" s="186">
        <f t="shared" si="89"/>
        <v>0</v>
      </c>
      <c r="N107" s="186">
        <f t="shared" si="89"/>
        <v>0</v>
      </c>
      <c r="O107" s="186">
        <f t="shared" si="89"/>
        <v>0</v>
      </c>
      <c r="P107" s="186">
        <f t="shared" si="89"/>
        <v>0</v>
      </c>
      <c r="Q107" s="189">
        <f>SUM(G107:P107)</f>
        <v>18837.02423603685</v>
      </c>
    </row>
    <row r="108" spans="3:17" ht="18.75" x14ac:dyDescent="0.25">
      <c r="C108" s="143">
        <f t="shared" si="87"/>
        <v>1</v>
      </c>
      <c r="D108" s="150" t="s">
        <v>31</v>
      </c>
      <c r="E108" s="38"/>
      <c r="F108" s="167"/>
      <c r="G108" s="185"/>
      <c r="H108" s="185"/>
      <c r="I108" s="187"/>
      <c r="J108" s="188"/>
      <c r="K108" s="188"/>
      <c r="L108" s="188"/>
      <c r="M108" s="188"/>
      <c r="N108" s="188"/>
      <c r="O108" s="188"/>
      <c r="P108" s="188"/>
      <c r="Q108" s="171"/>
    </row>
    <row r="109" spans="3:17" ht="18.75" x14ac:dyDescent="0.3">
      <c r="C109" s="143">
        <f t="shared" si="87"/>
        <v>1</v>
      </c>
      <c r="D109" s="149" t="s">
        <v>118</v>
      </c>
      <c r="E109" s="38" t="s">
        <v>56</v>
      </c>
      <c r="F109" s="168">
        <f t="shared" ref="F109:J115" si="90">F8*$E$104</f>
        <v>0</v>
      </c>
      <c r="G109" s="186">
        <f t="shared" si="90"/>
        <v>0</v>
      </c>
      <c r="H109" s="186">
        <f t="shared" si="90"/>
        <v>0</v>
      </c>
      <c r="I109" s="186">
        <f t="shared" si="90"/>
        <v>0</v>
      </c>
      <c r="J109" s="186">
        <f t="shared" si="90"/>
        <v>0</v>
      </c>
      <c r="K109" s="186">
        <f t="shared" ref="K109:P109" si="91">K8*$E$104</f>
        <v>0</v>
      </c>
      <c r="L109" s="186">
        <f t="shared" si="91"/>
        <v>0</v>
      </c>
      <c r="M109" s="186">
        <f t="shared" si="91"/>
        <v>0</v>
      </c>
      <c r="N109" s="186">
        <f t="shared" si="91"/>
        <v>0</v>
      </c>
      <c r="O109" s="186">
        <f t="shared" si="91"/>
        <v>0</v>
      </c>
      <c r="P109" s="186">
        <f t="shared" si="91"/>
        <v>0</v>
      </c>
      <c r="Q109" s="189">
        <f t="shared" ref="Q109:Q115" si="92">SUM(G109:P109)</f>
        <v>0</v>
      </c>
    </row>
    <row r="110" spans="3:17" ht="18.75" x14ac:dyDescent="0.3">
      <c r="C110" s="143">
        <f t="shared" si="87"/>
        <v>1</v>
      </c>
      <c r="D110" s="149" t="s">
        <v>119</v>
      </c>
      <c r="E110" s="38" t="s">
        <v>55</v>
      </c>
      <c r="F110" s="168">
        <f t="shared" si="90"/>
        <v>0</v>
      </c>
      <c r="G110" s="186">
        <f t="shared" si="90"/>
        <v>0</v>
      </c>
      <c r="H110" s="186">
        <f t="shared" si="90"/>
        <v>0</v>
      </c>
      <c r="I110" s="186">
        <f t="shared" si="90"/>
        <v>0</v>
      </c>
      <c r="J110" s="186">
        <f t="shared" si="90"/>
        <v>0</v>
      </c>
      <c r="K110" s="186">
        <f t="shared" ref="K110:P110" si="93">K9*$E$104</f>
        <v>0</v>
      </c>
      <c r="L110" s="186">
        <f t="shared" si="93"/>
        <v>0</v>
      </c>
      <c r="M110" s="186">
        <f t="shared" si="93"/>
        <v>0</v>
      </c>
      <c r="N110" s="186">
        <f t="shared" si="93"/>
        <v>0</v>
      </c>
      <c r="O110" s="186">
        <f t="shared" si="93"/>
        <v>0</v>
      </c>
      <c r="P110" s="186">
        <f t="shared" si="93"/>
        <v>0</v>
      </c>
      <c r="Q110" s="189">
        <f t="shared" si="92"/>
        <v>0</v>
      </c>
    </row>
    <row r="111" spans="3:17" ht="18.75" x14ac:dyDescent="0.3">
      <c r="C111" s="143">
        <f t="shared" si="87"/>
        <v>1</v>
      </c>
      <c r="D111" s="149" t="s">
        <v>120</v>
      </c>
      <c r="E111" s="38" t="s">
        <v>54</v>
      </c>
      <c r="F111" s="168">
        <f t="shared" si="90"/>
        <v>0</v>
      </c>
      <c r="G111" s="186">
        <f t="shared" si="90"/>
        <v>0</v>
      </c>
      <c r="H111" s="186">
        <f t="shared" si="90"/>
        <v>0</v>
      </c>
      <c r="I111" s="186">
        <f t="shared" si="90"/>
        <v>0</v>
      </c>
      <c r="J111" s="186">
        <f t="shared" si="90"/>
        <v>0</v>
      </c>
      <c r="K111" s="186">
        <f t="shared" ref="K111:P111" si="94">K10*$E$104</f>
        <v>0</v>
      </c>
      <c r="L111" s="186">
        <f t="shared" si="94"/>
        <v>0</v>
      </c>
      <c r="M111" s="186">
        <f t="shared" si="94"/>
        <v>0</v>
      </c>
      <c r="N111" s="186">
        <f t="shared" si="94"/>
        <v>0</v>
      </c>
      <c r="O111" s="186">
        <f t="shared" si="94"/>
        <v>0</v>
      </c>
      <c r="P111" s="186">
        <f t="shared" si="94"/>
        <v>0</v>
      </c>
      <c r="Q111" s="189">
        <f t="shared" si="92"/>
        <v>0</v>
      </c>
    </row>
    <row r="112" spans="3:17" ht="18.75" x14ac:dyDescent="0.3">
      <c r="C112" s="143">
        <f t="shared" si="87"/>
        <v>1</v>
      </c>
      <c r="D112" s="149" t="s">
        <v>121</v>
      </c>
      <c r="E112" s="38" t="s">
        <v>53</v>
      </c>
      <c r="F112" s="168">
        <f t="shared" si="90"/>
        <v>0</v>
      </c>
      <c r="G112" s="186">
        <f t="shared" si="90"/>
        <v>0</v>
      </c>
      <c r="H112" s="186">
        <f t="shared" si="90"/>
        <v>0</v>
      </c>
      <c r="I112" s="186">
        <f t="shared" si="90"/>
        <v>0</v>
      </c>
      <c r="J112" s="186">
        <f t="shared" si="90"/>
        <v>0</v>
      </c>
      <c r="K112" s="186">
        <f t="shared" ref="K112:P112" si="95">K11*$E$104</f>
        <v>0</v>
      </c>
      <c r="L112" s="186">
        <f t="shared" si="95"/>
        <v>0</v>
      </c>
      <c r="M112" s="186">
        <f t="shared" si="95"/>
        <v>0</v>
      </c>
      <c r="N112" s="186">
        <f t="shared" si="95"/>
        <v>0</v>
      </c>
      <c r="O112" s="186">
        <f t="shared" si="95"/>
        <v>0</v>
      </c>
      <c r="P112" s="186">
        <f t="shared" si="95"/>
        <v>0</v>
      </c>
      <c r="Q112" s="189">
        <f t="shared" si="92"/>
        <v>0</v>
      </c>
    </row>
    <row r="113" spans="3:17" ht="18.75" x14ac:dyDescent="0.3">
      <c r="C113" s="143">
        <f t="shared" si="87"/>
        <v>1</v>
      </c>
      <c r="D113" s="149" t="s">
        <v>122</v>
      </c>
      <c r="E113" s="38" t="s">
        <v>52</v>
      </c>
      <c r="F113" s="168">
        <f t="shared" si="90"/>
        <v>0</v>
      </c>
      <c r="G113" s="186">
        <f t="shared" si="90"/>
        <v>0</v>
      </c>
      <c r="H113" s="186">
        <f t="shared" si="90"/>
        <v>0</v>
      </c>
      <c r="I113" s="186">
        <f t="shared" si="90"/>
        <v>0</v>
      </c>
      <c r="J113" s="186">
        <f t="shared" si="90"/>
        <v>0</v>
      </c>
      <c r="K113" s="186">
        <f t="shared" ref="K113:P113" si="96">K12*$E$104</f>
        <v>0</v>
      </c>
      <c r="L113" s="186">
        <f t="shared" si="96"/>
        <v>0</v>
      </c>
      <c r="M113" s="186">
        <f t="shared" si="96"/>
        <v>0</v>
      </c>
      <c r="N113" s="186">
        <f t="shared" si="96"/>
        <v>0</v>
      </c>
      <c r="O113" s="186">
        <f t="shared" si="96"/>
        <v>0</v>
      </c>
      <c r="P113" s="186">
        <f t="shared" si="96"/>
        <v>0</v>
      </c>
      <c r="Q113" s="189">
        <f t="shared" si="92"/>
        <v>0</v>
      </c>
    </row>
    <row r="114" spans="3:17" ht="18.75" x14ac:dyDescent="0.3">
      <c r="C114" s="143">
        <f t="shared" si="87"/>
        <v>1</v>
      </c>
      <c r="D114" s="149" t="s">
        <v>123</v>
      </c>
      <c r="E114" s="38" t="s">
        <v>51</v>
      </c>
      <c r="F114" s="168">
        <f t="shared" si="90"/>
        <v>0</v>
      </c>
      <c r="G114" s="186">
        <f t="shared" si="90"/>
        <v>0</v>
      </c>
      <c r="H114" s="186">
        <f t="shared" si="90"/>
        <v>0</v>
      </c>
      <c r="I114" s="186">
        <f t="shared" si="90"/>
        <v>0</v>
      </c>
      <c r="J114" s="186">
        <f t="shared" si="90"/>
        <v>0</v>
      </c>
      <c r="K114" s="186">
        <f t="shared" ref="K114:P114" si="97">K13*$E$104</f>
        <v>0</v>
      </c>
      <c r="L114" s="186">
        <f t="shared" si="97"/>
        <v>0</v>
      </c>
      <c r="M114" s="186">
        <f t="shared" si="97"/>
        <v>0</v>
      </c>
      <c r="N114" s="186">
        <f t="shared" si="97"/>
        <v>0</v>
      </c>
      <c r="O114" s="186">
        <f t="shared" si="97"/>
        <v>0</v>
      </c>
      <c r="P114" s="186">
        <f t="shared" si="97"/>
        <v>0</v>
      </c>
      <c r="Q114" s="189">
        <f t="shared" si="92"/>
        <v>0</v>
      </c>
    </row>
    <row r="115" spans="3:17" ht="19.5" thickBot="1" x14ac:dyDescent="0.35">
      <c r="C115" s="143">
        <f t="shared" si="87"/>
        <v>1</v>
      </c>
      <c r="D115" s="149" t="s">
        <v>16</v>
      </c>
      <c r="E115" s="37" t="s">
        <v>50</v>
      </c>
      <c r="F115" s="168">
        <f t="shared" si="90"/>
        <v>0.60221415292858571</v>
      </c>
      <c r="G115" s="186">
        <f t="shared" si="90"/>
        <v>1086.8780297499834</v>
      </c>
      <c r="H115" s="186">
        <f t="shared" si="90"/>
        <v>21.178488340314619</v>
      </c>
      <c r="I115" s="186">
        <f t="shared" si="90"/>
        <v>0</v>
      </c>
      <c r="J115" s="186">
        <f t="shared" si="90"/>
        <v>0</v>
      </c>
      <c r="K115" s="186">
        <f t="shared" ref="K115:P115" si="98">K14*$E$104</f>
        <v>75.891522310415837</v>
      </c>
      <c r="L115" s="186">
        <f t="shared" si="98"/>
        <v>0</v>
      </c>
      <c r="M115" s="186">
        <f t="shared" si="98"/>
        <v>4.0733639319643161E-2</v>
      </c>
      <c r="N115" s="186">
        <f t="shared" si="98"/>
        <v>0</v>
      </c>
      <c r="O115" s="186">
        <f t="shared" si="98"/>
        <v>0</v>
      </c>
      <c r="P115" s="186">
        <f t="shared" si="98"/>
        <v>68.616664051424721</v>
      </c>
      <c r="Q115" s="189">
        <f t="shared" si="92"/>
        <v>1252.6054380914582</v>
      </c>
    </row>
    <row r="116" spans="3:17" ht="19.5" thickBot="1" x14ac:dyDescent="0.3">
      <c r="C116" s="143">
        <f t="shared" si="87"/>
        <v>1</v>
      </c>
      <c r="D116" s="148" t="s">
        <v>124</v>
      </c>
      <c r="E116" s="147" t="s">
        <v>49</v>
      </c>
      <c r="F116" s="169">
        <f>SUBTOTAL(9,F107:F115)</f>
        <v>9.6584758048693775</v>
      </c>
      <c r="G116" s="170">
        <f t="shared" ref="G116:Q116" si="99">SUBTOTAL(9,G107:G115)</f>
        <v>19225.876687436608</v>
      </c>
      <c r="H116" s="170">
        <f t="shared" si="99"/>
        <v>294.63556766257682</v>
      </c>
      <c r="I116" s="170">
        <f t="shared" si="99"/>
        <v>0</v>
      </c>
      <c r="J116" s="170">
        <f t="shared" si="99"/>
        <v>348.48087194890587</v>
      </c>
      <c r="K116" s="170">
        <f t="shared" ref="K116:P116" si="100">SUBTOTAL(9,K107:K115)</f>
        <v>135.87295632665536</v>
      </c>
      <c r="L116" s="170">
        <f t="shared" si="100"/>
        <v>16.106193062816082</v>
      </c>
      <c r="M116" s="170">
        <f t="shared" si="100"/>
        <v>4.0733639319643161E-2</v>
      </c>
      <c r="N116" s="170">
        <f t="shared" si="100"/>
        <v>0</v>
      </c>
      <c r="O116" s="170">
        <f t="shared" si="100"/>
        <v>0</v>
      </c>
      <c r="P116" s="170">
        <f t="shared" si="100"/>
        <v>68.616664051424721</v>
      </c>
      <c r="Q116" s="170">
        <f t="shared" si="99"/>
        <v>20089.629674128308</v>
      </c>
    </row>
    <row r="117" spans="3:17" ht="15.75" hidden="1" thickBot="1" x14ac:dyDescent="0.3"/>
    <row r="118" spans="3:17" ht="45" x14ac:dyDescent="0.25">
      <c r="C118" s="143">
        <f>IF(E118&gt;0,1,0)</f>
        <v>1</v>
      </c>
      <c r="D118" s="163" t="str">
        <f>A11</f>
        <v>Chemung</v>
      </c>
      <c r="E118" s="166">
        <f>+SUMIF(A:A,D118,B:B)</f>
        <v>4.5517940222924687E-3</v>
      </c>
      <c r="F118" s="509" t="s">
        <v>97</v>
      </c>
      <c r="G118" s="509" t="s">
        <v>126</v>
      </c>
      <c r="H118" s="509" t="s">
        <v>127</v>
      </c>
      <c r="I118" s="508" t="s">
        <v>128</v>
      </c>
      <c r="J118" s="508" t="s">
        <v>487</v>
      </c>
      <c r="K118" s="508" t="s">
        <v>474</v>
      </c>
      <c r="L118" s="508" t="s">
        <v>475</v>
      </c>
      <c r="M118" s="508" t="s">
        <v>476</v>
      </c>
      <c r="N118" s="508" t="s">
        <v>477</v>
      </c>
      <c r="O118" s="508" t="s">
        <v>478</v>
      </c>
      <c r="P118" s="508" t="s">
        <v>479</v>
      </c>
      <c r="Q118" s="508" t="s">
        <v>129</v>
      </c>
    </row>
    <row r="119" spans="3:17" ht="18.75" x14ac:dyDescent="0.25">
      <c r="C119" s="143">
        <f>C118</f>
        <v>1</v>
      </c>
      <c r="D119" s="160"/>
      <c r="E119" s="159"/>
      <c r="F119" s="49" t="s">
        <v>57</v>
      </c>
      <c r="G119" s="49" t="s">
        <v>56</v>
      </c>
      <c r="H119" s="49" t="s">
        <v>55</v>
      </c>
      <c r="I119" s="49" t="s">
        <v>54</v>
      </c>
      <c r="J119" s="58" t="s">
        <v>53</v>
      </c>
      <c r="K119" s="49" t="s">
        <v>52</v>
      </c>
      <c r="L119" s="49" t="s">
        <v>51</v>
      </c>
      <c r="M119" s="49" t="s">
        <v>50</v>
      </c>
      <c r="N119" s="49" t="s">
        <v>49</v>
      </c>
      <c r="O119" s="49" t="s">
        <v>47</v>
      </c>
      <c r="P119" s="49" t="s">
        <v>77</v>
      </c>
      <c r="Q119" s="573" t="s">
        <v>78</v>
      </c>
    </row>
    <row r="120" spans="3:17" ht="18.75" x14ac:dyDescent="0.25">
      <c r="C120" s="143">
        <f>C119</f>
        <v>1</v>
      </c>
      <c r="D120" s="158" t="s">
        <v>26</v>
      </c>
      <c r="E120" s="157"/>
      <c r="F120" s="156"/>
      <c r="G120" s="156"/>
      <c r="H120" s="156"/>
      <c r="I120" s="155"/>
      <c r="J120" s="154"/>
      <c r="K120" s="154"/>
      <c r="L120" s="154"/>
      <c r="M120" s="154"/>
      <c r="N120" s="154"/>
      <c r="O120" s="154"/>
      <c r="P120" s="154"/>
      <c r="Q120" s="153"/>
    </row>
    <row r="121" spans="3:17" ht="18.75" x14ac:dyDescent="0.25">
      <c r="C121" s="143">
        <f t="shared" ref="C121:C130" si="101">C120</f>
        <v>1</v>
      </c>
      <c r="D121" s="152" t="s">
        <v>133</v>
      </c>
      <c r="E121" s="38" t="s">
        <v>57</v>
      </c>
      <c r="F121" s="168">
        <f>F6*$E$118</f>
        <v>8.5119342811296814</v>
      </c>
      <c r="G121" s="186">
        <f t="shared" ref="G121:J121" si="102">G6*$E$118</f>
        <v>17048.752612689801</v>
      </c>
      <c r="H121" s="186">
        <f t="shared" si="102"/>
        <v>257.0209184936632</v>
      </c>
      <c r="I121" s="186">
        <f t="shared" si="102"/>
        <v>0</v>
      </c>
      <c r="J121" s="186">
        <f t="shared" si="102"/>
        <v>327.53539973352872</v>
      </c>
      <c r="K121" s="186">
        <f t="shared" ref="K121:P121" si="103">K6*$E$118</f>
        <v>56.376244863103373</v>
      </c>
      <c r="L121" s="186">
        <f t="shared" si="103"/>
        <v>15.138128969639178</v>
      </c>
      <c r="M121" s="186">
        <f t="shared" si="103"/>
        <v>0</v>
      </c>
      <c r="N121" s="186">
        <f t="shared" si="103"/>
        <v>0</v>
      </c>
      <c r="O121" s="186">
        <f t="shared" si="103"/>
        <v>0</v>
      </c>
      <c r="P121" s="186">
        <f t="shared" si="103"/>
        <v>0</v>
      </c>
      <c r="Q121" s="189">
        <f>SUM(G121:P121)</f>
        <v>17704.823304749738</v>
      </c>
    </row>
    <row r="122" spans="3:17" ht="18.75" x14ac:dyDescent="0.25">
      <c r="C122" s="143">
        <f t="shared" si="101"/>
        <v>1</v>
      </c>
      <c r="D122" s="150" t="s">
        <v>31</v>
      </c>
      <c r="E122" s="38"/>
      <c r="F122" s="167"/>
      <c r="G122" s="185"/>
      <c r="H122" s="185"/>
      <c r="I122" s="187"/>
      <c r="J122" s="188"/>
      <c r="K122" s="188"/>
      <c r="L122" s="188"/>
      <c r="M122" s="188"/>
      <c r="N122" s="188"/>
      <c r="O122" s="188"/>
      <c r="P122" s="188"/>
      <c r="Q122" s="171"/>
    </row>
    <row r="123" spans="3:17" ht="18.75" x14ac:dyDescent="0.3">
      <c r="C123" s="143">
        <f t="shared" si="101"/>
        <v>1</v>
      </c>
      <c r="D123" s="149" t="s">
        <v>118</v>
      </c>
      <c r="E123" s="38" t="s">
        <v>56</v>
      </c>
      <c r="F123" s="168">
        <f t="shared" ref="F123:J129" si="104">F8*$E$118</f>
        <v>0</v>
      </c>
      <c r="G123" s="186">
        <f t="shared" si="104"/>
        <v>0</v>
      </c>
      <c r="H123" s="186">
        <f t="shared" si="104"/>
        <v>0</v>
      </c>
      <c r="I123" s="186">
        <f t="shared" si="104"/>
        <v>0</v>
      </c>
      <c r="J123" s="186">
        <f t="shared" si="104"/>
        <v>0</v>
      </c>
      <c r="K123" s="186">
        <f t="shared" ref="K123:P123" si="105">K8*$E$118</f>
        <v>0</v>
      </c>
      <c r="L123" s="186">
        <f t="shared" si="105"/>
        <v>0</v>
      </c>
      <c r="M123" s="186">
        <f t="shared" si="105"/>
        <v>0</v>
      </c>
      <c r="N123" s="186">
        <f t="shared" si="105"/>
        <v>0</v>
      </c>
      <c r="O123" s="186">
        <f t="shared" si="105"/>
        <v>0</v>
      </c>
      <c r="P123" s="186">
        <f t="shared" si="105"/>
        <v>0</v>
      </c>
      <c r="Q123" s="189">
        <f t="shared" ref="Q123:Q129" si="106">SUM(G123:P123)</f>
        <v>0</v>
      </c>
    </row>
    <row r="124" spans="3:17" ht="18.75" x14ac:dyDescent="0.3">
      <c r="C124" s="143">
        <f t="shared" si="101"/>
        <v>1</v>
      </c>
      <c r="D124" s="149" t="s">
        <v>119</v>
      </c>
      <c r="E124" s="38" t="s">
        <v>55</v>
      </c>
      <c r="F124" s="168">
        <f t="shared" si="104"/>
        <v>0</v>
      </c>
      <c r="G124" s="186">
        <f t="shared" si="104"/>
        <v>0</v>
      </c>
      <c r="H124" s="186">
        <f t="shared" si="104"/>
        <v>0</v>
      </c>
      <c r="I124" s="186">
        <f t="shared" si="104"/>
        <v>0</v>
      </c>
      <c r="J124" s="186">
        <f t="shared" si="104"/>
        <v>0</v>
      </c>
      <c r="K124" s="186">
        <f t="shared" ref="K124:P124" si="107">K9*$E$118</f>
        <v>0</v>
      </c>
      <c r="L124" s="186">
        <f t="shared" si="107"/>
        <v>0</v>
      </c>
      <c r="M124" s="186">
        <f t="shared" si="107"/>
        <v>0</v>
      </c>
      <c r="N124" s="186">
        <f t="shared" si="107"/>
        <v>0</v>
      </c>
      <c r="O124" s="186">
        <f t="shared" si="107"/>
        <v>0</v>
      </c>
      <c r="P124" s="186">
        <f t="shared" si="107"/>
        <v>0</v>
      </c>
      <c r="Q124" s="189">
        <f t="shared" si="106"/>
        <v>0</v>
      </c>
    </row>
    <row r="125" spans="3:17" ht="18.75" x14ac:dyDescent="0.3">
      <c r="C125" s="143">
        <f t="shared" si="101"/>
        <v>1</v>
      </c>
      <c r="D125" s="149" t="s">
        <v>120</v>
      </c>
      <c r="E125" s="38" t="s">
        <v>54</v>
      </c>
      <c r="F125" s="168">
        <f t="shared" si="104"/>
        <v>0</v>
      </c>
      <c r="G125" s="186">
        <f t="shared" si="104"/>
        <v>0</v>
      </c>
      <c r="H125" s="186">
        <f t="shared" si="104"/>
        <v>0</v>
      </c>
      <c r="I125" s="186">
        <f t="shared" si="104"/>
        <v>0</v>
      </c>
      <c r="J125" s="186">
        <f t="shared" si="104"/>
        <v>0</v>
      </c>
      <c r="K125" s="186">
        <f t="shared" ref="K125:P125" si="108">K10*$E$118</f>
        <v>0</v>
      </c>
      <c r="L125" s="186">
        <f t="shared" si="108"/>
        <v>0</v>
      </c>
      <c r="M125" s="186">
        <f t="shared" si="108"/>
        <v>0</v>
      </c>
      <c r="N125" s="186">
        <f t="shared" si="108"/>
        <v>0</v>
      </c>
      <c r="O125" s="186">
        <f t="shared" si="108"/>
        <v>0</v>
      </c>
      <c r="P125" s="186">
        <f t="shared" si="108"/>
        <v>0</v>
      </c>
      <c r="Q125" s="189">
        <f t="shared" si="106"/>
        <v>0</v>
      </c>
    </row>
    <row r="126" spans="3:17" ht="18.75" x14ac:dyDescent="0.3">
      <c r="C126" s="143">
        <f t="shared" si="101"/>
        <v>1</v>
      </c>
      <c r="D126" s="149" t="s">
        <v>121</v>
      </c>
      <c r="E126" s="38" t="s">
        <v>53</v>
      </c>
      <c r="F126" s="168">
        <f t="shared" si="104"/>
        <v>0</v>
      </c>
      <c r="G126" s="186">
        <f t="shared" si="104"/>
        <v>0</v>
      </c>
      <c r="H126" s="186">
        <f t="shared" si="104"/>
        <v>0</v>
      </c>
      <c r="I126" s="186">
        <f t="shared" si="104"/>
        <v>0</v>
      </c>
      <c r="J126" s="186">
        <f t="shared" si="104"/>
        <v>0</v>
      </c>
      <c r="K126" s="186">
        <f t="shared" ref="K126:P126" si="109">K11*$E$118</f>
        <v>0</v>
      </c>
      <c r="L126" s="186">
        <f t="shared" si="109"/>
        <v>0</v>
      </c>
      <c r="M126" s="186">
        <f t="shared" si="109"/>
        <v>0</v>
      </c>
      <c r="N126" s="186">
        <f t="shared" si="109"/>
        <v>0</v>
      </c>
      <c r="O126" s="186">
        <f t="shared" si="109"/>
        <v>0</v>
      </c>
      <c r="P126" s="186">
        <f t="shared" si="109"/>
        <v>0</v>
      </c>
      <c r="Q126" s="189">
        <f t="shared" si="106"/>
        <v>0</v>
      </c>
    </row>
    <row r="127" spans="3:17" ht="18.75" x14ac:dyDescent="0.3">
      <c r="C127" s="143">
        <f t="shared" si="101"/>
        <v>1</v>
      </c>
      <c r="D127" s="149" t="s">
        <v>122</v>
      </c>
      <c r="E127" s="38" t="s">
        <v>52</v>
      </c>
      <c r="F127" s="168">
        <f t="shared" si="104"/>
        <v>0</v>
      </c>
      <c r="G127" s="186">
        <f t="shared" si="104"/>
        <v>0</v>
      </c>
      <c r="H127" s="186">
        <f t="shared" si="104"/>
        <v>0</v>
      </c>
      <c r="I127" s="186">
        <f t="shared" si="104"/>
        <v>0</v>
      </c>
      <c r="J127" s="186">
        <f t="shared" si="104"/>
        <v>0</v>
      </c>
      <c r="K127" s="186">
        <f t="shared" ref="K127:P127" si="110">K12*$E$118</f>
        <v>0</v>
      </c>
      <c r="L127" s="186">
        <f t="shared" si="110"/>
        <v>0</v>
      </c>
      <c r="M127" s="186">
        <f t="shared" si="110"/>
        <v>0</v>
      </c>
      <c r="N127" s="186">
        <f t="shared" si="110"/>
        <v>0</v>
      </c>
      <c r="O127" s="186">
        <f t="shared" si="110"/>
        <v>0</v>
      </c>
      <c r="P127" s="186">
        <f t="shared" si="110"/>
        <v>0</v>
      </c>
      <c r="Q127" s="189">
        <f t="shared" si="106"/>
        <v>0</v>
      </c>
    </row>
    <row r="128" spans="3:17" ht="18.75" x14ac:dyDescent="0.3">
      <c r="C128" s="143">
        <f t="shared" si="101"/>
        <v>1</v>
      </c>
      <c r="D128" s="149" t="s">
        <v>123</v>
      </c>
      <c r="E128" s="38" t="s">
        <v>51</v>
      </c>
      <c r="F128" s="168">
        <f t="shared" si="104"/>
        <v>0</v>
      </c>
      <c r="G128" s="186">
        <f t="shared" si="104"/>
        <v>0</v>
      </c>
      <c r="H128" s="186">
        <f t="shared" si="104"/>
        <v>0</v>
      </c>
      <c r="I128" s="186">
        <f t="shared" si="104"/>
        <v>0</v>
      </c>
      <c r="J128" s="186">
        <f t="shared" si="104"/>
        <v>0</v>
      </c>
      <c r="K128" s="186">
        <f t="shared" ref="K128:P128" si="111">K13*$E$118</f>
        <v>0</v>
      </c>
      <c r="L128" s="186">
        <f t="shared" si="111"/>
        <v>0</v>
      </c>
      <c r="M128" s="186">
        <f t="shared" si="111"/>
        <v>0</v>
      </c>
      <c r="N128" s="186">
        <f t="shared" si="111"/>
        <v>0</v>
      </c>
      <c r="O128" s="186">
        <f t="shared" si="111"/>
        <v>0</v>
      </c>
      <c r="P128" s="186">
        <f t="shared" si="111"/>
        <v>0</v>
      </c>
      <c r="Q128" s="189">
        <f t="shared" si="106"/>
        <v>0</v>
      </c>
    </row>
    <row r="129" spans="3:17" ht="19.5" thickBot="1" x14ac:dyDescent="0.35">
      <c r="C129" s="143">
        <f t="shared" si="101"/>
        <v>1</v>
      </c>
      <c r="D129" s="149" t="s">
        <v>16</v>
      </c>
      <c r="E129" s="37" t="s">
        <v>50</v>
      </c>
      <c r="F129" s="168">
        <f t="shared" si="104"/>
        <v>0.56601802044840199</v>
      </c>
      <c r="G129" s="186">
        <f t="shared" si="104"/>
        <v>1021.5511340546296</v>
      </c>
      <c r="H129" s="186">
        <f t="shared" si="104"/>
        <v>19.905553511453231</v>
      </c>
      <c r="I129" s="186">
        <f t="shared" si="104"/>
        <v>0</v>
      </c>
      <c r="J129" s="186">
        <f t="shared" si="104"/>
        <v>0</v>
      </c>
      <c r="K129" s="186">
        <f t="shared" ref="K129:P129" si="112">K14*$E$118</f>
        <v>71.330055957770369</v>
      </c>
      <c r="L129" s="186">
        <f t="shared" si="112"/>
        <v>0</v>
      </c>
      <c r="M129" s="186">
        <f t="shared" si="112"/>
        <v>3.8285340490989306E-2</v>
      </c>
      <c r="N129" s="186">
        <f t="shared" si="112"/>
        <v>0</v>
      </c>
      <c r="O129" s="186">
        <f t="shared" si="112"/>
        <v>0</v>
      </c>
      <c r="P129" s="186">
        <f t="shared" si="112"/>
        <v>64.49245366833172</v>
      </c>
      <c r="Q129" s="189">
        <f t="shared" si="106"/>
        <v>1177.317482532676</v>
      </c>
    </row>
    <row r="130" spans="3:17" ht="19.5" thickBot="1" x14ac:dyDescent="0.3">
      <c r="C130" s="143">
        <f t="shared" si="101"/>
        <v>1</v>
      </c>
      <c r="D130" s="148" t="s">
        <v>124</v>
      </c>
      <c r="E130" s="147" t="s">
        <v>49</v>
      </c>
      <c r="F130" s="169">
        <f>SUBTOTAL(9,F121:F129)</f>
        <v>9.0779523015780832</v>
      </c>
      <c r="G130" s="170">
        <f t="shared" ref="G130:Q130" si="113">SUBTOTAL(9,G121:G129)</f>
        <v>18070.30374674443</v>
      </c>
      <c r="H130" s="170">
        <f t="shared" si="113"/>
        <v>276.92647200511641</v>
      </c>
      <c r="I130" s="170">
        <f t="shared" si="113"/>
        <v>0</v>
      </c>
      <c r="J130" s="170">
        <f t="shared" si="113"/>
        <v>327.53539973352872</v>
      </c>
      <c r="K130" s="170">
        <f t="shared" ref="K130:P130" si="114">SUBTOTAL(9,K121:K129)</f>
        <v>127.70630082087374</v>
      </c>
      <c r="L130" s="170">
        <f t="shared" si="114"/>
        <v>15.138128969639178</v>
      </c>
      <c r="M130" s="170">
        <f t="shared" si="114"/>
        <v>3.8285340490989306E-2</v>
      </c>
      <c r="N130" s="170">
        <f t="shared" si="114"/>
        <v>0</v>
      </c>
      <c r="O130" s="170">
        <f t="shared" si="114"/>
        <v>0</v>
      </c>
      <c r="P130" s="170">
        <f t="shared" si="114"/>
        <v>64.49245366833172</v>
      </c>
      <c r="Q130" s="170">
        <f t="shared" si="113"/>
        <v>18882.140787282413</v>
      </c>
    </row>
    <row r="131" spans="3:17" ht="15.75" hidden="1" thickBot="1" x14ac:dyDescent="0.3"/>
    <row r="132" spans="3:17" ht="45" x14ac:dyDescent="0.25">
      <c r="C132" s="143">
        <f>IF(E132&gt;0,1,0)</f>
        <v>1</v>
      </c>
      <c r="D132" s="163" t="str">
        <f>A12</f>
        <v>Chenango</v>
      </c>
      <c r="E132" s="166">
        <f>+SUMIF(A:A,D132,B:B)</f>
        <v>2.3404746812160262E-3</v>
      </c>
      <c r="F132" s="509" t="s">
        <v>97</v>
      </c>
      <c r="G132" s="509" t="s">
        <v>126</v>
      </c>
      <c r="H132" s="509" t="s">
        <v>127</v>
      </c>
      <c r="I132" s="508" t="s">
        <v>128</v>
      </c>
      <c r="J132" s="508" t="s">
        <v>487</v>
      </c>
      <c r="K132" s="508" t="s">
        <v>474</v>
      </c>
      <c r="L132" s="508" t="s">
        <v>475</v>
      </c>
      <c r="M132" s="508" t="s">
        <v>476</v>
      </c>
      <c r="N132" s="508" t="s">
        <v>477</v>
      </c>
      <c r="O132" s="508" t="s">
        <v>478</v>
      </c>
      <c r="P132" s="508" t="s">
        <v>479</v>
      </c>
      <c r="Q132" s="508" t="s">
        <v>129</v>
      </c>
    </row>
    <row r="133" spans="3:17" ht="18.75" x14ac:dyDescent="0.25">
      <c r="C133" s="143">
        <f>C132</f>
        <v>1</v>
      </c>
      <c r="D133" s="160"/>
      <c r="E133" s="159"/>
      <c r="F133" s="49" t="s">
        <v>57</v>
      </c>
      <c r="G133" s="49" t="s">
        <v>56</v>
      </c>
      <c r="H133" s="49" t="s">
        <v>55</v>
      </c>
      <c r="I133" s="49" t="s">
        <v>54</v>
      </c>
      <c r="J133" s="58" t="s">
        <v>53</v>
      </c>
      <c r="K133" s="49" t="s">
        <v>52</v>
      </c>
      <c r="L133" s="49" t="s">
        <v>51</v>
      </c>
      <c r="M133" s="49" t="s">
        <v>50</v>
      </c>
      <c r="N133" s="49" t="s">
        <v>49</v>
      </c>
      <c r="O133" s="49" t="s">
        <v>47</v>
      </c>
      <c r="P133" s="49" t="s">
        <v>77</v>
      </c>
      <c r="Q133" s="573" t="s">
        <v>78</v>
      </c>
    </row>
    <row r="134" spans="3:17" ht="18.75" x14ac:dyDescent="0.25">
      <c r="C134" s="143">
        <f>C133</f>
        <v>1</v>
      </c>
      <c r="D134" s="158" t="s">
        <v>26</v>
      </c>
      <c r="E134" s="157"/>
      <c r="F134" s="156"/>
      <c r="G134" s="156"/>
      <c r="H134" s="156"/>
      <c r="I134" s="155"/>
      <c r="J134" s="154"/>
      <c r="K134" s="154"/>
      <c r="L134" s="154"/>
      <c r="M134" s="154"/>
      <c r="N134" s="154"/>
      <c r="O134" s="154"/>
      <c r="P134" s="154"/>
      <c r="Q134" s="153"/>
    </row>
    <row r="135" spans="3:17" ht="18.75" x14ac:dyDescent="0.25">
      <c r="C135" s="143">
        <f t="shared" ref="C135:C144" si="115">C134</f>
        <v>1</v>
      </c>
      <c r="D135" s="152" t="s">
        <v>133</v>
      </c>
      <c r="E135" s="38" t="s">
        <v>57</v>
      </c>
      <c r="F135" s="168">
        <f>F6*$E$132</f>
        <v>4.3767285109103522</v>
      </c>
      <c r="G135" s="186">
        <f t="shared" ref="G135:J135" si="116">G6*$E$132</f>
        <v>8766.2520845395593</v>
      </c>
      <c r="H135" s="186">
        <f t="shared" si="116"/>
        <v>132.15689227834196</v>
      </c>
      <c r="I135" s="186">
        <f t="shared" si="116"/>
        <v>0</v>
      </c>
      <c r="J135" s="186">
        <f t="shared" si="116"/>
        <v>168.4145430403745</v>
      </c>
      <c r="K135" s="186">
        <f t="shared" ref="K135:P135" si="117">K6*$E$132</f>
        <v>28.987949164201094</v>
      </c>
      <c r="L135" s="186">
        <f t="shared" si="117"/>
        <v>7.7838336710541993</v>
      </c>
      <c r="M135" s="186">
        <f t="shared" si="117"/>
        <v>0</v>
      </c>
      <c r="N135" s="186">
        <f t="shared" si="117"/>
        <v>0</v>
      </c>
      <c r="O135" s="186">
        <f t="shared" si="117"/>
        <v>0</v>
      </c>
      <c r="P135" s="186">
        <f t="shared" si="117"/>
        <v>0</v>
      </c>
      <c r="Q135" s="189">
        <f>SUM(G135:P135)</f>
        <v>9103.5953026935313</v>
      </c>
    </row>
    <row r="136" spans="3:17" ht="18.75" x14ac:dyDescent="0.25">
      <c r="C136" s="143">
        <f t="shared" si="115"/>
        <v>1</v>
      </c>
      <c r="D136" s="150" t="s">
        <v>31</v>
      </c>
      <c r="E136" s="38"/>
      <c r="F136" s="167"/>
      <c r="G136" s="185"/>
      <c r="H136" s="185"/>
      <c r="I136" s="187"/>
      <c r="J136" s="188"/>
      <c r="K136" s="188"/>
      <c r="L136" s="188"/>
      <c r="M136" s="188"/>
      <c r="N136" s="188"/>
      <c r="O136" s="188"/>
      <c r="P136" s="188"/>
      <c r="Q136" s="171"/>
    </row>
    <row r="137" spans="3:17" ht="18.75" x14ac:dyDescent="0.3">
      <c r="C137" s="143">
        <f t="shared" si="115"/>
        <v>1</v>
      </c>
      <c r="D137" s="149" t="s">
        <v>118</v>
      </c>
      <c r="E137" s="38" t="s">
        <v>56</v>
      </c>
      <c r="F137" s="168">
        <f t="shared" ref="F137:J143" si="118">F8*$E$132</f>
        <v>0</v>
      </c>
      <c r="G137" s="186">
        <f t="shared" si="118"/>
        <v>0</v>
      </c>
      <c r="H137" s="186">
        <f t="shared" si="118"/>
        <v>0</v>
      </c>
      <c r="I137" s="186">
        <f t="shared" si="118"/>
        <v>0</v>
      </c>
      <c r="J137" s="186">
        <f t="shared" si="118"/>
        <v>0</v>
      </c>
      <c r="K137" s="186">
        <f t="shared" ref="K137:P137" si="119">K8*$E$132</f>
        <v>0</v>
      </c>
      <c r="L137" s="186">
        <f t="shared" si="119"/>
        <v>0</v>
      </c>
      <c r="M137" s="186">
        <f t="shared" si="119"/>
        <v>0</v>
      </c>
      <c r="N137" s="186">
        <f t="shared" si="119"/>
        <v>0</v>
      </c>
      <c r="O137" s="186">
        <f t="shared" si="119"/>
        <v>0</v>
      </c>
      <c r="P137" s="186">
        <f t="shared" si="119"/>
        <v>0</v>
      </c>
      <c r="Q137" s="189">
        <f t="shared" ref="Q137:Q143" si="120">SUM(G137:P137)</f>
        <v>0</v>
      </c>
    </row>
    <row r="138" spans="3:17" ht="18.75" x14ac:dyDescent="0.3">
      <c r="C138" s="143">
        <f t="shared" si="115"/>
        <v>1</v>
      </c>
      <c r="D138" s="149" t="s">
        <v>119</v>
      </c>
      <c r="E138" s="38" t="s">
        <v>55</v>
      </c>
      <c r="F138" s="168">
        <f t="shared" si="118"/>
        <v>0</v>
      </c>
      <c r="G138" s="186">
        <f t="shared" si="118"/>
        <v>0</v>
      </c>
      <c r="H138" s="186">
        <f t="shared" si="118"/>
        <v>0</v>
      </c>
      <c r="I138" s="186">
        <f t="shared" si="118"/>
        <v>0</v>
      </c>
      <c r="J138" s="186">
        <f t="shared" si="118"/>
        <v>0</v>
      </c>
      <c r="K138" s="186">
        <f t="shared" ref="K138:P138" si="121">K9*$E$132</f>
        <v>0</v>
      </c>
      <c r="L138" s="186">
        <f t="shared" si="121"/>
        <v>0</v>
      </c>
      <c r="M138" s="186">
        <f t="shared" si="121"/>
        <v>0</v>
      </c>
      <c r="N138" s="186">
        <f t="shared" si="121"/>
        <v>0</v>
      </c>
      <c r="O138" s="186">
        <f t="shared" si="121"/>
        <v>0</v>
      </c>
      <c r="P138" s="186">
        <f t="shared" si="121"/>
        <v>0</v>
      </c>
      <c r="Q138" s="189">
        <f t="shared" si="120"/>
        <v>0</v>
      </c>
    </row>
    <row r="139" spans="3:17" ht="18.75" x14ac:dyDescent="0.3">
      <c r="C139" s="143">
        <f t="shared" si="115"/>
        <v>1</v>
      </c>
      <c r="D139" s="149" t="s">
        <v>120</v>
      </c>
      <c r="E139" s="38" t="s">
        <v>54</v>
      </c>
      <c r="F139" s="168">
        <f t="shared" si="118"/>
        <v>0</v>
      </c>
      <c r="G139" s="186">
        <f t="shared" si="118"/>
        <v>0</v>
      </c>
      <c r="H139" s="186">
        <f t="shared" si="118"/>
        <v>0</v>
      </c>
      <c r="I139" s="186">
        <f t="shared" si="118"/>
        <v>0</v>
      </c>
      <c r="J139" s="186">
        <f t="shared" si="118"/>
        <v>0</v>
      </c>
      <c r="K139" s="186">
        <f t="shared" ref="K139:P139" si="122">K10*$E$132</f>
        <v>0</v>
      </c>
      <c r="L139" s="186">
        <f t="shared" si="122"/>
        <v>0</v>
      </c>
      <c r="M139" s="186">
        <f t="shared" si="122"/>
        <v>0</v>
      </c>
      <c r="N139" s="186">
        <f t="shared" si="122"/>
        <v>0</v>
      </c>
      <c r="O139" s="186">
        <f t="shared" si="122"/>
        <v>0</v>
      </c>
      <c r="P139" s="186">
        <f t="shared" si="122"/>
        <v>0</v>
      </c>
      <c r="Q139" s="189">
        <f t="shared" si="120"/>
        <v>0</v>
      </c>
    </row>
    <row r="140" spans="3:17" ht="18.75" x14ac:dyDescent="0.3">
      <c r="C140" s="143">
        <f t="shared" si="115"/>
        <v>1</v>
      </c>
      <c r="D140" s="149" t="s">
        <v>121</v>
      </c>
      <c r="E140" s="38" t="s">
        <v>53</v>
      </c>
      <c r="F140" s="168">
        <f t="shared" si="118"/>
        <v>0</v>
      </c>
      <c r="G140" s="186">
        <f t="shared" si="118"/>
        <v>0</v>
      </c>
      <c r="H140" s="186">
        <f t="shared" si="118"/>
        <v>0</v>
      </c>
      <c r="I140" s="186">
        <f t="shared" si="118"/>
        <v>0</v>
      </c>
      <c r="J140" s="186">
        <f t="shared" si="118"/>
        <v>0</v>
      </c>
      <c r="K140" s="186">
        <f t="shared" ref="K140:P140" si="123">K11*$E$132</f>
        <v>0</v>
      </c>
      <c r="L140" s="186">
        <f t="shared" si="123"/>
        <v>0</v>
      </c>
      <c r="M140" s="186">
        <f t="shared" si="123"/>
        <v>0</v>
      </c>
      <c r="N140" s="186">
        <f t="shared" si="123"/>
        <v>0</v>
      </c>
      <c r="O140" s="186">
        <f t="shared" si="123"/>
        <v>0</v>
      </c>
      <c r="P140" s="186">
        <f t="shared" si="123"/>
        <v>0</v>
      </c>
      <c r="Q140" s="189">
        <f t="shared" si="120"/>
        <v>0</v>
      </c>
    </row>
    <row r="141" spans="3:17" ht="18.75" x14ac:dyDescent="0.3">
      <c r="C141" s="143">
        <f t="shared" si="115"/>
        <v>1</v>
      </c>
      <c r="D141" s="149" t="s">
        <v>122</v>
      </c>
      <c r="E141" s="38" t="s">
        <v>52</v>
      </c>
      <c r="F141" s="168">
        <f t="shared" si="118"/>
        <v>0</v>
      </c>
      <c r="G141" s="186">
        <f t="shared" si="118"/>
        <v>0</v>
      </c>
      <c r="H141" s="186">
        <f t="shared" si="118"/>
        <v>0</v>
      </c>
      <c r="I141" s="186">
        <f t="shared" si="118"/>
        <v>0</v>
      </c>
      <c r="J141" s="186">
        <f t="shared" si="118"/>
        <v>0</v>
      </c>
      <c r="K141" s="186">
        <f t="shared" ref="K141:P141" si="124">K12*$E$132</f>
        <v>0</v>
      </c>
      <c r="L141" s="186">
        <f t="shared" si="124"/>
        <v>0</v>
      </c>
      <c r="M141" s="186">
        <f t="shared" si="124"/>
        <v>0</v>
      </c>
      <c r="N141" s="186">
        <f t="shared" si="124"/>
        <v>0</v>
      </c>
      <c r="O141" s="186">
        <f t="shared" si="124"/>
        <v>0</v>
      </c>
      <c r="P141" s="186">
        <f t="shared" si="124"/>
        <v>0</v>
      </c>
      <c r="Q141" s="189">
        <f t="shared" si="120"/>
        <v>0</v>
      </c>
    </row>
    <row r="142" spans="3:17" ht="18.75" x14ac:dyDescent="0.3">
      <c r="C142" s="143">
        <f t="shared" si="115"/>
        <v>1</v>
      </c>
      <c r="D142" s="149" t="s">
        <v>123</v>
      </c>
      <c r="E142" s="38" t="s">
        <v>51</v>
      </c>
      <c r="F142" s="168">
        <f t="shared" si="118"/>
        <v>0</v>
      </c>
      <c r="G142" s="186">
        <f t="shared" si="118"/>
        <v>0</v>
      </c>
      <c r="H142" s="186">
        <f t="shared" si="118"/>
        <v>0</v>
      </c>
      <c r="I142" s="186">
        <f t="shared" si="118"/>
        <v>0</v>
      </c>
      <c r="J142" s="186">
        <f t="shared" si="118"/>
        <v>0</v>
      </c>
      <c r="K142" s="186">
        <f t="shared" ref="K142:P142" si="125">K13*$E$132</f>
        <v>0</v>
      </c>
      <c r="L142" s="186">
        <f t="shared" si="125"/>
        <v>0</v>
      </c>
      <c r="M142" s="186">
        <f t="shared" si="125"/>
        <v>0</v>
      </c>
      <c r="N142" s="186">
        <f t="shared" si="125"/>
        <v>0</v>
      </c>
      <c r="O142" s="186">
        <f t="shared" si="125"/>
        <v>0</v>
      </c>
      <c r="P142" s="186">
        <f t="shared" si="125"/>
        <v>0</v>
      </c>
      <c r="Q142" s="189">
        <f t="shared" si="120"/>
        <v>0</v>
      </c>
    </row>
    <row r="143" spans="3:17" ht="19.5" thickBot="1" x14ac:dyDescent="0.35">
      <c r="C143" s="143">
        <f t="shared" si="115"/>
        <v>1</v>
      </c>
      <c r="D143" s="149" t="s">
        <v>16</v>
      </c>
      <c r="E143" s="37" t="s">
        <v>50</v>
      </c>
      <c r="F143" s="168">
        <f t="shared" si="118"/>
        <v>0.29103927802609603</v>
      </c>
      <c r="G143" s="186">
        <f t="shared" si="118"/>
        <v>525.2686200458204</v>
      </c>
      <c r="H143" s="186">
        <f t="shared" si="118"/>
        <v>10.2351828270303</v>
      </c>
      <c r="I143" s="186">
        <f t="shared" si="118"/>
        <v>0</v>
      </c>
      <c r="J143" s="186">
        <f t="shared" si="118"/>
        <v>0</v>
      </c>
      <c r="K143" s="186">
        <f t="shared" ref="K143:P143" si="126">K14*$E$132</f>
        <v>36.677008924670766</v>
      </c>
      <c r="L143" s="186">
        <f t="shared" si="126"/>
        <v>0</v>
      </c>
      <c r="M143" s="186">
        <f t="shared" si="126"/>
        <v>1.9685835879666203E-2</v>
      </c>
      <c r="N143" s="186">
        <f t="shared" si="126"/>
        <v>0</v>
      </c>
      <c r="O143" s="186">
        <f t="shared" si="126"/>
        <v>0</v>
      </c>
      <c r="P143" s="186">
        <f t="shared" si="126"/>
        <v>33.161200660878542</v>
      </c>
      <c r="Q143" s="189">
        <f t="shared" si="120"/>
        <v>605.36169829427956</v>
      </c>
    </row>
    <row r="144" spans="3:17" ht="19.5" thickBot="1" x14ac:dyDescent="0.3">
      <c r="C144" s="143">
        <f t="shared" si="115"/>
        <v>1</v>
      </c>
      <c r="D144" s="148" t="s">
        <v>124</v>
      </c>
      <c r="E144" s="147" t="s">
        <v>49</v>
      </c>
      <c r="F144" s="169">
        <f>SUBTOTAL(9,F135:F143)</f>
        <v>4.6677677889364482</v>
      </c>
      <c r="G144" s="170">
        <f t="shared" ref="G144:Q144" si="127">SUBTOTAL(9,G135:G143)</f>
        <v>9291.5207045853804</v>
      </c>
      <c r="H144" s="170">
        <f t="shared" si="127"/>
        <v>142.39207510537227</v>
      </c>
      <c r="I144" s="170">
        <f t="shared" si="127"/>
        <v>0</v>
      </c>
      <c r="J144" s="170">
        <f t="shared" si="127"/>
        <v>168.4145430403745</v>
      </c>
      <c r="K144" s="170">
        <f t="shared" ref="K144:P144" si="128">SUBTOTAL(9,K135:K143)</f>
        <v>65.664958088871856</v>
      </c>
      <c r="L144" s="170">
        <f t="shared" si="128"/>
        <v>7.7838336710541993</v>
      </c>
      <c r="M144" s="170">
        <f t="shared" si="128"/>
        <v>1.9685835879666203E-2</v>
      </c>
      <c r="N144" s="170">
        <f t="shared" si="128"/>
        <v>0</v>
      </c>
      <c r="O144" s="170">
        <f t="shared" si="128"/>
        <v>0</v>
      </c>
      <c r="P144" s="170">
        <f t="shared" si="128"/>
        <v>33.161200660878542</v>
      </c>
      <c r="Q144" s="170">
        <f t="shared" si="127"/>
        <v>9708.9570009878116</v>
      </c>
    </row>
    <row r="145" spans="3:17" ht="15.75" hidden="1" thickBot="1" x14ac:dyDescent="0.3"/>
    <row r="146" spans="3:17" ht="45" x14ac:dyDescent="0.25">
      <c r="C146" s="143">
        <f>IF(E146&gt;0,1,0)</f>
        <v>1</v>
      </c>
      <c r="D146" s="163" t="str">
        <f>A13</f>
        <v>Clinton</v>
      </c>
      <c r="E146" s="166">
        <f>+SUMIF(A:A,D146,B:B)</f>
        <v>1.9496030722264293E-3</v>
      </c>
      <c r="F146" s="509" t="s">
        <v>97</v>
      </c>
      <c r="G146" s="509" t="s">
        <v>126</v>
      </c>
      <c r="H146" s="509" t="s">
        <v>127</v>
      </c>
      <c r="I146" s="508" t="s">
        <v>128</v>
      </c>
      <c r="J146" s="508" t="s">
        <v>487</v>
      </c>
      <c r="K146" s="508" t="s">
        <v>474</v>
      </c>
      <c r="L146" s="508" t="s">
        <v>475</v>
      </c>
      <c r="M146" s="508" t="s">
        <v>476</v>
      </c>
      <c r="N146" s="508" t="s">
        <v>477</v>
      </c>
      <c r="O146" s="508" t="s">
        <v>478</v>
      </c>
      <c r="P146" s="508" t="s">
        <v>479</v>
      </c>
      <c r="Q146" s="508" t="s">
        <v>129</v>
      </c>
    </row>
    <row r="147" spans="3:17" ht="18.75" x14ac:dyDescent="0.25">
      <c r="C147" s="143">
        <f>C146</f>
        <v>1</v>
      </c>
      <c r="D147" s="160"/>
      <c r="E147" s="159"/>
      <c r="F147" s="49" t="s">
        <v>57</v>
      </c>
      <c r="G147" s="49" t="s">
        <v>56</v>
      </c>
      <c r="H147" s="49" t="s">
        <v>55</v>
      </c>
      <c r="I147" s="49" t="s">
        <v>54</v>
      </c>
      <c r="J147" s="58" t="s">
        <v>53</v>
      </c>
      <c r="K147" s="49" t="s">
        <v>52</v>
      </c>
      <c r="L147" s="49" t="s">
        <v>51</v>
      </c>
      <c r="M147" s="49" t="s">
        <v>50</v>
      </c>
      <c r="N147" s="49" t="s">
        <v>49</v>
      </c>
      <c r="O147" s="49" t="s">
        <v>47</v>
      </c>
      <c r="P147" s="49" t="s">
        <v>77</v>
      </c>
      <c r="Q147" s="573" t="s">
        <v>78</v>
      </c>
    </row>
    <row r="148" spans="3:17" ht="18.75" x14ac:dyDescent="0.25">
      <c r="C148" s="143">
        <f>C147</f>
        <v>1</v>
      </c>
      <c r="D148" s="158" t="s">
        <v>26</v>
      </c>
      <c r="E148" s="157"/>
      <c r="F148" s="156"/>
      <c r="G148" s="156"/>
      <c r="H148" s="156"/>
      <c r="I148" s="155"/>
      <c r="J148" s="154"/>
      <c r="K148" s="154"/>
      <c r="L148" s="154"/>
      <c r="M148" s="154"/>
      <c r="N148" s="154"/>
      <c r="O148" s="154"/>
      <c r="P148" s="154"/>
      <c r="Q148" s="153"/>
    </row>
    <row r="149" spans="3:17" ht="18.75" x14ac:dyDescent="0.25">
      <c r="C149" s="143">
        <f t="shared" ref="C149:C158" si="129">C148</f>
        <v>1</v>
      </c>
      <c r="D149" s="152" t="s">
        <v>133</v>
      </c>
      <c r="E149" s="38" t="s">
        <v>57</v>
      </c>
      <c r="F149" s="168">
        <f>F6*$E$146</f>
        <v>3.6457917787593619</v>
      </c>
      <c r="G149" s="186">
        <f t="shared" ref="G149:J149" si="130">G6*$E$146</f>
        <v>7302.2417773175603</v>
      </c>
      <c r="H149" s="186">
        <f t="shared" si="130"/>
        <v>110.08599463587672</v>
      </c>
      <c r="I149" s="186">
        <f t="shared" si="130"/>
        <v>0</v>
      </c>
      <c r="J149" s="186">
        <f t="shared" si="130"/>
        <v>140.28842659751822</v>
      </c>
      <c r="K149" s="186">
        <f t="shared" ref="K149:P149" si="131">K6*$E$146</f>
        <v>24.146808851060442</v>
      </c>
      <c r="L149" s="186">
        <f t="shared" si="131"/>
        <v>6.4838924174570476</v>
      </c>
      <c r="M149" s="186">
        <f t="shared" si="131"/>
        <v>0</v>
      </c>
      <c r="N149" s="186">
        <f t="shared" si="131"/>
        <v>0</v>
      </c>
      <c r="O149" s="186">
        <f t="shared" si="131"/>
        <v>0</v>
      </c>
      <c r="P149" s="186">
        <f t="shared" si="131"/>
        <v>0</v>
      </c>
      <c r="Q149" s="189">
        <f>SUM(G149:P149)</f>
        <v>7583.2468998194727</v>
      </c>
    </row>
    <row r="150" spans="3:17" ht="18.75" x14ac:dyDescent="0.25">
      <c r="C150" s="143">
        <f t="shared" si="129"/>
        <v>1</v>
      </c>
      <c r="D150" s="150" t="s">
        <v>31</v>
      </c>
      <c r="E150" s="38"/>
      <c r="F150" s="167"/>
      <c r="G150" s="185"/>
      <c r="H150" s="185"/>
      <c r="I150" s="187"/>
      <c r="J150" s="188"/>
      <c r="K150" s="188"/>
      <c r="L150" s="188"/>
      <c r="M150" s="188"/>
      <c r="N150" s="188"/>
      <c r="O150" s="188"/>
      <c r="P150" s="188"/>
      <c r="Q150" s="171"/>
    </row>
    <row r="151" spans="3:17" ht="18.75" x14ac:dyDescent="0.3">
      <c r="C151" s="143">
        <f t="shared" si="129"/>
        <v>1</v>
      </c>
      <c r="D151" s="149" t="s">
        <v>118</v>
      </c>
      <c r="E151" s="38" t="s">
        <v>56</v>
      </c>
      <c r="F151" s="168">
        <f t="shared" ref="F151:J157" si="132">F8*$E$146</f>
        <v>0</v>
      </c>
      <c r="G151" s="186">
        <f t="shared" si="132"/>
        <v>0</v>
      </c>
      <c r="H151" s="186">
        <f t="shared" si="132"/>
        <v>0</v>
      </c>
      <c r="I151" s="186">
        <f t="shared" si="132"/>
        <v>0</v>
      </c>
      <c r="J151" s="186">
        <f t="shared" si="132"/>
        <v>0</v>
      </c>
      <c r="K151" s="186">
        <f t="shared" ref="K151:P151" si="133">K8*$E$146</f>
        <v>0</v>
      </c>
      <c r="L151" s="186">
        <f t="shared" si="133"/>
        <v>0</v>
      </c>
      <c r="M151" s="186">
        <f t="shared" si="133"/>
        <v>0</v>
      </c>
      <c r="N151" s="186">
        <f t="shared" si="133"/>
        <v>0</v>
      </c>
      <c r="O151" s="186">
        <f t="shared" si="133"/>
        <v>0</v>
      </c>
      <c r="P151" s="186">
        <f t="shared" si="133"/>
        <v>0</v>
      </c>
      <c r="Q151" s="189">
        <f t="shared" ref="Q151:Q157" si="134">SUM(G151:P151)</f>
        <v>0</v>
      </c>
    </row>
    <row r="152" spans="3:17" ht="18.75" x14ac:dyDescent="0.3">
      <c r="C152" s="143">
        <f t="shared" si="129"/>
        <v>1</v>
      </c>
      <c r="D152" s="149" t="s">
        <v>119</v>
      </c>
      <c r="E152" s="38" t="s">
        <v>55</v>
      </c>
      <c r="F152" s="168">
        <f t="shared" si="132"/>
        <v>0</v>
      </c>
      <c r="G152" s="186">
        <f t="shared" si="132"/>
        <v>0</v>
      </c>
      <c r="H152" s="186">
        <f t="shared" si="132"/>
        <v>0</v>
      </c>
      <c r="I152" s="186">
        <f t="shared" si="132"/>
        <v>0</v>
      </c>
      <c r="J152" s="186">
        <f t="shared" si="132"/>
        <v>0</v>
      </c>
      <c r="K152" s="186">
        <f t="shared" ref="K152:P152" si="135">K9*$E$146</f>
        <v>0</v>
      </c>
      <c r="L152" s="186">
        <f t="shared" si="135"/>
        <v>0</v>
      </c>
      <c r="M152" s="186">
        <f t="shared" si="135"/>
        <v>0</v>
      </c>
      <c r="N152" s="186">
        <f t="shared" si="135"/>
        <v>0</v>
      </c>
      <c r="O152" s="186">
        <f t="shared" si="135"/>
        <v>0</v>
      </c>
      <c r="P152" s="186">
        <f t="shared" si="135"/>
        <v>0</v>
      </c>
      <c r="Q152" s="189">
        <f t="shared" si="134"/>
        <v>0</v>
      </c>
    </row>
    <row r="153" spans="3:17" ht="18.75" x14ac:dyDescent="0.3">
      <c r="C153" s="143">
        <f t="shared" si="129"/>
        <v>1</v>
      </c>
      <c r="D153" s="149" t="s">
        <v>120</v>
      </c>
      <c r="E153" s="38" t="s">
        <v>54</v>
      </c>
      <c r="F153" s="168">
        <f t="shared" si="132"/>
        <v>0</v>
      </c>
      <c r="G153" s="186">
        <f t="shared" si="132"/>
        <v>0</v>
      </c>
      <c r="H153" s="186">
        <f t="shared" si="132"/>
        <v>0</v>
      </c>
      <c r="I153" s="186">
        <f t="shared" si="132"/>
        <v>0</v>
      </c>
      <c r="J153" s="186">
        <f t="shared" si="132"/>
        <v>0</v>
      </c>
      <c r="K153" s="186">
        <f t="shared" ref="K153:P153" si="136">K10*$E$146</f>
        <v>0</v>
      </c>
      <c r="L153" s="186">
        <f t="shared" si="136"/>
        <v>0</v>
      </c>
      <c r="M153" s="186">
        <f t="shared" si="136"/>
        <v>0</v>
      </c>
      <c r="N153" s="186">
        <f t="shared" si="136"/>
        <v>0</v>
      </c>
      <c r="O153" s="186">
        <f t="shared" si="136"/>
        <v>0</v>
      </c>
      <c r="P153" s="186">
        <f t="shared" si="136"/>
        <v>0</v>
      </c>
      <c r="Q153" s="189">
        <f t="shared" si="134"/>
        <v>0</v>
      </c>
    </row>
    <row r="154" spans="3:17" ht="18.75" x14ac:dyDescent="0.3">
      <c r="C154" s="143">
        <f t="shared" si="129"/>
        <v>1</v>
      </c>
      <c r="D154" s="149" t="s">
        <v>121</v>
      </c>
      <c r="E154" s="38" t="s">
        <v>53</v>
      </c>
      <c r="F154" s="168">
        <f t="shared" si="132"/>
        <v>0</v>
      </c>
      <c r="G154" s="186">
        <f t="shared" si="132"/>
        <v>0</v>
      </c>
      <c r="H154" s="186">
        <f t="shared" si="132"/>
        <v>0</v>
      </c>
      <c r="I154" s="186">
        <f t="shared" si="132"/>
        <v>0</v>
      </c>
      <c r="J154" s="186">
        <f t="shared" si="132"/>
        <v>0</v>
      </c>
      <c r="K154" s="186">
        <f t="shared" ref="K154:P154" si="137">K11*$E$146</f>
        <v>0</v>
      </c>
      <c r="L154" s="186">
        <f t="shared" si="137"/>
        <v>0</v>
      </c>
      <c r="M154" s="186">
        <f t="shared" si="137"/>
        <v>0</v>
      </c>
      <c r="N154" s="186">
        <f t="shared" si="137"/>
        <v>0</v>
      </c>
      <c r="O154" s="186">
        <f t="shared" si="137"/>
        <v>0</v>
      </c>
      <c r="P154" s="186">
        <f t="shared" si="137"/>
        <v>0</v>
      </c>
      <c r="Q154" s="189">
        <f t="shared" si="134"/>
        <v>0</v>
      </c>
    </row>
    <row r="155" spans="3:17" ht="18.75" x14ac:dyDescent="0.3">
      <c r="C155" s="143">
        <f t="shared" si="129"/>
        <v>1</v>
      </c>
      <c r="D155" s="149" t="s">
        <v>122</v>
      </c>
      <c r="E155" s="38" t="s">
        <v>52</v>
      </c>
      <c r="F155" s="168">
        <f t="shared" si="132"/>
        <v>0</v>
      </c>
      <c r="G155" s="186">
        <f t="shared" si="132"/>
        <v>0</v>
      </c>
      <c r="H155" s="186">
        <f t="shared" si="132"/>
        <v>0</v>
      </c>
      <c r="I155" s="186">
        <f t="shared" si="132"/>
        <v>0</v>
      </c>
      <c r="J155" s="186">
        <f t="shared" si="132"/>
        <v>0</v>
      </c>
      <c r="K155" s="186">
        <f t="shared" ref="K155:P155" si="138">K12*$E$146</f>
        <v>0</v>
      </c>
      <c r="L155" s="186">
        <f t="shared" si="138"/>
        <v>0</v>
      </c>
      <c r="M155" s="186">
        <f t="shared" si="138"/>
        <v>0</v>
      </c>
      <c r="N155" s="186">
        <f t="shared" si="138"/>
        <v>0</v>
      </c>
      <c r="O155" s="186">
        <f t="shared" si="138"/>
        <v>0</v>
      </c>
      <c r="P155" s="186">
        <f t="shared" si="138"/>
        <v>0</v>
      </c>
      <c r="Q155" s="189">
        <f t="shared" si="134"/>
        <v>0</v>
      </c>
    </row>
    <row r="156" spans="3:17" ht="18.75" x14ac:dyDescent="0.3">
      <c r="C156" s="143">
        <f t="shared" si="129"/>
        <v>1</v>
      </c>
      <c r="D156" s="149" t="s">
        <v>123</v>
      </c>
      <c r="E156" s="38" t="s">
        <v>51</v>
      </c>
      <c r="F156" s="168">
        <f t="shared" si="132"/>
        <v>0</v>
      </c>
      <c r="G156" s="186">
        <f t="shared" si="132"/>
        <v>0</v>
      </c>
      <c r="H156" s="186">
        <f t="shared" si="132"/>
        <v>0</v>
      </c>
      <c r="I156" s="186">
        <f t="shared" si="132"/>
        <v>0</v>
      </c>
      <c r="J156" s="186">
        <f t="shared" si="132"/>
        <v>0</v>
      </c>
      <c r="K156" s="186">
        <f t="shared" ref="K156:P156" si="139">K13*$E$146</f>
        <v>0</v>
      </c>
      <c r="L156" s="186">
        <f t="shared" si="139"/>
        <v>0</v>
      </c>
      <c r="M156" s="186">
        <f t="shared" si="139"/>
        <v>0</v>
      </c>
      <c r="N156" s="186">
        <f t="shared" si="139"/>
        <v>0</v>
      </c>
      <c r="O156" s="186">
        <f t="shared" si="139"/>
        <v>0</v>
      </c>
      <c r="P156" s="186">
        <f t="shared" si="139"/>
        <v>0</v>
      </c>
      <c r="Q156" s="189">
        <f t="shared" si="134"/>
        <v>0</v>
      </c>
    </row>
    <row r="157" spans="3:17" ht="19.5" thickBot="1" x14ac:dyDescent="0.35">
      <c r="C157" s="143">
        <f t="shared" si="129"/>
        <v>1</v>
      </c>
      <c r="D157" s="149" t="s">
        <v>16</v>
      </c>
      <c r="E157" s="37" t="s">
        <v>50</v>
      </c>
      <c r="F157" s="168">
        <f t="shared" si="132"/>
        <v>0.24243418445502363</v>
      </c>
      <c r="G157" s="186">
        <f t="shared" si="132"/>
        <v>437.54599167609928</v>
      </c>
      <c r="H157" s="186">
        <f t="shared" si="132"/>
        <v>8.5258533427115744</v>
      </c>
      <c r="I157" s="186">
        <f t="shared" si="132"/>
        <v>0</v>
      </c>
      <c r="J157" s="186">
        <f t="shared" si="132"/>
        <v>0</v>
      </c>
      <c r="K157" s="186">
        <f t="shared" ref="K157:P157" si="140">K14*$E$146</f>
        <v>30.551755100577527</v>
      </c>
      <c r="L157" s="186">
        <f t="shared" si="140"/>
        <v>0</v>
      </c>
      <c r="M157" s="186">
        <f t="shared" si="140"/>
        <v>1.6398197518804974E-2</v>
      </c>
      <c r="N157" s="186">
        <f t="shared" si="140"/>
        <v>0</v>
      </c>
      <c r="O157" s="186">
        <f t="shared" si="140"/>
        <v>0</v>
      </c>
      <c r="P157" s="186">
        <f t="shared" si="140"/>
        <v>27.623105349541948</v>
      </c>
      <c r="Q157" s="189">
        <f t="shared" si="134"/>
        <v>504.26310366644913</v>
      </c>
    </row>
    <row r="158" spans="3:17" ht="19.5" thickBot="1" x14ac:dyDescent="0.3">
      <c r="C158" s="143">
        <f t="shared" si="129"/>
        <v>1</v>
      </c>
      <c r="D158" s="148" t="s">
        <v>124</v>
      </c>
      <c r="E158" s="147" t="s">
        <v>49</v>
      </c>
      <c r="F158" s="169">
        <f>SUBTOTAL(9,F149:F157)</f>
        <v>3.8882259632143854</v>
      </c>
      <c r="G158" s="170">
        <f t="shared" ref="G158:Q172" si="141">SUBTOTAL(9,G149:G157)</f>
        <v>7739.7877689936595</v>
      </c>
      <c r="H158" s="170">
        <f t="shared" si="141"/>
        <v>118.61184797858829</v>
      </c>
      <c r="I158" s="170">
        <f t="shared" si="141"/>
        <v>0</v>
      </c>
      <c r="J158" s="170">
        <f t="shared" si="141"/>
        <v>140.28842659751822</v>
      </c>
      <c r="K158" s="170">
        <f t="shared" ref="K158:P158" si="142">SUBTOTAL(9,K149:K157)</f>
        <v>54.698563951637965</v>
      </c>
      <c r="L158" s="170">
        <f t="shared" si="142"/>
        <v>6.4838924174570476</v>
      </c>
      <c r="M158" s="170">
        <f t="shared" si="142"/>
        <v>1.6398197518804974E-2</v>
      </c>
      <c r="N158" s="170">
        <f t="shared" si="142"/>
        <v>0</v>
      </c>
      <c r="O158" s="170">
        <f t="shared" si="142"/>
        <v>0</v>
      </c>
      <c r="P158" s="170">
        <f t="shared" si="142"/>
        <v>27.623105349541948</v>
      </c>
      <c r="Q158" s="170">
        <f t="shared" si="141"/>
        <v>8087.5100034859215</v>
      </c>
    </row>
    <row r="159" spans="3:17" ht="15.75" hidden="1" thickBot="1" x14ac:dyDescent="0.3"/>
    <row r="160" spans="3:17" ht="45" x14ac:dyDescent="0.25">
      <c r="C160" s="143">
        <f>IF(E160&gt;0,1,0)</f>
        <v>1</v>
      </c>
      <c r="D160" s="163" t="str">
        <f>A14</f>
        <v>Columbia</v>
      </c>
      <c r="E160" s="166">
        <f>+SUMIF(A:A,D160,B:B)</f>
        <v>5.0344880099186158E-4</v>
      </c>
      <c r="F160" s="509" t="s">
        <v>97</v>
      </c>
      <c r="G160" s="509" t="s">
        <v>126</v>
      </c>
      <c r="H160" s="509" t="s">
        <v>127</v>
      </c>
      <c r="I160" s="508" t="s">
        <v>128</v>
      </c>
      <c r="J160" s="508" t="s">
        <v>487</v>
      </c>
      <c r="K160" s="508" t="s">
        <v>474</v>
      </c>
      <c r="L160" s="508" t="s">
        <v>475</v>
      </c>
      <c r="M160" s="508" t="s">
        <v>476</v>
      </c>
      <c r="N160" s="508" t="s">
        <v>477</v>
      </c>
      <c r="O160" s="508" t="s">
        <v>478</v>
      </c>
      <c r="P160" s="508" t="s">
        <v>479</v>
      </c>
      <c r="Q160" s="508" t="s">
        <v>129</v>
      </c>
    </row>
    <row r="161" spans="3:17" ht="18.75" x14ac:dyDescent="0.25">
      <c r="C161" s="143">
        <f>C160</f>
        <v>1</v>
      </c>
      <c r="D161" s="160"/>
      <c r="E161" s="159"/>
      <c r="F161" s="49" t="s">
        <v>57</v>
      </c>
      <c r="G161" s="49" t="s">
        <v>56</v>
      </c>
      <c r="H161" s="49" t="s">
        <v>55</v>
      </c>
      <c r="I161" s="49" t="s">
        <v>54</v>
      </c>
      <c r="J161" s="58" t="s">
        <v>53</v>
      </c>
      <c r="K161" s="49" t="s">
        <v>52</v>
      </c>
      <c r="L161" s="49" t="s">
        <v>51</v>
      </c>
      <c r="M161" s="49" t="s">
        <v>50</v>
      </c>
      <c r="N161" s="49" t="s">
        <v>49</v>
      </c>
      <c r="O161" s="49" t="s">
        <v>47</v>
      </c>
      <c r="P161" s="49" t="s">
        <v>77</v>
      </c>
      <c r="Q161" s="573" t="s">
        <v>78</v>
      </c>
    </row>
    <row r="162" spans="3:17" ht="18.75" x14ac:dyDescent="0.25">
      <c r="C162" s="143">
        <f>C161</f>
        <v>1</v>
      </c>
      <c r="D162" s="158" t="s">
        <v>26</v>
      </c>
      <c r="E162" s="157"/>
      <c r="F162" s="156"/>
      <c r="G162" s="156"/>
      <c r="H162" s="156"/>
      <c r="I162" s="155"/>
      <c r="J162" s="154"/>
      <c r="K162" s="154"/>
      <c r="L162" s="154"/>
      <c r="M162" s="154"/>
      <c r="N162" s="154"/>
      <c r="O162" s="154"/>
      <c r="P162" s="154"/>
      <c r="Q162" s="153"/>
    </row>
    <row r="163" spans="3:17" ht="18.75" x14ac:dyDescent="0.25">
      <c r="C163" s="143">
        <f t="shared" ref="C163:C172" si="143">C162</f>
        <v>1</v>
      </c>
      <c r="D163" s="152" t="s">
        <v>133</v>
      </c>
      <c r="E163" s="38" t="s">
        <v>57</v>
      </c>
      <c r="F163" s="168">
        <f>F6*$E$160</f>
        <v>0.94145804642495623</v>
      </c>
      <c r="G163" s="186">
        <f t="shared" ref="G163:J163" si="144">G6*$E$160</f>
        <v>1885.6683802538835</v>
      </c>
      <c r="H163" s="186">
        <f t="shared" si="144"/>
        <v>28.427664479486307</v>
      </c>
      <c r="I163" s="186">
        <f t="shared" si="144"/>
        <v>0</v>
      </c>
      <c r="J163" s="186">
        <f t="shared" si="144"/>
        <v>36.22688185595581</v>
      </c>
      <c r="K163" s="186">
        <f t="shared" ref="K163:P163" si="145">K6*$E$160</f>
        <v>6.2354651246847013</v>
      </c>
      <c r="L163" s="186">
        <f t="shared" si="145"/>
        <v>1.6743448498986837</v>
      </c>
      <c r="M163" s="186">
        <f t="shared" si="145"/>
        <v>0</v>
      </c>
      <c r="N163" s="186">
        <f t="shared" si="145"/>
        <v>0</v>
      </c>
      <c r="O163" s="186">
        <f t="shared" si="145"/>
        <v>0</v>
      </c>
      <c r="P163" s="186">
        <f t="shared" si="145"/>
        <v>0</v>
      </c>
      <c r="Q163" s="189">
        <f>SUM(G163:P163)</f>
        <v>1958.2327365639089</v>
      </c>
    </row>
    <row r="164" spans="3:17" ht="18.75" x14ac:dyDescent="0.25">
      <c r="C164" s="143">
        <f t="shared" si="143"/>
        <v>1</v>
      </c>
      <c r="D164" s="150" t="s">
        <v>31</v>
      </c>
      <c r="E164" s="38"/>
      <c r="F164" s="167"/>
      <c r="G164" s="185"/>
      <c r="H164" s="185"/>
      <c r="I164" s="187"/>
      <c r="J164" s="188"/>
      <c r="K164" s="188"/>
      <c r="L164" s="188"/>
      <c r="M164" s="188"/>
      <c r="N164" s="188"/>
      <c r="O164" s="188"/>
      <c r="P164" s="188"/>
      <c r="Q164" s="171"/>
    </row>
    <row r="165" spans="3:17" ht="18.75" x14ac:dyDescent="0.3">
      <c r="C165" s="143">
        <f t="shared" si="143"/>
        <v>1</v>
      </c>
      <c r="D165" s="149" t="s">
        <v>118</v>
      </c>
      <c r="E165" s="38" t="s">
        <v>56</v>
      </c>
      <c r="F165" s="168">
        <f t="shared" ref="F165:J171" si="146">F8*$E$160</f>
        <v>0</v>
      </c>
      <c r="G165" s="186">
        <f t="shared" si="146"/>
        <v>0</v>
      </c>
      <c r="H165" s="186">
        <f t="shared" si="146"/>
        <v>0</v>
      </c>
      <c r="I165" s="186">
        <f t="shared" si="146"/>
        <v>0</v>
      </c>
      <c r="J165" s="186">
        <f t="shared" si="146"/>
        <v>0</v>
      </c>
      <c r="K165" s="186">
        <f t="shared" ref="K165:P165" si="147">K8*$E$160</f>
        <v>0</v>
      </c>
      <c r="L165" s="186">
        <f t="shared" si="147"/>
        <v>0</v>
      </c>
      <c r="M165" s="186">
        <f t="shared" si="147"/>
        <v>0</v>
      </c>
      <c r="N165" s="186">
        <f t="shared" si="147"/>
        <v>0</v>
      </c>
      <c r="O165" s="186">
        <f t="shared" si="147"/>
        <v>0</v>
      </c>
      <c r="P165" s="186">
        <f t="shared" si="147"/>
        <v>0</v>
      </c>
      <c r="Q165" s="189">
        <f t="shared" ref="Q165:Q171" si="148">SUM(G165:P165)</f>
        <v>0</v>
      </c>
    </row>
    <row r="166" spans="3:17" ht="18.75" x14ac:dyDescent="0.3">
      <c r="C166" s="143">
        <f t="shared" si="143"/>
        <v>1</v>
      </c>
      <c r="D166" s="149" t="s">
        <v>119</v>
      </c>
      <c r="E166" s="38" t="s">
        <v>55</v>
      </c>
      <c r="F166" s="168">
        <f t="shared" si="146"/>
        <v>0</v>
      </c>
      <c r="G166" s="186">
        <f t="shared" si="146"/>
        <v>0</v>
      </c>
      <c r="H166" s="186">
        <f t="shared" si="146"/>
        <v>0</v>
      </c>
      <c r="I166" s="186">
        <f t="shared" si="146"/>
        <v>0</v>
      </c>
      <c r="J166" s="186">
        <f t="shared" si="146"/>
        <v>0</v>
      </c>
      <c r="K166" s="186">
        <f t="shared" ref="K166:P166" si="149">K9*$E$160</f>
        <v>0</v>
      </c>
      <c r="L166" s="186">
        <f t="shared" si="149"/>
        <v>0</v>
      </c>
      <c r="M166" s="186">
        <f t="shared" si="149"/>
        <v>0</v>
      </c>
      <c r="N166" s="186">
        <f t="shared" si="149"/>
        <v>0</v>
      </c>
      <c r="O166" s="186">
        <f t="shared" si="149"/>
        <v>0</v>
      </c>
      <c r="P166" s="186">
        <f t="shared" si="149"/>
        <v>0</v>
      </c>
      <c r="Q166" s="189">
        <f t="shared" si="148"/>
        <v>0</v>
      </c>
    </row>
    <row r="167" spans="3:17" ht="18.75" x14ac:dyDescent="0.3">
      <c r="C167" s="143">
        <f t="shared" si="143"/>
        <v>1</v>
      </c>
      <c r="D167" s="149" t="s">
        <v>120</v>
      </c>
      <c r="E167" s="38" t="s">
        <v>54</v>
      </c>
      <c r="F167" s="168">
        <f t="shared" si="146"/>
        <v>0</v>
      </c>
      <c r="G167" s="186">
        <f t="shared" si="146"/>
        <v>0</v>
      </c>
      <c r="H167" s="186">
        <f t="shared" si="146"/>
        <v>0</v>
      </c>
      <c r="I167" s="186">
        <f t="shared" si="146"/>
        <v>0</v>
      </c>
      <c r="J167" s="186">
        <f t="shared" si="146"/>
        <v>0</v>
      </c>
      <c r="K167" s="186">
        <f t="shared" ref="K167:P167" si="150">K10*$E$160</f>
        <v>0</v>
      </c>
      <c r="L167" s="186">
        <f t="shared" si="150"/>
        <v>0</v>
      </c>
      <c r="M167" s="186">
        <f t="shared" si="150"/>
        <v>0</v>
      </c>
      <c r="N167" s="186">
        <f t="shared" si="150"/>
        <v>0</v>
      </c>
      <c r="O167" s="186">
        <f t="shared" si="150"/>
        <v>0</v>
      </c>
      <c r="P167" s="186">
        <f t="shared" si="150"/>
        <v>0</v>
      </c>
      <c r="Q167" s="189">
        <f t="shared" si="148"/>
        <v>0</v>
      </c>
    </row>
    <row r="168" spans="3:17" ht="18.75" x14ac:dyDescent="0.3">
      <c r="C168" s="143">
        <f t="shared" si="143"/>
        <v>1</v>
      </c>
      <c r="D168" s="149" t="s">
        <v>121</v>
      </c>
      <c r="E168" s="38" t="s">
        <v>53</v>
      </c>
      <c r="F168" s="168">
        <f t="shared" si="146"/>
        <v>0</v>
      </c>
      <c r="G168" s="186">
        <f t="shared" si="146"/>
        <v>0</v>
      </c>
      <c r="H168" s="186">
        <f t="shared" si="146"/>
        <v>0</v>
      </c>
      <c r="I168" s="186">
        <f t="shared" si="146"/>
        <v>0</v>
      </c>
      <c r="J168" s="186">
        <f t="shared" si="146"/>
        <v>0</v>
      </c>
      <c r="K168" s="186">
        <f t="shared" ref="K168:P168" si="151">K11*$E$160</f>
        <v>0</v>
      </c>
      <c r="L168" s="186">
        <f t="shared" si="151"/>
        <v>0</v>
      </c>
      <c r="M168" s="186">
        <f t="shared" si="151"/>
        <v>0</v>
      </c>
      <c r="N168" s="186">
        <f t="shared" si="151"/>
        <v>0</v>
      </c>
      <c r="O168" s="186">
        <f t="shared" si="151"/>
        <v>0</v>
      </c>
      <c r="P168" s="186">
        <f t="shared" si="151"/>
        <v>0</v>
      </c>
      <c r="Q168" s="189">
        <f t="shared" si="148"/>
        <v>0</v>
      </c>
    </row>
    <row r="169" spans="3:17" ht="18.75" x14ac:dyDescent="0.3">
      <c r="C169" s="143">
        <f t="shared" si="143"/>
        <v>1</v>
      </c>
      <c r="D169" s="149" t="s">
        <v>122</v>
      </c>
      <c r="E169" s="38" t="s">
        <v>52</v>
      </c>
      <c r="F169" s="168">
        <f t="shared" si="146"/>
        <v>0</v>
      </c>
      <c r="G169" s="186">
        <f t="shared" si="146"/>
        <v>0</v>
      </c>
      <c r="H169" s="186">
        <f t="shared" si="146"/>
        <v>0</v>
      </c>
      <c r="I169" s="186">
        <f t="shared" si="146"/>
        <v>0</v>
      </c>
      <c r="J169" s="186">
        <f t="shared" si="146"/>
        <v>0</v>
      </c>
      <c r="K169" s="186">
        <f t="shared" ref="K169:P169" si="152">K12*$E$160</f>
        <v>0</v>
      </c>
      <c r="L169" s="186">
        <f t="shared" si="152"/>
        <v>0</v>
      </c>
      <c r="M169" s="186">
        <f t="shared" si="152"/>
        <v>0</v>
      </c>
      <c r="N169" s="186">
        <f t="shared" si="152"/>
        <v>0</v>
      </c>
      <c r="O169" s="186">
        <f t="shared" si="152"/>
        <v>0</v>
      </c>
      <c r="P169" s="186">
        <f t="shared" si="152"/>
        <v>0</v>
      </c>
      <c r="Q169" s="189">
        <f t="shared" si="148"/>
        <v>0</v>
      </c>
    </row>
    <row r="170" spans="3:17" ht="18.75" x14ac:dyDescent="0.3">
      <c r="C170" s="143">
        <f t="shared" si="143"/>
        <v>1</v>
      </c>
      <c r="D170" s="149" t="s">
        <v>123</v>
      </c>
      <c r="E170" s="38" t="s">
        <v>51</v>
      </c>
      <c r="F170" s="168">
        <f t="shared" si="146"/>
        <v>0</v>
      </c>
      <c r="G170" s="186">
        <f t="shared" si="146"/>
        <v>0</v>
      </c>
      <c r="H170" s="186">
        <f t="shared" si="146"/>
        <v>0</v>
      </c>
      <c r="I170" s="186">
        <f t="shared" si="146"/>
        <v>0</v>
      </c>
      <c r="J170" s="186">
        <f t="shared" si="146"/>
        <v>0</v>
      </c>
      <c r="K170" s="186">
        <f t="shared" ref="K170:P170" si="153">K13*$E$160</f>
        <v>0</v>
      </c>
      <c r="L170" s="186">
        <f t="shared" si="153"/>
        <v>0</v>
      </c>
      <c r="M170" s="186">
        <f t="shared" si="153"/>
        <v>0</v>
      </c>
      <c r="N170" s="186">
        <f t="shared" si="153"/>
        <v>0</v>
      </c>
      <c r="O170" s="186">
        <f t="shared" si="153"/>
        <v>0</v>
      </c>
      <c r="P170" s="186">
        <f t="shared" si="153"/>
        <v>0</v>
      </c>
      <c r="Q170" s="189">
        <f t="shared" si="148"/>
        <v>0</v>
      </c>
    </row>
    <row r="171" spans="3:17" ht="19.5" thickBot="1" x14ac:dyDescent="0.35">
      <c r="C171" s="143">
        <f t="shared" si="143"/>
        <v>1</v>
      </c>
      <c r="D171" s="149" t="s">
        <v>16</v>
      </c>
      <c r="E171" s="37" t="s">
        <v>50</v>
      </c>
      <c r="F171" s="168">
        <f t="shared" si="146"/>
        <v>6.2604127589898487E-2</v>
      </c>
      <c r="G171" s="186">
        <f t="shared" si="146"/>
        <v>112.98812975123555</v>
      </c>
      <c r="H171" s="186">
        <f t="shared" si="146"/>
        <v>2.2016433519048539</v>
      </c>
      <c r="I171" s="186">
        <f t="shared" si="146"/>
        <v>0</v>
      </c>
      <c r="J171" s="186">
        <f t="shared" si="146"/>
        <v>0</v>
      </c>
      <c r="K171" s="186">
        <f t="shared" ref="K171:P171" si="154">K14*$E$160</f>
        <v>7.8894235922687086</v>
      </c>
      <c r="L171" s="186">
        <f t="shared" si="154"/>
        <v>0</v>
      </c>
      <c r="M171" s="186">
        <f t="shared" si="154"/>
        <v>4.2345300932677549E-3</v>
      </c>
      <c r="N171" s="186">
        <f t="shared" si="154"/>
        <v>0</v>
      </c>
      <c r="O171" s="186">
        <f t="shared" si="154"/>
        <v>0</v>
      </c>
      <c r="P171" s="186">
        <f t="shared" si="154"/>
        <v>7.1331541614864751</v>
      </c>
      <c r="Q171" s="189">
        <f t="shared" si="148"/>
        <v>130.21658538698887</v>
      </c>
    </row>
    <row r="172" spans="3:17" ht="19.5" thickBot="1" x14ac:dyDescent="0.3">
      <c r="C172" s="143">
        <f t="shared" si="143"/>
        <v>1</v>
      </c>
      <c r="D172" s="148" t="s">
        <v>124</v>
      </c>
      <c r="E172" s="147" t="s">
        <v>49</v>
      </c>
      <c r="F172" s="169">
        <f>SUBTOTAL(9,F163:F171)</f>
        <v>1.0040621740148548</v>
      </c>
      <c r="G172" s="170">
        <f t="shared" ref="G172:J172" si="155">SUBTOTAL(9,G163:G171)</f>
        <v>1998.6565100051191</v>
      </c>
      <c r="H172" s="170">
        <f t="shared" si="155"/>
        <v>30.629307831391159</v>
      </c>
      <c r="I172" s="170">
        <f t="shared" si="155"/>
        <v>0</v>
      </c>
      <c r="J172" s="170">
        <f t="shared" si="155"/>
        <v>36.22688185595581</v>
      </c>
      <c r="K172" s="170">
        <f t="shared" ref="K172:P172" si="156">SUBTOTAL(9,K163:K171)</f>
        <v>14.124888716953411</v>
      </c>
      <c r="L172" s="170">
        <f t="shared" si="156"/>
        <v>1.6743448498986837</v>
      </c>
      <c r="M172" s="170">
        <f t="shared" si="156"/>
        <v>4.2345300932677549E-3</v>
      </c>
      <c r="N172" s="170">
        <f t="shared" si="156"/>
        <v>0</v>
      </c>
      <c r="O172" s="170">
        <f t="shared" si="156"/>
        <v>0</v>
      </c>
      <c r="P172" s="170">
        <f t="shared" si="156"/>
        <v>7.1331541614864751</v>
      </c>
      <c r="Q172" s="170">
        <f t="shared" si="141"/>
        <v>2088.4493219508977</v>
      </c>
    </row>
    <row r="173" spans="3:17" ht="15.75" hidden="1" thickBot="1" x14ac:dyDescent="0.3"/>
    <row r="174" spans="3:17" ht="45" x14ac:dyDescent="0.25">
      <c r="C174" s="143">
        <f>IF(E174&gt;0,1,0)</f>
        <v>1</v>
      </c>
      <c r="D174" s="163" t="str">
        <f>A15</f>
        <v>Cortland</v>
      </c>
      <c r="E174" s="166">
        <f>+SUMIF(A:A,D174,B:B)</f>
        <v>1.1321975588355585E-3</v>
      </c>
      <c r="F174" s="509" t="s">
        <v>97</v>
      </c>
      <c r="G174" s="509" t="s">
        <v>126</v>
      </c>
      <c r="H174" s="509" t="s">
        <v>127</v>
      </c>
      <c r="I174" s="508" t="s">
        <v>128</v>
      </c>
      <c r="J174" s="508" t="s">
        <v>487</v>
      </c>
      <c r="K174" s="508" t="s">
        <v>474</v>
      </c>
      <c r="L174" s="508" t="s">
        <v>475</v>
      </c>
      <c r="M174" s="508" t="s">
        <v>476</v>
      </c>
      <c r="N174" s="508" t="s">
        <v>477</v>
      </c>
      <c r="O174" s="508" t="s">
        <v>478</v>
      </c>
      <c r="P174" s="508" t="s">
        <v>479</v>
      </c>
      <c r="Q174" s="508" t="s">
        <v>129</v>
      </c>
    </row>
    <row r="175" spans="3:17" ht="18.75" x14ac:dyDescent="0.25">
      <c r="C175" s="143">
        <f>C174</f>
        <v>1</v>
      </c>
      <c r="D175" s="160"/>
      <c r="E175" s="159"/>
      <c r="F175" s="49" t="s">
        <v>57</v>
      </c>
      <c r="G175" s="49" t="s">
        <v>56</v>
      </c>
      <c r="H175" s="49" t="s">
        <v>55</v>
      </c>
      <c r="I175" s="49" t="s">
        <v>54</v>
      </c>
      <c r="J175" s="58" t="s">
        <v>53</v>
      </c>
      <c r="K175" s="49" t="s">
        <v>52</v>
      </c>
      <c r="L175" s="49" t="s">
        <v>51</v>
      </c>
      <c r="M175" s="49" t="s">
        <v>50</v>
      </c>
      <c r="N175" s="49" t="s">
        <v>49</v>
      </c>
      <c r="O175" s="49" t="s">
        <v>47</v>
      </c>
      <c r="P175" s="49" t="s">
        <v>77</v>
      </c>
      <c r="Q175" s="573" t="s">
        <v>78</v>
      </c>
    </row>
    <row r="176" spans="3:17" ht="18.75" x14ac:dyDescent="0.25">
      <c r="C176" s="143">
        <f>C175</f>
        <v>1</v>
      </c>
      <c r="D176" s="158" t="s">
        <v>26</v>
      </c>
      <c r="E176" s="157"/>
      <c r="F176" s="156"/>
      <c r="G176" s="156"/>
      <c r="H176" s="156"/>
      <c r="I176" s="155"/>
      <c r="J176" s="154"/>
      <c r="K176" s="154"/>
      <c r="L176" s="154"/>
      <c r="M176" s="154"/>
      <c r="N176" s="154"/>
      <c r="O176" s="154"/>
      <c r="P176" s="154"/>
      <c r="Q176" s="153"/>
    </row>
    <row r="177" spans="3:17" ht="18.75" x14ac:dyDescent="0.25">
      <c r="C177" s="143">
        <f t="shared" ref="C177:C186" si="157">C176</f>
        <v>1</v>
      </c>
      <c r="D177" s="152" t="s">
        <v>133</v>
      </c>
      <c r="E177" s="38" t="s">
        <v>57</v>
      </c>
      <c r="F177" s="168">
        <f>F6*$E$174</f>
        <v>2.1172291994904566</v>
      </c>
      <c r="G177" s="186">
        <f t="shared" ref="G177:J177" si="158">G6*$E$174</f>
        <v>4240.6479719302397</v>
      </c>
      <c r="H177" s="186">
        <f t="shared" si="158"/>
        <v>63.930497527574822</v>
      </c>
      <c r="I177" s="186">
        <f t="shared" si="158"/>
        <v>0</v>
      </c>
      <c r="J177" s="186">
        <f t="shared" si="158"/>
        <v>81.470026586080579</v>
      </c>
      <c r="K177" s="186">
        <f t="shared" ref="K177:P177" si="159">K6*$E$174</f>
        <v>14.02283286495781</v>
      </c>
      <c r="L177" s="186">
        <f t="shared" si="159"/>
        <v>3.7654060312973585</v>
      </c>
      <c r="M177" s="186">
        <f t="shared" si="159"/>
        <v>0</v>
      </c>
      <c r="N177" s="186">
        <f t="shared" si="159"/>
        <v>0</v>
      </c>
      <c r="O177" s="186">
        <f t="shared" si="159"/>
        <v>0</v>
      </c>
      <c r="P177" s="186">
        <f t="shared" si="159"/>
        <v>0</v>
      </c>
      <c r="Q177" s="189">
        <f>SUM(G177:P177)</f>
        <v>4403.8367349401497</v>
      </c>
    </row>
    <row r="178" spans="3:17" ht="18.75" x14ac:dyDescent="0.25">
      <c r="C178" s="143">
        <f t="shared" si="157"/>
        <v>1</v>
      </c>
      <c r="D178" s="150" t="s">
        <v>31</v>
      </c>
      <c r="E178" s="38"/>
      <c r="F178" s="167"/>
      <c r="G178" s="185"/>
      <c r="H178" s="185"/>
      <c r="I178" s="187"/>
      <c r="J178" s="188"/>
      <c r="K178" s="188"/>
      <c r="L178" s="188"/>
      <c r="M178" s="188"/>
      <c r="N178" s="188"/>
      <c r="O178" s="188"/>
      <c r="P178" s="188"/>
      <c r="Q178" s="171"/>
    </row>
    <row r="179" spans="3:17" ht="18.75" x14ac:dyDescent="0.3">
      <c r="C179" s="143">
        <f t="shared" si="157"/>
        <v>1</v>
      </c>
      <c r="D179" s="149" t="s">
        <v>118</v>
      </c>
      <c r="E179" s="38" t="s">
        <v>56</v>
      </c>
      <c r="F179" s="168">
        <f t="shared" ref="F179:J185" si="160">F8*$E$174</f>
        <v>0</v>
      </c>
      <c r="G179" s="186">
        <f t="shared" si="160"/>
        <v>0</v>
      </c>
      <c r="H179" s="186">
        <f t="shared" si="160"/>
        <v>0</v>
      </c>
      <c r="I179" s="186">
        <f t="shared" si="160"/>
        <v>0</v>
      </c>
      <c r="J179" s="186">
        <f t="shared" si="160"/>
        <v>0</v>
      </c>
      <c r="K179" s="186">
        <f t="shared" ref="K179:P179" si="161">K8*$E$174</f>
        <v>0</v>
      </c>
      <c r="L179" s="186">
        <f t="shared" si="161"/>
        <v>0</v>
      </c>
      <c r="M179" s="186">
        <f t="shared" si="161"/>
        <v>0</v>
      </c>
      <c r="N179" s="186">
        <f t="shared" si="161"/>
        <v>0</v>
      </c>
      <c r="O179" s="186">
        <f t="shared" si="161"/>
        <v>0</v>
      </c>
      <c r="P179" s="186">
        <f t="shared" si="161"/>
        <v>0</v>
      </c>
      <c r="Q179" s="189">
        <f t="shared" ref="Q179:Q185" si="162">SUM(G179:P179)</f>
        <v>0</v>
      </c>
    </row>
    <row r="180" spans="3:17" ht="18.75" x14ac:dyDescent="0.3">
      <c r="C180" s="143">
        <f t="shared" si="157"/>
        <v>1</v>
      </c>
      <c r="D180" s="149" t="s">
        <v>119</v>
      </c>
      <c r="E180" s="38" t="s">
        <v>55</v>
      </c>
      <c r="F180" s="168">
        <f t="shared" si="160"/>
        <v>0</v>
      </c>
      <c r="G180" s="186">
        <f t="shared" si="160"/>
        <v>0</v>
      </c>
      <c r="H180" s="186">
        <f t="shared" si="160"/>
        <v>0</v>
      </c>
      <c r="I180" s="186">
        <f t="shared" si="160"/>
        <v>0</v>
      </c>
      <c r="J180" s="186">
        <f t="shared" si="160"/>
        <v>0</v>
      </c>
      <c r="K180" s="186">
        <f t="shared" ref="K180:P180" si="163">K9*$E$174</f>
        <v>0</v>
      </c>
      <c r="L180" s="186">
        <f t="shared" si="163"/>
        <v>0</v>
      </c>
      <c r="M180" s="186">
        <f t="shared" si="163"/>
        <v>0</v>
      </c>
      <c r="N180" s="186">
        <f t="shared" si="163"/>
        <v>0</v>
      </c>
      <c r="O180" s="186">
        <f t="shared" si="163"/>
        <v>0</v>
      </c>
      <c r="P180" s="186">
        <f t="shared" si="163"/>
        <v>0</v>
      </c>
      <c r="Q180" s="189">
        <f t="shared" si="162"/>
        <v>0</v>
      </c>
    </row>
    <row r="181" spans="3:17" ht="18.75" x14ac:dyDescent="0.3">
      <c r="C181" s="143">
        <f t="shared" si="157"/>
        <v>1</v>
      </c>
      <c r="D181" s="149" t="s">
        <v>120</v>
      </c>
      <c r="E181" s="38" t="s">
        <v>54</v>
      </c>
      <c r="F181" s="168">
        <f t="shared" si="160"/>
        <v>0</v>
      </c>
      <c r="G181" s="186">
        <f t="shared" si="160"/>
        <v>0</v>
      </c>
      <c r="H181" s="186">
        <f t="shared" si="160"/>
        <v>0</v>
      </c>
      <c r="I181" s="186">
        <f t="shared" si="160"/>
        <v>0</v>
      </c>
      <c r="J181" s="186">
        <f t="shared" si="160"/>
        <v>0</v>
      </c>
      <c r="K181" s="186">
        <f t="shared" ref="K181:P181" si="164">K10*$E$174</f>
        <v>0</v>
      </c>
      <c r="L181" s="186">
        <f t="shared" si="164"/>
        <v>0</v>
      </c>
      <c r="M181" s="186">
        <f t="shared" si="164"/>
        <v>0</v>
      </c>
      <c r="N181" s="186">
        <f t="shared" si="164"/>
        <v>0</v>
      </c>
      <c r="O181" s="186">
        <f t="shared" si="164"/>
        <v>0</v>
      </c>
      <c r="P181" s="186">
        <f t="shared" si="164"/>
        <v>0</v>
      </c>
      <c r="Q181" s="189">
        <f t="shared" si="162"/>
        <v>0</v>
      </c>
    </row>
    <row r="182" spans="3:17" ht="18.75" x14ac:dyDescent="0.3">
      <c r="C182" s="143">
        <f t="shared" si="157"/>
        <v>1</v>
      </c>
      <c r="D182" s="149" t="s">
        <v>121</v>
      </c>
      <c r="E182" s="38" t="s">
        <v>53</v>
      </c>
      <c r="F182" s="168">
        <f t="shared" si="160"/>
        <v>0</v>
      </c>
      <c r="G182" s="186">
        <f t="shared" si="160"/>
        <v>0</v>
      </c>
      <c r="H182" s="186">
        <f t="shared" si="160"/>
        <v>0</v>
      </c>
      <c r="I182" s="186">
        <f t="shared" si="160"/>
        <v>0</v>
      </c>
      <c r="J182" s="186">
        <f t="shared" si="160"/>
        <v>0</v>
      </c>
      <c r="K182" s="186">
        <f t="shared" ref="K182:P182" si="165">K11*$E$174</f>
        <v>0</v>
      </c>
      <c r="L182" s="186">
        <f t="shared" si="165"/>
        <v>0</v>
      </c>
      <c r="M182" s="186">
        <f t="shared" si="165"/>
        <v>0</v>
      </c>
      <c r="N182" s="186">
        <f t="shared" si="165"/>
        <v>0</v>
      </c>
      <c r="O182" s="186">
        <f t="shared" si="165"/>
        <v>0</v>
      </c>
      <c r="P182" s="186">
        <f t="shared" si="165"/>
        <v>0</v>
      </c>
      <c r="Q182" s="189">
        <f t="shared" si="162"/>
        <v>0</v>
      </c>
    </row>
    <row r="183" spans="3:17" ht="18.75" x14ac:dyDescent="0.3">
      <c r="C183" s="143">
        <f t="shared" si="157"/>
        <v>1</v>
      </c>
      <c r="D183" s="149" t="s">
        <v>122</v>
      </c>
      <c r="E183" s="38" t="s">
        <v>52</v>
      </c>
      <c r="F183" s="168">
        <f t="shared" si="160"/>
        <v>0</v>
      </c>
      <c r="G183" s="186">
        <f t="shared" si="160"/>
        <v>0</v>
      </c>
      <c r="H183" s="186">
        <f t="shared" si="160"/>
        <v>0</v>
      </c>
      <c r="I183" s="186">
        <f t="shared" si="160"/>
        <v>0</v>
      </c>
      <c r="J183" s="186">
        <f t="shared" si="160"/>
        <v>0</v>
      </c>
      <c r="K183" s="186">
        <f t="shared" ref="K183:P183" si="166">K12*$E$174</f>
        <v>0</v>
      </c>
      <c r="L183" s="186">
        <f t="shared" si="166"/>
        <v>0</v>
      </c>
      <c r="M183" s="186">
        <f t="shared" si="166"/>
        <v>0</v>
      </c>
      <c r="N183" s="186">
        <f t="shared" si="166"/>
        <v>0</v>
      </c>
      <c r="O183" s="186">
        <f t="shared" si="166"/>
        <v>0</v>
      </c>
      <c r="P183" s="186">
        <f t="shared" si="166"/>
        <v>0</v>
      </c>
      <c r="Q183" s="189">
        <f t="shared" si="162"/>
        <v>0</v>
      </c>
    </row>
    <row r="184" spans="3:17" ht="18.75" x14ac:dyDescent="0.3">
      <c r="C184" s="143">
        <f t="shared" si="157"/>
        <v>1</v>
      </c>
      <c r="D184" s="149" t="s">
        <v>123</v>
      </c>
      <c r="E184" s="38" t="s">
        <v>51</v>
      </c>
      <c r="F184" s="168">
        <f t="shared" si="160"/>
        <v>0</v>
      </c>
      <c r="G184" s="186">
        <f t="shared" si="160"/>
        <v>0</v>
      </c>
      <c r="H184" s="186">
        <f t="shared" si="160"/>
        <v>0</v>
      </c>
      <c r="I184" s="186">
        <f t="shared" si="160"/>
        <v>0</v>
      </c>
      <c r="J184" s="186">
        <f t="shared" si="160"/>
        <v>0</v>
      </c>
      <c r="K184" s="186">
        <f t="shared" ref="K184:P184" si="167">K13*$E$174</f>
        <v>0</v>
      </c>
      <c r="L184" s="186">
        <f t="shared" si="167"/>
        <v>0</v>
      </c>
      <c r="M184" s="186">
        <f t="shared" si="167"/>
        <v>0</v>
      </c>
      <c r="N184" s="186">
        <f t="shared" si="167"/>
        <v>0</v>
      </c>
      <c r="O184" s="186">
        <f t="shared" si="167"/>
        <v>0</v>
      </c>
      <c r="P184" s="186">
        <f t="shared" si="167"/>
        <v>0</v>
      </c>
      <c r="Q184" s="189">
        <f t="shared" si="162"/>
        <v>0</v>
      </c>
    </row>
    <row r="185" spans="3:17" ht="19.5" thickBot="1" x14ac:dyDescent="0.35">
      <c r="C185" s="143">
        <f t="shared" si="157"/>
        <v>1</v>
      </c>
      <c r="D185" s="149" t="s">
        <v>16</v>
      </c>
      <c r="E185" s="37" t="s">
        <v>50</v>
      </c>
      <c r="F185" s="168">
        <f t="shared" si="160"/>
        <v>0.14078937181033968</v>
      </c>
      <c r="G185" s="186">
        <f t="shared" si="160"/>
        <v>254.09710864285515</v>
      </c>
      <c r="H185" s="186">
        <f t="shared" si="160"/>
        <v>4.9512387824586508</v>
      </c>
      <c r="I185" s="186">
        <f t="shared" si="160"/>
        <v>0</v>
      </c>
      <c r="J185" s="186">
        <f t="shared" si="160"/>
        <v>0</v>
      </c>
      <c r="K185" s="186">
        <f t="shared" ref="K185:P185" si="168">K14*$E$174</f>
        <v>17.742392303225863</v>
      </c>
      <c r="L185" s="186">
        <f t="shared" si="168"/>
        <v>0</v>
      </c>
      <c r="M185" s="186">
        <f t="shared" si="168"/>
        <v>9.5229636558235905E-3</v>
      </c>
      <c r="N185" s="186">
        <f t="shared" si="168"/>
        <v>0</v>
      </c>
      <c r="O185" s="186">
        <f t="shared" si="168"/>
        <v>0</v>
      </c>
      <c r="P185" s="186">
        <f t="shared" si="168"/>
        <v>16.041630673311001</v>
      </c>
      <c r="Q185" s="189">
        <f t="shared" si="162"/>
        <v>292.84189336550645</v>
      </c>
    </row>
    <row r="186" spans="3:17" ht="19.5" thickBot="1" x14ac:dyDescent="0.3">
      <c r="C186" s="143">
        <f t="shared" si="157"/>
        <v>1</v>
      </c>
      <c r="D186" s="148" t="s">
        <v>124</v>
      </c>
      <c r="E186" s="147" t="s">
        <v>49</v>
      </c>
      <c r="F186" s="169">
        <f>SUBTOTAL(9,F177:F185)</f>
        <v>2.2580185713007963</v>
      </c>
      <c r="G186" s="170">
        <f t="shared" ref="G186:Q200" si="169">SUBTOTAL(9,G177:G185)</f>
        <v>4494.745080573095</v>
      </c>
      <c r="H186" s="170">
        <f t="shared" si="169"/>
        <v>68.881736310033475</v>
      </c>
      <c r="I186" s="170">
        <f t="shared" si="169"/>
        <v>0</v>
      </c>
      <c r="J186" s="170">
        <f t="shared" si="169"/>
        <v>81.470026586080579</v>
      </c>
      <c r="K186" s="170">
        <f t="shared" ref="K186:P186" si="170">SUBTOTAL(9,K177:K185)</f>
        <v>31.765225168183672</v>
      </c>
      <c r="L186" s="170">
        <f t="shared" si="170"/>
        <v>3.7654060312973585</v>
      </c>
      <c r="M186" s="170">
        <f t="shared" si="170"/>
        <v>9.5229636558235905E-3</v>
      </c>
      <c r="N186" s="170">
        <f t="shared" si="170"/>
        <v>0</v>
      </c>
      <c r="O186" s="170">
        <f t="shared" si="170"/>
        <v>0</v>
      </c>
      <c r="P186" s="170">
        <f t="shared" si="170"/>
        <v>16.041630673311001</v>
      </c>
      <c r="Q186" s="170">
        <f t="shared" si="169"/>
        <v>4696.6786283056563</v>
      </c>
    </row>
    <row r="187" spans="3:17" ht="15.75" hidden="1" thickBot="1" x14ac:dyDescent="0.3"/>
    <row r="188" spans="3:17" ht="45" x14ac:dyDescent="0.25">
      <c r="C188" s="143">
        <f>IF(E188&gt;0,1,0)</f>
        <v>1</v>
      </c>
      <c r="D188" s="163" t="str">
        <f>A16</f>
        <v>Delaware</v>
      </c>
      <c r="E188" s="166">
        <f>+SUMIF(A:A,D188,B:B)</f>
        <v>1.0651138896287298E-3</v>
      </c>
      <c r="F188" s="509" t="s">
        <v>97</v>
      </c>
      <c r="G188" s="509" t="s">
        <v>126</v>
      </c>
      <c r="H188" s="509" t="s">
        <v>127</v>
      </c>
      <c r="I188" s="508" t="s">
        <v>128</v>
      </c>
      <c r="J188" s="508" t="s">
        <v>487</v>
      </c>
      <c r="K188" s="508" t="s">
        <v>474</v>
      </c>
      <c r="L188" s="508" t="s">
        <v>475</v>
      </c>
      <c r="M188" s="508" t="s">
        <v>476</v>
      </c>
      <c r="N188" s="508" t="s">
        <v>477</v>
      </c>
      <c r="O188" s="508" t="s">
        <v>478</v>
      </c>
      <c r="P188" s="508" t="s">
        <v>479</v>
      </c>
      <c r="Q188" s="508" t="s">
        <v>129</v>
      </c>
    </row>
    <row r="189" spans="3:17" ht="18.75" x14ac:dyDescent="0.25">
      <c r="C189" s="143">
        <f>C188</f>
        <v>1</v>
      </c>
      <c r="D189" s="160"/>
      <c r="E189" s="159"/>
      <c r="F189" s="49" t="s">
        <v>57</v>
      </c>
      <c r="G189" s="49" t="s">
        <v>56</v>
      </c>
      <c r="H189" s="49" t="s">
        <v>55</v>
      </c>
      <c r="I189" s="49" t="s">
        <v>54</v>
      </c>
      <c r="J189" s="58" t="s">
        <v>53</v>
      </c>
      <c r="K189" s="49" t="s">
        <v>52</v>
      </c>
      <c r="L189" s="49" t="s">
        <v>51</v>
      </c>
      <c r="M189" s="49" t="s">
        <v>50</v>
      </c>
      <c r="N189" s="49" t="s">
        <v>49</v>
      </c>
      <c r="O189" s="49" t="s">
        <v>47</v>
      </c>
      <c r="P189" s="49" t="s">
        <v>77</v>
      </c>
      <c r="Q189" s="573" t="s">
        <v>78</v>
      </c>
    </row>
    <row r="190" spans="3:17" ht="18.75" x14ac:dyDescent="0.25">
      <c r="C190" s="143">
        <f>C189</f>
        <v>1</v>
      </c>
      <c r="D190" s="158" t="s">
        <v>26</v>
      </c>
      <c r="E190" s="157"/>
      <c r="F190" s="156"/>
      <c r="G190" s="156"/>
      <c r="H190" s="156"/>
      <c r="I190" s="155"/>
      <c r="J190" s="154"/>
      <c r="K190" s="154"/>
      <c r="L190" s="154"/>
      <c r="M190" s="154"/>
      <c r="N190" s="154"/>
      <c r="O190" s="154"/>
      <c r="P190" s="154"/>
      <c r="Q190" s="153"/>
    </row>
    <row r="191" spans="3:17" ht="18.75" x14ac:dyDescent="0.25">
      <c r="C191" s="143">
        <f t="shared" ref="C191:C200" si="171">C190</f>
        <v>1</v>
      </c>
      <c r="D191" s="152" t="s">
        <v>133</v>
      </c>
      <c r="E191" s="38" t="s">
        <v>57</v>
      </c>
      <c r="F191" s="168">
        <f>F6*$E$188</f>
        <v>1.9917815670121348</v>
      </c>
      <c r="G191" s="186">
        <f t="shared" ref="G191:J191" si="172">G6*$E$188</f>
        <v>3989.385969507131</v>
      </c>
      <c r="H191" s="186">
        <f t="shared" si="172"/>
        <v>60.142561124692406</v>
      </c>
      <c r="I191" s="186">
        <f t="shared" si="172"/>
        <v>0</v>
      </c>
      <c r="J191" s="186">
        <f t="shared" si="172"/>
        <v>76.642858154987039</v>
      </c>
      <c r="K191" s="186">
        <f t="shared" ref="K191:P191" si="173">K6*$E$188</f>
        <v>13.191968079996633</v>
      </c>
      <c r="L191" s="186">
        <f t="shared" si="173"/>
        <v>3.5423025184327481</v>
      </c>
      <c r="M191" s="186">
        <f t="shared" si="173"/>
        <v>0</v>
      </c>
      <c r="N191" s="186">
        <f t="shared" si="173"/>
        <v>0</v>
      </c>
      <c r="O191" s="186">
        <f t="shared" si="173"/>
        <v>0</v>
      </c>
      <c r="P191" s="186">
        <f t="shared" si="173"/>
        <v>0</v>
      </c>
      <c r="Q191" s="189">
        <f>SUM(G191:P191)</f>
        <v>4142.9056593852392</v>
      </c>
    </row>
    <row r="192" spans="3:17" ht="18.75" x14ac:dyDescent="0.25">
      <c r="C192" s="143">
        <f t="shared" si="171"/>
        <v>1</v>
      </c>
      <c r="D192" s="150" t="s">
        <v>31</v>
      </c>
      <c r="E192" s="38"/>
      <c r="F192" s="167"/>
      <c r="G192" s="185"/>
      <c r="H192" s="185"/>
      <c r="I192" s="187"/>
      <c r="J192" s="188"/>
      <c r="K192" s="188"/>
      <c r="L192" s="188"/>
      <c r="M192" s="188"/>
      <c r="N192" s="188"/>
      <c r="O192" s="188"/>
      <c r="P192" s="188"/>
      <c r="Q192" s="171"/>
    </row>
    <row r="193" spans="3:17" ht="18.75" x14ac:dyDescent="0.3">
      <c r="C193" s="143">
        <f t="shared" si="171"/>
        <v>1</v>
      </c>
      <c r="D193" s="149" t="s">
        <v>118</v>
      </c>
      <c r="E193" s="38" t="s">
        <v>56</v>
      </c>
      <c r="F193" s="168">
        <f t="shared" ref="F193:J199" si="174">F8*$E$188</f>
        <v>0</v>
      </c>
      <c r="G193" s="186">
        <f t="shared" si="174"/>
        <v>0</v>
      </c>
      <c r="H193" s="186">
        <f t="shared" si="174"/>
        <v>0</v>
      </c>
      <c r="I193" s="186">
        <f t="shared" si="174"/>
        <v>0</v>
      </c>
      <c r="J193" s="186">
        <f t="shared" si="174"/>
        <v>0</v>
      </c>
      <c r="K193" s="186">
        <f t="shared" ref="K193:P193" si="175">K8*$E$188</f>
        <v>0</v>
      </c>
      <c r="L193" s="186">
        <f t="shared" si="175"/>
        <v>0</v>
      </c>
      <c r="M193" s="186">
        <f t="shared" si="175"/>
        <v>0</v>
      </c>
      <c r="N193" s="186">
        <f t="shared" si="175"/>
        <v>0</v>
      </c>
      <c r="O193" s="186">
        <f t="shared" si="175"/>
        <v>0</v>
      </c>
      <c r="P193" s="186">
        <f t="shared" si="175"/>
        <v>0</v>
      </c>
      <c r="Q193" s="189">
        <f t="shared" ref="Q193:Q199" si="176">SUM(G193:P193)</f>
        <v>0</v>
      </c>
    </row>
    <row r="194" spans="3:17" ht="18.75" x14ac:dyDescent="0.3">
      <c r="C194" s="143">
        <f t="shared" si="171"/>
        <v>1</v>
      </c>
      <c r="D194" s="149" t="s">
        <v>119</v>
      </c>
      <c r="E194" s="38" t="s">
        <v>55</v>
      </c>
      <c r="F194" s="168">
        <f t="shared" si="174"/>
        <v>0</v>
      </c>
      <c r="G194" s="186">
        <f t="shared" si="174"/>
        <v>0</v>
      </c>
      <c r="H194" s="186">
        <f t="shared" si="174"/>
        <v>0</v>
      </c>
      <c r="I194" s="186">
        <f t="shared" si="174"/>
        <v>0</v>
      </c>
      <c r="J194" s="186">
        <f t="shared" si="174"/>
        <v>0</v>
      </c>
      <c r="K194" s="186">
        <f t="shared" ref="K194:P194" si="177">K9*$E$188</f>
        <v>0</v>
      </c>
      <c r="L194" s="186">
        <f t="shared" si="177"/>
        <v>0</v>
      </c>
      <c r="M194" s="186">
        <f t="shared" si="177"/>
        <v>0</v>
      </c>
      <c r="N194" s="186">
        <f t="shared" si="177"/>
        <v>0</v>
      </c>
      <c r="O194" s="186">
        <f t="shared" si="177"/>
        <v>0</v>
      </c>
      <c r="P194" s="186">
        <f t="shared" si="177"/>
        <v>0</v>
      </c>
      <c r="Q194" s="189">
        <f t="shared" si="176"/>
        <v>0</v>
      </c>
    </row>
    <row r="195" spans="3:17" ht="18.75" x14ac:dyDescent="0.3">
      <c r="C195" s="143">
        <f t="shared" si="171"/>
        <v>1</v>
      </c>
      <c r="D195" s="149" t="s">
        <v>120</v>
      </c>
      <c r="E195" s="38" t="s">
        <v>54</v>
      </c>
      <c r="F195" s="168">
        <f t="shared" si="174"/>
        <v>0</v>
      </c>
      <c r="G195" s="186">
        <f t="shared" si="174"/>
        <v>0</v>
      </c>
      <c r="H195" s="186">
        <f t="shared" si="174"/>
        <v>0</v>
      </c>
      <c r="I195" s="186">
        <f t="shared" si="174"/>
        <v>0</v>
      </c>
      <c r="J195" s="186">
        <f t="shared" si="174"/>
        <v>0</v>
      </c>
      <c r="K195" s="186">
        <f t="shared" ref="K195:P195" si="178">K10*$E$188</f>
        <v>0</v>
      </c>
      <c r="L195" s="186">
        <f t="shared" si="178"/>
        <v>0</v>
      </c>
      <c r="M195" s="186">
        <f t="shared" si="178"/>
        <v>0</v>
      </c>
      <c r="N195" s="186">
        <f t="shared" si="178"/>
        <v>0</v>
      </c>
      <c r="O195" s="186">
        <f t="shared" si="178"/>
        <v>0</v>
      </c>
      <c r="P195" s="186">
        <f t="shared" si="178"/>
        <v>0</v>
      </c>
      <c r="Q195" s="189">
        <f t="shared" si="176"/>
        <v>0</v>
      </c>
    </row>
    <row r="196" spans="3:17" ht="18.75" x14ac:dyDescent="0.3">
      <c r="C196" s="143">
        <f t="shared" si="171"/>
        <v>1</v>
      </c>
      <c r="D196" s="149" t="s">
        <v>121</v>
      </c>
      <c r="E196" s="38" t="s">
        <v>53</v>
      </c>
      <c r="F196" s="168">
        <f t="shared" si="174"/>
        <v>0</v>
      </c>
      <c r="G196" s="186">
        <f t="shared" si="174"/>
        <v>0</v>
      </c>
      <c r="H196" s="186">
        <f t="shared" si="174"/>
        <v>0</v>
      </c>
      <c r="I196" s="186">
        <f t="shared" si="174"/>
        <v>0</v>
      </c>
      <c r="J196" s="186">
        <f t="shared" si="174"/>
        <v>0</v>
      </c>
      <c r="K196" s="186">
        <f t="shared" ref="K196:P196" si="179">K11*$E$188</f>
        <v>0</v>
      </c>
      <c r="L196" s="186">
        <f t="shared" si="179"/>
        <v>0</v>
      </c>
      <c r="M196" s="186">
        <f t="shared" si="179"/>
        <v>0</v>
      </c>
      <c r="N196" s="186">
        <f t="shared" si="179"/>
        <v>0</v>
      </c>
      <c r="O196" s="186">
        <f t="shared" si="179"/>
        <v>0</v>
      </c>
      <c r="P196" s="186">
        <f t="shared" si="179"/>
        <v>0</v>
      </c>
      <c r="Q196" s="189">
        <f t="shared" si="176"/>
        <v>0</v>
      </c>
    </row>
    <row r="197" spans="3:17" ht="18.75" x14ac:dyDescent="0.3">
      <c r="C197" s="143">
        <f t="shared" si="171"/>
        <v>1</v>
      </c>
      <c r="D197" s="149" t="s">
        <v>122</v>
      </c>
      <c r="E197" s="38" t="s">
        <v>52</v>
      </c>
      <c r="F197" s="168">
        <f t="shared" si="174"/>
        <v>0</v>
      </c>
      <c r="G197" s="186">
        <f t="shared" si="174"/>
        <v>0</v>
      </c>
      <c r="H197" s="186">
        <f t="shared" si="174"/>
        <v>0</v>
      </c>
      <c r="I197" s="186">
        <f t="shared" si="174"/>
        <v>0</v>
      </c>
      <c r="J197" s="186">
        <f t="shared" si="174"/>
        <v>0</v>
      </c>
      <c r="K197" s="186">
        <f t="shared" ref="K197:P197" si="180">K12*$E$188</f>
        <v>0</v>
      </c>
      <c r="L197" s="186">
        <f t="shared" si="180"/>
        <v>0</v>
      </c>
      <c r="M197" s="186">
        <f t="shared" si="180"/>
        <v>0</v>
      </c>
      <c r="N197" s="186">
        <f t="shared" si="180"/>
        <v>0</v>
      </c>
      <c r="O197" s="186">
        <f t="shared" si="180"/>
        <v>0</v>
      </c>
      <c r="P197" s="186">
        <f t="shared" si="180"/>
        <v>0</v>
      </c>
      <c r="Q197" s="189">
        <f t="shared" si="176"/>
        <v>0</v>
      </c>
    </row>
    <row r="198" spans="3:17" ht="18.75" x14ac:dyDescent="0.3">
      <c r="C198" s="143">
        <f t="shared" si="171"/>
        <v>1</v>
      </c>
      <c r="D198" s="149" t="s">
        <v>123</v>
      </c>
      <c r="E198" s="38" t="s">
        <v>51</v>
      </c>
      <c r="F198" s="168">
        <f t="shared" si="174"/>
        <v>0</v>
      </c>
      <c r="G198" s="186">
        <f t="shared" si="174"/>
        <v>0</v>
      </c>
      <c r="H198" s="186">
        <f t="shared" si="174"/>
        <v>0</v>
      </c>
      <c r="I198" s="186">
        <f t="shared" si="174"/>
        <v>0</v>
      </c>
      <c r="J198" s="186">
        <f t="shared" si="174"/>
        <v>0</v>
      </c>
      <c r="K198" s="186">
        <f t="shared" ref="K198:P198" si="181">K13*$E$188</f>
        <v>0</v>
      </c>
      <c r="L198" s="186">
        <f t="shared" si="181"/>
        <v>0</v>
      </c>
      <c r="M198" s="186">
        <f t="shared" si="181"/>
        <v>0</v>
      </c>
      <c r="N198" s="186">
        <f t="shared" si="181"/>
        <v>0</v>
      </c>
      <c r="O198" s="186">
        <f t="shared" si="181"/>
        <v>0</v>
      </c>
      <c r="P198" s="186">
        <f t="shared" si="181"/>
        <v>0</v>
      </c>
      <c r="Q198" s="189">
        <f t="shared" si="176"/>
        <v>0</v>
      </c>
    </row>
    <row r="199" spans="3:17" ht="19.5" thickBot="1" x14ac:dyDescent="0.35">
      <c r="C199" s="143">
        <f t="shared" si="171"/>
        <v>1</v>
      </c>
      <c r="D199" s="149" t="s">
        <v>16</v>
      </c>
      <c r="E199" s="37" t="s">
        <v>50</v>
      </c>
      <c r="F199" s="168">
        <f t="shared" si="174"/>
        <v>0.13244748167583373</v>
      </c>
      <c r="G199" s="186">
        <f t="shared" si="174"/>
        <v>239.04163864154185</v>
      </c>
      <c r="H199" s="186">
        <f t="shared" si="174"/>
        <v>4.6578736695819858</v>
      </c>
      <c r="I199" s="186">
        <f t="shared" si="174"/>
        <v>0</v>
      </c>
      <c r="J199" s="186">
        <f t="shared" si="174"/>
        <v>0</v>
      </c>
      <c r="K199" s="186">
        <f t="shared" ref="K199:P199" si="182">K14*$E$188</f>
        <v>16.69114045506651</v>
      </c>
      <c r="L199" s="186">
        <f t="shared" si="182"/>
        <v>0</v>
      </c>
      <c r="M199" s="186">
        <f t="shared" si="182"/>
        <v>8.9587199522662801E-3</v>
      </c>
      <c r="N199" s="186">
        <f t="shared" si="182"/>
        <v>0</v>
      </c>
      <c r="O199" s="186">
        <f t="shared" si="182"/>
        <v>0</v>
      </c>
      <c r="P199" s="186">
        <f t="shared" si="182"/>
        <v>15.091150399591553</v>
      </c>
      <c r="Q199" s="189">
        <f t="shared" si="176"/>
        <v>275.49076188573412</v>
      </c>
    </row>
    <row r="200" spans="3:17" ht="19.5" thickBot="1" x14ac:dyDescent="0.3">
      <c r="C200" s="143">
        <f t="shared" si="171"/>
        <v>1</v>
      </c>
      <c r="D200" s="148" t="s">
        <v>124</v>
      </c>
      <c r="E200" s="147" t="s">
        <v>49</v>
      </c>
      <c r="F200" s="169">
        <f>SUBTOTAL(9,F191:F199)</f>
        <v>2.1242290486879685</v>
      </c>
      <c r="G200" s="170">
        <f t="shared" ref="G200:J200" si="183">SUBTOTAL(9,G191:G199)</f>
        <v>4228.4276081486732</v>
      </c>
      <c r="H200" s="170">
        <f t="shared" si="183"/>
        <v>64.800434794274395</v>
      </c>
      <c r="I200" s="170">
        <f t="shared" si="183"/>
        <v>0</v>
      </c>
      <c r="J200" s="170">
        <f t="shared" si="183"/>
        <v>76.642858154987039</v>
      </c>
      <c r="K200" s="170">
        <f t="shared" ref="K200:P200" si="184">SUBTOTAL(9,K191:K199)</f>
        <v>29.883108535063144</v>
      </c>
      <c r="L200" s="170">
        <f t="shared" si="184"/>
        <v>3.5423025184327481</v>
      </c>
      <c r="M200" s="170">
        <f t="shared" si="184"/>
        <v>8.9587199522662801E-3</v>
      </c>
      <c r="N200" s="170">
        <f t="shared" si="184"/>
        <v>0</v>
      </c>
      <c r="O200" s="170">
        <f t="shared" si="184"/>
        <v>0</v>
      </c>
      <c r="P200" s="170">
        <f t="shared" si="184"/>
        <v>15.091150399591553</v>
      </c>
      <c r="Q200" s="170">
        <f t="shared" si="169"/>
        <v>4418.3964212709734</v>
      </c>
    </row>
    <row r="201" spans="3:17" ht="15.75" hidden="1" thickBot="1" x14ac:dyDescent="0.3"/>
    <row r="202" spans="3:17" ht="45" x14ac:dyDescent="0.25">
      <c r="C202" s="143">
        <f>IF(E202&gt;0,1,0)</f>
        <v>1</v>
      </c>
      <c r="D202" s="163" t="str">
        <f>A17</f>
        <v>Dutchess</v>
      </c>
      <c r="E202" s="166">
        <f>+SUMIF(A:A,D202,B:B)</f>
        <v>8.4414902213022138E-3</v>
      </c>
      <c r="F202" s="509" t="s">
        <v>97</v>
      </c>
      <c r="G202" s="509" t="s">
        <v>126</v>
      </c>
      <c r="H202" s="509" t="s">
        <v>127</v>
      </c>
      <c r="I202" s="508" t="s">
        <v>128</v>
      </c>
      <c r="J202" s="508" t="s">
        <v>487</v>
      </c>
      <c r="K202" s="508" t="s">
        <v>474</v>
      </c>
      <c r="L202" s="508" t="s">
        <v>475</v>
      </c>
      <c r="M202" s="508" t="s">
        <v>476</v>
      </c>
      <c r="N202" s="508" t="s">
        <v>477</v>
      </c>
      <c r="O202" s="508" t="s">
        <v>478</v>
      </c>
      <c r="P202" s="508" t="s">
        <v>479</v>
      </c>
      <c r="Q202" s="508" t="s">
        <v>129</v>
      </c>
    </row>
    <row r="203" spans="3:17" ht="18.75" x14ac:dyDescent="0.25">
      <c r="C203" s="143">
        <f>C202</f>
        <v>1</v>
      </c>
      <c r="D203" s="160"/>
      <c r="E203" s="159"/>
      <c r="F203" s="49" t="s">
        <v>57</v>
      </c>
      <c r="G203" s="49" t="s">
        <v>56</v>
      </c>
      <c r="H203" s="49" t="s">
        <v>55</v>
      </c>
      <c r="I203" s="49" t="s">
        <v>54</v>
      </c>
      <c r="J203" s="58" t="s">
        <v>53</v>
      </c>
      <c r="K203" s="49" t="s">
        <v>52</v>
      </c>
      <c r="L203" s="49" t="s">
        <v>51</v>
      </c>
      <c r="M203" s="49" t="s">
        <v>50</v>
      </c>
      <c r="N203" s="49" t="s">
        <v>49</v>
      </c>
      <c r="O203" s="49" t="s">
        <v>47</v>
      </c>
      <c r="P203" s="49" t="s">
        <v>77</v>
      </c>
      <c r="Q203" s="573" t="s">
        <v>78</v>
      </c>
    </row>
    <row r="204" spans="3:17" ht="18.75" x14ac:dyDescent="0.25">
      <c r="C204" s="143">
        <f>C203</f>
        <v>1</v>
      </c>
      <c r="D204" s="158" t="s">
        <v>26</v>
      </c>
      <c r="E204" s="157"/>
      <c r="F204" s="156"/>
      <c r="G204" s="156"/>
      <c r="H204" s="156"/>
      <c r="I204" s="155"/>
      <c r="J204" s="154"/>
      <c r="K204" s="154"/>
      <c r="L204" s="154"/>
      <c r="M204" s="154"/>
      <c r="N204" s="154"/>
      <c r="O204" s="154"/>
      <c r="P204" s="154"/>
      <c r="Q204" s="153"/>
    </row>
    <row r="205" spans="3:17" ht="18.75" x14ac:dyDescent="0.25">
      <c r="C205" s="143">
        <f t="shared" ref="C205:C214" si="185">C204</f>
        <v>1</v>
      </c>
      <c r="D205" s="152" t="s">
        <v>133</v>
      </c>
      <c r="E205" s="38" t="s">
        <v>57</v>
      </c>
      <c r="F205" s="168">
        <f>F6*$E$202</f>
        <v>15.785734074657226</v>
      </c>
      <c r="G205" s="186">
        <f t="shared" ref="G205:J205" si="186">G6*$E$202</f>
        <v>31617.616649740037</v>
      </c>
      <c r="H205" s="186">
        <f t="shared" si="186"/>
        <v>476.6559206125176</v>
      </c>
      <c r="I205" s="186">
        <f t="shared" si="186"/>
        <v>0</v>
      </c>
      <c r="J205" s="186">
        <f t="shared" si="186"/>
        <v>607.4279416950385</v>
      </c>
      <c r="K205" s="186">
        <f t="shared" ref="K205:P205" si="187">K6*$E$202</f>
        <v>104.55207713593857</v>
      </c>
      <c r="L205" s="186">
        <f t="shared" si="187"/>
        <v>28.074286103495837</v>
      </c>
      <c r="M205" s="186">
        <f t="shared" si="187"/>
        <v>0</v>
      </c>
      <c r="N205" s="186">
        <f t="shared" si="187"/>
        <v>0</v>
      </c>
      <c r="O205" s="186">
        <f t="shared" si="187"/>
        <v>0</v>
      </c>
      <c r="P205" s="186">
        <f t="shared" si="187"/>
        <v>0</v>
      </c>
      <c r="Q205" s="189">
        <f>SUM(G205:P205)</f>
        <v>32834.326875287028</v>
      </c>
    </row>
    <row r="206" spans="3:17" ht="18.75" x14ac:dyDescent="0.25">
      <c r="C206" s="143">
        <f t="shared" si="185"/>
        <v>1</v>
      </c>
      <c r="D206" s="150" t="s">
        <v>31</v>
      </c>
      <c r="E206" s="38"/>
      <c r="F206" s="167"/>
      <c r="G206" s="185"/>
      <c r="H206" s="185"/>
      <c r="I206" s="187"/>
      <c r="J206" s="188"/>
      <c r="K206" s="188"/>
      <c r="L206" s="188"/>
      <c r="M206" s="188"/>
      <c r="N206" s="188"/>
      <c r="O206" s="188"/>
      <c r="P206" s="188"/>
      <c r="Q206" s="171"/>
    </row>
    <row r="207" spans="3:17" ht="18.75" x14ac:dyDescent="0.3">
      <c r="C207" s="143">
        <f t="shared" si="185"/>
        <v>1</v>
      </c>
      <c r="D207" s="149" t="s">
        <v>118</v>
      </c>
      <c r="E207" s="38" t="s">
        <v>56</v>
      </c>
      <c r="F207" s="168">
        <f t="shared" ref="F207:J213" si="188">F8*$E$202</f>
        <v>0</v>
      </c>
      <c r="G207" s="186">
        <f t="shared" si="188"/>
        <v>0</v>
      </c>
      <c r="H207" s="186">
        <f t="shared" si="188"/>
        <v>0</v>
      </c>
      <c r="I207" s="186">
        <f t="shared" si="188"/>
        <v>0</v>
      </c>
      <c r="J207" s="186">
        <f t="shared" si="188"/>
        <v>0</v>
      </c>
      <c r="K207" s="186">
        <f t="shared" ref="K207:P207" si="189">K8*$E$202</f>
        <v>0</v>
      </c>
      <c r="L207" s="186">
        <f t="shared" si="189"/>
        <v>0</v>
      </c>
      <c r="M207" s="186">
        <f t="shared" si="189"/>
        <v>0</v>
      </c>
      <c r="N207" s="186">
        <f t="shared" si="189"/>
        <v>0</v>
      </c>
      <c r="O207" s="186">
        <f t="shared" si="189"/>
        <v>0</v>
      </c>
      <c r="P207" s="186">
        <f t="shared" si="189"/>
        <v>0</v>
      </c>
      <c r="Q207" s="189">
        <f t="shared" ref="Q207:Q213" si="190">SUM(G207:P207)</f>
        <v>0</v>
      </c>
    </row>
    <row r="208" spans="3:17" ht="18.75" x14ac:dyDescent="0.3">
      <c r="C208" s="143">
        <f t="shared" si="185"/>
        <v>1</v>
      </c>
      <c r="D208" s="149" t="s">
        <v>119</v>
      </c>
      <c r="E208" s="38" t="s">
        <v>55</v>
      </c>
      <c r="F208" s="168">
        <f t="shared" si="188"/>
        <v>0</v>
      </c>
      <c r="G208" s="186">
        <f t="shared" si="188"/>
        <v>0</v>
      </c>
      <c r="H208" s="186">
        <f t="shared" si="188"/>
        <v>0</v>
      </c>
      <c r="I208" s="186">
        <f t="shared" si="188"/>
        <v>0</v>
      </c>
      <c r="J208" s="186">
        <f t="shared" si="188"/>
        <v>0</v>
      </c>
      <c r="K208" s="186">
        <f t="shared" ref="K208:P208" si="191">K9*$E$202</f>
        <v>0</v>
      </c>
      <c r="L208" s="186">
        <f t="shared" si="191"/>
        <v>0</v>
      </c>
      <c r="M208" s="186">
        <f t="shared" si="191"/>
        <v>0</v>
      </c>
      <c r="N208" s="186">
        <f t="shared" si="191"/>
        <v>0</v>
      </c>
      <c r="O208" s="186">
        <f t="shared" si="191"/>
        <v>0</v>
      </c>
      <c r="P208" s="186">
        <f t="shared" si="191"/>
        <v>0</v>
      </c>
      <c r="Q208" s="189">
        <f t="shared" si="190"/>
        <v>0</v>
      </c>
    </row>
    <row r="209" spans="3:17" ht="18.75" x14ac:dyDescent="0.3">
      <c r="C209" s="143">
        <f t="shared" si="185"/>
        <v>1</v>
      </c>
      <c r="D209" s="149" t="s">
        <v>120</v>
      </c>
      <c r="E209" s="38" t="s">
        <v>54</v>
      </c>
      <c r="F209" s="168">
        <f t="shared" si="188"/>
        <v>0</v>
      </c>
      <c r="G209" s="186">
        <f t="shared" si="188"/>
        <v>0</v>
      </c>
      <c r="H209" s="186">
        <f t="shared" si="188"/>
        <v>0</v>
      </c>
      <c r="I209" s="186">
        <f t="shared" si="188"/>
        <v>0</v>
      </c>
      <c r="J209" s="186">
        <f t="shared" si="188"/>
        <v>0</v>
      </c>
      <c r="K209" s="186">
        <f t="shared" ref="K209:P209" si="192">K10*$E$202</f>
        <v>0</v>
      </c>
      <c r="L209" s="186">
        <f t="shared" si="192"/>
        <v>0</v>
      </c>
      <c r="M209" s="186">
        <f t="shared" si="192"/>
        <v>0</v>
      </c>
      <c r="N209" s="186">
        <f t="shared" si="192"/>
        <v>0</v>
      </c>
      <c r="O209" s="186">
        <f t="shared" si="192"/>
        <v>0</v>
      </c>
      <c r="P209" s="186">
        <f t="shared" si="192"/>
        <v>0</v>
      </c>
      <c r="Q209" s="189">
        <f t="shared" si="190"/>
        <v>0</v>
      </c>
    </row>
    <row r="210" spans="3:17" ht="18.75" x14ac:dyDescent="0.3">
      <c r="C210" s="143">
        <f t="shared" si="185"/>
        <v>1</v>
      </c>
      <c r="D210" s="149" t="s">
        <v>121</v>
      </c>
      <c r="E210" s="38" t="s">
        <v>53</v>
      </c>
      <c r="F210" s="168">
        <f t="shared" si="188"/>
        <v>0</v>
      </c>
      <c r="G210" s="186">
        <f t="shared" si="188"/>
        <v>0</v>
      </c>
      <c r="H210" s="186">
        <f t="shared" si="188"/>
        <v>0</v>
      </c>
      <c r="I210" s="186">
        <f t="shared" si="188"/>
        <v>0</v>
      </c>
      <c r="J210" s="186">
        <f t="shared" si="188"/>
        <v>0</v>
      </c>
      <c r="K210" s="186">
        <f t="shared" ref="K210:P210" si="193">K11*$E$202</f>
        <v>0</v>
      </c>
      <c r="L210" s="186">
        <f t="shared" si="193"/>
        <v>0</v>
      </c>
      <c r="M210" s="186">
        <f t="shared" si="193"/>
        <v>0</v>
      </c>
      <c r="N210" s="186">
        <f t="shared" si="193"/>
        <v>0</v>
      </c>
      <c r="O210" s="186">
        <f t="shared" si="193"/>
        <v>0</v>
      </c>
      <c r="P210" s="186">
        <f t="shared" si="193"/>
        <v>0</v>
      </c>
      <c r="Q210" s="189">
        <f t="shared" si="190"/>
        <v>0</v>
      </c>
    </row>
    <row r="211" spans="3:17" ht="18.75" x14ac:dyDescent="0.3">
      <c r="C211" s="143">
        <f t="shared" si="185"/>
        <v>1</v>
      </c>
      <c r="D211" s="149" t="s">
        <v>122</v>
      </c>
      <c r="E211" s="38" t="s">
        <v>52</v>
      </c>
      <c r="F211" s="168">
        <f t="shared" si="188"/>
        <v>0</v>
      </c>
      <c r="G211" s="186">
        <f t="shared" si="188"/>
        <v>0</v>
      </c>
      <c r="H211" s="186">
        <f t="shared" si="188"/>
        <v>0</v>
      </c>
      <c r="I211" s="186">
        <f t="shared" si="188"/>
        <v>0</v>
      </c>
      <c r="J211" s="186">
        <f t="shared" si="188"/>
        <v>0</v>
      </c>
      <c r="K211" s="186">
        <f t="shared" ref="K211:P211" si="194">K12*$E$202</f>
        <v>0</v>
      </c>
      <c r="L211" s="186">
        <f t="shared" si="194"/>
        <v>0</v>
      </c>
      <c r="M211" s="186">
        <f t="shared" si="194"/>
        <v>0</v>
      </c>
      <c r="N211" s="186">
        <f t="shared" si="194"/>
        <v>0</v>
      </c>
      <c r="O211" s="186">
        <f t="shared" si="194"/>
        <v>0</v>
      </c>
      <c r="P211" s="186">
        <f t="shared" si="194"/>
        <v>0</v>
      </c>
      <c r="Q211" s="189">
        <f t="shared" si="190"/>
        <v>0</v>
      </c>
    </row>
    <row r="212" spans="3:17" ht="18.75" x14ac:dyDescent="0.3">
      <c r="C212" s="143">
        <f t="shared" si="185"/>
        <v>1</v>
      </c>
      <c r="D212" s="149" t="s">
        <v>123</v>
      </c>
      <c r="E212" s="38" t="s">
        <v>51</v>
      </c>
      <c r="F212" s="168">
        <f t="shared" si="188"/>
        <v>0</v>
      </c>
      <c r="G212" s="186">
        <f t="shared" si="188"/>
        <v>0</v>
      </c>
      <c r="H212" s="186">
        <f t="shared" si="188"/>
        <v>0</v>
      </c>
      <c r="I212" s="186">
        <f t="shared" si="188"/>
        <v>0</v>
      </c>
      <c r="J212" s="186">
        <f t="shared" si="188"/>
        <v>0</v>
      </c>
      <c r="K212" s="186">
        <f t="shared" ref="K212:P212" si="195">K13*$E$202</f>
        <v>0</v>
      </c>
      <c r="L212" s="186">
        <f t="shared" si="195"/>
        <v>0</v>
      </c>
      <c r="M212" s="186">
        <f t="shared" si="195"/>
        <v>0</v>
      </c>
      <c r="N212" s="186">
        <f t="shared" si="195"/>
        <v>0</v>
      </c>
      <c r="O212" s="186">
        <f t="shared" si="195"/>
        <v>0</v>
      </c>
      <c r="P212" s="186">
        <f t="shared" si="195"/>
        <v>0</v>
      </c>
      <c r="Q212" s="189">
        <f t="shared" si="190"/>
        <v>0</v>
      </c>
    </row>
    <row r="213" spans="3:17" ht="19.5" thickBot="1" x14ac:dyDescent="0.35">
      <c r="C213" s="143">
        <f t="shared" si="185"/>
        <v>1</v>
      </c>
      <c r="D213" s="149" t="s">
        <v>16</v>
      </c>
      <c r="E213" s="37" t="s">
        <v>50</v>
      </c>
      <c r="F213" s="168">
        <f t="shared" si="188"/>
        <v>1.0497038225577722</v>
      </c>
      <c r="G213" s="186">
        <f t="shared" si="188"/>
        <v>1894.5088170618146</v>
      </c>
      <c r="H213" s="186">
        <f t="shared" si="188"/>
        <v>36.915672039112252</v>
      </c>
      <c r="I213" s="186">
        <f t="shared" si="188"/>
        <v>0</v>
      </c>
      <c r="J213" s="186">
        <f t="shared" si="188"/>
        <v>0</v>
      </c>
      <c r="K213" s="186">
        <f t="shared" ref="K213:P213" si="196">K14*$E$202</f>
        <v>132.28453811914804</v>
      </c>
      <c r="L213" s="186">
        <f t="shared" si="196"/>
        <v>0</v>
      </c>
      <c r="M213" s="186">
        <f t="shared" si="196"/>
        <v>7.1001746957596881E-2</v>
      </c>
      <c r="N213" s="186">
        <f t="shared" si="196"/>
        <v>0</v>
      </c>
      <c r="O213" s="186">
        <f t="shared" si="196"/>
        <v>0</v>
      </c>
      <c r="P213" s="186">
        <f t="shared" si="196"/>
        <v>119.60392195313355</v>
      </c>
      <c r="Q213" s="189">
        <f t="shared" si="190"/>
        <v>2183.3839509201662</v>
      </c>
    </row>
    <row r="214" spans="3:17" ht="19.5" thickBot="1" x14ac:dyDescent="0.3">
      <c r="C214" s="143">
        <f t="shared" si="185"/>
        <v>1</v>
      </c>
      <c r="D214" s="148" t="s">
        <v>124</v>
      </c>
      <c r="E214" s="147" t="s">
        <v>49</v>
      </c>
      <c r="F214" s="169">
        <f>SUBTOTAL(9,F205:F213)</f>
        <v>16.835437897214998</v>
      </c>
      <c r="G214" s="170">
        <f t="shared" ref="G214:Q228" si="197">SUBTOTAL(9,G205:G213)</f>
        <v>33512.125466801852</v>
      </c>
      <c r="H214" s="170">
        <f t="shared" si="197"/>
        <v>513.57159265162989</v>
      </c>
      <c r="I214" s="170">
        <f t="shared" si="197"/>
        <v>0</v>
      </c>
      <c r="J214" s="170">
        <f t="shared" si="197"/>
        <v>607.4279416950385</v>
      </c>
      <c r="K214" s="170">
        <f t="shared" ref="K214:P214" si="198">SUBTOTAL(9,K205:K213)</f>
        <v>236.8366152550866</v>
      </c>
      <c r="L214" s="170">
        <f t="shared" si="198"/>
        <v>28.074286103495837</v>
      </c>
      <c r="M214" s="170">
        <f t="shared" si="198"/>
        <v>7.1001746957596881E-2</v>
      </c>
      <c r="N214" s="170">
        <f t="shared" si="198"/>
        <v>0</v>
      </c>
      <c r="O214" s="170">
        <f t="shared" si="198"/>
        <v>0</v>
      </c>
      <c r="P214" s="170">
        <f t="shared" si="198"/>
        <v>119.60392195313355</v>
      </c>
      <c r="Q214" s="170">
        <f t="shared" si="197"/>
        <v>35017.710826207192</v>
      </c>
    </row>
    <row r="215" spans="3:17" ht="15.75" hidden="1" thickBot="1" x14ac:dyDescent="0.3"/>
    <row r="216" spans="3:17" ht="45" x14ac:dyDescent="0.25">
      <c r="C216" s="143">
        <f>IF(E216&gt;0,1,0)</f>
        <v>1</v>
      </c>
      <c r="D216" s="163" t="str">
        <f>A18</f>
        <v>Erie</v>
      </c>
      <c r="E216" s="166">
        <f>+SUMIF(A:A,D216,B:B)</f>
        <v>2.6305537197862446E-2</v>
      </c>
      <c r="F216" s="509" t="s">
        <v>97</v>
      </c>
      <c r="G216" s="509" t="s">
        <v>126</v>
      </c>
      <c r="H216" s="509" t="s">
        <v>127</v>
      </c>
      <c r="I216" s="508" t="s">
        <v>128</v>
      </c>
      <c r="J216" s="508" t="s">
        <v>487</v>
      </c>
      <c r="K216" s="508" t="s">
        <v>474</v>
      </c>
      <c r="L216" s="508" t="s">
        <v>475</v>
      </c>
      <c r="M216" s="508" t="s">
        <v>476</v>
      </c>
      <c r="N216" s="508" t="s">
        <v>477</v>
      </c>
      <c r="O216" s="508" t="s">
        <v>478</v>
      </c>
      <c r="P216" s="508" t="s">
        <v>479</v>
      </c>
      <c r="Q216" s="508" t="s">
        <v>129</v>
      </c>
    </row>
    <row r="217" spans="3:17" ht="18.75" x14ac:dyDescent="0.25">
      <c r="C217" s="143">
        <f>C216</f>
        <v>1</v>
      </c>
      <c r="D217" s="160"/>
      <c r="E217" s="159"/>
      <c r="F217" s="49" t="s">
        <v>57</v>
      </c>
      <c r="G217" s="49" t="s">
        <v>56</v>
      </c>
      <c r="H217" s="49" t="s">
        <v>55</v>
      </c>
      <c r="I217" s="49" t="s">
        <v>54</v>
      </c>
      <c r="J217" s="58" t="s">
        <v>53</v>
      </c>
      <c r="K217" s="49" t="s">
        <v>52</v>
      </c>
      <c r="L217" s="49" t="s">
        <v>51</v>
      </c>
      <c r="M217" s="49" t="s">
        <v>50</v>
      </c>
      <c r="N217" s="49" t="s">
        <v>49</v>
      </c>
      <c r="O217" s="49" t="s">
        <v>47</v>
      </c>
      <c r="P217" s="49" t="s">
        <v>77</v>
      </c>
      <c r="Q217" s="573" t="s">
        <v>78</v>
      </c>
    </row>
    <row r="218" spans="3:17" ht="18.75" x14ac:dyDescent="0.25">
      <c r="C218" s="143">
        <f>C217</f>
        <v>1</v>
      </c>
      <c r="D218" s="158" t="s">
        <v>26</v>
      </c>
      <c r="E218" s="157"/>
      <c r="F218" s="156"/>
      <c r="G218" s="156"/>
      <c r="H218" s="156"/>
      <c r="I218" s="155"/>
      <c r="J218" s="154"/>
      <c r="K218" s="154"/>
      <c r="L218" s="154"/>
      <c r="M218" s="154"/>
      <c r="N218" s="154"/>
      <c r="O218" s="154"/>
      <c r="P218" s="154"/>
      <c r="Q218" s="153"/>
    </row>
    <row r="219" spans="3:17" ht="18.75" x14ac:dyDescent="0.25">
      <c r="C219" s="143">
        <f t="shared" ref="C219:C228" si="199">C218</f>
        <v>1</v>
      </c>
      <c r="D219" s="152" t="s">
        <v>133</v>
      </c>
      <c r="E219" s="38" t="s">
        <v>57</v>
      </c>
      <c r="F219" s="168">
        <f>F6*$E$216</f>
        <v>49.191813768683382</v>
      </c>
      <c r="G219" s="186">
        <f t="shared" ref="G219:J219" si="200">G6*$E$216</f>
        <v>98527.436398450009</v>
      </c>
      <c r="H219" s="186">
        <f t="shared" si="200"/>
        <v>1485.364517583921</v>
      </c>
      <c r="I219" s="186">
        <f t="shared" si="200"/>
        <v>0</v>
      </c>
      <c r="J219" s="186">
        <f t="shared" si="200"/>
        <v>1892.8788515275828</v>
      </c>
      <c r="K219" s="186">
        <f t="shared" ref="K219:P219" si="201">K6*$E$216</f>
        <v>325.80723096412532</v>
      </c>
      <c r="L219" s="186">
        <f t="shared" si="201"/>
        <v>87.485640335791032</v>
      </c>
      <c r="M219" s="186">
        <f t="shared" si="201"/>
        <v>0</v>
      </c>
      <c r="N219" s="186">
        <f t="shared" si="201"/>
        <v>0</v>
      </c>
      <c r="O219" s="186">
        <f t="shared" si="201"/>
        <v>0</v>
      </c>
      <c r="P219" s="186">
        <f t="shared" si="201"/>
        <v>0</v>
      </c>
      <c r="Q219" s="189">
        <f>SUM(G219:P219)</f>
        <v>102318.97263886142</v>
      </c>
    </row>
    <row r="220" spans="3:17" ht="18.75" x14ac:dyDescent="0.25">
      <c r="C220" s="143">
        <f t="shared" si="199"/>
        <v>1</v>
      </c>
      <c r="D220" s="150" t="s">
        <v>31</v>
      </c>
      <c r="E220" s="38"/>
      <c r="F220" s="167"/>
      <c r="G220" s="185"/>
      <c r="H220" s="185"/>
      <c r="I220" s="187"/>
      <c r="J220" s="188"/>
      <c r="K220" s="188"/>
      <c r="L220" s="188"/>
      <c r="M220" s="188"/>
      <c r="N220" s="188"/>
      <c r="O220" s="188"/>
      <c r="P220" s="188"/>
      <c r="Q220" s="171"/>
    </row>
    <row r="221" spans="3:17" ht="18.75" x14ac:dyDescent="0.3">
      <c r="C221" s="143">
        <f t="shared" si="199"/>
        <v>1</v>
      </c>
      <c r="D221" s="149" t="s">
        <v>118</v>
      </c>
      <c r="E221" s="38" t="s">
        <v>56</v>
      </c>
      <c r="F221" s="168">
        <f t="shared" ref="F221:J227" si="202">F8*$E$216</f>
        <v>0</v>
      </c>
      <c r="G221" s="186">
        <f t="shared" si="202"/>
        <v>0</v>
      </c>
      <c r="H221" s="186">
        <f t="shared" si="202"/>
        <v>0</v>
      </c>
      <c r="I221" s="186">
        <f t="shared" si="202"/>
        <v>0</v>
      </c>
      <c r="J221" s="186">
        <f t="shared" si="202"/>
        <v>0</v>
      </c>
      <c r="K221" s="186">
        <f t="shared" ref="K221:P221" si="203">K8*$E$216</f>
        <v>0</v>
      </c>
      <c r="L221" s="186">
        <f t="shared" si="203"/>
        <v>0</v>
      </c>
      <c r="M221" s="186">
        <f t="shared" si="203"/>
        <v>0</v>
      </c>
      <c r="N221" s="186">
        <f t="shared" si="203"/>
        <v>0</v>
      </c>
      <c r="O221" s="186">
        <f t="shared" si="203"/>
        <v>0</v>
      </c>
      <c r="P221" s="186">
        <f t="shared" si="203"/>
        <v>0</v>
      </c>
      <c r="Q221" s="189">
        <f t="shared" ref="Q221:Q227" si="204">SUM(G221:P221)</f>
        <v>0</v>
      </c>
    </row>
    <row r="222" spans="3:17" ht="18.75" x14ac:dyDescent="0.3">
      <c r="C222" s="143">
        <f t="shared" si="199"/>
        <v>1</v>
      </c>
      <c r="D222" s="149" t="s">
        <v>119</v>
      </c>
      <c r="E222" s="38" t="s">
        <v>55</v>
      </c>
      <c r="F222" s="168">
        <f t="shared" si="202"/>
        <v>0</v>
      </c>
      <c r="G222" s="186">
        <f t="shared" si="202"/>
        <v>0</v>
      </c>
      <c r="H222" s="186">
        <f t="shared" si="202"/>
        <v>0</v>
      </c>
      <c r="I222" s="186">
        <f t="shared" si="202"/>
        <v>0</v>
      </c>
      <c r="J222" s="186">
        <f t="shared" si="202"/>
        <v>0</v>
      </c>
      <c r="K222" s="186">
        <f t="shared" ref="K222:P222" si="205">K9*$E$216</f>
        <v>0</v>
      </c>
      <c r="L222" s="186">
        <f t="shared" si="205"/>
        <v>0</v>
      </c>
      <c r="M222" s="186">
        <f t="shared" si="205"/>
        <v>0</v>
      </c>
      <c r="N222" s="186">
        <f t="shared" si="205"/>
        <v>0</v>
      </c>
      <c r="O222" s="186">
        <f t="shared" si="205"/>
        <v>0</v>
      </c>
      <c r="P222" s="186">
        <f t="shared" si="205"/>
        <v>0</v>
      </c>
      <c r="Q222" s="189">
        <f t="shared" si="204"/>
        <v>0</v>
      </c>
    </row>
    <row r="223" spans="3:17" ht="18.75" x14ac:dyDescent="0.3">
      <c r="C223" s="143">
        <f t="shared" si="199"/>
        <v>1</v>
      </c>
      <c r="D223" s="149" t="s">
        <v>120</v>
      </c>
      <c r="E223" s="38" t="s">
        <v>54</v>
      </c>
      <c r="F223" s="168">
        <f t="shared" si="202"/>
        <v>0</v>
      </c>
      <c r="G223" s="186">
        <f t="shared" si="202"/>
        <v>0</v>
      </c>
      <c r="H223" s="186">
        <f t="shared" si="202"/>
        <v>0</v>
      </c>
      <c r="I223" s="186">
        <f t="shared" si="202"/>
        <v>0</v>
      </c>
      <c r="J223" s="186">
        <f t="shared" si="202"/>
        <v>0</v>
      </c>
      <c r="K223" s="186">
        <f t="shared" ref="K223:P223" si="206">K10*$E$216</f>
        <v>0</v>
      </c>
      <c r="L223" s="186">
        <f t="shared" si="206"/>
        <v>0</v>
      </c>
      <c r="M223" s="186">
        <f t="shared" si="206"/>
        <v>0</v>
      </c>
      <c r="N223" s="186">
        <f t="shared" si="206"/>
        <v>0</v>
      </c>
      <c r="O223" s="186">
        <f t="shared" si="206"/>
        <v>0</v>
      </c>
      <c r="P223" s="186">
        <f t="shared" si="206"/>
        <v>0</v>
      </c>
      <c r="Q223" s="189">
        <f t="shared" si="204"/>
        <v>0</v>
      </c>
    </row>
    <row r="224" spans="3:17" ht="18.75" x14ac:dyDescent="0.3">
      <c r="C224" s="143">
        <f t="shared" si="199"/>
        <v>1</v>
      </c>
      <c r="D224" s="149" t="s">
        <v>121</v>
      </c>
      <c r="E224" s="38" t="s">
        <v>53</v>
      </c>
      <c r="F224" s="168">
        <f t="shared" si="202"/>
        <v>0</v>
      </c>
      <c r="G224" s="186">
        <f t="shared" si="202"/>
        <v>0</v>
      </c>
      <c r="H224" s="186">
        <f t="shared" si="202"/>
        <v>0</v>
      </c>
      <c r="I224" s="186">
        <f t="shared" si="202"/>
        <v>0</v>
      </c>
      <c r="J224" s="186">
        <f t="shared" si="202"/>
        <v>0</v>
      </c>
      <c r="K224" s="186">
        <f t="shared" ref="K224:P224" si="207">K11*$E$216</f>
        <v>0</v>
      </c>
      <c r="L224" s="186">
        <f t="shared" si="207"/>
        <v>0</v>
      </c>
      <c r="M224" s="186">
        <f t="shared" si="207"/>
        <v>0</v>
      </c>
      <c r="N224" s="186">
        <f t="shared" si="207"/>
        <v>0</v>
      </c>
      <c r="O224" s="186">
        <f t="shared" si="207"/>
        <v>0</v>
      </c>
      <c r="P224" s="186">
        <f t="shared" si="207"/>
        <v>0</v>
      </c>
      <c r="Q224" s="189">
        <f t="shared" si="204"/>
        <v>0</v>
      </c>
    </row>
    <row r="225" spans="3:17" ht="18.75" x14ac:dyDescent="0.3">
      <c r="C225" s="143">
        <f t="shared" si="199"/>
        <v>1</v>
      </c>
      <c r="D225" s="149" t="s">
        <v>122</v>
      </c>
      <c r="E225" s="38" t="s">
        <v>52</v>
      </c>
      <c r="F225" s="168">
        <f t="shared" si="202"/>
        <v>0</v>
      </c>
      <c r="G225" s="186">
        <f t="shared" si="202"/>
        <v>0</v>
      </c>
      <c r="H225" s="186">
        <f t="shared" si="202"/>
        <v>0</v>
      </c>
      <c r="I225" s="186">
        <f t="shared" si="202"/>
        <v>0</v>
      </c>
      <c r="J225" s="186">
        <f t="shared" si="202"/>
        <v>0</v>
      </c>
      <c r="K225" s="186">
        <f t="shared" ref="K225:P225" si="208">K12*$E$216</f>
        <v>0</v>
      </c>
      <c r="L225" s="186">
        <f t="shared" si="208"/>
        <v>0</v>
      </c>
      <c r="M225" s="186">
        <f t="shared" si="208"/>
        <v>0</v>
      </c>
      <c r="N225" s="186">
        <f t="shared" si="208"/>
        <v>0</v>
      </c>
      <c r="O225" s="186">
        <f t="shared" si="208"/>
        <v>0</v>
      </c>
      <c r="P225" s="186">
        <f t="shared" si="208"/>
        <v>0</v>
      </c>
      <c r="Q225" s="189">
        <f t="shared" si="204"/>
        <v>0</v>
      </c>
    </row>
    <row r="226" spans="3:17" ht="18.75" x14ac:dyDescent="0.3">
      <c r="C226" s="143">
        <f t="shared" si="199"/>
        <v>1</v>
      </c>
      <c r="D226" s="149" t="s">
        <v>123</v>
      </c>
      <c r="E226" s="38" t="s">
        <v>51</v>
      </c>
      <c r="F226" s="168">
        <f t="shared" si="202"/>
        <v>0</v>
      </c>
      <c r="G226" s="186">
        <f t="shared" si="202"/>
        <v>0</v>
      </c>
      <c r="H226" s="186">
        <f t="shared" si="202"/>
        <v>0</v>
      </c>
      <c r="I226" s="186">
        <f t="shared" si="202"/>
        <v>0</v>
      </c>
      <c r="J226" s="186">
        <f t="shared" si="202"/>
        <v>0</v>
      </c>
      <c r="K226" s="186">
        <f t="shared" ref="K226:P226" si="209">K13*$E$216</f>
        <v>0</v>
      </c>
      <c r="L226" s="186">
        <f t="shared" si="209"/>
        <v>0</v>
      </c>
      <c r="M226" s="186">
        <f t="shared" si="209"/>
        <v>0</v>
      </c>
      <c r="N226" s="186">
        <f t="shared" si="209"/>
        <v>0</v>
      </c>
      <c r="O226" s="186">
        <f t="shared" si="209"/>
        <v>0</v>
      </c>
      <c r="P226" s="186">
        <f t="shared" si="209"/>
        <v>0</v>
      </c>
      <c r="Q226" s="189">
        <f t="shared" si="204"/>
        <v>0</v>
      </c>
    </row>
    <row r="227" spans="3:17" ht="19.5" thickBot="1" x14ac:dyDescent="0.35">
      <c r="C227" s="143">
        <f t="shared" si="199"/>
        <v>1</v>
      </c>
      <c r="D227" s="149" t="s">
        <v>16</v>
      </c>
      <c r="E227" s="37" t="s">
        <v>50</v>
      </c>
      <c r="F227" s="168">
        <f t="shared" si="202"/>
        <v>3.2711076157323551</v>
      </c>
      <c r="G227" s="186">
        <f t="shared" si="202"/>
        <v>5903.7054894805115</v>
      </c>
      <c r="H227" s="186">
        <f t="shared" si="202"/>
        <v>115.03734039262498</v>
      </c>
      <c r="I227" s="186">
        <f t="shared" si="202"/>
        <v>0</v>
      </c>
      <c r="J227" s="186">
        <f t="shared" si="202"/>
        <v>0</v>
      </c>
      <c r="K227" s="186">
        <f t="shared" ref="K227:P227" si="210">K14*$E$216</f>
        <v>412.22766916366726</v>
      </c>
      <c r="L227" s="186">
        <f t="shared" si="210"/>
        <v>0</v>
      </c>
      <c r="M227" s="186">
        <f t="shared" si="210"/>
        <v>0.2212570348056575</v>
      </c>
      <c r="N227" s="186">
        <f t="shared" si="210"/>
        <v>0</v>
      </c>
      <c r="O227" s="186">
        <f t="shared" si="210"/>
        <v>0</v>
      </c>
      <c r="P227" s="186">
        <f t="shared" si="210"/>
        <v>372.71208465168849</v>
      </c>
      <c r="Q227" s="189">
        <f t="shared" si="204"/>
        <v>6803.9038407232974</v>
      </c>
    </row>
    <row r="228" spans="3:17" ht="19.5" thickBot="1" x14ac:dyDescent="0.3">
      <c r="C228" s="143">
        <f t="shared" si="199"/>
        <v>1</v>
      </c>
      <c r="D228" s="148" t="s">
        <v>124</v>
      </c>
      <c r="E228" s="147" t="s">
        <v>49</v>
      </c>
      <c r="F228" s="169">
        <f>SUBTOTAL(9,F219:F227)</f>
        <v>52.462921384415736</v>
      </c>
      <c r="G228" s="170">
        <f t="shared" ref="G228:J228" si="211">SUBTOTAL(9,G219:G227)</f>
        <v>104431.14188793051</v>
      </c>
      <c r="H228" s="170">
        <f t="shared" si="211"/>
        <v>1600.4018579765461</v>
      </c>
      <c r="I228" s="170">
        <f t="shared" si="211"/>
        <v>0</v>
      </c>
      <c r="J228" s="170">
        <f t="shared" si="211"/>
        <v>1892.8788515275828</v>
      </c>
      <c r="K228" s="170">
        <f t="shared" ref="K228:P228" si="212">SUBTOTAL(9,K219:K227)</f>
        <v>738.03490012779253</v>
      </c>
      <c r="L228" s="170">
        <f t="shared" si="212"/>
        <v>87.485640335791032</v>
      </c>
      <c r="M228" s="170">
        <f t="shared" si="212"/>
        <v>0.2212570348056575</v>
      </c>
      <c r="N228" s="170">
        <f t="shared" si="212"/>
        <v>0</v>
      </c>
      <c r="O228" s="170">
        <f t="shared" si="212"/>
        <v>0</v>
      </c>
      <c r="P228" s="170">
        <f t="shared" si="212"/>
        <v>372.71208465168849</v>
      </c>
      <c r="Q228" s="170">
        <f t="shared" si="197"/>
        <v>109122.87647958472</v>
      </c>
    </row>
    <row r="229" spans="3:17" ht="15.75" hidden="1" thickBot="1" x14ac:dyDescent="0.3">
      <c r="D229" s="143"/>
      <c r="E229" s="143"/>
      <c r="F229" s="143"/>
      <c r="G229" s="143"/>
      <c r="H229" s="143"/>
      <c r="I229" s="143"/>
      <c r="J229" s="143"/>
      <c r="K229" s="143"/>
      <c r="L229" s="143"/>
      <c r="M229" s="143"/>
      <c r="N229" s="143"/>
      <c r="O229" s="143"/>
      <c r="P229" s="143"/>
      <c r="Q229" s="143"/>
    </row>
    <row r="230" spans="3:17" ht="45" x14ac:dyDescent="0.25">
      <c r="C230" s="143">
        <f>IF(E230&gt;0,1,0)</f>
        <v>1</v>
      </c>
      <c r="D230" s="163" t="str">
        <f>A19</f>
        <v>Essex</v>
      </c>
      <c r="E230" s="166">
        <f>SUMIF(A:A,D230,B:B)</f>
        <v>2.022791098305527E-4</v>
      </c>
      <c r="F230" s="509" t="s">
        <v>97</v>
      </c>
      <c r="G230" s="509" t="s">
        <v>126</v>
      </c>
      <c r="H230" s="509" t="s">
        <v>127</v>
      </c>
      <c r="I230" s="508" t="s">
        <v>128</v>
      </c>
      <c r="J230" s="508" t="s">
        <v>487</v>
      </c>
      <c r="K230" s="508" t="s">
        <v>474</v>
      </c>
      <c r="L230" s="508" t="s">
        <v>475</v>
      </c>
      <c r="M230" s="508" t="s">
        <v>476</v>
      </c>
      <c r="N230" s="508" t="s">
        <v>477</v>
      </c>
      <c r="O230" s="508" t="s">
        <v>478</v>
      </c>
      <c r="P230" s="508" t="s">
        <v>479</v>
      </c>
      <c r="Q230" s="508" t="s">
        <v>129</v>
      </c>
    </row>
    <row r="231" spans="3:17" ht="18.75" x14ac:dyDescent="0.25">
      <c r="C231" s="143">
        <f>C230</f>
        <v>1</v>
      </c>
      <c r="D231" s="160"/>
      <c r="E231" s="159"/>
      <c r="F231" s="49" t="s">
        <v>57</v>
      </c>
      <c r="G231" s="49" t="s">
        <v>56</v>
      </c>
      <c r="H231" s="49" t="s">
        <v>55</v>
      </c>
      <c r="I231" s="49" t="s">
        <v>54</v>
      </c>
      <c r="J231" s="58" t="s">
        <v>53</v>
      </c>
      <c r="K231" s="49" t="s">
        <v>52</v>
      </c>
      <c r="L231" s="49" t="s">
        <v>51</v>
      </c>
      <c r="M231" s="49" t="s">
        <v>50</v>
      </c>
      <c r="N231" s="49" t="s">
        <v>49</v>
      </c>
      <c r="O231" s="49" t="s">
        <v>47</v>
      </c>
      <c r="P231" s="49" t="s">
        <v>77</v>
      </c>
      <c r="Q231" s="573" t="s">
        <v>78</v>
      </c>
    </row>
    <row r="232" spans="3:17" ht="18.75" x14ac:dyDescent="0.25">
      <c r="C232" s="143">
        <f>C231</f>
        <v>1</v>
      </c>
      <c r="D232" s="158" t="s">
        <v>26</v>
      </c>
      <c r="E232" s="157"/>
      <c r="F232" s="156"/>
      <c r="G232" s="156"/>
      <c r="H232" s="156"/>
      <c r="I232" s="155"/>
      <c r="J232" s="154"/>
      <c r="K232" s="154"/>
      <c r="L232" s="154"/>
      <c r="M232" s="154"/>
      <c r="N232" s="154"/>
      <c r="O232" s="154"/>
      <c r="P232" s="154"/>
      <c r="Q232" s="153"/>
    </row>
    <row r="233" spans="3:17" ht="18.75" x14ac:dyDescent="0.25">
      <c r="C233" s="143">
        <f t="shared" ref="C233:C242" si="213">C232</f>
        <v>1</v>
      </c>
      <c r="D233" s="152" t="s">
        <v>105</v>
      </c>
      <c r="E233" s="38" t="s">
        <v>57</v>
      </c>
      <c r="F233" s="168">
        <f>F6*$E$230</f>
        <v>0.37826546651509413</v>
      </c>
      <c r="G233" s="186">
        <f>G6*$E$230</f>
        <v>757.63676592715069</v>
      </c>
      <c r="H233" s="186">
        <f t="shared" ref="H233:J233" si="214">H6*$E$230</f>
        <v>11.421861873825513</v>
      </c>
      <c r="I233" s="186">
        <f t="shared" si="214"/>
        <v>0</v>
      </c>
      <c r="J233" s="186">
        <f t="shared" si="214"/>
        <v>14.555484886094307</v>
      </c>
      <c r="K233" s="186">
        <f t="shared" ref="K233:P233" si="215">K6*$E$230</f>
        <v>2.5053279148063106</v>
      </c>
      <c r="L233" s="186">
        <f t="shared" si="215"/>
        <v>0.67272974951896058</v>
      </c>
      <c r="M233" s="186">
        <f t="shared" si="215"/>
        <v>0</v>
      </c>
      <c r="N233" s="186">
        <f t="shared" si="215"/>
        <v>0</v>
      </c>
      <c r="O233" s="186">
        <f t="shared" si="215"/>
        <v>0</v>
      </c>
      <c r="P233" s="186">
        <f t="shared" si="215"/>
        <v>0</v>
      </c>
      <c r="Q233" s="189">
        <f>SUM(G233:P233)</f>
        <v>786.79217035139573</v>
      </c>
    </row>
    <row r="234" spans="3:17" ht="18.75" x14ac:dyDescent="0.25">
      <c r="C234" s="143">
        <f t="shared" si="213"/>
        <v>1</v>
      </c>
      <c r="D234" s="150" t="s">
        <v>31</v>
      </c>
      <c r="E234" s="38"/>
      <c r="F234" s="167"/>
      <c r="G234" s="185"/>
      <c r="H234" s="185"/>
      <c r="I234" s="187"/>
      <c r="J234" s="188"/>
      <c r="K234" s="188"/>
      <c r="L234" s="188"/>
      <c r="M234" s="188"/>
      <c r="N234" s="188"/>
      <c r="O234" s="188"/>
      <c r="P234" s="188"/>
      <c r="Q234" s="171"/>
    </row>
    <row r="235" spans="3:17" ht="18.75" x14ac:dyDescent="0.3">
      <c r="C235" s="143">
        <f t="shared" si="213"/>
        <v>1</v>
      </c>
      <c r="D235" s="149" t="s">
        <v>118</v>
      </c>
      <c r="E235" s="38" t="s">
        <v>56</v>
      </c>
      <c r="F235" s="168">
        <f t="shared" ref="F235:J241" si="216">F8*$E$230</f>
        <v>0</v>
      </c>
      <c r="G235" s="186">
        <f t="shared" si="216"/>
        <v>0</v>
      </c>
      <c r="H235" s="186">
        <f t="shared" si="216"/>
        <v>0</v>
      </c>
      <c r="I235" s="186">
        <f t="shared" si="216"/>
        <v>0</v>
      </c>
      <c r="J235" s="186">
        <f t="shared" si="216"/>
        <v>0</v>
      </c>
      <c r="K235" s="186">
        <f t="shared" ref="K235:P235" si="217">K8*$E$230</f>
        <v>0</v>
      </c>
      <c r="L235" s="186">
        <f t="shared" si="217"/>
        <v>0</v>
      </c>
      <c r="M235" s="186">
        <f t="shared" si="217"/>
        <v>0</v>
      </c>
      <c r="N235" s="186">
        <f t="shared" si="217"/>
        <v>0</v>
      </c>
      <c r="O235" s="186">
        <f t="shared" si="217"/>
        <v>0</v>
      </c>
      <c r="P235" s="186">
        <f t="shared" si="217"/>
        <v>0</v>
      </c>
      <c r="Q235" s="189">
        <f t="shared" ref="Q235:Q241" si="218">SUM(G235:P235)</f>
        <v>0</v>
      </c>
    </row>
    <row r="236" spans="3:17" ht="18.75" x14ac:dyDescent="0.3">
      <c r="C236" s="143">
        <f t="shared" si="213"/>
        <v>1</v>
      </c>
      <c r="D236" s="149" t="s">
        <v>119</v>
      </c>
      <c r="E236" s="38" t="s">
        <v>55</v>
      </c>
      <c r="F236" s="168">
        <f t="shared" si="216"/>
        <v>0</v>
      </c>
      <c r="G236" s="186">
        <f t="shared" si="216"/>
        <v>0</v>
      </c>
      <c r="H236" s="186">
        <f t="shared" si="216"/>
        <v>0</v>
      </c>
      <c r="I236" s="186">
        <f t="shared" si="216"/>
        <v>0</v>
      </c>
      <c r="J236" s="186">
        <f t="shared" si="216"/>
        <v>0</v>
      </c>
      <c r="K236" s="186">
        <f t="shared" ref="K236:P236" si="219">K9*$E$230</f>
        <v>0</v>
      </c>
      <c r="L236" s="186">
        <f t="shared" si="219"/>
        <v>0</v>
      </c>
      <c r="M236" s="186">
        <f t="shared" si="219"/>
        <v>0</v>
      </c>
      <c r="N236" s="186">
        <f t="shared" si="219"/>
        <v>0</v>
      </c>
      <c r="O236" s="186">
        <f t="shared" si="219"/>
        <v>0</v>
      </c>
      <c r="P236" s="186">
        <f t="shared" si="219"/>
        <v>0</v>
      </c>
      <c r="Q236" s="189">
        <f t="shared" si="218"/>
        <v>0</v>
      </c>
    </row>
    <row r="237" spans="3:17" ht="18.75" x14ac:dyDescent="0.3">
      <c r="C237" s="143">
        <f t="shared" si="213"/>
        <v>1</v>
      </c>
      <c r="D237" s="149" t="s">
        <v>120</v>
      </c>
      <c r="E237" s="38" t="s">
        <v>54</v>
      </c>
      <c r="F237" s="168">
        <f t="shared" si="216"/>
        <v>0</v>
      </c>
      <c r="G237" s="186">
        <f t="shared" si="216"/>
        <v>0</v>
      </c>
      <c r="H237" s="186">
        <f t="shared" si="216"/>
        <v>0</v>
      </c>
      <c r="I237" s="186">
        <f t="shared" si="216"/>
        <v>0</v>
      </c>
      <c r="J237" s="186">
        <f t="shared" si="216"/>
        <v>0</v>
      </c>
      <c r="K237" s="186">
        <f t="shared" ref="K237:P237" si="220">K10*$E$230</f>
        <v>0</v>
      </c>
      <c r="L237" s="186">
        <f t="shared" si="220"/>
        <v>0</v>
      </c>
      <c r="M237" s="186">
        <f t="shared" si="220"/>
        <v>0</v>
      </c>
      <c r="N237" s="186">
        <f t="shared" si="220"/>
        <v>0</v>
      </c>
      <c r="O237" s="186">
        <f t="shared" si="220"/>
        <v>0</v>
      </c>
      <c r="P237" s="186">
        <f t="shared" si="220"/>
        <v>0</v>
      </c>
      <c r="Q237" s="189">
        <f t="shared" si="218"/>
        <v>0</v>
      </c>
    </row>
    <row r="238" spans="3:17" ht="18.75" x14ac:dyDescent="0.3">
      <c r="C238" s="143">
        <f t="shared" si="213"/>
        <v>1</v>
      </c>
      <c r="D238" s="149" t="s">
        <v>121</v>
      </c>
      <c r="E238" s="38" t="s">
        <v>53</v>
      </c>
      <c r="F238" s="168">
        <f t="shared" si="216"/>
        <v>0</v>
      </c>
      <c r="G238" s="186">
        <f t="shared" si="216"/>
        <v>0</v>
      </c>
      <c r="H238" s="186">
        <f t="shared" si="216"/>
        <v>0</v>
      </c>
      <c r="I238" s="186">
        <f t="shared" si="216"/>
        <v>0</v>
      </c>
      <c r="J238" s="186">
        <f t="shared" si="216"/>
        <v>0</v>
      </c>
      <c r="K238" s="186">
        <f t="shared" ref="K238:P238" si="221">K11*$E$230</f>
        <v>0</v>
      </c>
      <c r="L238" s="186">
        <f t="shared" si="221"/>
        <v>0</v>
      </c>
      <c r="M238" s="186">
        <f t="shared" si="221"/>
        <v>0</v>
      </c>
      <c r="N238" s="186">
        <f t="shared" si="221"/>
        <v>0</v>
      </c>
      <c r="O238" s="186">
        <f t="shared" si="221"/>
        <v>0</v>
      </c>
      <c r="P238" s="186">
        <f t="shared" si="221"/>
        <v>0</v>
      </c>
      <c r="Q238" s="189">
        <f t="shared" si="218"/>
        <v>0</v>
      </c>
    </row>
    <row r="239" spans="3:17" ht="18.75" x14ac:dyDescent="0.3">
      <c r="C239" s="143">
        <f t="shared" si="213"/>
        <v>1</v>
      </c>
      <c r="D239" s="149" t="s">
        <v>122</v>
      </c>
      <c r="E239" s="38" t="s">
        <v>52</v>
      </c>
      <c r="F239" s="168">
        <f t="shared" si="216"/>
        <v>0</v>
      </c>
      <c r="G239" s="186">
        <f t="shared" si="216"/>
        <v>0</v>
      </c>
      <c r="H239" s="186">
        <f t="shared" si="216"/>
        <v>0</v>
      </c>
      <c r="I239" s="186">
        <f t="shared" si="216"/>
        <v>0</v>
      </c>
      <c r="J239" s="186">
        <f t="shared" si="216"/>
        <v>0</v>
      </c>
      <c r="K239" s="186">
        <f t="shared" ref="K239:P239" si="222">K12*$E$230</f>
        <v>0</v>
      </c>
      <c r="L239" s="186">
        <f t="shared" si="222"/>
        <v>0</v>
      </c>
      <c r="M239" s="186">
        <f t="shared" si="222"/>
        <v>0</v>
      </c>
      <c r="N239" s="186">
        <f t="shared" si="222"/>
        <v>0</v>
      </c>
      <c r="O239" s="186">
        <f t="shared" si="222"/>
        <v>0</v>
      </c>
      <c r="P239" s="186">
        <f t="shared" si="222"/>
        <v>0</v>
      </c>
      <c r="Q239" s="189">
        <f t="shared" si="218"/>
        <v>0</v>
      </c>
    </row>
    <row r="240" spans="3:17" ht="18.75" x14ac:dyDescent="0.3">
      <c r="C240" s="143">
        <f t="shared" si="213"/>
        <v>1</v>
      </c>
      <c r="D240" s="149" t="s">
        <v>123</v>
      </c>
      <c r="E240" s="38" t="s">
        <v>51</v>
      </c>
      <c r="F240" s="168">
        <f t="shared" si="216"/>
        <v>0</v>
      </c>
      <c r="G240" s="186">
        <f t="shared" si="216"/>
        <v>0</v>
      </c>
      <c r="H240" s="186">
        <f t="shared" si="216"/>
        <v>0</v>
      </c>
      <c r="I240" s="186">
        <f t="shared" si="216"/>
        <v>0</v>
      </c>
      <c r="J240" s="186">
        <f t="shared" si="216"/>
        <v>0</v>
      </c>
      <c r="K240" s="186">
        <f t="shared" ref="K240:P240" si="223">K13*$E$230</f>
        <v>0</v>
      </c>
      <c r="L240" s="186">
        <f t="shared" si="223"/>
        <v>0</v>
      </c>
      <c r="M240" s="186">
        <f t="shared" si="223"/>
        <v>0</v>
      </c>
      <c r="N240" s="186">
        <f t="shared" si="223"/>
        <v>0</v>
      </c>
      <c r="O240" s="186">
        <f t="shared" si="223"/>
        <v>0</v>
      </c>
      <c r="P240" s="186">
        <f t="shared" si="223"/>
        <v>0</v>
      </c>
      <c r="Q240" s="189">
        <f t="shared" si="218"/>
        <v>0</v>
      </c>
    </row>
    <row r="241" spans="3:17" ht="19.5" thickBot="1" x14ac:dyDescent="0.35">
      <c r="C241" s="143">
        <f t="shared" si="213"/>
        <v>1</v>
      </c>
      <c r="D241" s="149" t="s">
        <v>16</v>
      </c>
      <c r="E241" s="37" t="s">
        <v>50</v>
      </c>
      <c r="F241" s="168">
        <f t="shared" si="216"/>
        <v>2.5153515463050471E-2</v>
      </c>
      <c r="G241" s="186">
        <f t="shared" si="216"/>
        <v>45.397145176373904</v>
      </c>
      <c r="H241" s="186">
        <f t="shared" si="216"/>
        <v>0.88459135568557512</v>
      </c>
      <c r="I241" s="186">
        <f t="shared" si="216"/>
        <v>0</v>
      </c>
      <c r="J241" s="186">
        <f t="shared" si="216"/>
        <v>0</v>
      </c>
      <c r="K241" s="186">
        <f t="shared" ref="K241:P241" si="224">K14*$E$230</f>
        <v>3.1698666839134519</v>
      </c>
      <c r="L241" s="186">
        <f t="shared" si="224"/>
        <v>0</v>
      </c>
      <c r="M241" s="186">
        <f t="shared" si="224"/>
        <v>1.7013785237532729E-3</v>
      </c>
      <c r="N241" s="186">
        <f t="shared" si="224"/>
        <v>0</v>
      </c>
      <c r="O241" s="186">
        <f t="shared" si="224"/>
        <v>0</v>
      </c>
      <c r="P241" s="186">
        <f t="shared" si="224"/>
        <v>2.8660075686482998</v>
      </c>
      <c r="Q241" s="189">
        <f t="shared" si="218"/>
        <v>52.319312163144986</v>
      </c>
    </row>
    <row r="242" spans="3:17" ht="19.5" thickBot="1" x14ac:dyDescent="0.3">
      <c r="C242" s="143">
        <f t="shared" si="213"/>
        <v>1</v>
      </c>
      <c r="D242" s="148" t="s">
        <v>124</v>
      </c>
      <c r="E242" s="147" t="s">
        <v>49</v>
      </c>
      <c r="F242" s="169">
        <f t="shared" ref="F242:Q242" si="225">SUBTOTAL(9,F233:F241)</f>
        <v>0.40341898197814458</v>
      </c>
      <c r="G242" s="170">
        <f t="shared" si="225"/>
        <v>803.03391110352459</v>
      </c>
      <c r="H242" s="170">
        <f t="shared" si="225"/>
        <v>12.306453229511089</v>
      </c>
      <c r="I242" s="170">
        <f t="shared" si="225"/>
        <v>0</v>
      </c>
      <c r="J242" s="170">
        <f t="shared" si="225"/>
        <v>14.555484886094307</v>
      </c>
      <c r="K242" s="170">
        <f t="shared" ref="K242:P242" si="226">SUBTOTAL(9,K233:K241)</f>
        <v>5.675194598719763</v>
      </c>
      <c r="L242" s="170">
        <f t="shared" si="226"/>
        <v>0.67272974951896058</v>
      </c>
      <c r="M242" s="170">
        <f t="shared" si="226"/>
        <v>1.7013785237532729E-3</v>
      </c>
      <c r="N242" s="170">
        <f t="shared" si="226"/>
        <v>0</v>
      </c>
      <c r="O242" s="170">
        <f t="shared" si="226"/>
        <v>0</v>
      </c>
      <c r="P242" s="170">
        <f t="shared" si="226"/>
        <v>2.8660075686482998</v>
      </c>
      <c r="Q242" s="170">
        <f t="shared" si="225"/>
        <v>839.11148251454074</v>
      </c>
    </row>
    <row r="243" spans="3:17" ht="15.75" hidden="1" thickBot="1" x14ac:dyDescent="0.3"/>
    <row r="244" spans="3:17" ht="45" x14ac:dyDescent="0.25">
      <c r="C244" s="143">
        <f>IF(E244&gt;0,1,0)</f>
        <v>1</v>
      </c>
      <c r="D244" s="163" t="str">
        <f>A20</f>
        <v>Franklin</v>
      </c>
      <c r="E244" s="166">
        <f>SUMIF(A:A,D244,B:B)</f>
        <v>9.3602280587727475E-4</v>
      </c>
      <c r="F244" s="509" t="s">
        <v>97</v>
      </c>
      <c r="G244" s="509" t="s">
        <v>126</v>
      </c>
      <c r="H244" s="509" t="s">
        <v>127</v>
      </c>
      <c r="I244" s="508" t="s">
        <v>128</v>
      </c>
      <c r="J244" s="508" t="s">
        <v>487</v>
      </c>
      <c r="K244" s="508" t="s">
        <v>474</v>
      </c>
      <c r="L244" s="508" t="s">
        <v>475</v>
      </c>
      <c r="M244" s="508" t="s">
        <v>476</v>
      </c>
      <c r="N244" s="508" t="s">
        <v>477</v>
      </c>
      <c r="O244" s="508" t="s">
        <v>478</v>
      </c>
      <c r="P244" s="508" t="s">
        <v>479</v>
      </c>
      <c r="Q244" s="508" t="s">
        <v>129</v>
      </c>
    </row>
    <row r="245" spans="3:17" ht="18.75" x14ac:dyDescent="0.25">
      <c r="C245" s="143">
        <f>C244</f>
        <v>1</v>
      </c>
      <c r="D245" s="160"/>
      <c r="E245" s="159"/>
      <c r="F245" s="49" t="s">
        <v>57</v>
      </c>
      <c r="G245" s="49" t="s">
        <v>56</v>
      </c>
      <c r="H245" s="49" t="s">
        <v>55</v>
      </c>
      <c r="I245" s="49" t="s">
        <v>54</v>
      </c>
      <c r="J245" s="58" t="s">
        <v>53</v>
      </c>
      <c r="K245" s="49" t="s">
        <v>52</v>
      </c>
      <c r="L245" s="49" t="s">
        <v>51</v>
      </c>
      <c r="M245" s="49" t="s">
        <v>50</v>
      </c>
      <c r="N245" s="49" t="s">
        <v>49</v>
      </c>
      <c r="O245" s="49" t="s">
        <v>47</v>
      </c>
      <c r="P245" s="49" t="s">
        <v>77</v>
      </c>
      <c r="Q245" s="573" t="s">
        <v>78</v>
      </c>
    </row>
    <row r="246" spans="3:17" ht="18.75" x14ac:dyDescent="0.25">
      <c r="C246" s="143">
        <f>C245</f>
        <v>1</v>
      </c>
      <c r="D246" s="158" t="s">
        <v>26</v>
      </c>
      <c r="E246" s="157"/>
      <c r="F246" s="156"/>
      <c r="G246" s="156"/>
      <c r="H246" s="156"/>
      <c r="I246" s="155"/>
      <c r="J246" s="154"/>
      <c r="K246" s="154"/>
      <c r="L246" s="154"/>
      <c r="M246" s="154"/>
      <c r="N246" s="154"/>
      <c r="O246" s="154"/>
      <c r="P246" s="154"/>
      <c r="Q246" s="153"/>
    </row>
    <row r="247" spans="3:17" ht="18.75" x14ac:dyDescent="0.25">
      <c r="C247" s="143">
        <f t="shared" ref="C247:C256" si="227">C246</f>
        <v>1</v>
      </c>
      <c r="D247" s="152" t="s">
        <v>105</v>
      </c>
      <c r="E247" s="38" t="s">
        <v>57</v>
      </c>
      <c r="F247" s="168">
        <f>F6*$E$244</f>
        <v>1.7503789868886201</v>
      </c>
      <c r="G247" s="186">
        <f>G6*$E$244</f>
        <v>3505.8750855339272</v>
      </c>
      <c r="H247" s="186">
        <f t="shared" ref="H247:J247" si="228">H6*$E$244</f>
        <v>52.853323353245315</v>
      </c>
      <c r="I247" s="186">
        <f t="shared" si="228"/>
        <v>0</v>
      </c>
      <c r="J247" s="186">
        <f t="shared" si="228"/>
        <v>67.353795532317577</v>
      </c>
      <c r="K247" s="186">
        <f t="shared" ref="K247:P247" si="229">K6*$E$244</f>
        <v>11.593110462192987</v>
      </c>
      <c r="L247" s="186">
        <f t="shared" si="229"/>
        <v>3.1129778466463467</v>
      </c>
      <c r="M247" s="186">
        <f t="shared" si="229"/>
        <v>0</v>
      </c>
      <c r="N247" s="186">
        <f t="shared" si="229"/>
        <v>0</v>
      </c>
      <c r="O247" s="186">
        <f t="shared" si="229"/>
        <v>0</v>
      </c>
      <c r="P247" s="186">
        <f t="shared" si="229"/>
        <v>0</v>
      </c>
      <c r="Q247" s="189">
        <f>SUM(G247:P247)</f>
        <v>3640.7882927283299</v>
      </c>
    </row>
    <row r="248" spans="3:17" ht="18.75" x14ac:dyDescent="0.25">
      <c r="C248" s="143">
        <f t="shared" si="227"/>
        <v>1</v>
      </c>
      <c r="D248" s="150" t="s">
        <v>31</v>
      </c>
      <c r="E248" s="38"/>
      <c r="F248" s="167"/>
      <c r="G248" s="185"/>
      <c r="H248" s="185"/>
      <c r="I248" s="187"/>
      <c r="J248" s="188"/>
      <c r="K248" s="188"/>
      <c r="L248" s="188"/>
      <c r="M248" s="188"/>
      <c r="N248" s="188"/>
      <c r="O248" s="188"/>
      <c r="P248" s="188"/>
      <c r="Q248" s="171"/>
    </row>
    <row r="249" spans="3:17" ht="18.75" x14ac:dyDescent="0.3">
      <c r="C249" s="143">
        <f t="shared" si="227"/>
        <v>1</v>
      </c>
      <c r="D249" s="149" t="s">
        <v>118</v>
      </c>
      <c r="E249" s="38" t="s">
        <v>56</v>
      </c>
      <c r="F249" s="168">
        <f t="shared" ref="F249:J255" si="230">F8*$E$244</f>
        <v>0</v>
      </c>
      <c r="G249" s="186">
        <f t="shared" si="230"/>
        <v>0</v>
      </c>
      <c r="H249" s="186">
        <f t="shared" si="230"/>
        <v>0</v>
      </c>
      <c r="I249" s="186">
        <f t="shared" si="230"/>
        <v>0</v>
      </c>
      <c r="J249" s="186">
        <f t="shared" si="230"/>
        <v>0</v>
      </c>
      <c r="K249" s="186">
        <f t="shared" ref="K249:P249" si="231">K8*$E$244</f>
        <v>0</v>
      </c>
      <c r="L249" s="186">
        <f t="shared" si="231"/>
        <v>0</v>
      </c>
      <c r="M249" s="186">
        <f t="shared" si="231"/>
        <v>0</v>
      </c>
      <c r="N249" s="186">
        <f t="shared" si="231"/>
        <v>0</v>
      </c>
      <c r="O249" s="186">
        <f t="shared" si="231"/>
        <v>0</v>
      </c>
      <c r="P249" s="186">
        <f t="shared" si="231"/>
        <v>0</v>
      </c>
      <c r="Q249" s="189">
        <f t="shared" ref="Q249:Q255" si="232">SUM(G249:P249)</f>
        <v>0</v>
      </c>
    </row>
    <row r="250" spans="3:17" ht="18.75" x14ac:dyDescent="0.3">
      <c r="C250" s="143">
        <f t="shared" si="227"/>
        <v>1</v>
      </c>
      <c r="D250" s="149" t="s">
        <v>119</v>
      </c>
      <c r="E250" s="38" t="s">
        <v>55</v>
      </c>
      <c r="F250" s="168">
        <f t="shared" si="230"/>
        <v>0</v>
      </c>
      <c r="G250" s="186">
        <f t="shared" si="230"/>
        <v>0</v>
      </c>
      <c r="H250" s="186">
        <f t="shared" si="230"/>
        <v>0</v>
      </c>
      <c r="I250" s="186">
        <f t="shared" si="230"/>
        <v>0</v>
      </c>
      <c r="J250" s="186">
        <f t="shared" si="230"/>
        <v>0</v>
      </c>
      <c r="K250" s="186">
        <f t="shared" ref="K250:P250" si="233">K9*$E$244</f>
        <v>0</v>
      </c>
      <c r="L250" s="186">
        <f t="shared" si="233"/>
        <v>0</v>
      </c>
      <c r="M250" s="186">
        <f t="shared" si="233"/>
        <v>0</v>
      </c>
      <c r="N250" s="186">
        <f t="shared" si="233"/>
        <v>0</v>
      </c>
      <c r="O250" s="186">
        <f t="shared" si="233"/>
        <v>0</v>
      </c>
      <c r="P250" s="186">
        <f t="shared" si="233"/>
        <v>0</v>
      </c>
      <c r="Q250" s="189">
        <f t="shared" si="232"/>
        <v>0</v>
      </c>
    </row>
    <row r="251" spans="3:17" ht="18.75" x14ac:dyDescent="0.3">
      <c r="C251" s="143">
        <f t="shared" si="227"/>
        <v>1</v>
      </c>
      <c r="D251" s="149" t="s">
        <v>120</v>
      </c>
      <c r="E251" s="38" t="s">
        <v>54</v>
      </c>
      <c r="F251" s="168">
        <f t="shared" si="230"/>
        <v>0</v>
      </c>
      <c r="G251" s="186">
        <f t="shared" si="230"/>
        <v>0</v>
      </c>
      <c r="H251" s="186">
        <f t="shared" si="230"/>
        <v>0</v>
      </c>
      <c r="I251" s="186">
        <f t="shared" si="230"/>
        <v>0</v>
      </c>
      <c r="J251" s="186">
        <f t="shared" si="230"/>
        <v>0</v>
      </c>
      <c r="K251" s="186">
        <f t="shared" ref="K251:P251" si="234">K10*$E$244</f>
        <v>0</v>
      </c>
      <c r="L251" s="186">
        <f t="shared" si="234"/>
        <v>0</v>
      </c>
      <c r="M251" s="186">
        <f t="shared" si="234"/>
        <v>0</v>
      </c>
      <c r="N251" s="186">
        <f t="shared" si="234"/>
        <v>0</v>
      </c>
      <c r="O251" s="186">
        <f t="shared" si="234"/>
        <v>0</v>
      </c>
      <c r="P251" s="186">
        <f t="shared" si="234"/>
        <v>0</v>
      </c>
      <c r="Q251" s="189">
        <f t="shared" si="232"/>
        <v>0</v>
      </c>
    </row>
    <row r="252" spans="3:17" ht="18.75" x14ac:dyDescent="0.3">
      <c r="C252" s="143">
        <f t="shared" si="227"/>
        <v>1</v>
      </c>
      <c r="D252" s="149" t="s">
        <v>121</v>
      </c>
      <c r="E252" s="38" t="s">
        <v>53</v>
      </c>
      <c r="F252" s="168">
        <f t="shared" si="230"/>
        <v>0</v>
      </c>
      <c r="G252" s="186">
        <f t="shared" si="230"/>
        <v>0</v>
      </c>
      <c r="H252" s="186">
        <f t="shared" si="230"/>
        <v>0</v>
      </c>
      <c r="I252" s="186">
        <f t="shared" si="230"/>
        <v>0</v>
      </c>
      <c r="J252" s="186">
        <f t="shared" si="230"/>
        <v>0</v>
      </c>
      <c r="K252" s="186">
        <f t="shared" ref="K252:P252" si="235">K11*$E$244</f>
        <v>0</v>
      </c>
      <c r="L252" s="186">
        <f t="shared" si="235"/>
        <v>0</v>
      </c>
      <c r="M252" s="186">
        <f t="shared" si="235"/>
        <v>0</v>
      </c>
      <c r="N252" s="186">
        <f t="shared" si="235"/>
        <v>0</v>
      </c>
      <c r="O252" s="186">
        <f t="shared" si="235"/>
        <v>0</v>
      </c>
      <c r="P252" s="186">
        <f t="shared" si="235"/>
        <v>0</v>
      </c>
      <c r="Q252" s="189">
        <f t="shared" si="232"/>
        <v>0</v>
      </c>
    </row>
    <row r="253" spans="3:17" ht="18.75" x14ac:dyDescent="0.3">
      <c r="C253" s="143">
        <f t="shared" si="227"/>
        <v>1</v>
      </c>
      <c r="D253" s="149" t="s">
        <v>122</v>
      </c>
      <c r="E253" s="38" t="s">
        <v>52</v>
      </c>
      <c r="F253" s="168">
        <f t="shared" si="230"/>
        <v>0</v>
      </c>
      <c r="G253" s="186">
        <f t="shared" si="230"/>
        <v>0</v>
      </c>
      <c r="H253" s="186">
        <f t="shared" si="230"/>
        <v>0</v>
      </c>
      <c r="I253" s="186">
        <f t="shared" si="230"/>
        <v>0</v>
      </c>
      <c r="J253" s="186">
        <f t="shared" si="230"/>
        <v>0</v>
      </c>
      <c r="K253" s="186">
        <f t="shared" ref="K253:P253" si="236">K12*$E$244</f>
        <v>0</v>
      </c>
      <c r="L253" s="186">
        <f t="shared" si="236"/>
        <v>0</v>
      </c>
      <c r="M253" s="186">
        <f t="shared" si="236"/>
        <v>0</v>
      </c>
      <c r="N253" s="186">
        <f t="shared" si="236"/>
        <v>0</v>
      </c>
      <c r="O253" s="186">
        <f t="shared" si="236"/>
        <v>0</v>
      </c>
      <c r="P253" s="186">
        <f t="shared" si="236"/>
        <v>0</v>
      </c>
      <c r="Q253" s="189">
        <f t="shared" si="232"/>
        <v>0</v>
      </c>
    </row>
    <row r="254" spans="3:17" ht="18.75" x14ac:dyDescent="0.3">
      <c r="C254" s="143">
        <f t="shared" si="227"/>
        <v>1</v>
      </c>
      <c r="D254" s="149" t="s">
        <v>123</v>
      </c>
      <c r="E254" s="38" t="s">
        <v>51</v>
      </c>
      <c r="F254" s="168">
        <f t="shared" si="230"/>
        <v>0</v>
      </c>
      <c r="G254" s="186">
        <f t="shared" si="230"/>
        <v>0</v>
      </c>
      <c r="H254" s="186">
        <f t="shared" si="230"/>
        <v>0</v>
      </c>
      <c r="I254" s="186">
        <f t="shared" si="230"/>
        <v>0</v>
      </c>
      <c r="J254" s="186">
        <f t="shared" si="230"/>
        <v>0</v>
      </c>
      <c r="K254" s="186">
        <f t="shared" ref="K254:P254" si="237">K13*$E$244</f>
        <v>0</v>
      </c>
      <c r="L254" s="186">
        <f t="shared" si="237"/>
        <v>0</v>
      </c>
      <c r="M254" s="186">
        <f t="shared" si="237"/>
        <v>0</v>
      </c>
      <c r="N254" s="186">
        <f t="shared" si="237"/>
        <v>0</v>
      </c>
      <c r="O254" s="186">
        <f t="shared" si="237"/>
        <v>0</v>
      </c>
      <c r="P254" s="186">
        <f t="shared" si="237"/>
        <v>0</v>
      </c>
      <c r="Q254" s="189">
        <f t="shared" si="232"/>
        <v>0</v>
      </c>
    </row>
    <row r="255" spans="3:17" ht="19.5" thickBot="1" x14ac:dyDescent="0.35">
      <c r="C255" s="143">
        <f t="shared" si="227"/>
        <v>1</v>
      </c>
      <c r="D255" s="149" t="s">
        <v>16</v>
      </c>
      <c r="E255" s="37" t="s">
        <v>50</v>
      </c>
      <c r="F255" s="168">
        <f t="shared" si="230"/>
        <v>0.11639493638826436</v>
      </c>
      <c r="G255" s="186">
        <f t="shared" si="230"/>
        <v>210.06995355280768</v>
      </c>
      <c r="H255" s="186">
        <f t="shared" si="230"/>
        <v>4.093342528040588</v>
      </c>
      <c r="I255" s="186">
        <f t="shared" si="230"/>
        <v>0</v>
      </c>
      <c r="J255" s="186">
        <f t="shared" si="230"/>
        <v>0</v>
      </c>
      <c r="K255" s="186">
        <f t="shared" ref="K255:P255" si="238">K14*$E$244</f>
        <v>14.668185509710055</v>
      </c>
      <c r="L255" s="186">
        <f t="shared" si="238"/>
        <v>0</v>
      </c>
      <c r="M255" s="186">
        <f t="shared" si="238"/>
        <v>7.8729291472407637E-3</v>
      </c>
      <c r="N255" s="186">
        <f t="shared" si="238"/>
        <v>0</v>
      </c>
      <c r="O255" s="186">
        <f t="shared" si="238"/>
        <v>0</v>
      </c>
      <c r="P255" s="186">
        <f t="shared" si="238"/>
        <v>13.2621131678843</v>
      </c>
      <c r="Q255" s="189">
        <f t="shared" si="232"/>
        <v>242.10146768758986</v>
      </c>
    </row>
    <row r="256" spans="3:17" ht="19.5" thickBot="1" x14ac:dyDescent="0.3">
      <c r="C256" s="143">
        <f t="shared" si="227"/>
        <v>1</v>
      </c>
      <c r="D256" s="148" t="s">
        <v>124</v>
      </c>
      <c r="E256" s="147" t="s">
        <v>49</v>
      </c>
      <c r="F256" s="169">
        <f t="shared" ref="F256:Q256" si="239">SUBTOTAL(9,F247:F255)</f>
        <v>1.8667739232768845</v>
      </c>
      <c r="G256" s="170">
        <f>SUBTOTAL(9,G247:G255)</f>
        <v>3715.9450390867351</v>
      </c>
      <c r="H256" s="170">
        <f t="shared" si="239"/>
        <v>56.946665881285902</v>
      </c>
      <c r="I256" s="170">
        <f t="shared" si="239"/>
        <v>0</v>
      </c>
      <c r="J256" s="170">
        <f t="shared" si="239"/>
        <v>67.353795532317577</v>
      </c>
      <c r="K256" s="170">
        <f t="shared" ref="K256:P256" si="240">SUBTOTAL(9,K247:K255)</f>
        <v>26.261295971903042</v>
      </c>
      <c r="L256" s="170">
        <f t="shared" si="240"/>
        <v>3.1129778466463467</v>
      </c>
      <c r="M256" s="170">
        <f t="shared" si="240"/>
        <v>7.8729291472407637E-3</v>
      </c>
      <c r="N256" s="170">
        <f t="shared" si="240"/>
        <v>0</v>
      </c>
      <c r="O256" s="170">
        <f t="shared" si="240"/>
        <v>0</v>
      </c>
      <c r="P256" s="170">
        <f t="shared" si="240"/>
        <v>13.2621131678843</v>
      </c>
      <c r="Q256" s="170">
        <f t="shared" si="239"/>
        <v>3882.8897604159197</v>
      </c>
    </row>
    <row r="257" spans="3:17" ht="15.75" hidden="1" thickBot="1" x14ac:dyDescent="0.3"/>
    <row r="258" spans="3:17" ht="45" x14ac:dyDescent="0.25">
      <c r="C258" s="143">
        <f>IF(E258&gt;0,1,0)</f>
        <v>1</v>
      </c>
      <c r="D258" s="163" t="str">
        <f>A21</f>
        <v>Fulton</v>
      </c>
      <c r="E258" s="166">
        <f>SUMIF(A:A,D258,B:B)</f>
        <v>4.1658701551888161E-3</v>
      </c>
      <c r="F258" s="509" t="s">
        <v>97</v>
      </c>
      <c r="G258" s="509" t="s">
        <v>126</v>
      </c>
      <c r="H258" s="509" t="s">
        <v>127</v>
      </c>
      <c r="I258" s="508" t="s">
        <v>128</v>
      </c>
      <c r="J258" s="508" t="s">
        <v>487</v>
      </c>
      <c r="K258" s="508" t="s">
        <v>474</v>
      </c>
      <c r="L258" s="508" t="s">
        <v>475</v>
      </c>
      <c r="M258" s="508" t="s">
        <v>476</v>
      </c>
      <c r="N258" s="508" t="s">
        <v>477</v>
      </c>
      <c r="O258" s="508" t="s">
        <v>478</v>
      </c>
      <c r="P258" s="508" t="s">
        <v>479</v>
      </c>
      <c r="Q258" s="508" t="s">
        <v>129</v>
      </c>
    </row>
    <row r="259" spans="3:17" ht="18.75" x14ac:dyDescent="0.25">
      <c r="C259" s="143">
        <f>C258</f>
        <v>1</v>
      </c>
      <c r="D259" s="160"/>
      <c r="E259" s="159"/>
      <c r="F259" s="49" t="s">
        <v>57</v>
      </c>
      <c r="G259" s="49" t="s">
        <v>56</v>
      </c>
      <c r="H259" s="49" t="s">
        <v>55</v>
      </c>
      <c r="I259" s="49" t="s">
        <v>54</v>
      </c>
      <c r="J259" s="58" t="s">
        <v>53</v>
      </c>
      <c r="K259" s="49" t="s">
        <v>52</v>
      </c>
      <c r="L259" s="49" t="s">
        <v>51</v>
      </c>
      <c r="M259" s="49" t="s">
        <v>50</v>
      </c>
      <c r="N259" s="49" t="s">
        <v>49</v>
      </c>
      <c r="O259" s="49" t="s">
        <v>47</v>
      </c>
      <c r="P259" s="49" t="s">
        <v>77</v>
      </c>
      <c r="Q259" s="573" t="s">
        <v>78</v>
      </c>
    </row>
    <row r="260" spans="3:17" ht="18.75" x14ac:dyDescent="0.25">
      <c r="C260" s="143">
        <f>C259</f>
        <v>1</v>
      </c>
      <c r="D260" s="158" t="s">
        <v>26</v>
      </c>
      <c r="E260" s="157"/>
      <c r="F260" s="156"/>
      <c r="G260" s="156"/>
      <c r="H260" s="156"/>
      <c r="I260" s="155"/>
      <c r="J260" s="154"/>
      <c r="K260" s="154"/>
      <c r="L260" s="154"/>
      <c r="M260" s="154"/>
      <c r="N260" s="154"/>
      <c r="O260" s="154"/>
      <c r="P260" s="154"/>
      <c r="Q260" s="153"/>
    </row>
    <row r="261" spans="3:17" ht="18.75" x14ac:dyDescent="0.25">
      <c r="C261" s="143">
        <f t="shared" ref="C261:C270" si="241">C260</f>
        <v>1</v>
      </c>
      <c r="D261" s="152" t="s">
        <v>105</v>
      </c>
      <c r="E261" s="38" t="s">
        <v>57</v>
      </c>
      <c r="F261" s="168">
        <f>F6*$E$258</f>
        <v>7.7902499126768063</v>
      </c>
      <c r="G261" s="186">
        <f>G6*$E$258</f>
        <v>15603.274081508589</v>
      </c>
      <c r="H261" s="186">
        <f t="shared" ref="H261:J261" si="242">H6*$E$258</f>
        <v>235.22939930236842</v>
      </c>
      <c r="I261" s="186">
        <f t="shared" si="242"/>
        <v>0</v>
      </c>
      <c r="J261" s="186">
        <f t="shared" si="242"/>
        <v>299.76531008108833</v>
      </c>
      <c r="K261" s="186">
        <f t="shared" ref="K261:P261" si="243">K6*$E$258</f>
        <v>51.596384807091084</v>
      </c>
      <c r="L261" s="186">
        <f t="shared" si="243"/>
        <v>13.854642668619205</v>
      </c>
      <c r="M261" s="186">
        <f t="shared" si="243"/>
        <v>0</v>
      </c>
      <c r="N261" s="186">
        <f t="shared" si="243"/>
        <v>0</v>
      </c>
      <c r="O261" s="186">
        <f t="shared" si="243"/>
        <v>0</v>
      </c>
      <c r="P261" s="186">
        <f t="shared" si="243"/>
        <v>0</v>
      </c>
      <c r="Q261" s="189">
        <f>SUM(G261:P261)</f>
        <v>16203.719818367756</v>
      </c>
    </row>
    <row r="262" spans="3:17" ht="18.75" x14ac:dyDescent="0.25">
      <c r="C262" s="143">
        <f t="shared" si="241"/>
        <v>1</v>
      </c>
      <c r="D262" s="150" t="s">
        <v>31</v>
      </c>
      <c r="E262" s="38"/>
      <c r="F262" s="167"/>
      <c r="G262" s="185"/>
      <c r="H262" s="185"/>
      <c r="I262" s="187"/>
      <c r="J262" s="188"/>
      <c r="K262" s="188"/>
      <c r="L262" s="188"/>
      <c r="M262" s="188"/>
      <c r="N262" s="188"/>
      <c r="O262" s="188"/>
      <c r="P262" s="188"/>
      <c r="Q262" s="171"/>
    </row>
    <row r="263" spans="3:17" ht="18.75" x14ac:dyDescent="0.3">
      <c r="C263" s="143">
        <f t="shared" si="241"/>
        <v>1</v>
      </c>
      <c r="D263" s="149" t="s">
        <v>118</v>
      </c>
      <c r="E263" s="38" t="s">
        <v>56</v>
      </c>
      <c r="F263" s="168">
        <f t="shared" ref="F263:J269" si="244">F8*$E$258</f>
        <v>0</v>
      </c>
      <c r="G263" s="186">
        <f t="shared" si="244"/>
        <v>0</v>
      </c>
      <c r="H263" s="186">
        <f t="shared" si="244"/>
        <v>0</v>
      </c>
      <c r="I263" s="186">
        <f t="shared" si="244"/>
        <v>0</v>
      </c>
      <c r="J263" s="186">
        <f t="shared" si="244"/>
        <v>0</v>
      </c>
      <c r="K263" s="186">
        <f t="shared" ref="K263:P263" si="245">K8*$E$258</f>
        <v>0</v>
      </c>
      <c r="L263" s="186">
        <f t="shared" si="245"/>
        <v>0</v>
      </c>
      <c r="M263" s="186">
        <f t="shared" si="245"/>
        <v>0</v>
      </c>
      <c r="N263" s="186">
        <f t="shared" si="245"/>
        <v>0</v>
      </c>
      <c r="O263" s="186">
        <f t="shared" si="245"/>
        <v>0</v>
      </c>
      <c r="P263" s="186">
        <f t="shared" si="245"/>
        <v>0</v>
      </c>
      <c r="Q263" s="189">
        <f t="shared" ref="Q263:Q269" si="246">SUM(G263:P263)</f>
        <v>0</v>
      </c>
    </row>
    <row r="264" spans="3:17" ht="18.75" x14ac:dyDescent="0.3">
      <c r="C264" s="143">
        <f t="shared" si="241"/>
        <v>1</v>
      </c>
      <c r="D264" s="149" t="s">
        <v>119</v>
      </c>
      <c r="E264" s="38" t="s">
        <v>55</v>
      </c>
      <c r="F264" s="168">
        <f t="shared" si="244"/>
        <v>0</v>
      </c>
      <c r="G264" s="186">
        <f t="shared" si="244"/>
        <v>0</v>
      </c>
      <c r="H264" s="186">
        <f t="shared" si="244"/>
        <v>0</v>
      </c>
      <c r="I264" s="186">
        <f t="shared" si="244"/>
        <v>0</v>
      </c>
      <c r="J264" s="186">
        <f t="shared" si="244"/>
        <v>0</v>
      </c>
      <c r="K264" s="186">
        <f t="shared" ref="K264:P264" si="247">K9*$E$258</f>
        <v>0</v>
      </c>
      <c r="L264" s="186">
        <f t="shared" si="247"/>
        <v>0</v>
      </c>
      <c r="M264" s="186">
        <f t="shared" si="247"/>
        <v>0</v>
      </c>
      <c r="N264" s="186">
        <f t="shared" si="247"/>
        <v>0</v>
      </c>
      <c r="O264" s="186">
        <f t="shared" si="247"/>
        <v>0</v>
      </c>
      <c r="P264" s="186">
        <f t="shared" si="247"/>
        <v>0</v>
      </c>
      <c r="Q264" s="189">
        <f t="shared" si="246"/>
        <v>0</v>
      </c>
    </row>
    <row r="265" spans="3:17" ht="18.75" x14ac:dyDescent="0.3">
      <c r="C265" s="143">
        <f t="shared" si="241"/>
        <v>1</v>
      </c>
      <c r="D265" s="149" t="s">
        <v>120</v>
      </c>
      <c r="E265" s="38" t="s">
        <v>54</v>
      </c>
      <c r="F265" s="168">
        <f t="shared" si="244"/>
        <v>0</v>
      </c>
      <c r="G265" s="186">
        <f t="shared" si="244"/>
        <v>0</v>
      </c>
      <c r="H265" s="186">
        <f t="shared" si="244"/>
        <v>0</v>
      </c>
      <c r="I265" s="186">
        <f t="shared" si="244"/>
        <v>0</v>
      </c>
      <c r="J265" s="186">
        <f t="shared" si="244"/>
        <v>0</v>
      </c>
      <c r="K265" s="186">
        <f t="shared" ref="K265:P265" si="248">K10*$E$258</f>
        <v>0</v>
      </c>
      <c r="L265" s="186">
        <f t="shared" si="248"/>
        <v>0</v>
      </c>
      <c r="M265" s="186">
        <f t="shared" si="248"/>
        <v>0</v>
      </c>
      <c r="N265" s="186">
        <f t="shared" si="248"/>
        <v>0</v>
      </c>
      <c r="O265" s="186">
        <f t="shared" si="248"/>
        <v>0</v>
      </c>
      <c r="P265" s="186">
        <f t="shared" si="248"/>
        <v>0</v>
      </c>
      <c r="Q265" s="189">
        <f t="shared" si="246"/>
        <v>0</v>
      </c>
    </row>
    <row r="266" spans="3:17" ht="18.75" x14ac:dyDescent="0.3">
      <c r="C266" s="143">
        <f t="shared" si="241"/>
        <v>1</v>
      </c>
      <c r="D266" s="149" t="s">
        <v>121</v>
      </c>
      <c r="E266" s="38" t="s">
        <v>53</v>
      </c>
      <c r="F266" s="168">
        <f t="shared" si="244"/>
        <v>0</v>
      </c>
      <c r="G266" s="186">
        <f t="shared" si="244"/>
        <v>0</v>
      </c>
      <c r="H266" s="186">
        <f t="shared" si="244"/>
        <v>0</v>
      </c>
      <c r="I266" s="186">
        <f t="shared" si="244"/>
        <v>0</v>
      </c>
      <c r="J266" s="186">
        <f t="shared" si="244"/>
        <v>0</v>
      </c>
      <c r="K266" s="186">
        <f t="shared" ref="K266:P266" si="249">K11*$E$258</f>
        <v>0</v>
      </c>
      <c r="L266" s="186">
        <f t="shared" si="249"/>
        <v>0</v>
      </c>
      <c r="M266" s="186">
        <f t="shared" si="249"/>
        <v>0</v>
      </c>
      <c r="N266" s="186">
        <f t="shared" si="249"/>
        <v>0</v>
      </c>
      <c r="O266" s="186">
        <f t="shared" si="249"/>
        <v>0</v>
      </c>
      <c r="P266" s="186">
        <f t="shared" si="249"/>
        <v>0</v>
      </c>
      <c r="Q266" s="189">
        <f t="shared" si="246"/>
        <v>0</v>
      </c>
    </row>
    <row r="267" spans="3:17" ht="18.75" x14ac:dyDescent="0.3">
      <c r="C267" s="143">
        <f t="shared" si="241"/>
        <v>1</v>
      </c>
      <c r="D267" s="149" t="s">
        <v>122</v>
      </c>
      <c r="E267" s="38" t="s">
        <v>52</v>
      </c>
      <c r="F267" s="168">
        <f t="shared" si="244"/>
        <v>0</v>
      </c>
      <c r="G267" s="186">
        <f t="shared" si="244"/>
        <v>0</v>
      </c>
      <c r="H267" s="186">
        <f t="shared" si="244"/>
        <v>0</v>
      </c>
      <c r="I267" s="186">
        <f t="shared" si="244"/>
        <v>0</v>
      </c>
      <c r="J267" s="186">
        <f t="shared" si="244"/>
        <v>0</v>
      </c>
      <c r="K267" s="186">
        <f t="shared" ref="K267:P267" si="250">K12*$E$258</f>
        <v>0</v>
      </c>
      <c r="L267" s="186">
        <f t="shared" si="250"/>
        <v>0</v>
      </c>
      <c r="M267" s="186">
        <f t="shared" si="250"/>
        <v>0</v>
      </c>
      <c r="N267" s="186">
        <f t="shared" si="250"/>
        <v>0</v>
      </c>
      <c r="O267" s="186">
        <f t="shared" si="250"/>
        <v>0</v>
      </c>
      <c r="P267" s="186">
        <f t="shared" si="250"/>
        <v>0</v>
      </c>
      <c r="Q267" s="189">
        <f t="shared" si="246"/>
        <v>0</v>
      </c>
    </row>
    <row r="268" spans="3:17" ht="18.75" x14ac:dyDescent="0.3">
      <c r="C268" s="143">
        <f t="shared" si="241"/>
        <v>1</v>
      </c>
      <c r="D268" s="149" t="s">
        <v>123</v>
      </c>
      <c r="E268" s="38" t="s">
        <v>51</v>
      </c>
      <c r="F268" s="168">
        <f t="shared" si="244"/>
        <v>0</v>
      </c>
      <c r="G268" s="186">
        <f t="shared" si="244"/>
        <v>0</v>
      </c>
      <c r="H268" s="186">
        <f t="shared" si="244"/>
        <v>0</v>
      </c>
      <c r="I268" s="186">
        <f t="shared" si="244"/>
        <v>0</v>
      </c>
      <c r="J268" s="186">
        <f t="shared" si="244"/>
        <v>0</v>
      </c>
      <c r="K268" s="186">
        <f t="shared" ref="K268:P268" si="251">K13*$E$258</f>
        <v>0</v>
      </c>
      <c r="L268" s="186">
        <f t="shared" si="251"/>
        <v>0</v>
      </c>
      <c r="M268" s="186">
        <f t="shared" si="251"/>
        <v>0</v>
      </c>
      <c r="N268" s="186">
        <f t="shared" si="251"/>
        <v>0</v>
      </c>
      <c r="O268" s="186">
        <f t="shared" si="251"/>
        <v>0</v>
      </c>
      <c r="P268" s="186">
        <f t="shared" si="251"/>
        <v>0</v>
      </c>
      <c r="Q268" s="189">
        <f t="shared" si="246"/>
        <v>0</v>
      </c>
    </row>
    <row r="269" spans="3:17" ht="19.5" thickBot="1" x14ac:dyDescent="0.35">
      <c r="C269" s="143">
        <f t="shared" si="241"/>
        <v>1</v>
      </c>
      <c r="D269" s="149" t="s">
        <v>16</v>
      </c>
      <c r="E269" s="37" t="s">
        <v>50</v>
      </c>
      <c r="F269" s="168">
        <f t="shared" si="244"/>
        <v>0.51802818122633043</v>
      </c>
      <c r="G269" s="186">
        <f t="shared" si="244"/>
        <v>934.93891870224684</v>
      </c>
      <c r="H269" s="186">
        <f t="shared" si="244"/>
        <v>18.217861109214489</v>
      </c>
      <c r="I269" s="186">
        <f t="shared" si="244"/>
        <v>0</v>
      </c>
      <c r="J269" s="186">
        <f t="shared" si="244"/>
        <v>0</v>
      </c>
      <c r="K269" s="186">
        <f t="shared" ref="K269:P269" si="252">K14*$E$258</f>
        <v>65.282336992209949</v>
      </c>
      <c r="L269" s="186">
        <f t="shared" si="252"/>
        <v>0</v>
      </c>
      <c r="M269" s="186">
        <f t="shared" si="252"/>
        <v>3.5039317805582018E-2</v>
      </c>
      <c r="N269" s="186">
        <f t="shared" si="252"/>
        <v>0</v>
      </c>
      <c r="O269" s="186">
        <f t="shared" si="252"/>
        <v>0</v>
      </c>
      <c r="P269" s="186">
        <f t="shared" si="252"/>
        <v>59.024460829290526</v>
      </c>
      <c r="Q269" s="189">
        <f t="shared" si="246"/>
        <v>1077.4986169507674</v>
      </c>
    </row>
    <row r="270" spans="3:17" ht="19.5" thickBot="1" x14ac:dyDescent="0.3">
      <c r="C270" s="143">
        <f t="shared" si="241"/>
        <v>1</v>
      </c>
      <c r="D270" s="148" t="s">
        <v>124</v>
      </c>
      <c r="E270" s="147" t="s">
        <v>49</v>
      </c>
      <c r="F270" s="169">
        <f t="shared" ref="F270:Q270" si="253">SUBTOTAL(9,F261:F269)</f>
        <v>8.3082780939031373</v>
      </c>
      <c r="G270" s="170">
        <f t="shared" si="253"/>
        <v>16538.213000210835</v>
      </c>
      <c r="H270" s="170">
        <f t="shared" si="253"/>
        <v>253.4472604115829</v>
      </c>
      <c r="I270" s="170">
        <f t="shared" si="253"/>
        <v>0</v>
      </c>
      <c r="J270" s="170">
        <f t="shared" si="253"/>
        <v>299.76531008108833</v>
      </c>
      <c r="K270" s="170">
        <f t="shared" ref="K270:P270" si="254">SUBTOTAL(9,K261:K269)</f>
        <v>116.87872179930103</v>
      </c>
      <c r="L270" s="170">
        <f t="shared" si="254"/>
        <v>13.854642668619205</v>
      </c>
      <c r="M270" s="170">
        <f t="shared" si="254"/>
        <v>3.5039317805582018E-2</v>
      </c>
      <c r="N270" s="170">
        <f t="shared" si="254"/>
        <v>0</v>
      </c>
      <c r="O270" s="170">
        <f t="shared" si="254"/>
        <v>0</v>
      </c>
      <c r="P270" s="170">
        <f t="shared" si="254"/>
        <v>59.024460829290526</v>
      </c>
      <c r="Q270" s="170">
        <f t="shared" si="253"/>
        <v>17281.218435318522</v>
      </c>
    </row>
    <row r="271" spans="3:17" ht="15.75" hidden="1" thickBot="1" x14ac:dyDescent="0.3"/>
    <row r="272" spans="3:17" ht="45" x14ac:dyDescent="0.25">
      <c r="C272" s="143">
        <f>IF(E272&gt;0,1,0)</f>
        <v>1</v>
      </c>
      <c r="D272" s="163" t="str">
        <f>A22</f>
        <v>Genesee</v>
      </c>
      <c r="E272" s="166">
        <f>SUMIF(A:A,D272,B:B)</f>
        <v>1.7283040715096493E-3</v>
      </c>
      <c r="F272" s="509" t="s">
        <v>97</v>
      </c>
      <c r="G272" s="509" t="s">
        <v>126</v>
      </c>
      <c r="H272" s="509" t="s">
        <v>127</v>
      </c>
      <c r="I272" s="508" t="s">
        <v>128</v>
      </c>
      <c r="J272" s="508" t="s">
        <v>487</v>
      </c>
      <c r="K272" s="508" t="s">
        <v>474</v>
      </c>
      <c r="L272" s="508" t="s">
        <v>475</v>
      </c>
      <c r="M272" s="508" t="s">
        <v>476</v>
      </c>
      <c r="N272" s="508" t="s">
        <v>477</v>
      </c>
      <c r="O272" s="508" t="s">
        <v>478</v>
      </c>
      <c r="P272" s="508" t="s">
        <v>479</v>
      </c>
      <c r="Q272" s="508" t="s">
        <v>129</v>
      </c>
    </row>
    <row r="273" spans="3:17" ht="18.75" x14ac:dyDescent="0.25">
      <c r="C273" s="143">
        <f>C272</f>
        <v>1</v>
      </c>
      <c r="D273" s="160"/>
      <c r="E273" s="159"/>
      <c r="F273" s="49" t="s">
        <v>57</v>
      </c>
      <c r="G273" s="49" t="s">
        <v>56</v>
      </c>
      <c r="H273" s="49" t="s">
        <v>55</v>
      </c>
      <c r="I273" s="49" t="s">
        <v>54</v>
      </c>
      <c r="J273" s="58" t="s">
        <v>53</v>
      </c>
      <c r="K273" s="49" t="s">
        <v>52</v>
      </c>
      <c r="L273" s="49" t="s">
        <v>51</v>
      </c>
      <c r="M273" s="49" t="s">
        <v>50</v>
      </c>
      <c r="N273" s="49" t="s">
        <v>49</v>
      </c>
      <c r="O273" s="49" t="s">
        <v>47</v>
      </c>
      <c r="P273" s="49" t="s">
        <v>77</v>
      </c>
      <c r="Q273" s="573" t="s">
        <v>78</v>
      </c>
    </row>
    <row r="274" spans="3:17" ht="18.75" x14ac:dyDescent="0.25">
      <c r="C274" s="143">
        <f>C273</f>
        <v>1</v>
      </c>
      <c r="D274" s="158" t="s">
        <v>26</v>
      </c>
      <c r="E274" s="157"/>
      <c r="F274" s="156"/>
      <c r="G274" s="156"/>
      <c r="H274" s="156"/>
      <c r="I274" s="155"/>
      <c r="J274" s="154"/>
      <c r="K274" s="154"/>
      <c r="L274" s="154"/>
      <c r="M274" s="154"/>
      <c r="N274" s="154"/>
      <c r="O274" s="154"/>
      <c r="P274" s="154"/>
      <c r="Q274" s="153"/>
    </row>
    <row r="275" spans="3:17" ht="18.75" x14ac:dyDescent="0.25">
      <c r="C275" s="143">
        <f t="shared" ref="C275:C284" si="255">C274</f>
        <v>1</v>
      </c>
      <c r="D275" s="152" t="s">
        <v>105</v>
      </c>
      <c r="E275" s="38" t="s">
        <v>57</v>
      </c>
      <c r="F275" s="168">
        <f>F6*$E$272</f>
        <v>3.2319587842619084</v>
      </c>
      <c r="G275" s="186">
        <f>G6*$E$272</f>
        <v>6473.3659762206389</v>
      </c>
      <c r="H275" s="186">
        <f t="shared" ref="H275:J275" si="256">H6*$E$272</f>
        <v>97.590158456253121</v>
      </c>
      <c r="I275" s="186">
        <f t="shared" si="256"/>
        <v>0</v>
      </c>
      <c r="J275" s="186">
        <f t="shared" si="256"/>
        <v>124.36431924437058</v>
      </c>
      <c r="K275" s="186">
        <f t="shared" ref="K275:P275" si="257">K6*$E$272</f>
        <v>21.405910077682762</v>
      </c>
      <c r="L275" s="186">
        <f t="shared" si="257"/>
        <v>5.7479072658232164</v>
      </c>
      <c r="M275" s="186">
        <f t="shared" si="257"/>
        <v>0</v>
      </c>
      <c r="N275" s="186">
        <f t="shared" si="257"/>
        <v>0</v>
      </c>
      <c r="O275" s="186">
        <f t="shared" si="257"/>
        <v>0</v>
      </c>
      <c r="P275" s="186">
        <f t="shared" si="257"/>
        <v>0</v>
      </c>
      <c r="Q275" s="189">
        <f>SUM(G275:P275)</f>
        <v>6722.4742712647694</v>
      </c>
    </row>
    <row r="276" spans="3:17" ht="18.75" x14ac:dyDescent="0.25">
      <c r="C276" s="143">
        <f t="shared" si="255"/>
        <v>1</v>
      </c>
      <c r="D276" s="150" t="s">
        <v>31</v>
      </c>
      <c r="E276" s="38"/>
      <c r="F276" s="167"/>
      <c r="G276" s="185"/>
      <c r="H276" s="185"/>
      <c r="I276" s="187"/>
      <c r="J276" s="188"/>
      <c r="K276" s="188"/>
      <c r="L276" s="188"/>
      <c r="M276" s="188"/>
      <c r="N276" s="188"/>
      <c r="O276" s="188"/>
      <c r="P276" s="188"/>
      <c r="Q276" s="171"/>
    </row>
    <row r="277" spans="3:17" ht="18.75" x14ac:dyDescent="0.3">
      <c r="C277" s="143">
        <f t="shared" si="255"/>
        <v>1</v>
      </c>
      <c r="D277" s="149" t="s">
        <v>118</v>
      </c>
      <c r="E277" s="38" t="s">
        <v>56</v>
      </c>
      <c r="F277" s="168">
        <f t="shared" ref="F277:J283" si="258">F8*$E$272</f>
        <v>0</v>
      </c>
      <c r="G277" s="186">
        <f t="shared" si="258"/>
        <v>0</v>
      </c>
      <c r="H277" s="186">
        <f t="shared" si="258"/>
        <v>0</v>
      </c>
      <c r="I277" s="186">
        <f t="shared" si="258"/>
        <v>0</v>
      </c>
      <c r="J277" s="186">
        <f t="shared" si="258"/>
        <v>0</v>
      </c>
      <c r="K277" s="186">
        <f t="shared" ref="K277:P277" si="259">K8*$E$272</f>
        <v>0</v>
      </c>
      <c r="L277" s="186">
        <f t="shared" si="259"/>
        <v>0</v>
      </c>
      <c r="M277" s="186">
        <f t="shared" si="259"/>
        <v>0</v>
      </c>
      <c r="N277" s="186">
        <f t="shared" si="259"/>
        <v>0</v>
      </c>
      <c r="O277" s="186">
        <f t="shared" si="259"/>
        <v>0</v>
      </c>
      <c r="P277" s="186">
        <f t="shared" si="259"/>
        <v>0</v>
      </c>
      <c r="Q277" s="189">
        <f t="shared" ref="Q277:Q283" si="260">SUM(G277:P277)</f>
        <v>0</v>
      </c>
    </row>
    <row r="278" spans="3:17" ht="18.75" x14ac:dyDescent="0.3">
      <c r="C278" s="143">
        <f t="shared" si="255"/>
        <v>1</v>
      </c>
      <c r="D278" s="149" t="s">
        <v>119</v>
      </c>
      <c r="E278" s="38" t="s">
        <v>55</v>
      </c>
      <c r="F278" s="168">
        <f t="shared" si="258"/>
        <v>0</v>
      </c>
      <c r="G278" s="186">
        <f t="shared" si="258"/>
        <v>0</v>
      </c>
      <c r="H278" s="186">
        <f t="shared" si="258"/>
        <v>0</v>
      </c>
      <c r="I278" s="186">
        <f t="shared" si="258"/>
        <v>0</v>
      </c>
      <c r="J278" s="186">
        <f t="shared" si="258"/>
        <v>0</v>
      </c>
      <c r="K278" s="186">
        <f t="shared" ref="K278:P278" si="261">K9*$E$272</f>
        <v>0</v>
      </c>
      <c r="L278" s="186">
        <f t="shared" si="261"/>
        <v>0</v>
      </c>
      <c r="M278" s="186">
        <f t="shared" si="261"/>
        <v>0</v>
      </c>
      <c r="N278" s="186">
        <f t="shared" si="261"/>
        <v>0</v>
      </c>
      <c r="O278" s="186">
        <f t="shared" si="261"/>
        <v>0</v>
      </c>
      <c r="P278" s="186">
        <f t="shared" si="261"/>
        <v>0</v>
      </c>
      <c r="Q278" s="189">
        <f t="shared" si="260"/>
        <v>0</v>
      </c>
    </row>
    <row r="279" spans="3:17" ht="18.75" x14ac:dyDescent="0.3">
      <c r="C279" s="143">
        <f t="shared" si="255"/>
        <v>1</v>
      </c>
      <c r="D279" s="149" t="s">
        <v>120</v>
      </c>
      <c r="E279" s="38" t="s">
        <v>54</v>
      </c>
      <c r="F279" s="168">
        <f t="shared" si="258"/>
        <v>0</v>
      </c>
      <c r="G279" s="186">
        <f t="shared" si="258"/>
        <v>0</v>
      </c>
      <c r="H279" s="186">
        <f t="shared" si="258"/>
        <v>0</v>
      </c>
      <c r="I279" s="186">
        <f t="shared" si="258"/>
        <v>0</v>
      </c>
      <c r="J279" s="186">
        <f t="shared" si="258"/>
        <v>0</v>
      </c>
      <c r="K279" s="186">
        <f t="shared" ref="K279:P279" si="262">K10*$E$272</f>
        <v>0</v>
      </c>
      <c r="L279" s="186">
        <f t="shared" si="262"/>
        <v>0</v>
      </c>
      <c r="M279" s="186">
        <f t="shared" si="262"/>
        <v>0</v>
      </c>
      <c r="N279" s="186">
        <f t="shared" si="262"/>
        <v>0</v>
      </c>
      <c r="O279" s="186">
        <f t="shared" si="262"/>
        <v>0</v>
      </c>
      <c r="P279" s="186">
        <f t="shared" si="262"/>
        <v>0</v>
      </c>
      <c r="Q279" s="189">
        <f t="shared" si="260"/>
        <v>0</v>
      </c>
    </row>
    <row r="280" spans="3:17" ht="18.75" x14ac:dyDescent="0.3">
      <c r="C280" s="143">
        <f t="shared" si="255"/>
        <v>1</v>
      </c>
      <c r="D280" s="149" t="s">
        <v>121</v>
      </c>
      <c r="E280" s="38" t="s">
        <v>53</v>
      </c>
      <c r="F280" s="168">
        <f t="shared" si="258"/>
        <v>0</v>
      </c>
      <c r="G280" s="186">
        <f t="shared" si="258"/>
        <v>0</v>
      </c>
      <c r="H280" s="186">
        <f t="shared" si="258"/>
        <v>0</v>
      </c>
      <c r="I280" s="186">
        <f t="shared" si="258"/>
        <v>0</v>
      </c>
      <c r="J280" s="186">
        <f t="shared" si="258"/>
        <v>0</v>
      </c>
      <c r="K280" s="186">
        <f t="shared" ref="K280:P280" si="263">K11*$E$272</f>
        <v>0</v>
      </c>
      <c r="L280" s="186">
        <f t="shared" si="263"/>
        <v>0</v>
      </c>
      <c r="M280" s="186">
        <f t="shared" si="263"/>
        <v>0</v>
      </c>
      <c r="N280" s="186">
        <f t="shared" si="263"/>
        <v>0</v>
      </c>
      <c r="O280" s="186">
        <f t="shared" si="263"/>
        <v>0</v>
      </c>
      <c r="P280" s="186">
        <f t="shared" si="263"/>
        <v>0</v>
      </c>
      <c r="Q280" s="189">
        <f t="shared" si="260"/>
        <v>0</v>
      </c>
    </row>
    <row r="281" spans="3:17" ht="18.75" x14ac:dyDescent="0.3">
      <c r="C281" s="143">
        <f t="shared" si="255"/>
        <v>1</v>
      </c>
      <c r="D281" s="149" t="s">
        <v>122</v>
      </c>
      <c r="E281" s="38" t="s">
        <v>52</v>
      </c>
      <c r="F281" s="168">
        <f t="shared" si="258"/>
        <v>0</v>
      </c>
      <c r="G281" s="186">
        <f t="shared" si="258"/>
        <v>0</v>
      </c>
      <c r="H281" s="186">
        <f t="shared" si="258"/>
        <v>0</v>
      </c>
      <c r="I281" s="186">
        <f t="shared" si="258"/>
        <v>0</v>
      </c>
      <c r="J281" s="186">
        <f t="shared" si="258"/>
        <v>0</v>
      </c>
      <c r="K281" s="186">
        <f t="shared" ref="K281:P281" si="264">K12*$E$272</f>
        <v>0</v>
      </c>
      <c r="L281" s="186">
        <f t="shared" si="264"/>
        <v>0</v>
      </c>
      <c r="M281" s="186">
        <f t="shared" si="264"/>
        <v>0</v>
      </c>
      <c r="N281" s="186">
        <f t="shared" si="264"/>
        <v>0</v>
      </c>
      <c r="O281" s="186">
        <f t="shared" si="264"/>
        <v>0</v>
      </c>
      <c r="P281" s="186">
        <f t="shared" si="264"/>
        <v>0</v>
      </c>
      <c r="Q281" s="189">
        <f t="shared" si="260"/>
        <v>0</v>
      </c>
    </row>
    <row r="282" spans="3:17" ht="18.75" x14ac:dyDescent="0.3">
      <c r="C282" s="143">
        <f t="shared" si="255"/>
        <v>1</v>
      </c>
      <c r="D282" s="149" t="s">
        <v>123</v>
      </c>
      <c r="E282" s="38" t="s">
        <v>51</v>
      </c>
      <c r="F282" s="168">
        <f t="shared" si="258"/>
        <v>0</v>
      </c>
      <c r="G282" s="186">
        <f t="shared" si="258"/>
        <v>0</v>
      </c>
      <c r="H282" s="186">
        <f t="shared" si="258"/>
        <v>0</v>
      </c>
      <c r="I282" s="186">
        <f t="shared" si="258"/>
        <v>0</v>
      </c>
      <c r="J282" s="186">
        <f t="shared" si="258"/>
        <v>0</v>
      </c>
      <c r="K282" s="186">
        <f t="shared" ref="K282:P282" si="265">K13*$E$272</f>
        <v>0</v>
      </c>
      <c r="L282" s="186">
        <f t="shared" si="265"/>
        <v>0</v>
      </c>
      <c r="M282" s="186">
        <f t="shared" si="265"/>
        <v>0</v>
      </c>
      <c r="N282" s="186">
        <f t="shared" si="265"/>
        <v>0</v>
      </c>
      <c r="O282" s="186">
        <f t="shared" si="265"/>
        <v>0</v>
      </c>
      <c r="P282" s="186">
        <f t="shared" si="265"/>
        <v>0</v>
      </c>
      <c r="Q282" s="189">
        <f t="shared" si="260"/>
        <v>0</v>
      </c>
    </row>
    <row r="283" spans="3:17" ht="19.5" thickBot="1" x14ac:dyDescent="0.35">
      <c r="C283" s="143">
        <f t="shared" si="255"/>
        <v>1</v>
      </c>
      <c r="D283" s="149" t="s">
        <v>16</v>
      </c>
      <c r="E283" s="37" t="s">
        <v>50</v>
      </c>
      <c r="F283" s="168">
        <f t="shared" si="258"/>
        <v>0.21491553539061897</v>
      </c>
      <c r="G283" s="186">
        <f t="shared" si="258"/>
        <v>387.88024580969784</v>
      </c>
      <c r="H283" s="186">
        <f t="shared" si="258"/>
        <v>7.5580856714977491</v>
      </c>
      <c r="I283" s="186">
        <f t="shared" si="258"/>
        <v>0</v>
      </c>
      <c r="J283" s="186">
        <f t="shared" si="258"/>
        <v>0</v>
      </c>
      <c r="K283" s="186">
        <f t="shared" ref="K283:P283" si="266">K14*$E$272</f>
        <v>27.083832337109314</v>
      </c>
      <c r="L283" s="186">
        <f t="shared" si="266"/>
        <v>0</v>
      </c>
      <c r="M283" s="186">
        <f t="shared" si="266"/>
        <v>1.4536841853046944E-2</v>
      </c>
      <c r="N283" s="186">
        <f t="shared" si="266"/>
        <v>0</v>
      </c>
      <c r="O283" s="186">
        <f t="shared" si="266"/>
        <v>0</v>
      </c>
      <c r="P283" s="186">
        <f t="shared" si="266"/>
        <v>24.487612952329513</v>
      </c>
      <c r="Q283" s="189">
        <f t="shared" si="260"/>
        <v>447.02431361248745</v>
      </c>
    </row>
    <row r="284" spans="3:17" ht="19.5" thickBot="1" x14ac:dyDescent="0.3">
      <c r="C284" s="143">
        <f t="shared" si="255"/>
        <v>1</v>
      </c>
      <c r="D284" s="148" t="s">
        <v>124</v>
      </c>
      <c r="E284" s="147" t="s">
        <v>49</v>
      </c>
      <c r="F284" s="169">
        <f t="shared" ref="F284:Q284" si="267">SUBTOTAL(9,F275:F283)</f>
        <v>3.4468743196525273</v>
      </c>
      <c r="G284" s="170">
        <f t="shared" si="267"/>
        <v>6861.2462220303369</v>
      </c>
      <c r="H284" s="170">
        <f t="shared" si="267"/>
        <v>105.14824412775087</v>
      </c>
      <c r="I284" s="170">
        <f t="shared" si="267"/>
        <v>0</v>
      </c>
      <c r="J284" s="170">
        <f t="shared" si="267"/>
        <v>124.36431924437058</v>
      </c>
      <c r="K284" s="170">
        <f t="shared" ref="K284:P284" si="268">SUBTOTAL(9,K275:K283)</f>
        <v>48.489742414792076</v>
      </c>
      <c r="L284" s="170">
        <f t="shared" si="268"/>
        <v>5.7479072658232164</v>
      </c>
      <c r="M284" s="170">
        <f t="shared" si="268"/>
        <v>1.4536841853046944E-2</v>
      </c>
      <c r="N284" s="170">
        <f t="shared" si="268"/>
        <v>0</v>
      </c>
      <c r="O284" s="170">
        <f t="shared" si="268"/>
        <v>0</v>
      </c>
      <c r="P284" s="170">
        <f t="shared" si="268"/>
        <v>24.487612952329513</v>
      </c>
      <c r="Q284" s="170">
        <f t="shared" si="267"/>
        <v>7169.4985848772567</v>
      </c>
    </row>
    <row r="285" spans="3:17" ht="15.75" hidden="1" thickBot="1" x14ac:dyDescent="0.3"/>
    <row r="286" spans="3:17" ht="45" x14ac:dyDescent="0.25">
      <c r="C286" s="143">
        <f>IF(E286&gt;0,1,0)</f>
        <v>1</v>
      </c>
      <c r="D286" s="163" t="str">
        <f>A23</f>
        <v>Greene</v>
      </c>
      <c r="E286" s="166">
        <f>SUMIF(A:A,D286,B:B)</f>
        <v>1.8330419841601578E-3</v>
      </c>
      <c r="F286" s="509" t="s">
        <v>97</v>
      </c>
      <c r="G286" s="509" t="s">
        <v>126</v>
      </c>
      <c r="H286" s="509" t="s">
        <v>127</v>
      </c>
      <c r="I286" s="508" t="s">
        <v>128</v>
      </c>
      <c r="J286" s="508" t="s">
        <v>487</v>
      </c>
      <c r="K286" s="508" t="s">
        <v>474</v>
      </c>
      <c r="L286" s="508" t="s">
        <v>475</v>
      </c>
      <c r="M286" s="508" t="s">
        <v>476</v>
      </c>
      <c r="N286" s="508" t="s">
        <v>477</v>
      </c>
      <c r="O286" s="508" t="s">
        <v>478</v>
      </c>
      <c r="P286" s="508" t="s">
        <v>479</v>
      </c>
      <c r="Q286" s="508" t="s">
        <v>129</v>
      </c>
    </row>
    <row r="287" spans="3:17" ht="18.75" x14ac:dyDescent="0.25">
      <c r="C287" s="143">
        <f>C286</f>
        <v>1</v>
      </c>
      <c r="D287" s="160"/>
      <c r="E287" s="159"/>
      <c r="F287" s="49" t="s">
        <v>57</v>
      </c>
      <c r="G287" s="49" t="s">
        <v>56</v>
      </c>
      <c r="H287" s="49" t="s">
        <v>55</v>
      </c>
      <c r="I287" s="49" t="s">
        <v>54</v>
      </c>
      <c r="J287" s="58" t="s">
        <v>53</v>
      </c>
      <c r="K287" s="49" t="s">
        <v>52</v>
      </c>
      <c r="L287" s="49" t="s">
        <v>51</v>
      </c>
      <c r="M287" s="49" t="s">
        <v>50</v>
      </c>
      <c r="N287" s="49" t="s">
        <v>49</v>
      </c>
      <c r="O287" s="49" t="s">
        <v>47</v>
      </c>
      <c r="P287" s="49" t="s">
        <v>77</v>
      </c>
      <c r="Q287" s="573" t="s">
        <v>78</v>
      </c>
    </row>
    <row r="288" spans="3:17" ht="18.75" x14ac:dyDescent="0.25">
      <c r="C288" s="143">
        <f>C287</f>
        <v>1</v>
      </c>
      <c r="D288" s="158" t="s">
        <v>26</v>
      </c>
      <c r="E288" s="157"/>
      <c r="F288" s="156"/>
      <c r="G288" s="156"/>
      <c r="H288" s="156"/>
      <c r="I288" s="155"/>
      <c r="J288" s="154"/>
      <c r="K288" s="154"/>
      <c r="L288" s="154"/>
      <c r="M288" s="154"/>
      <c r="N288" s="154"/>
      <c r="O288" s="154"/>
      <c r="P288" s="154"/>
      <c r="Q288" s="153"/>
    </row>
    <row r="289" spans="3:17" ht="18.75" x14ac:dyDescent="0.25">
      <c r="C289" s="143">
        <f t="shared" ref="C289:C298" si="269">C288</f>
        <v>1</v>
      </c>
      <c r="D289" s="152" t="s">
        <v>105</v>
      </c>
      <c r="E289" s="38" t="s">
        <v>57</v>
      </c>
      <c r="F289" s="168">
        <f t="shared" ref="F289:P289" si="270">F$6*$E286</f>
        <v>3.4278205092999015</v>
      </c>
      <c r="G289" s="186">
        <f t="shared" si="270"/>
        <v>6865.6620144866029</v>
      </c>
      <c r="H289" s="186">
        <f t="shared" si="270"/>
        <v>103.50427372128983</v>
      </c>
      <c r="I289" s="186">
        <f t="shared" si="270"/>
        <v>0</v>
      </c>
      <c r="J289" s="186">
        <f t="shared" si="270"/>
        <v>131.90099026226565</v>
      </c>
      <c r="K289" s="186">
        <f t="shared" si="270"/>
        <v>22.703141494815632</v>
      </c>
      <c r="L289" s="186">
        <f t="shared" si="270"/>
        <v>6.0962393788206448</v>
      </c>
      <c r="M289" s="186">
        <f t="shared" si="270"/>
        <v>0</v>
      </c>
      <c r="N289" s="186">
        <f t="shared" si="270"/>
        <v>0</v>
      </c>
      <c r="O289" s="186">
        <f t="shared" si="270"/>
        <v>0</v>
      </c>
      <c r="P289" s="186">
        <f t="shared" si="270"/>
        <v>0</v>
      </c>
      <c r="Q289" s="189">
        <f>SUM(G289:P289)</f>
        <v>7129.8666593437947</v>
      </c>
    </row>
    <row r="290" spans="3:17" ht="18.75" x14ac:dyDescent="0.25">
      <c r="C290" s="143">
        <f t="shared" si="269"/>
        <v>1</v>
      </c>
      <c r="D290" s="150" t="s">
        <v>31</v>
      </c>
      <c r="E290" s="38"/>
      <c r="F290" s="167"/>
      <c r="G290" s="185"/>
      <c r="H290" s="185"/>
      <c r="I290" s="187"/>
      <c r="J290" s="188"/>
      <c r="K290" s="188"/>
      <c r="L290" s="188"/>
      <c r="M290" s="188"/>
      <c r="N290" s="188"/>
      <c r="O290" s="188"/>
      <c r="P290" s="188"/>
      <c r="Q290" s="171"/>
    </row>
    <row r="291" spans="3:17" ht="18.75" x14ac:dyDescent="0.3">
      <c r="C291" s="143">
        <f t="shared" si="269"/>
        <v>1</v>
      </c>
      <c r="D291" s="149" t="s">
        <v>118</v>
      </c>
      <c r="E291" s="38" t="s">
        <v>56</v>
      </c>
      <c r="F291" s="168">
        <f t="shared" ref="F291:P291" si="271">F$8*$E286</f>
        <v>0</v>
      </c>
      <c r="G291" s="186">
        <f t="shared" si="271"/>
        <v>0</v>
      </c>
      <c r="H291" s="186">
        <f t="shared" si="271"/>
        <v>0</v>
      </c>
      <c r="I291" s="186">
        <f t="shared" si="271"/>
        <v>0</v>
      </c>
      <c r="J291" s="186">
        <f t="shared" si="271"/>
        <v>0</v>
      </c>
      <c r="K291" s="186">
        <f t="shared" si="271"/>
        <v>0</v>
      </c>
      <c r="L291" s="186">
        <f t="shared" si="271"/>
        <v>0</v>
      </c>
      <c r="M291" s="186">
        <f t="shared" si="271"/>
        <v>0</v>
      </c>
      <c r="N291" s="186">
        <f t="shared" si="271"/>
        <v>0</v>
      </c>
      <c r="O291" s="186">
        <f t="shared" si="271"/>
        <v>0</v>
      </c>
      <c r="P291" s="186">
        <f t="shared" si="271"/>
        <v>0</v>
      </c>
      <c r="Q291" s="189">
        <f t="shared" ref="Q291:Q297" si="272">SUM(G291:P291)</f>
        <v>0</v>
      </c>
    </row>
    <row r="292" spans="3:17" ht="18.75" x14ac:dyDescent="0.3">
      <c r="C292" s="143">
        <f t="shared" si="269"/>
        <v>1</v>
      </c>
      <c r="D292" s="149" t="s">
        <v>119</v>
      </c>
      <c r="E292" s="38" t="s">
        <v>55</v>
      </c>
      <c r="F292" s="168">
        <f t="shared" ref="F292:P292" si="273">F$9*$E286</f>
        <v>0</v>
      </c>
      <c r="G292" s="186">
        <f t="shared" si="273"/>
        <v>0</v>
      </c>
      <c r="H292" s="186">
        <f t="shared" si="273"/>
        <v>0</v>
      </c>
      <c r="I292" s="186">
        <f t="shared" si="273"/>
        <v>0</v>
      </c>
      <c r="J292" s="186">
        <f t="shared" si="273"/>
        <v>0</v>
      </c>
      <c r="K292" s="186">
        <f t="shared" si="273"/>
        <v>0</v>
      </c>
      <c r="L292" s="186">
        <f t="shared" si="273"/>
        <v>0</v>
      </c>
      <c r="M292" s="186">
        <f t="shared" si="273"/>
        <v>0</v>
      </c>
      <c r="N292" s="186">
        <f t="shared" si="273"/>
        <v>0</v>
      </c>
      <c r="O292" s="186">
        <f t="shared" si="273"/>
        <v>0</v>
      </c>
      <c r="P292" s="186">
        <f t="shared" si="273"/>
        <v>0</v>
      </c>
      <c r="Q292" s="189">
        <f t="shared" si="272"/>
        <v>0</v>
      </c>
    </row>
    <row r="293" spans="3:17" ht="18.75" x14ac:dyDescent="0.3">
      <c r="C293" s="143">
        <f t="shared" si="269"/>
        <v>1</v>
      </c>
      <c r="D293" s="149" t="s">
        <v>120</v>
      </c>
      <c r="E293" s="38" t="s">
        <v>54</v>
      </c>
      <c r="F293" s="168">
        <f t="shared" ref="F293:P293" si="274">F$10*$E286</f>
        <v>0</v>
      </c>
      <c r="G293" s="186">
        <f t="shared" si="274"/>
        <v>0</v>
      </c>
      <c r="H293" s="186">
        <f t="shared" si="274"/>
        <v>0</v>
      </c>
      <c r="I293" s="186">
        <f t="shared" si="274"/>
        <v>0</v>
      </c>
      <c r="J293" s="186">
        <f t="shared" si="274"/>
        <v>0</v>
      </c>
      <c r="K293" s="186">
        <f t="shared" si="274"/>
        <v>0</v>
      </c>
      <c r="L293" s="186">
        <f t="shared" si="274"/>
        <v>0</v>
      </c>
      <c r="M293" s="186">
        <f t="shared" si="274"/>
        <v>0</v>
      </c>
      <c r="N293" s="186">
        <f t="shared" si="274"/>
        <v>0</v>
      </c>
      <c r="O293" s="186">
        <f t="shared" si="274"/>
        <v>0</v>
      </c>
      <c r="P293" s="186">
        <f t="shared" si="274"/>
        <v>0</v>
      </c>
      <c r="Q293" s="189">
        <f t="shared" si="272"/>
        <v>0</v>
      </c>
    </row>
    <row r="294" spans="3:17" ht="18.75" x14ac:dyDescent="0.3">
      <c r="C294" s="143">
        <f t="shared" si="269"/>
        <v>1</v>
      </c>
      <c r="D294" s="149" t="s">
        <v>121</v>
      </c>
      <c r="E294" s="38" t="s">
        <v>53</v>
      </c>
      <c r="F294" s="168">
        <f t="shared" ref="F294:P294" si="275">F$11*$E286</f>
        <v>0</v>
      </c>
      <c r="G294" s="186">
        <f t="shared" si="275"/>
        <v>0</v>
      </c>
      <c r="H294" s="186">
        <f t="shared" si="275"/>
        <v>0</v>
      </c>
      <c r="I294" s="186">
        <f t="shared" si="275"/>
        <v>0</v>
      </c>
      <c r="J294" s="186">
        <f t="shared" si="275"/>
        <v>0</v>
      </c>
      <c r="K294" s="186">
        <f t="shared" si="275"/>
        <v>0</v>
      </c>
      <c r="L294" s="186">
        <f t="shared" si="275"/>
        <v>0</v>
      </c>
      <c r="M294" s="186">
        <f t="shared" si="275"/>
        <v>0</v>
      </c>
      <c r="N294" s="186">
        <f t="shared" si="275"/>
        <v>0</v>
      </c>
      <c r="O294" s="186">
        <f t="shared" si="275"/>
        <v>0</v>
      </c>
      <c r="P294" s="186">
        <f t="shared" si="275"/>
        <v>0</v>
      </c>
      <c r="Q294" s="189">
        <f t="shared" si="272"/>
        <v>0</v>
      </c>
    </row>
    <row r="295" spans="3:17" ht="18.75" x14ac:dyDescent="0.3">
      <c r="C295" s="143">
        <f t="shared" si="269"/>
        <v>1</v>
      </c>
      <c r="D295" s="149" t="s">
        <v>122</v>
      </c>
      <c r="E295" s="38" t="s">
        <v>52</v>
      </c>
      <c r="F295" s="168">
        <f t="shared" ref="F295:P295" si="276">F$12*$E286</f>
        <v>0</v>
      </c>
      <c r="G295" s="186">
        <f t="shared" si="276"/>
        <v>0</v>
      </c>
      <c r="H295" s="186">
        <f t="shared" si="276"/>
        <v>0</v>
      </c>
      <c r="I295" s="186">
        <f t="shared" si="276"/>
        <v>0</v>
      </c>
      <c r="J295" s="186">
        <f t="shared" si="276"/>
        <v>0</v>
      </c>
      <c r="K295" s="186">
        <f t="shared" si="276"/>
        <v>0</v>
      </c>
      <c r="L295" s="186">
        <f t="shared" si="276"/>
        <v>0</v>
      </c>
      <c r="M295" s="186">
        <f t="shared" si="276"/>
        <v>0</v>
      </c>
      <c r="N295" s="186">
        <f t="shared" si="276"/>
        <v>0</v>
      </c>
      <c r="O295" s="186">
        <f t="shared" si="276"/>
        <v>0</v>
      </c>
      <c r="P295" s="186">
        <f t="shared" si="276"/>
        <v>0</v>
      </c>
      <c r="Q295" s="189">
        <f t="shared" si="272"/>
        <v>0</v>
      </c>
    </row>
    <row r="296" spans="3:17" ht="18.75" x14ac:dyDescent="0.3">
      <c r="C296" s="143">
        <f t="shared" si="269"/>
        <v>1</v>
      </c>
      <c r="D296" s="149" t="s">
        <v>123</v>
      </c>
      <c r="E296" s="38" t="s">
        <v>51</v>
      </c>
      <c r="F296" s="168">
        <f t="shared" ref="F296:P296" si="277">F$13*$E286</f>
        <v>0</v>
      </c>
      <c r="G296" s="186">
        <f t="shared" si="277"/>
        <v>0</v>
      </c>
      <c r="H296" s="186">
        <f t="shared" si="277"/>
        <v>0</v>
      </c>
      <c r="I296" s="186">
        <f t="shared" si="277"/>
        <v>0</v>
      </c>
      <c r="J296" s="186">
        <f t="shared" si="277"/>
        <v>0</v>
      </c>
      <c r="K296" s="186">
        <f t="shared" si="277"/>
        <v>0</v>
      </c>
      <c r="L296" s="186">
        <f t="shared" si="277"/>
        <v>0</v>
      </c>
      <c r="M296" s="186">
        <f t="shared" si="277"/>
        <v>0</v>
      </c>
      <c r="N296" s="186">
        <f t="shared" si="277"/>
        <v>0</v>
      </c>
      <c r="O296" s="186">
        <f t="shared" si="277"/>
        <v>0</v>
      </c>
      <c r="P296" s="186">
        <f t="shared" si="277"/>
        <v>0</v>
      </c>
      <c r="Q296" s="189">
        <f t="shared" si="272"/>
        <v>0</v>
      </c>
    </row>
    <row r="297" spans="3:17" ht="19.5" thickBot="1" x14ac:dyDescent="0.35">
      <c r="C297" s="143">
        <f t="shared" si="269"/>
        <v>1</v>
      </c>
      <c r="D297" s="149" t="s">
        <v>16</v>
      </c>
      <c r="E297" s="37" t="s">
        <v>50</v>
      </c>
      <c r="F297" s="168">
        <f t="shared" ref="F297:P297" si="278">F$14*$E286</f>
        <v>0.22793975083050852</v>
      </c>
      <c r="G297" s="186">
        <f t="shared" si="278"/>
        <v>411.38639150140352</v>
      </c>
      <c r="H297" s="186">
        <f t="shared" si="278"/>
        <v>8.0161174090350702</v>
      </c>
      <c r="I297" s="186">
        <f t="shared" si="278"/>
        <v>0</v>
      </c>
      <c r="J297" s="186">
        <f t="shared" si="278"/>
        <v>0</v>
      </c>
      <c r="K297" s="186">
        <f t="shared" si="278"/>
        <v>28.725154667089914</v>
      </c>
      <c r="L297" s="186">
        <f t="shared" si="278"/>
        <v>0</v>
      </c>
      <c r="M297" s="186">
        <f t="shared" si="278"/>
        <v>1.5417797060708264E-2</v>
      </c>
      <c r="N297" s="186">
        <f t="shared" si="278"/>
        <v>0</v>
      </c>
      <c r="O297" s="186">
        <f t="shared" si="278"/>
        <v>0</v>
      </c>
      <c r="P297" s="186">
        <f t="shared" si="278"/>
        <v>25.971600352868499</v>
      </c>
      <c r="Q297" s="189">
        <f t="shared" si="272"/>
        <v>474.11468172745771</v>
      </c>
    </row>
    <row r="298" spans="3:17" ht="19.5" thickBot="1" x14ac:dyDescent="0.3">
      <c r="C298" s="143">
        <f t="shared" si="269"/>
        <v>1</v>
      </c>
      <c r="D298" s="148" t="s">
        <v>124</v>
      </c>
      <c r="E298" s="147" t="s">
        <v>49</v>
      </c>
      <c r="F298" s="169">
        <f t="shared" ref="F298:Q298" si="279">SUBTOTAL(9,F289:F297)</f>
        <v>3.65576026013041</v>
      </c>
      <c r="G298" s="170">
        <f t="shared" si="279"/>
        <v>7277.0484059880064</v>
      </c>
      <c r="H298" s="170">
        <f t="shared" si="279"/>
        <v>111.52039113032491</v>
      </c>
      <c r="I298" s="170">
        <f t="shared" si="279"/>
        <v>0</v>
      </c>
      <c r="J298" s="170">
        <f t="shared" si="279"/>
        <v>131.90099026226565</v>
      </c>
      <c r="K298" s="170">
        <f t="shared" ref="K298:P298" si="280">SUBTOTAL(9,K289:K297)</f>
        <v>51.42829616190555</v>
      </c>
      <c r="L298" s="170">
        <f t="shared" si="280"/>
        <v>6.0962393788206448</v>
      </c>
      <c r="M298" s="170">
        <f t="shared" si="280"/>
        <v>1.5417797060708264E-2</v>
      </c>
      <c r="N298" s="170">
        <f t="shared" si="280"/>
        <v>0</v>
      </c>
      <c r="O298" s="170">
        <f t="shared" si="280"/>
        <v>0</v>
      </c>
      <c r="P298" s="170">
        <f t="shared" si="280"/>
        <v>25.971600352868499</v>
      </c>
      <c r="Q298" s="170">
        <f t="shared" si="279"/>
        <v>7603.9813410712522</v>
      </c>
    </row>
    <row r="299" spans="3:17" ht="15.75" hidden="1" thickBot="1" x14ac:dyDescent="0.3"/>
    <row r="300" spans="3:17" ht="45" x14ac:dyDescent="0.25">
      <c r="C300" s="143">
        <f>IF(E300&gt;0,1,0)</f>
        <v>1</v>
      </c>
      <c r="D300" s="163" t="str">
        <f>A24</f>
        <v>Hamilton</v>
      </c>
      <c r="E300" s="166">
        <f>SUMIF(A:A,D300,B:B)</f>
        <v>1.0782221928070756E-4</v>
      </c>
      <c r="F300" s="509" t="s">
        <v>97</v>
      </c>
      <c r="G300" s="509" t="s">
        <v>126</v>
      </c>
      <c r="H300" s="509" t="s">
        <v>127</v>
      </c>
      <c r="I300" s="508" t="s">
        <v>128</v>
      </c>
      <c r="J300" s="508" t="s">
        <v>487</v>
      </c>
      <c r="K300" s="508" t="s">
        <v>474</v>
      </c>
      <c r="L300" s="508" t="s">
        <v>475</v>
      </c>
      <c r="M300" s="508" t="s">
        <v>476</v>
      </c>
      <c r="N300" s="508" t="s">
        <v>477</v>
      </c>
      <c r="O300" s="508" t="s">
        <v>478</v>
      </c>
      <c r="P300" s="508" t="s">
        <v>479</v>
      </c>
      <c r="Q300" s="508" t="s">
        <v>129</v>
      </c>
    </row>
    <row r="301" spans="3:17" ht="18.75" x14ac:dyDescent="0.25">
      <c r="C301" s="143">
        <f>C300</f>
        <v>1</v>
      </c>
      <c r="D301" s="160"/>
      <c r="E301" s="159"/>
      <c r="F301" s="49" t="s">
        <v>57</v>
      </c>
      <c r="G301" s="49" t="s">
        <v>56</v>
      </c>
      <c r="H301" s="49" t="s">
        <v>55</v>
      </c>
      <c r="I301" s="49" t="s">
        <v>54</v>
      </c>
      <c r="J301" s="58" t="s">
        <v>53</v>
      </c>
      <c r="K301" s="49" t="s">
        <v>52</v>
      </c>
      <c r="L301" s="49" t="s">
        <v>51</v>
      </c>
      <c r="M301" s="49" t="s">
        <v>50</v>
      </c>
      <c r="N301" s="49" t="s">
        <v>49</v>
      </c>
      <c r="O301" s="49" t="s">
        <v>47</v>
      </c>
      <c r="P301" s="49" t="s">
        <v>77</v>
      </c>
      <c r="Q301" s="573" t="s">
        <v>78</v>
      </c>
    </row>
    <row r="302" spans="3:17" ht="18.75" x14ac:dyDescent="0.25">
      <c r="C302" s="143">
        <f>C301</f>
        <v>1</v>
      </c>
      <c r="D302" s="158" t="s">
        <v>26</v>
      </c>
      <c r="E302" s="157"/>
      <c r="F302" s="156"/>
      <c r="G302" s="156"/>
      <c r="H302" s="156"/>
      <c r="I302" s="155"/>
      <c r="J302" s="154"/>
      <c r="K302" s="154"/>
      <c r="L302" s="154"/>
      <c r="M302" s="154"/>
      <c r="N302" s="154"/>
      <c r="O302" s="154"/>
      <c r="P302" s="154"/>
      <c r="Q302" s="153"/>
    </row>
    <row r="303" spans="3:17" ht="18.75" x14ac:dyDescent="0.25">
      <c r="C303" s="143">
        <f t="shared" ref="C303:C312" si="281">C302</f>
        <v>1</v>
      </c>
      <c r="D303" s="152" t="s">
        <v>105</v>
      </c>
      <c r="E303" s="38" t="s">
        <v>57</v>
      </c>
      <c r="F303" s="168">
        <f t="shared" ref="F303:P303" si="282">F$6*$E300</f>
        <v>0.2016294322783761</v>
      </c>
      <c r="G303" s="186">
        <f t="shared" si="282"/>
        <v>403.84831423944053</v>
      </c>
      <c r="H303" s="186">
        <f t="shared" si="282"/>
        <v>6.0882732605715413</v>
      </c>
      <c r="I303" s="186">
        <f t="shared" si="282"/>
        <v>0</v>
      </c>
      <c r="J303" s="186">
        <f t="shared" si="282"/>
        <v>7.758609796336164</v>
      </c>
      <c r="K303" s="186">
        <f t="shared" si="282"/>
        <v>1.3354320969012035</v>
      </c>
      <c r="L303" s="186">
        <f t="shared" si="282"/>
        <v>0.35858974577281316</v>
      </c>
      <c r="M303" s="186">
        <f t="shared" si="282"/>
        <v>0</v>
      </c>
      <c r="N303" s="186">
        <f t="shared" si="282"/>
        <v>0</v>
      </c>
      <c r="O303" s="186">
        <f t="shared" si="282"/>
        <v>0</v>
      </c>
      <c r="P303" s="186">
        <f t="shared" si="282"/>
        <v>0</v>
      </c>
      <c r="Q303" s="189">
        <f>SUM(G303:P303)</f>
        <v>419.38921913902226</v>
      </c>
    </row>
    <row r="304" spans="3:17" ht="18.75" x14ac:dyDescent="0.25">
      <c r="C304" s="143">
        <f t="shared" si="281"/>
        <v>1</v>
      </c>
      <c r="D304" s="150" t="s">
        <v>31</v>
      </c>
      <c r="E304" s="38"/>
      <c r="F304" s="167"/>
      <c r="G304" s="185"/>
      <c r="H304" s="185"/>
      <c r="I304" s="187"/>
      <c r="J304" s="188"/>
      <c r="K304" s="188"/>
      <c r="L304" s="188"/>
      <c r="M304" s="188"/>
      <c r="N304" s="188"/>
      <c r="O304" s="188"/>
      <c r="P304" s="188"/>
      <c r="Q304" s="171"/>
    </row>
    <row r="305" spans="3:17" ht="18.75" x14ac:dyDescent="0.3">
      <c r="C305" s="143">
        <f t="shared" si="281"/>
        <v>1</v>
      </c>
      <c r="D305" s="149" t="s">
        <v>118</v>
      </c>
      <c r="E305" s="38" t="s">
        <v>56</v>
      </c>
      <c r="F305" s="168">
        <f t="shared" ref="F305:P305" si="283">F$8*$E300</f>
        <v>0</v>
      </c>
      <c r="G305" s="186">
        <f t="shared" si="283"/>
        <v>0</v>
      </c>
      <c r="H305" s="186">
        <f t="shared" si="283"/>
        <v>0</v>
      </c>
      <c r="I305" s="186">
        <f t="shared" si="283"/>
        <v>0</v>
      </c>
      <c r="J305" s="186">
        <f t="shared" si="283"/>
        <v>0</v>
      </c>
      <c r="K305" s="186">
        <f t="shared" si="283"/>
        <v>0</v>
      </c>
      <c r="L305" s="186">
        <f t="shared" si="283"/>
        <v>0</v>
      </c>
      <c r="M305" s="186">
        <f t="shared" si="283"/>
        <v>0</v>
      </c>
      <c r="N305" s="186">
        <f t="shared" si="283"/>
        <v>0</v>
      </c>
      <c r="O305" s="186">
        <f t="shared" si="283"/>
        <v>0</v>
      </c>
      <c r="P305" s="186">
        <f t="shared" si="283"/>
        <v>0</v>
      </c>
      <c r="Q305" s="189">
        <f t="shared" ref="Q305:Q311" si="284">SUM(G305:P305)</f>
        <v>0</v>
      </c>
    </row>
    <row r="306" spans="3:17" ht="18.75" x14ac:dyDescent="0.3">
      <c r="C306" s="143">
        <f t="shared" si="281"/>
        <v>1</v>
      </c>
      <c r="D306" s="149" t="s">
        <v>119</v>
      </c>
      <c r="E306" s="38" t="s">
        <v>55</v>
      </c>
      <c r="F306" s="168">
        <f t="shared" ref="F306:P306" si="285">F$9*$E300</f>
        <v>0</v>
      </c>
      <c r="G306" s="186">
        <f t="shared" si="285"/>
        <v>0</v>
      </c>
      <c r="H306" s="186">
        <f t="shared" si="285"/>
        <v>0</v>
      </c>
      <c r="I306" s="186">
        <f t="shared" si="285"/>
        <v>0</v>
      </c>
      <c r="J306" s="186">
        <f t="shared" si="285"/>
        <v>0</v>
      </c>
      <c r="K306" s="186">
        <f t="shared" si="285"/>
        <v>0</v>
      </c>
      <c r="L306" s="186">
        <f t="shared" si="285"/>
        <v>0</v>
      </c>
      <c r="M306" s="186">
        <f t="shared" si="285"/>
        <v>0</v>
      </c>
      <c r="N306" s="186">
        <f t="shared" si="285"/>
        <v>0</v>
      </c>
      <c r="O306" s="186">
        <f t="shared" si="285"/>
        <v>0</v>
      </c>
      <c r="P306" s="186">
        <f t="shared" si="285"/>
        <v>0</v>
      </c>
      <c r="Q306" s="189">
        <f t="shared" si="284"/>
        <v>0</v>
      </c>
    </row>
    <row r="307" spans="3:17" ht="18.75" x14ac:dyDescent="0.3">
      <c r="C307" s="143">
        <f t="shared" si="281"/>
        <v>1</v>
      </c>
      <c r="D307" s="149" t="s">
        <v>120</v>
      </c>
      <c r="E307" s="38" t="s">
        <v>54</v>
      </c>
      <c r="F307" s="168">
        <f t="shared" ref="F307:P307" si="286">F$10*$E300</f>
        <v>0</v>
      </c>
      <c r="G307" s="186">
        <f t="shared" si="286"/>
        <v>0</v>
      </c>
      <c r="H307" s="186">
        <f t="shared" si="286"/>
        <v>0</v>
      </c>
      <c r="I307" s="186">
        <f t="shared" si="286"/>
        <v>0</v>
      </c>
      <c r="J307" s="186">
        <f t="shared" si="286"/>
        <v>0</v>
      </c>
      <c r="K307" s="186">
        <f t="shared" si="286"/>
        <v>0</v>
      </c>
      <c r="L307" s="186">
        <f t="shared" si="286"/>
        <v>0</v>
      </c>
      <c r="M307" s="186">
        <f t="shared" si="286"/>
        <v>0</v>
      </c>
      <c r="N307" s="186">
        <f t="shared" si="286"/>
        <v>0</v>
      </c>
      <c r="O307" s="186">
        <f t="shared" si="286"/>
        <v>0</v>
      </c>
      <c r="P307" s="186">
        <f t="shared" si="286"/>
        <v>0</v>
      </c>
      <c r="Q307" s="189">
        <f t="shared" si="284"/>
        <v>0</v>
      </c>
    </row>
    <row r="308" spans="3:17" ht="18.75" x14ac:dyDescent="0.3">
      <c r="C308" s="143">
        <f t="shared" si="281"/>
        <v>1</v>
      </c>
      <c r="D308" s="149" t="s">
        <v>121</v>
      </c>
      <c r="E308" s="38" t="s">
        <v>53</v>
      </c>
      <c r="F308" s="168">
        <f t="shared" ref="F308:P308" si="287">F$11*$E300</f>
        <v>0</v>
      </c>
      <c r="G308" s="186">
        <f t="shared" si="287"/>
        <v>0</v>
      </c>
      <c r="H308" s="186">
        <f t="shared" si="287"/>
        <v>0</v>
      </c>
      <c r="I308" s="186">
        <f t="shared" si="287"/>
        <v>0</v>
      </c>
      <c r="J308" s="186">
        <f t="shared" si="287"/>
        <v>0</v>
      </c>
      <c r="K308" s="186">
        <f t="shared" si="287"/>
        <v>0</v>
      </c>
      <c r="L308" s="186">
        <f t="shared" si="287"/>
        <v>0</v>
      </c>
      <c r="M308" s="186">
        <f t="shared" si="287"/>
        <v>0</v>
      </c>
      <c r="N308" s="186">
        <f t="shared" si="287"/>
        <v>0</v>
      </c>
      <c r="O308" s="186">
        <f t="shared" si="287"/>
        <v>0</v>
      </c>
      <c r="P308" s="186">
        <f t="shared" si="287"/>
        <v>0</v>
      </c>
      <c r="Q308" s="189">
        <f t="shared" si="284"/>
        <v>0</v>
      </c>
    </row>
    <row r="309" spans="3:17" ht="18.75" x14ac:dyDescent="0.3">
      <c r="C309" s="143">
        <f t="shared" si="281"/>
        <v>1</v>
      </c>
      <c r="D309" s="149" t="s">
        <v>122</v>
      </c>
      <c r="E309" s="38" t="s">
        <v>52</v>
      </c>
      <c r="F309" s="168">
        <f t="shared" ref="F309:P309" si="288">F$12*$E300</f>
        <v>0</v>
      </c>
      <c r="G309" s="186">
        <f t="shared" si="288"/>
        <v>0</v>
      </c>
      <c r="H309" s="186">
        <f t="shared" si="288"/>
        <v>0</v>
      </c>
      <c r="I309" s="186">
        <f t="shared" si="288"/>
        <v>0</v>
      </c>
      <c r="J309" s="186">
        <f t="shared" si="288"/>
        <v>0</v>
      </c>
      <c r="K309" s="186">
        <f t="shared" si="288"/>
        <v>0</v>
      </c>
      <c r="L309" s="186">
        <f t="shared" si="288"/>
        <v>0</v>
      </c>
      <c r="M309" s="186">
        <f t="shared" si="288"/>
        <v>0</v>
      </c>
      <c r="N309" s="186">
        <f t="shared" si="288"/>
        <v>0</v>
      </c>
      <c r="O309" s="186">
        <f t="shared" si="288"/>
        <v>0</v>
      </c>
      <c r="P309" s="186">
        <f t="shared" si="288"/>
        <v>0</v>
      </c>
      <c r="Q309" s="189">
        <f t="shared" si="284"/>
        <v>0</v>
      </c>
    </row>
    <row r="310" spans="3:17" ht="18.75" x14ac:dyDescent="0.3">
      <c r="C310" s="143">
        <f t="shared" si="281"/>
        <v>1</v>
      </c>
      <c r="D310" s="149" t="s">
        <v>123</v>
      </c>
      <c r="E310" s="38" t="s">
        <v>51</v>
      </c>
      <c r="F310" s="168">
        <f t="shared" ref="F310:P310" si="289">F$13*$E300</f>
        <v>0</v>
      </c>
      <c r="G310" s="186">
        <f t="shared" si="289"/>
        <v>0</v>
      </c>
      <c r="H310" s="186">
        <f t="shared" si="289"/>
        <v>0</v>
      </c>
      <c r="I310" s="186">
        <f t="shared" si="289"/>
        <v>0</v>
      </c>
      <c r="J310" s="186">
        <f t="shared" si="289"/>
        <v>0</v>
      </c>
      <c r="K310" s="186">
        <f t="shared" si="289"/>
        <v>0</v>
      </c>
      <c r="L310" s="186">
        <f t="shared" si="289"/>
        <v>0</v>
      </c>
      <c r="M310" s="186">
        <f t="shared" si="289"/>
        <v>0</v>
      </c>
      <c r="N310" s="186">
        <f t="shared" si="289"/>
        <v>0</v>
      </c>
      <c r="O310" s="186">
        <f t="shared" si="289"/>
        <v>0</v>
      </c>
      <c r="P310" s="186">
        <f t="shared" si="289"/>
        <v>0</v>
      </c>
      <c r="Q310" s="189">
        <f t="shared" si="284"/>
        <v>0</v>
      </c>
    </row>
    <row r="311" spans="3:17" ht="19.5" thickBot="1" x14ac:dyDescent="0.35">
      <c r="C311" s="143">
        <f t="shared" si="281"/>
        <v>1</v>
      </c>
      <c r="D311" s="149" t="s">
        <v>16</v>
      </c>
      <c r="E311" s="37" t="s">
        <v>50</v>
      </c>
      <c r="F311" s="168">
        <f t="shared" ref="F311:P311" si="290">F$14*$E300</f>
        <v>1.3407750618487512E-2</v>
      </c>
      <c r="G311" s="186">
        <f t="shared" si="290"/>
        <v>24.198351209007434</v>
      </c>
      <c r="H311" s="186">
        <f t="shared" si="290"/>
        <v>0.47151978870406447</v>
      </c>
      <c r="I311" s="186">
        <f t="shared" si="290"/>
        <v>0</v>
      </c>
      <c r="J311" s="186">
        <f t="shared" si="290"/>
        <v>0</v>
      </c>
      <c r="K311" s="186">
        <f t="shared" si="290"/>
        <v>1.6896557482867764</v>
      </c>
      <c r="L311" s="186">
        <f t="shared" si="290"/>
        <v>0</v>
      </c>
      <c r="M311" s="186">
        <f t="shared" si="290"/>
        <v>9.0689744690533407E-4</v>
      </c>
      <c r="N311" s="186">
        <f t="shared" si="290"/>
        <v>0</v>
      </c>
      <c r="O311" s="186">
        <f t="shared" si="290"/>
        <v>0</v>
      </c>
      <c r="P311" s="186">
        <f t="shared" si="290"/>
        <v>1.5276876430088457</v>
      </c>
      <c r="Q311" s="189">
        <f t="shared" si="284"/>
        <v>27.888121286454027</v>
      </c>
    </row>
    <row r="312" spans="3:17" ht="19.5" thickBot="1" x14ac:dyDescent="0.3">
      <c r="C312" s="143">
        <f t="shared" si="281"/>
        <v>1</v>
      </c>
      <c r="D312" s="148" t="s">
        <v>124</v>
      </c>
      <c r="E312" s="147" t="s">
        <v>49</v>
      </c>
      <c r="F312" s="169">
        <f t="shared" ref="F312:Q312" si="291">SUBTOTAL(9,F303:F311)</f>
        <v>0.2150371828968636</v>
      </c>
      <c r="G312" s="170">
        <f t="shared" si="291"/>
        <v>428.04666544844798</v>
      </c>
      <c r="H312" s="170">
        <f t="shared" si="291"/>
        <v>6.5597930492756058</v>
      </c>
      <c r="I312" s="170">
        <f t="shared" si="291"/>
        <v>0</v>
      </c>
      <c r="J312" s="170">
        <f t="shared" si="291"/>
        <v>7.758609796336164</v>
      </c>
      <c r="K312" s="170">
        <f t="shared" ref="K312:P312" si="292">SUBTOTAL(9,K303:K311)</f>
        <v>3.0250878451879801</v>
      </c>
      <c r="L312" s="170">
        <f t="shared" si="292"/>
        <v>0.35858974577281316</v>
      </c>
      <c r="M312" s="170">
        <f t="shared" si="292"/>
        <v>9.0689744690533407E-4</v>
      </c>
      <c r="N312" s="170">
        <f t="shared" si="292"/>
        <v>0</v>
      </c>
      <c r="O312" s="170">
        <f t="shared" si="292"/>
        <v>0</v>
      </c>
      <c r="P312" s="170">
        <f t="shared" si="292"/>
        <v>1.5276876430088457</v>
      </c>
      <c r="Q312" s="170">
        <f t="shared" si="291"/>
        <v>447.27734042547627</v>
      </c>
    </row>
    <row r="313" spans="3:17" ht="15.75" hidden="1" thickBot="1" x14ac:dyDescent="0.3"/>
    <row r="314" spans="3:17" ht="45" x14ac:dyDescent="0.25">
      <c r="C314" s="143">
        <f>IF(E314&gt;0,1,0)</f>
        <v>1</v>
      </c>
      <c r="D314" s="163" t="str">
        <f>A25</f>
        <v>Herkimer</v>
      </c>
      <c r="E314" s="166">
        <f>SUMIF(A:A,D314,B:B)</f>
        <v>1.6613489150790787E-3</v>
      </c>
      <c r="F314" s="509" t="s">
        <v>97</v>
      </c>
      <c r="G314" s="509" t="s">
        <v>126</v>
      </c>
      <c r="H314" s="509" t="s">
        <v>127</v>
      </c>
      <c r="I314" s="508" t="s">
        <v>128</v>
      </c>
      <c r="J314" s="508" t="s">
        <v>487</v>
      </c>
      <c r="K314" s="508" t="s">
        <v>474</v>
      </c>
      <c r="L314" s="508" t="s">
        <v>475</v>
      </c>
      <c r="M314" s="508" t="s">
        <v>476</v>
      </c>
      <c r="N314" s="508" t="s">
        <v>477</v>
      </c>
      <c r="O314" s="508" t="s">
        <v>478</v>
      </c>
      <c r="P314" s="508" t="s">
        <v>479</v>
      </c>
      <c r="Q314" s="508" t="s">
        <v>129</v>
      </c>
    </row>
    <row r="315" spans="3:17" ht="18.75" x14ac:dyDescent="0.25">
      <c r="C315" s="143">
        <f>C314</f>
        <v>1</v>
      </c>
      <c r="D315" s="160"/>
      <c r="E315" s="159"/>
      <c r="F315" s="49" t="s">
        <v>57</v>
      </c>
      <c r="G315" s="49" t="s">
        <v>56</v>
      </c>
      <c r="H315" s="49" t="s">
        <v>55</v>
      </c>
      <c r="I315" s="49" t="s">
        <v>54</v>
      </c>
      <c r="J315" s="58" t="s">
        <v>53</v>
      </c>
      <c r="K315" s="49" t="s">
        <v>52</v>
      </c>
      <c r="L315" s="49" t="s">
        <v>51</v>
      </c>
      <c r="M315" s="49" t="s">
        <v>50</v>
      </c>
      <c r="N315" s="49" t="s">
        <v>49</v>
      </c>
      <c r="O315" s="49" t="s">
        <v>47</v>
      </c>
      <c r="P315" s="49" t="s">
        <v>77</v>
      </c>
      <c r="Q315" s="573" t="s">
        <v>78</v>
      </c>
    </row>
    <row r="316" spans="3:17" ht="18.75" x14ac:dyDescent="0.25">
      <c r="C316" s="143">
        <f>C315</f>
        <v>1</v>
      </c>
      <c r="D316" s="158" t="s">
        <v>26</v>
      </c>
      <c r="E316" s="157"/>
      <c r="F316" s="156"/>
      <c r="G316" s="156"/>
      <c r="H316" s="156"/>
      <c r="I316" s="155"/>
      <c r="J316" s="154"/>
      <c r="K316" s="154"/>
      <c r="L316" s="154"/>
      <c r="M316" s="154"/>
      <c r="N316" s="154"/>
      <c r="O316" s="154"/>
      <c r="P316" s="154"/>
      <c r="Q316" s="153"/>
    </row>
    <row r="317" spans="3:17" ht="18.75" x14ac:dyDescent="0.25">
      <c r="C317" s="143">
        <f t="shared" ref="C317:C326" si="293">C316</f>
        <v>1</v>
      </c>
      <c r="D317" s="152" t="s">
        <v>105</v>
      </c>
      <c r="E317" s="38" t="s">
        <v>57</v>
      </c>
      <c r="F317" s="168">
        <f t="shared" ref="F317:P317" si="294">F$6*$E314</f>
        <v>3.1067514729186017</v>
      </c>
      <c r="G317" s="186">
        <f t="shared" si="294"/>
        <v>6222.5853186297581</v>
      </c>
      <c r="H317" s="186">
        <f t="shared" si="294"/>
        <v>93.809478636517994</v>
      </c>
      <c r="I317" s="186">
        <f t="shared" si="294"/>
        <v>0</v>
      </c>
      <c r="J317" s="186">
        <f t="shared" si="294"/>
        <v>119.54639826237874</v>
      </c>
      <c r="K317" s="186">
        <f t="shared" si="294"/>
        <v>20.576636987711929</v>
      </c>
      <c r="L317" s="186">
        <f t="shared" si="294"/>
        <v>5.5252311543242456</v>
      </c>
      <c r="M317" s="186">
        <f t="shared" si="294"/>
        <v>0</v>
      </c>
      <c r="N317" s="186">
        <f t="shared" si="294"/>
        <v>0</v>
      </c>
      <c r="O317" s="186">
        <f t="shared" si="294"/>
        <v>0</v>
      </c>
      <c r="P317" s="186">
        <f t="shared" si="294"/>
        <v>0</v>
      </c>
      <c r="Q317" s="189">
        <f>SUM(G317:P317)</f>
        <v>6462.0430636706915</v>
      </c>
    </row>
    <row r="318" spans="3:17" ht="18.75" x14ac:dyDescent="0.25">
      <c r="C318" s="143">
        <f t="shared" si="293"/>
        <v>1</v>
      </c>
      <c r="D318" s="150" t="s">
        <v>31</v>
      </c>
      <c r="E318" s="38"/>
      <c r="F318" s="167"/>
      <c r="G318" s="185"/>
      <c r="H318" s="185"/>
      <c r="I318" s="187"/>
      <c r="J318" s="188"/>
      <c r="K318" s="188"/>
      <c r="L318" s="188"/>
      <c r="M318" s="188"/>
      <c r="N318" s="188"/>
      <c r="O318" s="188"/>
      <c r="P318" s="188"/>
      <c r="Q318" s="171"/>
    </row>
    <row r="319" spans="3:17" ht="18.75" x14ac:dyDescent="0.3">
      <c r="C319" s="143">
        <f t="shared" si="293"/>
        <v>1</v>
      </c>
      <c r="D319" s="149" t="s">
        <v>118</v>
      </c>
      <c r="E319" s="38" t="s">
        <v>56</v>
      </c>
      <c r="F319" s="168">
        <f t="shared" ref="F319:P319" si="295">F$8*$E314</f>
        <v>0</v>
      </c>
      <c r="G319" s="186">
        <f t="shared" si="295"/>
        <v>0</v>
      </c>
      <c r="H319" s="186">
        <f t="shared" si="295"/>
        <v>0</v>
      </c>
      <c r="I319" s="186">
        <f t="shared" si="295"/>
        <v>0</v>
      </c>
      <c r="J319" s="186">
        <f t="shared" si="295"/>
        <v>0</v>
      </c>
      <c r="K319" s="186">
        <f t="shared" si="295"/>
        <v>0</v>
      </c>
      <c r="L319" s="186">
        <f t="shared" si="295"/>
        <v>0</v>
      </c>
      <c r="M319" s="186">
        <f t="shared" si="295"/>
        <v>0</v>
      </c>
      <c r="N319" s="186">
        <f t="shared" si="295"/>
        <v>0</v>
      </c>
      <c r="O319" s="186">
        <f t="shared" si="295"/>
        <v>0</v>
      </c>
      <c r="P319" s="186">
        <f t="shared" si="295"/>
        <v>0</v>
      </c>
      <c r="Q319" s="189">
        <f t="shared" ref="Q319:Q325" si="296">SUM(G319:P319)</f>
        <v>0</v>
      </c>
    </row>
    <row r="320" spans="3:17" ht="18.75" x14ac:dyDescent="0.3">
      <c r="C320" s="143">
        <f t="shared" si="293"/>
        <v>1</v>
      </c>
      <c r="D320" s="149" t="s">
        <v>119</v>
      </c>
      <c r="E320" s="38" t="s">
        <v>55</v>
      </c>
      <c r="F320" s="168">
        <f t="shared" ref="F320:P320" si="297">F$9*$E314</f>
        <v>0</v>
      </c>
      <c r="G320" s="186">
        <f t="shared" si="297"/>
        <v>0</v>
      </c>
      <c r="H320" s="186">
        <f t="shared" si="297"/>
        <v>0</v>
      </c>
      <c r="I320" s="186">
        <f t="shared" si="297"/>
        <v>0</v>
      </c>
      <c r="J320" s="186">
        <f t="shared" si="297"/>
        <v>0</v>
      </c>
      <c r="K320" s="186">
        <f t="shared" si="297"/>
        <v>0</v>
      </c>
      <c r="L320" s="186">
        <f t="shared" si="297"/>
        <v>0</v>
      </c>
      <c r="M320" s="186">
        <f t="shared" si="297"/>
        <v>0</v>
      </c>
      <c r="N320" s="186">
        <f t="shared" si="297"/>
        <v>0</v>
      </c>
      <c r="O320" s="186">
        <f t="shared" si="297"/>
        <v>0</v>
      </c>
      <c r="P320" s="186">
        <f t="shared" si="297"/>
        <v>0</v>
      </c>
      <c r="Q320" s="189">
        <f t="shared" si="296"/>
        <v>0</v>
      </c>
    </row>
    <row r="321" spans="3:17" ht="18.75" x14ac:dyDescent="0.3">
      <c r="C321" s="143">
        <f t="shared" si="293"/>
        <v>1</v>
      </c>
      <c r="D321" s="149" t="s">
        <v>120</v>
      </c>
      <c r="E321" s="38" t="s">
        <v>54</v>
      </c>
      <c r="F321" s="168">
        <f t="shared" ref="F321:P321" si="298">F$10*$E314</f>
        <v>0</v>
      </c>
      <c r="G321" s="186">
        <f t="shared" si="298"/>
        <v>0</v>
      </c>
      <c r="H321" s="186">
        <f t="shared" si="298"/>
        <v>0</v>
      </c>
      <c r="I321" s="186">
        <f t="shared" si="298"/>
        <v>0</v>
      </c>
      <c r="J321" s="186">
        <f t="shared" si="298"/>
        <v>0</v>
      </c>
      <c r="K321" s="186">
        <f t="shared" si="298"/>
        <v>0</v>
      </c>
      <c r="L321" s="186">
        <f t="shared" si="298"/>
        <v>0</v>
      </c>
      <c r="M321" s="186">
        <f t="shared" si="298"/>
        <v>0</v>
      </c>
      <c r="N321" s="186">
        <f t="shared" si="298"/>
        <v>0</v>
      </c>
      <c r="O321" s="186">
        <f t="shared" si="298"/>
        <v>0</v>
      </c>
      <c r="P321" s="186">
        <f t="shared" si="298"/>
        <v>0</v>
      </c>
      <c r="Q321" s="189">
        <f t="shared" si="296"/>
        <v>0</v>
      </c>
    </row>
    <row r="322" spans="3:17" ht="18.75" x14ac:dyDescent="0.3">
      <c r="C322" s="143">
        <f t="shared" si="293"/>
        <v>1</v>
      </c>
      <c r="D322" s="149" t="s">
        <v>121</v>
      </c>
      <c r="E322" s="38" t="s">
        <v>53</v>
      </c>
      <c r="F322" s="168">
        <f t="shared" ref="F322:P322" si="299">F$11*$E314</f>
        <v>0</v>
      </c>
      <c r="G322" s="186">
        <f t="shared" si="299"/>
        <v>0</v>
      </c>
      <c r="H322" s="186">
        <f t="shared" si="299"/>
        <v>0</v>
      </c>
      <c r="I322" s="186">
        <f t="shared" si="299"/>
        <v>0</v>
      </c>
      <c r="J322" s="186">
        <f t="shared" si="299"/>
        <v>0</v>
      </c>
      <c r="K322" s="186">
        <f t="shared" si="299"/>
        <v>0</v>
      </c>
      <c r="L322" s="186">
        <f t="shared" si="299"/>
        <v>0</v>
      </c>
      <c r="M322" s="186">
        <f t="shared" si="299"/>
        <v>0</v>
      </c>
      <c r="N322" s="186">
        <f t="shared" si="299"/>
        <v>0</v>
      </c>
      <c r="O322" s="186">
        <f t="shared" si="299"/>
        <v>0</v>
      </c>
      <c r="P322" s="186">
        <f t="shared" si="299"/>
        <v>0</v>
      </c>
      <c r="Q322" s="189">
        <f t="shared" si="296"/>
        <v>0</v>
      </c>
    </row>
    <row r="323" spans="3:17" ht="18.75" x14ac:dyDescent="0.3">
      <c r="C323" s="143">
        <f t="shared" si="293"/>
        <v>1</v>
      </c>
      <c r="D323" s="149" t="s">
        <v>122</v>
      </c>
      <c r="E323" s="38" t="s">
        <v>52</v>
      </c>
      <c r="F323" s="168">
        <f t="shared" ref="F323:P323" si="300">F$12*$E314</f>
        <v>0</v>
      </c>
      <c r="G323" s="186">
        <f t="shared" si="300"/>
        <v>0</v>
      </c>
      <c r="H323" s="186">
        <f t="shared" si="300"/>
        <v>0</v>
      </c>
      <c r="I323" s="186">
        <f t="shared" si="300"/>
        <v>0</v>
      </c>
      <c r="J323" s="186">
        <f t="shared" si="300"/>
        <v>0</v>
      </c>
      <c r="K323" s="186">
        <f t="shared" si="300"/>
        <v>0</v>
      </c>
      <c r="L323" s="186">
        <f t="shared" si="300"/>
        <v>0</v>
      </c>
      <c r="M323" s="186">
        <f t="shared" si="300"/>
        <v>0</v>
      </c>
      <c r="N323" s="186">
        <f t="shared" si="300"/>
        <v>0</v>
      </c>
      <c r="O323" s="186">
        <f t="shared" si="300"/>
        <v>0</v>
      </c>
      <c r="P323" s="186">
        <f t="shared" si="300"/>
        <v>0</v>
      </c>
      <c r="Q323" s="189">
        <f t="shared" si="296"/>
        <v>0</v>
      </c>
    </row>
    <row r="324" spans="3:17" ht="18.75" x14ac:dyDescent="0.3">
      <c r="C324" s="143">
        <f t="shared" si="293"/>
        <v>1</v>
      </c>
      <c r="D324" s="149" t="s">
        <v>123</v>
      </c>
      <c r="E324" s="38" t="s">
        <v>51</v>
      </c>
      <c r="F324" s="168">
        <f t="shared" ref="F324:P324" si="301">F$13*$E314</f>
        <v>0</v>
      </c>
      <c r="G324" s="186">
        <f t="shared" si="301"/>
        <v>0</v>
      </c>
      <c r="H324" s="186">
        <f t="shared" si="301"/>
        <v>0</v>
      </c>
      <c r="I324" s="186">
        <f t="shared" si="301"/>
        <v>0</v>
      </c>
      <c r="J324" s="186">
        <f t="shared" si="301"/>
        <v>0</v>
      </c>
      <c r="K324" s="186">
        <f t="shared" si="301"/>
        <v>0</v>
      </c>
      <c r="L324" s="186">
        <f t="shared" si="301"/>
        <v>0</v>
      </c>
      <c r="M324" s="186">
        <f t="shared" si="301"/>
        <v>0</v>
      </c>
      <c r="N324" s="186">
        <f t="shared" si="301"/>
        <v>0</v>
      </c>
      <c r="O324" s="186">
        <f t="shared" si="301"/>
        <v>0</v>
      </c>
      <c r="P324" s="186">
        <f t="shared" si="301"/>
        <v>0</v>
      </c>
      <c r="Q324" s="189">
        <f t="shared" si="296"/>
        <v>0</v>
      </c>
    </row>
    <row r="325" spans="3:17" ht="19.5" thickBot="1" x14ac:dyDescent="0.35">
      <c r="C325" s="143">
        <f t="shared" si="293"/>
        <v>1</v>
      </c>
      <c r="D325" s="149" t="s">
        <v>16</v>
      </c>
      <c r="E325" s="37" t="s">
        <v>50</v>
      </c>
      <c r="F325" s="168">
        <f t="shared" ref="F325:P325" si="302">F$14*$E314</f>
        <v>0.20658962588855462</v>
      </c>
      <c r="G325" s="186">
        <f t="shared" si="302"/>
        <v>372.85361770493876</v>
      </c>
      <c r="H325" s="186">
        <f t="shared" si="302"/>
        <v>7.2652825607530316</v>
      </c>
      <c r="I325" s="186">
        <f t="shared" si="302"/>
        <v>0</v>
      </c>
      <c r="J325" s="186">
        <f t="shared" si="302"/>
        <v>0</v>
      </c>
      <c r="K325" s="186">
        <f t="shared" si="302"/>
        <v>26.034594381379385</v>
      </c>
      <c r="L325" s="186">
        <f t="shared" si="302"/>
        <v>0</v>
      </c>
      <c r="M325" s="186">
        <f t="shared" si="302"/>
        <v>1.39736790761248E-2</v>
      </c>
      <c r="N325" s="186">
        <f t="shared" si="302"/>
        <v>0</v>
      </c>
      <c r="O325" s="186">
        <f t="shared" si="302"/>
        <v>0</v>
      </c>
      <c r="P325" s="186">
        <f t="shared" si="302"/>
        <v>23.53895352204631</v>
      </c>
      <c r="Q325" s="189">
        <f t="shared" si="296"/>
        <v>429.7064218481936</v>
      </c>
    </row>
    <row r="326" spans="3:17" ht="19.5" thickBot="1" x14ac:dyDescent="0.3">
      <c r="C326" s="143">
        <f t="shared" si="293"/>
        <v>1</v>
      </c>
      <c r="D326" s="148" t="s">
        <v>124</v>
      </c>
      <c r="E326" s="147" t="s">
        <v>49</v>
      </c>
      <c r="F326" s="169">
        <f t="shared" ref="F326:Q326" si="303">SUBTOTAL(9,F317:F325)</f>
        <v>3.3133410988071561</v>
      </c>
      <c r="G326" s="170">
        <f t="shared" si="303"/>
        <v>6595.4389363346972</v>
      </c>
      <c r="H326" s="170">
        <f t="shared" si="303"/>
        <v>101.07476119727103</v>
      </c>
      <c r="I326" s="170">
        <f t="shared" si="303"/>
        <v>0</v>
      </c>
      <c r="J326" s="170">
        <f t="shared" si="303"/>
        <v>119.54639826237874</v>
      </c>
      <c r="K326" s="170">
        <f t="shared" ref="K326:P326" si="304">SUBTOTAL(9,K317:K325)</f>
        <v>46.611231369091314</v>
      </c>
      <c r="L326" s="170">
        <f t="shared" si="304"/>
        <v>5.5252311543242456</v>
      </c>
      <c r="M326" s="170">
        <f t="shared" si="304"/>
        <v>1.39736790761248E-2</v>
      </c>
      <c r="N326" s="170">
        <f t="shared" si="304"/>
        <v>0</v>
      </c>
      <c r="O326" s="170">
        <f t="shared" si="304"/>
        <v>0</v>
      </c>
      <c r="P326" s="170">
        <f t="shared" si="304"/>
        <v>23.53895352204631</v>
      </c>
      <c r="Q326" s="170">
        <f t="shared" si="303"/>
        <v>6891.7494855188852</v>
      </c>
    </row>
    <row r="327" spans="3:17" ht="15.75" hidden="1" thickBot="1" x14ac:dyDescent="0.3"/>
    <row r="328" spans="3:17" ht="45" x14ac:dyDescent="0.25">
      <c r="C328" s="143">
        <f>IF(E328&gt;0,1,0)</f>
        <v>1</v>
      </c>
      <c r="D328" s="163" t="str">
        <f>A26</f>
        <v>Jefferson</v>
      </c>
      <c r="E328" s="166">
        <f>SUMIF(A:A,D328,B:B)</f>
        <v>6.5581997416250632E-3</v>
      </c>
      <c r="F328" s="509" t="s">
        <v>97</v>
      </c>
      <c r="G328" s="509" t="s">
        <v>126</v>
      </c>
      <c r="H328" s="509" t="s">
        <v>127</v>
      </c>
      <c r="I328" s="508" t="s">
        <v>128</v>
      </c>
      <c r="J328" s="508" t="s">
        <v>487</v>
      </c>
      <c r="K328" s="508" t="s">
        <v>474</v>
      </c>
      <c r="L328" s="508" t="s">
        <v>475</v>
      </c>
      <c r="M328" s="508" t="s">
        <v>476</v>
      </c>
      <c r="N328" s="508" t="s">
        <v>477</v>
      </c>
      <c r="O328" s="508" t="s">
        <v>478</v>
      </c>
      <c r="P328" s="508" t="s">
        <v>479</v>
      </c>
      <c r="Q328" s="508" t="s">
        <v>129</v>
      </c>
    </row>
    <row r="329" spans="3:17" ht="18.75" x14ac:dyDescent="0.25">
      <c r="C329" s="143">
        <f>C328</f>
        <v>1</v>
      </c>
      <c r="D329" s="160"/>
      <c r="E329" s="159"/>
      <c r="F329" s="49" t="s">
        <v>57</v>
      </c>
      <c r="G329" s="49" t="s">
        <v>56</v>
      </c>
      <c r="H329" s="49" t="s">
        <v>55</v>
      </c>
      <c r="I329" s="49" t="s">
        <v>54</v>
      </c>
      <c r="J329" s="58" t="s">
        <v>53</v>
      </c>
      <c r="K329" s="49" t="s">
        <v>52</v>
      </c>
      <c r="L329" s="49" t="s">
        <v>51</v>
      </c>
      <c r="M329" s="49" t="s">
        <v>50</v>
      </c>
      <c r="N329" s="49" t="s">
        <v>49</v>
      </c>
      <c r="O329" s="49" t="s">
        <v>47</v>
      </c>
      <c r="P329" s="49" t="s">
        <v>77</v>
      </c>
      <c r="Q329" s="573" t="s">
        <v>78</v>
      </c>
    </row>
    <row r="330" spans="3:17" ht="18.75" x14ac:dyDescent="0.25">
      <c r="C330" s="143">
        <f>C329</f>
        <v>1</v>
      </c>
      <c r="D330" s="158" t="s">
        <v>26</v>
      </c>
      <c r="E330" s="157"/>
      <c r="F330" s="156"/>
      <c r="G330" s="156"/>
      <c r="H330" s="156"/>
      <c r="I330" s="155"/>
      <c r="J330" s="154"/>
      <c r="K330" s="154"/>
      <c r="L330" s="154"/>
      <c r="M330" s="154"/>
      <c r="N330" s="154"/>
      <c r="O330" s="154"/>
      <c r="P330" s="154"/>
      <c r="Q330" s="153"/>
    </row>
    <row r="331" spans="3:17" ht="18.75" x14ac:dyDescent="0.25">
      <c r="C331" s="143">
        <f t="shared" ref="C331:C340" si="305">C330</f>
        <v>1</v>
      </c>
      <c r="D331" s="152" t="s">
        <v>105</v>
      </c>
      <c r="E331" s="38" t="s">
        <v>57</v>
      </c>
      <c r="F331" s="168">
        <f t="shared" ref="F331:P331" si="306">F$6*$E328</f>
        <v>12.26394800156609</v>
      </c>
      <c r="G331" s="186">
        <f t="shared" si="306"/>
        <v>24563.748805852218</v>
      </c>
      <c r="H331" s="186">
        <f t="shared" si="306"/>
        <v>370.31432288063957</v>
      </c>
      <c r="I331" s="186">
        <f t="shared" si="306"/>
        <v>0</v>
      </c>
      <c r="J331" s="186">
        <f t="shared" si="306"/>
        <v>471.91119883400353</v>
      </c>
      <c r="K331" s="186">
        <f t="shared" si="306"/>
        <v>81.226582899897224</v>
      </c>
      <c r="L331" s="186">
        <f t="shared" si="306"/>
        <v>21.810932790709554</v>
      </c>
      <c r="M331" s="186">
        <f t="shared" si="306"/>
        <v>0</v>
      </c>
      <c r="N331" s="186">
        <f t="shared" si="306"/>
        <v>0</v>
      </c>
      <c r="O331" s="186">
        <f t="shared" si="306"/>
        <v>0</v>
      </c>
      <c r="P331" s="186">
        <f t="shared" si="306"/>
        <v>0</v>
      </c>
      <c r="Q331" s="189">
        <f>SUM(G331:P331)</f>
        <v>25509.011843257467</v>
      </c>
    </row>
    <row r="332" spans="3:17" ht="18.75" x14ac:dyDescent="0.25">
      <c r="C332" s="143">
        <f t="shared" si="305"/>
        <v>1</v>
      </c>
      <c r="D332" s="150" t="s">
        <v>31</v>
      </c>
      <c r="E332" s="38"/>
      <c r="F332" s="167"/>
      <c r="G332" s="185"/>
      <c r="H332" s="185"/>
      <c r="I332" s="187"/>
      <c r="J332" s="188"/>
      <c r="K332" s="188"/>
      <c r="L332" s="188"/>
      <c r="M332" s="188"/>
      <c r="N332" s="188"/>
      <c r="O332" s="188"/>
      <c r="P332" s="188"/>
      <c r="Q332" s="171"/>
    </row>
    <row r="333" spans="3:17" ht="18.75" x14ac:dyDescent="0.3">
      <c r="C333" s="143">
        <f t="shared" si="305"/>
        <v>1</v>
      </c>
      <c r="D333" s="149" t="s">
        <v>118</v>
      </c>
      <c r="E333" s="38" t="s">
        <v>56</v>
      </c>
      <c r="F333" s="168">
        <f t="shared" ref="F333:P333" si="307">F$8*$E328</f>
        <v>0</v>
      </c>
      <c r="G333" s="186">
        <f t="shared" si="307"/>
        <v>0</v>
      </c>
      <c r="H333" s="186">
        <f t="shared" si="307"/>
        <v>0</v>
      </c>
      <c r="I333" s="186">
        <f t="shared" si="307"/>
        <v>0</v>
      </c>
      <c r="J333" s="186">
        <f t="shared" si="307"/>
        <v>0</v>
      </c>
      <c r="K333" s="186">
        <f t="shared" si="307"/>
        <v>0</v>
      </c>
      <c r="L333" s="186">
        <f t="shared" si="307"/>
        <v>0</v>
      </c>
      <c r="M333" s="186">
        <f t="shared" si="307"/>
        <v>0</v>
      </c>
      <c r="N333" s="186">
        <f t="shared" si="307"/>
        <v>0</v>
      </c>
      <c r="O333" s="186">
        <f t="shared" si="307"/>
        <v>0</v>
      </c>
      <c r="P333" s="186">
        <f t="shared" si="307"/>
        <v>0</v>
      </c>
      <c r="Q333" s="189">
        <f t="shared" ref="Q333:Q339" si="308">SUM(G333:P333)</f>
        <v>0</v>
      </c>
    </row>
    <row r="334" spans="3:17" ht="18.75" x14ac:dyDescent="0.3">
      <c r="C334" s="143">
        <f t="shared" si="305"/>
        <v>1</v>
      </c>
      <c r="D334" s="149" t="s">
        <v>119</v>
      </c>
      <c r="E334" s="38" t="s">
        <v>55</v>
      </c>
      <c r="F334" s="168">
        <f t="shared" ref="F334:P334" si="309">F$9*$E328</f>
        <v>0</v>
      </c>
      <c r="G334" s="186">
        <f t="shared" si="309"/>
        <v>0</v>
      </c>
      <c r="H334" s="186">
        <f t="shared" si="309"/>
        <v>0</v>
      </c>
      <c r="I334" s="186">
        <f t="shared" si="309"/>
        <v>0</v>
      </c>
      <c r="J334" s="186">
        <f t="shared" si="309"/>
        <v>0</v>
      </c>
      <c r="K334" s="186">
        <f t="shared" si="309"/>
        <v>0</v>
      </c>
      <c r="L334" s="186">
        <f t="shared" si="309"/>
        <v>0</v>
      </c>
      <c r="M334" s="186">
        <f t="shared" si="309"/>
        <v>0</v>
      </c>
      <c r="N334" s="186">
        <f t="shared" si="309"/>
        <v>0</v>
      </c>
      <c r="O334" s="186">
        <f t="shared" si="309"/>
        <v>0</v>
      </c>
      <c r="P334" s="186">
        <f t="shared" si="309"/>
        <v>0</v>
      </c>
      <c r="Q334" s="189">
        <f t="shared" si="308"/>
        <v>0</v>
      </c>
    </row>
    <row r="335" spans="3:17" ht="18.75" x14ac:dyDescent="0.3">
      <c r="C335" s="143">
        <f t="shared" si="305"/>
        <v>1</v>
      </c>
      <c r="D335" s="149" t="s">
        <v>120</v>
      </c>
      <c r="E335" s="38" t="s">
        <v>54</v>
      </c>
      <c r="F335" s="168">
        <f t="shared" ref="F335:P335" si="310">F$10*$E328</f>
        <v>0</v>
      </c>
      <c r="G335" s="186">
        <f t="shared" si="310"/>
        <v>0</v>
      </c>
      <c r="H335" s="186">
        <f t="shared" si="310"/>
        <v>0</v>
      </c>
      <c r="I335" s="186">
        <f t="shared" si="310"/>
        <v>0</v>
      </c>
      <c r="J335" s="186">
        <f t="shared" si="310"/>
        <v>0</v>
      </c>
      <c r="K335" s="186">
        <f t="shared" si="310"/>
        <v>0</v>
      </c>
      <c r="L335" s="186">
        <f t="shared" si="310"/>
        <v>0</v>
      </c>
      <c r="M335" s="186">
        <f t="shared" si="310"/>
        <v>0</v>
      </c>
      <c r="N335" s="186">
        <f t="shared" si="310"/>
        <v>0</v>
      </c>
      <c r="O335" s="186">
        <f t="shared" si="310"/>
        <v>0</v>
      </c>
      <c r="P335" s="186">
        <f t="shared" si="310"/>
        <v>0</v>
      </c>
      <c r="Q335" s="189">
        <f t="shared" si="308"/>
        <v>0</v>
      </c>
    </row>
    <row r="336" spans="3:17" ht="18.75" x14ac:dyDescent="0.3">
      <c r="C336" s="143">
        <f t="shared" si="305"/>
        <v>1</v>
      </c>
      <c r="D336" s="149" t="s">
        <v>121</v>
      </c>
      <c r="E336" s="38" t="s">
        <v>53</v>
      </c>
      <c r="F336" s="168">
        <f t="shared" ref="F336:P336" si="311">F$11*$E328</f>
        <v>0</v>
      </c>
      <c r="G336" s="186">
        <f t="shared" si="311"/>
        <v>0</v>
      </c>
      <c r="H336" s="186">
        <f t="shared" si="311"/>
        <v>0</v>
      </c>
      <c r="I336" s="186">
        <f t="shared" si="311"/>
        <v>0</v>
      </c>
      <c r="J336" s="186">
        <f t="shared" si="311"/>
        <v>0</v>
      </c>
      <c r="K336" s="186">
        <f t="shared" si="311"/>
        <v>0</v>
      </c>
      <c r="L336" s="186">
        <f t="shared" si="311"/>
        <v>0</v>
      </c>
      <c r="M336" s="186">
        <f t="shared" si="311"/>
        <v>0</v>
      </c>
      <c r="N336" s="186">
        <f t="shared" si="311"/>
        <v>0</v>
      </c>
      <c r="O336" s="186">
        <f t="shared" si="311"/>
        <v>0</v>
      </c>
      <c r="P336" s="186">
        <f t="shared" si="311"/>
        <v>0</v>
      </c>
      <c r="Q336" s="189">
        <f t="shared" si="308"/>
        <v>0</v>
      </c>
    </row>
    <row r="337" spans="3:17" ht="18.75" x14ac:dyDescent="0.3">
      <c r="C337" s="143">
        <f t="shared" si="305"/>
        <v>1</v>
      </c>
      <c r="D337" s="149" t="s">
        <v>122</v>
      </c>
      <c r="E337" s="38" t="s">
        <v>52</v>
      </c>
      <c r="F337" s="168">
        <f t="shared" ref="F337:P337" si="312">F$12*$E328</f>
        <v>0</v>
      </c>
      <c r="G337" s="186">
        <f t="shared" si="312"/>
        <v>0</v>
      </c>
      <c r="H337" s="186">
        <f t="shared" si="312"/>
        <v>0</v>
      </c>
      <c r="I337" s="186">
        <f t="shared" si="312"/>
        <v>0</v>
      </c>
      <c r="J337" s="186">
        <f t="shared" si="312"/>
        <v>0</v>
      </c>
      <c r="K337" s="186">
        <f t="shared" si="312"/>
        <v>0</v>
      </c>
      <c r="L337" s="186">
        <f t="shared" si="312"/>
        <v>0</v>
      </c>
      <c r="M337" s="186">
        <f t="shared" si="312"/>
        <v>0</v>
      </c>
      <c r="N337" s="186">
        <f t="shared" si="312"/>
        <v>0</v>
      </c>
      <c r="O337" s="186">
        <f t="shared" si="312"/>
        <v>0</v>
      </c>
      <c r="P337" s="186">
        <f t="shared" si="312"/>
        <v>0</v>
      </c>
      <c r="Q337" s="189">
        <f t="shared" si="308"/>
        <v>0</v>
      </c>
    </row>
    <row r="338" spans="3:17" ht="18.75" x14ac:dyDescent="0.3">
      <c r="C338" s="143">
        <f t="shared" si="305"/>
        <v>1</v>
      </c>
      <c r="D338" s="149" t="s">
        <v>123</v>
      </c>
      <c r="E338" s="38" t="s">
        <v>51</v>
      </c>
      <c r="F338" s="168">
        <f t="shared" ref="F338:P338" si="313">F$13*$E328</f>
        <v>0</v>
      </c>
      <c r="G338" s="186">
        <f t="shared" si="313"/>
        <v>0</v>
      </c>
      <c r="H338" s="186">
        <f t="shared" si="313"/>
        <v>0</v>
      </c>
      <c r="I338" s="186">
        <f t="shared" si="313"/>
        <v>0</v>
      </c>
      <c r="J338" s="186">
        <f t="shared" si="313"/>
        <v>0</v>
      </c>
      <c r="K338" s="186">
        <f t="shared" si="313"/>
        <v>0</v>
      </c>
      <c r="L338" s="186">
        <f t="shared" si="313"/>
        <v>0</v>
      </c>
      <c r="M338" s="186">
        <f t="shared" si="313"/>
        <v>0</v>
      </c>
      <c r="N338" s="186">
        <f t="shared" si="313"/>
        <v>0</v>
      </c>
      <c r="O338" s="186">
        <f t="shared" si="313"/>
        <v>0</v>
      </c>
      <c r="P338" s="186">
        <f t="shared" si="313"/>
        <v>0</v>
      </c>
      <c r="Q338" s="189">
        <f t="shared" si="308"/>
        <v>0</v>
      </c>
    </row>
    <row r="339" spans="3:17" ht="19.5" thickBot="1" x14ac:dyDescent="0.35">
      <c r="C339" s="143">
        <f t="shared" si="305"/>
        <v>1</v>
      </c>
      <c r="D339" s="149" t="s">
        <v>16</v>
      </c>
      <c r="E339" s="37" t="s">
        <v>50</v>
      </c>
      <c r="F339" s="168">
        <f t="shared" ref="F339:P339" si="314">F$14*$E328</f>
        <v>0.81551564444260494</v>
      </c>
      <c r="G339" s="186">
        <f t="shared" si="314"/>
        <v>1471.8452440077031</v>
      </c>
      <c r="H339" s="186">
        <f t="shared" si="314"/>
        <v>28.679811796485659</v>
      </c>
      <c r="I339" s="186">
        <f t="shared" si="314"/>
        <v>0</v>
      </c>
      <c r="J339" s="186">
        <f t="shared" si="314"/>
        <v>0</v>
      </c>
      <c r="K339" s="186">
        <f t="shared" si="314"/>
        <v>102.77195151215332</v>
      </c>
      <c r="L339" s="186">
        <f t="shared" si="314"/>
        <v>0</v>
      </c>
      <c r="M339" s="186">
        <f t="shared" si="314"/>
        <v>5.5161307582538212E-2</v>
      </c>
      <c r="N339" s="186">
        <f t="shared" si="314"/>
        <v>0</v>
      </c>
      <c r="O339" s="186">
        <f t="shared" si="314"/>
        <v>0</v>
      </c>
      <c r="P339" s="186">
        <f t="shared" si="314"/>
        <v>92.920371816693574</v>
      </c>
      <c r="Q339" s="189">
        <f t="shared" si="308"/>
        <v>1696.2725404406181</v>
      </c>
    </row>
    <row r="340" spans="3:17" ht="19.5" thickBot="1" x14ac:dyDescent="0.3">
      <c r="C340" s="143">
        <f t="shared" si="305"/>
        <v>1</v>
      </c>
      <c r="D340" s="148" t="s">
        <v>124</v>
      </c>
      <c r="E340" s="147" t="s">
        <v>49</v>
      </c>
      <c r="F340" s="169">
        <f t="shared" ref="F340:Q340" si="315">SUBTOTAL(9,F331:F339)</f>
        <v>13.079463646008696</v>
      </c>
      <c r="G340" s="170">
        <f t="shared" si="315"/>
        <v>26035.594049859919</v>
      </c>
      <c r="H340" s="170">
        <f t="shared" si="315"/>
        <v>398.9941346771252</v>
      </c>
      <c r="I340" s="170">
        <f t="shared" si="315"/>
        <v>0</v>
      </c>
      <c r="J340" s="170">
        <f t="shared" si="315"/>
        <v>471.91119883400353</v>
      </c>
      <c r="K340" s="170">
        <f t="shared" ref="K340:P340" si="316">SUBTOTAL(9,K331:K339)</f>
        <v>183.99853441205056</v>
      </c>
      <c r="L340" s="170">
        <f t="shared" si="316"/>
        <v>21.810932790709554</v>
      </c>
      <c r="M340" s="170">
        <f t="shared" si="316"/>
        <v>5.5161307582538212E-2</v>
      </c>
      <c r="N340" s="170">
        <f t="shared" si="316"/>
        <v>0</v>
      </c>
      <c r="O340" s="170">
        <f t="shared" si="316"/>
        <v>0</v>
      </c>
      <c r="P340" s="170">
        <f t="shared" si="316"/>
        <v>92.920371816693574</v>
      </c>
      <c r="Q340" s="170">
        <f t="shared" si="315"/>
        <v>27205.284383698086</v>
      </c>
    </row>
    <row r="341" spans="3:17" ht="15.75" hidden="1" thickBot="1" x14ac:dyDescent="0.3"/>
    <row r="342" spans="3:17" ht="45" x14ac:dyDescent="0.25">
      <c r="C342" s="143">
        <f>IF(E342&gt;0,1,0)</f>
        <v>1</v>
      </c>
      <c r="D342" s="163" t="str">
        <f>A27</f>
        <v>Kings</v>
      </c>
      <c r="E342" s="166">
        <f>SUMIF(A:A,D342,B:B)</f>
        <v>0.19849003913535318</v>
      </c>
      <c r="F342" s="509" t="s">
        <v>97</v>
      </c>
      <c r="G342" s="509" t="s">
        <v>126</v>
      </c>
      <c r="H342" s="509" t="s">
        <v>127</v>
      </c>
      <c r="I342" s="508" t="s">
        <v>128</v>
      </c>
      <c r="J342" s="508" t="s">
        <v>487</v>
      </c>
      <c r="K342" s="508" t="s">
        <v>474</v>
      </c>
      <c r="L342" s="508" t="s">
        <v>475</v>
      </c>
      <c r="M342" s="508" t="s">
        <v>476</v>
      </c>
      <c r="N342" s="508" t="s">
        <v>477</v>
      </c>
      <c r="O342" s="508" t="s">
        <v>478</v>
      </c>
      <c r="P342" s="508" t="s">
        <v>479</v>
      </c>
      <c r="Q342" s="508" t="s">
        <v>129</v>
      </c>
    </row>
    <row r="343" spans="3:17" ht="18.75" x14ac:dyDescent="0.25">
      <c r="C343" s="143">
        <f>C342</f>
        <v>1</v>
      </c>
      <c r="D343" s="160"/>
      <c r="E343" s="159"/>
      <c r="F343" s="49" t="s">
        <v>57</v>
      </c>
      <c r="G343" s="49" t="s">
        <v>56</v>
      </c>
      <c r="H343" s="49" t="s">
        <v>55</v>
      </c>
      <c r="I343" s="49" t="s">
        <v>54</v>
      </c>
      <c r="J343" s="58" t="s">
        <v>53</v>
      </c>
      <c r="K343" s="49" t="s">
        <v>52</v>
      </c>
      <c r="L343" s="49" t="s">
        <v>51</v>
      </c>
      <c r="M343" s="49" t="s">
        <v>50</v>
      </c>
      <c r="N343" s="49" t="s">
        <v>49</v>
      </c>
      <c r="O343" s="49" t="s">
        <v>47</v>
      </c>
      <c r="P343" s="49" t="s">
        <v>77</v>
      </c>
      <c r="Q343" s="573" t="s">
        <v>78</v>
      </c>
    </row>
    <row r="344" spans="3:17" ht="18.75" x14ac:dyDescent="0.25">
      <c r="C344" s="143">
        <f>C343</f>
        <v>1</v>
      </c>
      <c r="D344" s="158" t="s">
        <v>26</v>
      </c>
      <c r="E344" s="157"/>
      <c r="F344" s="156"/>
      <c r="G344" s="156"/>
      <c r="H344" s="156"/>
      <c r="I344" s="155"/>
      <c r="J344" s="154"/>
      <c r="K344" s="154"/>
      <c r="L344" s="154"/>
      <c r="M344" s="154"/>
      <c r="N344" s="154"/>
      <c r="O344" s="154"/>
      <c r="P344" s="154"/>
      <c r="Q344" s="153"/>
    </row>
    <row r="345" spans="3:17" ht="18.75" x14ac:dyDescent="0.25">
      <c r="C345" s="143">
        <f t="shared" ref="C345:C354" si="317">C344</f>
        <v>1</v>
      </c>
      <c r="D345" s="152" t="s">
        <v>105</v>
      </c>
      <c r="E345" s="38" t="s">
        <v>57</v>
      </c>
      <c r="F345" s="168">
        <f t="shared" ref="F345:P345" si="318">F$6*$E342</f>
        <v>371.17983817028403</v>
      </c>
      <c r="G345" s="186">
        <f t="shared" si="318"/>
        <v>743444.79489373509</v>
      </c>
      <c r="H345" s="186">
        <f t="shared" si="318"/>
        <v>11207.908776310982</v>
      </c>
      <c r="I345" s="186">
        <f t="shared" si="318"/>
        <v>0</v>
      </c>
      <c r="J345" s="186">
        <f t="shared" si="318"/>
        <v>14282.833096779435</v>
      </c>
      <c r="K345" s="186">
        <f t="shared" si="318"/>
        <v>2458.3983797109167</v>
      </c>
      <c r="L345" s="186">
        <f t="shared" si="318"/>
        <v>660.12824765440087</v>
      </c>
      <c r="M345" s="186">
        <f t="shared" si="318"/>
        <v>0</v>
      </c>
      <c r="N345" s="186">
        <f t="shared" si="318"/>
        <v>0</v>
      </c>
      <c r="O345" s="186">
        <f t="shared" si="318"/>
        <v>0</v>
      </c>
      <c r="P345" s="186">
        <f t="shared" si="318"/>
        <v>0</v>
      </c>
      <c r="Q345" s="189">
        <f>SUM(G345:P345)</f>
        <v>772054.06339419086</v>
      </c>
    </row>
    <row r="346" spans="3:17" ht="18.75" x14ac:dyDescent="0.25">
      <c r="C346" s="143">
        <f t="shared" si="317"/>
        <v>1</v>
      </c>
      <c r="D346" s="150" t="s">
        <v>31</v>
      </c>
      <c r="E346" s="38"/>
      <c r="F346" s="167"/>
      <c r="G346" s="185"/>
      <c r="H346" s="185"/>
      <c r="I346" s="187"/>
      <c r="J346" s="188"/>
      <c r="K346" s="188"/>
      <c r="L346" s="188"/>
      <c r="M346" s="188"/>
      <c r="N346" s="188"/>
      <c r="O346" s="188"/>
      <c r="P346" s="188"/>
      <c r="Q346" s="171"/>
    </row>
    <row r="347" spans="3:17" ht="18.75" x14ac:dyDescent="0.3">
      <c r="C347" s="143">
        <f t="shared" si="317"/>
        <v>1</v>
      </c>
      <c r="D347" s="149" t="s">
        <v>118</v>
      </c>
      <c r="E347" s="38" t="s">
        <v>56</v>
      </c>
      <c r="F347" s="168">
        <f t="shared" ref="F347:P347" si="319">F$8*$E342</f>
        <v>0</v>
      </c>
      <c r="G347" s="186">
        <f t="shared" si="319"/>
        <v>0</v>
      </c>
      <c r="H347" s="186">
        <f t="shared" si="319"/>
        <v>0</v>
      </c>
      <c r="I347" s="186">
        <f t="shared" si="319"/>
        <v>0</v>
      </c>
      <c r="J347" s="186">
        <f t="shared" si="319"/>
        <v>0</v>
      </c>
      <c r="K347" s="186">
        <f t="shared" si="319"/>
        <v>0</v>
      </c>
      <c r="L347" s="186">
        <f t="shared" si="319"/>
        <v>0</v>
      </c>
      <c r="M347" s="186">
        <f t="shared" si="319"/>
        <v>0</v>
      </c>
      <c r="N347" s="186">
        <f t="shared" si="319"/>
        <v>0</v>
      </c>
      <c r="O347" s="186">
        <f t="shared" si="319"/>
        <v>0</v>
      </c>
      <c r="P347" s="186">
        <f t="shared" si="319"/>
        <v>0</v>
      </c>
      <c r="Q347" s="189">
        <f t="shared" ref="Q347:Q353" si="320">SUM(G347:P347)</f>
        <v>0</v>
      </c>
    </row>
    <row r="348" spans="3:17" ht="18.75" x14ac:dyDescent="0.3">
      <c r="C348" s="143">
        <f t="shared" si="317"/>
        <v>1</v>
      </c>
      <c r="D348" s="149" t="s">
        <v>119</v>
      </c>
      <c r="E348" s="38" t="s">
        <v>55</v>
      </c>
      <c r="F348" s="168">
        <f t="shared" ref="F348:P348" si="321">F$9*$E342</f>
        <v>0</v>
      </c>
      <c r="G348" s="186">
        <f t="shared" si="321"/>
        <v>0</v>
      </c>
      <c r="H348" s="186">
        <f t="shared" si="321"/>
        <v>0</v>
      </c>
      <c r="I348" s="186">
        <f t="shared" si="321"/>
        <v>0</v>
      </c>
      <c r="J348" s="186">
        <f t="shared" si="321"/>
        <v>0</v>
      </c>
      <c r="K348" s="186">
        <f t="shared" si="321"/>
        <v>0</v>
      </c>
      <c r="L348" s="186">
        <f t="shared" si="321"/>
        <v>0</v>
      </c>
      <c r="M348" s="186">
        <f t="shared" si="321"/>
        <v>0</v>
      </c>
      <c r="N348" s="186">
        <f t="shared" si="321"/>
        <v>0</v>
      </c>
      <c r="O348" s="186">
        <f t="shared" si="321"/>
        <v>0</v>
      </c>
      <c r="P348" s="186">
        <f t="shared" si="321"/>
        <v>0</v>
      </c>
      <c r="Q348" s="189">
        <f t="shared" si="320"/>
        <v>0</v>
      </c>
    </row>
    <row r="349" spans="3:17" ht="18.75" x14ac:dyDescent="0.3">
      <c r="C349" s="143">
        <f t="shared" si="317"/>
        <v>1</v>
      </c>
      <c r="D349" s="149" t="s">
        <v>120</v>
      </c>
      <c r="E349" s="38" t="s">
        <v>54</v>
      </c>
      <c r="F349" s="168">
        <f t="shared" ref="F349:P349" si="322">F$10*$E342</f>
        <v>0</v>
      </c>
      <c r="G349" s="186">
        <f t="shared" si="322"/>
        <v>0</v>
      </c>
      <c r="H349" s="186">
        <f t="shared" si="322"/>
        <v>0</v>
      </c>
      <c r="I349" s="186">
        <f t="shared" si="322"/>
        <v>0</v>
      </c>
      <c r="J349" s="186">
        <f t="shared" si="322"/>
        <v>0</v>
      </c>
      <c r="K349" s="186">
        <f t="shared" si="322"/>
        <v>0</v>
      </c>
      <c r="L349" s="186">
        <f t="shared" si="322"/>
        <v>0</v>
      </c>
      <c r="M349" s="186">
        <f t="shared" si="322"/>
        <v>0</v>
      </c>
      <c r="N349" s="186">
        <f t="shared" si="322"/>
        <v>0</v>
      </c>
      <c r="O349" s="186">
        <f t="shared" si="322"/>
        <v>0</v>
      </c>
      <c r="P349" s="186">
        <f t="shared" si="322"/>
        <v>0</v>
      </c>
      <c r="Q349" s="189">
        <f t="shared" si="320"/>
        <v>0</v>
      </c>
    </row>
    <row r="350" spans="3:17" ht="18.75" x14ac:dyDescent="0.3">
      <c r="C350" s="143">
        <f t="shared" si="317"/>
        <v>1</v>
      </c>
      <c r="D350" s="149" t="s">
        <v>121</v>
      </c>
      <c r="E350" s="38" t="s">
        <v>53</v>
      </c>
      <c r="F350" s="168">
        <f t="shared" ref="F350:P350" si="323">F$11*$E342</f>
        <v>0</v>
      </c>
      <c r="G350" s="186">
        <f t="shared" si="323"/>
        <v>0</v>
      </c>
      <c r="H350" s="186">
        <f t="shared" si="323"/>
        <v>0</v>
      </c>
      <c r="I350" s="186">
        <f t="shared" si="323"/>
        <v>0</v>
      </c>
      <c r="J350" s="186">
        <f t="shared" si="323"/>
        <v>0</v>
      </c>
      <c r="K350" s="186">
        <f t="shared" si="323"/>
        <v>0</v>
      </c>
      <c r="L350" s="186">
        <f t="shared" si="323"/>
        <v>0</v>
      </c>
      <c r="M350" s="186">
        <f t="shared" si="323"/>
        <v>0</v>
      </c>
      <c r="N350" s="186">
        <f t="shared" si="323"/>
        <v>0</v>
      </c>
      <c r="O350" s="186">
        <f t="shared" si="323"/>
        <v>0</v>
      </c>
      <c r="P350" s="186">
        <f t="shared" si="323"/>
        <v>0</v>
      </c>
      <c r="Q350" s="189">
        <f t="shared" si="320"/>
        <v>0</v>
      </c>
    </row>
    <row r="351" spans="3:17" ht="18.75" x14ac:dyDescent="0.3">
      <c r="C351" s="143">
        <f t="shared" si="317"/>
        <v>1</v>
      </c>
      <c r="D351" s="149" t="s">
        <v>122</v>
      </c>
      <c r="E351" s="38" t="s">
        <v>52</v>
      </c>
      <c r="F351" s="168">
        <f t="shared" ref="F351:P351" si="324">F$12*$E342</f>
        <v>0</v>
      </c>
      <c r="G351" s="186">
        <f t="shared" si="324"/>
        <v>0</v>
      </c>
      <c r="H351" s="186">
        <f t="shared" si="324"/>
        <v>0</v>
      </c>
      <c r="I351" s="186">
        <f t="shared" si="324"/>
        <v>0</v>
      </c>
      <c r="J351" s="186">
        <f t="shared" si="324"/>
        <v>0</v>
      </c>
      <c r="K351" s="186">
        <f t="shared" si="324"/>
        <v>0</v>
      </c>
      <c r="L351" s="186">
        <f t="shared" si="324"/>
        <v>0</v>
      </c>
      <c r="M351" s="186">
        <f t="shared" si="324"/>
        <v>0</v>
      </c>
      <c r="N351" s="186">
        <f t="shared" si="324"/>
        <v>0</v>
      </c>
      <c r="O351" s="186">
        <f t="shared" si="324"/>
        <v>0</v>
      </c>
      <c r="P351" s="186">
        <f t="shared" si="324"/>
        <v>0</v>
      </c>
      <c r="Q351" s="189">
        <f t="shared" si="320"/>
        <v>0</v>
      </c>
    </row>
    <row r="352" spans="3:17" ht="18.75" x14ac:dyDescent="0.3">
      <c r="C352" s="143">
        <f t="shared" si="317"/>
        <v>1</v>
      </c>
      <c r="D352" s="149" t="s">
        <v>123</v>
      </c>
      <c r="E352" s="38" t="s">
        <v>51</v>
      </c>
      <c r="F352" s="168">
        <f t="shared" ref="F352:P352" si="325">F$13*$E342</f>
        <v>0</v>
      </c>
      <c r="G352" s="186">
        <f t="shared" si="325"/>
        <v>0</v>
      </c>
      <c r="H352" s="186">
        <f t="shared" si="325"/>
        <v>0</v>
      </c>
      <c r="I352" s="186">
        <f t="shared" si="325"/>
        <v>0</v>
      </c>
      <c r="J352" s="186">
        <f t="shared" si="325"/>
        <v>0</v>
      </c>
      <c r="K352" s="186">
        <f t="shared" si="325"/>
        <v>0</v>
      </c>
      <c r="L352" s="186">
        <f t="shared" si="325"/>
        <v>0</v>
      </c>
      <c r="M352" s="186">
        <f t="shared" si="325"/>
        <v>0</v>
      </c>
      <c r="N352" s="186">
        <f t="shared" si="325"/>
        <v>0</v>
      </c>
      <c r="O352" s="186">
        <f t="shared" si="325"/>
        <v>0</v>
      </c>
      <c r="P352" s="186">
        <f t="shared" si="325"/>
        <v>0</v>
      </c>
      <c r="Q352" s="189">
        <f t="shared" si="320"/>
        <v>0</v>
      </c>
    </row>
    <row r="353" spans="3:17" ht="19.5" thickBot="1" x14ac:dyDescent="0.35">
      <c r="C353" s="143">
        <f t="shared" si="317"/>
        <v>1</v>
      </c>
      <c r="D353" s="149" t="s">
        <v>16</v>
      </c>
      <c r="E353" s="37" t="s">
        <v>50</v>
      </c>
      <c r="F353" s="168">
        <f t="shared" ref="F353:P353" si="326">F$14*$E342</f>
        <v>24.682342496142859</v>
      </c>
      <c r="G353" s="186">
        <f t="shared" si="326"/>
        <v>44546.77069836868</v>
      </c>
      <c r="H353" s="186">
        <f t="shared" si="326"/>
        <v>868.02128482723106</v>
      </c>
      <c r="I353" s="186">
        <f t="shared" si="326"/>
        <v>0</v>
      </c>
      <c r="J353" s="186">
        <f t="shared" si="326"/>
        <v>0</v>
      </c>
      <c r="K353" s="186">
        <f t="shared" si="326"/>
        <v>3110.4890795243132</v>
      </c>
      <c r="L353" s="186">
        <f t="shared" si="326"/>
        <v>0</v>
      </c>
      <c r="M353" s="186">
        <f t="shared" si="326"/>
        <v>1.6695084828420013</v>
      </c>
      <c r="N353" s="186">
        <f t="shared" si="326"/>
        <v>0</v>
      </c>
      <c r="O353" s="186">
        <f t="shared" si="326"/>
        <v>0</v>
      </c>
      <c r="P353" s="186">
        <f t="shared" si="326"/>
        <v>2812.3218207740765</v>
      </c>
      <c r="Q353" s="189">
        <f t="shared" si="320"/>
        <v>51339.272391977138</v>
      </c>
    </row>
    <row r="354" spans="3:17" ht="19.5" thickBot="1" x14ac:dyDescent="0.3">
      <c r="C354" s="143">
        <f t="shared" si="317"/>
        <v>1</v>
      </c>
      <c r="D354" s="148" t="s">
        <v>124</v>
      </c>
      <c r="E354" s="147" t="s">
        <v>49</v>
      </c>
      <c r="F354" s="169">
        <f t="shared" ref="F354:Q354" si="327">SUBTOTAL(9,F345:F353)</f>
        <v>395.86218066642687</v>
      </c>
      <c r="G354" s="170">
        <f t="shared" si="327"/>
        <v>787991.56559210375</v>
      </c>
      <c r="H354" s="170">
        <f t="shared" si="327"/>
        <v>12075.930061138213</v>
      </c>
      <c r="I354" s="170">
        <f t="shared" si="327"/>
        <v>0</v>
      </c>
      <c r="J354" s="170">
        <f t="shared" si="327"/>
        <v>14282.833096779435</v>
      </c>
      <c r="K354" s="170">
        <f t="shared" ref="K354:P354" si="328">SUBTOTAL(9,K345:K353)</f>
        <v>5568.8874592352295</v>
      </c>
      <c r="L354" s="170">
        <f t="shared" si="328"/>
        <v>660.12824765440087</v>
      </c>
      <c r="M354" s="170">
        <f t="shared" si="328"/>
        <v>1.6695084828420013</v>
      </c>
      <c r="N354" s="170">
        <f t="shared" si="328"/>
        <v>0</v>
      </c>
      <c r="O354" s="170">
        <f t="shared" si="328"/>
        <v>0</v>
      </c>
      <c r="P354" s="170">
        <f t="shared" si="328"/>
        <v>2812.3218207740765</v>
      </c>
      <c r="Q354" s="170">
        <f t="shared" si="327"/>
        <v>823393.335786168</v>
      </c>
    </row>
    <row r="355" spans="3:17" ht="15.75" hidden="1" thickBot="1" x14ac:dyDescent="0.3"/>
    <row r="356" spans="3:17" ht="45" x14ac:dyDescent="0.25">
      <c r="C356" s="143">
        <f>IF(E356&gt;0,1,0)</f>
        <v>1</v>
      </c>
      <c r="D356" s="163" t="str">
        <f>A28</f>
        <v>Lewis</v>
      </c>
      <c r="E356" s="166">
        <f>SUMIF(A:A,D356,B:B)</f>
        <v>1.5695907928306577E-3</v>
      </c>
      <c r="F356" s="509" t="s">
        <v>97</v>
      </c>
      <c r="G356" s="509" t="s">
        <v>126</v>
      </c>
      <c r="H356" s="509" t="s">
        <v>127</v>
      </c>
      <c r="I356" s="508" t="s">
        <v>128</v>
      </c>
      <c r="J356" s="508" t="s">
        <v>487</v>
      </c>
      <c r="K356" s="508" t="s">
        <v>474</v>
      </c>
      <c r="L356" s="508" t="s">
        <v>475</v>
      </c>
      <c r="M356" s="508" t="s">
        <v>476</v>
      </c>
      <c r="N356" s="508" t="s">
        <v>477</v>
      </c>
      <c r="O356" s="508" t="s">
        <v>478</v>
      </c>
      <c r="P356" s="508" t="s">
        <v>479</v>
      </c>
      <c r="Q356" s="508" t="s">
        <v>129</v>
      </c>
    </row>
    <row r="357" spans="3:17" ht="18.75" x14ac:dyDescent="0.25">
      <c r="C357" s="143">
        <f>C356</f>
        <v>1</v>
      </c>
      <c r="D357" s="160"/>
      <c r="E357" s="159"/>
      <c r="F357" s="49" t="s">
        <v>57</v>
      </c>
      <c r="G357" s="49" t="s">
        <v>56</v>
      </c>
      <c r="H357" s="49" t="s">
        <v>55</v>
      </c>
      <c r="I357" s="49" t="s">
        <v>54</v>
      </c>
      <c r="J357" s="58" t="s">
        <v>53</v>
      </c>
      <c r="K357" s="49" t="s">
        <v>52</v>
      </c>
      <c r="L357" s="49" t="s">
        <v>51</v>
      </c>
      <c r="M357" s="49" t="s">
        <v>50</v>
      </c>
      <c r="N357" s="49" t="s">
        <v>49</v>
      </c>
      <c r="O357" s="49" t="s">
        <v>47</v>
      </c>
      <c r="P357" s="49" t="s">
        <v>77</v>
      </c>
      <c r="Q357" s="573" t="s">
        <v>78</v>
      </c>
    </row>
    <row r="358" spans="3:17" ht="18.75" x14ac:dyDescent="0.25">
      <c r="C358" s="143">
        <f>C357</f>
        <v>1</v>
      </c>
      <c r="D358" s="158" t="s">
        <v>26</v>
      </c>
      <c r="E358" s="157"/>
      <c r="F358" s="156"/>
      <c r="G358" s="156"/>
      <c r="H358" s="156"/>
      <c r="I358" s="155"/>
      <c r="J358" s="154"/>
      <c r="K358" s="154"/>
      <c r="L358" s="154"/>
      <c r="M358" s="154"/>
      <c r="N358" s="154"/>
      <c r="O358" s="154"/>
      <c r="P358" s="154"/>
      <c r="Q358" s="153"/>
    </row>
    <row r="359" spans="3:17" ht="18.75" x14ac:dyDescent="0.25">
      <c r="C359" s="143">
        <f t="shared" ref="C359:C368" si="329">C358</f>
        <v>1</v>
      </c>
      <c r="D359" s="152" t="s">
        <v>105</v>
      </c>
      <c r="E359" s="38" t="s">
        <v>57</v>
      </c>
      <c r="F359" s="168">
        <f t="shared" ref="F359:P359" si="330">F$6*$E356</f>
        <v>2.9351621825172187</v>
      </c>
      <c r="G359" s="186">
        <f t="shared" si="330"/>
        <v>5878.9051084188404</v>
      </c>
      <c r="H359" s="186">
        <f t="shared" si="330"/>
        <v>88.628278269356997</v>
      </c>
      <c r="I359" s="186">
        <f t="shared" si="330"/>
        <v>0</v>
      </c>
      <c r="J359" s="186">
        <f t="shared" si="330"/>
        <v>112.94371960375655</v>
      </c>
      <c r="K359" s="186">
        <f t="shared" si="330"/>
        <v>19.440166764604111</v>
      </c>
      <c r="L359" s="186">
        <f t="shared" si="330"/>
        <v>5.2200665792565601</v>
      </c>
      <c r="M359" s="186">
        <f t="shared" si="330"/>
        <v>0</v>
      </c>
      <c r="N359" s="186">
        <f t="shared" si="330"/>
        <v>0</v>
      </c>
      <c r="O359" s="186">
        <f t="shared" si="330"/>
        <v>0</v>
      </c>
      <c r="P359" s="186">
        <f t="shared" si="330"/>
        <v>0</v>
      </c>
      <c r="Q359" s="189">
        <f>SUM(G359:P359)</f>
        <v>6105.137339635814</v>
      </c>
    </row>
    <row r="360" spans="3:17" ht="18.75" x14ac:dyDescent="0.25">
      <c r="C360" s="143">
        <f t="shared" si="329"/>
        <v>1</v>
      </c>
      <c r="D360" s="150" t="s">
        <v>31</v>
      </c>
      <c r="E360" s="38"/>
      <c r="F360" s="167"/>
      <c r="G360" s="185"/>
      <c r="H360" s="185"/>
      <c r="I360" s="187"/>
      <c r="J360" s="188"/>
      <c r="K360" s="188"/>
      <c r="L360" s="188"/>
      <c r="M360" s="188"/>
      <c r="N360" s="188"/>
      <c r="O360" s="188"/>
      <c r="P360" s="188"/>
      <c r="Q360" s="171"/>
    </row>
    <row r="361" spans="3:17" ht="18.75" x14ac:dyDescent="0.3">
      <c r="C361" s="143">
        <f t="shared" si="329"/>
        <v>1</v>
      </c>
      <c r="D361" s="149" t="s">
        <v>118</v>
      </c>
      <c r="E361" s="38" t="s">
        <v>56</v>
      </c>
      <c r="F361" s="168">
        <f t="shared" ref="F361:P361" si="331">F$8*$E356</f>
        <v>0</v>
      </c>
      <c r="G361" s="186">
        <f t="shared" si="331"/>
        <v>0</v>
      </c>
      <c r="H361" s="186">
        <f t="shared" si="331"/>
        <v>0</v>
      </c>
      <c r="I361" s="186">
        <f t="shared" si="331"/>
        <v>0</v>
      </c>
      <c r="J361" s="186">
        <f t="shared" si="331"/>
        <v>0</v>
      </c>
      <c r="K361" s="186">
        <f t="shared" si="331"/>
        <v>0</v>
      </c>
      <c r="L361" s="186">
        <f t="shared" si="331"/>
        <v>0</v>
      </c>
      <c r="M361" s="186">
        <f t="shared" si="331"/>
        <v>0</v>
      </c>
      <c r="N361" s="186">
        <f t="shared" si="331"/>
        <v>0</v>
      </c>
      <c r="O361" s="186">
        <f t="shared" si="331"/>
        <v>0</v>
      </c>
      <c r="P361" s="186">
        <f t="shared" si="331"/>
        <v>0</v>
      </c>
      <c r="Q361" s="189">
        <f t="shared" ref="Q361:Q367" si="332">SUM(G361:P361)</f>
        <v>0</v>
      </c>
    </row>
    <row r="362" spans="3:17" ht="18.75" x14ac:dyDescent="0.3">
      <c r="C362" s="143">
        <f t="shared" si="329"/>
        <v>1</v>
      </c>
      <c r="D362" s="149" t="s">
        <v>119</v>
      </c>
      <c r="E362" s="38" t="s">
        <v>55</v>
      </c>
      <c r="F362" s="168">
        <f t="shared" ref="F362:P362" si="333">F$9*$E356</f>
        <v>0</v>
      </c>
      <c r="G362" s="186">
        <f t="shared" si="333"/>
        <v>0</v>
      </c>
      <c r="H362" s="186">
        <f t="shared" si="333"/>
        <v>0</v>
      </c>
      <c r="I362" s="186">
        <f t="shared" si="333"/>
        <v>0</v>
      </c>
      <c r="J362" s="186">
        <f t="shared" si="333"/>
        <v>0</v>
      </c>
      <c r="K362" s="186">
        <f t="shared" si="333"/>
        <v>0</v>
      </c>
      <c r="L362" s="186">
        <f t="shared" si="333"/>
        <v>0</v>
      </c>
      <c r="M362" s="186">
        <f t="shared" si="333"/>
        <v>0</v>
      </c>
      <c r="N362" s="186">
        <f t="shared" si="333"/>
        <v>0</v>
      </c>
      <c r="O362" s="186">
        <f t="shared" si="333"/>
        <v>0</v>
      </c>
      <c r="P362" s="186">
        <f t="shared" si="333"/>
        <v>0</v>
      </c>
      <c r="Q362" s="189">
        <f t="shared" si="332"/>
        <v>0</v>
      </c>
    </row>
    <row r="363" spans="3:17" ht="18.75" x14ac:dyDescent="0.3">
      <c r="C363" s="143">
        <f t="shared" si="329"/>
        <v>1</v>
      </c>
      <c r="D363" s="149" t="s">
        <v>120</v>
      </c>
      <c r="E363" s="38" t="s">
        <v>54</v>
      </c>
      <c r="F363" s="168">
        <f t="shared" ref="F363:P363" si="334">F$10*$E356</f>
        <v>0</v>
      </c>
      <c r="G363" s="186">
        <f t="shared" si="334"/>
        <v>0</v>
      </c>
      <c r="H363" s="186">
        <f t="shared" si="334"/>
        <v>0</v>
      </c>
      <c r="I363" s="186">
        <f t="shared" si="334"/>
        <v>0</v>
      </c>
      <c r="J363" s="186">
        <f t="shared" si="334"/>
        <v>0</v>
      </c>
      <c r="K363" s="186">
        <f t="shared" si="334"/>
        <v>0</v>
      </c>
      <c r="L363" s="186">
        <f t="shared" si="334"/>
        <v>0</v>
      </c>
      <c r="M363" s="186">
        <f t="shared" si="334"/>
        <v>0</v>
      </c>
      <c r="N363" s="186">
        <f t="shared" si="334"/>
        <v>0</v>
      </c>
      <c r="O363" s="186">
        <f t="shared" si="334"/>
        <v>0</v>
      </c>
      <c r="P363" s="186">
        <f t="shared" si="334"/>
        <v>0</v>
      </c>
      <c r="Q363" s="189">
        <f t="shared" si="332"/>
        <v>0</v>
      </c>
    </row>
    <row r="364" spans="3:17" ht="18.75" x14ac:dyDescent="0.3">
      <c r="C364" s="143">
        <f t="shared" si="329"/>
        <v>1</v>
      </c>
      <c r="D364" s="149" t="s">
        <v>121</v>
      </c>
      <c r="E364" s="38" t="s">
        <v>53</v>
      </c>
      <c r="F364" s="168">
        <f t="shared" ref="F364:P364" si="335">F$11*$E356</f>
        <v>0</v>
      </c>
      <c r="G364" s="186">
        <f t="shared" si="335"/>
        <v>0</v>
      </c>
      <c r="H364" s="186">
        <f t="shared" si="335"/>
        <v>0</v>
      </c>
      <c r="I364" s="186">
        <f t="shared" si="335"/>
        <v>0</v>
      </c>
      <c r="J364" s="186">
        <f t="shared" si="335"/>
        <v>0</v>
      </c>
      <c r="K364" s="186">
        <f t="shared" si="335"/>
        <v>0</v>
      </c>
      <c r="L364" s="186">
        <f t="shared" si="335"/>
        <v>0</v>
      </c>
      <c r="M364" s="186">
        <f t="shared" si="335"/>
        <v>0</v>
      </c>
      <c r="N364" s="186">
        <f t="shared" si="335"/>
        <v>0</v>
      </c>
      <c r="O364" s="186">
        <f t="shared" si="335"/>
        <v>0</v>
      </c>
      <c r="P364" s="186">
        <f t="shared" si="335"/>
        <v>0</v>
      </c>
      <c r="Q364" s="189">
        <f t="shared" si="332"/>
        <v>0</v>
      </c>
    </row>
    <row r="365" spans="3:17" ht="18.75" x14ac:dyDescent="0.3">
      <c r="C365" s="143">
        <f t="shared" si="329"/>
        <v>1</v>
      </c>
      <c r="D365" s="149" t="s">
        <v>122</v>
      </c>
      <c r="E365" s="38" t="s">
        <v>52</v>
      </c>
      <c r="F365" s="168">
        <f t="shared" ref="F365:P365" si="336">F$12*$E356</f>
        <v>0</v>
      </c>
      <c r="G365" s="186">
        <f t="shared" si="336"/>
        <v>0</v>
      </c>
      <c r="H365" s="186">
        <f t="shared" si="336"/>
        <v>0</v>
      </c>
      <c r="I365" s="186">
        <f t="shared" si="336"/>
        <v>0</v>
      </c>
      <c r="J365" s="186">
        <f t="shared" si="336"/>
        <v>0</v>
      </c>
      <c r="K365" s="186">
        <f t="shared" si="336"/>
        <v>0</v>
      </c>
      <c r="L365" s="186">
        <f t="shared" si="336"/>
        <v>0</v>
      </c>
      <c r="M365" s="186">
        <f t="shared" si="336"/>
        <v>0</v>
      </c>
      <c r="N365" s="186">
        <f t="shared" si="336"/>
        <v>0</v>
      </c>
      <c r="O365" s="186">
        <f t="shared" si="336"/>
        <v>0</v>
      </c>
      <c r="P365" s="186">
        <f t="shared" si="336"/>
        <v>0</v>
      </c>
      <c r="Q365" s="189">
        <f t="shared" si="332"/>
        <v>0</v>
      </c>
    </row>
    <row r="366" spans="3:17" ht="18.75" x14ac:dyDescent="0.3">
      <c r="C366" s="143">
        <f t="shared" si="329"/>
        <v>1</v>
      </c>
      <c r="D366" s="149" t="s">
        <v>123</v>
      </c>
      <c r="E366" s="38" t="s">
        <v>51</v>
      </c>
      <c r="F366" s="168">
        <f t="shared" ref="F366:P366" si="337">F$13*$E356</f>
        <v>0</v>
      </c>
      <c r="G366" s="186">
        <f t="shared" si="337"/>
        <v>0</v>
      </c>
      <c r="H366" s="186">
        <f t="shared" si="337"/>
        <v>0</v>
      </c>
      <c r="I366" s="186">
        <f t="shared" si="337"/>
        <v>0</v>
      </c>
      <c r="J366" s="186">
        <f t="shared" si="337"/>
        <v>0</v>
      </c>
      <c r="K366" s="186">
        <f t="shared" si="337"/>
        <v>0</v>
      </c>
      <c r="L366" s="186">
        <f t="shared" si="337"/>
        <v>0</v>
      </c>
      <c r="M366" s="186">
        <f t="shared" si="337"/>
        <v>0</v>
      </c>
      <c r="N366" s="186">
        <f t="shared" si="337"/>
        <v>0</v>
      </c>
      <c r="O366" s="186">
        <f t="shared" si="337"/>
        <v>0</v>
      </c>
      <c r="P366" s="186">
        <f t="shared" si="337"/>
        <v>0</v>
      </c>
      <c r="Q366" s="189">
        <f t="shared" si="332"/>
        <v>0</v>
      </c>
    </row>
    <row r="367" spans="3:17" ht="19.5" thickBot="1" x14ac:dyDescent="0.35">
      <c r="C367" s="143">
        <f t="shared" si="329"/>
        <v>1</v>
      </c>
      <c r="D367" s="149" t="s">
        <v>16</v>
      </c>
      <c r="E367" s="37" t="s">
        <v>50</v>
      </c>
      <c r="F367" s="168">
        <f t="shared" ref="F367:P367" si="338">F$14*$E356</f>
        <v>0.19517945432526487</v>
      </c>
      <c r="G367" s="186">
        <f t="shared" si="338"/>
        <v>352.26050356521131</v>
      </c>
      <c r="H367" s="186">
        <f t="shared" si="338"/>
        <v>6.8640130385424216</v>
      </c>
      <c r="I367" s="186">
        <f t="shared" si="338"/>
        <v>0</v>
      </c>
      <c r="J367" s="186">
        <f t="shared" si="338"/>
        <v>0</v>
      </c>
      <c r="K367" s="186">
        <f t="shared" si="338"/>
        <v>24.596675186770614</v>
      </c>
      <c r="L367" s="186">
        <f t="shared" si="338"/>
        <v>0</v>
      </c>
      <c r="M367" s="186">
        <f t="shared" si="338"/>
        <v>1.3201897458615374E-2</v>
      </c>
      <c r="N367" s="186">
        <f t="shared" si="338"/>
        <v>0</v>
      </c>
      <c r="O367" s="186">
        <f t="shared" si="338"/>
        <v>0</v>
      </c>
      <c r="P367" s="186">
        <f t="shared" si="338"/>
        <v>22.238871308567983</v>
      </c>
      <c r="Q367" s="189">
        <f t="shared" si="332"/>
        <v>405.97326499655088</v>
      </c>
    </row>
    <row r="368" spans="3:17" ht="19.5" thickBot="1" x14ac:dyDescent="0.3">
      <c r="C368" s="143">
        <f t="shared" si="329"/>
        <v>1</v>
      </c>
      <c r="D368" s="148" t="s">
        <v>124</v>
      </c>
      <c r="E368" s="147" t="s">
        <v>49</v>
      </c>
      <c r="F368" s="169">
        <f t="shared" ref="F368:Q368" si="339">SUBTOTAL(9,F359:F367)</f>
        <v>3.1303416368424837</v>
      </c>
      <c r="G368" s="170">
        <f t="shared" si="339"/>
        <v>6231.1656119840518</v>
      </c>
      <c r="H368" s="170">
        <f t="shared" si="339"/>
        <v>95.492291307899421</v>
      </c>
      <c r="I368" s="170">
        <f t="shared" si="339"/>
        <v>0</v>
      </c>
      <c r="J368" s="170">
        <f t="shared" si="339"/>
        <v>112.94371960375655</v>
      </c>
      <c r="K368" s="170">
        <f t="shared" ref="K368:P368" si="340">SUBTOTAL(9,K359:K367)</f>
        <v>44.036841951374726</v>
      </c>
      <c r="L368" s="170">
        <f t="shared" si="340"/>
        <v>5.2200665792565601</v>
      </c>
      <c r="M368" s="170">
        <f t="shared" si="340"/>
        <v>1.3201897458615374E-2</v>
      </c>
      <c r="N368" s="170">
        <f t="shared" si="340"/>
        <v>0</v>
      </c>
      <c r="O368" s="170">
        <f t="shared" si="340"/>
        <v>0</v>
      </c>
      <c r="P368" s="170">
        <f t="shared" si="340"/>
        <v>22.238871308567983</v>
      </c>
      <c r="Q368" s="170">
        <f t="shared" si="339"/>
        <v>6511.1106046323648</v>
      </c>
    </row>
    <row r="369" spans="3:17" ht="15.75" hidden="1" thickBot="1" x14ac:dyDescent="0.3"/>
    <row r="370" spans="3:17" ht="45" x14ac:dyDescent="0.25">
      <c r="C370" s="143">
        <f>IF(E370&gt;0,1,0)</f>
        <v>1</v>
      </c>
      <c r="D370" s="163" t="str">
        <f>A29</f>
        <v>Livingston</v>
      </c>
      <c r="E370" s="166">
        <f>SUMIF(A:A,D370,B:B)</f>
        <v>1.1180611534471463E-3</v>
      </c>
      <c r="F370" s="509" t="s">
        <v>97</v>
      </c>
      <c r="G370" s="509" t="s">
        <v>126</v>
      </c>
      <c r="H370" s="509" t="s">
        <v>127</v>
      </c>
      <c r="I370" s="508" t="s">
        <v>128</v>
      </c>
      <c r="J370" s="508" t="s">
        <v>487</v>
      </c>
      <c r="K370" s="508" t="s">
        <v>474</v>
      </c>
      <c r="L370" s="508" t="s">
        <v>475</v>
      </c>
      <c r="M370" s="508" t="s">
        <v>476</v>
      </c>
      <c r="N370" s="508" t="s">
        <v>477</v>
      </c>
      <c r="O370" s="508" t="s">
        <v>478</v>
      </c>
      <c r="P370" s="508" t="s">
        <v>479</v>
      </c>
      <c r="Q370" s="508" t="s">
        <v>129</v>
      </c>
    </row>
    <row r="371" spans="3:17" ht="18.75" x14ac:dyDescent="0.25">
      <c r="C371" s="143">
        <f>C370</f>
        <v>1</v>
      </c>
      <c r="D371" s="160"/>
      <c r="E371" s="159"/>
      <c r="F371" s="49" t="s">
        <v>57</v>
      </c>
      <c r="G371" s="49" t="s">
        <v>56</v>
      </c>
      <c r="H371" s="49" t="s">
        <v>55</v>
      </c>
      <c r="I371" s="49" t="s">
        <v>54</v>
      </c>
      <c r="J371" s="58" t="s">
        <v>53</v>
      </c>
      <c r="K371" s="49" t="s">
        <v>52</v>
      </c>
      <c r="L371" s="49" t="s">
        <v>51</v>
      </c>
      <c r="M371" s="49" t="s">
        <v>50</v>
      </c>
      <c r="N371" s="49" t="s">
        <v>49</v>
      </c>
      <c r="O371" s="49" t="s">
        <v>47</v>
      </c>
      <c r="P371" s="49" t="s">
        <v>77</v>
      </c>
      <c r="Q371" s="573" t="s">
        <v>78</v>
      </c>
    </row>
    <row r="372" spans="3:17" ht="18.75" x14ac:dyDescent="0.25">
      <c r="C372" s="143">
        <f>C371</f>
        <v>1</v>
      </c>
      <c r="D372" s="158" t="s">
        <v>26</v>
      </c>
      <c r="E372" s="157"/>
      <c r="F372" s="156"/>
      <c r="G372" s="156"/>
      <c r="H372" s="156"/>
      <c r="I372" s="155"/>
      <c r="J372" s="154"/>
      <c r="K372" s="154"/>
      <c r="L372" s="154"/>
      <c r="M372" s="154"/>
      <c r="N372" s="154"/>
      <c r="O372" s="154"/>
      <c r="P372" s="154"/>
      <c r="Q372" s="153"/>
    </row>
    <row r="373" spans="3:17" ht="18.75" x14ac:dyDescent="0.25">
      <c r="C373" s="143">
        <f t="shared" ref="C373:C382" si="341">C372</f>
        <v>1</v>
      </c>
      <c r="D373" s="152" t="s">
        <v>105</v>
      </c>
      <c r="E373" s="38" t="s">
        <v>57</v>
      </c>
      <c r="F373" s="168">
        <f t="shared" ref="F373:P373" si="342">F$6*$E370</f>
        <v>2.0907938746387034</v>
      </c>
      <c r="G373" s="186">
        <f t="shared" si="342"/>
        <v>4187.7000403851398</v>
      </c>
      <c r="H373" s="186">
        <f t="shared" si="342"/>
        <v>63.132273381373544</v>
      </c>
      <c r="I373" s="186">
        <f t="shared" si="342"/>
        <v>0</v>
      </c>
      <c r="J373" s="186">
        <f t="shared" si="342"/>
        <v>80.452807184892279</v>
      </c>
      <c r="K373" s="186">
        <f t="shared" si="342"/>
        <v>13.84774641601963</v>
      </c>
      <c r="L373" s="186">
        <f t="shared" si="342"/>
        <v>3.718391881076847</v>
      </c>
      <c r="M373" s="186">
        <f t="shared" si="342"/>
        <v>0</v>
      </c>
      <c r="N373" s="186">
        <f t="shared" si="342"/>
        <v>0</v>
      </c>
      <c r="O373" s="186">
        <f t="shared" si="342"/>
        <v>0</v>
      </c>
      <c r="P373" s="186">
        <f t="shared" si="342"/>
        <v>0</v>
      </c>
      <c r="Q373" s="189">
        <f>SUM(G373:P373)</f>
        <v>4348.8512592485022</v>
      </c>
    </row>
    <row r="374" spans="3:17" ht="18.75" x14ac:dyDescent="0.25">
      <c r="C374" s="143">
        <f t="shared" si="341"/>
        <v>1</v>
      </c>
      <c r="D374" s="150" t="s">
        <v>31</v>
      </c>
      <c r="E374" s="38"/>
      <c r="F374" s="167"/>
      <c r="G374" s="185"/>
      <c r="H374" s="185"/>
      <c r="I374" s="187"/>
      <c r="J374" s="188"/>
      <c r="K374" s="188"/>
      <c r="L374" s="188"/>
      <c r="M374" s="188"/>
      <c r="N374" s="188"/>
      <c r="O374" s="188"/>
      <c r="P374" s="188"/>
      <c r="Q374" s="171"/>
    </row>
    <row r="375" spans="3:17" ht="18.75" x14ac:dyDescent="0.3">
      <c r="C375" s="143">
        <f t="shared" si="341"/>
        <v>1</v>
      </c>
      <c r="D375" s="149" t="s">
        <v>118</v>
      </c>
      <c r="E375" s="38" t="s">
        <v>56</v>
      </c>
      <c r="F375" s="168">
        <f t="shared" ref="F375:P375" si="343">F$8*$E370</f>
        <v>0</v>
      </c>
      <c r="G375" s="186">
        <f t="shared" si="343"/>
        <v>0</v>
      </c>
      <c r="H375" s="186">
        <f t="shared" si="343"/>
        <v>0</v>
      </c>
      <c r="I375" s="186">
        <f t="shared" si="343"/>
        <v>0</v>
      </c>
      <c r="J375" s="186">
        <f t="shared" si="343"/>
        <v>0</v>
      </c>
      <c r="K375" s="186">
        <f t="shared" si="343"/>
        <v>0</v>
      </c>
      <c r="L375" s="186">
        <f t="shared" si="343"/>
        <v>0</v>
      </c>
      <c r="M375" s="186">
        <f t="shared" si="343"/>
        <v>0</v>
      </c>
      <c r="N375" s="186">
        <f t="shared" si="343"/>
        <v>0</v>
      </c>
      <c r="O375" s="186">
        <f t="shared" si="343"/>
        <v>0</v>
      </c>
      <c r="P375" s="186">
        <f t="shared" si="343"/>
        <v>0</v>
      </c>
      <c r="Q375" s="189">
        <f t="shared" ref="Q375:Q381" si="344">SUM(G375:P375)</f>
        <v>0</v>
      </c>
    </row>
    <row r="376" spans="3:17" ht="18.75" x14ac:dyDescent="0.3">
      <c r="C376" s="143">
        <f t="shared" si="341"/>
        <v>1</v>
      </c>
      <c r="D376" s="149" t="s">
        <v>119</v>
      </c>
      <c r="E376" s="38" t="s">
        <v>55</v>
      </c>
      <c r="F376" s="168">
        <f t="shared" ref="F376:P376" si="345">F$9*$E370</f>
        <v>0</v>
      </c>
      <c r="G376" s="186">
        <f t="shared" si="345"/>
        <v>0</v>
      </c>
      <c r="H376" s="186">
        <f t="shared" si="345"/>
        <v>0</v>
      </c>
      <c r="I376" s="186">
        <f t="shared" si="345"/>
        <v>0</v>
      </c>
      <c r="J376" s="186">
        <f t="shared" si="345"/>
        <v>0</v>
      </c>
      <c r="K376" s="186">
        <f t="shared" si="345"/>
        <v>0</v>
      </c>
      <c r="L376" s="186">
        <f t="shared" si="345"/>
        <v>0</v>
      </c>
      <c r="M376" s="186">
        <f t="shared" si="345"/>
        <v>0</v>
      </c>
      <c r="N376" s="186">
        <f t="shared" si="345"/>
        <v>0</v>
      </c>
      <c r="O376" s="186">
        <f t="shared" si="345"/>
        <v>0</v>
      </c>
      <c r="P376" s="186">
        <f t="shared" si="345"/>
        <v>0</v>
      </c>
      <c r="Q376" s="189">
        <f t="shared" si="344"/>
        <v>0</v>
      </c>
    </row>
    <row r="377" spans="3:17" ht="18.75" x14ac:dyDescent="0.3">
      <c r="C377" s="143">
        <f t="shared" si="341"/>
        <v>1</v>
      </c>
      <c r="D377" s="149" t="s">
        <v>120</v>
      </c>
      <c r="E377" s="38" t="s">
        <v>54</v>
      </c>
      <c r="F377" s="168">
        <f t="shared" ref="F377:P377" si="346">F$10*$E370</f>
        <v>0</v>
      </c>
      <c r="G377" s="186">
        <f t="shared" si="346"/>
        <v>0</v>
      </c>
      <c r="H377" s="186">
        <f t="shared" si="346"/>
        <v>0</v>
      </c>
      <c r="I377" s="186">
        <f t="shared" si="346"/>
        <v>0</v>
      </c>
      <c r="J377" s="186">
        <f t="shared" si="346"/>
        <v>0</v>
      </c>
      <c r="K377" s="186">
        <f t="shared" si="346"/>
        <v>0</v>
      </c>
      <c r="L377" s="186">
        <f t="shared" si="346"/>
        <v>0</v>
      </c>
      <c r="M377" s="186">
        <f t="shared" si="346"/>
        <v>0</v>
      </c>
      <c r="N377" s="186">
        <f t="shared" si="346"/>
        <v>0</v>
      </c>
      <c r="O377" s="186">
        <f t="shared" si="346"/>
        <v>0</v>
      </c>
      <c r="P377" s="186">
        <f t="shared" si="346"/>
        <v>0</v>
      </c>
      <c r="Q377" s="189">
        <f t="shared" si="344"/>
        <v>0</v>
      </c>
    </row>
    <row r="378" spans="3:17" ht="18.75" x14ac:dyDescent="0.3">
      <c r="C378" s="143">
        <f t="shared" si="341"/>
        <v>1</v>
      </c>
      <c r="D378" s="149" t="s">
        <v>121</v>
      </c>
      <c r="E378" s="38" t="s">
        <v>53</v>
      </c>
      <c r="F378" s="168">
        <f t="shared" ref="F378:P378" si="347">F$11*$E370</f>
        <v>0</v>
      </c>
      <c r="G378" s="186">
        <f t="shared" si="347"/>
        <v>0</v>
      </c>
      <c r="H378" s="186">
        <f t="shared" si="347"/>
        <v>0</v>
      </c>
      <c r="I378" s="186">
        <f t="shared" si="347"/>
        <v>0</v>
      </c>
      <c r="J378" s="186">
        <f t="shared" si="347"/>
        <v>0</v>
      </c>
      <c r="K378" s="186">
        <f t="shared" si="347"/>
        <v>0</v>
      </c>
      <c r="L378" s="186">
        <f t="shared" si="347"/>
        <v>0</v>
      </c>
      <c r="M378" s="186">
        <f t="shared" si="347"/>
        <v>0</v>
      </c>
      <c r="N378" s="186">
        <f t="shared" si="347"/>
        <v>0</v>
      </c>
      <c r="O378" s="186">
        <f t="shared" si="347"/>
        <v>0</v>
      </c>
      <c r="P378" s="186">
        <f t="shared" si="347"/>
        <v>0</v>
      </c>
      <c r="Q378" s="189">
        <f t="shared" si="344"/>
        <v>0</v>
      </c>
    </row>
    <row r="379" spans="3:17" ht="18.75" x14ac:dyDescent="0.3">
      <c r="C379" s="143">
        <f t="shared" si="341"/>
        <v>1</v>
      </c>
      <c r="D379" s="149" t="s">
        <v>122</v>
      </c>
      <c r="E379" s="38" t="s">
        <v>52</v>
      </c>
      <c r="F379" s="168">
        <f t="shared" ref="F379:P379" si="348">F$12*$E370</f>
        <v>0</v>
      </c>
      <c r="G379" s="186">
        <f t="shared" si="348"/>
        <v>0</v>
      </c>
      <c r="H379" s="186">
        <f t="shared" si="348"/>
        <v>0</v>
      </c>
      <c r="I379" s="186">
        <f t="shared" si="348"/>
        <v>0</v>
      </c>
      <c r="J379" s="186">
        <f t="shared" si="348"/>
        <v>0</v>
      </c>
      <c r="K379" s="186">
        <f t="shared" si="348"/>
        <v>0</v>
      </c>
      <c r="L379" s="186">
        <f t="shared" si="348"/>
        <v>0</v>
      </c>
      <c r="M379" s="186">
        <f t="shared" si="348"/>
        <v>0</v>
      </c>
      <c r="N379" s="186">
        <f t="shared" si="348"/>
        <v>0</v>
      </c>
      <c r="O379" s="186">
        <f t="shared" si="348"/>
        <v>0</v>
      </c>
      <c r="P379" s="186">
        <f t="shared" si="348"/>
        <v>0</v>
      </c>
      <c r="Q379" s="189">
        <f t="shared" si="344"/>
        <v>0</v>
      </c>
    </row>
    <row r="380" spans="3:17" ht="18.75" x14ac:dyDescent="0.3">
      <c r="C380" s="143">
        <f t="shared" si="341"/>
        <v>1</v>
      </c>
      <c r="D380" s="149" t="s">
        <v>123</v>
      </c>
      <c r="E380" s="38" t="s">
        <v>51</v>
      </c>
      <c r="F380" s="168">
        <f t="shared" ref="F380:P380" si="349">F$13*$E370</f>
        <v>0</v>
      </c>
      <c r="G380" s="186">
        <f t="shared" si="349"/>
        <v>0</v>
      </c>
      <c r="H380" s="186">
        <f t="shared" si="349"/>
        <v>0</v>
      </c>
      <c r="I380" s="186">
        <f t="shared" si="349"/>
        <v>0</v>
      </c>
      <c r="J380" s="186">
        <f t="shared" si="349"/>
        <v>0</v>
      </c>
      <c r="K380" s="186">
        <f t="shared" si="349"/>
        <v>0</v>
      </c>
      <c r="L380" s="186">
        <f t="shared" si="349"/>
        <v>0</v>
      </c>
      <c r="M380" s="186">
        <f t="shared" si="349"/>
        <v>0</v>
      </c>
      <c r="N380" s="186">
        <f t="shared" si="349"/>
        <v>0</v>
      </c>
      <c r="O380" s="186">
        <f t="shared" si="349"/>
        <v>0</v>
      </c>
      <c r="P380" s="186">
        <f t="shared" si="349"/>
        <v>0</v>
      </c>
      <c r="Q380" s="189">
        <f t="shared" si="344"/>
        <v>0</v>
      </c>
    </row>
    <row r="381" spans="3:17" ht="19.5" thickBot="1" x14ac:dyDescent="0.35">
      <c r="C381" s="143">
        <f t="shared" si="341"/>
        <v>1</v>
      </c>
      <c r="D381" s="149" t="s">
        <v>16</v>
      </c>
      <c r="E381" s="37" t="s">
        <v>50</v>
      </c>
      <c r="F381" s="168">
        <f t="shared" ref="F381:P381" si="350">F$14*$E370</f>
        <v>0.13903150224176561</v>
      </c>
      <c r="G381" s="186">
        <f t="shared" si="350"/>
        <v>250.92450002188875</v>
      </c>
      <c r="H381" s="186">
        <f t="shared" si="350"/>
        <v>4.8894185479444108</v>
      </c>
      <c r="I381" s="186">
        <f t="shared" si="350"/>
        <v>0</v>
      </c>
      <c r="J381" s="186">
        <f t="shared" si="350"/>
        <v>0</v>
      </c>
      <c r="K381" s="186">
        <f t="shared" si="350"/>
        <v>17.520864135989218</v>
      </c>
      <c r="L381" s="186">
        <f t="shared" si="350"/>
        <v>0</v>
      </c>
      <c r="M381" s="186">
        <f t="shared" si="350"/>
        <v>9.4040617259551918E-3</v>
      </c>
      <c r="N381" s="186">
        <f t="shared" si="350"/>
        <v>0</v>
      </c>
      <c r="O381" s="186">
        <f t="shared" si="350"/>
        <v>0</v>
      </c>
      <c r="P381" s="186">
        <f t="shared" si="350"/>
        <v>15.841337895324145</v>
      </c>
      <c r="Q381" s="189">
        <f t="shared" si="344"/>
        <v>289.18552466287247</v>
      </c>
    </row>
    <row r="382" spans="3:17" ht="19.5" thickBot="1" x14ac:dyDescent="0.3">
      <c r="C382" s="143">
        <f t="shared" si="341"/>
        <v>1</v>
      </c>
      <c r="D382" s="148" t="s">
        <v>124</v>
      </c>
      <c r="E382" s="147" t="s">
        <v>49</v>
      </c>
      <c r="F382" s="169">
        <f t="shared" ref="F382:Q382" si="351">SUBTOTAL(9,F373:F381)</f>
        <v>2.229825376880469</v>
      </c>
      <c r="G382" s="170">
        <f t="shared" si="351"/>
        <v>4438.6245404070287</v>
      </c>
      <c r="H382" s="170">
        <f t="shared" si="351"/>
        <v>68.021691929317953</v>
      </c>
      <c r="I382" s="170">
        <f t="shared" si="351"/>
        <v>0</v>
      </c>
      <c r="J382" s="170">
        <f t="shared" si="351"/>
        <v>80.452807184892279</v>
      </c>
      <c r="K382" s="170">
        <f t="shared" ref="K382:P382" si="352">SUBTOTAL(9,K373:K381)</f>
        <v>31.368610552008846</v>
      </c>
      <c r="L382" s="170">
        <f t="shared" si="352"/>
        <v>3.718391881076847</v>
      </c>
      <c r="M382" s="170">
        <f t="shared" si="352"/>
        <v>9.4040617259551918E-3</v>
      </c>
      <c r="N382" s="170">
        <f t="shared" si="352"/>
        <v>0</v>
      </c>
      <c r="O382" s="170">
        <f t="shared" si="352"/>
        <v>0</v>
      </c>
      <c r="P382" s="170">
        <f t="shared" si="352"/>
        <v>15.841337895324145</v>
      </c>
      <c r="Q382" s="170">
        <f t="shared" si="351"/>
        <v>4638.0367839113751</v>
      </c>
    </row>
    <row r="383" spans="3:17" ht="15.75" hidden="1" thickBot="1" x14ac:dyDescent="0.3"/>
    <row r="384" spans="3:17" ht="45" x14ac:dyDescent="0.25">
      <c r="C384" s="143">
        <f>IF(E384&gt;0,1,0)</f>
        <v>1</v>
      </c>
      <c r="D384" s="163" t="str">
        <f>A30</f>
        <v>Madison</v>
      </c>
      <c r="E384" s="166">
        <f>SUMIF(A:A,D384,B:B)</f>
        <v>1.9127199054402991E-3</v>
      </c>
      <c r="F384" s="509" t="s">
        <v>97</v>
      </c>
      <c r="G384" s="509" t="s">
        <v>126</v>
      </c>
      <c r="H384" s="509" t="s">
        <v>127</v>
      </c>
      <c r="I384" s="508" t="s">
        <v>128</v>
      </c>
      <c r="J384" s="508" t="s">
        <v>487</v>
      </c>
      <c r="K384" s="508" t="s">
        <v>474</v>
      </c>
      <c r="L384" s="508" t="s">
        <v>475</v>
      </c>
      <c r="M384" s="508" t="s">
        <v>476</v>
      </c>
      <c r="N384" s="508" t="s">
        <v>477</v>
      </c>
      <c r="O384" s="508" t="s">
        <v>478</v>
      </c>
      <c r="P384" s="508" t="s">
        <v>479</v>
      </c>
      <c r="Q384" s="508" t="s">
        <v>129</v>
      </c>
    </row>
    <row r="385" spans="3:17" ht="18.75" x14ac:dyDescent="0.25">
      <c r="C385" s="143">
        <f>C384</f>
        <v>1</v>
      </c>
      <c r="D385" s="160"/>
      <c r="E385" s="159"/>
      <c r="F385" s="49" t="s">
        <v>57</v>
      </c>
      <c r="G385" s="49" t="s">
        <v>56</v>
      </c>
      <c r="H385" s="49" t="s">
        <v>55</v>
      </c>
      <c r="I385" s="49" t="s">
        <v>54</v>
      </c>
      <c r="J385" s="58" t="s">
        <v>53</v>
      </c>
      <c r="K385" s="49" t="s">
        <v>52</v>
      </c>
      <c r="L385" s="49" t="s">
        <v>51</v>
      </c>
      <c r="M385" s="49" t="s">
        <v>50</v>
      </c>
      <c r="N385" s="49" t="s">
        <v>49</v>
      </c>
      <c r="O385" s="49" t="s">
        <v>47</v>
      </c>
      <c r="P385" s="49" t="s">
        <v>77</v>
      </c>
      <c r="Q385" s="573" t="s">
        <v>78</v>
      </c>
    </row>
    <row r="386" spans="3:17" ht="18.75" x14ac:dyDescent="0.25">
      <c r="C386" s="143">
        <f>C385</f>
        <v>1</v>
      </c>
      <c r="D386" s="158" t="s">
        <v>26</v>
      </c>
      <c r="E386" s="157"/>
      <c r="F386" s="156"/>
      <c r="G386" s="156"/>
      <c r="H386" s="156"/>
      <c r="I386" s="155"/>
      <c r="J386" s="154"/>
      <c r="K386" s="154"/>
      <c r="L386" s="154"/>
      <c r="M386" s="154"/>
      <c r="N386" s="154"/>
      <c r="O386" s="154"/>
      <c r="P386" s="154"/>
      <c r="Q386" s="153"/>
    </row>
    <row r="387" spans="3:17" ht="18.75" x14ac:dyDescent="0.25">
      <c r="C387" s="143">
        <f t="shared" ref="C387:C396" si="353">C386</f>
        <v>1</v>
      </c>
      <c r="D387" s="152" t="s">
        <v>105</v>
      </c>
      <c r="E387" s="38" t="s">
        <v>57</v>
      </c>
      <c r="F387" s="168">
        <f t="shared" ref="F387:P387" si="354">F$6*$E384</f>
        <v>3.576819613009786</v>
      </c>
      <c r="G387" s="186">
        <f t="shared" si="354"/>
        <v>7164.0958104680722</v>
      </c>
      <c r="H387" s="186">
        <f t="shared" si="354"/>
        <v>108.00335527260611</v>
      </c>
      <c r="I387" s="186">
        <f t="shared" si="354"/>
        <v>0</v>
      </c>
      <c r="J387" s="186">
        <f t="shared" si="354"/>
        <v>137.63440870532693</v>
      </c>
      <c r="K387" s="186">
        <f t="shared" si="354"/>
        <v>23.689992388830824</v>
      </c>
      <c r="L387" s="186">
        <f t="shared" si="354"/>
        <v>6.361228225518075</v>
      </c>
      <c r="M387" s="186">
        <f t="shared" si="354"/>
        <v>0</v>
      </c>
      <c r="N387" s="186">
        <f t="shared" si="354"/>
        <v>0</v>
      </c>
      <c r="O387" s="186">
        <f t="shared" si="354"/>
        <v>0</v>
      </c>
      <c r="P387" s="186">
        <f t="shared" si="354"/>
        <v>0</v>
      </c>
      <c r="Q387" s="189">
        <f>SUM(G387:P387)</f>
        <v>7439.7847950603536</v>
      </c>
    </row>
    <row r="388" spans="3:17" ht="18.75" x14ac:dyDescent="0.25">
      <c r="C388" s="143">
        <f t="shared" si="353"/>
        <v>1</v>
      </c>
      <c r="D388" s="150" t="s">
        <v>31</v>
      </c>
      <c r="E388" s="38"/>
      <c r="F388" s="167"/>
      <c r="G388" s="185"/>
      <c r="H388" s="185"/>
      <c r="I388" s="187"/>
      <c r="J388" s="188"/>
      <c r="K388" s="188"/>
      <c r="L388" s="188"/>
      <c r="M388" s="188"/>
      <c r="N388" s="188"/>
      <c r="O388" s="188"/>
      <c r="P388" s="188"/>
      <c r="Q388" s="171"/>
    </row>
    <row r="389" spans="3:17" ht="18.75" x14ac:dyDescent="0.3">
      <c r="C389" s="143">
        <f t="shared" si="353"/>
        <v>1</v>
      </c>
      <c r="D389" s="149" t="s">
        <v>118</v>
      </c>
      <c r="E389" s="38" t="s">
        <v>56</v>
      </c>
      <c r="F389" s="168">
        <f t="shared" ref="F389:P389" si="355">F$8*$E384</f>
        <v>0</v>
      </c>
      <c r="G389" s="186">
        <f t="shared" si="355"/>
        <v>0</v>
      </c>
      <c r="H389" s="186">
        <f t="shared" si="355"/>
        <v>0</v>
      </c>
      <c r="I389" s="186">
        <f t="shared" si="355"/>
        <v>0</v>
      </c>
      <c r="J389" s="186">
        <f t="shared" si="355"/>
        <v>0</v>
      </c>
      <c r="K389" s="186">
        <f t="shared" si="355"/>
        <v>0</v>
      </c>
      <c r="L389" s="186">
        <f t="shared" si="355"/>
        <v>0</v>
      </c>
      <c r="M389" s="186">
        <f t="shared" si="355"/>
        <v>0</v>
      </c>
      <c r="N389" s="186">
        <f t="shared" si="355"/>
        <v>0</v>
      </c>
      <c r="O389" s="186">
        <f t="shared" si="355"/>
        <v>0</v>
      </c>
      <c r="P389" s="186">
        <f t="shared" si="355"/>
        <v>0</v>
      </c>
      <c r="Q389" s="189">
        <f t="shared" ref="Q389:Q395" si="356">SUM(G389:P389)</f>
        <v>0</v>
      </c>
    </row>
    <row r="390" spans="3:17" ht="18.75" x14ac:dyDescent="0.3">
      <c r="C390" s="143">
        <f t="shared" si="353"/>
        <v>1</v>
      </c>
      <c r="D390" s="149" t="s">
        <v>119</v>
      </c>
      <c r="E390" s="38" t="s">
        <v>55</v>
      </c>
      <c r="F390" s="168">
        <f t="shared" ref="F390:P390" si="357">F$9*$E384</f>
        <v>0</v>
      </c>
      <c r="G390" s="186">
        <f t="shared" si="357"/>
        <v>0</v>
      </c>
      <c r="H390" s="186">
        <f t="shared" si="357"/>
        <v>0</v>
      </c>
      <c r="I390" s="186">
        <f t="shared" si="357"/>
        <v>0</v>
      </c>
      <c r="J390" s="186">
        <f t="shared" si="357"/>
        <v>0</v>
      </c>
      <c r="K390" s="186">
        <f t="shared" si="357"/>
        <v>0</v>
      </c>
      <c r="L390" s="186">
        <f t="shared" si="357"/>
        <v>0</v>
      </c>
      <c r="M390" s="186">
        <f t="shared" si="357"/>
        <v>0</v>
      </c>
      <c r="N390" s="186">
        <f t="shared" si="357"/>
        <v>0</v>
      </c>
      <c r="O390" s="186">
        <f t="shared" si="357"/>
        <v>0</v>
      </c>
      <c r="P390" s="186">
        <f t="shared" si="357"/>
        <v>0</v>
      </c>
      <c r="Q390" s="189">
        <f t="shared" si="356"/>
        <v>0</v>
      </c>
    </row>
    <row r="391" spans="3:17" ht="18.75" x14ac:dyDescent="0.3">
      <c r="C391" s="143">
        <f t="shared" si="353"/>
        <v>1</v>
      </c>
      <c r="D391" s="149" t="s">
        <v>120</v>
      </c>
      <c r="E391" s="38" t="s">
        <v>54</v>
      </c>
      <c r="F391" s="168">
        <f t="shared" ref="F391:P391" si="358">F$10*$E384</f>
        <v>0</v>
      </c>
      <c r="G391" s="186">
        <f t="shared" si="358"/>
        <v>0</v>
      </c>
      <c r="H391" s="186">
        <f t="shared" si="358"/>
        <v>0</v>
      </c>
      <c r="I391" s="186">
        <f t="shared" si="358"/>
        <v>0</v>
      </c>
      <c r="J391" s="186">
        <f t="shared" si="358"/>
        <v>0</v>
      </c>
      <c r="K391" s="186">
        <f t="shared" si="358"/>
        <v>0</v>
      </c>
      <c r="L391" s="186">
        <f t="shared" si="358"/>
        <v>0</v>
      </c>
      <c r="M391" s="186">
        <f t="shared" si="358"/>
        <v>0</v>
      </c>
      <c r="N391" s="186">
        <f t="shared" si="358"/>
        <v>0</v>
      </c>
      <c r="O391" s="186">
        <f t="shared" si="358"/>
        <v>0</v>
      </c>
      <c r="P391" s="186">
        <f t="shared" si="358"/>
        <v>0</v>
      </c>
      <c r="Q391" s="189">
        <f t="shared" si="356"/>
        <v>0</v>
      </c>
    </row>
    <row r="392" spans="3:17" ht="18.75" x14ac:dyDescent="0.3">
      <c r="C392" s="143">
        <f t="shared" si="353"/>
        <v>1</v>
      </c>
      <c r="D392" s="149" t="s">
        <v>121</v>
      </c>
      <c r="E392" s="38" t="s">
        <v>53</v>
      </c>
      <c r="F392" s="168">
        <f t="shared" ref="F392:P392" si="359">F$11*$E384</f>
        <v>0</v>
      </c>
      <c r="G392" s="186">
        <f t="shared" si="359"/>
        <v>0</v>
      </c>
      <c r="H392" s="186">
        <f t="shared" si="359"/>
        <v>0</v>
      </c>
      <c r="I392" s="186">
        <f t="shared" si="359"/>
        <v>0</v>
      </c>
      <c r="J392" s="186">
        <f t="shared" si="359"/>
        <v>0</v>
      </c>
      <c r="K392" s="186">
        <f t="shared" si="359"/>
        <v>0</v>
      </c>
      <c r="L392" s="186">
        <f t="shared" si="359"/>
        <v>0</v>
      </c>
      <c r="M392" s="186">
        <f t="shared" si="359"/>
        <v>0</v>
      </c>
      <c r="N392" s="186">
        <f t="shared" si="359"/>
        <v>0</v>
      </c>
      <c r="O392" s="186">
        <f t="shared" si="359"/>
        <v>0</v>
      </c>
      <c r="P392" s="186">
        <f t="shared" si="359"/>
        <v>0</v>
      </c>
      <c r="Q392" s="189">
        <f t="shared" si="356"/>
        <v>0</v>
      </c>
    </row>
    <row r="393" spans="3:17" ht="18.75" x14ac:dyDescent="0.3">
      <c r="C393" s="143">
        <f t="shared" si="353"/>
        <v>1</v>
      </c>
      <c r="D393" s="149" t="s">
        <v>122</v>
      </c>
      <c r="E393" s="38" t="s">
        <v>52</v>
      </c>
      <c r="F393" s="168">
        <f t="shared" ref="F393:P393" si="360">F$12*$E384</f>
        <v>0</v>
      </c>
      <c r="G393" s="186">
        <f t="shared" si="360"/>
        <v>0</v>
      </c>
      <c r="H393" s="186">
        <f t="shared" si="360"/>
        <v>0</v>
      </c>
      <c r="I393" s="186">
        <f t="shared" si="360"/>
        <v>0</v>
      </c>
      <c r="J393" s="186">
        <f t="shared" si="360"/>
        <v>0</v>
      </c>
      <c r="K393" s="186">
        <f t="shared" si="360"/>
        <v>0</v>
      </c>
      <c r="L393" s="186">
        <f t="shared" si="360"/>
        <v>0</v>
      </c>
      <c r="M393" s="186">
        <f t="shared" si="360"/>
        <v>0</v>
      </c>
      <c r="N393" s="186">
        <f t="shared" si="360"/>
        <v>0</v>
      </c>
      <c r="O393" s="186">
        <f t="shared" si="360"/>
        <v>0</v>
      </c>
      <c r="P393" s="186">
        <f t="shared" si="360"/>
        <v>0</v>
      </c>
      <c r="Q393" s="189">
        <f t="shared" si="356"/>
        <v>0</v>
      </c>
    </row>
    <row r="394" spans="3:17" ht="18.75" x14ac:dyDescent="0.3">
      <c r="C394" s="143">
        <f t="shared" si="353"/>
        <v>1</v>
      </c>
      <c r="D394" s="149" t="s">
        <v>123</v>
      </c>
      <c r="E394" s="38" t="s">
        <v>51</v>
      </c>
      <c r="F394" s="168">
        <f t="shared" ref="F394:P394" si="361">F$13*$E384</f>
        <v>0</v>
      </c>
      <c r="G394" s="186">
        <f t="shared" si="361"/>
        <v>0</v>
      </c>
      <c r="H394" s="186">
        <f t="shared" si="361"/>
        <v>0</v>
      </c>
      <c r="I394" s="186">
        <f t="shared" si="361"/>
        <v>0</v>
      </c>
      <c r="J394" s="186">
        <f t="shared" si="361"/>
        <v>0</v>
      </c>
      <c r="K394" s="186">
        <f t="shared" si="361"/>
        <v>0</v>
      </c>
      <c r="L394" s="186">
        <f t="shared" si="361"/>
        <v>0</v>
      </c>
      <c r="M394" s="186">
        <f t="shared" si="361"/>
        <v>0</v>
      </c>
      <c r="N394" s="186">
        <f t="shared" si="361"/>
        <v>0</v>
      </c>
      <c r="O394" s="186">
        <f t="shared" si="361"/>
        <v>0</v>
      </c>
      <c r="P394" s="186">
        <f t="shared" si="361"/>
        <v>0</v>
      </c>
      <c r="Q394" s="189">
        <f t="shared" si="356"/>
        <v>0</v>
      </c>
    </row>
    <row r="395" spans="3:17" ht="19.5" thickBot="1" x14ac:dyDescent="0.35">
      <c r="C395" s="143">
        <f t="shared" si="353"/>
        <v>1</v>
      </c>
      <c r="D395" s="149" t="s">
        <v>16</v>
      </c>
      <c r="E395" s="37" t="s">
        <v>50</v>
      </c>
      <c r="F395" s="168">
        <f t="shared" ref="F395:P395" si="362">F$14*$E384</f>
        <v>0.23784774294428951</v>
      </c>
      <c r="G395" s="186">
        <f t="shared" si="362"/>
        <v>429.26836736503236</v>
      </c>
      <c r="H395" s="186">
        <f t="shared" si="362"/>
        <v>8.364558730842603</v>
      </c>
      <c r="I395" s="186">
        <f t="shared" si="362"/>
        <v>0</v>
      </c>
      <c r="J395" s="186">
        <f t="shared" si="362"/>
        <v>0</v>
      </c>
      <c r="K395" s="186">
        <f t="shared" si="362"/>
        <v>29.973767973332823</v>
      </c>
      <c r="L395" s="186">
        <f t="shared" si="362"/>
        <v>0</v>
      </c>
      <c r="M395" s="186">
        <f t="shared" si="362"/>
        <v>1.6087971574511965E-2</v>
      </c>
      <c r="N395" s="186">
        <f t="shared" si="362"/>
        <v>0</v>
      </c>
      <c r="O395" s="186">
        <f t="shared" si="362"/>
        <v>0</v>
      </c>
      <c r="P395" s="186">
        <f t="shared" si="362"/>
        <v>27.100523283339875</v>
      </c>
      <c r="Q395" s="189">
        <f t="shared" si="356"/>
        <v>494.72330532412218</v>
      </c>
    </row>
    <row r="396" spans="3:17" ht="19.5" thickBot="1" x14ac:dyDescent="0.3">
      <c r="C396" s="143">
        <f t="shared" si="353"/>
        <v>1</v>
      </c>
      <c r="D396" s="148" t="s">
        <v>124</v>
      </c>
      <c r="E396" s="147" t="s">
        <v>49</v>
      </c>
      <c r="F396" s="169">
        <f t="shared" ref="F396:Q396" si="363">SUBTOTAL(9,F387:F395)</f>
        <v>3.8146673559540756</v>
      </c>
      <c r="G396" s="170">
        <f t="shared" si="363"/>
        <v>7593.3641778331048</v>
      </c>
      <c r="H396" s="170">
        <f t="shared" si="363"/>
        <v>116.36791400344872</v>
      </c>
      <c r="I396" s="170">
        <f t="shared" si="363"/>
        <v>0</v>
      </c>
      <c r="J396" s="170">
        <f t="shared" si="363"/>
        <v>137.63440870532693</v>
      </c>
      <c r="K396" s="170">
        <f t="shared" ref="K396:P396" si="364">SUBTOTAL(9,K387:K395)</f>
        <v>53.663760362163643</v>
      </c>
      <c r="L396" s="170">
        <f t="shared" si="364"/>
        <v>6.361228225518075</v>
      </c>
      <c r="M396" s="170">
        <f t="shared" si="364"/>
        <v>1.6087971574511965E-2</v>
      </c>
      <c r="N396" s="170">
        <f t="shared" si="364"/>
        <v>0</v>
      </c>
      <c r="O396" s="170">
        <f t="shared" si="364"/>
        <v>0</v>
      </c>
      <c r="P396" s="170">
        <f t="shared" si="364"/>
        <v>27.100523283339875</v>
      </c>
      <c r="Q396" s="170">
        <f t="shared" si="363"/>
        <v>7934.5081003844762</v>
      </c>
    </row>
    <row r="397" spans="3:17" ht="15.75" hidden="1" thickBot="1" x14ac:dyDescent="0.3"/>
    <row r="398" spans="3:17" ht="45" x14ac:dyDescent="0.25">
      <c r="C398" s="143">
        <f>IF(E398&gt;0,1,0)</f>
        <v>1</v>
      </c>
      <c r="D398" s="163" t="str">
        <f>A31</f>
        <v>Monroe</v>
      </c>
      <c r="E398" s="166">
        <f>SUMIF(A:A,D398,B:B)</f>
        <v>3.1956436739103963E-2</v>
      </c>
      <c r="F398" s="509" t="s">
        <v>97</v>
      </c>
      <c r="G398" s="509" t="s">
        <v>126</v>
      </c>
      <c r="H398" s="509" t="s">
        <v>127</v>
      </c>
      <c r="I398" s="508" t="s">
        <v>128</v>
      </c>
      <c r="J398" s="508" t="s">
        <v>487</v>
      </c>
      <c r="K398" s="508" t="s">
        <v>474</v>
      </c>
      <c r="L398" s="508" t="s">
        <v>475</v>
      </c>
      <c r="M398" s="508" t="s">
        <v>476</v>
      </c>
      <c r="N398" s="508" t="s">
        <v>477</v>
      </c>
      <c r="O398" s="508" t="s">
        <v>478</v>
      </c>
      <c r="P398" s="508" t="s">
        <v>479</v>
      </c>
      <c r="Q398" s="508" t="s">
        <v>129</v>
      </c>
    </row>
    <row r="399" spans="3:17" ht="18.75" x14ac:dyDescent="0.25">
      <c r="C399" s="143">
        <f>C398</f>
        <v>1</v>
      </c>
      <c r="D399" s="160"/>
      <c r="E399" s="159"/>
      <c r="F399" s="49" t="s">
        <v>57</v>
      </c>
      <c r="G399" s="49" t="s">
        <v>56</v>
      </c>
      <c r="H399" s="49" t="s">
        <v>55</v>
      </c>
      <c r="I399" s="49" t="s">
        <v>54</v>
      </c>
      <c r="J399" s="58" t="s">
        <v>53</v>
      </c>
      <c r="K399" s="49" t="s">
        <v>52</v>
      </c>
      <c r="L399" s="49" t="s">
        <v>51</v>
      </c>
      <c r="M399" s="49" t="s">
        <v>50</v>
      </c>
      <c r="N399" s="49" t="s">
        <v>49</v>
      </c>
      <c r="O399" s="49" t="s">
        <v>47</v>
      </c>
      <c r="P399" s="49" t="s">
        <v>77</v>
      </c>
      <c r="Q399" s="573" t="s">
        <v>78</v>
      </c>
    </row>
    <row r="400" spans="3:17" ht="18.75" x14ac:dyDescent="0.25">
      <c r="C400" s="143">
        <f>C399</f>
        <v>1</v>
      </c>
      <c r="D400" s="158" t="s">
        <v>26</v>
      </c>
      <c r="E400" s="157"/>
      <c r="F400" s="156"/>
      <c r="G400" s="156"/>
      <c r="H400" s="156"/>
      <c r="I400" s="155"/>
      <c r="J400" s="154"/>
      <c r="K400" s="154"/>
      <c r="L400" s="154"/>
      <c r="M400" s="154"/>
      <c r="N400" s="154"/>
      <c r="O400" s="154"/>
      <c r="P400" s="154"/>
      <c r="Q400" s="153"/>
    </row>
    <row r="401" spans="3:17" ht="18.75" x14ac:dyDescent="0.25">
      <c r="C401" s="143">
        <f t="shared" ref="C401:C410" si="365">C400</f>
        <v>1</v>
      </c>
      <c r="D401" s="152" t="s">
        <v>105</v>
      </c>
      <c r="E401" s="38" t="s">
        <v>57</v>
      </c>
      <c r="F401" s="168">
        <f t="shared" ref="F401:P401" si="366">F$6*$E398</f>
        <v>59.759094557036917</v>
      </c>
      <c r="G401" s="186">
        <f t="shared" si="366"/>
        <v>119692.89068877129</v>
      </c>
      <c r="H401" s="186">
        <f t="shared" si="366"/>
        <v>1804.4473634447336</v>
      </c>
      <c r="I401" s="186">
        <f t="shared" si="366"/>
        <v>0</v>
      </c>
      <c r="J401" s="186">
        <f t="shared" si="366"/>
        <v>2299.5030597035015</v>
      </c>
      <c r="K401" s="186">
        <f t="shared" si="366"/>
        <v>395.79644723217211</v>
      </c>
      <c r="L401" s="186">
        <f t="shared" si="366"/>
        <v>106.279119485075</v>
      </c>
      <c r="M401" s="186">
        <f t="shared" si="366"/>
        <v>0</v>
      </c>
      <c r="N401" s="186">
        <f t="shared" si="366"/>
        <v>0</v>
      </c>
      <c r="O401" s="186">
        <f t="shared" si="366"/>
        <v>0</v>
      </c>
      <c r="P401" s="186">
        <f t="shared" si="366"/>
        <v>0</v>
      </c>
      <c r="Q401" s="189">
        <f>SUM(G401:P401)</f>
        <v>124298.91667863679</v>
      </c>
    </row>
    <row r="402" spans="3:17" ht="18.75" x14ac:dyDescent="0.25">
      <c r="C402" s="143">
        <f t="shared" si="365"/>
        <v>1</v>
      </c>
      <c r="D402" s="150" t="s">
        <v>31</v>
      </c>
      <c r="E402" s="38"/>
      <c r="F402" s="167"/>
      <c r="G402" s="185"/>
      <c r="H402" s="185"/>
      <c r="I402" s="187"/>
      <c r="J402" s="188"/>
      <c r="K402" s="188"/>
      <c r="L402" s="188"/>
      <c r="M402" s="188"/>
      <c r="N402" s="188"/>
      <c r="O402" s="188"/>
      <c r="P402" s="188"/>
      <c r="Q402" s="171"/>
    </row>
    <row r="403" spans="3:17" ht="18.75" x14ac:dyDescent="0.3">
      <c r="C403" s="143">
        <f t="shared" si="365"/>
        <v>1</v>
      </c>
      <c r="D403" s="149" t="s">
        <v>118</v>
      </c>
      <c r="E403" s="38" t="s">
        <v>56</v>
      </c>
      <c r="F403" s="168">
        <f t="shared" ref="F403:P403" si="367">F$8*$E398</f>
        <v>0</v>
      </c>
      <c r="G403" s="186">
        <f t="shared" si="367"/>
        <v>0</v>
      </c>
      <c r="H403" s="186">
        <f t="shared" si="367"/>
        <v>0</v>
      </c>
      <c r="I403" s="186">
        <f t="shared" si="367"/>
        <v>0</v>
      </c>
      <c r="J403" s="186">
        <f t="shared" si="367"/>
        <v>0</v>
      </c>
      <c r="K403" s="186">
        <f t="shared" si="367"/>
        <v>0</v>
      </c>
      <c r="L403" s="186">
        <f t="shared" si="367"/>
        <v>0</v>
      </c>
      <c r="M403" s="186">
        <f t="shared" si="367"/>
        <v>0</v>
      </c>
      <c r="N403" s="186">
        <f t="shared" si="367"/>
        <v>0</v>
      </c>
      <c r="O403" s="186">
        <f t="shared" si="367"/>
        <v>0</v>
      </c>
      <c r="P403" s="186">
        <f t="shared" si="367"/>
        <v>0</v>
      </c>
      <c r="Q403" s="189">
        <f t="shared" ref="Q403:Q409" si="368">SUM(G403:P403)</f>
        <v>0</v>
      </c>
    </row>
    <row r="404" spans="3:17" ht="18.75" x14ac:dyDescent="0.3">
      <c r="C404" s="143">
        <f t="shared" si="365"/>
        <v>1</v>
      </c>
      <c r="D404" s="149" t="s">
        <v>119</v>
      </c>
      <c r="E404" s="38" t="s">
        <v>55</v>
      </c>
      <c r="F404" s="168">
        <f t="shared" ref="F404:P404" si="369">F$9*$E398</f>
        <v>0</v>
      </c>
      <c r="G404" s="186">
        <f t="shared" si="369"/>
        <v>0</v>
      </c>
      <c r="H404" s="186">
        <f t="shared" si="369"/>
        <v>0</v>
      </c>
      <c r="I404" s="186">
        <f t="shared" si="369"/>
        <v>0</v>
      </c>
      <c r="J404" s="186">
        <f t="shared" si="369"/>
        <v>0</v>
      </c>
      <c r="K404" s="186">
        <f t="shared" si="369"/>
        <v>0</v>
      </c>
      <c r="L404" s="186">
        <f t="shared" si="369"/>
        <v>0</v>
      </c>
      <c r="M404" s="186">
        <f t="shared" si="369"/>
        <v>0</v>
      </c>
      <c r="N404" s="186">
        <f t="shared" si="369"/>
        <v>0</v>
      </c>
      <c r="O404" s="186">
        <f t="shared" si="369"/>
        <v>0</v>
      </c>
      <c r="P404" s="186">
        <f t="shared" si="369"/>
        <v>0</v>
      </c>
      <c r="Q404" s="189">
        <f t="shared" si="368"/>
        <v>0</v>
      </c>
    </row>
    <row r="405" spans="3:17" ht="18.75" x14ac:dyDescent="0.3">
      <c r="C405" s="143">
        <f t="shared" si="365"/>
        <v>1</v>
      </c>
      <c r="D405" s="149" t="s">
        <v>120</v>
      </c>
      <c r="E405" s="38" t="s">
        <v>54</v>
      </c>
      <c r="F405" s="168">
        <f t="shared" ref="F405:P405" si="370">F$10*$E398</f>
        <v>0</v>
      </c>
      <c r="G405" s="186">
        <f t="shared" si="370"/>
        <v>0</v>
      </c>
      <c r="H405" s="186">
        <f t="shared" si="370"/>
        <v>0</v>
      </c>
      <c r="I405" s="186">
        <f t="shared" si="370"/>
        <v>0</v>
      </c>
      <c r="J405" s="186">
        <f t="shared" si="370"/>
        <v>0</v>
      </c>
      <c r="K405" s="186">
        <f t="shared" si="370"/>
        <v>0</v>
      </c>
      <c r="L405" s="186">
        <f t="shared" si="370"/>
        <v>0</v>
      </c>
      <c r="M405" s="186">
        <f t="shared" si="370"/>
        <v>0</v>
      </c>
      <c r="N405" s="186">
        <f t="shared" si="370"/>
        <v>0</v>
      </c>
      <c r="O405" s="186">
        <f t="shared" si="370"/>
        <v>0</v>
      </c>
      <c r="P405" s="186">
        <f t="shared" si="370"/>
        <v>0</v>
      </c>
      <c r="Q405" s="189">
        <f t="shared" si="368"/>
        <v>0</v>
      </c>
    </row>
    <row r="406" spans="3:17" ht="18.75" x14ac:dyDescent="0.3">
      <c r="C406" s="143">
        <f t="shared" si="365"/>
        <v>1</v>
      </c>
      <c r="D406" s="149" t="s">
        <v>121</v>
      </c>
      <c r="E406" s="38" t="s">
        <v>53</v>
      </c>
      <c r="F406" s="168">
        <f t="shared" ref="F406:P406" si="371">F$11*$E398</f>
        <v>0</v>
      </c>
      <c r="G406" s="186">
        <f t="shared" si="371"/>
        <v>0</v>
      </c>
      <c r="H406" s="186">
        <f t="shared" si="371"/>
        <v>0</v>
      </c>
      <c r="I406" s="186">
        <f t="shared" si="371"/>
        <v>0</v>
      </c>
      <c r="J406" s="186">
        <f t="shared" si="371"/>
        <v>0</v>
      </c>
      <c r="K406" s="186">
        <f t="shared" si="371"/>
        <v>0</v>
      </c>
      <c r="L406" s="186">
        <f t="shared" si="371"/>
        <v>0</v>
      </c>
      <c r="M406" s="186">
        <f t="shared" si="371"/>
        <v>0</v>
      </c>
      <c r="N406" s="186">
        <f t="shared" si="371"/>
        <v>0</v>
      </c>
      <c r="O406" s="186">
        <f t="shared" si="371"/>
        <v>0</v>
      </c>
      <c r="P406" s="186">
        <f t="shared" si="371"/>
        <v>0</v>
      </c>
      <c r="Q406" s="189">
        <f t="shared" si="368"/>
        <v>0</v>
      </c>
    </row>
    <row r="407" spans="3:17" ht="18.75" x14ac:dyDescent="0.3">
      <c r="C407" s="143">
        <f t="shared" si="365"/>
        <v>1</v>
      </c>
      <c r="D407" s="149" t="s">
        <v>122</v>
      </c>
      <c r="E407" s="38" t="s">
        <v>52</v>
      </c>
      <c r="F407" s="168">
        <f t="shared" ref="F407:P407" si="372">F$12*$E398</f>
        <v>0</v>
      </c>
      <c r="G407" s="186">
        <f t="shared" si="372"/>
        <v>0</v>
      </c>
      <c r="H407" s="186">
        <f t="shared" si="372"/>
        <v>0</v>
      </c>
      <c r="I407" s="186">
        <f t="shared" si="372"/>
        <v>0</v>
      </c>
      <c r="J407" s="186">
        <f t="shared" si="372"/>
        <v>0</v>
      </c>
      <c r="K407" s="186">
        <f t="shared" si="372"/>
        <v>0</v>
      </c>
      <c r="L407" s="186">
        <f t="shared" si="372"/>
        <v>0</v>
      </c>
      <c r="M407" s="186">
        <f t="shared" si="372"/>
        <v>0</v>
      </c>
      <c r="N407" s="186">
        <f t="shared" si="372"/>
        <v>0</v>
      </c>
      <c r="O407" s="186">
        <f t="shared" si="372"/>
        <v>0</v>
      </c>
      <c r="P407" s="186">
        <f t="shared" si="372"/>
        <v>0</v>
      </c>
      <c r="Q407" s="189">
        <f t="shared" si="368"/>
        <v>0</v>
      </c>
    </row>
    <row r="408" spans="3:17" ht="18.75" x14ac:dyDescent="0.3">
      <c r="C408" s="143">
        <f t="shared" si="365"/>
        <v>1</v>
      </c>
      <c r="D408" s="149" t="s">
        <v>123</v>
      </c>
      <c r="E408" s="38" t="s">
        <v>51</v>
      </c>
      <c r="F408" s="168">
        <f t="shared" ref="F408:P408" si="373">F$13*$E398</f>
        <v>0</v>
      </c>
      <c r="G408" s="186">
        <f t="shared" si="373"/>
        <v>0</v>
      </c>
      <c r="H408" s="186">
        <f t="shared" si="373"/>
        <v>0</v>
      </c>
      <c r="I408" s="186">
        <f t="shared" si="373"/>
        <v>0</v>
      </c>
      <c r="J408" s="186">
        <f t="shared" si="373"/>
        <v>0</v>
      </c>
      <c r="K408" s="186">
        <f t="shared" si="373"/>
        <v>0</v>
      </c>
      <c r="L408" s="186">
        <f t="shared" si="373"/>
        <v>0</v>
      </c>
      <c r="M408" s="186">
        <f t="shared" si="373"/>
        <v>0</v>
      </c>
      <c r="N408" s="186">
        <f t="shared" si="373"/>
        <v>0</v>
      </c>
      <c r="O408" s="186">
        <f t="shared" si="373"/>
        <v>0</v>
      </c>
      <c r="P408" s="186">
        <f t="shared" si="373"/>
        <v>0</v>
      </c>
      <c r="Q408" s="189">
        <f t="shared" si="368"/>
        <v>0</v>
      </c>
    </row>
    <row r="409" spans="3:17" ht="19.5" thickBot="1" x14ac:dyDescent="0.35">
      <c r="C409" s="143">
        <f t="shared" si="365"/>
        <v>1</v>
      </c>
      <c r="D409" s="149" t="s">
        <v>16</v>
      </c>
      <c r="E409" s="37" t="s">
        <v>50</v>
      </c>
      <c r="F409" s="168">
        <f t="shared" ref="F409:P409" si="374">F$14*$E398</f>
        <v>3.9737999951373895</v>
      </c>
      <c r="G409" s="186">
        <f t="shared" si="374"/>
        <v>7171.9269438152805</v>
      </c>
      <c r="H409" s="186">
        <f t="shared" si="374"/>
        <v>139.74941713756036</v>
      </c>
      <c r="I409" s="186">
        <f t="shared" si="374"/>
        <v>0</v>
      </c>
      <c r="J409" s="186">
        <f t="shared" si="374"/>
        <v>0</v>
      </c>
      <c r="K409" s="186">
        <f t="shared" si="374"/>
        <v>500.7815401240868</v>
      </c>
      <c r="L409" s="186">
        <f t="shared" si="374"/>
        <v>0</v>
      </c>
      <c r="M409" s="186">
        <f t="shared" si="374"/>
        <v>0.26878700034391484</v>
      </c>
      <c r="N409" s="186">
        <f t="shared" si="374"/>
        <v>0</v>
      </c>
      <c r="O409" s="186">
        <f t="shared" si="374"/>
        <v>0</v>
      </c>
      <c r="P409" s="186">
        <f t="shared" si="374"/>
        <v>452.77730180849835</v>
      </c>
      <c r="Q409" s="189">
        <f t="shared" si="368"/>
        <v>8265.5039898857704</v>
      </c>
    </row>
    <row r="410" spans="3:17" ht="19.5" thickBot="1" x14ac:dyDescent="0.3">
      <c r="C410" s="143">
        <f t="shared" si="365"/>
        <v>1</v>
      </c>
      <c r="D410" s="148" t="s">
        <v>124</v>
      </c>
      <c r="E410" s="147" t="s">
        <v>49</v>
      </c>
      <c r="F410" s="169">
        <f t="shared" ref="F410:Q410" si="375">SUBTOTAL(9,F401:F409)</f>
        <v>63.732894552174308</v>
      </c>
      <c r="G410" s="170">
        <f t="shared" si="375"/>
        <v>126864.81763258658</v>
      </c>
      <c r="H410" s="170">
        <f t="shared" si="375"/>
        <v>1944.196780582294</v>
      </c>
      <c r="I410" s="170">
        <f t="shared" si="375"/>
        <v>0</v>
      </c>
      <c r="J410" s="170">
        <f t="shared" si="375"/>
        <v>2299.5030597035015</v>
      </c>
      <c r="K410" s="170">
        <f t="shared" ref="K410:P410" si="376">SUBTOTAL(9,K401:K409)</f>
        <v>896.57798735625897</v>
      </c>
      <c r="L410" s="170">
        <f t="shared" si="376"/>
        <v>106.279119485075</v>
      </c>
      <c r="M410" s="170">
        <f t="shared" si="376"/>
        <v>0.26878700034391484</v>
      </c>
      <c r="N410" s="170">
        <f t="shared" si="376"/>
        <v>0</v>
      </c>
      <c r="O410" s="170">
        <f t="shared" si="376"/>
        <v>0</v>
      </c>
      <c r="P410" s="170">
        <f t="shared" si="376"/>
        <v>452.77730180849835</v>
      </c>
      <c r="Q410" s="170">
        <f t="shared" si="375"/>
        <v>132564.42066852257</v>
      </c>
    </row>
    <row r="411" spans="3:17" ht="15.75" hidden="1" thickBot="1" x14ac:dyDescent="0.3"/>
    <row r="412" spans="3:17" ht="45" x14ac:dyDescent="0.25">
      <c r="C412" s="143">
        <f>IF(E412&gt;0,1,0)</f>
        <v>1</v>
      </c>
      <c r="D412" s="163" t="str">
        <f>A32</f>
        <v>Montgomery</v>
      </c>
      <c r="E412" s="166">
        <f>SUMIF(A:A,D412,B:B)</f>
        <v>5.4683471425666123E-3</v>
      </c>
      <c r="F412" s="509" t="s">
        <v>97</v>
      </c>
      <c r="G412" s="509" t="s">
        <v>126</v>
      </c>
      <c r="H412" s="509" t="s">
        <v>127</v>
      </c>
      <c r="I412" s="508" t="s">
        <v>128</v>
      </c>
      <c r="J412" s="508" t="s">
        <v>487</v>
      </c>
      <c r="K412" s="508" t="s">
        <v>474</v>
      </c>
      <c r="L412" s="508" t="s">
        <v>475</v>
      </c>
      <c r="M412" s="508" t="s">
        <v>476</v>
      </c>
      <c r="N412" s="508" t="s">
        <v>477</v>
      </c>
      <c r="O412" s="508" t="s">
        <v>478</v>
      </c>
      <c r="P412" s="508" t="s">
        <v>479</v>
      </c>
      <c r="Q412" s="508" t="s">
        <v>129</v>
      </c>
    </row>
    <row r="413" spans="3:17" ht="18.75" x14ac:dyDescent="0.25">
      <c r="C413" s="143">
        <f>C412</f>
        <v>1</v>
      </c>
      <c r="D413" s="160"/>
      <c r="E413" s="159"/>
      <c r="F413" s="49" t="s">
        <v>57</v>
      </c>
      <c r="G413" s="49" t="s">
        <v>56</v>
      </c>
      <c r="H413" s="49" t="s">
        <v>55</v>
      </c>
      <c r="I413" s="49" t="s">
        <v>54</v>
      </c>
      <c r="J413" s="58" t="s">
        <v>53</v>
      </c>
      <c r="K413" s="49" t="s">
        <v>52</v>
      </c>
      <c r="L413" s="49" t="s">
        <v>51</v>
      </c>
      <c r="M413" s="49" t="s">
        <v>50</v>
      </c>
      <c r="N413" s="49" t="s">
        <v>49</v>
      </c>
      <c r="O413" s="49" t="s">
        <v>47</v>
      </c>
      <c r="P413" s="49" t="s">
        <v>77</v>
      </c>
      <c r="Q413" s="573" t="s">
        <v>78</v>
      </c>
    </row>
    <row r="414" spans="3:17" ht="18.75" x14ac:dyDescent="0.25">
      <c r="C414" s="143">
        <f>C413</f>
        <v>1</v>
      </c>
      <c r="D414" s="158" t="s">
        <v>26</v>
      </c>
      <c r="E414" s="157"/>
      <c r="F414" s="156"/>
      <c r="G414" s="156"/>
      <c r="H414" s="156"/>
      <c r="I414" s="155"/>
      <c r="J414" s="154"/>
      <c r="K414" s="154"/>
      <c r="L414" s="154"/>
      <c r="M414" s="154"/>
      <c r="N414" s="154"/>
      <c r="O414" s="154"/>
      <c r="P414" s="154"/>
      <c r="Q414" s="153"/>
    </row>
    <row r="415" spans="3:17" ht="18.75" x14ac:dyDescent="0.25">
      <c r="C415" s="143">
        <f t="shared" ref="C415:C424" si="377">C414</f>
        <v>1</v>
      </c>
      <c r="D415" s="152" t="s">
        <v>105</v>
      </c>
      <c r="E415" s="38" t="s">
        <v>57</v>
      </c>
      <c r="F415" s="168">
        <f t="shared" ref="F415:P415" si="378">F$6*$E412</f>
        <v>10.225904616063387</v>
      </c>
      <c r="G415" s="186">
        <f t="shared" si="378"/>
        <v>20481.703956141162</v>
      </c>
      <c r="H415" s="186">
        <f t="shared" si="378"/>
        <v>308.77486950009495</v>
      </c>
      <c r="I415" s="186">
        <f t="shared" si="378"/>
        <v>0</v>
      </c>
      <c r="J415" s="186">
        <f t="shared" si="378"/>
        <v>393.48820672693699</v>
      </c>
      <c r="K415" s="186">
        <f t="shared" si="378"/>
        <v>67.728213534258771</v>
      </c>
      <c r="L415" s="186">
        <f t="shared" si="378"/>
        <v>18.186355509390911</v>
      </c>
      <c r="M415" s="186">
        <f t="shared" si="378"/>
        <v>0</v>
      </c>
      <c r="N415" s="186">
        <f t="shared" si="378"/>
        <v>0</v>
      </c>
      <c r="O415" s="186">
        <f t="shared" si="378"/>
        <v>0</v>
      </c>
      <c r="P415" s="186">
        <f t="shared" si="378"/>
        <v>0</v>
      </c>
      <c r="Q415" s="189">
        <f>SUM(G415:P415)</f>
        <v>21269.881601411842</v>
      </c>
    </row>
    <row r="416" spans="3:17" ht="18.75" x14ac:dyDescent="0.25">
      <c r="C416" s="143">
        <f t="shared" si="377"/>
        <v>1</v>
      </c>
      <c r="D416" s="150" t="s">
        <v>31</v>
      </c>
      <c r="E416" s="38"/>
      <c r="F416" s="167"/>
      <c r="G416" s="185"/>
      <c r="H416" s="185"/>
      <c r="I416" s="187"/>
      <c r="J416" s="188"/>
      <c r="K416" s="188"/>
      <c r="L416" s="188"/>
      <c r="M416" s="188"/>
      <c r="N416" s="188"/>
      <c r="O416" s="188"/>
      <c r="P416" s="188"/>
      <c r="Q416" s="171"/>
    </row>
    <row r="417" spans="3:17" ht="18.75" x14ac:dyDescent="0.3">
      <c r="C417" s="143">
        <f t="shared" si="377"/>
        <v>1</v>
      </c>
      <c r="D417" s="149" t="s">
        <v>118</v>
      </c>
      <c r="E417" s="38" t="s">
        <v>56</v>
      </c>
      <c r="F417" s="168">
        <f t="shared" ref="F417:P417" si="379">F$8*$E412</f>
        <v>0</v>
      </c>
      <c r="G417" s="186">
        <f t="shared" si="379"/>
        <v>0</v>
      </c>
      <c r="H417" s="186">
        <f t="shared" si="379"/>
        <v>0</v>
      </c>
      <c r="I417" s="186">
        <f t="shared" si="379"/>
        <v>0</v>
      </c>
      <c r="J417" s="186">
        <f t="shared" si="379"/>
        <v>0</v>
      </c>
      <c r="K417" s="186">
        <f t="shared" si="379"/>
        <v>0</v>
      </c>
      <c r="L417" s="186">
        <f t="shared" si="379"/>
        <v>0</v>
      </c>
      <c r="M417" s="186">
        <f t="shared" si="379"/>
        <v>0</v>
      </c>
      <c r="N417" s="186">
        <f t="shared" si="379"/>
        <v>0</v>
      </c>
      <c r="O417" s="186">
        <f t="shared" si="379"/>
        <v>0</v>
      </c>
      <c r="P417" s="186">
        <f t="shared" si="379"/>
        <v>0</v>
      </c>
      <c r="Q417" s="189">
        <f t="shared" ref="Q417:Q423" si="380">SUM(G417:P417)</f>
        <v>0</v>
      </c>
    </row>
    <row r="418" spans="3:17" ht="18.75" x14ac:dyDescent="0.3">
      <c r="C418" s="143">
        <f t="shared" si="377"/>
        <v>1</v>
      </c>
      <c r="D418" s="149" t="s">
        <v>119</v>
      </c>
      <c r="E418" s="38" t="s">
        <v>55</v>
      </c>
      <c r="F418" s="168">
        <f t="shared" ref="F418:P418" si="381">F$9*$E412</f>
        <v>0</v>
      </c>
      <c r="G418" s="186">
        <f t="shared" si="381"/>
        <v>0</v>
      </c>
      <c r="H418" s="186">
        <f t="shared" si="381"/>
        <v>0</v>
      </c>
      <c r="I418" s="186">
        <f t="shared" si="381"/>
        <v>0</v>
      </c>
      <c r="J418" s="186">
        <f t="shared" si="381"/>
        <v>0</v>
      </c>
      <c r="K418" s="186">
        <f t="shared" si="381"/>
        <v>0</v>
      </c>
      <c r="L418" s="186">
        <f t="shared" si="381"/>
        <v>0</v>
      </c>
      <c r="M418" s="186">
        <f t="shared" si="381"/>
        <v>0</v>
      </c>
      <c r="N418" s="186">
        <f t="shared" si="381"/>
        <v>0</v>
      </c>
      <c r="O418" s="186">
        <f t="shared" si="381"/>
        <v>0</v>
      </c>
      <c r="P418" s="186">
        <f t="shared" si="381"/>
        <v>0</v>
      </c>
      <c r="Q418" s="189">
        <f t="shared" si="380"/>
        <v>0</v>
      </c>
    </row>
    <row r="419" spans="3:17" ht="18.75" x14ac:dyDescent="0.3">
      <c r="C419" s="143">
        <f t="shared" si="377"/>
        <v>1</v>
      </c>
      <c r="D419" s="149" t="s">
        <v>120</v>
      </c>
      <c r="E419" s="38" t="s">
        <v>54</v>
      </c>
      <c r="F419" s="168">
        <f t="shared" ref="F419:P419" si="382">F$10*$E412</f>
        <v>0</v>
      </c>
      <c r="G419" s="186">
        <f t="shared" si="382"/>
        <v>0</v>
      </c>
      <c r="H419" s="186">
        <f t="shared" si="382"/>
        <v>0</v>
      </c>
      <c r="I419" s="186">
        <f t="shared" si="382"/>
        <v>0</v>
      </c>
      <c r="J419" s="186">
        <f t="shared" si="382"/>
        <v>0</v>
      </c>
      <c r="K419" s="186">
        <f t="shared" si="382"/>
        <v>0</v>
      </c>
      <c r="L419" s="186">
        <f t="shared" si="382"/>
        <v>0</v>
      </c>
      <c r="M419" s="186">
        <f t="shared" si="382"/>
        <v>0</v>
      </c>
      <c r="N419" s="186">
        <f t="shared" si="382"/>
        <v>0</v>
      </c>
      <c r="O419" s="186">
        <f t="shared" si="382"/>
        <v>0</v>
      </c>
      <c r="P419" s="186">
        <f t="shared" si="382"/>
        <v>0</v>
      </c>
      <c r="Q419" s="189">
        <f t="shared" si="380"/>
        <v>0</v>
      </c>
    </row>
    <row r="420" spans="3:17" ht="18.75" x14ac:dyDescent="0.3">
      <c r="C420" s="143">
        <f t="shared" si="377"/>
        <v>1</v>
      </c>
      <c r="D420" s="149" t="s">
        <v>121</v>
      </c>
      <c r="E420" s="38" t="s">
        <v>53</v>
      </c>
      <c r="F420" s="168">
        <f t="shared" ref="F420:P420" si="383">F$11*$E412</f>
        <v>0</v>
      </c>
      <c r="G420" s="186">
        <f t="shared" si="383"/>
        <v>0</v>
      </c>
      <c r="H420" s="186">
        <f t="shared" si="383"/>
        <v>0</v>
      </c>
      <c r="I420" s="186">
        <f t="shared" si="383"/>
        <v>0</v>
      </c>
      <c r="J420" s="186">
        <f t="shared" si="383"/>
        <v>0</v>
      </c>
      <c r="K420" s="186">
        <f t="shared" si="383"/>
        <v>0</v>
      </c>
      <c r="L420" s="186">
        <f t="shared" si="383"/>
        <v>0</v>
      </c>
      <c r="M420" s="186">
        <f t="shared" si="383"/>
        <v>0</v>
      </c>
      <c r="N420" s="186">
        <f t="shared" si="383"/>
        <v>0</v>
      </c>
      <c r="O420" s="186">
        <f t="shared" si="383"/>
        <v>0</v>
      </c>
      <c r="P420" s="186">
        <f t="shared" si="383"/>
        <v>0</v>
      </c>
      <c r="Q420" s="189">
        <f t="shared" si="380"/>
        <v>0</v>
      </c>
    </row>
    <row r="421" spans="3:17" ht="18.75" x14ac:dyDescent="0.3">
      <c r="C421" s="143">
        <f t="shared" si="377"/>
        <v>1</v>
      </c>
      <c r="D421" s="149" t="s">
        <v>122</v>
      </c>
      <c r="E421" s="38" t="s">
        <v>52</v>
      </c>
      <c r="F421" s="168">
        <f t="shared" ref="F421:P421" si="384">F$12*$E412</f>
        <v>0</v>
      </c>
      <c r="G421" s="186">
        <f t="shared" si="384"/>
        <v>0</v>
      </c>
      <c r="H421" s="186">
        <f t="shared" si="384"/>
        <v>0</v>
      </c>
      <c r="I421" s="186">
        <f t="shared" si="384"/>
        <v>0</v>
      </c>
      <c r="J421" s="186">
        <f t="shared" si="384"/>
        <v>0</v>
      </c>
      <c r="K421" s="186">
        <f t="shared" si="384"/>
        <v>0</v>
      </c>
      <c r="L421" s="186">
        <f t="shared" si="384"/>
        <v>0</v>
      </c>
      <c r="M421" s="186">
        <f t="shared" si="384"/>
        <v>0</v>
      </c>
      <c r="N421" s="186">
        <f t="shared" si="384"/>
        <v>0</v>
      </c>
      <c r="O421" s="186">
        <f t="shared" si="384"/>
        <v>0</v>
      </c>
      <c r="P421" s="186">
        <f t="shared" si="384"/>
        <v>0</v>
      </c>
      <c r="Q421" s="189">
        <f t="shared" si="380"/>
        <v>0</v>
      </c>
    </row>
    <row r="422" spans="3:17" ht="18.75" x14ac:dyDescent="0.3">
      <c r="C422" s="143">
        <f t="shared" si="377"/>
        <v>1</v>
      </c>
      <c r="D422" s="149" t="s">
        <v>123</v>
      </c>
      <c r="E422" s="38" t="s">
        <v>51</v>
      </c>
      <c r="F422" s="168">
        <f t="shared" ref="F422:P422" si="385">F$13*$E412</f>
        <v>0</v>
      </c>
      <c r="G422" s="186">
        <f t="shared" si="385"/>
        <v>0</v>
      </c>
      <c r="H422" s="186">
        <f t="shared" si="385"/>
        <v>0</v>
      </c>
      <c r="I422" s="186">
        <f t="shared" si="385"/>
        <v>0</v>
      </c>
      <c r="J422" s="186">
        <f t="shared" si="385"/>
        <v>0</v>
      </c>
      <c r="K422" s="186">
        <f t="shared" si="385"/>
        <v>0</v>
      </c>
      <c r="L422" s="186">
        <f t="shared" si="385"/>
        <v>0</v>
      </c>
      <c r="M422" s="186">
        <f t="shared" si="385"/>
        <v>0</v>
      </c>
      <c r="N422" s="186">
        <f t="shared" si="385"/>
        <v>0</v>
      </c>
      <c r="O422" s="186">
        <f t="shared" si="385"/>
        <v>0</v>
      </c>
      <c r="P422" s="186">
        <f t="shared" si="385"/>
        <v>0</v>
      </c>
      <c r="Q422" s="189">
        <f t="shared" si="380"/>
        <v>0</v>
      </c>
    </row>
    <row r="423" spans="3:17" ht="19.5" thickBot="1" x14ac:dyDescent="0.35">
      <c r="C423" s="143">
        <f t="shared" si="377"/>
        <v>1</v>
      </c>
      <c r="D423" s="149" t="s">
        <v>16</v>
      </c>
      <c r="E423" s="37" t="s">
        <v>50</v>
      </c>
      <c r="F423" s="168">
        <f t="shared" ref="F423:P423" si="386">F$14*$E412</f>
        <v>0.6799918910217666</v>
      </c>
      <c r="G423" s="186">
        <f t="shared" si="386"/>
        <v>1227.25154027947</v>
      </c>
      <c r="H423" s="186">
        <f t="shared" si="386"/>
        <v>23.913752716503755</v>
      </c>
      <c r="I423" s="186">
        <f t="shared" si="386"/>
        <v>0</v>
      </c>
      <c r="J423" s="186">
        <f t="shared" si="386"/>
        <v>0</v>
      </c>
      <c r="K423" s="186">
        <f t="shared" si="386"/>
        <v>85.693136764422675</v>
      </c>
      <c r="L423" s="186">
        <f t="shared" si="386"/>
        <v>0</v>
      </c>
      <c r="M423" s="186">
        <f t="shared" si="386"/>
        <v>4.5994509253002233E-2</v>
      </c>
      <c r="N423" s="186">
        <f t="shared" si="386"/>
        <v>0</v>
      </c>
      <c r="O423" s="186">
        <f t="shared" si="386"/>
        <v>0</v>
      </c>
      <c r="P423" s="186">
        <f t="shared" si="386"/>
        <v>77.478709055625032</v>
      </c>
      <c r="Q423" s="189">
        <f t="shared" si="380"/>
        <v>1414.3831333252745</v>
      </c>
    </row>
    <row r="424" spans="3:17" ht="19.5" thickBot="1" x14ac:dyDescent="0.3">
      <c r="C424" s="143">
        <f t="shared" si="377"/>
        <v>1</v>
      </c>
      <c r="D424" s="148" t="s">
        <v>124</v>
      </c>
      <c r="E424" s="147" t="s">
        <v>49</v>
      </c>
      <c r="F424" s="169">
        <f t="shared" ref="F424:Q424" si="387">SUBTOTAL(9,F415:F423)</f>
        <v>10.905896507085153</v>
      </c>
      <c r="G424" s="170">
        <f t="shared" si="387"/>
        <v>21708.955496420633</v>
      </c>
      <c r="H424" s="170">
        <f t="shared" si="387"/>
        <v>332.68862221659873</v>
      </c>
      <c r="I424" s="170">
        <f t="shared" si="387"/>
        <v>0</v>
      </c>
      <c r="J424" s="170">
        <f t="shared" si="387"/>
        <v>393.48820672693699</v>
      </c>
      <c r="K424" s="170">
        <f t="shared" ref="K424:P424" si="388">SUBTOTAL(9,K415:K423)</f>
        <v>153.42135029868143</v>
      </c>
      <c r="L424" s="170">
        <f t="shared" si="388"/>
        <v>18.186355509390911</v>
      </c>
      <c r="M424" s="170">
        <f t="shared" si="388"/>
        <v>4.5994509253002233E-2</v>
      </c>
      <c r="N424" s="170">
        <f t="shared" si="388"/>
        <v>0</v>
      </c>
      <c r="O424" s="170">
        <f t="shared" si="388"/>
        <v>0</v>
      </c>
      <c r="P424" s="170">
        <f t="shared" si="388"/>
        <v>77.478709055625032</v>
      </c>
      <c r="Q424" s="170">
        <f t="shared" si="387"/>
        <v>22684.264734737117</v>
      </c>
    </row>
    <row r="425" spans="3:17" ht="15.75" hidden="1" thickBot="1" x14ac:dyDescent="0.3"/>
    <row r="426" spans="3:17" ht="45" x14ac:dyDescent="0.25">
      <c r="C426" s="143">
        <f>IF(E426&gt;0,1,0)</f>
        <v>1</v>
      </c>
      <c r="D426" s="163" t="str">
        <f>A33</f>
        <v>Nassau</v>
      </c>
      <c r="E426" s="166">
        <f>SUMIF(A:A,D426,B:B)</f>
        <v>5.1693236147688171E-2</v>
      </c>
      <c r="F426" s="509" t="s">
        <v>97</v>
      </c>
      <c r="G426" s="509" t="s">
        <v>126</v>
      </c>
      <c r="H426" s="509" t="s">
        <v>127</v>
      </c>
      <c r="I426" s="508" t="s">
        <v>128</v>
      </c>
      <c r="J426" s="508" t="s">
        <v>487</v>
      </c>
      <c r="K426" s="508" t="s">
        <v>474</v>
      </c>
      <c r="L426" s="508" t="s">
        <v>475</v>
      </c>
      <c r="M426" s="508" t="s">
        <v>476</v>
      </c>
      <c r="N426" s="508" t="s">
        <v>477</v>
      </c>
      <c r="O426" s="508" t="s">
        <v>478</v>
      </c>
      <c r="P426" s="508" t="s">
        <v>479</v>
      </c>
      <c r="Q426" s="508" t="s">
        <v>129</v>
      </c>
    </row>
    <row r="427" spans="3:17" ht="18.75" x14ac:dyDescent="0.25">
      <c r="C427" s="143">
        <f>C426</f>
        <v>1</v>
      </c>
      <c r="D427" s="160"/>
      <c r="E427" s="159"/>
      <c r="F427" s="49" t="s">
        <v>57</v>
      </c>
      <c r="G427" s="49" t="s">
        <v>56</v>
      </c>
      <c r="H427" s="49" t="s">
        <v>55</v>
      </c>
      <c r="I427" s="49" t="s">
        <v>54</v>
      </c>
      <c r="J427" s="58" t="s">
        <v>53</v>
      </c>
      <c r="K427" s="49" t="s">
        <v>52</v>
      </c>
      <c r="L427" s="49" t="s">
        <v>51</v>
      </c>
      <c r="M427" s="49" t="s">
        <v>50</v>
      </c>
      <c r="N427" s="49" t="s">
        <v>49</v>
      </c>
      <c r="O427" s="49" t="s">
        <v>47</v>
      </c>
      <c r="P427" s="49" t="s">
        <v>77</v>
      </c>
      <c r="Q427" s="573" t="s">
        <v>78</v>
      </c>
    </row>
    <row r="428" spans="3:17" ht="18.75" x14ac:dyDescent="0.25">
      <c r="C428" s="143">
        <f>C427</f>
        <v>1</v>
      </c>
      <c r="D428" s="158" t="s">
        <v>26</v>
      </c>
      <c r="E428" s="157"/>
      <c r="F428" s="156"/>
      <c r="G428" s="156"/>
      <c r="H428" s="156"/>
      <c r="I428" s="155"/>
      <c r="J428" s="154"/>
      <c r="K428" s="154"/>
      <c r="L428" s="154"/>
      <c r="M428" s="154"/>
      <c r="N428" s="154"/>
      <c r="O428" s="154"/>
      <c r="P428" s="154"/>
      <c r="Q428" s="153"/>
    </row>
    <row r="429" spans="3:17" ht="18.75" x14ac:dyDescent="0.25">
      <c r="C429" s="143">
        <f t="shared" ref="C429:C438" si="389">C428</f>
        <v>1</v>
      </c>
      <c r="D429" s="152" t="s">
        <v>105</v>
      </c>
      <c r="E429" s="38" t="s">
        <v>57</v>
      </c>
      <c r="F429" s="168">
        <f t="shared" ref="F429:P429" si="390">F$6*$E426</f>
        <v>96.667253991082916</v>
      </c>
      <c r="G429" s="186">
        <f t="shared" si="390"/>
        <v>193617.10800512641</v>
      </c>
      <c r="H429" s="186">
        <f t="shared" si="390"/>
        <v>2918.9025183299382</v>
      </c>
      <c r="I429" s="186">
        <f t="shared" si="390"/>
        <v>0</v>
      </c>
      <c r="J429" s="186">
        <f t="shared" si="390"/>
        <v>3719.7124215707408</v>
      </c>
      <c r="K429" s="186">
        <f t="shared" si="390"/>
        <v>640.24657630719184</v>
      </c>
      <c r="L429" s="186">
        <f t="shared" si="390"/>
        <v>171.91878011817394</v>
      </c>
      <c r="M429" s="186">
        <f t="shared" si="390"/>
        <v>0</v>
      </c>
      <c r="N429" s="186">
        <f t="shared" si="390"/>
        <v>0</v>
      </c>
      <c r="O429" s="186">
        <f t="shared" si="390"/>
        <v>0</v>
      </c>
      <c r="P429" s="186">
        <f t="shared" si="390"/>
        <v>0</v>
      </c>
      <c r="Q429" s="189">
        <f>SUM(G429:P429)</f>
        <v>201067.88830145245</v>
      </c>
    </row>
    <row r="430" spans="3:17" ht="18.75" x14ac:dyDescent="0.25">
      <c r="C430" s="143">
        <f t="shared" si="389"/>
        <v>1</v>
      </c>
      <c r="D430" s="150" t="s">
        <v>31</v>
      </c>
      <c r="E430" s="38"/>
      <c r="F430" s="167"/>
      <c r="G430" s="185"/>
      <c r="H430" s="185"/>
      <c r="I430" s="187"/>
      <c r="J430" s="188"/>
      <c r="K430" s="188"/>
      <c r="L430" s="188"/>
      <c r="M430" s="188"/>
      <c r="N430" s="188"/>
      <c r="O430" s="188"/>
      <c r="P430" s="188"/>
      <c r="Q430" s="171"/>
    </row>
    <row r="431" spans="3:17" ht="18.75" x14ac:dyDescent="0.3">
      <c r="C431" s="143">
        <f t="shared" si="389"/>
        <v>1</v>
      </c>
      <c r="D431" s="149" t="s">
        <v>118</v>
      </c>
      <c r="E431" s="38" t="s">
        <v>56</v>
      </c>
      <c r="F431" s="168">
        <f t="shared" ref="F431:P431" si="391">F$8*$E426</f>
        <v>0</v>
      </c>
      <c r="G431" s="186">
        <f t="shared" si="391"/>
        <v>0</v>
      </c>
      <c r="H431" s="186">
        <f t="shared" si="391"/>
        <v>0</v>
      </c>
      <c r="I431" s="186">
        <f t="shared" si="391"/>
        <v>0</v>
      </c>
      <c r="J431" s="186">
        <f t="shared" si="391"/>
        <v>0</v>
      </c>
      <c r="K431" s="186">
        <f t="shared" si="391"/>
        <v>0</v>
      </c>
      <c r="L431" s="186">
        <f t="shared" si="391"/>
        <v>0</v>
      </c>
      <c r="M431" s="186">
        <f t="shared" si="391"/>
        <v>0</v>
      </c>
      <c r="N431" s="186">
        <f t="shared" si="391"/>
        <v>0</v>
      </c>
      <c r="O431" s="186">
        <f t="shared" si="391"/>
        <v>0</v>
      </c>
      <c r="P431" s="186">
        <f t="shared" si="391"/>
        <v>0</v>
      </c>
      <c r="Q431" s="189">
        <f t="shared" ref="Q431:Q437" si="392">SUM(G431:P431)</f>
        <v>0</v>
      </c>
    </row>
    <row r="432" spans="3:17" ht="18.75" x14ac:dyDescent="0.3">
      <c r="C432" s="143">
        <f t="shared" si="389"/>
        <v>1</v>
      </c>
      <c r="D432" s="149" t="s">
        <v>119</v>
      </c>
      <c r="E432" s="38" t="s">
        <v>55</v>
      </c>
      <c r="F432" s="168">
        <f t="shared" ref="F432:P432" si="393">F$9*$E426</f>
        <v>0</v>
      </c>
      <c r="G432" s="186">
        <f t="shared" si="393"/>
        <v>0</v>
      </c>
      <c r="H432" s="186">
        <f t="shared" si="393"/>
        <v>0</v>
      </c>
      <c r="I432" s="186">
        <f t="shared" si="393"/>
        <v>0</v>
      </c>
      <c r="J432" s="186">
        <f t="shared" si="393"/>
        <v>0</v>
      </c>
      <c r="K432" s="186">
        <f t="shared" si="393"/>
        <v>0</v>
      </c>
      <c r="L432" s="186">
        <f t="shared" si="393"/>
        <v>0</v>
      </c>
      <c r="M432" s="186">
        <f t="shared" si="393"/>
        <v>0</v>
      </c>
      <c r="N432" s="186">
        <f t="shared" si="393"/>
        <v>0</v>
      </c>
      <c r="O432" s="186">
        <f t="shared" si="393"/>
        <v>0</v>
      </c>
      <c r="P432" s="186">
        <f t="shared" si="393"/>
        <v>0</v>
      </c>
      <c r="Q432" s="189">
        <f t="shared" si="392"/>
        <v>0</v>
      </c>
    </row>
    <row r="433" spans="3:17" ht="18.75" x14ac:dyDescent="0.3">
      <c r="C433" s="143">
        <f t="shared" si="389"/>
        <v>1</v>
      </c>
      <c r="D433" s="149" t="s">
        <v>120</v>
      </c>
      <c r="E433" s="38" t="s">
        <v>54</v>
      </c>
      <c r="F433" s="168">
        <f t="shared" ref="F433:P433" si="394">F$10*$E426</f>
        <v>0</v>
      </c>
      <c r="G433" s="186">
        <f t="shared" si="394"/>
        <v>0</v>
      </c>
      <c r="H433" s="186">
        <f t="shared" si="394"/>
        <v>0</v>
      </c>
      <c r="I433" s="186">
        <f t="shared" si="394"/>
        <v>0</v>
      </c>
      <c r="J433" s="186">
        <f t="shared" si="394"/>
        <v>0</v>
      </c>
      <c r="K433" s="186">
        <f t="shared" si="394"/>
        <v>0</v>
      </c>
      <c r="L433" s="186">
        <f t="shared" si="394"/>
        <v>0</v>
      </c>
      <c r="M433" s="186">
        <f t="shared" si="394"/>
        <v>0</v>
      </c>
      <c r="N433" s="186">
        <f t="shared" si="394"/>
        <v>0</v>
      </c>
      <c r="O433" s="186">
        <f t="shared" si="394"/>
        <v>0</v>
      </c>
      <c r="P433" s="186">
        <f t="shared" si="394"/>
        <v>0</v>
      </c>
      <c r="Q433" s="189">
        <f t="shared" si="392"/>
        <v>0</v>
      </c>
    </row>
    <row r="434" spans="3:17" ht="18.75" x14ac:dyDescent="0.3">
      <c r="C434" s="143">
        <f t="shared" si="389"/>
        <v>1</v>
      </c>
      <c r="D434" s="149" t="s">
        <v>121</v>
      </c>
      <c r="E434" s="38" t="s">
        <v>53</v>
      </c>
      <c r="F434" s="168">
        <f t="shared" ref="F434:P434" si="395">F$11*$E426</f>
        <v>0</v>
      </c>
      <c r="G434" s="186">
        <f t="shared" si="395"/>
        <v>0</v>
      </c>
      <c r="H434" s="186">
        <f t="shared" si="395"/>
        <v>0</v>
      </c>
      <c r="I434" s="186">
        <f t="shared" si="395"/>
        <v>0</v>
      </c>
      <c r="J434" s="186">
        <f t="shared" si="395"/>
        <v>0</v>
      </c>
      <c r="K434" s="186">
        <f t="shared" si="395"/>
        <v>0</v>
      </c>
      <c r="L434" s="186">
        <f t="shared" si="395"/>
        <v>0</v>
      </c>
      <c r="M434" s="186">
        <f t="shared" si="395"/>
        <v>0</v>
      </c>
      <c r="N434" s="186">
        <f t="shared" si="395"/>
        <v>0</v>
      </c>
      <c r="O434" s="186">
        <f t="shared" si="395"/>
        <v>0</v>
      </c>
      <c r="P434" s="186">
        <f t="shared" si="395"/>
        <v>0</v>
      </c>
      <c r="Q434" s="189">
        <f t="shared" si="392"/>
        <v>0</v>
      </c>
    </row>
    <row r="435" spans="3:17" ht="18.75" x14ac:dyDescent="0.3">
      <c r="C435" s="143">
        <f t="shared" si="389"/>
        <v>1</v>
      </c>
      <c r="D435" s="149" t="s">
        <v>122</v>
      </c>
      <c r="E435" s="38" t="s">
        <v>52</v>
      </c>
      <c r="F435" s="168">
        <f t="shared" ref="F435:P435" si="396">F$12*$E426</f>
        <v>0</v>
      </c>
      <c r="G435" s="186">
        <f t="shared" si="396"/>
        <v>0</v>
      </c>
      <c r="H435" s="186">
        <f t="shared" si="396"/>
        <v>0</v>
      </c>
      <c r="I435" s="186">
        <f t="shared" si="396"/>
        <v>0</v>
      </c>
      <c r="J435" s="186">
        <f t="shared" si="396"/>
        <v>0</v>
      </c>
      <c r="K435" s="186">
        <f t="shared" si="396"/>
        <v>0</v>
      </c>
      <c r="L435" s="186">
        <f t="shared" si="396"/>
        <v>0</v>
      </c>
      <c r="M435" s="186">
        <f t="shared" si="396"/>
        <v>0</v>
      </c>
      <c r="N435" s="186">
        <f t="shared" si="396"/>
        <v>0</v>
      </c>
      <c r="O435" s="186">
        <f t="shared" si="396"/>
        <v>0</v>
      </c>
      <c r="P435" s="186">
        <f t="shared" si="396"/>
        <v>0</v>
      </c>
      <c r="Q435" s="189">
        <f t="shared" si="392"/>
        <v>0</v>
      </c>
    </row>
    <row r="436" spans="3:17" ht="18.75" x14ac:dyDescent="0.3">
      <c r="C436" s="143">
        <f t="shared" si="389"/>
        <v>1</v>
      </c>
      <c r="D436" s="149" t="s">
        <v>123</v>
      </c>
      <c r="E436" s="38" t="s">
        <v>51</v>
      </c>
      <c r="F436" s="168">
        <f t="shared" ref="F436:P436" si="397">F$13*$E426</f>
        <v>0</v>
      </c>
      <c r="G436" s="186">
        <f t="shared" si="397"/>
        <v>0</v>
      </c>
      <c r="H436" s="186">
        <f t="shared" si="397"/>
        <v>0</v>
      </c>
      <c r="I436" s="186">
        <f t="shared" si="397"/>
        <v>0</v>
      </c>
      <c r="J436" s="186">
        <f t="shared" si="397"/>
        <v>0</v>
      </c>
      <c r="K436" s="186">
        <f t="shared" si="397"/>
        <v>0</v>
      </c>
      <c r="L436" s="186">
        <f t="shared" si="397"/>
        <v>0</v>
      </c>
      <c r="M436" s="186">
        <f t="shared" si="397"/>
        <v>0</v>
      </c>
      <c r="N436" s="186">
        <f t="shared" si="397"/>
        <v>0</v>
      </c>
      <c r="O436" s="186">
        <f t="shared" si="397"/>
        <v>0</v>
      </c>
      <c r="P436" s="186">
        <f t="shared" si="397"/>
        <v>0</v>
      </c>
      <c r="Q436" s="189">
        <f t="shared" si="392"/>
        <v>0</v>
      </c>
    </row>
    <row r="437" spans="3:17" ht="19.5" thickBot="1" x14ac:dyDescent="0.35">
      <c r="C437" s="143">
        <f t="shared" si="389"/>
        <v>1</v>
      </c>
      <c r="D437" s="149" t="s">
        <v>16</v>
      </c>
      <c r="E437" s="37" t="s">
        <v>50</v>
      </c>
      <c r="F437" s="168">
        <f t="shared" ref="F437:P437" si="398">F$14*$E426</f>
        <v>6.4280815545669308</v>
      </c>
      <c r="G437" s="186">
        <f t="shared" si="398"/>
        <v>11601.422153770642</v>
      </c>
      <c r="H437" s="186">
        <f t="shared" si="398"/>
        <v>226.06086155887999</v>
      </c>
      <c r="I437" s="186">
        <f t="shared" si="398"/>
        <v>0</v>
      </c>
      <c r="J437" s="186">
        <f t="shared" si="398"/>
        <v>0</v>
      </c>
      <c r="K437" s="186">
        <f t="shared" si="398"/>
        <v>810.07211859638812</v>
      </c>
      <c r="L437" s="186">
        <f t="shared" si="398"/>
        <v>0</v>
      </c>
      <c r="M437" s="186">
        <f t="shared" si="398"/>
        <v>0.43479409158295046</v>
      </c>
      <c r="N437" s="186">
        <f t="shared" si="398"/>
        <v>0</v>
      </c>
      <c r="O437" s="186">
        <f t="shared" si="398"/>
        <v>0</v>
      </c>
      <c r="P437" s="186">
        <f t="shared" si="398"/>
        <v>732.41970548172128</v>
      </c>
      <c r="Q437" s="189">
        <f t="shared" si="392"/>
        <v>13370.409633499215</v>
      </c>
    </row>
    <row r="438" spans="3:17" ht="19.5" thickBot="1" x14ac:dyDescent="0.3">
      <c r="C438" s="143">
        <f t="shared" si="389"/>
        <v>1</v>
      </c>
      <c r="D438" s="148" t="s">
        <v>124</v>
      </c>
      <c r="E438" s="147" t="s">
        <v>49</v>
      </c>
      <c r="F438" s="169">
        <f t="shared" ref="F438:Q438" si="399">SUBTOTAL(9,F429:F437)</f>
        <v>103.09533554564985</v>
      </c>
      <c r="G438" s="170">
        <f t="shared" si="399"/>
        <v>205218.53015889705</v>
      </c>
      <c r="H438" s="170">
        <f t="shared" si="399"/>
        <v>3144.9633798888181</v>
      </c>
      <c r="I438" s="170">
        <f t="shared" si="399"/>
        <v>0</v>
      </c>
      <c r="J438" s="170">
        <f t="shared" si="399"/>
        <v>3719.7124215707408</v>
      </c>
      <c r="K438" s="170">
        <f t="shared" ref="K438:P438" si="400">SUBTOTAL(9,K429:K437)</f>
        <v>1450.3186949035799</v>
      </c>
      <c r="L438" s="170">
        <f t="shared" si="400"/>
        <v>171.91878011817394</v>
      </c>
      <c r="M438" s="170">
        <f t="shared" si="400"/>
        <v>0.43479409158295046</v>
      </c>
      <c r="N438" s="170">
        <f t="shared" si="400"/>
        <v>0</v>
      </c>
      <c r="O438" s="170">
        <f t="shared" si="400"/>
        <v>0</v>
      </c>
      <c r="P438" s="170">
        <f t="shared" si="400"/>
        <v>732.41970548172128</v>
      </c>
      <c r="Q438" s="170">
        <f t="shared" si="399"/>
        <v>214438.29793495167</v>
      </c>
    </row>
    <row r="439" spans="3:17" ht="15.75" hidden="1" thickBot="1" x14ac:dyDescent="0.3"/>
    <row r="440" spans="3:17" ht="45" x14ac:dyDescent="0.25">
      <c r="C440" s="143">
        <f>IF(E440&gt;0,1,0)</f>
        <v>1</v>
      </c>
      <c r="D440" s="163" t="str">
        <f>A34</f>
        <v>New York</v>
      </c>
      <c r="E440" s="166">
        <f>SUMIF(A:A,D440,B:B)</f>
        <v>6.8695669215824678E-2</v>
      </c>
      <c r="F440" s="509" t="s">
        <v>97</v>
      </c>
      <c r="G440" s="509" t="s">
        <v>126</v>
      </c>
      <c r="H440" s="509" t="s">
        <v>127</v>
      </c>
      <c r="I440" s="508" t="s">
        <v>128</v>
      </c>
      <c r="J440" s="508" t="s">
        <v>487</v>
      </c>
      <c r="K440" s="508" t="s">
        <v>474</v>
      </c>
      <c r="L440" s="508" t="s">
        <v>475</v>
      </c>
      <c r="M440" s="508" t="s">
        <v>476</v>
      </c>
      <c r="N440" s="508" t="s">
        <v>477</v>
      </c>
      <c r="O440" s="508" t="s">
        <v>478</v>
      </c>
      <c r="P440" s="508" t="s">
        <v>479</v>
      </c>
      <c r="Q440" s="508" t="s">
        <v>129</v>
      </c>
    </row>
    <row r="441" spans="3:17" ht="18.75" x14ac:dyDescent="0.25">
      <c r="C441" s="143">
        <f>C440</f>
        <v>1</v>
      </c>
      <c r="D441" s="160"/>
      <c r="E441" s="159"/>
      <c r="F441" s="49" t="s">
        <v>57</v>
      </c>
      <c r="G441" s="49" t="s">
        <v>56</v>
      </c>
      <c r="H441" s="49" t="s">
        <v>55</v>
      </c>
      <c r="I441" s="49" t="s">
        <v>54</v>
      </c>
      <c r="J441" s="58" t="s">
        <v>53</v>
      </c>
      <c r="K441" s="49" t="s">
        <v>52</v>
      </c>
      <c r="L441" s="49" t="s">
        <v>51</v>
      </c>
      <c r="M441" s="49" t="s">
        <v>50</v>
      </c>
      <c r="N441" s="49" t="s">
        <v>49</v>
      </c>
      <c r="O441" s="49" t="s">
        <v>47</v>
      </c>
      <c r="P441" s="49" t="s">
        <v>77</v>
      </c>
      <c r="Q441" s="573" t="s">
        <v>78</v>
      </c>
    </row>
    <row r="442" spans="3:17" ht="18.75" x14ac:dyDescent="0.25">
      <c r="C442" s="143">
        <f>C441</f>
        <v>1</v>
      </c>
      <c r="D442" s="158" t="s">
        <v>26</v>
      </c>
      <c r="E442" s="157"/>
      <c r="F442" s="156"/>
      <c r="G442" s="156"/>
      <c r="H442" s="156"/>
      <c r="I442" s="155"/>
      <c r="J442" s="154"/>
      <c r="K442" s="154"/>
      <c r="L442" s="154"/>
      <c r="M442" s="154"/>
      <c r="N442" s="154"/>
      <c r="O442" s="154"/>
      <c r="P442" s="154"/>
      <c r="Q442" s="153"/>
    </row>
    <row r="443" spans="3:17" ht="18.75" x14ac:dyDescent="0.25">
      <c r="C443" s="143">
        <f t="shared" ref="C443:C452" si="401">C442</f>
        <v>1</v>
      </c>
      <c r="D443" s="152" t="s">
        <v>105</v>
      </c>
      <c r="E443" s="38" t="s">
        <v>57</v>
      </c>
      <c r="F443" s="168">
        <f t="shared" ref="F443:P443" si="402">F$6*$E440</f>
        <v>128.46210063539468</v>
      </c>
      <c r="G443" s="186">
        <f t="shared" si="402"/>
        <v>257299.75132616254</v>
      </c>
      <c r="H443" s="186">
        <f t="shared" si="402"/>
        <v>3878.9593535903737</v>
      </c>
      <c r="I443" s="186">
        <f t="shared" si="402"/>
        <v>0</v>
      </c>
      <c r="J443" s="186">
        <f t="shared" si="402"/>
        <v>4943.1638089008584</v>
      </c>
      <c r="K443" s="186">
        <f t="shared" si="402"/>
        <v>850.83021107259651</v>
      </c>
      <c r="L443" s="186">
        <f t="shared" si="402"/>
        <v>228.46462189452893</v>
      </c>
      <c r="M443" s="186">
        <f t="shared" si="402"/>
        <v>0</v>
      </c>
      <c r="N443" s="186">
        <f t="shared" si="402"/>
        <v>0</v>
      </c>
      <c r="O443" s="186">
        <f t="shared" si="402"/>
        <v>0</v>
      </c>
      <c r="P443" s="186">
        <f t="shared" si="402"/>
        <v>0</v>
      </c>
      <c r="Q443" s="189">
        <f>SUM(G443:P443)</f>
        <v>267201.1693216209</v>
      </c>
    </row>
    <row r="444" spans="3:17" ht="18.75" x14ac:dyDescent="0.25">
      <c r="C444" s="143">
        <f t="shared" si="401"/>
        <v>1</v>
      </c>
      <c r="D444" s="150" t="s">
        <v>31</v>
      </c>
      <c r="E444" s="38"/>
      <c r="F444" s="167"/>
      <c r="G444" s="185"/>
      <c r="H444" s="185"/>
      <c r="I444" s="187"/>
      <c r="J444" s="188"/>
      <c r="K444" s="188"/>
      <c r="L444" s="188"/>
      <c r="M444" s="188"/>
      <c r="N444" s="188"/>
      <c r="O444" s="188"/>
      <c r="P444" s="188"/>
      <c r="Q444" s="171"/>
    </row>
    <row r="445" spans="3:17" ht="18.75" x14ac:dyDescent="0.3">
      <c r="C445" s="143">
        <f t="shared" si="401"/>
        <v>1</v>
      </c>
      <c r="D445" s="149" t="s">
        <v>118</v>
      </c>
      <c r="E445" s="38" t="s">
        <v>56</v>
      </c>
      <c r="F445" s="168">
        <f t="shared" ref="F445:P445" si="403">F$8*$E440</f>
        <v>0</v>
      </c>
      <c r="G445" s="186">
        <f t="shared" si="403"/>
        <v>0</v>
      </c>
      <c r="H445" s="186">
        <f t="shared" si="403"/>
        <v>0</v>
      </c>
      <c r="I445" s="186">
        <f t="shared" si="403"/>
        <v>0</v>
      </c>
      <c r="J445" s="186">
        <f t="shared" si="403"/>
        <v>0</v>
      </c>
      <c r="K445" s="186">
        <f t="shared" si="403"/>
        <v>0</v>
      </c>
      <c r="L445" s="186">
        <f t="shared" si="403"/>
        <v>0</v>
      </c>
      <c r="M445" s="186">
        <f t="shared" si="403"/>
        <v>0</v>
      </c>
      <c r="N445" s="186">
        <f t="shared" si="403"/>
        <v>0</v>
      </c>
      <c r="O445" s="186">
        <f t="shared" si="403"/>
        <v>0</v>
      </c>
      <c r="P445" s="186">
        <f t="shared" si="403"/>
        <v>0</v>
      </c>
      <c r="Q445" s="189">
        <f t="shared" ref="Q445:Q451" si="404">SUM(G445:P445)</f>
        <v>0</v>
      </c>
    </row>
    <row r="446" spans="3:17" ht="18.75" x14ac:dyDescent="0.3">
      <c r="C446" s="143">
        <f t="shared" si="401"/>
        <v>1</v>
      </c>
      <c r="D446" s="149" t="s">
        <v>119</v>
      </c>
      <c r="E446" s="38" t="s">
        <v>55</v>
      </c>
      <c r="F446" s="168">
        <f t="shared" ref="F446:P446" si="405">F$9*$E440</f>
        <v>0</v>
      </c>
      <c r="G446" s="186">
        <f t="shared" si="405"/>
        <v>0</v>
      </c>
      <c r="H446" s="186">
        <f t="shared" si="405"/>
        <v>0</v>
      </c>
      <c r="I446" s="186">
        <f t="shared" si="405"/>
        <v>0</v>
      </c>
      <c r="J446" s="186">
        <f t="shared" si="405"/>
        <v>0</v>
      </c>
      <c r="K446" s="186">
        <f t="shared" si="405"/>
        <v>0</v>
      </c>
      <c r="L446" s="186">
        <f t="shared" si="405"/>
        <v>0</v>
      </c>
      <c r="M446" s="186">
        <f t="shared" si="405"/>
        <v>0</v>
      </c>
      <c r="N446" s="186">
        <f t="shared" si="405"/>
        <v>0</v>
      </c>
      <c r="O446" s="186">
        <f t="shared" si="405"/>
        <v>0</v>
      </c>
      <c r="P446" s="186">
        <f t="shared" si="405"/>
        <v>0</v>
      </c>
      <c r="Q446" s="189">
        <f t="shared" si="404"/>
        <v>0</v>
      </c>
    </row>
    <row r="447" spans="3:17" ht="18.75" x14ac:dyDescent="0.3">
      <c r="C447" s="143">
        <f t="shared" si="401"/>
        <v>1</v>
      </c>
      <c r="D447" s="149" t="s">
        <v>120</v>
      </c>
      <c r="E447" s="38" t="s">
        <v>54</v>
      </c>
      <c r="F447" s="168">
        <f t="shared" ref="F447:P447" si="406">F$10*$E440</f>
        <v>0</v>
      </c>
      <c r="G447" s="186">
        <f t="shared" si="406"/>
        <v>0</v>
      </c>
      <c r="H447" s="186">
        <f t="shared" si="406"/>
        <v>0</v>
      </c>
      <c r="I447" s="186">
        <f t="shared" si="406"/>
        <v>0</v>
      </c>
      <c r="J447" s="186">
        <f t="shared" si="406"/>
        <v>0</v>
      </c>
      <c r="K447" s="186">
        <f t="shared" si="406"/>
        <v>0</v>
      </c>
      <c r="L447" s="186">
        <f t="shared" si="406"/>
        <v>0</v>
      </c>
      <c r="M447" s="186">
        <f t="shared" si="406"/>
        <v>0</v>
      </c>
      <c r="N447" s="186">
        <f t="shared" si="406"/>
        <v>0</v>
      </c>
      <c r="O447" s="186">
        <f t="shared" si="406"/>
        <v>0</v>
      </c>
      <c r="P447" s="186">
        <f t="shared" si="406"/>
        <v>0</v>
      </c>
      <c r="Q447" s="189">
        <f t="shared" si="404"/>
        <v>0</v>
      </c>
    </row>
    <row r="448" spans="3:17" ht="18.75" x14ac:dyDescent="0.3">
      <c r="C448" s="143">
        <f t="shared" si="401"/>
        <v>1</v>
      </c>
      <c r="D448" s="149" t="s">
        <v>121</v>
      </c>
      <c r="E448" s="38" t="s">
        <v>53</v>
      </c>
      <c r="F448" s="168">
        <f t="shared" ref="F448:P448" si="407">F$11*$E440</f>
        <v>0</v>
      </c>
      <c r="G448" s="186">
        <f t="shared" si="407"/>
        <v>0</v>
      </c>
      <c r="H448" s="186">
        <f t="shared" si="407"/>
        <v>0</v>
      </c>
      <c r="I448" s="186">
        <f t="shared" si="407"/>
        <v>0</v>
      </c>
      <c r="J448" s="186">
        <f t="shared" si="407"/>
        <v>0</v>
      </c>
      <c r="K448" s="186">
        <f t="shared" si="407"/>
        <v>0</v>
      </c>
      <c r="L448" s="186">
        <f t="shared" si="407"/>
        <v>0</v>
      </c>
      <c r="M448" s="186">
        <f t="shared" si="407"/>
        <v>0</v>
      </c>
      <c r="N448" s="186">
        <f t="shared" si="407"/>
        <v>0</v>
      </c>
      <c r="O448" s="186">
        <f t="shared" si="407"/>
        <v>0</v>
      </c>
      <c r="P448" s="186">
        <f t="shared" si="407"/>
        <v>0</v>
      </c>
      <c r="Q448" s="189">
        <f t="shared" si="404"/>
        <v>0</v>
      </c>
    </row>
    <row r="449" spans="3:17" ht="18.75" x14ac:dyDescent="0.3">
      <c r="C449" s="143">
        <f t="shared" si="401"/>
        <v>1</v>
      </c>
      <c r="D449" s="149" t="s">
        <v>122</v>
      </c>
      <c r="E449" s="38" t="s">
        <v>52</v>
      </c>
      <c r="F449" s="168">
        <f t="shared" ref="F449:P449" si="408">F$12*$E440</f>
        <v>0</v>
      </c>
      <c r="G449" s="186">
        <f t="shared" si="408"/>
        <v>0</v>
      </c>
      <c r="H449" s="186">
        <f t="shared" si="408"/>
        <v>0</v>
      </c>
      <c r="I449" s="186">
        <f t="shared" si="408"/>
        <v>0</v>
      </c>
      <c r="J449" s="186">
        <f t="shared" si="408"/>
        <v>0</v>
      </c>
      <c r="K449" s="186">
        <f t="shared" si="408"/>
        <v>0</v>
      </c>
      <c r="L449" s="186">
        <f t="shared" si="408"/>
        <v>0</v>
      </c>
      <c r="M449" s="186">
        <f t="shared" si="408"/>
        <v>0</v>
      </c>
      <c r="N449" s="186">
        <f t="shared" si="408"/>
        <v>0</v>
      </c>
      <c r="O449" s="186">
        <f t="shared" si="408"/>
        <v>0</v>
      </c>
      <c r="P449" s="186">
        <f t="shared" si="408"/>
        <v>0</v>
      </c>
      <c r="Q449" s="189">
        <f t="shared" si="404"/>
        <v>0</v>
      </c>
    </row>
    <row r="450" spans="3:17" ht="18.75" x14ac:dyDescent="0.3">
      <c r="C450" s="143">
        <f t="shared" si="401"/>
        <v>1</v>
      </c>
      <c r="D450" s="149" t="s">
        <v>123</v>
      </c>
      <c r="E450" s="38" t="s">
        <v>51</v>
      </c>
      <c r="F450" s="168">
        <f t="shared" ref="F450:P450" si="409">F$13*$E440</f>
        <v>0</v>
      </c>
      <c r="G450" s="186">
        <f t="shared" si="409"/>
        <v>0</v>
      </c>
      <c r="H450" s="186">
        <f t="shared" si="409"/>
        <v>0</v>
      </c>
      <c r="I450" s="186">
        <f t="shared" si="409"/>
        <v>0</v>
      </c>
      <c r="J450" s="186">
        <f t="shared" si="409"/>
        <v>0</v>
      </c>
      <c r="K450" s="186">
        <f t="shared" si="409"/>
        <v>0</v>
      </c>
      <c r="L450" s="186">
        <f t="shared" si="409"/>
        <v>0</v>
      </c>
      <c r="M450" s="186">
        <f t="shared" si="409"/>
        <v>0</v>
      </c>
      <c r="N450" s="186">
        <f t="shared" si="409"/>
        <v>0</v>
      </c>
      <c r="O450" s="186">
        <f t="shared" si="409"/>
        <v>0</v>
      </c>
      <c r="P450" s="186">
        <f t="shared" si="409"/>
        <v>0</v>
      </c>
      <c r="Q450" s="189">
        <f t="shared" si="404"/>
        <v>0</v>
      </c>
    </row>
    <row r="451" spans="3:17" ht="19.5" thickBot="1" x14ac:dyDescent="0.35">
      <c r="C451" s="143">
        <f t="shared" si="401"/>
        <v>1</v>
      </c>
      <c r="D451" s="149" t="s">
        <v>16</v>
      </c>
      <c r="E451" s="37" t="s">
        <v>50</v>
      </c>
      <c r="F451" s="168">
        <f t="shared" ref="F451:P451" si="410">F$14*$E440</f>
        <v>8.5423431975369244</v>
      </c>
      <c r="G451" s="186">
        <f t="shared" si="410"/>
        <v>15417.248330741437</v>
      </c>
      <c r="H451" s="186">
        <f t="shared" si="410"/>
        <v>300.41458661874981</v>
      </c>
      <c r="I451" s="186">
        <f t="shared" si="410"/>
        <v>0</v>
      </c>
      <c r="J451" s="186">
        <f t="shared" si="410"/>
        <v>0</v>
      </c>
      <c r="K451" s="186">
        <f t="shared" si="410"/>
        <v>1076.5131078478337</v>
      </c>
      <c r="L451" s="186">
        <f t="shared" si="410"/>
        <v>0</v>
      </c>
      <c r="M451" s="186">
        <f t="shared" si="410"/>
        <v>0.57780230680553213</v>
      </c>
      <c r="N451" s="186">
        <f t="shared" si="410"/>
        <v>0</v>
      </c>
      <c r="O451" s="186">
        <f t="shared" si="410"/>
        <v>0</v>
      </c>
      <c r="P451" s="186">
        <f t="shared" si="410"/>
        <v>973.32002336197729</v>
      </c>
      <c r="Q451" s="189">
        <f t="shared" si="404"/>
        <v>17768.073850876804</v>
      </c>
    </row>
    <row r="452" spans="3:17" ht="19.5" thickBot="1" x14ac:dyDescent="0.3">
      <c r="C452" s="143">
        <f t="shared" si="401"/>
        <v>1</v>
      </c>
      <c r="D452" s="148" t="s">
        <v>124</v>
      </c>
      <c r="E452" s="147" t="s">
        <v>49</v>
      </c>
      <c r="F452" s="169">
        <f t="shared" ref="F452:Q452" si="411">SUBTOTAL(9,F443:F451)</f>
        <v>137.0044438329316</v>
      </c>
      <c r="G452" s="170">
        <f t="shared" si="411"/>
        <v>272716.99965690396</v>
      </c>
      <c r="H452" s="170">
        <f t="shared" si="411"/>
        <v>4179.3739402091232</v>
      </c>
      <c r="I452" s="170">
        <f t="shared" si="411"/>
        <v>0</v>
      </c>
      <c r="J452" s="170">
        <f t="shared" si="411"/>
        <v>4943.1638089008584</v>
      </c>
      <c r="K452" s="170">
        <f t="shared" ref="K452:P452" si="412">SUBTOTAL(9,K443:K451)</f>
        <v>1927.3433189204302</v>
      </c>
      <c r="L452" s="170">
        <f t="shared" si="412"/>
        <v>228.46462189452893</v>
      </c>
      <c r="M452" s="170">
        <f t="shared" si="412"/>
        <v>0.57780230680553213</v>
      </c>
      <c r="N452" s="170">
        <f t="shared" si="412"/>
        <v>0</v>
      </c>
      <c r="O452" s="170">
        <f t="shared" si="412"/>
        <v>0</v>
      </c>
      <c r="P452" s="170">
        <f t="shared" si="412"/>
        <v>973.32002336197729</v>
      </c>
      <c r="Q452" s="170">
        <f t="shared" si="411"/>
        <v>284969.24317249772</v>
      </c>
    </row>
    <row r="453" spans="3:17" ht="15.75" hidden="1" thickBot="1" x14ac:dyDescent="0.3"/>
    <row r="454" spans="3:17" ht="45" x14ac:dyDescent="0.25">
      <c r="C454" s="143">
        <f>IF(E454&gt;0,1,0)</f>
        <v>1</v>
      </c>
      <c r="D454" s="163" t="str">
        <f>A35</f>
        <v>Niagara</v>
      </c>
      <c r="E454" s="166">
        <f>SUMIF(A:A,D454,B:B)</f>
        <v>5.8328093760351305E-3</v>
      </c>
      <c r="F454" s="509" t="s">
        <v>97</v>
      </c>
      <c r="G454" s="509" t="s">
        <v>126</v>
      </c>
      <c r="H454" s="509" t="s">
        <v>127</v>
      </c>
      <c r="I454" s="508" t="s">
        <v>128</v>
      </c>
      <c r="J454" s="508" t="s">
        <v>487</v>
      </c>
      <c r="K454" s="508" t="s">
        <v>474</v>
      </c>
      <c r="L454" s="508" t="s">
        <v>475</v>
      </c>
      <c r="M454" s="508" t="s">
        <v>476</v>
      </c>
      <c r="N454" s="508" t="s">
        <v>477</v>
      </c>
      <c r="O454" s="508" t="s">
        <v>478</v>
      </c>
      <c r="P454" s="508" t="s">
        <v>479</v>
      </c>
      <c r="Q454" s="508" t="s">
        <v>129</v>
      </c>
    </row>
    <row r="455" spans="3:17" ht="18.75" x14ac:dyDescent="0.25">
      <c r="C455" s="143">
        <f>C454</f>
        <v>1</v>
      </c>
      <c r="D455" s="160"/>
      <c r="E455" s="159"/>
      <c r="F455" s="49" t="s">
        <v>57</v>
      </c>
      <c r="G455" s="49" t="s">
        <v>56</v>
      </c>
      <c r="H455" s="49" t="s">
        <v>55</v>
      </c>
      <c r="I455" s="49" t="s">
        <v>54</v>
      </c>
      <c r="J455" s="58" t="s">
        <v>53</v>
      </c>
      <c r="K455" s="49" t="s">
        <v>52</v>
      </c>
      <c r="L455" s="49" t="s">
        <v>51</v>
      </c>
      <c r="M455" s="49" t="s">
        <v>50</v>
      </c>
      <c r="N455" s="49" t="s">
        <v>49</v>
      </c>
      <c r="O455" s="49" t="s">
        <v>47</v>
      </c>
      <c r="P455" s="49" t="s">
        <v>77</v>
      </c>
      <c r="Q455" s="573" t="s">
        <v>78</v>
      </c>
    </row>
    <row r="456" spans="3:17" ht="18.75" x14ac:dyDescent="0.25">
      <c r="C456" s="143">
        <f>C455</f>
        <v>1</v>
      </c>
      <c r="D456" s="158" t="s">
        <v>26</v>
      </c>
      <c r="E456" s="157"/>
      <c r="F456" s="156"/>
      <c r="G456" s="156"/>
      <c r="H456" s="156"/>
      <c r="I456" s="155"/>
      <c r="J456" s="154"/>
      <c r="K456" s="154"/>
      <c r="L456" s="154"/>
      <c r="M456" s="154"/>
      <c r="N456" s="154"/>
      <c r="O456" s="154"/>
      <c r="P456" s="154"/>
      <c r="Q456" s="153"/>
    </row>
    <row r="457" spans="3:17" ht="18.75" x14ac:dyDescent="0.25">
      <c r="C457" s="143">
        <f t="shared" ref="C457:C466" si="413">C456</f>
        <v>1</v>
      </c>
      <c r="D457" s="152" t="s">
        <v>105</v>
      </c>
      <c r="E457" s="38" t="s">
        <v>57</v>
      </c>
      <c r="F457" s="168">
        <f t="shared" ref="F457:P457" si="414">F$6*$E454</f>
        <v>10.907455354968601</v>
      </c>
      <c r="G457" s="186">
        <f t="shared" si="414"/>
        <v>21846.797900340272</v>
      </c>
      <c r="H457" s="186">
        <f t="shared" si="414"/>
        <v>329.35453930579325</v>
      </c>
      <c r="I457" s="186">
        <f t="shared" si="414"/>
        <v>0</v>
      </c>
      <c r="J457" s="186">
        <f t="shared" si="414"/>
        <v>419.71397237939152</v>
      </c>
      <c r="K457" s="186">
        <f t="shared" si="414"/>
        <v>72.242260526883115</v>
      </c>
      <c r="L457" s="186">
        <f t="shared" si="414"/>
        <v>19.398465782348836</v>
      </c>
      <c r="M457" s="186">
        <f t="shared" si="414"/>
        <v>0</v>
      </c>
      <c r="N457" s="186">
        <f t="shared" si="414"/>
        <v>0</v>
      </c>
      <c r="O457" s="186">
        <f t="shared" si="414"/>
        <v>0</v>
      </c>
      <c r="P457" s="186">
        <f t="shared" si="414"/>
        <v>0</v>
      </c>
      <c r="Q457" s="189">
        <f>SUM(G457:P457)</f>
        <v>22687.507138334691</v>
      </c>
    </row>
    <row r="458" spans="3:17" ht="18.75" x14ac:dyDescent="0.25">
      <c r="C458" s="143">
        <f t="shared" si="413"/>
        <v>1</v>
      </c>
      <c r="D458" s="150" t="s">
        <v>31</v>
      </c>
      <c r="E458" s="38"/>
      <c r="F458" s="167"/>
      <c r="G458" s="185"/>
      <c r="H458" s="185"/>
      <c r="I458" s="187"/>
      <c r="J458" s="188"/>
      <c r="K458" s="188"/>
      <c r="L458" s="188"/>
      <c r="M458" s="188"/>
      <c r="N458" s="188"/>
      <c r="O458" s="188"/>
      <c r="P458" s="188"/>
      <c r="Q458" s="171"/>
    </row>
    <row r="459" spans="3:17" ht="18.75" x14ac:dyDescent="0.3">
      <c r="C459" s="143">
        <f t="shared" si="413"/>
        <v>1</v>
      </c>
      <c r="D459" s="149" t="s">
        <v>118</v>
      </c>
      <c r="E459" s="38" t="s">
        <v>56</v>
      </c>
      <c r="F459" s="168">
        <f t="shared" ref="F459:P459" si="415">F$8*$E454</f>
        <v>0</v>
      </c>
      <c r="G459" s="186">
        <f t="shared" si="415"/>
        <v>0</v>
      </c>
      <c r="H459" s="186">
        <f t="shared" si="415"/>
        <v>0</v>
      </c>
      <c r="I459" s="186">
        <f t="shared" si="415"/>
        <v>0</v>
      </c>
      <c r="J459" s="186">
        <f t="shared" si="415"/>
        <v>0</v>
      </c>
      <c r="K459" s="186">
        <f t="shared" si="415"/>
        <v>0</v>
      </c>
      <c r="L459" s="186">
        <f t="shared" si="415"/>
        <v>0</v>
      </c>
      <c r="M459" s="186">
        <f t="shared" si="415"/>
        <v>0</v>
      </c>
      <c r="N459" s="186">
        <f t="shared" si="415"/>
        <v>0</v>
      </c>
      <c r="O459" s="186">
        <f t="shared" si="415"/>
        <v>0</v>
      </c>
      <c r="P459" s="186">
        <f t="shared" si="415"/>
        <v>0</v>
      </c>
      <c r="Q459" s="189">
        <f t="shared" ref="Q459:Q465" si="416">SUM(G459:P459)</f>
        <v>0</v>
      </c>
    </row>
    <row r="460" spans="3:17" ht="18.75" x14ac:dyDescent="0.3">
      <c r="C460" s="143">
        <f t="shared" si="413"/>
        <v>1</v>
      </c>
      <c r="D460" s="149" t="s">
        <v>119</v>
      </c>
      <c r="E460" s="38" t="s">
        <v>55</v>
      </c>
      <c r="F460" s="168">
        <f t="shared" ref="F460:P460" si="417">F$9*$E454</f>
        <v>0</v>
      </c>
      <c r="G460" s="186">
        <f t="shared" si="417"/>
        <v>0</v>
      </c>
      <c r="H460" s="186">
        <f t="shared" si="417"/>
        <v>0</v>
      </c>
      <c r="I460" s="186">
        <f t="shared" si="417"/>
        <v>0</v>
      </c>
      <c r="J460" s="186">
        <f t="shared" si="417"/>
        <v>0</v>
      </c>
      <c r="K460" s="186">
        <f t="shared" si="417"/>
        <v>0</v>
      </c>
      <c r="L460" s="186">
        <f t="shared" si="417"/>
        <v>0</v>
      </c>
      <c r="M460" s="186">
        <f t="shared" si="417"/>
        <v>0</v>
      </c>
      <c r="N460" s="186">
        <f t="shared" si="417"/>
        <v>0</v>
      </c>
      <c r="O460" s="186">
        <f t="shared" si="417"/>
        <v>0</v>
      </c>
      <c r="P460" s="186">
        <f t="shared" si="417"/>
        <v>0</v>
      </c>
      <c r="Q460" s="189">
        <f t="shared" si="416"/>
        <v>0</v>
      </c>
    </row>
    <row r="461" spans="3:17" ht="18.75" x14ac:dyDescent="0.3">
      <c r="C461" s="143">
        <f t="shared" si="413"/>
        <v>1</v>
      </c>
      <c r="D461" s="149" t="s">
        <v>120</v>
      </c>
      <c r="E461" s="38" t="s">
        <v>54</v>
      </c>
      <c r="F461" s="168">
        <f t="shared" ref="F461:P461" si="418">F$10*$E454</f>
        <v>0</v>
      </c>
      <c r="G461" s="186">
        <f t="shared" si="418"/>
        <v>0</v>
      </c>
      <c r="H461" s="186">
        <f t="shared" si="418"/>
        <v>0</v>
      </c>
      <c r="I461" s="186">
        <f t="shared" si="418"/>
        <v>0</v>
      </c>
      <c r="J461" s="186">
        <f t="shared" si="418"/>
        <v>0</v>
      </c>
      <c r="K461" s="186">
        <f t="shared" si="418"/>
        <v>0</v>
      </c>
      <c r="L461" s="186">
        <f t="shared" si="418"/>
        <v>0</v>
      </c>
      <c r="M461" s="186">
        <f t="shared" si="418"/>
        <v>0</v>
      </c>
      <c r="N461" s="186">
        <f t="shared" si="418"/>
        <v>0</v>
      </c>
      <c r="O461" s="186">
        <f t="shared" si="418"/>
        <v>0</v>
      </c>
      <c r="P461" s="186">
        <f t="shared" si="418"/>
        <v>0</v>
      </c>
      <c r="Q461" s="189">
        <f t="shared" si="416"/>
        <v>0</v>
      </c>
    </row>
    <row r="462" spans="3:17" ht="18.75" x14ac:dyDescent="0.3">
      <c r="C462" s="143">
        <f t="shared" si="413"/>
        <v>1</v>
      </c>
      <c r="D462" s="149" t="s">
        <v>121</v>
      </c>
      <c r="E462" s="38" t="s">
        <v>53</v>
      </c>
      <c r="F462" s="168">
        <f t="shared" ref="F462:P462" si="419">F$11*$E454</f>
        <v>0</v>
      </c>
      <c r="G462" s="186">
        <f t="shared" si="419"/>
        <v>0</v>
      </c>
      <c r="H462" s="186">
        <f t="shared" si="419"/>
        <v>0</v>
      </c>
      <c r="I462" s="186">
        <f t="shared" si="419"/>
        <v>0</v>
      </c>
      <c r="J462" s="186">
        <f t="shared" si="419"/>
        <v>0</v>
      </c>
      <c r="K462" s="186">
        <f t="shared" si="419"/>
        <v>0</v>
      </c>
      <c r="L462" s="186">
        <f t="shared" si="419"/>
        <v>0</v>
      </c>
      <c r="M462" s="186">
        <f t="shared" si="419"/>
        <v>0</v>
      </c>
      <c r="N462" s="186">
        <f t="shared" si="419"/>
        <v>0</v>
      </c>
      <c r="O462" s="186">
        <f t="shared" si="419"/>
        <v>0</v>
      </c>
      <c r="P462" s="186">
        <f t="shared" si="419"/>
        <v>0</v>
      </c>
      <c r="Q462" s="189">
        <f t="shared" si="416"/>
        <v>0</v>
      </c>
    </row>
    <row r="463" spans="3:17" ht="18.75" x14ac:dyDescent="0.3">
      <c r="C463" s="143">
        <f t="shared" si="413"/>
        <v>1</v>
      </c>
      <c r="D463" s="149" t="s">
        <v>122</v>
      </c>
      <c r="E463" s="38" t="s">
        <v>52</v>
      </c>
      <c r="F463" s="168">
        <f t="shared" ref="F463:P463" si="420">F$12*$E454</f>
        <v>0</v>
      </c>
      <c r="G463" s="186">
        <f t="shared" si="420"/>
        <v>0</v>
      </c>
      <c r="H463" s="186">
        <f t="shared" si="420"/>
        <v>0</v>
      </c>
      <c r="I463" s="186">
        <f t="shared" si="420"/>
        <v>0</v>
      </c>
      <c r="J463" s="186">
        <f t="shared" si="420"/>
        <v>0</v>
      </c>
      <c r="K463" s="186">
        <f t="shared" si="420"/>
        <v>0</v>
      </c>
      <c r="L463" s="186">
        <f t="shared" si="420"/>
        <v>0</v>
      </c>
      <c r="M463" s="186">
        <f t="shared" si="420"/>
        <v>0</v>
      </c>
      <c r="N463" s="186">
        <f t="shared" si="420"/>
        <v>0</v>
      </c>
      <c r="O463" s="186">
        <f t="shared" si="420"/>
        <v>0</v>
      </c>
      <c r="P463" s="186">
        <f t="shared" si="420"/>
        <v>0</v>
      </c>
      <c r="Q463" s="189">
        <f t="shared" si="416"/>
        <v>0</v>
      </c>
    </row>
    <row r="464" spans="3:17" ht="18.75" x14ac:dyDescent="0.3">
      <c r="C464" s="143">
        <f t="shared" si="413"/>
        <v>1</v>
      </c>
      <c r="D464" s="149" t="s">
        <v>123</v>
      </c>
      <c r="E464" s="38" t="s">
        <v>51</v>
      </c>
      <c r="F464" s="168">
        <f t="shared" ref="F464:P464" si="421">F$13*$E454</f>
        <v>0</v>
      </c>
      <c r="G464" s="186">
        <f t="shared" si="421"/>
        <v>0</v>
      </c>
      <c r="H464" s="186">
        <f t="shared" si="421"/>
        <v>0</v>
      </c>
      <c r="I464" s="186">
        <f t="shared" si="421"/>
        <v>0</v>
      </c>
      <c r="J464" s="186">
        <f t="shared" si="421"/>
        <v>0</v>
      </c>
      <c r="K464" s="186">
        <f t="shared" si="421"/>
        <v>0</v>
      </c>
      <c r="L464" s="186">
        <f t="shared" si="421"/>
        <v>0</v>
      </c>
      <c r="M464" s="186">
        <f t="shared" si="421"/>
        <v>0</v>
      </c>
      <c r="N464" s="186">
        <f t="shared" si="421"/>
        <v>0</v>
      </c>
      <c r="O464" s="186">
        <f t="shared" si="421"/>
        <v>0</v>
      </c>
      <c r="P464" s="186">
        <f t="shared" si="421"/>
        <v>0</v>
      </c>
      <c r="Q464" s="189">
        <f t="shared" si="416"/>
        <v>0</v>
      </c>
    </row>
    <row r="465" spans="3:17" ht="19.5" thickBot="1" x14ac:dyDescent="0.35">
      <c r="C465" s="143">
        <f t="shared" si="413"/>
        <v>1</v>
      </c>
      <c r="D465" s="149" t="s">
        <v>16</v>
      </c>
      <c r="E465" s="37" t="s">
        <v>50</v>
      </c>
      <c r="F465" s="168">
        <f t="shared" ref="F465:P465" si="422">F$14*$E454</f>
        <v>0.72531296462609396</v>
      </c>
      <c r="G465" s="186">
        <f t="shared" si="422"/>
        <v>1309.0471589072949</v>
      </c>
      <c r="H465" s="186">
        <f t="shared" si="422"/>
        <v>25.507590762707242</v>
      </c>
      <c r="I465" s="186">
        <f t="shared" si="422"/>
        <v>0</v>
      </c>
      <c r="J465" s="186">
        <f t="shared" si="422"/>
        <v>0</v>
      </c>
      <c r="K465" s="186">
        <f t="shared" si="422"/>
        <v>91.404535694269285</v>
      </c>
      <c r="L465" s="186">
        <f t="shared" si="422"/>
        <v>0</v>
      </c>
      <c r="M465" s="186">
        <f t="shared" si="422"/>
        <v>4.9060017190336591E-2</v>
      </c>
      <c r="N465" s="186">
        <f t="shared" si="422"/>
        <v>0</v>
      </c>
      <c r="O465" s="186">
        <f t="shared" si="422"/>
        <v>0</v>
      </c>
      <c r="P465" s="186">
        <f t="shared" si="422"/>
        <v>82.642621040813452</v>
      </c>
      <c r="Q465" s="189">
        <f t="shared" si="416"/>
        <v>1508.6509664222754</v>
      </c>
    </row>
    <row r="466" spans="3:17" ht="19.5" thickBot="1" x14ac:dyDescent="0.3">
      <c r="C466" s="143">
        <f t="shared" si="413"/>
        <v>1</v>
      </c>
      <c r="D466" s="148" t="s">
        <v>124</v>
      </c>
      <c r="E466" s="147" t="s">
        <v>49</v>
      </c>
      <c r="F466" s="169">
        <f t="shared" ref="F466:Q466" si="423">SUBTOTAL(9,F457:F465)</f>
        <v>11.632768319594694</v>
      </c>
      <c r="G466" s="170">
        <f t="shared" si="423"/>
        <v>23155.845059247567</v>
      </c>
      <c r="H466" s="170">
        <f t="shared" si="423"/>
        <v>354.86213006850051</v>
      </c>
      <c r="I466" s="170">
        <f t="shared" si="423"/>
        <v>0</v>
      </c>
      <c r="J466" s="170">
        <f t="shared" si="423"/>
        <v>419.71397237939152</v>
      </c>
      <c r="K466" s="170">
        <f t="shared" ref="K466:P466" si="424">SUBTOTAL(9,K457:K465)</f>
        <v>163.64679622115239</v>
      </c>
      <c r="L466" s="170">
        <f t="shared" si="424"/>
        <v>19.398465782348836</v>
      </c>
      <c r="M466" s="170">
        <f t="shared" si="424"/>
        <v>4.9060017190336591E-2</v>
      </c>
      <c r="N466" s="170">
        <f t="shared" si="424"/>
        <v>0</v>
      </c>
      <c r="O466" s="170">
        <f t="shared" si="424"/>
        <v>0</v>
      </c>
      <c r="P466" s="170">
        <f t="shared" si="424"/>
        <v>82.642621040813452</v>
      </c>
      <c r="Q466" s="170">
        <f t="shared" si="423"/>
        <v>24196.158104756967</v>
      </c>
    </row>
    <row r="467" spans="3:17" ht="15.75" hidden="1" thickBot="1" x14ac:dyDescent="0.3"/>
    <row r="468" spans="3:17" ht="45" x14ac:dyDescent="0.25">
      <c r="C468" s="143">
        <f>IF(E468&gt;0,1,0)</f>
        <v>1</v>
      </c>
      <c r="D468" s="163" t="str">
        <f>A36</f>
        <v>Oneida</v>
      </c>
      <c r="E468" s="166">
        <f>SUMIF(A:A,D468,B:B)</f>
        <v>7.1008449393757042E-3</v>
      </c>
      <c r="F468" s="509" t="s">
        <v>97</v>
      </c>
      <c r="G468" s="509" t="s">
        <v>126</v>
      </c>
      <c r="H468" s="509" t="s">
        <v>127</v>
      </c>
      <c r="I468" s="508" t="s">
        <v>128</v>
      </c>
      <c r="J468" s="508" t="s">
        <v>487</v>
      </c>
      <c r="K468" s="508" t="s">
        <v>474</v>
      </c>
      <c r="L468" s="508" t="s">
        <v>475</v>
      </c>
      <c r="M468" s="508" t="s">
        <v>476</v>
      </c>
      <c r="N468" s="508" t="s">
        <v>477</v>
      </c>
      <c r="O468" s="508" t="s">
        <v>478</v>
      </c>
      <c r="P468" s="508" t="s">
        <v>479</v>
      </c>
      <c r="Q468" s="508" t="s">
        <v>129</v>
      </c>
    </row>
    <row r="469" spans="3:17" ht="18.75" x14ac:dyDescent="0.25">
      <c r="C469" s="143">
        <f>C468</f>
        <v>1</v>
      </c>
      <c r="D469" s="160"/>
      <c r="E469" s="159"/>
      <c r="F469" s="49" t="s">
        <v>57</v>
      </c>
      <c r="G469" s="49" t="s">
        <v>56</v>
      </c>
      <c r="H469" s="49" t="s">
        <v>55</v>
      </c>
      <c r="I469" s="49" t="s">
        <v>54</v>
      </c>
      <c r="J469" s="58" t="s">
        <v>53</v>
      </c>
      <c r="K469" s="49" t="s">
        <v>52</v>
      </c>
      <c r="L469" s="49" t="s">
        <v>51</v>
      </c>
      <c r="M469" s="49" t="s">
        <v>50</v>
      </c>
      <c r="N469" s="49" t="s">
        <v>49</v>
      </c>
      <c r="O469" s="49" t="s">
        <v>47</v>
      </c>
      <c r="P469" s="49" t="s">
        <v>77</v>
      </c>
      <c r="Q469" s="573" t="s">
        <v>78</v>
      </c>
    </row>
    <row r="470" spans="3:17" ht="18.75" x14ac:dyDescent="0.25">
      <c r="C470" s="143">
        <f>C469</f>
        <v>1</v>
      </c>
      <c r="D470" s="158" t="s">
        <v>26</v>
      </c>
      <c r="E470" s="157"/>
      <c r="F470" s="156"/>
      <c r="G470" s="156"/>
      <c r="H470" s="156"/>
      <c r="I470" s="155"/>
      <c r="J470" s="154"/>
      <c r="K470" s="154"/>
      <c r="L470" s="154"/>
      <c r="M470" s="154"/>
      <c r="N470" s="154"/>
      <c r="O470" s="154"/>
      <c r="P470" s="154"/>
      <c r="Q470" s="153"/>
    </row>
    <row r="471" spans="3:17" ht="18.75" x14ac:dyDescent="0.25">
      <c r="C471" s="143">
        <f t="shared" ref="C471:C480" si="425">C470</f>
        <v>1</v>
      </c>
      <c r="D471" s="152" t="s">
        <v>105</v>
      </c>
      <c r="E471" s="38" t="s">
        <v>57</v>
      </c>
      <c r="F471" s="168">
        <f t="shared" ref="F471:P471" si="426">F$6*$E468</f>
        <v>13.278703994170909</v>
      </c>
      <c r="G471" s="186">
        <f t="shared" si="426"/>
        <v>26596.227359935696</v>
      </c>
      <c r="H471" s="186">
        <f t="shared" si="426"/>
        <v>400.95524522004757</v>
      </c>
      <c r="I471" s="186">
        <f t="shared" si="426"/>
        <v>0</v>
      </c>
      <c r="J471" s="186">
        <f t="shared" si="426"/>
        <v>510.95855266598141</v>
      </c>
      <c r="K471" s="186">
        <f t="shared" si="426"/>
        <v>87.947514996637778</v>
      </c>
      <c r="L471" s="186">
        <f t="shared" si="426"/>
        <v>23.615635057128749</v>
      </c>
      <c r="M471" s="186">
        <f t="shared" si="426"/>
        <v>0</v>
      </c>
      <c r="N471" s="186">
        <f t="shared" si="426"/>
        <v>0</v>
      </c>
      <c r="O471" s="186">
        <f t="shared" si="426"/>
        <v>0</v>
      </c>
      <c r="P471" s="186">
        <f t="shared" si="426"/>
        <v>0</v>
      </c>
      <c r="Q471" s="189">
        <f>SUM(G471:P471)</f>
        <v>27619.704307875494</v>
      </c>
    </row>
    <row r="472" spans="3:17" ht="18.75" x14ac:dyDescent="0.25">
      <c r="C472" s="143">
        <f t="shared" si="425"/>
        <v>1</v>
      </c>
      <c r="D472" s="150" t="s">
        <v>31</v>
      </c>
      <c r="E472" s="38"/>
      <c r="F472" s="167"/>
      <c r="G472" s="185"/>
      <c r="H472" s="185"/>
      <c r="I472" s="187"/>
      <c r="J472" s="188"/>
      <c r="K472" s="188"/>
      <c r="L472" s="188"/>
      <c r="M472" s="188"/>
      <c r="N472" s="188"/>
      <c r="O472" s="188"/>
      <c r="P472" s="188"/>
      <c r="Q472" s="171"/>
    </row>
    <row r="473" spans="3:17" ht="18.75" x14ac:dyDescent="0.3">
      <c r="C473" s="143">
        <f t="shared" si="425"/>
        <v>1</v>
      </c>
      <c r="D473" s="149" t="s">
        <v>118</v>
      </c>
      <c r="E473" s="38" t="s">
        <v>56</v>
      </c>
      <c r="F473" s="168">
        <f t="shared" ref="F473:P473" si="427">F$8*$E468</f>
        <v>0</v>
      </c>
      <c r="G473" s="186">
        <f t="shared" si="427"/>
        <v>0</v>
      </c>
      <c r="H473" s="186">
        <f t="shared" si="427"/>
        <v>0</v>
      </c>
      <c r="I473" s="186">
        <f t="shared" si="427"/>
        <v>0</v>
      </c>
      <c r="J473" s="186">
        <f t="shared" si="427"/>
        <v>0</v>
      </c>
      <c r="K473" s="186">
        <f t="shared" si="427"/>
        <v>0</v>
      </c>
      <c r="L473" s="186">
        <f t="shared" si="427"/>
        <v>0</v>
      </c>
      <c r="M473" s="186">
        <f t="shared" si="427"/>
        <v>0</v>
      </c>
      <c r="N473" s="186">
        <f t="shared" si="427"/>
        <v>0</v>
      </c>
      <c r="O473" s="186">
        <f t="shared" si="427"/>
        <v>0</v>
      </c>
      <c r="P473" s="186">
        <f t="shared" si="427"/>
        <v>0</v>
      </c>
      <c r="Q473" s="189">
        <f t="shared" ref="Q473:Q479" si="428">SUM(G473:P473)</f>
        <v>0</v>
      </c>
    </row>
    <row r="474" spans="3:17" ht="18.75" x14ac:dyDescent="0.3">
      <c r="C474" s="143">
        <f t="shared" si="425"/>
        <v>1</v>
      </c>
      <c r="D474" s="149" t="s">
        <v>119</v>
      </c>
      <c r="E474" s="38" t="s">
        <v>55</v>
      </c>
      <c r="F474" s="168">
        <f t="shared" ref="F474:P474" si="429">F$9*$E468</f>
        <v>0</v>
      </c>
      <c r="G474" s="186">
        <f t="shared" si="429"/>
        <v>0</v>
      </c>
      <c r="H474" s="186">
        <f t="shared" si="429"/>
        <v>0</v>
      </c>
      <c r="I474" s="186">
        <f t="shared" si="429"/>
        <v>0</v>
      </c>
      <c r="J474" s="186">
        <f t="shared" si="429"/>
        <v>0</v>
      </c>
      <c r="K474" s="186">
        <f t="shared" si="429"/>
        <v>0</v>
      </c>
      <c r="L474" s="186">
        <f t="shared" si="429"/>
        <v>0</v>
      </c>
      <c r="M474" s="186">
        <f t="shared" si="429"/>
        <v>0</v>
      </c>
      <c r="N474" s="186">
        <f t="shared" si="429"/>
        <v>0</v>
      </c>
      <c r="O474" s="186">
        <f t="shared" si="429"/>
        <v>0</v>
      </c>
      <c r="P474" s="186">
        <f t="shared" si="429"/>
        <v>0</v>
      </c>
      <c r="Q474" s="189">
        <f t="shared" si="428"/>
        <v>0</v>
      </c>
    </row>
    <row r="475" spans="3:17" ht="18.75" x14ac:dyDescent="0.3">
      <c r="C475" s="143">
        <f t="shared" si="425"/>
        <v>1</v>
      </c>
      <c r="D475" s="149" t="s">
        <v>120</v>
      </c>
      <c r="E475" s="38" t="s">
        <v>54</v>
      </c>
      <c r="F475" s="168">
        <f t="shared" ref="F475:P475" si="430">F$10*$E468</f>
        <v>0</v>
      </c>
      <c r="G475" s="186">
        <f t="shared" si="430"/>
        <v>0</v>
      </c>
      <c r="H475" s="186">
        <f t="shared" si="430"/>
        <v>0</v>
      </c>
      <c r="I475" s="186">
        <f t="shared" si="430"/>
        <v>0</v>
      </c>
      <c r="J475" s="186">
        <f t="shared" si="430"/>
        <v>0</v>
      </c>
      <c r="K475" s="186">
        <f t="shared" si="430"/>
        <v>0</v>
      </c>
      <c r="L475" s="186">
        <f t="shared" si="430"/>
        <v>0</v>
      </c>
      <c r="M475" s="186">
        <f t="shared" si="430"/>
        <v>0</v>
      </c>
      <c r="N475" s="186">
        <f t="shared" si="430"/>
        <v>0</v>
      </c>
      <c r="O475" s="186">
        <f t="shared" si="430"/>
        <v>0</v>
      </c>
      <c r="P475" s="186">
        <f t="shared" si="430"/>
        <v>0</v>
      </c>
      <c r="Q475" s="189">
        <f t="shared" si="428"/>
        <v>0</v>
      </c>
    </row>
    <row r="476" spans="3:17" ht="18.75" x14ac:dyDescent="0.3">
      <c r="C476" s="143">
        <f t="shared" si="425"/>
        <v>1</v>
      </c>
      <c r="D476" s="149" t="s">
        <v>121</v>
      </c>
      <c r="E476" s="38" t="s">
        <v>53</v>
      </c>
      <c r="F476" s="168">
        <f t="shared" ref="F476:P476" si="431">F$11*$E468</f>
        <v>0</v>
      </c>
      <c r="G476" s="186">
        <f t="shared" si="431"/>
        <v>0</v>
      </c>
      <c r="H476" s="186">
        <f t="shared" si="431"/>
        <v>0</v>
      </c>
      <c r="I476" s="186">
        <f t="shared" si="431"/>
        <v>0</v>
      </c>
      <c r="J476" s="186">
        <f t="shared" si="431"/>
        <v>0</v>
      </c>
      <c r="K476" s="186">
        <f t="shared" si="431"/>
        <v>0</v>
      </c>
      <c r="L476" s="186">
        <f t="shared" si="431"/>
        <v>0</v>
      </c>
      <c r="M476" s="186">
        <f t="shared" si="431"/>
        <v>0</v>
      </c>
      <c r="N476" s="186">
        <f t="shared" si="431"/>
        <v>0</v>
      </c>
      <c r="O476" s="186">
        <f t="shared" si="431"/>
        <v>0</v>
      </c>
      <c r="P476" s="186">
        <f t="shared" si="431"/>
        <v>0</v>
      </c>
      <c r="Q476" s="189">
        <f t="shared" si="428"/>
        <v>0</v>
      </c>
    </row>
    <row r="477" spans="3:17" ht="18.75" x14ac:dyDescent="0.3">
      <c r="C477" s="143">
        <f t="shared" si="425"/>
        <v>1</v>
      </c>
      <c r="D477" s="149" t="s">
        <v>122</v>
      </c>
      <c r="E477" s="38" t="s">
        <v>52</v>
      </c>
      <c r="F477" s="168">
        <f t="shared" ref="F477:P477" si="432">F$12*$E468</f>
        <v>0</v>
      </c>
      <c r="G477" s="186">
        <f t="shared" si="432"/>
        <v>0</v>
      </c>
      <c r="H477" s="186">
        <f t="shared" si="432"/>
        <v>0</v>
      </c>
      <c r="I477" s="186">
        <f t="shared" si="432"/>
        <v>0</v>
      </c>
      <c r="J477" s="186">
        <f t="shared" si="432"/>
        <v>0</v>
      </c>
      <c r="K477" s="186">
        <f t="shared" si="432"/>
        <v>0</v>
      </c>
      <c r="L477" s="186">
        <f t="shared" si="432"/>
        <v>0</v>
      </c>
      <c r="M477" s="186">
        <f t="shared" si="432"/>
        <v>0</v>
      </c>
      <c r="N477" s="186">
        <f t="shared" si="432"/>
        <v>0</v>
      </c>
      <c r="O477" s="186">
        <f t="shared" si="432"/>
        <v>0</v>
      </c>
      <c r="P477" s="186">
        <f t="shared" si="432"/>
        <v>0</v>
      </c>
      <c r="Q477" s="189">
        <f t="shared" si="428"/>
        <v>0</v>
      </c>
    </row>
    <row r="478" spans="3:17" ht="18.75" x14ac:dyDescent="0.3">
      <c r="C478" s="143">
        <f t="shared" si="425"/>
        <v>1</v>
      </c>
      <c r="D478" s="149" t="s">
        <v>123</v>
      </c>
      <c r="E478" s="38" t="s">
        <v>51</v>
      </c>
      <c r="F478" s="168">
        <f t="shared" ref="F478:P478" si="433">F$13*$E468</f>
        <v>0</v>
      </c>
      <c r="G478" s="186">
        <f t="shared" si="433"/>
        <v>0</v>
      </c>
      <c r="H478" s="186">
        <f t="shared" si="433"/>
        <v>0</v>
      </c>
      <c r="I478" s="186">
        <f t="shared" si="433"/>
        <v>0</v>
      </c>
      <c r="J478" s="186">
        <f t="shared" si="433"/>
        <v>0</v>
      </c>
      <c r="K478" s="186">
        <f t="shared" si="433"/>
        <v>0</v>
      </c>
      <c r="L478" s="186">
        <f t="shared" si="433"/>
        <v>0</v>
      </c>
      <c r="M478" s="186">
        <f t="shared" si="433"/>
        <v>0</v>
      </c>
      <c r="N478" s="186">
        <f t="shared" si="433"/>
        <v>0</v>
      </c>
      <c r="O478" s="186">
        <f t="shared" si="433"/>
        <v>0</v>
      </c>
      <c r="P478" s="186">
        <f t="shared" si="433"/>
        <v>0</v>
      </c>
      <c r="Q478" s="189">
        <f t="shared" si="428"/>
        <v>0</v>
      </c>
    </row>
    <row r="479" spans="3:17" ht="19.5" thickBot="1" x14ac:dyDescent="0.35">
      <c r="C479" s="143">
        <f t="shared" si="425"/>
        <v>1</v>
      </c>
      <c r="D479" s="149" t="s">
        <v>16</v>
      </c>
      <c r="E479" s="37" t="s">
        <v>50</v>
      </c>
      <c r="F479" s="168">
        <f t="shared" ref="F479:P479" si="434">F$14*$E468</f>
        <v>0.88299386492718601</v>
      </c>
      <c r="G479" s="186">
        <f t="shared" si="434"/>
        <v>1593.6301522079818</v>
      </c>
      <c r="H479" s="186">
        <f t="shared" si="434"/>
        <v>31.052865798634542</v>
      </c>
      <c r="I479" s="186">
        <f t="shared" si="434"/>
        <v>0</v>
      </c>
      <c r="J479" s="186">
        <f t="shared" si="434"/>
        <v>0</v>
      </c>
      <c r="K479" s="186">
        <f t="shared" si="434"/>
        <v>111.27561229539636</v>
      </c>
      <c r="L479" s="186">
        <f t="shared" si="434"/>
        <v>0</v>
      </c>
      <c r="M479" s="186">
        <f t="shared" si="434"/>
        <v>5.972552029953198E-2</v>
      </c>
      <c r="N479" s="186">
        <f t="shared" si="434"/>
        <v>0</v>
      </c>
      <c r="O479" s="186">
        <f t="shared" si="434"/>
        <v>0</v>
      </c>
      <c r="P479" s="186">
        <f t="shared" si="434"/>
        <v>100.60888322623452</v>
      </c>
      <c r="Q479" s="189">
        <f t="shared" si="428"/>
        <v>1836.6272390485465</v>
      </c>
    </row>
    <row r="480" spans="3:17" ht="19.5" thickBot="1" x14ac:dyDescent="0.3">
      <c r="C480" s="143">
        <f t="shared" si="425"/>
        <v>1</v>
      </c>
      <c r="D480" s="148" t="s">
        <v>124</v>
      </c>
      <c r="E480" s="147" t="s">
        <v>49</v>
      </c>
      <c r="F480" s="169">
        <f t="shared" ref="F480:Q480" si="435">SUBTOTAL(9,F471:F479)</f>
        <v>14.161697859098096</v>
      </c>
      <c r="G480" s="170">
        <f t="shared" si="435"/>
        <v>28189.857512143677</v>
      </c>
      <c r="H480" s="170">
        <f t="shared" si="435"/>
        <v>432.00811101868214</v>
      </c>
      <c r="I480" s="170">
        <f t="shared" si="435"/>
        <v>0</v>
      </c>
      <c r="J480" s="170">
        <f t="shared" si="435"/>
        <v>510.95855266598141</v>
      </c>
      <c r="K480" s="170">
        <f t="shared" ref="K480:P480" si="436">SUBTOTAL(9,K471:K479)</f>
        <v>199.22312729203412</v>
      </c>
      <c r="L480" s="170">
        <f t="shared" si="436"/>
        <v>23.615635057128749</v>
      </c>
      <c r="M480" s="170">
        <f t="shared" si="436"/>
        <v>5.972552029953198E-2</v>
      </c>
      <c r="N480" s="170">
        <f t="shared" si="436"/>
        <v>0</v>
      </c>
      <c r="O480" s="170">
        <f t="shared" si="436"/>
        <v>0</v>
      </c>
      <c r="P480" s="170">
        <f t="shared" si="436"/>
        <v>100.60888322623452</v>
      </c>
      <c r="Q480" s="170">
        <f t="shared" si="435"/>
        <v>29456.331546924041</v>
      </c>
    </row>
    <row r="481" spans="3:17" ht="15.75" hidden="1" thickBot="1" x14ac:dyDescent="0.3"/>
    <row r="482" spans="3:17" ht="45" x14ac:dyDescent="0.25">
      <c r="C482" s="143">
        <f>IF(E482&gt;0,1,0)</f>
        <v>1</v>
      </c>
      <c r="D482" s="163" t="str">
        <f>A37</f>
        <v>Onondaga</v>
      </c>
      <c r="E482" s="166">
        <f>SUMIF(A:A,D482,B:B)</f>
        <v>2.2146992270920353E-2</v>
      </c>
      <c r="F482" s="509" t="s">
        <v>97</v>
      </c>
      <c r="G482" s="509" t="s">
        <v>126</v>
      </c>
      <c r="H482" s="509" t="s">
        <v>127</v>
      </c>
      <c r="I482" s="508" t="s">
        <v>128</v>
      </c>
      <c r="J482" s="508" t="s">
        <v>487</v>
      </c>
      <c r="K482" s="508" t="s">
        <v>474</v>
      </c>
      <c r="L482" s="508" t="s">
        <v>475</v>
      </c>
      <c r="M482" s="508" t="s">
        <v>476</v>
      </c>
      <c r="N482" s="508" t="s">
        <v>477</v>
      </c>
      <c r="O482" s="508" t="s">
        <v>478</v>
      </c>
      <c r="P482" s="508" t="s">
        <v>479</v>
      </c>
      <c r="Q482" s="508" t="s">
        <v>129</v>
      </c>
    </row>
    <row r="483" spans="3:17" ht="18.75" x14ac:dyDescent="0.25">
      <c r="C483" s="143">
        <f>C482</f>
        <v>1</v>
      </c>
      <c r="D483" s="160"/>
      <c r="E483" s="159"/>
      <c r="F483" s="49" t="s">
        <v>57</v>
      </c>
      <c r="G483" s="49" t="s">
        <v>56</v>
      </c>
      <c r="H483" s="49" t="s">
        <v>55</v>
      </c>
      <c r="I483" s="49" t="s">
        <v>54</v>
      </c>
      <c r="J483" s="58" t="s">
        <v>53</v>
      </c>
      <c r="K483" s="49" t="s">
        <v>52</v>
      </c>
      <c r="L483" s="49" t="s">
        <v>51</v>
      </c>
      <c r="M483" s="49" t="s">
        <v>50</v>
      </c>
      <c r="N483" s="49" t="s">
        <v>49</v>
      </c>
      <c r="O483" s="49" t="s">
        <v>47</v>
      </c>
      <c r="P483" s="49" t="s">
        <v>77</v>
      </c>
      <c r="Q483" s="573" t="s">
        <v>78</v>
      </c>
    </row>
    <row r="484" spans="3:17" ht="18.75" x14ac:dyDescent="0.25">
      <c r="C484" s="143">
        <f>C483</f>
        <v>1</v>
      </c>
      <c r="D484" s="158" t="s">
        <v>26</v>
      </c>
      <c r="E484" s="157"/>
      <c r="F484" s="156"/>
      <c r="G484" s="156"/>
      <c r="H484" s="156"/>
      <c r="I484" s="155"/>
      <c r="J484" s="154"/>
      <c r="K484" s="154"/>
      <c r="L484" s="154"/>
      <c r="M484" s="154"/>
      <c r="N484" s="154"/>
      <c r="O484" s="154"/>
      <c r="P484" s="154"/>
      <c r="Q484" s="153"/>
    </row>
    <row r="485" spans="3:17" ht="18.75" x14ac:dyDescent="0.25">
      <c r="C485" s="143">
        <f t="shared" ref="C485:C494" si="437">C484</f>
        <v>1</v>
      </c>
      <c r="D485" s="152" t="s">
        <v>105</v>
      </c>
      <c r="E485" s="38" t="s">
        <v>57</v>
      </c>
      <c r="F485" s="168">
        <f t="shared" ref="F485:P485" si="438">F$6*$E482</f>
        <v>41.41526216070249</v>
      </c>
      <c r="G485" s="186">
        <f t="shared" si="438"/>
        <v>82951.59897237843</v>
      </c>
      <c r="H485" s="186">
        <f t="shared" si="438"/>
        <v>1250.5487435209479</v>
      </c>
      <c r="I485" s="186">
        <f t="shared" si="438"/>
        <v>0</v>
      </c>
      <c r="J485" s="186">
        <f t="shared" si="438"/>
        <v>1593.6406460452922</v>
      </c>
      <c r="K485" s="186">
        <f t="shared" si="438"/>
        <v>274.30157277148402</v>
      </c>
      <c r="L485" s="186">
        <f t="shared" si="438"/>
        <v>73.655359545013368</v>
      </c>
      <c r="M485" s="186">
        <f t="shared" si="438"/>
        <v>0</v>
      </c>
      <c r="N485" s="186">
        <f t="shared" si="438"/>
        <v>0</v>
      </c>
      <c r="O485" s="186">
        <f t="shared" si="438"/>
        <v>0</v>
      </c>
      <c r="P485" s="186">
        <f t="shared" si="438"/>
        <v>0</v>
      </c>
      <c r="Q485" s="189">
        <f>SUM(G485:P485)</f>
        <v>86143.745294261156</v>
      </c>
    </row>
    <row r="486" spans="3:17" ht="18.75" x14ac:dyDescent="0.25">
      <c r="C486" s="143">
        <f t="shared" si="437"/>
        <v>1</v>
      </c>
      <c r="D486" s="150" t="s">
        <v>31</v>
      </c>
      <c r="E486" s="38"/>
      <c r="F486" s="167"/>
      <c r="G486" s="185"/>
      <c r="H486" s="185"/>
      <c r="I486" s="187"/>
      <c r="J486" s="188"/>
      <c r="K486" s="188"/>
      <c r="L486" s="188"/>
      <c r="M486" s="188"/>
      <c r="N486" s="188"/>
      <c r="O486" s="188"/>
      <c r="P486" s="188"/>
      <c r="Q486" s="171"/>
    </row>
    <row r="487" spans="3:17" ht="18.75" x14ac:dyDescent="0.3">
      <c r="C487" s="143">
        <f t="shared" si="437"/>
        <v>1</v>
      </c>
      <c r="D487" s="149" t="s">
        <v>118</v>
      </c>
      <c r="E487" s="38" t="s">
        <v>56</v>
      </c>
      <c r="F487" s="168">
        <f t="shared" ref="F487:P487" si="439">F$8*$E482</f>
        <v>0</v>
      </c>
      <c r="G487" s="186">
        <f t="shared" si="439"/>
        <v>0</v>
      </c>
      <c r="H487" s="186">
        <f t="shared" si="439"/>
        <v>0</v>
      </c>
      <c r="I487" s="186">
        <f t="shared" si="439"/>
        <v>0</v>
      </c>
      <c r="J487" s="186">
        <f t="shared" si="439"/>
        <v>0</v>
      </c>
      <c r="K487" s="186">
        <f t="shared" si="439"/>
        <v>0</v>
      </c>
      <c r="L487" s="186">
        <f t="shared" si="439"/>
        <v>0</v>
      </c>
      <c r="M487" s="186">
        <f t="shared" si="439"/>
        <v>0</v>
      </c>
      <c r="N487" s="186">
        <f t="shared" si="439"/>
        <v>0</v>
      </c>
      <c r="O487" s="186">
        <f t="shared" si="439"/>
        <v>0</v>
      </c>
      <c r="P487" s="186">
        <f t="shared" si="439"/>
        <v>0</v>
      </c>
      <c r="Q487" s="189">
        <f t="shared" ref="Q487:Q493" si="440">SUM(G487:P487)</f>
        <v>0</v>
      </c>
    </row>
    <row r="488" spans="3:17" ht="18.75" x14ac:dyDescent="0.3">
      <c r="C488" s="143">
        <f t="shared" si="437"/>
        <v>1</v>
      </c>
      <c r="D488" s="149" t="s">
        <v>119</v>
      </c>
      <c r="E488" s="38" t="s">
        <v>55</v>
      </c>
      <c r="F488" s="168">
        <f t="shared" ref="F488:P488" si="441">F$9*$E482</f>
        <v>0</v>
      </c>
      <c r="G488" s="186">
        <f t="shared" si="441"/>
        <v>0</v>
      </c>
      <c r="H488" s="186">
        <f t="shared" si="441"/>
        <v>0</v>
      </c>
      <c r="I488" s="186">
        <f t="shared" si="441"/>
        <v>0</v>
      </c>
      <c r="J488" s="186">
        <f t="shared" si="441"/>
        <v>0</v>
      </c>
      <c r="K488" s="186">
        <f t="shared" si="441"/>
        <v>0</v>
      </c>
      <c r="L488" s="186">
        <f t="shared" si="441"/>
        <v>0</v>
      </c>
      <c r="M488" s="186">
        <f t="shared" si="441"/>
        <v>0</v>
      </c>
      <c r="N488" s="186">
        <f t="shared" si="441"/>
        <v>0</v>
      </c>
      <c r="O488" s="186">
        <f t="shared" si="441"/>
        <v>0</v>
      </c>
      <c r="P488" s="186">
        <f t="shared" si="441"/>
        <v>0</v>
      </c>
      <c r="Q488" s="189">
        <f t="shared" si="440"/>
        <v>0</v>
      </c>
    </row>
    <row r="489" spans="3:17" ht="18.75" x14ac:dyDescent="0.3">
      <c r="C489" s="143">
        <f t="shared" si="437"/>
        <v>1</v>
      </c>
      <c r="D489" s="149" t="s">
        <v>120</v>
      </c>
      <c r="E489" s="38" t="s">
        <v>54</v>
      </c>
      <c r="F489" s="168">
        <f t="shared" ref="F489:P489" si="442">F$10*$E482</f>
        <v>0</v>
      </c>
      <c r="G489" s="186">
        <f t="shared" si="442"/>
        <v>0</v>
      </c>
      <c r="H489" s="186">
        <f t="shared" si="442"/>
        <v>0</v>
      </c>
      <c r="I489" s="186">
        <f t="shared" si="442"/>
        <v>0</v>
      </c>
      <c r="J489" s="186">
        <f t="shared" si="442"/>
        <v>0</v>
      </c>
      <c r="K489" s="186">
        <f t="shared" si="442"/>
        <v>0</v>
      </c>
      <c r="L489" s="186">
        <f t="shared" si="442"/>
        <v>0</v>
      </c>
      <c r="M489" s="186">
        <f t="shared" si="442"/>
        <v>0</v>
      </c>
      <c r="N489" s="186">
        <f t="shared" si="442"/>
        <v>0</v>
      </c>
      <c r="O489" s="186">
        <f t="shared" si="442"/>
        <v>0</v>
      </c>
      <c r="P489" s="186">
        <f t="shared" si="442"/>
        <v>0</v>
      </c>
      <c r="Q489" s="189">
        <f t="shared" si="440"/>
        <v>0</v>
      </c>
    </row>
    <row r="490" spans="3:17" ht="18.75" x14ac:dyDescent="0.3">
      <c r="C490" s="143">
        <f t="shared" si="437"/>
        <v>1</v>
      </c>
      <c r="D490" s="149" t="s">
        <v>121</v>
      </c>
      <c r="E490" s="38" t="s">
        <v>53</v>
      </c>
      <c r="F490" s="168">
        <f t="shared" ref="F490:P490" si="443">F$11*$E482</f>
        <v>0</v>
      </c>
      <c r="G490" s="186">
        <f t="shared" si="443"/>
        <v>0</v>
      </c>
      <c r="H490" s="186">
        <f t="shared" si="443"/>
        <v>0</v>
      </c>
      <c r="I490" s="186">
        <f t="shared" si="443"/>
        <v>0</v>
      </c>
      <c r="J490" s="186">
        <f t="shared" si="443"/>
        <v>0</v>
      </c>
      <c r="K490" s="186">
        <f t="shared" si="443"/>
        <v>0</v>
      </c>
      <c r="L490" s="186">
        <f t="shared" si="443"/>
        <v>0</v>
      </c>
      <c r="M490" s="186">
        <f t="shared" si="443"/>
        <v>0</v>
      </c>
      <c r="N490" s="186">
        <f t="shared" si="443"/>
        <v>0</v>
      </c>
      <c r="O490" s="186">
        <f t="shared" si="443"/>
        <v>0</v>
      </c>
      <c r="P490" s="186">
        <f t="shared" si="443"/>
        <v>0</v>
      </c>
      <c r="Q490" s="189">
        <f t="shared" si="440"/>
        <v>0</v>
      </c>
    </row>
    <row r="491" spans="3:17" ht="18.75" x14ac:dyDescent="0.3">
      <c r="C491" s="143">
        <f t="shared" si="437"/>
        <v>1</v>
      </c>
      <c r="D491" s="149" t="s">
        <v>122</v>
      </c>
      <c r="E491" s="38" t="s">
        <v>52</v>
      </c>
      <c r="F491" s="168">
        <f t="shared" ref="F491:P491" si="444">F$12*$E482</f>
        <v>0</v>
      </c>
      <c r="G491" s="186">
        <f t="shared" si="444"/>
        <v>0</v>
      </c>
      <c r="H491" s="186">
        <f t="shared" si="444"/>
        <v>0</v>
      </c>
      <c r="I491" s="186">
        <f t="shared" si="444"/>
        <v>0</v>
      </c>
      <c r="J491" s="186">
        <f t="shared" si="444"/>
        <v>0</v>
      </c>
      <c r="K491" s="186">
        <f t="shared" si="444"/>
        <v>0</v>
      </c>
      <c r="L491" s="186">
        <f t="shared" si="444"/>
        <v>0</v>
      </c>
      <c r="M491" s="186">
        <f t="shared" si="444"/>
        <v>0</v>
      </c>
      <c r="N491" s="186">
        <f t="shared" si="444"/>
        <v>0</v>
      </c>
      <c r="O491" s="186">
        <f t="shared" si="444"/>
        <v>0</v>
      </c>
      <c r="P491" s="186">
        <f t="shared" si="444"/>
        <v>0</v>
      </c>
      <c r="Q491" s="189">
        <f t="shared" si="440"/>
        <v>0</v>
      </c>
    </row>
    <row r="492" spans="3:17" ht="18.75" x14ac:dyDescent="0.3">
      <c r="C492" s="143">
        <f t="shared" si="437"/>
        <v>1</v>
      </c>
      <c r="D492" s="149" t="s">
        <v>123</v>
      </c>
      <c r="E492" s="38" t="s">
        <v>51</v>
      </c>
      <c r="F492" s="168">
        <f t="shared" ref="F492:P492" si="445">F$13*$E482</f>
        <v>0</v>
      </c>
      <c r="G492" s="186">
        <f t="shared" si="445"/>
        <v>0</v>
      </c>
      <c r="H492" s="186">
        <f t="shared" si="445"/>
        <v>0</v>
      </c>
      <c r="I492" s="186">
        <f t="shared" si="445"/>
        <v>0</v>
      </c>
      <c r="J492" s="186">
        <f t="shared" si="445"/>
        <v>0</v>
      </c>
      <c r="K492" s="186">
        <f t="shared" si="445"/>
        <v>0</v>
      </c>
      <c r="L492" s="186">
        <f t="shared" si="445"/>
        <v>0</v>
      </c>
      <c r="M492" s="186">
        <f t="shared" si="445"/>
        <v>0</v>
      </c>
      <c r="N492" s="186">
        <f t="shared" si="445"/>
        <v>0</v>
      </c>
      <c r="O492" s="186">
        <f t="shared" si="445"/>
        <v>0</v>
      </c>
      <c r="P492" s="186">
        <f t="shared" si="445"/>
        <v>0</v>
      </c>
      <c r="Q492" s="189">
        <f t="shared" si="440"/>
        <v>0</v>
      </c>
    </row>
    <row r="493" spans="3:17" ht="19.5" thickBot="1" x14ac:dyDescent="0.35">
      <c r="C493" s="143">
        <f t="shared" si="437"/>
        <v>1</v>
      </c>
      <c r="D493" s="149" t="s">
        <v>16</v>
      </c>
      <c r="E493" s="37" t="s">
        <v>50</v>
      </c>
      <c r="F493" s="168">
        <f t="shared" ref="F493:P493" si="446">F$14*$E482</f>
        <v>2.7539903305551947</v>
      </c>
      <c r="G493" s="186">
        <f t="shared" si="446"/>
        <v>4970.4105588818566</v>
      </c>
      <c r="H493" s="186">
        <f t="shared" si="446"/>
        <v>96.851513404931524</v>
      </c>
      <c r="I493" s="186">
        <f t="shared" si="446"/>
        <v>0</v>
      </c>
      <c r="J493" s="186">
        <f t="shared" si="446"/>
        <v>0</v>
      </c>
      <c r="K493" s="186">
        <f t="shared" si="446"/>
        <v>347.06012403993452</v>
      </c>
      <c r="L493" s="186">
        <f t="shared" si="446"/>
        <v>0</v>
      </c>
      <c r="M493" s="186">
        <f t="shared" si="446"/>
        <v>0.18627932981828002</v>
      </c>
      <c r="N493" s="186">
        <f t="shared" si="446"/>
        <v>0</v>
      </c>
      <c r="O493" s="186">
        <f t="shared" si="446"/>
        <v>0</v>
      </c>
      <c r="P493" s="186">
        <f t="shared" si="446"/>
        <v>313.7914118982639</v>
      </c>
      <c r="Q493" s="189">
        <f t="shared" si="440"/>
        <v>5728.2998875548046</v>
      </c>
    </row>
    <row r="494" spans="3:17" ht="19.5" thickBot="1" x14ac:dyDescent="0.3">
      <c r="C494" s="143">
        <f t="shared" si="437"/>
        <v>1</v>
      </c>
      <c r="D494" s="148" t="s">
        <v>124</v>
      </c>
      <c r="E494" s="147" t="s">
        <v>49</v>
      </c>
      <c r="F494" s="169">
        <f t="shared" ref="F494:Q494" si="447">SUBTOTAL(9,F485:F493)</f>
        <v>44.169252491257687</v>
      </c>
      <c r="G494" s="170">
        <f t="shared" si="447"/>
        <v>87922.009531260293</v>
      </c>
      <c r="H494" s="170">
        <f t="shared" si="447"/>
        <v>1347.4002569258794</v>
      </c>
      <c r="I494" s="170">
        <f t="shared" si="447"/>
        <v>0</v>
      </c>
      <c r="J494" s="170">
        <f t="shared" si="447"/>
        <v>1593.6406460452922</v>
      </c>
      <c r="K494" s="170">
        <f t="shared" ref="K494:P494" si="448">SUBTOTAL(9,K485:K493)</f>
        <v>621.3616968114186</v>
      </c>
      <c r="L494" s="170">
        <f t="shared" si="448"/>
        <v>73.655359545013368</v>
      </c>
      <c r="M494" s="170">
        <f t="shared" si="448"/>
        <v>0.18627932981828002</v>
      </c>
      <c r="N494" s="170">
        <f t="shared" si="448"/>
        <v>0</v>
      </c>
      <c r="O494" s="170">
        <f t="shared" si="448"/>
        <v>0</v>
      </c>
      <c r="P494" s="170">
        <f t="shared" si="448"/>
        <v>313.7914118982639</v>
      </c>
      <c r="Q494" s="170">
        <f t="shared" si="447"/>
        <v>91872.045181815964</v>
      </c>
    </row>
    <row r="495" spans="3:17" ht="15.75" hidden="1" thickBot="1" x14ac:dyDescent="0.3"/>
    <row r="496" spans="3:17" ht="45" x14ac:dyDescent="0.25">
      <c r="C496" s="143">
        <f>IF(E496&gt;0,1,0)</f>
        <v>1</v>
      </c>
      <c r="D496" s="163" t="str">
        <f>A38</f>
        <v>Ontario</v>
      </c>
      <c r="E496" s="166">
        <f>SUMIF(A:A,D496,B:B)</f>
        <v>3.0558410502578128E-3</v>
      </c>
      <c r="F496" s="509" t="s">
        <v>97</v>
      </c>
      <c r="G496" s="509" t="s">
        <v>126</v>
      </c>
      <c r="H496" s="509" t="s">
        <v>127</v>
      </c>
      <c r="I496" s="508" t="s">
        <v>128</v>
      </c>
      <c r="J496" s="508" t="s">
        <v>487</v>
      </c>
      <c r="K496" s="508" t="s">
        <v>474</v>
      </c>
      <c r="L496" s="508" t="s">
        <v>475</v>
      </c>
      <c r="M496" s="508" t="s">
        <v>476</v>
      </c>
      <c r="N496" s="508" t="s">
        <v>477</v>
      </c>
      <c r="O496" s="508" t="s">
        <v>478</v>
      </c>
      <c r="P496" s="508" t="s">
        <v>479</v>
      </c>
      <c r="Q496" s="508" t="s">
        <v>129</v>
      </c>
    </row>
    <row r="497" spans="3:17" ht="18.75" x14ac:dyDescent="0.25">
      <c r="C497" s="143">
        <f>C496</f>
        <v>1</v>
      </c>
      <c r="D497" s="160"/>
      <c r="E497" s="159"/>
      <c r="F497" s="49" t="s">
        <v>57</v>
      </c>
      <c r="G497" s="49" t="s">
        <v>56</v>
      </c>
      <c r="H497" s="49" t="s">
        <v>55</v>
      </c>
      <c r="I497" s="49" t="s">
        <v>54</v>
      </c>
      <c r="J497" s="58" t="s">
        <v>53</v>
      </c>
      <c r="K497" s="49" t="s">
        <v>52</v>
      </c>
      <c r="L497" s="49" t="s">
        <v>51</v>
      </c>
      <c r="M497" s="49" t="s">
        <v>50</v>
      </c>
      <c r="N497" s="49" t="s">
        <v>49</v>
      </c>
      <c r="O497" s="49" t="s">
        <v>47</v>
      </c>
      <c r="P497" s="49" t="s">
        <v>77</v>
      </c>
      <c r="Q497" s="573" t="s">
        <v>78</v>
      </c>
    </row>
    <row r="498" spans="3:17" ht="18.75" x14ac:dyDescent="0.25">
      <c r="C498" s="143">
        <f>C497</f>
        <v>1</v>
      </c>
      <c r="D498" s="158" t="s">
        <v>26</v>
      </c>
      <c r="E498" s="157"/>
      <c r="F498" s="156"/>
      <c r="G498" s="156"/>
      <c r="H498" s="156"/>
      <c r="I498" s="155"/>
      <c r="J498" s="154"/>
      <c r="K498" s="154"/>
      <c r="L498" s="154"/>
      <c r="M498" s="154"/>
      <c r="N498" s="154"/>
      <c r="O498" s="154"/>
      <c r="P498" s="154"/>
      <c r="Q498" s="153"/>
    </row>
    <row r="499" spans="3:17" ht="18.75" x14ac:dyDescent="0.25">
      <c r="C499" s="143">
        <f t="shared" ref="C499:C508" si="449">C498</f>
        <v>1</v>
      </c>
      <c r="D499" s="152" t="s">
        <v>105</v>
      </c>
      <c r="E499" s="38" t="s">
        <v>57</v>
      </c>
      <c r="F499" s="168">
        <f t="shared" ref="F499:P499" si="450">F$6*$E496</f>
        <v>5.7144761089765987</v>
      </c>
      <c r="G499" s="186">
        <f t="shared" si="450"/>
        <v>11445.658093137708</v>
      </c>
      <c r="H499" s="186">
        <f t="shared" si="450"/>
        <v>172.55066236770011</v>
      </c>
      <c r="I499" s="186">
        <f t="shared" si="450"/>
        <v>0</v>
      </c>
      <c r="J499" s="186">
        <f t="shared" si="450"/>
        <v>219.89046846505303</v>
      </c>
      <c r="K499" s="186">
        <f t="shared" si="450"/>
        <v>37.848119327968142</v>
      </c>
      <c r="L499" s="186">
        <f t="shared" si="450"/>
        <v>10.162963372894922</v>
      </c>
      <c r="M499" s="186">
        <f t="shared" si="450"/>
        <v>0</v>
      </c>
      <c r="N499" s="186">
        <f t="shared" si="450"/>
        <v>0</v>
      </c>
      <c r="O499" s="186">
        <f t="shared" si="450"/>
        <v>0</v>
      </c>
      <c r="P499" s="186">
        <f t="shared" si="450"/>
        <v>0</v>
      </c>
      <c r="Q499" s="189">
        <f>SUM(G499:P499)</f>
        <v>11886.110306671324</v>
      </c>
    </row>
    <row r="500" spans="3:17" ht="18.75" x14ac:dyDescent="0.25">
      <c r="C500" s="143">
        <f t="shared" si="449"/>
        <v>1</v>
      </c>
      <c r="D500" s="150" t="s">
        <v>31</v>
      </c>
      <c r="E500" s="38"/>
      <c r="F500" s="167"/>
      <c r="G500" s="185"/>
      <c r="H500" s="185"/>
      <c r="I500" s="187"/>
      <c r="J500" s="188"/>
      <c r="K500" s="188"/>
      <c r="L500" s="188"/>
      <c r="M500" s="188"/>
      <c r="N500" s="188"/>
      <c r="O500" s="188"/>
      <c r="P500" s="188"/>
      <c r="Q500" s="171"/>
    </row>
    <row r="501" spans="3:17" ht="18.75" x14ac:dyDescent="0.3">
      <c r="C501" s="143">
        <f t="shared" si="449"/>
        <v>1</v>
      </c>
      <c r="D501" s="149" t="s">
        <v>118</v>
      </c>
      <c r="E501" s="38" t="s">
        <v>56</v>
      </c>
      <c r="F501" s="168">
        <f t="shared" ref="F501:P501" si="451">F$8*$E496</f>
        <v>0</v>
      </c>
      <c r="G501" s="186">
        <f t="shared" si="451"/>
        <v>0</v>
      </c>
      <c r="H501" s="186">
        <f t="shared" si="451"/>
        <v>0</v>
      </c>
      <c r="I501" s="186">
        <f t="shared" si="451"/>
        <v>0</v>
      </c>
      <c r="J501" s="186">
        <f t="shared" si="451"/>
        <v>0</v>
      </c>
      <c r="K501" s="186">
        <f t="shared" si="451"/>
        <v>0</v>
      </c>
      <c r="L501" s="186">
        <f t="shared" si="451"/>
        <v>0</v>
      </c>
      <c r="M501" s="186">
        <f t="shared" si="451"/>
        <v>0</v>
      </c>
      <c r="N501" s="186">
        <f t="shared" si="451"/>
        <v>0</v>
      </c>
      <c r="O501" s="186">
        <f t="shared" si="451"/>
        <v>0</v>
      </c>
      <c r="P501" s="186">
        <f t="shared" si="451"/>
        <v>0</v>
      </c>
      <c r="Q501" s="189">
        <f t="shared" ref="Q501:Q507" si="452">SUM(G501:P501)</f>
        <v>0</v>
      </c>
    </row>
    <row r="502" spans="3:17" ht="18.75" x14ac:dyDescent="0.3">
      <c r="C502" s="143">
        <f t="shared" si="449"/>
        <v>1</v>
      </c>
      <c r="D502" s="149" t="s">
        <v>119</v>
      </c>
      <c r="E502" s="38" t="s">
        <v>55</v>
      </c>
      <c r="F502" s="168">
        <f t="shared" ref="F502:P502" si="453">F$9*$E496</f>
        <v>0</v>
      </c>
      <c r="G502" s="186">
        <f t="shared" si="453"/>
        <v>0</v>
      </c>
      <c r="H502" s="186">
        <f t="shared" si="453"/>
        <v>0</v>
      </c>
      <c r="I502" s="186">
        <f t="shared" si="453"/>
        <v>0</v>
      </c>
      <c r="J502" s="186">
        <f t="shared" si="453"/>
        <v>0</v>
      </c>
      <c r="K502" s="186">
        <f t="shared" si="453"/>
        <v>0</v>
      </c>
      <c r="L502" s="186">
        <f t="shared" si="453"/>
        <v>0</v>
      </c>
      <c r="M502" s="186">
        <f t="shared" si="453"/>
        <v>0</v>
      </c>
      <c r="N502" s="186">
        <f t="shared" si="453"/>
        <v>0</v>
      </c>
      <c r="O502" s="186">
        <f t="shared" si="453"/>
        <v>0</v>
      </c>
      <c r="P502" s="186">
        <f t="shared" si="453"/>
        <v>0</v>
      </c>
      <c r="Q502" s="189">
        <f t="shared" si="452"/>
        <v>0</v>
      </c>
    </row>
    <row r="503" spans="3:17" ht="18.75" x14ac:dyDescent="0.3">
      <c r="C503" s="143">
        <f t="shared" si="449"/>
        <v>1</v>
      </c>
      <c r="D503" s="149" t="s">
        <v>120</v>
      </c>
      <c r="E503" s="38" t="s">
        <v>54</v>
      </c>
      <c r="F503" s="168">
        <f t="shared" ref="F503:P503" si="454">F$10*$E496</f>
        <v>0</v>
      </c>
      <c r="G503" s="186">
        <f t="shared" si="454"/>
        <v>0</v>
      </c>
      <c r="H503" s="186">
        <f t="shared" si="454"/>
        <v>0</v>
      </c>
      <c r="I503" s="186">
        <f t="shared" si="454"/>
        <v>0</v>
      </c>
      <c r="J503" s="186">
        <f t="shared" si="454"/>
        <v>0</v>
      </c>
      <c r="K503" s="186">
        <f t="shared" si="454"/>
        <v>0</v>
      </c>
      <c r="L503" s="186">
        <f t="shared" si="454"/>
        <v>0</v>
      </c>
      <c r="M503" s="186">
        <f t="shared" si="454"/>
        <v>0</v>
      </c>
      <c r="N503" s="186">
        <f t="shared" si="454"/>
        <v>0</v>
      </c>
      <c r="O503" s="186">
        <f t="shared" si="454"/>
        <v>0</v>
      </c>
      <c r="P503" s="186">
        <f t="shared" si="454"/>
        <v>0</v>
      </c>
      <c r="Q503" s="189">
        <f t="shared" si="452"/>
        <v>0</v>
      </c>
    </row>
    <row r="504" spans="3:17" ht="18.75" x14ac:dyDescent="0.3">
      <c r="C504" s="143">
        <f t="shared" si="449"/>
        <v>1</v>
      </c>
      <c r="D504" s="149" t="s">
        <v>121</v>
      </c>
      <c r="E504" s="38" t="s">
        <v>53</v>
      </c>
      <c r="F504" s="168">
        <f t="shared" ref="F504:P504" si="455">F$11*$E496</f>
        <v>0</v>
      </c>
      <c r="G504" s="186">
        <f t="shared" si="455"/>
        <v>0</v>
      </c>
      <c r="H504" s="186">
        <f t="shared" si="455"/>
        <v>0</v>
      </c>
      <c r="I504" s="186">
        <f t="shared" si="455"/>
        <v>0</v>
      </c>
      <c r="J504" s="186">
        <f t="shared" si="455"/>
        <v>0</v>
      </c>
      <c r="K504" s="186">
        <f t="shared" si="455"/>
        <v>0</v>
      </c>
      <c r="L504" s="186">
        <f t="shared" si="455"/>
        <v>0</v>
      </c>
      <c r="M504" s="186">
        <f t="shared" si="455"/>
        <v>0</v>
      </c>
      <c r="N504" s="186">
        <f t="shared" si="455"/>
        <v>0</v>
      </c>
      <c r="O504" s="186">
        <f t="shared" si="455"/>
        <v>0</v>
      </c>
      <c r="P504" s="186">
        <f t="shared" si="455"/>
        <v>0</v>
      </c>
      <c r="Q504" s="189">
        <f t="shared" si="452"/>
        <v>0</v>
      </c>
    </row>
    <row r="505" spans="3:17" ht="18.75" x14ac:dyDescent="0.3">
      <c r="C505" s="143">
        <f t="shared" si="449"/>
        <v>1</v>
      </c>
      <c r="D505" s="149" t="s">
        <v>122</v>
      </c>
      <c r="E505" s="38" t="s">
        <v>52</v>
      </c>
      <c r="F505" s="168">
        <f t="shared" ref="F505:P505" si="456">F$12*$E496</f>
        <v>0</v>
      </c>
      <c r="G505" s="186">
        <f t="shared" si="456"/>
        <v>0</v>
      </c>
      <c r="H505" s="186">
        <f t="shared" si="456"/>
        <v>0</v>
      </c>
      <c r="I505" s="186">
        <f t="shared" si="456"/>
        <v>0</v>
      </c>
      <c r="J505" s="186">
        <f t="shared" si="456"/>
        <v>0</v>
      </c>
      <c r="K505" s="186">
        <f t="shared" si="456"/>
        <v>0</v>
      </c>
      <c r="L505" s="186">
        <f t="shared" si="456"/>
        <v>0</v>
      </c>
      <c r="M505" s="186">
        <f t="shared" si="456"/>
        <v>0</v>
      </c>
      <c r="N505" s="186">
        <f t="shared" si="456"/>
        <v>0</v>
      </c>
      <c r="O505" s="186">
        <f t="shared" si="456"/>
        <v>0</v>
      </c>
      <c r="P505" s="186">
        <f t="shared" si="456"/>
        <v>0</v>
      </c>
      <c r="Q505" s="189">
        <f t="shared" si="452"/>
        <v>0</v>
      </c>
    </row>
    <row r="506" spans="3:17" ht="18.75" x14ac:dyDescent="0.3">
      <c r="C506" s="143">
        <f t="shared" si="449"/>
        <v>1</v>
      </c>
      <c r="D506" s="149" t="s">
        <v>123</v>
      </c>
      <c r="E506" s="38" t="s">
        <v>51</v>
      </c>
      <c r="F506" s="168">
        <f t="shared" ref="F506:P506" si="457">F$13*$E496</f>
        <v>0</v>
      </c>
      <c r="G506" s="186">
        <f t="shared" si="457"/>
        <v>0</v>
      </c>
      <c r="H506" s="186">
        <f t="shared" si="457"/>
        <v>0</v>
      </c>
      <c r="I506" s="186">
        <f t="shared" si="457"/>
        <v>0</v>
      </c>
      <c r="J506" s="186">
        <f t="shared" si="457"/>
        <v>0</v>
      </c>
      <c r="K506" s="186">
        <f t="shared" si="457"/>
        <v>0</v>
      </c>
      <c r="L506" s="186">
        <f t="shared" si="457"/>
        <v>0</v>
      </c>
      <c r="M506" s="186">
        <f t="shared" si="457"/>
        <v>0</v>
      </c>
      <c r="N506" s="186">
        <f t="shared" si="457"/>
        <v>0</v>
      </c>
      <c r="O506" s="186">
        <f t="shared" si="457"/>
        <v>0</v>
      </c>
      <c r="P506" s="186">
        <f t="shared" si="457"/>
        <v>0</v>
      </c>
      <c r="Q506" s="189">
        <f t="shared" si="452"/>
        <v>0</v>
      </c>
    </row>
    <row r="507" spans="3:17" ht="19.5" thickBot="1" x14ac:dyDescent="0.35">
      <c r="C507" s="143">
        <f t="shared" si="449"/>
        <v>1</v>
      </c>
      <c r="D507" s="149" t="s">
        <v>16</v>
      </c>
      <c r="E507" s="37" t="s">
        <v>50</v>
      </c>
      <c r="F507" s="168">
        <f t="shared" ref="F507:P507" si="458">F$14*$E496</f>
        <v>0.3799954685121637</v>
      </c>
      <c r="G507" s="186">
        <f t="shared" si="458"/>
        <v>685.81703721499798</v>
      </c>
      <c r="H507" s="186">
        <f t="shared" si="458"/>
        <v>13.363567694516803</v>
      </c>
      <c r="I507" s="186">
        <f t="shared" si="458"/>
        <v>0</v>
      </c>
      <c r="J507" s="186">
        <f t="shared" si="458"/>
        <v>0</v>
      </c>
      <c r="K507" s="186">
        <f t="shared" si="458"/>
        <v>47.887341133059735</v>
      </c>
      <c r="L507" s="186">
        <f t="shared" si="458"/>
        <v>0</v>
      </c>
      <c r="M507" s="186">
        <f t="shared" si="458"/>
        <v>2.5702813994324777E-2</v>
      </c>
      <c r="N507" s="186">
        <f t="shared" si="458"/>
        <v>0</v>
      </c>
      <c r="O507" s="186">
        <f t="shared" si="458"/>
        <v>0</v>
      </c>
      <c r="P507" s="186">
        <f t="shared" si="458"/>
        <v>43.29692564873163</v>
      </c>
      <c r="Q507" s="189">
        <f t="shared" si="452"/>
        <v>790.39057450530061</v>
      </c>
    </row>
    <row r="508" spans="3:17" ht="19.5" thickBot="1" x14ac:dyDescent="0.3">
      <c r="C508" s="143">
        <f t="shared" si="449"/>
        <v>1</v>
      </c>
      <c r="D508" s="148" t="s">
        <v>124</v>
      </c>
      <c r="E508" s="147" t="s">
        <v>49</v>
      </c>
      <c r="F508" s="169">
        <f t="shared" ref="F508:Q508" si="459">SUBTOTAL(9,F499:F507)</f>
        <v>6.0944715774887621</v>
      </c>
      <c r="G508" s="170">
        <f t="shared" si="459"/>
        <v>12131.475130352706</v>
      </c>
      <c r="H508" s="170">
        <f t="shared" si="459"/>
        <v>185.91423006221692</v>
      </c>
      <c r="I508" s="170">
        <f t="shared" si="459"/>
        <v>0</v>
      </c>
      <c r="J508" s="170">
        <f t="shared" si="459"/>
        <v>219.89046846505303</v>
      </c>
      <c r="K508" s="170">
        <f t="shared" ref="K508:P508" si="460">SUBTOTAL(9,K499:K507)</f>
        <v>85.735460461027884</v>
      </c>
      <c r="L508" s="170">
        <f t="shared" si="460"/>
        <v>10.162963372894922</v>
      </c>
      <c r="M508" s="170">
        <f t="shared" si="460"/>
        <v>2.5702813994324777E-2</v>
      </c>
      <c r="N508" s="170">
        <f t="shared" si="460"/>
        <v>0</v>
      </c>
      <c r="O508" s="170">
        <f t="shared" si="460"/>
        <v>0</v>
      </c>
      <c r="P508" s="170">
        <f t="shared" si="460"/>
        <v>43.29692564873163</v>
      </c>
      <c r="Q508" s="170">
        <f t="shared" si="459"/>
        <v>12676.500881176624</v>
      </c>
    </row>
    <row r="509" spans="3:17" ht="15.75" hidden="1" thickBot="1" x14ac:dyDescent="0.3"/>
    <row r="510" spans="3:17" ht="45" x14ac:dyDescent="0.25">
      <c r="C510" s="143">
        <f>IF(E510&gt;0,1,0)</f>
        <v>1</v>
      </c>
      <c r="D510" s="163" t="str">
        <f>A39</f>
        <v>Orange</v>
      </c>
      <c r="E510" s="166">
        <f>SUMIF(A:A,D510,B:B)</f>
        <v>1.2293981971585183E-2</v>
      </c>
      <c r="F510" s="509" t="s">
        <v>97</v>
      </c>
      <c r="G510" s="509" t="s">
        <v>126</v>
      </c>
      <c r="H510" s="509" t="s">
        <v>127</v>
      </c>
      <c r="I510" s="508" t="s">
        <v>128</v>
      </c>
      <c r="J510" s="508" t="s">
        <v>487</v>
      </c>
      <c r="K510" s="508" t="s">
        <v>474</v>
      </c>
      <c r="L510" s="508" t="s">
        <v>475</v>
      </c>
      <c r="M510" s="508" t="s">
        <v>476</v>
      </c>
      <c r="N510" s="508" t="s">
        <v>477</v>
      </c>
      <c r="O510" s="508" t="s">
        <v>478</v>
      </c>
      <c r="P510" s="508" t="s">
        <v>479</v>
      </c>
      <c r="Q510" s="508" t="s">
        <v>129</v>
      </c>
    </row>
    <row r="511" spans="3:17" ht="18.75" x14ac:dyDescent="0.25">
      <c r="C511" s="143">
        <f>C510</f>
        <v>1</v>
      </c>
      <c r="D511" s="160"/>
      <c r="E511" s="159"/>
      <c r="F511" s="49" t="s">
        <v>57</v>
      </c>
      <c r="G511" s="49" t="s">
        <v>56</v>
      </c>
      <c r="H511" s="49" t="s">
        <v>55</v>
      </c>
      <c r="I511" s="49" t="s">
        <v>54</v>
      </c>
      <c r="J511" s="58" t="s">
        <v>53</v>
      </c>
      <c r="K511" s="49" t="s">
        <v>52</v>
      </c>
      <c r="L511" s="49" t="s">
        <v>51</v>
      </c>
      <c r="M511" s="49" t="s">
        <v>50</v>
      </c>
      <c r="N511" s="49" t="s">
        <v>49</v>
      </c>
      <c r="O511" s="49" t="s">
        <v>47</v>
      </c>
      <c r="P511" s="49" t="s">
        <v>77</v>
      </c>
      <c r="Q511" s="573" t="s">
        <v>78</v>
      </c>
    </row>
    <row r="512" spans="3:17" ht="18.75" x14ac:dyDescent="0.25">
      <c r="C512" s="143">
        <f>C511</f>
        <v>1</v>
      </c>
      <c r="D512" s="158" t="s">
        <v>26</v>
      </c>
      <c r="E512" s="157"/>
      <c r="F512" s="156"/>
      <c r="G512" s="156"/>
      <c r="H512" s="156"/>
      <c r="I512" s="155"/>
      <c r="J512" s="154"/>
      <c r="K512" s="154"/>
      <c r="L512" s="154"/>
      <c r="M512" s="154"/>
      <c r="N512" s="154"/>
      <c r="O512" s="154"/>
      <c r="P512" s="154"/>
      <c r="Q512" s="153"/>
    </row>
    <row r="513" spans="3:17" ht="18.75" x14ac:dyDescent="0.25">
      <c r="C513" s="143">
        <f t="shared" ref="C513:C522" si="461">C512</f>
        <v>1</v>
      </c>
      <c r="D513" s="152" t="s">
        <v>105</v>
      </c>
      <c r="E513" s="38" t="s">
        <v>57</v>
      </c>
      <c r="F513" s="168">
        <f t="shared" ref="F513:P513" si="462">F$6*$E510</f>
        <v>22.989960899597655</v>
      </c>
      <c r="G513" s="186">
        <f t="shared" si="462"/>
        <v>46047.131357860213</v>
      </c>
      <c r="H513" s="186">
        <f t="shared" si="462"/>
        <v>694.19014191023314</v>
      </c>
      <c r="I513" s="186">
        <f t="shared" si="462"/>
        <v>0</v>
      </c>
      <c r="J513" s="186">
        <f t="shared" si="462"/>
        <v>884.6433471416027</v>
      </c>
      <c r="K513" s="186">
        <f t="shared" si="462"/>
        <v>152.26711370906827</v>
      </c>
      <c r="L513" s="186">
        <f t="shared" si="462"/>
        <v>40.88671054199942</v>
      </c>
      <c r="M513" s="186">
        <f t="shared" si="462"/>
        <v>0</v>
      </c>
      <c r="N513" s="186">
        <f t="shared" si="462"/>
        <v>0</v>
      </c>
      <c r="O513" s="186">
        <f t="shared" si="462"/>
        <v>0</v>
      </c>
      <c r="P513" s="186">
        <f t="shared" si="462"/>
        <v>0</v>
      </c>
      <c r="Q513" s="189">
        <f>SUM(G513:P513)</f>
        <v>47819.118671163116</v>
      </c>
    </row>
    <row r="514" spans="3:17" ht="18.75" x14ac:dyDescent="0.25">
      <c r="C514" s="143">
        <f t="shared" si="461"/>
        <v>1</v>
      </c>
      <c r="D514" s="150" t="s">
        <v>31</v>
      </c>
      <c r="E514" s="38"/>
      <c r="F514" s="167"/>
      <c r="G514" s="185"/>
      <c r="H514" s="185"/>
      <c r="I514" s="187"/>
      <c r="J514" s="188"/>
      <c r="K514" s="188"/>
      <c r="L514" s="188"/>
      <c r="M514" s="188"/>
      <c r="N514" s="188"/>
      <c r="O514" s="188"/>
      <c r="P514" s="188"/>
      <c r="Q514" s="171"/>
    </row>
    <row r="515" spans="3:17" ht="18.75" x14ac:dyDescent="0.3">
      <c r="C515" s="143">
        <f t="shared" si="461"/>
        <v>1</v>
      </c>
      <c r="D515" s="149" t="s">
        <v>118</v>
      </c>
      <c r="E515" s="38" t="s">
        <v>56</v>
      </c>
      <c r="F515" s="168">
        <f t="shared" ref="F515:P515" si="463">F$8*$E510</f>
        <v>0</v>
      </c>
      <c r="G515" s="186">
        <f t="shared" si="463"/>
        <v>0</v>
      </c>
      <c r="H515" s="186">
        <f t="shared" si="463"/>
        <v>0</v>
      </c>
      <c r="I515" s="186">
        <f t="shared" si="463"/>
        <v>0</v>
      </c>
      <c r="J515" s="186">
        <f t="shared" si="463"/>
        <v>0</v>
      </c>
      <c r="K515" s="186">
        <f t="shared" si="463"/>
        <v>0</v>
      </c>
      <c r="L515" s="186">
        <f t="shared" si="463"/>
        <v>0</v>
      </c>
      <c r="M515" s="186">
        <f t="shared" si="463"/>
        <v>0</v>
      </c>
      <c r="N515" s="186">
        <f t="shared" si="463"/>
        <v>0</v>
      </c>
      <c r="O515" s="186">
        <f t="shared" si="463"/>
        <v>0</v>
      </c>
      <c r="P515" s="186">
        <f t="shared" si="463"/>
        <v>0</v>
      </c>
      <c r="Q515" s="189">
        <f t="shared" ref="Q515:Q521" si="464">SUM(G515:P515)</f>
        <v>0</v>
      </c>
    </row>
    <row r="516" spans="3:17" ht="18.75" x14ac:dyDescent="0.3">
      <c r="C516" s="143">
        <f t="shared" si="461"/>
        <v>1</v>
      </c>
      <c r="D516" s="149" t="s">
        <v>119</v>
      </c>
      <c r="E516" s="38" t="s">
        <v>55</v>
      </c>
      <c r="F516" s="168">
        <f t="shared" ref="F516:P516" si="465">F$9*$E510</f>
        <v>0</v>
      </c>
      <c r="G516" s="186">
        <f t="shared" si="465"/>
        <v>0</v>
      </c>
      <c r="H516" s="186">
        <f t="shared" si="465"/>
        <v>0</v>
      </c>
      <c r="I516" s="186">
        <f t="shared" si="465"/>
        <v>0</v>
      </c>
      <c r="J516" s="186">
        <f t="shared" si="465"/>
        <v>0</v>
      </c>
      <c r="K516" s="186">
        <f t="shared" si="465"/>
        <v>0</v>
      </c>
      <c r="L516" s="186">
        <f t="shared" si="465"/>
        <v>0</v>
      </c>
      <c r="M516" s="186">
        <f t="shared" si="465"/>
        <v>0</v>
      </c>
      <c r="N516" s="186">
        <f t="shared" si="465"/>
        <v>0</v>
      </c>
      <c r="O516" s="186">
        <f t="shared" si="465"/>
        <v>0</v>
      </c>
      <c r="P516" s="186">
        <f t="shared" si="465"/>
        <v>0</v>
      </c>
      <c r="Q516" s="189">
        <f t="shared" si="464"/>
        <v>0</v>
      </c>
    </row>
    <row r="517" spans="3:17" ht="18.75" x14ac:dyDescent="0.3">
      <c r="C517" s="143">
        <f t="shared" si="461"/>
        <v>1</v>
      </c>
      <c r="D517" s="149" t="s">
        <v>120</v>
      </c>
      <c r="E517" s="38" t="s">
        <v>54</v>
      </c>
      <c r="F517" s="168">
        <f t="shared" ref="F517:P517" si="466">F$10*$E510</f>
        <v>0</v>
      </c>
      <c r="G517" s="186">
        <f t="shared" si="466"/>
        <v>0</v>
      </c>
      <c r="H517" s="186">
        <f t="shared" si="466"/>
        <v>0</v>
      </c>
      <c r="I517" s="186">
        <f t="shared" si="466"/>
        <v>0</v>
      </c>
      <c r="J517" s="186">
        <f t="shared" si="466"/>
        <v>0</v>
      </c>
      <c r="K517" s="186">
        <f t="shared" si="466"/>
        <v>0</v>
      </c>
      <c r="L517" s="186">
        <f t="shared" si="466"/>
        <v>0</v>
      </c>
      <c r="M517" s="186">
        <f t="shared" si="466"/>
        <v>0</v>
      </c>
      <c r="N517" s="186">
        <f t="shared" si="466"/>
        <v>0</v>
      </c>
      <c r="O517" s="186">
        <f t="shared" si="466"/>
        <v>0</v>
      </c>
      <c r="P517" s="186">
        <f t="shared" si="466"/>
        <v>0</v>
      </c>
      <c r="Q517" s="189">
        <f t="shared" si="464"/>
        <v>0</v>
      </c>
    </row>
    <row r="518" spans="3:17" ht="18.75" x14ac:dyDescent="0.3">
      <c r="C518" s="143">
        <f t="shared" si="461"/>
        <v>1</v>
      </c>
      <c r="D518" s="149" t="s">
        <v>121</v>
      </c>
      <c r="E518" s="38" t="s">
        <v>53</v>
      </c>
      <c r="F518" s="168">
        <f t="shared" ref="F518:P518" si="467">F$11*$E510</f>
        <v>0</v>
      </c>
      <c r="G518" s="186">
        <f t="shared" si="467"/>
        <v>0</v>
      </c>
      <c r="H518" s="186">
        <f t="shared" si="467"/>
        <v>0</v>
      </c>
      <c r="I518" s="186">
        <f t="shared" si="467"/>
        <v>0</v>
      </c>
      <c r="J518" s="186">
        <f t="shared" si="467"/>
        <v>0</v>
      </c>
      <c r="K518" s="186">
        <f t="shared" si="467"/>
        <v>0</v>
      </c>
      <c r="L518" s="186">
        <f t="shared" si="467"/>
        <v>0</v>
      </c>
      <c r="M518" s="186">
        <f t="shared" si="467"/>
        <v>0</v>
      </c>
      <c r="N518" s="186">
        <f t="shared" si="467"/>
        <v>0</v>
      </c>
      <c r="O518" s="186">
        <f t="shared" si="467"/>
        <v>0</v>
      </c>
      <c r="P518" s="186">
        <f t="shared" si="467"/>
        <v>0</v>
      </c>
      <c r="Q518" s="189">
        <f t="shared" si="464"/>
        <v>0</v>
      </c>
    </row>
    <row r="519" spans="3:17" ht="18.75" x14ac:dyDescent="0.3">
      <c r="C519" s="143">
        <f t="shared" si="461"/>
        <v>1</v>
      </c>
      <c r="D519" s="149" t="s">
        <v>122</v>
      </c>
      <c r="E519" s="38" t="s">
        <v>52</v>
      </c>
      <c r="F519" s="168">
        <f t="shared" ref="F519:P519" si="468">F$12*$E510</f>
        <v>0</v>
      </c>
      <c r="G519" s="186">
        <f t="shared" si="468"/>
        <v>0</v>
      </c>
      <c r="H519" s="186">
        <f t="shared" si="468"/>
        <v>0</v>
      </c>
      <c r="I519" s="186">
        <f t="shared" si="468"/>
        <v>0</v>
      </c>
      <c r="J519" s="186">
        <f t="shared" si="468"/>
        <v>0</v>
      </c>
      <c r="K519" s="186">
        <f t="shared" si="468"/>
        <v>0</v>
      </c>
      <c r="L519" s="186">
        <f t="shared" si="468"/>
        <v>0</v>
      </c>
      <c r="M519" s="186">
        <f t="shared" si="468"/>
        <v>0</v>
      </c>
      <c r="N519" s="186">
        <f t="shared" si="468"/>
        <v>0</v>
      </c>
      <c r="O519" s="186">
        <f t="shared" si="468"/>
        <v>0</v>
      </c>
      <c r="P519" s="186">
        <f t="shared" si="468"/>
        <v>0</v>
      </c>
      <c r="Q519" s="189">
        <f t="shared" si="464"/>
        <v>0</v>
      </c>
    </row>
    <row r="520" spans="3:17" ht="18.75" x14ac:dyDescent="0.3">
      <c r="C520" s="143">
        <f t="shared" si="461"/>
        <v>1</v>
      </c>
      <c r="D520" s="149" t="s">
        <v>123</v>
      </c>
      <c r="E520" s="38" t="s">
        <v>51</v>
      </c>
      <c r="F520" s="168">
        <f t="shared" ref="F520:P520" si="469">F$13*$E510</f>
        <v>0</v>
      </c>
      <c r="G520" s="186">
        <f t="shared" si="469"/>
        <v>0</v>
      </c>
      <c r="H520" s="186">
        <f t="shared" si="469"/>
        <v>0</v>
      </c>
      <c r="I520" s="186">
        <f t="shared" si="469"/>
        <v>0</v>
      </c>
      <c r="J520" s="186">
        <f t="shared" si="469"/>
        <v>0</v>
      </c>
      <c r="K520" s="186">
        <f t="shared" si="469"/>
        <v>0</v>
      </c>
      <c r="L520" s="186">
        <f t="shared" si="469"/>
        <v>0</v>
      </c>
      <c r="M520" s="186">
        <f t="shared" si="469"/>
        <v>0</v>
      </c>
      <c r="N520" s="186">
        <f t="shared" si="469"/>
        <v>0</v>
      </c>
      <c r="O520" s="186">
        <f t="shared" si="469"/>
        <v>0</v>
      </c>
      <c r="P520" s="186">
        <f t="shared" si="469"/>
        <v>0</v>
      </c>
      <c r="Q520" s="189">
        <f t="shared" si="464"/>
        <v>0</v>
      </c>
    </row>
    <row r="521" spans="3:17" ht="19.5" thickBot="1" x14ac:dyDescent="0.35">
      <c r="C521" s="143">
        <f t="shared" si="461"/>
        <v>1</v>
      </c>
      <c r="D521" s="149" t="s">
        <v>16</v>
      </c>
      <c r="E521" s="37" t="s">
        <v>50</v>
      </c>
      <c r="F521" s="168">
        <f t="shared" ref="F521:P521" si="470">F$14*$E510</f>
        <v>1.5287632315753041</v>
      </c>
      <c r="G521" s="186">
        <f t="shared" si="470"/>
        <v>2759.1167710165469</v>
      </c>
      <c r="H521" s="186">
        <f t="shared" si="470"/>
        <v>53.763090949572437</v>
      </c>
      <c r="I521" s="186">
        <f t="shared" si="470"/>
        <v>0</v>
      </c>
      <c r="J521" s="186">
        <f t="shared" si="470"/>
        <v>0</v>
      </c>
      <c r="K521" s="186">
        <f t="shared" si="470"/>
        <v>192.65599842220743</v>
      </c>
      <c r="L521" s="186">
        <f t="shared" si="470"/>
        <v>0</v>
      </c>
      <c r="M521" s="186">
        <f t="shared" si="470"/>
        <v>0.10340522516332352</v>
      </c>
      <c r="N521" s="186">
        <f t="shared" si="470"/>
        <v>0</v>
      </c>
      <c r="O521" s="186">
        <f t="shared" si="470"/>
        <v>0</v>
      </c>
      <c r="P521" s="186">
        <f t="shared" si="470"/>
        <v>174.18825606314269</v>
      </c>
      <c r="Q521" s="189">
        <f t="shared" si="464"/>
        <v>3179.8275216766328</v>
      </c>
    </row>
    <row r="522" spans="3:17" ht="19.5" thickBot="1" x14ac:dyDescent="0.3">
      <c r="C522" s="143">
        <f t="shared" si="461"/>
        <v>1</v>
      </c>
      <c r="D522" s="148" t="s">
        <v>124</v>
      </c>
      <c r="E522" s="147" t="s">
        <v>49</v>
      </c>
      <c r="F522" s="169">
        <f t="shared" ref="F522:Q522" si="471">SUBTOTAL(9,F513:F521)</f>
        <v>24.518724131172959</v>
      </c>
      <c r="G522" s="170">
        <f t="shared" si="471"/>
        <v>48806.248128876759</v>
      </c>
      <c r="H522" s="170">
        <f t="shared" si="471"/>
        <v>747.95323285980555</v>
      </c>
      <c r="I522" s="170">
        <f t="shared" si="471"/>
        <v>0</v>
      </c>
      <c r="J522" s="170">
        <f t="shared" si="471"/>
        <v>884.6433471416027</v>
      </c>
      <c r="K522" s="170">
        <f t="shared" ref="K522:P522" si="472">SUBTOTAL(9,K513:K521)</f>
        <v>344.92311213127573</v>
      </c>
      <c r="L522" s="170">
        <f t="shared" si="472"/>
        <v>40.88671054199942</v>
      </c>
      <c r="M522" s="170">
        <f t="shared" si="472"/>
        <v>0.10340522516332352</v>
      </c>
      <c r="N522" s="170">
        <f t="shared" si="472"/>
        <v>0</v>
      </c>
      <c r="O522" s="170">
        <f t="shared" si="472"/>
        <v>0</v>
      </c>
      <c r="P522" s="170">
        <f t="shared" si="472"/>
        <v>174.18825606314269</v>
      </c>
      <c r="Q522" s="170">
        <f t="shared" si="471"/>
        <v>50998.94619283975</v>
      </c>
    </row>
    <row r="523" spans="3:17" ht="15.75" hidden="1" thickBot="1" x14ac:dyDescent="0.3"/>
    <row r="524" spans="3:17" ht="45" x14ac:dyDescent="0.25">
      <c r="C524" s="143">
        <f>IF(E524&gt;0,1,0)</f>
        <v>1</v>
      </c>
      <c r="D524" s="163" t="str">
        <f>A40</f>
        <v>Orleans</v>
      </c>
      <c r="E524" s="166">
        <f>SUMIF(A:A,D524,B:B)</f>
        <v>1.1805826190968058E-3</v>
      </c>
      <c r="F524" s="509" t="s">
        <v>97</v>
      </c>
      <c r="G524" s="509" t="s">
        <v>126</v>
      </c>
      <c r="H524" s="509" t="s">
        <v>127</v>
      </c>
      <c r="I524" s="508" t="s">
        <v>128</v>
      </c>
      <c r="J524" s="508" t="s">
        <v>487</v>
      </c>
      <c r="K524" s="508" t="s">
        <v>474</v>
      </c>
      <c r="L524" s="508" t="s">
        <v>475</v>
      </c>
      <c r="M524" s="508" t="s">
        <v>476</v>
      </c>
      <c r="N524" s="508" t="s">
        <v>477</v>
      </c>
      <c r="O524" s="508" t="s">
        <v>478</v>
      </c>
      <c r="P524" s="508" t="s">
        <v>479</v>
      </c>
      <c r="Q524" s="508" t="s">
        <v>129</v>
      </c>
    </row>
    <row r="525" spans="3:17" ht="18.75" x14ac:dyDescent="0.25">
      <c r="C525" s="143">
        <f>C524</f>
        <v>1</v>
      </c>
      <c r="D525" s="160"/>
      <c r="E525" s="159"/>
      <c r="F525" s="49" t="s">
        <v>57</v>
      </c>
      <c r="G525" s="49" t="s">
        <v>56</v>
      </c>
      <c r="H525" s="49" t="s">
        <v>55</v>
      </c>
      <c r="I525" s="49" t="s">
        <v>54</v>
      </c>
      <c r="J525" s="58" t="s">
        <v>53</v>
      </c>
      <c r="K525" s="49" t="s">
        <v>52</v>
      </c>
      <c r="L525" s="49" t="s">
        <v>51</v>
      </c>
      <c r="M525" s="49" t="s">
        <v>50</v>
      </c>
      <c r="N525" s="49" t="s">
        <v>49</v>
      </c>
      <c r="O525" s="49" t="s">
        <v>47</v>
      </c>
      <c r="P525" s="49" t="s">
        <v>77</v>
      </c>
      <c r="Q525" s="573" t="s">
        <v>78</v>
      </c>
    </row>
    <row r="526" spans="3:17" ht="18.75" x14ac:dyDescent="0.25">
      <c r="C526" s="143">
        <f>C525</f>
        <v>1</v>
      </c>
      <c r="D526" s="158" t="s">
        <v>26</v>
      </c>
      <c r="E526" s="157"/>
      <c r="F526" s="156"/>
      <c r="G526" s="156"/>
      <c r="H526" s="156"/>
      <c r="I526" s="155"/>
      <c r="J526" s="154"/>
      <c r="K526" s="154"/>
      <c r="L526" s="154"/>
      <c r="M526" s="154"/>
      <c r="N526" s="154"/>
      <c r="O526" s="154"/>
      <c r="P526" s="154"/>
      <c r="Q526" s="153"/>
    </row>
    <row r="527" spans="3:17" ht="18.75" x14ac:dyDescent="0.25">
      <c r="C527" s="143">
        <f t="shared" ref="C527:C536" si="473">C526</f>
        <v>1</v>
      </c>
      <c r="D527" s="152" t="s">
        <v>105</v>
      </c>
      <c r="E527" s="38" t="s">
        <v>57</v>
      </c>
      <c r="F527" s="168">
        <f t="shared" ref="F527:P527" si="474">F$6*$E524</f>
        <v>2.2077101068239595</v>
      </c>
      <c r="G527" s="186">
        <f t="shared" si="474"/>
        <v>4421.8743012641489</v>
      </c>
      <c r="H527" s="186">
        <f t="shared" si="474"/>
        <v>66.662601082527374</v>
      </c>
      <c r="I527" s="186">
        <f t="shared" si="474"/>
        <v>0</v>
      </c>
      <c r="J527" s="186">
        <f t="shared" si="474"/>
        <v>84.951691172875059</v>
      </c>
      <c r="K527" s="186">
        <f t="shared" si="474"/>
        <v>14.622106028823488</v>
      </c>
      <c r="L527" s="186">
        <f t="shared" si="474"/>
        <v>3.9263226454612021</v>
      </c>
      <c r="M527" s="186">
        <f t="shared" si="474"/>
        <v>0</v>
      </c>
      <c r="N527" s="186">
        <f t="shared" si="474"/>
        <v>0</v>
      </c>
      <c r="O527" s="186">
        <f t="shared" si="474"/>
        <v>0</v>
      </c>
      <c r="P527" s="186">
        <f t="shared" si="474"/>
        <v>0</v>
      </c>
      <c r="Q527" s="189">
        <f>SUM(G527:P527)</f>
        <v>4592.0370221938365</v>
      </c>
    </row>
    <row r="528" spans="3:17" ht="18.75" x14ac:dyDescent="0.25">
      <c r="C528" s="143">
        <f t="shared" si="473"/>
        <v>1</v>
      </c>
      <c r="D528" s="150" t="s">
        <v>31</v>
      </c>
      <c r="E528" s="38"/>
      <c r="F528" s="167"/>
      <c r="G528" s="185"/>
      <c r="H528" s="185"/>
      <c r="I528" s="187"/>
      <c r="J528" s="188"/>
      <c r="K528" s="188"/>
      <c r="L528" s="188"/>
      <c r="M528" s="188"/>
      <c r="N528" s="188"/>
      <c r="O528" s="188"/>
      <c r="P528" s="188"/>
      <c r="Q528" s="171"/>
    </row>
    <row r="529" spans="3:17" ht="18.75" x14ac:dyDescent="0.3">
      <c r="C529" s="143">
        <f t="shared" si="473"/>
        <v>1</v>
      </c>
      <c r="D529" s="149" t="s">
        <v>118</v>
      </c>
      <c r="E529" s="38" t="s">
        <v>56</v>
      </c>
      <c r="F529" s="168">
        <f t="shared" ref="F529:P529" si="475">F$8*$E524</f>
        <v>0</v>
      </c>
      <c r="G529" s="186">
        <f t="shared" si="475"/>
        <v>0</v>
      </c>
      <c r="H529" s="186">
        <f t="shared" si="475"/>
        <v>0</v>
      </c>
      <c r="I529" s="186">
        <f t="shared" si="475"/>
        <v>0</v>
      </c>
      <c r="J529" s="186">
        <f t="shared" si="475"/>
        <v>0</v>
      </c>
      <c r="K529" s="186">
        <f t="shared" si="475"/>
        <v>0</v>
      </c>
      <c r="L529" s="186">
        <f t="shared" si="475"/>
        <v>0</v>
      </c>
      <c r="M529" s="186">
        <f t="shared" si="475"/>
        <v>0</v>
      </c>
      <c r="N529" s="186">
        <f t="shared" si="475"/>
        <v>0</v>
      </c>
      <c r="O529" s="186">
        <f t="shared" si="475"/>
        <v>0</v>
      </c>
      <c r="P529" s="186">
        <f t="shared" si="475"/>
        <v>0</v>
      </c>
      <c r="Q529" s="189">
        <f t="shared" ref="Q529:Q535" si="476">SUM(G529:P529)</f>
        <v>0</v>
      </c>
    </row>
    <row r="530" spans="3:17" ht="18.75" x14ac:dyDescent="0.3">
      <c r="C530" s="143">
        <f t="shared" si="473"/>
        <v>1</v>
      </c>
      <c r="D530" s="149" t="s">
        <v>119</v>
      </c>
      <c r="E530" s="38" t="s">
        <v>55</v>
      </c>
      <c r="F530" s="168">
        <f t="shared" ref="F530:P530" si="477">F$9*$E524</f>
        <v>0</v>
      </c>
      <c r="G530" s="186">
        <f t="shared" si="477"/>
        <v>0</v>
      </c>
      <c r="H530" s="186">
        <f t="shared" si="477"/>
        <v>0</v>
      </c>
      <c r="I530" s="186">
        <f t="shared" si="477"/>
        <v>0</v>
      </c>
      <c r="J530" s="186">
        <f t="shared" si="477"/>
        <v>0</v>
      </c>
      <c r="K530" s="186">
        <f t="shared" si="477"/>
        <v>0</v>
      </c>
      <c r="L530" s="186">
        <f t="shared" si="477"/>
        <v>0</v>
      </c>
      <c r="M530" s="186">
        <f t="shared" si="477"/>
        <v>0</v>
      </c>
      <c r="N530" s="186">
        <f t="shared" si="477"/>
        <v>0</v>
      </c>
      <c r="O530" s="186">
        <f t="shared" si="477"/>
        <v>0</v>
      </c>
      <c r="P530" s="186">
        <f t="shared" si="477"/>
        <v>0</v>
      </c>
      <c r="Q530" s="189">
        <f t="shared" si="476"/>
        <v>0</v>
      </c>
    </row>
    <row r="531" spans="3:17" ht="18.75" x14ac:dyDescent="0.3">
      <c r="C531" s="143">
        <f t="shared" si="473"/>
        <v>1</v>
      </c>
      <c r="D531" s="149" t="s">
        <v>120</v>
      </c>
      <c r="E531" s="38" t="s">
        <v>54</v>
      </c>
      <c r="F531" s="168">
        <f t="shared" ref="F531:P531" si="478">F$10*$E524</f>
        <v>0</v>
      </c>
      <c r="G531" s="186">
        <f t="shared" si="478"/>
        <v>0</v>
      </c>
      <c r="H531" s="186">
        <f t="shared" si="478"/>
        <v>0</v>
      </c>
      <c r="I531" s="186">
        <f t="shared" si="478"/>
        <v>0</v>
      </c>
      <c r="J531" s="186">
        <f t="shared" si="478"/>
        <v>0</v>
      </c>
      <c r="K531" s="186">
        <f t="shared" si="478"/>
        <v>0</v>
      </c>
      <c r="L531" s="186">
        <f t="shared" si="478"/>
        <v>0</v>
      </c>
      <c r="M531" s="186">
        <f t="shared" si="478"/>
        <v>0</v>
      </c>
      <c r="N531" s="186">
        <f t="shared" si="478"/>
        <v>0</v>
      </c>
      <c r="O531" s="186">
        <f t="shared" si="478"/>
        <v>0</v>
      </c>
      <c r="P531" s="186">
        <f t="shared" si="478"/>
        <v>0</v>
      </c>
      <c r="Q531" s="189">
        <f t="shared" si="476"/>
        <v>0</v>
      </c>
    </row>
    <row r="532" spans="3:17" ht="18.75" x14ac:dyDescent="0.3">
      <c r="C532" s="143">
        <f t="shared" si="473"/>
        <v>1</v>
      </c>
      <c r="D532" s="149" t="s">
        <v>121</v>
      </c>
      <c r="E532" s="38" t="s">
        <v>53</v>
      </c>
      <c r="F532" s="168">
        <f t="shared" ref="F532:P532" si="479">F$11*$E524</f>
        <v>0</v>
      </c>
      <c r="G532" s="186">
        <f t="shared" si="479"/>
        <v>0</v>
      </c>
      <c r="H532" s="186">
        <f t="shared" si="479"/>
        <v>0</v>
      </c>
      <c r="I532" s="186">
        <f t="shared" si="479"/>
        <v>0</v>
      </c>
      <c r="J532" s="186">
        <f t="shared" si="479"/>
        <v>0</v>
      </c>
      <c r="K532" s="186">
        <f t="shared" si="479"/>
        <v>0</v>
      </c>
      <c r="L532" s="186">
        <f t="shared" si="479"/>
        <v>0</v>
      </c>
      <c r="M532" s="186">
        <f t="shared" si="479"/>
        <v>0</v>
      </c>
      <c r="N532" s="186">
        <f t="shared" si="479"/>
        <v>0</v>
      </c>
      <c r="O532" s="186">
        <f t="shared" si="479"/>
        <v>0</v>
      </c>
      <c r="P532" s="186">
        <f t="shared" si="479"/>
        <v>0</v>
      </c>
      <c r="Q532" s="189">
        <f t="shared" si="476"/>
        <v>0</v>
      </c>
    </row>
    <row r="533" spans="3:17" ht="18.75" x14ac:dyDescent="0.3">
      <c r="C533" s="143">
        <f t="shared" si="473"/>
        <v>1</v>
      </c>
      <c r="D533" s="149" t="s">
        <v>122</v>
      </c>
      <c r="E533" s="38" t="s">
        <v>52</v>
      </c>
      <c r="F533" s="168">
        <f t="shared" ref="F533:P533" si="480">F$12*$E524</f>
        <v>0</v>
      </c>
      <c r="G533" s="186">
        <f t="shared" si="480"/>
        <v>0</v>
      </c>
      <c r="H533" s="186">
        <f t="shared" si="480"/>
        <v>0</v>
      </c>
      <c r="I533" s="186">
        <f t="shared" si="480"/>
        <v>0</v>
      </c>
      <c r="J533" s="186">
        <f t="shared" si="480"/>
        <v>0</v>
      </c>
      <c r="K533" s="186">
        <f t="shared" si="480"/>
        <v>0</v>
      </c>
      <c r="L533" s="186">
        <f t="shared" si="480"/>
        <v>0</v>
      </c>
      <c r="M533" s="186">
        <f t="shared" si="480"/>
        <v>0</v>
      </c>
      <c r="N533" s="186">
        <f t="shared" si="480"/>
        <v>0</v>
      </c>
      <c r="O533" s="186">
        <f t="shared" si="480"/>
        <v>0</v>
      </c>
      <c r="P533" s="186">
        <f t="shared" si="480"/>
        <v>0</v>
      </c>
      <c r="Q533" s="189">
        <f t="shared" si="476"/>
        <v>0</v>
      </c>
    </row>
    <row r="534" spans="3:17" ht="18.75" x14ac:dyDescent="0.3">
      <c r="C534" s="143">
        <f t="shared" si="473"/>
        <v>1</v>
      </c>
      <c r="D534" s="149" t="s">
        <v>123</v>
      </c>
      <c r="E534" s="38" t="s">
        <v>51</v>
      </c>
      <c r="F534" s="168">
        <f t="shared" ref="F534:P534" si="481">F$13*$E524</f>
        <v>0</v>
      </c>
      <c r="G534" s="186">
        <f t="shared" si="481"/>
        <v>0</v>
      </c>
      <c r="H534" s="186">
        <f t="shared" si="481"/>
        <v>0</v>
      </c>
      <c r="I534" s="186">
        <f t="shared" si="481"/>
        <v>0</v>
      </c>
      <c r="J534" s="186">
        <f t="shared" si="481"/>
        <v>0</v>
      </c>
      <c r="K534" s="186">
        <f t="shared" si="481"/>
        <v>0</v>
      </c>
      <c r="L534" s="186">
        <f t="shared" si="481"/>
        <v>0</v>
      </c>
      <c r="M534" s="186">
        <f t="shared" si="481"/>
        <v>0</v>
      </c>
      <c r="N534" s="186">
        <f t="shared" si="481"/>
        <v>0</v>
      </c>
      <c r="O534" s="186">
        <f t="shared" si="481"/>
        <v>0</v>
      </c>
      <c r="P534" s="186">
        <f t="shared" si="481"/>
        <v>0</v>
      </c>
      <c r="Q534" s="189">
        <f t="shared" si="476"/>
        <v>0</v>
      </c>
    </row>
    <row r="535" spans="3:17" ht="19.5" thickBot="1" x14ac:dyDescent="0.35">
      <c r="C535" s="143">
        <f t="shared" si="473"/>
        <v>1</v>
      </c>
      <c r="D535" s="149" t="s">
        <v>16</v>
      </c>
      <c r="E535" s="37" t="s">
        <v>50</v>
      </c>
      <c r="F535" s="168">
        <f t="shared" ref="F535:P535" si="482">F$14*$E524</f>
        <v>0.14680607992459541</v>
      </c>
      <c r="G535" s="186">
        <f t="shared" si="482"/>
        <v>264.95608269552656</v>
      </c>
      <c r="H535" s="186">
        <f t="shared" si="482"/>
        <v>5.1628325851369352</v>
      </c>
      <c r="I535" s="186">
        <f t="shared" si="482"/>
        <v>0</v>
      </c>
      <c r="J535" s="186">
        <f t="shared" si="482"/>
        <v>0</v>
      </c>
      <c r="K535" s="186">
        <f t="shared" si="482"/>
        <v>18.500622802904019</v>
      </c>
      <c r="L535" s="186">
        <f t="shared" si="482"/>
        <v>0</v>
      </c>
      <c r="M535" s="186">
        <f t="shared" si="482"/>
        <v>9.9299325339640681E-3</v>
      </c>
      <c r="N535" s="186">
        <f t="shared" si="482"/>
        <v>0</v>
      </c>
      <c r="O535" s="186">
        <f t="shared" si="482"/>
        <v>0</v>
      </c>
      <c r="P535" s="186">
        <f t="shared" si="482"/>
        <v>16.727178227056928</v>
      </c>
      <c r="Q535" s="189">
        <f t="shared" si="476"/>
        <v>305.35664624315837</v>
      </c>
    </row>
    <row r="536" spans="3:17" ht="19.5" thickBot="1" x14ac:dyDescent="0.3">
      <c r="C536" s="143">
        <f t="shared" si="473"/>
        <v>1</v>
      </c>
      <c r="D536" s="148" t="s">
        <v>124</v>
      </c>
      <c r="E536" s="147" t="s">
        <v>49</v>
      </c>
      <c r="F536" s="169">
        <f t="shared" ref="F536:Q536" si="483">SUBTOTAL(9,F527:F535)</f>
        <v>2.3545161867485551</v>
      </c>
      <c r="G536" s="170">
        <f t="shared" si="483"/>
        <v>4686.8303839596756</v>
      </c>
      <c r="H536" s="170">
        <f t="shared" si="483"/>
        <v>71.825433667664313</v>
      </c>
      <c r="I536" s="170">
        <f t="shared" si="483"/>
        <v>0</v>
      </c>
      <c r="J536" s="170">
        <f t="shared" si="483"/>
        <v>84.951691172875059</v>
      </c>
      <c r="K536" s="170">
        <f t="shared" ref="K536:P536" si="484">SUBTOTAL(9,K527:K535)</f>
        <v>33.122728831727507</v>
      </c>
      <c r="L536" s="170">
        <f t="shared" si="484"/>
        <v>3.9263226454612021</v>
      </c>
      <c r="M536" s="170">
        <f t="shared" si="484"/>
        <v>9.9299325339640681E-3</v>
      </c>
      <c r="N536" s="170">
        <f t="shared" si="484"/>
        <v>0</v>
      </c>
      <c r="O536" s="170">
        <f t="shared" si="484"/>
        <v>0</v>
      </c>
      <c r="P536" s="170">
        <f t="shared" si="484"/>
        <v>16.727178227056928</v>
      </c>
      <c r="Q536" s="170">
        <f t="shared" si="483"/>
        <v>4897.3936684369946</v>
      </c>
    </row>
    <row r="537" spans="3:17" ht="15.75" hidden="1" thickBot="1" x14ac:dyDescent="0.3"/>
    <row r="538" spans="3:17" ht="45" x14ac:dyDescent="0.25">
      <c r="C538" s="143">
        <f>IF(E538&gt;0,1,0)</f>
        <v>1</v>
      </c>
      <c r="D538" s="163" t="str">
        <f>A41</f>
        <v>Oswego</v>
      </c>
      <c r="E538" s="166">
        <f>SUMIF(A:A,D538,B:B)</f>
        <v>3.9130855242887541E-3</v>
      </c>
      <c r="F538" s="509" t="s">
        <v>97</v>
      </c>
      <c r="G538" s="509" t="s">
        <v>126</v>
      </c>
      <c r="H538" s="509" t="s">
        <v>127</v>
      </c>
      <c r="I538" s="508" t="s">
        <v>128</v>
      </c>
      <c r="J538" s="508" t="s">
        <v>487</v>
      </c>
      <c r="K538" s="508" t="s">
        <v>474</v>
      </c>
      <c r="L538" s="508" t="s">
        <v>475</v>
      </c>
      <c r="M538" s="508" t="s">
        <v>476</v>
      </c>
      <c r="N538" s="508" t="s">
        <v>477</v>
      </c>
      <c r="O538" s="508" t="s">
        <v>478</v>
      </c>
      <c r="P538" s="508" t="s">
        <v>479</v>
      </c>
      <c r="Q538" s="508" t="s">
        <v>129</v>
      </c>
    </row>
    <row r="539" spans="3:17" ht="18.75" x14ac:dyDescent="0.25">
      <c r="C539" s="143">
        <f>C538</f>
        <v>1</v>
      </c>
      <c r="D539" s="160"/>
      <c r="E539" s="159"/>
      <c r="F539" s="49" t="s">
        <v>57</v>
      </c>
      <c r="G539" s="49" t="s">
        <v>56</v>
      </c>
      <c r="H539" s="49" t="s">
        <v>55</v>
      </c>
      <c r="I539" s="49" t="s">
        <v>54</v>
      </c>
      <c r="J539" s="58" t="s">
        <v>53</v>
      </c>
      <c r="K539" s="49" t="s">
        <v>52</v>
      </c>
      <c r="L539" s="49" t="s">
        <v>51</v>
      </c>
      <c r="M539" s="49" t="s">
        <v>50</v>
      </c>
      <c r="N539" s="49" t="s">
        <v>49</v>
      </c>
      <c r="O539" s="49" t="s">
        <v>47</v>
      </c>
      <c r="P539" s="49" t="s">
        <v>77</v>
      </c>
      <c r="Q539" s="573" t="s">
        <v>78</v>
      </c>
    </row>
    <row r="540" spans="3:17" ht="18.75" x14ac:dyDescent="0.25">
      <c r="C540" s="143">
        <f>C539</f>
        <v>1</v>
      </c>
      <c r="D540" s="158" t="s">
        <v>26</v>
      </c>
      <c r="E540" s="157"/>
      <c r="F540" s="156"/>
      <c r="G540" s="156"/>
      <c r="H540" s="156"/>
      <c r="I540" s="155"/>
      <c r="J540" s="154"/>
      <c r="K540" s="154"/>
      <c r="L540" s="154"/>
      <c r="M540" s="154"/>
      <c r="N540" s="154"/>
      <c r="O540" s="154"/>
      <c r="P540" s="154"/>
      <c r="Q540" s="153"/>
    </row>
    <row r="541" spans="3:17" ht="18.75" x14ac:dyDescent="0.25">
      <c r="C541" s="143">
        <f t="shared" ref="C541:C550" si="485">C540</f>
        <v>1</v>
      </c>
      <c r="D541" s="152" t="s">
        <v>105</v>
      </c>
      <c r="E541" s="38" t="s">
        <v>57</v>
      </c>
      <c r="F541" s="168">
        <f t="shared" ref="F541:P541" si="486">F$6*$E538</f>
        <v>7.3175382401004452</v>
      </c>
      <c r="G541" s="186">
        <f t="shared" si="486"/>
        <v>14656.468796515763</v>
      </c>
      <c r="H541" s="186">
        <f t="shared" si="486"/>
        <v>220.95570025166015</v>
      </c>
      <c r="I541" s="186">
        <f t="shared" si="486"/>
        <v>0</v>
      </c>
      <c r="J541" s="186">
        <f t="shared" si="486"/>
        <v>281.57557769802128</v>
      </c>
      <c r="K541" s="186">
        <f t="shared" si="486"/>
        <v>48.465520761078366</v>
      </c>
      <c r="L541" s="186">
        <f t="shared" si="486"/>
        <v>13.013944182403323</v>
      </c>
      <c r="M541" s="186">
        <f t="shared" si="486"/>
        <v>0</v>
      </c>
      <c r="N541" s="186">
        <f t="shared" si="486"/>
        <v>0</v>
      </c>
      <c r="O541" s="186">
        <f t="shared" si="486"/>
        <v>0</v>
      </c>
      <c r="P541" s="186">
        <f t="shared" si="486"/>
        <v>0</v>
      </c>
      <c r="Q541" s="189">
        <f>SUM(G541:P541)</f>
        <v>15220.479539408923</v>
      </c>
    </row>
    <row r="542" spans="3:17" ht="18.75" x14ac:dyDescent="0.25">
      <c r="C542" s="143">
        <f t="shared" si="485"/>
        <v>1</v>
      </c>
      <c r="D542" s="150" t="s">
        <v>31</v>
      </c>
      <c r="E542" s="38"/>
      <c r="F542" s="167"/>
      <c r="G542" s="185"/>
      <c r="H542" s="185"/>
      <c r="I542" s="187"/>
      <c r="J542" s="188"/>
      <c r="K542" s="188"/>
      <c r="L542" s="188"/>
      <c r="M542" s="188"/>
      <c r="N542" s="188"/>
      <c r="O542" s="188"/>
      <c r="P542" s="188"/>
      <c r="Q542" s="171"/>
    </row>
    <row r="543" spans="3:17" ht="18.75" x14ac:dyDescent="0.3">
      <c r="C543" s="143">
        <f t="shared" si="485"/>
        <v>1</v>
      </c>
      <c r="D543" s="149" t="s">
        <v>118</v>
      </c>
      <c r="E543" s="38" t="s">
        <v>56</v>
      </c>
      <c r="F543" s="168">
        <f t="shared" ref="F543:P543" si="487">F$8*$E538</f>
        <v>0</v>
      </c>
      <c r="G543" s="186">
        <f t="shared" si="487"/>
        <v>0</v>
      </c>
      <c r="H543" s="186">
        <f t="shared" si="487"/>
        <v>0</v>
      </c>
      <c r="I543" s="186">
        <f t="shared" si="487"/>
        <v>0</v>
      </c>
      <c r="J543" s="186">
        <f t="shared" si="487"/>
        <v>0</v>
      </c>
      <c r="K543" s="186">
        <f t="shared" si="487"/>
        <v>0</v>
      </c>
      <c r="L543" s="186">
        <f t="shared" si="487"/>
        <v>0</v>
      </c>
      <c r="M543" s="186">
        <f t="shared" si="487"/>
        <v>0</v>
      </c>
      <c r="N543" s="186">
        <f t="shared" si="487"/>
        <v>0</v>
      </c>
      <c r="O543" s="186">
        <f t="shared" si="487"/>
        <v>0</v>
      </c>
      <c r="P543" s="186">
        <f t="shared" si="487"/>
        <v>0</v>
      </c>
      <c r="Q543" s="189">
        <f t="shared" ref="Q543:Q549" si="488">SUM(G543:P543)</f>
        <v>0</v>
      </c>
    </row>
    <row r="544" spans="3:17" ht="18.75" x14ac:dyDescent="0.3">
      <c r="C544" s="143">
        <f t="shared" si="485"/>
        <v>1</v>
      </c>
      <c r="D544" s="149" t="s">
        <v>119</v>
      </c>
      <c r="E544" s="38" t="s">
        <v>55</v>
      </c>
      <c r="F544" s="168">
        <f t="shared" ref="F544:P544" si="489">F$9*$E538</f>
        <v>0</v>
      </c>
      <c r="G544" s="186">
        <f t="shared" si="489"/>
        <v>0</v>
      </c>
      <c r="H544" s="186">
        <f t="shared" si="489"/>
        <v>0</v>
      </c>
      <c r="I544" s="186">
        <f t="shared" si="489"/>
        <v>0</v>
      </c>
      <c r="J544" s="186">
        <f t="shared" si="489"/>
        <v>0</v>
      </c>
      <c r="K544" s="186">
        <f t="shared" si="489"/>
        <v>0</v>
      </c>
      <c r="L544" s="186">
        <f t="shared" si="489"/>
        <v>0</v>
      </c>
      <c r="M544" s="186">
        <f t="shared" si="489"/>
        <v>0</v>
      </c>
      <c r="N544" s="186">
        <f t="shared" si="489"/>
        <v>0</v>
      </c>
      <c r="O544" s="186">
        <f t="shared" si="489"/>
        <v>0</v>
      </c>
      <c r="P544" s="186">
        <f t="shared" si="489"/>
        <v>0</v>
      </c>
      <c r="Q544" s="189">
        <f t="shared" si="488"/>
        <v>0</v>
      </c>
    </row>
    <row r="545" spans="3:17" ht="18.75" x14ac:dyDescent="0.3">
      <c r="C545" s="143">
        <f t="shared" si="485"/>
        <v>1</v>
      </c>
      <c r="D545" s="149" t="s">
        <v>120</v>
      </c>
      <c r="E545" s="38" t="s">
        <v>54</v>
      </c>
      <c r="F545" s="168">
        <f t="shared" ref="F545:P545" si="490">F$10*$E538</f>
        <v>0</v>
      </c>
      <c r="G545" s="186">
        <f t="shared" si="490"/>
        <v>0</v>
      </c>
      <c r="H545" s="186">
        <f t="shared" si="490"/>
        <v>0</v>
      </c>
      <c r="I545" s="186">
        <f t="shared" si="490"/>
        <v>0</v>
      </c>
      <c r="J545" s="186">
        <f t="shared" si="490"/>
        <v>0</v>
      </c>
      <c r="K545" s="186">
        <f t="shared" si="490"/>
        <v>0</v>
      </c>
      <c r="L545" s="186">
        <f t="shared" si="490"/>
        <v>0</v>
      </c>
      <c r="M545" s="186">
        <f t="shared" si="490"/>
        <v>0</v>
      </c>
      <c r="N545" s="186">
        <f t="shared" si="490"/>
        <v>0</v>
      </c>
      <c r="O545" s="186">
        <f t="shared" si="490"/>
        <v>0</v>
      </c>
      <c r="P545" s="186">
        <f t="shared" si="490"/>
        <v>0</v>
      </c>
      <c r="Q545" s="189">
        <f t="shared" si="488"/>
        <v>0</v>
      </c>
    </row>
    <row r="546" spans="3:17" ht="18.75" x14ac:dyDescent="0.3">
      <c r="C546" s="143">
        <f t="shared" si="485"/>
        <v>1</v>
      </c>
      <c r="D546" s="149" t="s">
        <v>121</v>
      </c>
      <c r="E546" s="38" t="s">
        <v>53</v>
      </c>
      <c r="F546" s="168">
        <f t="shared" ref="F546:P546" si="491">F$11*$E538</f>
        <v>0</v>
      </c>
      <c r="G546" s="186">
        <f t="shared" si="491"/>
        <v>0</v>
      </c>
      <c r="H546" s="186">
        <f t="shared" si="491"/>
        <v>0</v>
      </c>
      <c r="I546" s="186">
        <f t="shared" si="491"/>
        <v>0</v>
      </c>
      <c r="J546" s="186">
        <f t="shared" si="491"/>
        <v>0</v>
      </c>
      <c r="K546" s="186">
        <f t="shared" si="491"/>
        <v>0</v>
      </c>
      <c r="L546" s="186">
        <f t="shared" si="491"/>
        <v>0</v>
      </c>
      <c r="M546" s="186">
        <f t="shared" si="491"/>
        <v>0</v>
      </c>
      <c r="N546" s="186">
        <f t="shared" si="491"/>
        <v>0</v>
      </c>
      <c r="O546" s="186">
        <f t="shared" si="491"/>
        <v>0</v>
      </c>
      <c r="P546" s="186">
        <f t="shared" si="491"/>
        <v>0</v>
      </c>
      <c r="Q546" s="189">
        <f t="shared" si="488"/>
        <v>0</v>
      </c>
    </row>
    <row r="547" spans="3:17" ht="18.75" x14ac:dyDescent="0.3">
      <c r="C547" s="143">
        <f t="shared" si="485"/>
        <v>1</v>
      </c>
      <c r="D547" s="149" t="s">
        <v>122</v>
      </c>
      <c r="E547" s="38" t="s">
        <v>52</v>
      </c>
      <c r="F547" s="168">
        <f t="shared" ref="F547:P547" si="492">F$12*$E538</f>
        <v>0</v>
      </c>
      <c r="G547" s="186">
        <f t="shared" si="492"/>
        <v>0</v>
      </c>
      <c r="H547" s="186">
        <f t="shared" si="492"/>
        <v>0</v>
      </c>
      <c r="I547" s="186">
        <f t="shared" si="492"/>
        <v>0</v>
      </c>
      <c r="J547" s="186">
        <f t="shared" si="492"/>
        <v>0</v>
      </c>
      <c r="K547" s="186">
        <f t="shared" si="492"/>
        <v>0</v>
      </c>
      <c r="L547" s="186">
        <f t="shared" si="492"/>
        <v>0</v>
      </c>
      <c r="M547" s="186">
        <f t="shared" si="492"/>
        <v>0</v>
      </c>
      <c r="N547" s="186">
        <f t="shared" si="492"/>
        <v>0</v>
      </c>
      <c r="O547" s="186">
        <f t="shared" si="492"/>
        <v>0</v>
      </c>
      <c r="P547" s="186">
        <f t="shared" si="492"/>
        <v>0</v>
      </c>
      <c r="Q547" s="189">
        <f t="shared" si="488"/>
        <v>0</v>
      </c>
    </row>
    <row r="548" spans="3:17" ht="18.75" x14ac:dyDescent="0.3">
      <c r="C548" s="143">
        <f t="shared" si="485"/>
        <v>1</v>
      </c>
      <c r="D548" s="149" t="s">
        <v>123</v>
      </c>
      <c r="E548" s="38" t="s">
        <v>51</v>
      </c>
      <c r="F548" s="168">
        <f t="shared" ref="F548:P548" si="493">F$13*$E538</f>
        <v>0</v>
      </c>
      <c r="G548" s="186">
        <f t="shared" si="493"/>
        <v>0</v>
      </c>
      <c r="H548" s="186">
        <f t="shared" si="493"/>
        <v>0</v>
      </c>
      <c r="I548" s="186">
        <f t="shared" si="493"/>
        <v>0</v>
      </c>
      <c r="J548" s="186">
        <f t="shared" si="493"/>
        <v>0</v>
      </c>
      <c r="K548" s="186">
        <f t="shared" si="493"/>
        <v>0</v>
      </c>
      <c r="L548" s="186">
        <f t="shared" si="493"/>
        <v>0</v>
      </c>
      <c r="M548" s="186">
        <f t="shared" si="493"/>
        <v>0</v>
      </c>
      <c r="N548" s="186">
        <f t="shared" si="493"/>
        <v>0</v>
      </c>
      <c r="O548" s="186">
        <f t="shared" si="493"/>
        <v>0</v>
      </c>
      <c r="P548" s="186">
        <f t="shared" si="493"/>
        <v>0</v>
      </c>
      <c r="Q548" s="189">
        <f t="shared" si="488"/>
        <v>0</v>
      </c>
    </row>
    <row r="549" spans="3:17" ht="19.5" thickBot="1" x14ac:dyDescent="0.35">
      <c r="C549" s="143">
        <f t="shared" si="485"/>
        <v>1</v>
      </c>
      <c r="D549" s="149" t="s">
        <v>16</v>
      </c>
      <c r="E549" s="37" t="s">
        <v>50</v>
      </c>
      <c r="F549" s="168">
        <f t="shared" ref="F549:P549" si="494">F$14*$E538</f>
        <v>0.4865942772137381</v>
      </c>
      <c r="G549" s="186">
        <f t="shared" si="494"/>
        <v>878.20690818005642</v>
      </c>
      <c r="H549" s="186">
        <f t="shared" si="494"/>
        <v>17.112402915673492</v>
      </c>
      <c r="I549" s="186">
        <f t="shared" si="494"/>
        <v>0</v>
      </c>
      <c r="J549" s="186">
        <f t="shared" si="494"/>
        <v>0</v>
      </c>
      <c r="K549" s="186">
        <f t="shared" si="494"/>
        <v>61.321010583532846</v>
      </c>
      <c r="L549" s="186">
        <f t="shared" si="494"/>
        <v>0</v>
      </c>
      <c r="M549" s="186">
        <f t="shared" si="494"/>
        <v>3.2913135114208007E-2</v>
      </c>
      <c r="N549" s="186">
        <f t="shared" si="494"/>
        <v>0</v>
      </c>
      <c r="O549" s="186">
        <f t="shared" si="494"/>
        <v>0</v>
      </c>
      <c r="P549" s="186">
        <f t="shared" si="494"/>
        <v>55.442861790198265</v>
      </c>
      <c r="Q549" s="189">
        <f t="shared" si="488"/>
        <v>1012.1160966045752</v>
      </c>
    </row>
    <row r="550" spans="3:17" ht="19.5" thickBot="1" x14ac:dyDescent="0.3">
      <c r="C550" s="143">
        <f t="shared" si="485"/>
        <v>1</v>
      </c>
      <c r="D550" s="148" t="s">
        <v>124</v>
      </c>
      <c r="E550" s="147" t="s">
        <v>49</v>
      </c>
      <c r="F550" s="169">
        <f t="shared" ref="F550:Q550" si="495">SUBTOTAL(9,F541:F549)</f>
        <v>7.8041325173141836</v>
      </c>
      <c r="G550" s="170">
        <f t="shared" si="495"/>
        <v>15534.675704695819</v>
      </c>
      <c r="H550" s="170">
        <f t="shared" si="495"/>
        <v>238.06810316733365</v>
      </c>
      <c r="I550" s="170">
        <f t="shared" si="495"/>
        <v>0</v>
      </c>
      <c r="J550" s="170">
        <f t="shared" si="495"/>
        <v>281.57557769802128</v>
      </c>
      <c r="K550" s="170">
        <f t="shared" ref="K550:P550" si="496">SUBTOTAL(9,K541:K549)</f>
        <v>109.78653134461121</v>
      </c>
      <c r="L550" s="170">
        <f t="shared" si="496"/>
        <v>13.013944182403323</v>
      </c>
      <c r="M550" s="170">
        <f t="shared" si="496"/>
        <v>3.2913135114208007E-2</v>
      </c>
      <c r="N550" s="170">
        <f t="shared" si="496"/>
        <v>0</v>
      </c>
      <c r="O550" s="170">
        <f t="shared" si="496"/>
        <v>0</v>
      </c>
      <c r="P550" s="170">
        <f t="shared" si="496"/>
        <v>55.442861790198265</v>
      </c>
      <c r="Q550" s="170">
        <f t="shared" si="495"/>
        <v>16232.595636013499</v>
      </c>
    </row>
    <row r="551" spans="3:17" ht="15.75" hidden="1" thickBot="1" x14ac:dyDescent="0.3"/>
    <row r="552" spans="3:17" ht="45" x14ac:dyDescent="0.25">
      <c r="C552" s="143">
        <f>IF(E552&gt;0,1,0)</f>
        <v>1</v>
      </c>
      <c r="D552" s="163" t="str">
        <f>A42</f>
        <v>Otsego</v>
      </c>
      <c r="E552" s="166">
        <f>SUMIF(A:A,D552,B:B)</f>
        <v>1.6648187600380527E-3</v>
      </c>
      <c r="F552" s="509" t="s">
        <v>97</v>
      </c>
      <c r="G552" s="509" t="s">
        <v>126</v>
      </c>
      <c r="H552" s="509" t="s">
        <v>127</v>
      </c>
      <c r="I552" s="508" t="s">
        <v>128</v>
      </c>
      <c r="J552" s="508" t="s">
        <v>487</v>
      </c>
      <c r="K552" s="508" t="s">
        <v>474</v>
      </c>
      <c r="L552" s="508" t="s">
        <v>475</v>
      </c>
      <c r="M552" s="508" t="s">
        <v>476</v>
      </c>
      <c r="N552" s="508" t="s">
        <v>477</v>
      </c>
      <c r="O552" s="508" t="s">
        <v>478</v>
      </c>
      <c r="P552" s="508" t="s">
        <v>479</v>
      </c>
      <c r="Q552" s="508" t="s">
        <v>129</v>
      </c>
    </row>
    <row r="553" spans="3:17" ht="18.75" x14ac:dyDescent="0.25">
      <c r="C553" s="143">
        <f>C552</f>
        <v>1</v>
      </c>
      <c r="D553" s="160"/>
      <c r="E553" s="159"/>
      <c r="F553" s="49" t="s">
        <v>57</v>
      </c>
      <c r="G553" s="49" t="s">
        <v>56</v>
      </c>
      <c r="H553" s="49" t="s">
        <v>55</v>
      </c>
      <c r="I553" s="49" t="s">
        <v>54</v>
      </c>
      <c r="J553" s="58" t="s">
        <v>53</v>
      </c>
      <c r="K553" s="49" t="s">
        <v>52</v>
      </c>
      <c r="L553" s="49" t="s">
        <v>51</v>
      </c>
      <c r="M553" s="49" t="s">
        <v>50</v>
      </c>
      <c r="N553" s="49" t="s">
        <v>49</v>
      </c>
      <c r="O553" s="49" t="s">
        <v>47</v>
      </c>
      <c r="P553" s="49" t="s">
        <v>77</v>
      </c>
      <c r="Q553" s="573" t="s">
        <v>78</v>
      </c>
    </row>
    <row r="554" spans="3:17" ht="18.75" x14ac:dyDescent="0.25">
      <c r="C554" s="143">
        <f>C553</f>
        <v>1</v>
      </c>
      <c r="D554" s="158" t="s">
        <v>26</v>
      </c>
      <c r="E554" s="157"/>
      <c r="F554" s="156"/>
      <c r="G554" s="156"/>
      <c r="H554" s="156"/>
      <c r="I554" s="155"/>
      <c r="J554" s="154"/>
      <c r="K554" s="154"/>
      <c r="L554" s="154"/>
      <c r="M554" s="154"/>
      <c r="N554" s="154"/>
      <c r="O554" s="154"/>
      <c r="P554" s="154"/>
      <c r="Q554" s="153"/>
    </row>
    <row r="555" spans="3:17" ht="18.75" x14ac:dyDescent="0.25">
      <c r="C555" s="143">
        <f t="shared" ref="C555:C564" si="497">C554</f>
        <v>1</v>
      </c>
      <c r="D555" s="152" t="s">
        <v>105</v>
      </c>
      <c r="E555" s="38" t="s">
        <v>57</v>
      </c>
      <c r="F555" s="168">
        <f t="shared" ref="F555:P555" si="498">F$6*$E552</f>
        <v>3.1132401435640324</v>
      </c>
      <c r="G555" s="186">
        <f t="shared" si="498"/>
        <v>6235.5816290999192</v>
      </c>
      <c r="H555" s="186">
        <f t="shared" si="498"/>
        <v>94.00540638149468</v>
      </c>
      <c r="I555" s="186">
        <f t="shared" si="498"/>
        <v>0</v>
      </c>
      <c r="J555" s="186">
        <f t="shared" si="498"/>
        <v>119.79607938812497</v>
      </c>
      <c r="K555" s="186">
        <f t="shared" si="498"/>
        <v>20.6196127524513</v>
      </c>
      <c r="L555" s="186">
        <f t="shared" si="498"/>
        <v>5.5367709911965539</v>
      </c>
      <c r="M555" s="186">
        <f t="shared" si="498"/>
        <v>0</v>
      </c>
      <c r="N555" s="186">
        <f t="shared" si="498"/>
        <v>0</v>
      </c>
      <c r="O555" s="186">
        <f t="shared" si="498"/>
        <v>0</v>
      </c>
      <c r="P555" s="186">
        <f t="shared" si="498"/>
        <v>0</v>
      </c>
      <c r="Q555" s="189">
        <f>SUM(G555:P555)</f>
        <v>6475.539498613186</v>
      </c>
    </row>
    <row r="556" spans="3:17" ht="18.75" x14ac:dyDescent="0.25">
      <c r="C556" s="143">
        <f t="shared" si="497"/>
        <v>1</v>
      </c>
      <c r="D556" s="150" t="s">
        <v>31</v>
      </c>
      <c r="E556" s="38"/>
      <c r="F556" s="167"/>
      <c r="G556" s="185"/>
      <c r="H556" s="185"/>
      <c r="I556" s="187"/>
      <c r="J556" s="188"/>
      <c r="K556" s="188"/>
      <c r="L556" s="188"/>
      <c r="M556" s="188"/>
      <c r="N556" s="188"/>
      <c r="O556" s="188"/>
      <c r="P556" s="188"/>
      <c r="Q556" s="171"/>
    </row>
    <row r="557" spans="3:17" ht="18.75" x14ac:dyDescent="0.3">
      <c r="C557" s="143">
        <f t="shared" si="497"/>
        <v>1</v>
      </c>
      <c r="D557" s="149" t="s">
        <v>118</v>
      </c>
      <c r="E557" s="38" t="s">
        <v>56</v>
      </c>
      <c r="F557" s="168">
        <f t="shared" ref="F557:P557" si="499">F$8*$E552</f>
        <v>0</v>
      </c>
      <c r="G557" s="186">
        <f t="shared" si="499"/>
        <v>0</v>
      </c>
      <c r="H557" s="186">
        <f t="shared" si="499"/>
        <v>0</v>
      </c>
      <c r="I557" s="186">
        <f t="shared" si="499"/>
        <v>0</v>
      </c>
      <c r="J557" s="186">
        <f t="shared" si="499"/>
        <v>0</v>
      </c>
      <c r="K557" s="186">
        <f t="shared" si="499"/>
        <v>0</v>
      </c>
      <c r="L557" s="186">
        <f t="shared" si="499"/>
        <v>0</v>
      </c>
      <c r="M557" s="186">
        <f t="shared" si="499"/>
        <v>0</v>
      </c>
      <c r="N557" s="186">
        <f t="shared" si="499"/>
        <v>0</v>
      </c>
      <c r="O557" s="186">
        <f t="shared" si="499"/>
        <v>0</v>
      </c>
      <c r="P557" s="186">
        <f t="shared" si="499"/>
        <v>0</v>
      </c>
      <c r="Q557" s="189">
        <f t="shared" ref="Q557:Q563" si="500">SUM(G557:P557)</f>
        <v>0</v>
      </c>
    </row>
    <row r="558" spans="3:17" ht="18.75" x14ac:dyDescent="0.3">
      <c r="C558" s="143">
        <f t="shared" si="497"/>
        <v>1</v>
      </c>
      <c r="D558" s="149" t="s">
        <v>119</v>
      </c>
      <c r="E558" s="38" t="s">
        <v>55</v>
      </c>
      <c r="F558" s="168">
        <f t="shared" ref="F558:P558" si="501">F$9*$E552</f>
        <v>0</v>
      </c>
      <c r="G558" s="186">
        <f t="shared" si="501"/>
        <v>0</v>
      </c>
      <c r="H558" s="186">
        <f t="shared" si="501"/>
        <v>0</v>
      </c>
      <c r="I558" s="186">
        <f t="shared" si="501"/>
        <v>0</v>
      </c>
      <c r="J558" s="186">
        <f t="shared" si="501"/>
        <v>0</v>
      </c>
      <c r="K558" s="186">
        <f t="shared" si="501"/>
        <v>0</v>
      </c>
      <c r="L558" s="186">
        <f t="shared" si="501"/>
        <v>0</v>
      </c>
      <c r="M558" s="186">
        <f t="shared" si="501"/>
        <v>0</v>
      </c>
      <c r="N558" s="186">
        <f t="shared" si="501"/>
        <v>0</v>
      </c>
      <c r="O558" s="186">
        <f t="shared" si="501"/>
        <v>0</v>
      </c>
      <c r="P558" s="186">
        <f t="shared" si="501"/>
        <v>0</v>
      </c>
      <c r="Q558" s="189">
        <f t="shared" si="500"/>
        <v>0</v>
      </c>
    </row>
    <row r="559" spans="3:17" ht="18.75" x14ac:dyDescent="0.3">
      <c r="C559" s="143">
        <f t="shared" si="497"/>
        <v>1</v>
      </c>
      <c r="D559" s="149" t="s">
        <v>120</v>
      </c>
      <c r="E559" s="38" t="s">
        <v>54</v>
      </c>
      <c r="F559" s="168">
        <f t="shared" ref="F559:P559" si="502">F$10*$E552</f>
        <v>0</v>
      </c>
      <c r="G559" s="186">
        <f t="shared" si="502"/>
        <v>0</v>
      </c>
      <c r="H559" s="186">
        <f t="shared" si="502"/>
        <v>0</v>
      </c>
      <c r="I559" s="186">
        <f t="shared" si="502"/>
        <v>0</v>
      </c>
      <c r="J559" s="186">
        <f t="shared" si="502"/>
        <v>0</v>
      </c>
      <c r="K559" s="186">
        <f t="shared" si="502"/>
        <v>0</v>
      </c>
      <c r="L559" s="186">
        <f t="shared" si="502"/>
        <v>0</v>
      </c>
      <c r="M559" s="186">
        <f t="shared" si="502"/>
        <v>0</v>
      </c>
      <c r="N559" s="186">
        <f t="shared" si="502"/>
        <v>0</v>
      </c>
      <c r="O559" s="186">
        <f t="shared" si="502"/>
        <v>0</v>
      </c>
      <c r="P559" s="186">
        <f t="shared" si="502"/>
        <v>0</v>
      </c>
      <c r="Q559" s="189">
        <f t="shared" si="500"/>
        <v>0</v>
      </c>
    </row>
    <row r="560" spans="3:17" ht="18.75" x14ac:dyDescent="0.3">
      <c r="C560" s="143">
        <f t="shared" si="497"/>
        <v>1</v>
      </c>
      <c r="D560" s="149" t="s">
        <v>121</v>
      </c>
      <c r="E560" s="38" t="s">
        <v>53</v>
      </c>
      <c r="F560" s="168">
        <f t="shared" ref="F560:P560" si="503">F$11*$E552</f>
        <v>0</v>
      </c>
      <c r="G560" s="186">
        <f t="shared" si="503"/>
        <v>0</v>
      </c>
      <c r="H560" s="186">
        <f t="shared" si="503"/>
        <v>0</v>
      </c>
      <c r="I560" s="186">
        <f t="shared" si="503"/>
        <v>0</v>
      </c>
      <c r="J560" s="186">
        <f t="shared" si="503"/>
        <v>0</v>
      </c>
      <c r="K560" s="186">
        <f t="shared" si="503"/>
        <v>0</v>
      </c>
      <c r="L560" s="186">
        <f t="shared" si="503"/>
        <v>0</v>
      </c>
      <c r="M560" s="186">
        <f t="shared" si="503"/>
        <v>0</v>
      </c>
      <c r="N560" s="186">
        <f t="shared" si="503"/>
        <v>0</v>
      </c>
      <c r="O560" s="186">
        <f t="shared" si="503"/>
        <v>0</v>
      </c>
      <c r="P560" s="186">
        <f t="shared" si="503"/>
        <v>0</v>
      </c>
      <c r="Q560" s="189">
        <f t="shared" si="500"/>
        <v>0</v>
      </c>
    </row>
    <row r="561" spans="3:17" ht="18.75" x14ac:dyDescent="0.3">
      <c r="C561" s="143">
        <f t="shared" si="497"/>
        <v>1</v>
      </c>
      <c r="D561" s="149" t="s">
        <v>122</v>
      </c>
      <c r="E561" s="38" t="s">
        <v>52</v>
      </c>
      <c r="F561" s="168">
        <f t="shared" ref="F561:P561" si="504">F$12*$E552</f>
        <v>0</v>
      </c>
      <c r="G561" s="186">
        <f t="shared" si="504"/>
        <v>0</v>
      </c>
      <c r="H561" s="186">
        <f t="shared" si="504"/>
        <v>0</v>
      </c>
      <c r="I561" s="186">
        <f t="shared" si="504"/>
        <v>0</v>
      </c>
      <c r="J561" s="186">
        <f t="shared" si="504"/>
        <v>0</v>
      </c>
      <c r="K561" s="186">
        <f t="shared" si="504"/>
        <v>0</v>
      </c>
      <c r="L561" s="186">
        <f t="shared" si="504"/>
        <v>0</v>
      </c>
      <c r="M561" s="186">
        <f t="shared" si="504"/>
        <v>0</v>
      </c>
      <c r="N561" s="186">
        <f t="shared" si="504"/>
        <v>0</v>
      </c>
      <c r="O561" s="186">
        <f t="shared" si="504"/>
        <v>0</v>
      </c>
      <c r="P561" s="186">
        <f t="shared" si="504"/>
        <v>0</v>
      </c>
      <c r="Q561" s="189">
        <f t="shared" si="500"/>
        <v>0</v>
      </c>
    </row>
    <row r="562" spans="3:17" ht="18.75" x14ac:dyDescent="0.3">
      <c r="C562" s="143">
        <f t="shared" si="497"/>
        <v>1</v>
      </c>
      <c r="D562" s="149" t="s">
        <v>123</v>
      </c>
      <c r="E562" s="38" t="s">
        <v>51</v>
      </c>
      <c r="F562" s="168">
        <f t="shared" ref="F562:P562" si="505">F$13*$E552</f>
        <v>0</v>
      </c>
      <c r="G562" s="186">
        <f t="shared" si="505"/>
        <v>0</v>
      </c>
      <c r="H562" s="186">
        <f t="shared" si="505"/>
        <v>0</v>
      </c>
      <c r="I562" s="186">
        <f t="shared" si="505"/>
        <v>0</v>
      </c>
      <c r="J562" s="186">
        <f t="shared" si="505"/>
        <v>0</v>
      </c>
      <c r="K562" s="186">
        <f t="shared" si="505"/>
        <v>0</v>
      </c>
      <c r="L562" s="186">
        <f t="shared" si="505"/>
        <v>0</v>
      </c>
      <c r="M562" s="186">
        <f t="shared" si="505"/>
        <v>0</v>
      </c>
      <c r="N562" s="186">
        <f t="shared" si="505"/>
        <v>0</v>
      </c>
      <c r="O562" s="186">
        <f t="shared" si="505"/>
        <v>0</v>
      </c>
      <c r="P562" s="186">
        <f t="shared" si="505"/>
        <v>0</v>
      </c>
      <c r="Q562" s="189">
        <f t="shared" si="500"/>
        <v>0</v>
      </c>
    </row>
    <row r="563" spans="3:17" ht="19.5" thickBot="1" x14ac:dyDescent="0.35">
      <c r="C563" s="143">
        <f t="shared" si="497"/>
        <v>1</v>
      </c>
      <c r="D563" s="149" t="s">
        <v>16</v>
      </c>
      <c r="E563" s="37" t="s">
        <v>50</v>
      </c>
      <c r="F563" s="168">
        <f t="shared" ref="F563:P563" si="506">F$14*$E552</f>
        <v>0.20702110296447734</v>
      </c>
      <c r="G563" s="186">
        <f t="shared" si="506"/>
        <v>373.63234891190325</v>
      </c>
      <c r="H563" s="186">
        <f t="shared" si="506"/>
        <v>7.2804566183156183</v>
      </c>
      <c r="I563" s="186">
        <f t="shared" si="506"/>
        <v>0</v>
      </c>
      <c r="J563" s="186">
        <f t="shared" si="506"/>
        <v>0</v>
      </c>
      <c r="K563" s="186">
        <f t="shared" si="506"/>
        <v>26.088969476973833</v>
      </c>
      <c r="L563" s="186">
        <f t="shared" si="506"/>
        <v>0</v>
      </c>
      <c r="M563" s="186">
        <f t="shared" si="506"/>
        <v>1.4002864095274316E-2</v>
      </c>
      <c r="N563" s="186">
        <f t="shared" si="506"/>
        <v>0</v>
      </c>
      <c r="O563" s="186">
        <f t="shared" si="506"/>
        <v>0</v>
      </c>
      <c r="P563" s="186">
        <f t="shared" si="506"/>
        <v>23.588116294824903</v>
      </c>
      <c r="Q563" s="189">
        <f t="shared" si="500"/>
        <v>430.60389416611287</v>
      </c>
    </row>
    <row r="564" spans="3:17" ht="19.5" thickBot="1" x14ac:dyDescent="0.3">
      <c r="C564" s="143">
        <f t="shared" si="497"/>
        <v>1</v>
      </c>
      <c r="D564" s="148" t="s">
        <v>124</v>
      </c>
      <c r="E564" s="147" t="s">
        <v>49</v>
      </c>
      <c r="F564" s="169">
        <f t="shared" ref="F564:Q564" si="507">SUBTOTAL(9,F555:F563)</f>
        <v>3.32026124652851</v>
      </c>
      <c r="G564" s="170">
        <f t="shared" si="507"/>
        <v>6609.2139780118223</v>
      </c>
      <c r="H564" s="170">
        <f t="shared" si="507"/>
        <v>101.28586299981029</v>
      </c>
      <c r="I564" s="170">
        <f t="shared" si="507"/>
        <v>0</v>
      </c>
      <c r="J564" s="170">
        <f t="shared" si="507"/>
        <v>119.79607938812497</v>
      </c>
      <c r="K564" s="170">
        <f t="shared" ref="K564:P564" si="508">SUBTOTAL(9,K555:K563)</f>
        <v>46.708582229425133</v>
      </c>
      <c r="L564" s="170">
        <f t="shared" si="508"/>
        <v>5.5367709911965539</v>
      </c>
      <c r="M564" s="170">
        <f t="shared" si="508"/>
        <v>1.4002864095274316E-2</v>
      </c>
      <c r="N564" s="170">
        <f t="shared" si="508"/>
        <v>0</v>
      </c>
      <c r="O564" s="170">
        <f t="shared" si="508"/>
        <v>0</v>
      </c>
      <c r="P564" s="170">
        <f t="shared" si="508"/>
        <v>23.588116294824903</v>
      </c>
      <c r="Q564" s="170">
        <f t="shared" si="507"/>
        <v>6906.1433927792987</v>
      </c>
    </row>
    <row r="565" spans="3:17" ht="15.75" hidden="1" thickBot="1" x14ac:dyDescent="0.3"/>
    <row r="566" spans="3:17" ht="45" x14ac:dyDescent="0.25">
      <c r="C566" s="143">
        <f>IF(E566&gt;0,1,0)</f>
        <v>1</v>
      </c>
      <c r="D566" s="163" t="str">
        <f>A43</f>
        <v>Putnam</v>
      </c>
      <c r="E566" s="166">
        <f>SUMIF(A:A,D566,B:B)</f>
        <v>6.9943078478575799E-4</v>
      </c>
      <c r="F566" s="509" t="s">
        <v>97</v>
      </c>
      <c r="G566" s="509" t="s">
        <v>126</v>
      </c>
      <c r="H566" s="509" t="s">
        <v>127</v>
      </c>
      <c r="I566" s="508" t="s">
        <v>128</v>
      </c>
      <c r="J566" s="508" t="s">
        <v>487</v>
      </c>
      <c r="K566" s="508" t="s">
        <v>474</v>
      </c>
      <c r="L566" s="508" t="s">
        <v>475</v>
      </c>
      <c r="M566" s="508" t="s">
        <v>476</v>
      </c>
      <c r="N566" s="508" t="s">
        <v>477</v>
      </c>
      <c r="O566" s="508" t="s">
        <v>478</v>
      </c>
      <c r="P566" s="508" t="s">
        <v>479</v>
      </c>
      <c r="Q566" s="508" t="s">
        <v>129</v>
      </c>
    </row>
    <row r="567" spans="3:17" ht="18.75" x14ac:dyDescent="0.25">
      <c r="C567" s="143">
        <f>C566</f>
        <v>1</v>
      </c>
      <c r="D567" s="160"/>
      <c r="E567" s="159"/>
      <c r="F567" s="49" t="s">
        <v>57</v>
      </c>
      <c r="G567" s="49" t="s">
        <v>56</v>
      </c>
      <c r="H567" s="49" t="s">
        <v>55</v>
      </c>
      <c r="I567" s="49" t="s">
        <v>54</v>
      </c>
      <c r="J567" s="58" t="s">
        <v>53</v>
      </c>
      <c r="K567" s="49" t="s">
        <v>52</v>
      </c>
      <c r="L567" s="49" t="s">
        <v>51</v>
      </c>
      <c r="M567" s="49" t="s">
        <v>50</v>
      </c>
      <c r="N567" s="49" t="s">
        <v>49</v>
      </c>
      <c r="O567" s="49" t="s">
        <v>47</v>
      </c>
      <c r="P567" s="49" t="s">
        <v>77</v>
      </c>
      <c r="Q567" s="573" t="s">
        <v>78</v>
      </c>
    </row>
    <row r="568" spans="3:17" ht="18.75" x14ac:dyDescent="0.25">
      <c r="C568" s="143">
        <f>C567</f>
        <v>1</v>
      </c>
      <c r="D568" s="158" t="s">
        <v>26</v>
      </c>
      <c r="E568" s="157"/>
      <c r="F568" s="156"/>
      <c r="G568" s="156"/>
      <c r="H568" s="156"/>
      <c r="I568" s="155"/>
      <c r="J568" s="154"/>
      <c r="K568" s="154"/>
      <c r="L568" s="154"/>
      <c r="M568" s="154"/>
      <c r="N568" s="154"/>
      <c r="O568" s="154"/>
      <c r="P568" s="154"/>
      <c r="Q568" s="153"/>
    </row>
    <row r="569" spans="3:17" ht="18.75" x14ac:dyDescent="0.25">
      <c r="C569" s="143">
        <f t="shared" ref="C569:C578" si="509">C568</f>
        <v>1</v>
      </c>
      <c r="D569" s="152" t="s">
        <v>105</v>
      </c>
      <c r="E569" s="38" t="s">
        <v>57</v>
      </c>
      <c r="F569" s="168">
        <f t="shared" ref="F569:P569" si="510">F$6*$E566</f>
        <v>1.3079477773242694</v>
      </c>
      <c r="G569" s="186">
        <f t="shared" si="510"/>
        <v>2619.7192494018536</v>
      </c>
      <c r="H569" s="186">
        <f t="shared" si="510"/>
        <v>39.493953779094895</v>
      </c>
      <c r="I569" s="186">
        <f t="shared" si="510"/>
        <v>0</v>
      </c>
      <c r="J569" s="186">
        <f t="shared" si="510"/>
        <v>50.329241736066244</v>
      </c>
      <c r="K569" s="186">
        <f t="shared" si="510"/>
        <v>8.6627999849640052</v>
      </c>
      <c r="L569" s="186">
        <f t="shared" si="510"/>
        <v>2.3261319325012346</v>
      </c>
      <c r="M569" s="186">
        <f t="shared" si="510"/>
        <v>0</v>
      </c>
      <c r="N569" s="186">
        <f t="shared" si="510"/>
        <v>0</v>
      </c>
      <c r="O569" s="186">
        <f t="shared" si="510"/>
        <v>0</v>
      </c>
      <c r="P569" s="186">
        <f t="shared" si="510"/>
        <v>0</v>
      </c>
      <c r="Q569" s="189">
        <f>SUM(G569:P569)</f>
        <v>2720.5313768344795</v>
      </c>
    </row>
    <row r="570" spans="3:17" ht="18.75" x14ac:dyDescent="0.25">
      <c r="C570" s="143">
        <f t="shared" si="509"/>
        <v>1</v>
      </c>
      <c r="D570" s="150" t="s">
        <v>31</v>
      </c>
      <c r="E570" s="38"/>
      <c r="F570" s="167"/>
      <c r="G570" s="185"/>
      <c r="H570" s="185"/>
      <c r="I570" s="187"/>
      <c r="J570" s="188"/>
      <c r="K570" s="188"/>
      <c r="L570" s="188"/>
      <c r="M570" s="188"/>
      <c r="N570" s="188"/>
      <c r="O570" s="188"/>
      <c r="P570" s="188"/>
      <c r="Q570" s="171"/>
    </row>
    <row r="571" spans="3:17" ht="18.75" x14ac:dyDescent="0.3">
      <c r="C571" s="143">
        <f t="shared" si="509"/>
        <v>1</v>
      </c>
      <c r="D571" s="149" t="s">
        <v>118</v>
      </c>
      <c r="E571" s="38" t="s">
        <v>56</v>
      </c>
      <c r="F571" s="168">
        <f t="shared" ref="F571:P571" si="511">F$8*$E566</f>
        <v>0</v>
      </c>
      <c r="G571" s="186">
        <f t="shared" si="511"/>
        <v>0</v>
      </c>
      <c r="H571" s="186">
        <f t="shared" si="511"/>
        <v>0</v>
      </c>
      <c r="I571" s="186">
        <f t="shared" si="511"/>
        <v>0</v>
      </c>
      <c r="J571" s="186">
        <f t="shared" si="511"/>
        <v>0</v>
      </c>
      <c r="K571" s="186">
        <f t="shared" si="511"/>
        <v>0</v>
      </c>
      <c r="L571" s="186">
        <f t="shared" si="511"/>
        <v>0</v>
      </c>
      <c r="M571" s="186">
        <f t="shared" si="511"/>
        <v>0</v>
      </c>
      <c r="N571" s="186">
        <f t="shared" si="511"/>
        <v>0</v>
      </c>
      <c r="O571" s="186">
        <f t="shared" si="511"/>
        <v>0</v>
      </c>
      <c r="P571" s="186">
        <f t="shared" si="511"/>
        <v>0</v>
      </c>
      <c r="Q571" s="189">
        <f t="shared" ref="Q571:Q577" si="512">SUM(G571:P571)</f>
        <v>0</v>
      </c>
    </row>
    <row r="572" spans="3:17" ht="18.75" x14ac:dyDescent="0.3">
      <c r="C572" s="143">
        <f t="shared" si="509"/>
        <v>1</v>
      </c>
      <c r="D572" s="149" t="s">
        <v>119</v>
      </c>
      <c r="E572" s="38" t="s">
        <v>55</v>
      </c>
      <c r="F572" s="168">
        <f t="shared" ref="F572:P572" si="513">F$9*$E566</f>
        <v>0</v>
      </c>
      <c r="G572" s="186">
        <f t="shared" si="513"/>
        <v>0</v>
      </c>
      <c r="H572" s="186">
        <f t="shared" si="513"/>
        <v>0</v>
      </c>
      <c r="I572" s="186">
        <f t="shared" si="513"/>
        <v>0</v>
      </c>
      <c r="J572" s="186">
        <f t="shared" si="513"/>
        <v>0</v>
      </c>
      <c r="K572" s="186">
        <f t="shared" si="513"/>
        <v>0</v>
      </c>
      <c r="L572" s="186">
        <f t="shared" si="513"/>
        <v>0</v>
      </c>
      <c r="M572" s="186">
        <f t="shared" si="513"/>
        <v>0</v>
      </c>
      <c r="N572" s="186">
        <f t="shared" si="513"/>
        <v>0</v>
      </c>
      <c r="O572" s="186">
        <f t="shared" si="513"/>
        <v>0</v>
      </c>
      <c r="P572" s="186">
        <f t="shared" si="513"/>
        <v>0</v>
      </c>
      <c r="Q572" s="189">
        <f t="shared" si="512"/>
        <v>0</v>
      </c>
    </row>
    <row r="573" spans="3:17" ht="18.75" x14ac:dyDescent="0.3">
      <c r="C573" s="143">
        <f t="shared" si="509"/>
        <v>1</v>
      </c>
      <c r="D573" s="149" t="s">
        <v>120</v>
      </c>
      <c r="E573" s="38" t="s">
        <v>54</v>
      </c>
      <c r="F573" s="168">
        <f t="shared" ref="F573:P573" si="514">F$10*$E566</f>
        <v>0</v>
      </c>
      <c r="G573" s="186">
        <f t="shared" si="514"/>
        <v>0</v>
      </c>
      <c r="H573" s="186">
        <f t="shared" si="514"/>
        <v>0</v>
      </c>
      <c r="I573" s="186">
        <f t="shared" si="514"/>
        <v>0</v>
      </c>
      <c r="J573" s="186">
        <f t="shared" si="514"/>
        <v>0</v>
      </c>
      <c r="K573" s="186">
        <f t="shared" si="514"/>
        <v>0</v>
      </c>
      <c r="L573" s="186">
        <f t="shared" si="514"/>
        <v>0</v>
      </c>
      <c r="M573" s="186">
        <f t="shared" si="514"/>
        <v>0</v>
      </c>
      <c r="N573" s="186">
        <f t="shared" si="514"/>
        <v>0</v>
      </c>
      <c r="O573" s="186">
        <f t="shared" si="514"/>
        <v>0</v>
      </c>
      <c r="P573" s="186">
        <f t="shared" si="514"/>
        <v>0</v>
      </c>
      <c r="Q573" s="189">
        <f t="shared" si="512"/>
        <v>0</v>
      </c>
    </row>
    <row r="574" spans="3:17" ht="18.75" x14ac:dyDescent="0.3">
      <c r="C574" s="143">
        <f t="shared" si="509"/>
        <v>1</v>
      </c>
      <c r="D574" s="149" t="s">
        <v>121</v>
      </c>
      <c r="E574" s="38" t="s">
        <v>53</v>
      </c>
      <c r="F574" s="168">
        <f t="shared" ref="F574:P574" si="515">F$11*$E566</f>
        <v>0</v>
      </c>
      <c r="G574" s="186">
        <f t="shared" si="515"/>
        <v>0</v>
      </c>
      <c r="H574" s="186">
        <f t="shared" si="515"/>
        <v>0</v>
      </c>
      <c r="I574" s="186">
        <f t="shared" si="515"/>
        <v>0</v>
      </c>
      <c r="J574" s="186">
        <f t="shared" si="515"/>
        <v>0</v>
      </c>
      <c r="K574" s="186">
        <f t="shared" si="515"/>
        <v>0</v>
      </c>
      <c r="L574" s="186">
        <f t="shared" si="515"/>
        <v>0</v>
      </c>
      <c r="M574" s="186">
        <f t="shared" si="515"/>
        <v>0</v>
      </c>
      <c r="N574" s="186">
        <f t="shared" si="515"/>
        <v>0</v>
      </c>
      <c r="O574" s="186">
        <f t="shared" si="515"/>
        <v>0</v>
      </c>
      <c r="P574" s="186">
        <f t="shared" si="515"/>
        <v>0</v>
      </c>
      <c r="Q574" s="189">
        <f t="shared" si="512"/>
        <v>0</v>
      </c>
    </row>
    <row r="575" spans="3:17" ht="18.75" x14ac:dyDescent="0.3">
      <c r="C575" s="143">
        <f t="shared" si="509"/>
        <v>1</v>
      </c>
      <c r="D575" s="149" t="s">
        <v>122</v>
      </c>
      <c r="E575" s="38" t="s">
        <v>52</v>
      </c>
      <c r="F575" s="168">
        <f t="shared" ref="F575:P575" si="516">F$12*$E566</f>
        <v>0</v>
      </c>
      <c r="G575" s="186">
        <f t="shared" si="516"/>
        <v>0</v>
      </c>
      <c r="H575" s="186">
        <f t="shared" si="516"/>
        <v>0</v>
      </c>
      <c r="I575" s="186">
        <f t="shared" si="516"/>
        <v>0</v>
      </c>
      <c r="J575" s="186">
        <f t="shared" si="516"/>
        <v>0</v>
      </c>
      <c r="K575" s="186">
        <f t="shared" si="516"/>
        <v>0</v>
      </c>
      <c r="L575" s="186">
        <f t="shared" si="516"/>
        <v>0</v>
      </c>
      <c r="M575" s="186">
        <f t="shared" si="516"/>
        <v>0</v>
      </c>
      <c r="N575" s="186">
        <f t="shared" si="516"/>
        <v>0</v>
      </c>
      <c r="O575" s="186">
        <f t="shared" si="516"/>
        <v>0</v>
      </c>
      <c r="P575" s="186">
        <f t="shared" si="516"/>
        <v>0</v>
      </c>
      <c r="Q575" s="189">
        <f t="shared" si="512"/>
        <v>0</v>
      </c>
    </row>
    <row r="576" spans="3:17" ht="18.75" x14ac:dyDescent="0.3">
      <c r="C576" s="143">
        <f t="shared" si="509"/>
        <v>1</v>
      </c>
      <c r="D576" s="149" t="s">
        <v>123</v>
      </c>
      <c r="E576" s="38" t="s">
        <v>51</v>
      </c>
      <c r="F576" s="168">
        <f t="shared" ref="F576:P576" si="517">F$13*$E566</f>
        <v>0</v>
      </c>
      <c r="G576" s="186">
        <f t="shared" si="517"/>
        <v>0</v>
      </c>
      <c r="H576" s="186">
        <f t="shared" si="517"/>
        <v>0</v>
      </c>
      <c r="I576" s="186">
        <f t="shared" si="517"/>
        <v>0</v>
      </c>
      <c r="J576" s="186">
        <f t="shared" si="517"/>
        <v>0</v>
      </c>
      <c r="K576" s="186">
        <f t="shared" si="517"/>
        <v>0</v>
      </c>
      <c r="L576" s="186">
        <f t="shared" si="517"/>
        <v>0</v>
      </c>
      <c r="M576" s="186">
        <f t="shared" si="517"/>
        <v>0</v>
      </c>
      <c r="N576" s="186">
        <f t="shared" si="517"/>
        <v>0</v>
      </c>
      <c r="O576" s="186">
        <f t="shared" si="517"/>
        <v>0</v>
      </c>
      <c r="P576" s="186">
        <f t="shared" si="517"/>
        <v>0</v>
      </c>
      <c r="Q576" s="189">
        <f t="shared" si="512"/>
        <v>0</v>
      </c>
    </row>
    <row r="577" spans="3:17" ht="19.5" thickBot="1" x14ac:dyDescent="0.35">
      <c r="C577" s="143">
        <f t="shared" si="509"/>
        <v>1</v>
      </c>
      <c r="D577" s="149" t="s">
        <v>16</v>
      </c>
      <c r="E577" s="37" t="s">
        <v>50</v>
      </c>
      <c r="F577" s="168">
        <f t="shared" ref="F577:P577" si="518">F$14*$E566</f>
        <v>8.6974592063311429E-2</v>
      </c>
      <c r="G577" s="186">
        <f t="shared" si="518"/>
        <v>156.9720219964517</v>
      </c>
      <c r="H577" s="186">
        <f t="shared" si="518"/>
        <v>3.0586966031249956</v>
      </c>
      <c r="I577" s="186">
        <f t="shared" si="518"/>
        <v>0</v>
      </c>
      <c r="J577" s="186">
        <f t="shared" si="518"/>
        <v>0</v>
      </c>
      <c r="K577" s="186">
        <f t="shared" si="518"/>
        <v>10.960609547140383</v>
      </c>
      <c r="L577" s="186">
        <f t="shared" si="518"/>
        <v>0</v>
      </c>
      <c r="M577" s="186">
        <f t="shared" si="518"/>
        <v>5.8829432118978325E-3</v>
      </c>
      <c r="N577" s="186">
        <f t="shared" si="518"/>
        <v>0</v>
      </c>
      <c r="O577" s="186">
        <f t="shared" si="518"/>
        <v>0</v>
      </c>
      <c r="P577" s="186">
        <f t="shared" si="518"/>
        <v>9.9099404017588117</v>
      </c>
      <c r="Q577" s="189">
        <f t="shared" si="512"/>
        <v>180.90715149168778</v>
      </c>
    </row>
    <row r="578" spans="3:17" ht="19.5" thickBot="1" x14ac:dyDescent="0.3">
      <c r="C578" s="143">
        <f t="shared" si="509"/>
        <v>1</v>
      </c>
      <c r="D578" s="148" t="s">
        <v>124</v>
      </c>
      <c r="E578" s="147" t="s">
        <v>49</v>
      </c>
      <c r="F578" s="169">
        <f t="shared" ref="F578:Q578" si="519">SUBTOTAL(9,F569:F577)</f>
        <v>1.3949223693875807</v>
      </c>
      <c r="G578" s="170">
        <f t="shared" si="519"/>
        <v>2776.6912713983052</v>
      </c>
      <c r="H578" s="170">
        <f t="shared" si="519"/>
        <v>42.552650382219888</v>
      </c>
      <c r="I578" s="170">
        <f t="shared" si="519"/>
        <v>0</v>
      </c>
      <c r="J578" s="170">
        <f t="shared" si="519"/>
        <v>50.329241736066244</v>
      </c>
      <c r="K578" s="170">
        <f t="shared" ref="K578:P578" si="520">SUBTOTAL(9,K569:K577)</f>
        <v>19.62340953210439</v>
      </c>
      <c r="L578" s="170">
        <f t="shared" si="520"/>
        <v>2.3261319325012346</v>
      </c>
      <c r="M578" s="170">
        <f t="shared" si="520"/>
        <v>5.8829432118978325E-3</v>
      </c>
      <c r="N578" s="170">
        <f t="shared" si="520"/>
        <v>0</v>
      </c>
      <c r="O578" s="170">
        <f t="shared" si="520"/>
        <v>0</v>
      </c>
      <c r="P578" s="170">
        <f t="shared" si="520"/>
        <v>9.9099404017588117</v>
      </c>
      <c r="Q578" s="170">
        <f t="shared" si="519"/>
        <v>2901.4385283261672</v>
      </c>
    </row>
    <row r="579" spans="3:17" ht="15.75" hidden="1" thickBot="1" x14ac:dyDescent="0.3"/>
    <row r="580" spans="3:17" ht="45" x14ac:dyDescent="0.25">
      <c r="C580" s="143">
        <f>IF(E580&gt;0,1,0)</f>
        <v>1</v>
      </c>
      <c r="D580" s="163" t="str">
        <f>A44</f>
        <v>Queens</v>
      </c>
      <c r="E580" s="166">
        <f>SUMIF(A:A,D580,B:B)</f>
        <v>0.13455152735828174</v>
      </c>
      <c r="F580" s="509" t="s">
        <v>97</v>
      </c>
      <c r="G580" s="509" t="s">
        <v>126</v>
      </c>
      <c r="H580" s="509" t="s">
        <v>127</v>
      </c>
      <c r="I580" s="508" t="s">
        <v>128</v>
      </c>
      <c r="J580" s="508" t="s">
        <v>487</v>
      </c>
      <c r="K580" s="508" t="s">
        <v>474</v>
      </c>
      <c r="L580" s="508" t="s">
        <v>475</v>
      </c>
      <c r="M580" s="508" t="s">
        <v>476</v>
      </c>
      <c r="N580" s="508" t="s">
        <v>477</v>
      </c>
      <c r="O580" s="508" t="s">
        <v>478</v>
      </c>
      <c r="P580" s="508" t="s">
        <v>479</v>
      </c>
      <c r="Q580" s="508" t="s">
        <v>129</v>
      </c>
    </row>
    <row r="581" spans="3:17" ht="18.75" x14ac:dyDescent="0.25">
      <c r="C581" s="143">
        <f>C580</f>
        <v>1</v>
      </c>
      <c r="D581" s="160"/>
      <c r="E581" s="159"/>
      <c r="F581" s="49" t="s">
        <v>57</v>
      </c>
      <c r="G581" s="49" t="s">
        <v>56</v>
      </c>
      <c r="H581" s="49" t="s">
        <v>55</v>
      </c>
      <c r="I581" s="49" t="s">
        <v>54</v>
      </c>
      <c r="J581" s="58" t="s">
        <v>53</v>
      </c>
      <c r="K581" s="49" t="s">
        <v>52</v>
      </c>
      <c r="L581" s="49" t="s">
        <v>51</v>
      </c>
      <c r="M581" s="49" t="s">
        <v>50</v>
      </c>
      <c r="N581" s="49" t="s">
        <v>49</v>
      </c>
      <c r="O581" s="49" t="s">
        <v>47</v>
      </c>
      <c r="P581" s="49" t="s">
        <v>77</v>
      </c>
      <c r="Q581" s="573" t="s">
        <v>78</v>
      </c>
    </row>
    <row r="582" spans="3:17" ht="18.75" x14ac:dyDescent="0.25">
      <c r="C582" s="143">
        <f>C581</f>
        <v>1</v>
      </c>
      <c r="D582" s="158" t="s">
        <v>26</v>
      </c>
      <c r="E582" s="157"/>
      <c r="F582" s="156"/>
      <c r="G582" s="156"/>
      <c r="H582" s="156"/>
      <c r="I582" s="155"/>
      <c r="J582" s="154"/>
      <c r="K582" s="154"/>
      <c r="L582" s="154"/>
      <c r="M582" s="154"/>
      <c r="N582" s="154"/>
      <c r="O582" s="154"/>
      <c r="P582" s="154"/>
      <c r="Q582" s="153"/>
    </row>
    <row r="583" spans="3:17" ht="18.75" x14ac:dyDescent="0.25">
      <c r="C583" s="143">
        <f t="shared" ref="C583:C592" si="521">C582</f>
        <v>1</v>
      </c>
      <c r="D583" s="152" t="s">
        <v>105</v>
      </c>
      <c r="E583" s="38" t="s">
        <v>57</v>
      </c>
      <c r="F583" s="168">
        <f t="shared" ref="F583:P583" si="522">F$6*$E580</f>
        <v>251.61370498977456</v>
      </c>
      <c r="G583" s="186">
        <f t="shared" si="522"/>
        <v>503962.98522216297</v>
      </c>
      <c r="H583" s="186">
        <f t="shared" si="522"/>
        <v>7597.5663610836327</v>
      </c>
      <c r="I583" s="186">
        <f t="shared" si="522"/>
        <v>0</v>
      </c>
      <c r="J583" s="186">
        <f t="shared" si="522"/>
        <v>9681.9821112766422</v>
      </c>
      <c r="K583" s="186">
        <f t="shared" si="522"/>
        <v>1666.4879420959985</v>
      </c>
      <c r="L583" s="186">
        <f t="shared" si="522"/>
        <v>447.48474211180553</v>
      </c>
      <c r="M583" s="186">
        <f t="shared" si="522"/>
        <v>0</v>
      </c>
      <c r="N583" s="186">
        <f t="shared" si="522"/>
        <v>0</v>
      </c>
      <c r="O583" s="186">
        <f t="shared" si="522"/>
        <v>0</v>
      </c>
      <c r="P583" s="186">
        <f t="shared" si="522"/>
        <v>0</v>
      </c>
      <c r="Q583" s="189">
        <f>SUM(G583:P583)</f>
        <v>523356.50637873111</v>
      </c>
    </row>
    <row r="584" spans="3:17" ht="18.75" x14ac:dyDescent="0.25">
      <c r="C584" s="143">
        <f t="shared" si="521"/>
        <v>1</v>
      </c>
      <c r="D584" s="150" t="s">
        <v>31</v>
      </c>
      <c r="E584" s="38"/>
      <c r="F584" s="167"/>
      <c r="G584" s="185"/>
      <c r="H584" s="185"/>
      <c r="I584" s="187"/>
      <c r="J584" s="188"/>
      <c r="K584" s="188"/>
      <c r="L584" s="188"/>
      <c r="M584" s="188"/>
      <c r="N584" s="188"/>
      <c r="O584" s="188"/>
      <c r="P584" s="188"/>
      <c r="Q584" s="171"/>
    </row>
    <row r="585" spans="3:17" ht="18.75" x14ac:dyDescent="0.3">
      <c r="C585" s="143">
        <f t="shared" si="521"/>
        <v>1</v>
      </c>
      <c r="D585" s="149" t="s">
        <v>118</v>
      </c>
      <c r="E585" s="38" t="s">
        <v>56</v>
      </c>
      <c r="F585" s="168">
        <f t="shared" ref="F585:P585" si="523">F$8*$E580</f>
        <v>0</v>
      </c>
      <c r="G585" s="186">
        <f t="shared" si="523"/>
        <v>0</v>
      </c>
      <c r="H585" s="186">
        <f t="shared" si="523"/>
        <v>0</v>
      </c>
      <c r="I585" s="186">
        <f t="shared" si="523"/>
        <v>0</v>
      </c>
      <c r="J585" s="186">
        <f t="shared" si="523"/>
        <v>0</v>
      </c>
      <c r="K585" s="186">
        <f t="shared" si="523"/>
        <v>0</v>
      </c>
      <c r="L585" s="186">
        <f t="shared" si="523"/>
        <v>0</v>
      </c>
      <c r="M585" s="186">
        <f t="shared" si="523"/>
        <v>0</v>
      </c>
      <c r="N585" s="186">
        <f t="shared" si="523"/>
        <v>0</v>
      </c>
      <c r="O585" s="186">
        <f t="shared" si="523"/>
        <v>0</v>
      </c>
      <c r="P585" s="186">
        <f t="shared" si="523"/>
        <v>0</v>
      </c>
      <c r="Q585" s="189">
        <f t="shared" ref="Q585:Q591" si="524">SUM(G585:P585)</f>
        <v>0</v>
      </c>
    </row>
    <row r="586" spans="3:17" ht="18.75" x14ac:dyDescent="0.3">
      <c r="C586" s="143">
        <f t="shared" si="521"/>
        <v>1</v>
      </c>
      <c r="D586" s="149" t="s">
        <v>119</v>
      </c>
      <c r="E586" s="38" t="s">
        <v>55</v>
      </c>
      <c r="F586" s="168">
        <f t="shared" ref="F586:P586" si="525">F$9*$E580</f>
        <v>0</v>
      </c>
      <c r="G586" s="186">
        <f t="shared" si="525"/>
        <v>0</v>
      </c>
      <c r="H586" s="186">
        <f t="shared" si="525"/>
        <v>0</v>
      </c>
      <c r="I586" s="186">
        <f t="shared" si="525"/>
        <v>0</v>
      </c>
      <c r="J586" s="186">
        <f t="shared" si="525"/>
        <v>0</v>
      </c>
      <c r="K586" s="186">
        <f t="shared" si="525"/>
        <v>0</v>
      </c>
      <c r="L586" s="186">
        <f t="shared" si="525"/>
        <v>0</v>
      </c>
      <c r="M586" s="186">
        <f t="shared" si="525"/>
        <v>0</v>
      </c>
      <c r="N586" s="186">
        <f t="shared" si="525"/>
        <v>0</v>
      </c>
      <c r="O586" s="186">
        <f t="shared" si="525"/>
        <v>0</v>
      </c>
      <c r="P586" s="186">
        <f t="shared" si="525"/>
        <v>0</v>
      </c>
      <c r="Q586" s="189">
        <f t="shared" si="524"/>
        <v>0</v>
      </c>
    </row>
    <row r="587" spans="3:17" ht="18.75" x14ac:dyDescent="0.3">
      <c r="C587" s="143">
        <f t="shared" si="521"/>
        <v>1</v>
      </c>
      <c r="D587" s="149" t="s">
        <v>120</v>
      </c>
      <c r="E587" s="38" t="s">
        <v>54</v>
      </c>
      <c r="F587" s="168">
        <f t="shared" ref="F587:P587" si="526">F$10*$E580</f>
        <v>0</v>
      </c>
      <c r="G587" s="186">
        <f t="shared" si="526"/>
        <v>0</v>
      </c>
      <c r="H587" s="186">
        <f t="shared" si="526"/>
        <v>0</v>
      </c>
      <c r="I587" s="186">
        <f t="shared" si="526"/>
        <v>0</v>
      </c>
      <c r="J587" s="186">
        <f t="shared" si="526"/>
        <v>0</v>
      </c>
      <c r="K587" s="186">
        <f t="shared" si="526"/>
        <v>0</v>
      </c>
      <c r="L587" s="186">
        <f t="shared" si="526"/>
        <v>0</v>
      </c>
      <c r="M587" s="186">
        <f t="shared" si="526"/>
        <v>0</v>
      </c>
      <c r="N587" s="186">
        <f t="shared" si="526"/>
        <v>0</v>
      </c>
      <c r="O587" s="186">
        <f t="shared" si="526"/>
        <v>0</v>
      </c>
      <c r="P587" s="186">
        <f t="shared" si="526"/>
        <v>0</v>
      </c>
      <c r="Q587" s="189">
        <f t="shared" si="524"/>
        <v>0</v>
      </c>
    </row>
    <row r="588" spans="3:17" ht="18.75" x14ac:dyDescent="0.3">
      <c r="C588" s="143">
        <f t="shared" si="521"/>
        <v>1</v>
      </c>
      <c r="D588" s="149" t="s">
        <v>121</v>
      </c>
      <c r="E588" s="38" t="s">
        <v>53</v>
      </c>
      <c r="F588" s="168">
        <f t="shared" ref="F588:P588" si="527">F$11*$E580</f>
        <v>0</v>
      </c>
      <c r="G588" s="186">
        <f t="shared" si="527"/>
        <v>0</v>
      </c>
      <c r="H588" s="186">
        <f t="shared" si="527"/>
        <v>0</v>
      </c>
      <c r="I588" s="186">
        <f t="shared" si="527"/>
        <v>0</v>
      </c>
      <c r="J588" s="186">
        <f t="shared" si="527"/>
        <v>0</v>
      </c>
      <c r="K588" s="186">
        <f t="shared" si="527"/>
        <v>0</v>
      </c>
      <c r="L588" s="186">
        <f t="shared" si="527"/>
        <v>0</v>
      </c>
      <c r="M588" s="186">
        <f t="shared" si="527"/>
        <v>0</v>
      </c>
      <c r="N588" s="186">
        <f t="shared" si="527"/>
        <v>0</v>
      </c>
      <c r="O588" s="186">
        <f t="shared" si="527"/>
        <v>0</v>
      </c>
      <c r="P588" s="186">
        <f t="shared" si="527"/>
        <v>0</v>
      </c>
      <c r="Q588" s="189">
        <f t="shared" si="524"/>
        <v>0</v>
      </c>
    </row>
    <row r="589" spans="3:17" ht="18.75" x14ac:dyDescent="0.3">
      <c r="C589" s="143">
        <f t="shared" si="521"/>
        <v>1</v>
      </c>
      <c r="D589" s="149" t="s">
        <v>122</v>
      </c>
      <c r="E589" s="38" t="s">
        <v>52</v>
      </c>
      <c r="F589" s="168">
        <f t="shared" ref="F589:P589" si="528">F$12*$E580</f>
        <v>0</v>
      </c>
      <c r="G589" s="186">
        <f t="shared" si="528"/>
        <v>0</v>
      </c>
      <c r="H589" s="186">
        <f t="shared" si="528"/>
        <v>0</v>
      </c>
      <c r="I589" s="186">
        <f t="shared" si="528"/>
        <v>0</v>
      </c>
      <c r="J589" s="186">
        <f t="shared" si="528"/>
        <v>0</v>
      </c>
      <c r="K589" s="186">
        <f t="shared" si="528"/>
        <v>0</v>
      </c>
      <c r="L589" s="186">
        <f t="shared" si="528"/>
        <v>0</v>
      </c>
      <c r="M589" s="186">
        <f t="shared" si="528"/>
        <v>0</v>
      </c>
      <c r="N589" s="186">
        <f t="shared" si="528"/>
        <v>0</v>
      </c>
      <c r="O589" s="186">
        <f t="shared" si="528"/>
        <v>0</v>
      </c>
      <c r="P589" s="186">
        <f t="shared" si="528"/>
        <v>0</v>
      </c>
      <c r="Q589" s="189">
        <f t="shared" si="524"/>
        <v>0</v>
      </c>
    </row>
    <row r="590" spans="3:17" ht="18.75" x14ac:dyDescent="0.3">
      <c r="C590" s="143">
        <f t="shared" si="521"/>
        <v>1</v>
      </c>
      <c r="D590" s="149" t="s">
        <v>123</v>
      </c>
      <c r="E590" s="38" t="s">
        <v>51</v>
      </c>
      <c r="F590" s="168">
        <f t="shared" ref="F590:P590" si="529">F$13*$E580</f>
        <v>0</v>
      </c>
      <c r="G590" s="186">
        <f t="shared" si="529"/>
        <v>0</v>
      </c>
      <c r="H590" s="186">
        <f t="shared" si="529"/>
        <v>0</v>
      </c>
      <c r="I590" s="186">
        <f t="shared" si="529"/>
        <v>0</v>
      </c>
      <c r="J590" s="186">
        <f t="shared" si="529"/>
        <v>0</v>
      </c>
      <c r="K590" s="186">
        <f t="shared" si="529"/>
        <v>0</v>
      </c>
      <c r="L590" s="186">
        <f t="shared" si="529"/>
        <v>0</v>
      </c>
      <c r="M590" s="186">
        <f t="shared" si="529"/>
        <v>0</v>
      </c>
      <c r="N590" s="186">
        <f t="shared" si="529"/>
        <v>0</v>
      </c>
      <c r="O590" s="186">
        <f t="shared" si="529"/>
        <v>0</v>
      </c>
      <c r="P590" s="186">
        <f t="shared" si="529"/>
        <v>0</v>
      </c>
      <c r="Q590" s="189">
        <f t="shared" si="524"/>
        <v>0</v>
      </c>
    </row>
    <row r="591" spans="3:17" ht="19.5" thickBot="1" x14ac:dyDescent="0.35">
      <c r="C591" s="143">
        <f t="shared" si="521"/>
        <v>1</v>
      </c>
      <c r="D591" s="149" t="s">
        <v>16</v>
      </c>
      <c r="E591" s="37" t="s">
        <v>50</v>
      </c>
      <c r="F591" s="168">
        <f t="shared" ref="F591:P591" si="530">F$14*$E580</f>
        <v>16.731554369695989</v>
      </c>
      <c r="G591" s="186">
        <f t="shared" si="530"/>
        <v>30197.162852375553</v>
      </c>
      <c r="H591" s="186">
        <f t="shared" si="530"/>
        <v>588.4103311267869</v>
      </c>
      <c r="I591" s="186">
        <f t="shared" si="530"/>
        <v>0</v>
      </c>
      <c r="J591" s="186">
        <f t="shared" si="530"/>
        <v>0</v>
      </c>
      <c r="K591" s="186">
        <f t="shared" si="530"/>
        <v>2108.5242277364696</v>
      </c>
      <c r="L591" s="186">
        <f t="shared" si="530"/>
        <v>0</v>
      </c>
      <c r="M591" s="186">
        <f t="shared" si="530"/>
        <v>1.1317188372904559</v>
      </c>
      <c r="N591" s="186">
        <f t="shared" si="530"/>
        <v>0</v>
      </c>
      <c r="O591" s="186">
        <f t="shared" si="530"/>
        <v>0</v>
      </c>
      <c r="P591" s="186">
        <f t="shared" si="530"/>
        <v>1906.4039588915496</v>
      </c>
      <c r="Q591" s="189">
        <f t="shared" si="524"/>
        <v>34801.633088967646</v>
      </c>
    </row>
    <row r="592" spans="3:17" ht="19.5" thickBot="1" x14ac:dyDescent="0.3">
      <c r="C592" s="143">
        <f t="shared" si="521"/>
        <v>1</v>
      </c>
      <c r="D592" s="148" t="s">
        <v>124</v>
      </c>
      <c r="E592" s="147" t="s">
        <v>49</v>
      </c>
      <c r="F592" s="169">
        <f t="shared" ref="F592:Q592" si="531">SUBTOTAL(9,F583:F591)</f>
        <v>268.34525935947056</v>
      </c>
      <c r="G592" s="170">
        <f t="shared" si="531"/>
        <v>534160.14807453856</v>
      </c>
      <c r="H592" s="170">
        <f t="shared" si="531"/>
        <v>8185.97669221042</v>
      </c>
      <c r="I592" s="170">
        <f t="shared" si="531"/>
        <v>0</v>
      </c>
      <c r="J592" s="170">
        <f t="shared" si="531"/>
        <v>9681.9821112766422</v>
      </c>
      <c r="K592" s="170">
        <f t="shared" ref="K592:P592" si="532">SUBTOTAL(9,K583:K591)</f>
        <v>3775.0121698324683</v>
      </c>
      <c r="L592" s="170">
        <f t="shared" si="532"/>
        <v>447.48474211180553</v>
      </c>
      <c r="M592" s="170">
        <f t="shared" si="532"/>
        <v>1.1317188372904559</v>
      </c>
      <c r="N592" s="170">
        <f t="shared" si="532"/>
        <v>0</v>
      </c>
      <c r="O592" s="170">
        <f t="shared" si="532"/>
        <v>0</v>
      </c>
      <c r="P592" s="170">
        <f t="shared" si="532"/>
        <v>1906.4039588915496</v>
      </c>
      <c r="Q592" s="170">
        <f t="shared" si="531"/>
        <v>558158.13946769875</v>
      </c>
    </row>
    <row r="593" spans="3:17" ht="15.75" hidden="1" thickBot="1" x14ac:dyDescent="0.3"/>
    <row r="594" spans="3:17" ht="45" x14ac:dyDescent="0.25">
      <c r="C594" s="143">
        <f>IF(E594&gt;0,1,0)</f>
        <v>1</v>
      </c>
      <c r="D594" s="163" t="str">
        <f>A45</f>
        <v>Rensselaer</v>
      </c>
      <c r="E594" s="166">
        <f>SUMIF(A:A,D594,B:B)</f>
        <v>1.1879078473435285E-2</v>
      </c>
      <c r="F594" s="509" t="s">
        <v>97</v>
      </c>
      <c r="G594" s="509" t="s">
        <v>126</v>
      </c>
      <c r="H594" s="509" t="s">
        <v>127</v>
      </c>
      <c r="I594" s="508" t="s">
        <v>128</v>
      </c>
      <c r="J594" s="508" t="s">
        <v>487</v>
      </c>
      <c r="K594" s="508" t="s">
        <v>474</v>
      </c>
      <c r="L594" s="508" t="s">
        <v>475</v>
      </c>
      <c r="M594" s="508" t="s">
        <v>476</v>
      </c>
      <c r="N594" s="508" t="s">
        <v>477</v>
      </c>
      <c r="O594" s="508" t="s">
        <v>478</v>
      </c>
      <c r="P594" s="508" t="s">
        <v>479</v>
      </c>
      <c r="Q594" s="508" t="s">
        <v>129</v>
      </c>
    </row>
    <row r="595" spans="3:17" ht="18.75" x14ac:dyDescent="0.25">
      <c r="C595" s="143">
        <f>C594</f>
        <v>1</v>
      </c>
      <c r="D595" s="160"/>
      <c r="E595" s="159"/>
      <c r="F595" s="49" t="s">
        <v>57</v>
      </c>
      <c r="G595" s="49" t="s">
        <v>56</v>
      </c>
      <c r="H595" s="49" t="s">
        <v>55</v>
      </c>
      <c r="I595" s="49" t="s">
        <v>54</v>
      </c>
      <c r="J595" s="58" t="s">
        <v>53</v>
      </c>
      <c r="K595" s="49" t="s">
        <v>52</v>
      </c>
      <c r="L595" s="49" t="s">
        <v>51</v>
      </c>
      <c r="M595" s="49" t="s">
        <v>50</v>
      </c>
      <c r="N595" s="49" t="s">
        <v>49</v>
      </c>
      <c r="O595" s="49" t="s">
        <v>47</v>
      </c>
      <c r="P595" s="49" t="s">
        <v>77</v>
      </c>
      <c r="Q595" s="573" t="s">
        <v>78</v>
      </c>
    </row>
    <row r="596" spans="3:17" ht="18.75" x14ac:dyDescent="0.25">
      <c r="C596" s="143">
        <f>C595</f>
        <v>1</v>
      </c>
      <c r="D596" s="158" t="s">
        <v>26</v>
      </c>
      <c r="E596" s="157"/>
      <c r="F596" s="156"/>
      <c r="G596" s="156"/>
      <c r="H596" s="156"/>
      <c r="I596" s="155"/>
      <c r="J596" s="154"/>
      <c r="K596" s="154"/>
      <c r="L596" s="154"/>
      <c r="M596" s="154"/>
      <c r="N596" s="154"/>
      <c r="O596" s="154"/>
      <c r="P596" s="154"/>
      <c r="Q596" s="153"/>
    </row>
    <row r="597" spans="3:17" ht="18.75" x14ac:dyDescent="0.25">
      <c r="C597" s="143">
        <f t="shared" ref="C597:C606" si="533">C596</f>
        <v>1</v>
      </c>
      <c r="D597" s="152" t="s">
        <v>105</v>
      </c>
      <c r="E597" s="38" t="s">
        <v>57</v>
      </c>
      <c r="F597" s="168">
        <f t="shared" ref="F597:P597" si="534">F$6*$E594</f>
        <v>22.214084115198684</v>
      </c>
      <c r="G597" s="186">
        <f t="shared" si="534"/>
        <v>44493.109567011546</v>
      </c>
      <c r="H597" s="186">
        <f t="shared" si="534"/>
        <v>670.76226321922582</v>
      </c>
      <c r="I597" s="186">
        <f t="shared" si="534"/>
        <v>0</v>
      </c>
      <c r="J597" s="186">
        <f t="shared" si="534"/>
        <v>854.78795771672628</v>
      </c>
      <c r="K597" s="186">
        <f t="shared" si="534"/>
        <v>147.12832643273273</v>
      </c>
      <c r="L597" s="186">
        <f t="shared" si="534"/>
        <v>39.506845233027398</v>
      </c>
      <c r="M597" s="186">
        <f t="shared" si="534"/>
        <v>0</v>
      </c>
      <c r="N597" s="186">
        <f t="shared" si="534"/>
        <v>0</v>
      </c>
      <c r="O597" s="186">
        <f t="shared" si="534"/>
        <v>0</v>
      </c>
      <c r="P597" s="186">
        <f t="shared" si="534"/>
        <v>0</v>
      </c>
      <c r="Q597" s="189">
        <f>SUM(G597:P597)</f>
        <v>46205.294959613268</v>
      </c>
    </row>
    <row r="598" spans="3:17" ht="18.75" x14ac:dyDescent="0.25">
      <c r="C598" s="143">
        <f t="shared" si="533"/>
        <v>1</v>
      </c>
      <c r="D598" s="150" t="s">
        <v>31</v>
      </c>
      <c r="E598" s="38"/>
      <c r="F598" s="167"/>
      <c r="G598" s="185"/>
      <c r="H598" s="185"/>
      <c r="I598" s="187"/>
      <c r="J598" s="188"/>
      <c r="K598" s="188"/>
      <c r="L598" s="188"/>
      <c r="M598" s="188"/>
      <c r="N598" s="188"/>
      <c r="O598" s="188"/>
      <c r="P598" s="188"/>
      <c r="Q598" s="171"/>
    </row>
    <row r="599" spans="3:17" ht="18.75" x14ac:dyDescent="0.3">
      <c r="C599" s="143">
        <f t="shared" si="533"/>
        <v>1</v>
      </c>
      <c r="D599" s="149" t="s">
        <v>118</v>
      </c>
      <c r="E599" s="38" t="s">
        <v>56</v>
      </c>
      <c r="F599" s="168">
        <f t="shared" ref="F599:P599" si="535">F$8*$E594</f>
        <v>0</v>
      </c>
      <c r="G599" s="186">
        <f t="shared" si="535"/>
        <v>0</v>
      </c>
      <c r="H599" s="186">
        <f t="shared" si="535"/>
        <v>0</v>
      </c>
      <c r="I599" s="186">
        <f t="shared" si="535"/>
        <v>0</v>
      </c>
      <c r="J599" s="186">
        <f t="shared" si="535"/>
        <v>0</v>
      </c>
      <c r="K599" s="186">
        <f t="shared" si="535"/>
        <v>0</v>
      </c>
      <c r="L599" s="186">
        <f t="shared" si="535"/>
        <v>0</v>
      </c>
      <c r="M599" s="186">
        <f t="shared" si="535"/>
        <v>0</v>
      </c>
      <c r="N599" s="186">
        <f t="shared" si="535"/>
        <v>0</v>
      </c>
      <c r="O599" s="186">
        <f t="shared" si="535"/>
        <v>0</v>
      </c>
      <c r="P599" s="186">
        <f t="shared" si="535"/>
        <v>0</v>
      </c>
      <c r="Q599" s="189">
        <f t="shared" ref="Q599:Q605" si="536">SUM(G599:P599)</f>
        <v>0</v>
      </c>
    </row>
    <row r="600" spans="3:17" ht="18.75" x14ac:dyDescent="0.3">
      <c r="C600" s="143">
        <f t="shared" si="533"/>
        <v>1</v>
      </c>
      <c r="D600" s="149" t="s">
        <v>119</v>
      </c>
      <c r="E600" s="38" t="s">
        <v>55</v>
      </c>
      <c r="F600" s="168">
        <f t="shared" ref="F600:P600" si="537">F$9*$E594</f>
        <v>0</v>
      </c>
      <c r="G600" s="186">
        <f t="shared" si="537"/>
        <v>0</v>
      </c>
      <c r="H600" s="186">
        <f t="shared" si="537"/>
        <v>0</v>
      </c>
      <c r="I600" s="186">
        <f t="shared" si="537"/>
        <v>0</v>
      </c>
      <c r="J600" s="186">
        <f t="shared" si="537"/>
        <v>0</v>
      </c>
      <c r="K600" s="186">
        <f t="shared" si="537"/>
        <v>0</v>
      </c>
      <c r="L600" s="186">
        <f t="shared" si="537"/>
        <v>0</v>
      </c>
      <c r="M600" s="186">
        <f t="shared" si="537"/>
        <v>0</v>
      </c>
      <c r="N600" s="186">
        <f t="shared" si="537"/>
        <v>0</v>
      </c>
      <c r="O600" s="186">
        <f t="shared" si="537"/>
        <v>0</v>
      </c>
      <c r="P600" s="186">
        <f t="shared" si="537"/>
        <v>0</v>
      </c>
      <c r="Q600" s="189">
        <f t="shared" si="536"/>
        <v>0</v>
      </c>
    </row>
    <row r="601" spans="3:17" ht="18.75" x14ac:dyDescent="0.3">
      <c r="C601" s="143">
        <f t="shared" si="533"/>
        <v>1</v>
      </c>
      <c r="D601" s="149" t="s">
        <v>120</v>
      </c>
      <c r="E601" s="38" t="s">
        <v>54</v>
      </c>
      <c r="F601" s="168">
        <f t="shared" ref="F601:P601" si="538">F$10*$E594</f>
        <v>0</v>
      </c>
      <c r="G601" s="186">
        <f t="shared" si="538"/>
        <v>0</v>
      </c>
      <c r="H601" s="186">
        <f t="shared" si="538"/>
        <v>0</v>
      </c>
      <c r="I601" s="186">
        <f t="shared" si="538"/>
        <v>0</v>
      </c>
      <c r="J601" s="186">
        <f t="shared" si="538"/>
        <v>0</v>
      </c>
      <c r="K601" s="186">
        <f t="shared" si="538"/>
        <v>0</v>
      </c>
      <c r="L601" s="186">
        <f t="shared" si="538"/>
        <v>0</v>
      </c>
      <c r="M601" s="186">
        <f t="shared" si="538"/>
        <v>0</v>
      </c>
      <c r="N601" s="186">
        <f t="shared" si="538"/>
        <v>0</v>
      </c>
      <c r="O601" s="186">
        <f t="shared" si="538"/>
        <v>0</v>
      </c>
      <c r="P601" s="186">
        <f t="shared" si="538"/>
        <v>0</v>
      </c>
      <c r="Q601" s="189">
        <f t="shared" si="536"/>
        <v>0</v>
      </c>
    </row>
    <row r="602" spans="3:17" ht="18.75" x14ac:dyDescent="0.3">
      <c r="C602" s="143">
        <f t="shared" si="533"/>
        <v>1</v>
      </c>
      <c r="D602" s="149" t="s">
        <v>121</v>
      </c>
      <c r="E602" s="38" t="s">
        <v>53</v>
      </c>
      <c r="F602" s="168">
        <f t="shared" ref="F602:P602" si="539">F$11*$E594</f>
        <v>0</v>
      </c>
      <c r="G602" s="186">
        <f t="shared" si="539"/>
        <v>0</v>
      </c>
      <c r="H602" s="186">
        <f t="shared" si="539"/>
        <v>0</v>
      </c>
      <c r="I602" s="186">
        <f t="shared" si="539"/>
        <v>0</v>
      </c>
      <c r="J602" s="186">
        <f t="shared" si="539"/>
        <v>0</v>
      </c>
      <c r="K602" s="186">
        <f t="shared" si="539"/>
        <v>0</v>
      </c>
      <c r="L602" s="186">
        <f t="shared" si="539"/>
        <v>0</v>
      </c>
      <c r="M602" s="186">
        <f t="shared" si="539"/>
        <v>0</v>
      </c>
      <c r="N602" s="186">
        <f t="shared" si="539"/>
        <v>0</v>
      </c>
      <c r="O602" s="186">
        <f t="shared" si="539"/>
        <v>0</v>
      </c>
      <c r="P602" s="186">
        <f t="shared" si="539"/>
        <v>0</v>
      </c>
      <c r="Q602" s="189">
        <f t="shared" si="536"/>
        <v>0</v>
      </c>
    </row>
    <row r="603" spans="3:17" ht="18.75" x14ac:dyDescent="0.3">
      <c r="C603" s="143">
        <f t="shared" si="533"/>
        <v>1</v>
      </c>
      <c r="D603" s="149" t="s">
        <v>122</v>
      </c>
      <c r="E603" s="38" t="s">
        <v>52</v>
      </c>
      <c r="F603" s="168">
        <f t="shared" ref="F603:P603" si="540">F$12*$E594</f>
        <v>0</v>
      </c>
      <c r="G603" s="186">
        <f t="shared" si="540"/>
        <v>0</v>
      </c>
      <c r="H603" s="186">
        <f t="shared" si="540"/>
        <v>0</v>
      </c>
      <c r="I603" s="186">
        <f t="shared" si="540"/>
        <v>0</v>
      </c>
      <c r="J603" s="186">
        <f t="shared" si="540"/>
        <v>0</v>
      </c>
      <c r="K603" s="186">
        <f t="shared" si="540"/>
        <v>0</v>
      </c>
      <c r="L603" s="186">
        <f t="shared" si="540"/>
        <v>0</v>
      </c>
      <c r="M603" s="186">
        <f t="shared" si="540"/>
        <v>0</v>
      </c>
      <c r="N603" s="186">
        <f t="shared" si="540"/>
        <v>0</v>
      </c>
      <c r="O603" s="186">
        <f t="shared" si="540"/>
        <v>0</v>
      </c>
      <c r="P603" s="186">
        <f t="shared" si="540"/>
        <v>0</v>
      </c>
      <c r="Q603" s="189">
        <f t="shared" si="536"/>
        <v>0</v>
      </c>
    </row>
    <row r="604" spans="3:17" ht="18.75" x14ac:dyDescent="0.3">
      <c r="C604" s="143">
        <f t="shared" si="533"/>
        <v>1</v>
      </c>
      <c r="D604" s="149" t="s">
        <v>123</v>
      </c>
      <c r="E604" s="38" t="s">
        <v>51</v>
      </c>
      <c r="F604" s="168">
        <f t="shared" ref="F604:P604" si="541">F$13*$E594</f>
        <v>0</v>
      </c>
      <c r="G604" s="186">
        <f t="shared" si="541"/>
        <v>0</v>
      </c>
      <c r="H604" s="186">
        <f t="shared" si="541"/>
        <v>0</v>
      </c>
      <c r="I604" s="186">
        <f t="shared" si="541"/>
        <v>0</v>
      </c>
      <c r="J604" s="186">
        <f t="shared" si="541"/>
        <v>0</v>
      </c>
      <c r="K604" s="186">
        <f t="shared" si="541"/>
        <v>0</v>
      </c>
      <c r="L604" s="186">
        <f t="shared" si="541"/>
        <v>0</v>
      </c>
      <c r="M604" s="186">
        <f t="shared" si="541"/>
        <v>0</v>
      </c>
      <c r="N604" s="186">
        <f t="shared" si="541"/>
        <v>0</v>
      </c>
      <c r="O604" s="186">
        <f t="shared" si="541"/>
        <v>0</v>
      </c>
      <c r="P604" s="186">
        <f t="shared" si="541"/>
        <v>0</v>
      </c>
      <c r="Q604" s="189">
        <f t="shared" si="536"/>
        <v>0</v>
      </c>
    </row>
    <row r="605" spans="3:17" ht="19.5" thickBot="1" x14ac:dyDescent="0.35">
      <c r="C605" s="143">
        <f t="shared" si="533"/>
        <v>1</v>
      </c>
      <c r="D605" s="149" t="s">
        <v>16</v>
      </c>
      <c r="E605" s="37" t="s">
        <v>50</v>
      </c>
      <c r="F605" s="168">
        <f t="shared" ref="F605:P605" si="542">F$14*$E594</f>
        <v>1.4771697597376559</v>
      </c>
      <c r="G605" s="186">
        <f t="shared" si="542"/>
        <v>2666.0007079911829</v>
      </c>
      <c r="H605" s="186">
        <f t="shared" si="542"/>
        <v>51.948667066579503</v>
      </c>
      <c r="I605" s="186">
        <f t="shared" si="542"/>
        <v>0</v>
      </c>
      <c r="J605" s="186">
        <f t="shared" si="542"/>
        <v>0</v>
      </c>
      <c r="K605" s="186">
        <f t="shared" si="542"/>
        <v>186.15414671381191</v>
      </c>
      <c r="L605" s="186">
        <f t="shared" si="542"/>
        <v>0</v>
      </c>
      <c r="M605" s="186">
        <f t="shared" si="542"/>
        <v>9.9915453521686015E-2</v>
      </c>
      <c r="N605" s="186">
        <f t="shared" si="542"/>
        <v>0</v>
      </c>
      <c r="O605" s="186">
        <f t="shared" si="542"/>
        <v>0</v>
      </c>
      <c r="P605" s="186">
        <f t="shared" si="542"/>
        <v>168.30966302922843</v>
      </c>
      <c r="Q605" s="189">
        <f t="shared" si="536"/>
        <v>3072.5131002543244</v>
      </c>
    </row>
    <row r="606" spans="3:17" ht="19.5" thickBot="1" x14ac:dyDescent="0.3">
      <c r="C606" s="143">
        <f t="shared" si="533"/>
        <v>1</v>
      </c>
      <c r="D606" s="148" t="s">
        <v>124</v>
      </c>
      <c r="E606" s="147" t="s">
        <v>49</v>
      </c>
      <c r="F606" s="169">
        <f t="shared" ref="F606:Q606" si="543">SUBTOTAL(9,F597:F605)</f>
        <v>23.69125387493634</v>
      </c>
      <c r="G606" s="170">
        <f t="shared" si="543"/>
        <v>47159.110275002728</v>
      </c>
      <c r="H606" s="170">
        <f t="shared" si="543"/>
        <v>722.71093028580526</v>
      </c>
      <c r="I606" s="170">
        <f t="shared" si="543"/>
        <v>0</v>
      </c>
      <c r="J606" s="170">
        <f t="shared" si="543"/>
        <v>854.78795771672628</v>
      </c>
      <c r="K606" s="170">
        <f t="shared" ref="K606:P606" si="544">SUBTOTAL(9,K597:K605)</f>
        <v>333.28247314654465</v>
      </c>
      <c r="L606" s="170">
        <f t="shared" si="544"/>
        <v>39.506845233027398</v>
      </c>
      <c r="M606" s="170">
        <f t="shared" si="544"/>
        <v>9.9915453521686015E-2</v>
      </c>
      <c r="N606" s="170">
        <f t="shared" si="544"/>
        <v>0</v>
      </c>
      <c r="O606" s="170">
        <f t="shared" si="544"/>
        <v>0</v>
      </c>
      <c r="P606" s="170">
        <f t="shared" si="544"/>
        <v>168.30966302922843</v>
      </c>
      <c r="Q606" s="170">
        <f t="shared" si="543"/>
        <v>49277.808059867595</v>
      </c>
    </row>
    <row r="607" spans="3:17" ht="15.75" hidden="1" thickBot="1" x14ac:dyDescent="0.3"/>
    <row r="608" spans="3:17" ht="45" x14ac:dyDescent="0.25">
      <c r="C608" s="143">
        <f>IF(E608&gt;0,1,0)</f>
        <v>1</v>
      </c>
      <c r="D608" s="163" t="str">
        <f>A46</f>
        <v>Richmond</v>
      </c>
      <c r="E608" s="166">
        <f>SUMIF(A:A,D608,B:B)</f>
        <v>6.7007910925224526E-2</v>
      </c>
      <c r="F608" s="509" t="s">
        <v>97</v>
      </c>
      <c r="G608" s="509" t="s">
        <v>126</v>
      </c>
      <c r="H608" s="509" t="s">
        <v>127</v>
      </c>
      <c r="I608" s="508" t="s">
        <v>128</v>
      </c>
      <c r="J608" s="508" t="s">
        <v>487</v>
      </c>
      <c r="K608" s="508" t="s">
        <v>474</v>
      </c>
      <c r="L608" s="508" t="s">
        <v>475</v>
      </c>
      <c r="M608" s="508" t="s">
        <v>476</v>
      </c>
      <c r="N608" s="508" t="s">
        <v>477</v>
      </c>
      <c r="O608" s="508" t="s">
        <v>478</v>
      </c>
      <c r="P608" s="508" t="s">
        <v>479</v>
      </c>
      <c r="Q608" s="508" t="s">
        <v>129</v>
      </c>
    </row>
    <row r="609" spans="3:17" ht="18.75" x14ac:dyDescent="0.25">
      <c r="C609" s="143">
        <f>C608</f>
        <v>1</v>
      </c>
      <c r="D609" s="160"/>
      <c r="E609" s="159"/>
      <c r="F609" s="49" t="s">
        <v>57</v>
      </c>
      <c r="G609" s="49" t="s">
        <v>56</v>
      </c>
      <c r="H609" s="49" t="s">
        <v>55</v>
      </c>
      <c r="I609" s="49" t="s">
        <v>54</v>
      </c>
      <c r="J609" s="58" t="s">
        <v>53</v>
      </c>
      <c r="K609" s="49" t="s">
        <v>52</v>
      </c>
      <c r="L609" s="49" t="s">
        <v>51</v>
      </c>
      <c r="M609" s="49" t="s">
        <v>50</v>
      </c>
      <c r="N609" s="49" t="s">
        <v>49</v>
      </c>
      <c r="O609" s="49" t="s">
        <v>47</v>
      </c>
      <c r="P609" s="49" t="s">
        <v>77</v>
      </c>
      <c r="Q609" s="573" t="s">
        <v>78</v>
      </c>
    </row>
    <row r="610" spans="3:17" ht="18.75" x14ac:dyDescent="0.25">
      <c r="C610" s="143">
        <f>C609</f>
        <v>1</v>
      </c>
      <c r="D610" s="158" t="s">
        <v>26</v>
      </c>
      <c r="E610" s="157"/>
      <c r="F610" s="156"/>
      <c r="G610" s="156"/>
      <c r="H610" s="156"/>
      <c r="I610" s="155"/>
      <c r="J610" s="154"/>
      <c r="K610" s="154"/>
      <c r="L610" s="154"/>
      <c r="M610" s="154"/>
      <c r="N610" s="154"/>
      <c r="O610" s="154"/>
      <c r="P610" s="154"/>
      <c r="Q610" s="153"/>
    </row>
    <row r="611" spans="3:17" ht="18.75" x14ac:dyDescent="0.25">
      <c r="C611" s="143">
        <f t="shared" ref="C611:C620" si="545">C610</f>
        <v>1</v>
      </c>
      <c r="D611" s="152" t="s">
        <v>105</v>
      </c>
      <c r="E611" s="38" t="s">
        <v>57</v>
      </c>
      <c r="F611" s="168">
        <f t="shared" ref="F611:P611" si="546">F$6*$E608</f>
        <v>125.30596316923031</v>
      </c>
      <c r="G611" s="186">
        <f t="shared" si="546"/>
        <v>250978.24964450992</v>
      </c>
      <c r="H611" s="186">
        <f t="shared" si="546"/>
        <v>3783.658647117089</v>
      </c>
      <c r="I611" s="186">
        <f t="shared" si="546"/>
        <v>0</v>
      </c>
      <c r="J611" s="186">
        <f t="shared" si="546"/>
        <v>4821.7170598480789</v>
      </c>
      <c r="K611" s="186">
        <f t="shared" si="546"/>
        <v>829.92648076436842</v>
      </c>
      <c r="L611" s="186">
        <f t="shared" si="546"/>
        <v>222.85155975956548</v>
      </c>
      <c r="M611" s="186">
        <f t="shared" si="546"/>
        <v>0</v>
      </c>
      <c r="N611" s="186">
        <f t="shared" si="546"/>
        <v>0</v>
      </c>
      <c r="O611" s="186">
        <f t="shared" si="546"/>
        <v>0</v>
      </c>
      <c r="P611" s="186">
        <f t="shared" si="546"/>
        <v>0</v>
      </c>
      <c r="Q611" s="189">
        <f>SUM(G611:P611)</f>
        <v>260636.40339199902</v>
      </c>
    </row>
    <row r="612" spans="3:17" ht="18.75" x14ac:dyDescent="0.25">
      <c r="C612" s="143">
        <f t="shared" si="545"/>
        <v>1</v>
      </c>
      <c r="D612" s="150" t="s">
        <v>31</v>
      </c>
      <c r="E612" s="38"/>
      <c r="F612" s="167"/>
      <c r="G612" s="185"/>
      <c r="H612" s="185"/>
      <c r="I612" s="187"/>
      <c r="J612" s="188"/>
      <c r="K612" s="188"/>
      <c r="L612" s="188"/>
      <c r="M612" s="188"/>
      <c r="N612" s="188"/>
      <c r="O612" s="188"/>
      <c r="P612" s="188"/>
      <c r="Q612" s="171"/>
    </row>
    <row r="613" spans="3:17" ht="18.75" x14ac:dyDescent="0.3">
      <c r="C613" s="143">
        <f t="shared" si="545"/>
        <v>1</v>
      </c>
      <c r="D613" s="149" t="s">
        <v>118</v>
      </c>
      <c r="E613" s="38" t="s">
        <v>56</v>
      </c>
      <c r="F613" s="168">
        <f t="shared" ref="F613:P613" si="547">F$8*$E608</f>
        <v>0</v>
      </c>
      <c r="G613" s="186">
        <f t="shared" si="547"/>
        <v>0</v>
      </c>
      <c r="H613" s="186">
        <f t="shared" si="547"/>
        <v>0</v>
      </c>
      <c r="I613" s="186">
        <f t="shared" si="547"/>
        <v>0</v>
      </c>
      <c r="J613" s="186">
        <f t="shared" si="547"/>
        <v>0</v>
      </c>
      <c r="K613" s="186">
        <f t="shared" si="547"/>
        <v>0</v>
      </c>
      <c r="L613" s="186">
        <f t="shared" si="547"/>
        <v>0</v>
      </c>
      <c r="M613" s="186">
        <f t="shared" si="547"/>
        <v>0</v>
      </c>
      <c r="N613" s="186">
        <f t="shared" si="547"/>
        <v>0</v>
      </c>
      <c r="O613" s="186">
        <f t="shared" si="547"/>
        <v>0</v>
      </c>
      <c r="P613" s="186">
        <f t="shared" si="547"/>
        <v>0</v>
      </c>
      <c r="Q613" s="189">
        <f t="shared" ref="Q613:Q619" si="548">SUM(G613:P613)</f>
        <v>0</v>
      </c>
    </row>
    <row r="614" spans="3:17" ht="18.75" x14ac:dyDescent="0.3">
      <c r="C614" s="143">
        <f t="shared" si="545"/>
        <v>1</v>
      </c>
      <c r="D614" s="149" t="s">
        <v>119</v>
      </c>
      <c r="E614" s="38" t="s">
        <v>55</v>
      </c>
      <c r="F614" s="168">
        <f t="shared" ref="F614:P614" si="549">F$9*$E608</f>
        <v>0</v>
      </c>
      <c r="G614" s="186">
        <f t="shared" si="549"/>
        <v>0</v>
      </c>
      <c r="H614" s="186">
        <f t="shared" si="549"/>
        <v>0</v>
      </c>
      <c r="I614" s="186">
        <f t="shared" si="549"/>
        <v>0</v>
      </c>
      <c r="J614" s="186">
        <f t="shared" si="549"/>
        <v>0</v>
      </c>
      <c r="K614" s="186">
        <f t="shared" si="549"/>
        <v>0</v>
      </c>
      <c r="L614" s="186">
        <f t="shared" si="549"/>
        <v>0</v>
      </c>
      <c r="M614" s="186">
        <f t="shared" si="549"/>
        <v>0</v>
      </c>
      <c r="N614" s="186">
        <f t="shared" si="549"/>
        <v>0</v>
      </c>
      <c r="O614" s="186">
        <f t="shared" si="549"/>
        <v>0</v>
      </c>
      <c r="P614" s="186">
        <f t="shared" si="549"/>
        <v>0</v>
      </c>
      <c r="Q614" s="189">
        <f t="shared" si="548"/>
        <v>0</v>
      </c>
    </row>
    <row r="615" spans="3:17" ht="18.75" x14ac:dyDescent="0.3">
      <c r="C615" s="143">
        <f t="shared" si="545"/>
        <v>1</v>
      </c>
      <c r="D615" s="149" t="s">
        <v>120</v>
      </c>
      <c r="E615" s="38" t="s">
        <v>54</v>
      </c>
      <c r="F615" s="168">
        <f t="shared" ref="F615:P615" si="550">F$10*$E608</f>
        <v>0</v>
      </c>
      <c r="G615" s="186">
        <f t="shared" si="550"/>
        <v>0</v>
      </c>
      <c r="H615" s="186">
        <f t="shared" si="550"/>
        <v>0</v>
      </c>
      <c r="I615" s="186">
        <f t="shared" si="550"/>
        <v>0</v>
      </c>
      <c r="J615" s="186">
        <f t="shared" si="550"/>
        <v>0</v>
      </c>
      <c r="K615" s="186">
        <f t="shared" si="550"/>
        <v>0</v>
      </c>
      <c r="L615" s="186">
        <f t="shared" si="550"/>
        <v>0</v>
      </c>
      <c r="M615" s="186">
        <f t="shared" si="550"/>
        <v>0</v>
      </c>
      <c r="N615" s="186">
        <f t="shared" si="550"/>
        <v>0</v>
      </c>
      <c r="O615" s="186">
        <f t="shared" si="550"/>
        <v>0</v>
      </c>
      <c r="P615" s="186">
        <f t="shared" si="550"/>
        <v>0</v>
      </c>
      <c r="Q615" s="189">
        <f t="shared" si="548"/>
        <v>0</v>
      </c>
    </row>
    <row r="616" spans="3:17" ht="18.75" x14ac:dyDescent="0.3">
      <c r="C616" s="143">
        <f t="shared" si="545"/>
        <v>1</v>
      </c>
      <c r="D616" s="149" t="s">
        <v>121</v>
      </c>
      <c r="E616" s="38" t="s">
        <v>53</v>
      </c>
      <c r="F616" s="168">
        <f t="shared" ref="F616:P616" si="551">F$11*$E608</f>
        <v>0</v>
      </c>
      <c r="G616" s="186">
        <f t="shared" si="551"/>
        <v>0</v>
      </c>
      <c r="H616" s="186">
        <f t="shared" si="551"/>
        <v>0</v>
      </c>
      <c r="I616" s="186">
        <f t="shared" si="551"/>
        <v>0</v>
      </c>
      <c r="J616" s="186">
        <f t="shared" si="551"/>
        <v>0</v>
      </c>
      <c r="K616" s="186">
        <f t="shared" si="551"/>
        <v>0</v>
      </c>
      <c r="L616" s="186">
        <f t="shared" si="551"/>
        <v>0</v>
      </c>
      <c r="M616" s="186">
        <f t="shared" si="551"/>
        <v>0</v>
      </c>
      <c r="N616" s="186">
        <f t="shared" si="551"/>
        <v>0</v>
      </c>
      <c r="O616" s="186">
        <f t="shared" si="551"/>
        <v>0</v>
      </c>
      <c r="P616" s="186">
        <f t="shared" si="551"/>
        <v>0</v>
      </c>
      <c r="Q616" s="189">
        <f t="shared" si="548"/>
        <v>0</v>
      </c>
    </row>
    <row r="617" spans="3:17" ht="18.75" x14ac:dyDescent="0.3">
      <c r="C617" s="143">
        <f t="shared" si="545"/>
        <v>1</v>
      </c>
      <c r="D617" s="149" t="s">
        <v>122</v>
      </c>
      <c r="E617" s="38" t="s">
        <v>52</v>
      </c>
      <c r="F617" s="168">
        <f t="shared" ref="F617:P617" si="552">F$12*$E608</f>
        <v>0</v>
      </c>
      <c r="G617" s="186">
        <f t="shared" si="552"/>
        <v>0</v>
      </c>
      <c r="H617" s="186">
        <f t="shared" si="552"/>
        <v>0</v>
      </c>
      <c r="I617" s="186">
        <f t="shared" si="552"/>
        <v>0</v>
      </c>
      <c r="J617" s="186">
        <f t="shared" si="552"/>
        <v>0</v>
      </c>
      <c r="K617" s="186">
        <f t="shared" si="552"/>
        <v>0</v>
      </c>
      <c r="L617" s="186">
        <f t="shared" si="552"/>
        <v>0</v>
      </c>
      <c r="M617" s="186">
        <f t="shared" si="552"/>
        <v>0</v>
      </c>
      <c r="N617" s="186">
        <f t="shared" si="552"/>
        <v>0</v>
      </c>
      <c r="O617" s="186">
        <f t="shared" si="552"/>
        <v>0</v>
      </c>
      <c r="P617" s="186">
        <f t="shared" si="552"/>
        <v>0</v>
      </c>
      <c r="Q617" s="189">
        <f t="shared" si="548"/>
        <v>0</v>
      </c>
    </row>
    <row r="618" spans="3:17" ht="18.75" x14ac:dyDescent="0.3">
      <c r="C618" s="143">
        <f t="shared" si="545"/>
        <v>1</v>
      </c>
      <c r="D618" s="149" t="s">
        <v>123</v>
      </c>
      <c r="E618" s="38" t="s">
        <v>51</v>
      </c>
      <c r="F618" s="168">
        <f t="shared" ref="F618:P618" si="553">F$13*$E608</f>
        <v>0</v>
      </c>
      <c r="G618" s="186">
        <f t="shared" si="553"/>
        <v>0</v>
      </c>
      <c r="H618" s="186">
        <f t="shared" si="553"/>
        <v>0</v>
      </c>
      <c r="I618" s="186">
        <f t="shared" si="553"/>
        <v>0</v>
      </c>
      <c r="J618" s="186">
        <f t="shared" si="553"/>
        <v>0</v>
      </c>
      <c r="K618" s="186">
        <f t="shared" si="553"/>
        <v>0</v>
      </c>
      <c r="L618" s="186">
        <f t="shared" si="553"/>
        <v>0</v>
      </c>
      <c r="M618" s="186">
        <f t="shared" si="553"/>
        <v>0</v>
      </c>
      <c r="N618" s="186">
        <f t="shared" si="553"/>
        <v>0</v>
      </c>
      <c r="O618" s="186">
        <f t="shared" si="553"/>
        <v>0</v>
      </c>
      <c r="P618" s="186">
        <f t="shared" si="553"/>
        <v>0</v>
      </c>
      <c r="Q618" s="189">
        <f t="shared" si="548"/>
        <v>0</v>
      </c>
    </row>
    <row r="619" spans="3:17" ht="19.5" thickBot="1" x14ac:dyDescent="0.35">
      <c r="C619" s="143">
        <f t="shared" si="545"/>
        <v>1</v>
      </c>
      <c r="D619" s="149" t="s">
        <v>16</v>
      </c>
      <c r="E619" s="37" t="s">
        <v>50</v>
      </c>
      <c r="F619" s="168">
        <f t="shared" ref="F619:P619" si="554">F$14*$E608</f>
        <v>8.3324695516816263</v>
      </c>
      <c r="G619" s="186">
        <f t="shared" si="554"/>
        <v>15038.467703294604</v>
      </c>
      <c r="H619" s="186">
        <f t="shared" si="554"/>
        <v>293.03381261988159</v>
      </c>
      <c r="I619" s="186">
        <f t="shared" si="554"/>
        <v>0</v>
      </c>
      <c r="J619" s="186">
        <f t="shared" si="554"/>
        <v>0</v>
      </c>
      <c r="K619" s="186">
        <f t="shared" si="554"/>
        <v>1050.0646585722079</v>
      </c>
      <c r="L619" s="186">
        <f t="shared" si="554"/>
        <v>0</v>
      </c>
      <c r="M619" s="186">
        <f t="shared" si="554"/>
        <v>0.56360649730588053</v>
      </c>
      <c r="N619" s="186">
        <f t="shared" si="554"/>
        <v>0</v>
      </c>
      <c r="O619" s="186">
        <f t="shared" si="554"/>
        <v>0</v>
      </c>
      <c r="P619" s="186">
        <f t="shared" si="554"/>
        <v>949.40688651378287</v>
      </c>
      <c r="Q619" s="189">
        <f t="shared" si="548"/>
        <v>17331.536667497781</v>
      </c>
    </row>
    <row r="620" spans="3:17" ht="19.5" thickBot="1" x14ac:dyDescent="0.3">
      <c r="C620" s="143">
        <f t="shared" si="545"/>
        <v>1</v>
      </c>
      <c r="D620" s="148" t="s">
        <v>124</v>
      </c>
      <c r="E620" s="147" t="s">
        <v>49</v>
      </c>
      <c r="F620" s="169">
        <f t="shared" ref="F620:Q620" si="555">SUBTOTAL(9,F611:F619)</f>
        <v>133.63843272091194</v>
      </c>
      <c r="G620" s="170">
        <f t="shared" si="555"/>
        <v>266016.71734780452</v>
      </c>
      <c r="H620" s="170">
        <f t="shared" si="555"/>
        <v>4076.6924597369707</v>
      </c>
      <c r="I620" s="170">
        <f t="shared" si="555"/>
        <v>0</v>
      </c>
      <c r="J620" s="170">
        <f t="shared" si="555"/>
        <v>4821.7170598480789</v>
      </c>
      <c r="K620" s="170">
        <f t="shared" ref="K620:P620" si="556">SUBTOTAL(9,K611:K619)</f>
        <v>1879.9911393365765</v>
      </c>
      <c r="L620" s="170">
        <f t="shared" si="556"/>
        <v>222.85155975956548</v>
      </c>
      <c r="M620" s="170">
        <f t="shared" si="556"/>
        <v>0.56360649730588053</v>
      </c>
      <c r="N620" s="170">
        <f t="shared" si="556"/>
        <v>0</v>
      </c>
      <c r="O620" s="170">
        <f t="shared" si="556"/>
        <v>0</v>
      </c>
      <c r="P620" s="170">
        <f t="shared" si="556"/>
        <v>949.40688651378287</v>
      </c>
      <c r="Q620" s="170">
        <f t="shared" si="555"/>
        <v>277967.94005949679</v>
      </c>
    </row>
    <row r="621" spans="3:17" ht="15.75" hidden="1" thickBot="1" x14ac:dyDescent="0.3"/>
    <row r="622" spans="3:17" ht="45" x14ac:dyDescent="0.25">
      <c r="C622" s="143">
        <f>IF(E622&gt;0,1,0)</f>
        <v>1</v>
      </c>
      <c r="D622" s="163" t="str">
        <f>A47</f>
        <v>Rockland</v>
      </c>
      <c r="E622" s="166">
        <f>SUMIF(A:A,D622,B:B)</f>
        <v>8.6451829716716073E-3</v>
      </c>
      <c r="F622" s="509" t="s">
        <v>97</v>
      </c>
      <c r="G622" s="509" t="s">
        <v>126</v>
      </c>
      <c r="H622" s="509" t="s">
        <v>127</v>
      </c>
      <c r="I622" s="508" t="s">
        <v>128</v>
      </c>
      <c r="J622" s="508" t="s">
        <v>487</v>
      </c>
      <c r="K622" s="508" t="s">
        <v>474</v>
      </c>
      <c r="L622" s="508" t="s">
        <v>475</v>
      </c>
      <c r="M622" s="508" t="s">
        <v>476</v>
      </c>
      <c r="N622" s="508" t="s">
        <v>477</v>
      </c>
      <c r="O622" s="508" t="s">
        <v>478</v>
      </c>
      <c r="P622" s="508" t="s">
        <v>479</v>
      </c>
      <c r="Q622" s="508" t="s">
        <v>129</v>
      </c>
    </row>
    <row r="623" spans="3:17" ht="18.75" x14ac:dyDescent="0.25">
      <c r="C623" s="143">
        <f>C622</f>
        <v>1</v>
      </c>
      <c r="D623" s="160"/>
      <c r="E623" s="159"/>
      <c r="F623" s="49" t="s">
        <v>57</v>
      </c>
      <c r="G623" s="49" t="s">
        <v>56</v>
      </c>
      <c r="H623" s="49" t="s">
        <v>55</v>
      </c>
      <c r="I623" s="49" t="s">
        <v>54</v>
      </c>
      <c r="J623" s="58" t="s">
        <v>53</v>
      </c>
      <c r="K623" s="49" t="s">
        <v>52</v>
      </c>
      <c r="L623" s="49" t="s">
        <v>51</v>
      </c>
      <c r="M623" s="49" t="s">
        <v>50</v>
      </c>
      <c r="N623" s="49" t="s">
        <v>49</v>
      </c>
      <c r="O623" s="49" t="s">
        <v>47</v>
      </c>
      <c r="P623" s="49" t="s">
        <v>77</v>
      </c>
      <c r="Q623" s="573" t="s">
        <v>78</v>
      </c>
    </row>
    <row r="624" spans="3:17" ht="18.75" x14ac:dyDescent="0.25">
      <c r="C624" s="143">
        <f>C623</f>
        <v>1</v>
      </c>
      <c r="D624" s="158" t="s">
        <v>26</v>
      </c>
      <c r="E624" s="157"/>
      <c r="F624" s="156"/>
      <c r="G624" s="156"/>
      <c r="H624" s="156"/>
      <c r="I624" s="155"/>
      <c r="J624" s="154"/>
      <c r="K624" s="154"/>
      <c r="L624" s="154"/>
      <c r="M624" s="154"/>
      <c r="N624" s="154"/>
      <c r="O624" s="154"/>
      <c r="P624" s="154"/>
      <c r="Q624" s="153"/>
    </row>
    <row r="625" spans="3:17" ht="18.75" x14ac:dyDescent="0.25">
      <c r="C625" s="143">
        <f t="shared" ref="C625:C634" si="557">C624</f>
        <v>1</v>
      </c>
      <c r="D625" s="152" t="s">
        <v>105</v>
      </c>
      <c r="E625" s="38" t="s">
        <v>57</v>
      </c>
      <c r="F625" s="168">
        <f t="shared" ref="F625:P625" si="558">F$6*$E622</f>
        <v>16.166643073657497</v>
      </c>
      <c r="G625" s="186">
        <f t="shared" si="558"/>
        <v>32380.548208821696</v>
      </c>
      <c r="H625" s="186">
        <f t="shared" si="558"/>
        <v>488.15760490096324</v>
      </c>
      <c r="I625" s="186">
        <f t="shared" si="558"/>
        <v>0</v>
      </c>
      <c r="J625" s="186">
        <f t="shared" si="558"/>
        <v>622.08514852125165</v>
      </c>
      <c r="K625" s="186">
        <f t="shared" si="558"/>
        <v>107.07491369563868</v>
      </c>
      <c r="L625" s="186">
        <f t="shared" si="558"/>
        <v>28.751717268036849</v>
      </c>
      <c r="M625" s="186">
        <f t="shared" si="558"/>
        <v>0</v>
      </c>
      <c r="N625" s="186">
        <f t="shared" si="558"/>
        <v>0</v>
      </c>
      <c r="O625" s="186">
        <f t="shared" si="558"/>
        <v>0</v>
      </c>
      <c r="P625" s="186">
        <f t="shared" si="558"/>
        <v>0</v>
      </c>
      <c r="Q625" s="189">
        <f>SUM(G625:P625)</f>
        <v>33626.617593207586</v>
      </c>
    </row>
    <row r="626" spans="3:17" ht="18.75" x14ac:dyDescent="0.25">
      <c r="C626" s="143">
        <f t="shared" si="557"/>
        <v>1</v>
      </c>
      <c r="D626" s="150" t="s">
        <v>31</v>
      </c>
      <c r="E626" s="38"/>
      <c r="F626" s="167"/>
      <c r="G626" s="185"/>
      <c r="H626" s="185"/>
      <c r="I626" s="187"/>
      <c r="J626" s="188"/>
      <c r="K626" s="188"/>
      <c r="L626" s="188"/>
      <c r="M626" s="188"/>
      <c r="N626" s="188"/>
      <c r="O626" s="188"/>
      <c r="P626" s="188"/>
      <c r="Q626" s="171"/>
    </row>
    <row r="627" spans="3:17" ht="18.75" x14ac:dyDescent="0.3">
      <c r="C627" s="143">
        <f t="shared" si="557"/>
        <v>1</v>
      </c>
      <c r="D627" s="149" t="s">
        <v>118</v>
      </c>
      <c r="E627" s="38" t="s">
        <v>56</v>
      </c>
      <c r="F627" s="168">
        <f t="shared" ref="F627:P627" si="559">F$8*$E622</f>
        <v>0</v>
      </c>
      <c r="G627" s="186">
        <f t="shared" si="559"/>
        <v>0</v>
      </c>
      <c r="H627" s="186">
        <f t="shared" si="559"/>
        <v>0</v>
      </c>
      <c r="I627" s="186">
        <f t="shared" si="559"/>
        <v>0</v>
      </c>
      <c r="J627" s="186">
        <f t="shared" si="559"/>
        <v>0</v>
      </c>
      <c r="K627" s="186">
        <f t="shared" si="559"/>
        <v>0</v>
      </c>
      <c r="L627" s="186">
        <f t="shared" si="559"/>
        <v>0</v>
      </c>
      <c r="M627" s="186">
        <f t="shared" si="559"/>
        <v>0</v>
      </c>
      <c r="N627" s="186">
        <f t="shared" si="559"/>
        <v>0</v>
      </c>
      <c r="O627" s="186">
        <f t="shared" si="559"/>
        <v>0</v>
      </c>
      <c r="P627" s="186">
        <f t="shared" si="559"/>
        <v>0</v>
      </c>
      <c r="Q627" s="189">
        <f t="shared" ref="Q627:Q633" si="560">SUM(G627:P627)</f>
        <v>0</v>
      </c>
    </row>
    <row r="628" spans="3:17" ht="18.75" x14ac:dyDescent="0.3">
      <c r="C628" s="143">
        <f t="shared" si="557"/>
        <v>1</v>
      </c>
      <c r="D628" s="149" t="s">
        <v>119</v>
      </c>
      <c r="E628" s="38" t="s">
        <v>55</v>
      </c>
      <c r="F628" s="168">
        <f t="shared" ref="F628:P628" si="561">F$9*$E622</f>
        <v>0</v>
      </c>
      <c r="G628" s="186">
        <f t="shared" si="561"/>
        <v>0</v>
      </c>
      <c r="H628" s="186">
        <f t="shared" si="561"/>
        <v>0</v>
      </c>
      <c r="I628" s="186">
        <f t="shared" si="561"/>
        <v>0</v>
      </c>
      <c r="J628" s="186">
        <f t="shared" si="561"/>
        <v>0</v>
      </c>
      <c r="K628" s="186">
        <f t="shared" si="561"/>
        <v>0</v>
      </c>
      <c r="L628" s="186">
        <f t="shared" si="561"/>
        <v>0</v>
      </c>
      <c r="M628" s="186">
        <f t="shared" si="561"/>
        <v>0</v>
      </c>
      <c r="N628" s="186">
        <f t="shared" si="561"/>
        <v>0</v>
      </c>
      <c r="O628" s="186">
        <f t="shared" si="561"/>
        <v>0</v>
      </c>
      <c r="P628" s="186">
        <f t="shared" si="561"/>
        <v>0</v>
      </c>
      <c r="Q628" s="189">
        <f t="shared" si="560"/>
        <v>0</v>
      </c>
    </row>
    <row r="629" spans="3:17" ht="18.75" x14ac:dyDescent="0.3">
      <c r="C629" s="143">
        <f t="shared" si="557"/>
        <v>1</v>
      </c>
      <c r="D629" s="149" t="s">
        <v>120</v>
      </c>
      <c r="E629" s="38" t="s">
        <v>54</v>
      </c>
      <c r="F629" s="168">
        <f t="shared" ref="F629:P629" si="562">F$10*$E622</f>
        <v>0</v>
      </c>
      <c r="G629" s="186">
        <f t="shared" si="562"/>
        <v>0</v>
      </c>
      <c r="H629" s="186">
        <f t="shared" si="562"/>
        <v>0</v>
      </c>
      <c r="I629" s="186">
        <f t="shared" si="562"/>
        <v>0</v>
      </c>
      <c r="J629" s="186">
        <f t="shared" si="562"/>
        <v>0</v>
      </c>
      <c r="K629" s="186">
        <f t="shared" si="562"/>
        <v>0</v>
      </c>
      <c r="L629" s="186">
        <f t="shared" si="562"/>
        <v>0</v>
      </c>
      <c r="M629" s="186">
        <f t="shared" si="562"/>
        <v>0</v>
      </c>
      <c r="N629" s="186">
        <f t="shared" si="562"/>
        <v>0</v>
      </c>
      <c r="O629" s="186">
        <f t="shared" si="562"/>
        <v>0</v>
      </c>
      <c r="P629" s="186">
        <f t="shared" si="562"/>
        <v>0</v>
      </c>
      <c r="Q629" s="189">
        <f t="shared" si="560"/>
        <v>0</v>
      </c>
    </row>
    <row r="630" spans="3:17" ht="18.75" x14ac:dyDescent="0.3">
      <c r="C630" s="143">
        <f t="shared" si="557"/>
        <v>1</v>
      </c>
      <c r="D630" s="149" t="s">
        <v>121</v>
      </c>
      <c r="E630" s="38" t="s">
        <v>53</v>
      </c>
      <c r="F630" s="168">
        <f t="shared" ref="F630:P630" si="563">F$11*$E622</f>
        <v>0</v>
      </c>
      <c r="G630" s="186">
        <f t="shared" si="563"/>
        <v>0</v>
      </c>
      <c r="H630" s="186">
        <f t="shared" si="563"/>
        <v>0</v>
      </c>
      <c r="I630" s="186">
        <f t="shared" si="563"/>
        <v>0</v>
      </c>
      <c r="J630" s="186">
        <f t="shared" si="563"/>
        <v>0</v>
      </c>
      <c r="K630" s="186">
        <f t="shared" si="563"/>
        <v>0</v>
      </c>
      <c r="L630" s="186">
        <f t="shared" si="563"/>
        <v>0</v>
      </c>
      <c r="M630" s="186">
        <f t="shared" si="563"/>
        <v>0</v>
      </c>
      <c r="N630" s="186">
        <f t="shared" si="563"/>
        <v>0</v>
      </c>
      <c r="O630" s="186">
        <f t="shared" si="563"/>
        <v>0</v>
      </c>
      <c r="P630" s="186">
        <f t="shared" si="563"/>
        <v>0</v>
      </c>
      <c r="Q630" s="189">
        <f t="shared" si="560"/>
        <v>0</v>
      </c>
    </row>
    <row r="631" spans="3:17" ht="18.75" x14ac:dyDescent="0.3">
      <c r="C631" s="143">
        <f t="shared" si="557"/>
        <v>1</v>
      </c>
      <c r="D631" s="149" t="s">
        <v>122</v>
      </c>
      <c r="E631" s="38" t="s">
        <v>52</v>
      </c>
      <c r="F631" s="168">
        <f t="shared" ref="F631:P631" si="564">F$12*$E622</f>
        <v>0</v>
      </c>
      <c r="G631" s="186">
        <f t="shared" si="564"/>
        <v>0</v>
      </c>
      <c r="H631" s="186">
        <f t="shared" si="564"/>
        <v>0</v>
      </c>
      <c r="I631" s="186">
        <f t="shared" si="564"/>
        <v>0</v>
      </c>
      <c r="J631" s="186">
        <f t="shared" si="564"/>
        <v>0</v>
      </c>
      <c r="K631" s="186">
        <f t="shared" si="564"/>
        <v>0</v>
      </c>
      <c r="L631" s="186">
        <f t="shared" si="564"/>
        <v>0</v>
      </c>
      <c r="M631" s="186">
        <f t="shared" si="564"/>
        <v>0</v>
      </c>
      <c r="N631" s="186">
        <f t="shared" si="564"/>
        <v>0</v>
      </c>
      <c r="O631" s="186">
        <f t="shared" si="564"/>
        <v>0</v>
      </c>
      <c r="P631" s="186">
        <f t="shared" si="564"/>
        <v>0</v>
      </c>
      <c r="Q631" s="189">
        <f t="shared" si="560"/>
        <v>0</v>
      </c>
    </row>
    <row r="632" spans="3:17" ht="18.75" x14ac:dyDescent="0.3">
      <c r="C632" s="143">
        <f t="shared" si="557"/>
        <v>1</v>
      </c>
      <c r="D632" s="149" t="s">
        <v>123</v>
      </c>
      <c r="E632" s="38" t="s">
        <v>51</v>
      </c>
      <c r="F632" s="168">
        <f t="shared" ref="F632:P632" si="565">F$13*$E622</f>
        <v>0</v>
      </c>
      <c r="G632" s="186">
        <f t="shared" si="565"/>
        <v>0</v>
      </c>
      <c r="H632" s="186">
        <f t="shared" si="565"/>
        <v>0</v>
      </c>
      <c r="I632" s="186">
        <f t="shared" si="565"/>
        <v>0</v>
      </c>
      <c r="J632" s="186">
        <f t="shared" si="565"/>
        <v>0</v>
      </c>
      <c r="K632" s="186">
        <f t="shared" si="565"/>
        <v>0</v>
      </c>
      <c r="L632" s="186">
        <f t="shared" si="565"/>
        <v>0</v>
      </c>
      <c r="M632" s="186">
        <f t="shared" si="565"/>
        <v>0</v>
      </c>
      <c r="N632" s="186">
        <f t="shared" si="565"/>
        <v>0</v>
      </c>
      <c r="O632" s="186">
        <f t="shared" si="565"/>
        <v>0</v>
      </c>
      <c r="P632" s="186">
        <f t="shared" si="565"/>
        <v>0</v>
      </c>
      <c r="Q632" s="189">
        <f t="shared" si="560"/>
        <v>0</v>
      </c>
    </row>
    <row r="633" spans="3:17" ht="19.5" thickBot="1" x14ac:dyDescent="0.35">
      <c r="C633" s="143">
        <f t="shared" si="557"/>
        <v>1</v>
      </c>
      <c r="D633" s="149" t="s">
        <v>16</v>
      </c>
      <c r="E633" s="37" t="s">
        <v>50</v>
      </c>
      <c r="F633" s="168">
        <f t="shared" ref="F633:P633" si="566">F$14*$E622</f>
        <v>1.0750331249776799</v>
      </c>
      <c r="G633" s="186">
        <f t="shared" si="566"/>
        <v>1940.2232231002849</v>
      </c>
      <c r="H633" s="186">
        <f t="shared" si="566"/>
        <v>37.806445418249254</v>
      </c>
      <c r="I633" s="186">
        <f t="shared" si="566"/>
        <v>0</v>
      </c>
      <c r="J633" s="186">
        <f t="shared" si="566"/>
        <v>0</v>
      </c>
      <c r="K633" s="186">
        <f t="shared" si="566"/>
        <v>135.47655761978515</v>
      </c>
      <c r="L633" s="186">
        <f t="shared" si="566"/>
        <v>0</v>
      </c>
      <c r="M633" s="186">
        <f t="shared" si="566"/>
        <v>7.2715015674336983E-2</v>
      </c>
      <c r="N633" s="186">
        <f t="shared" si="566"/>
        <v>0</v>
      </c>
      <c r="O633" s="186">
        <f t="shared" si="566"/>
        <v>0</v>
      </c>
      <c r="P633" s="186">
        <f t="shared" si="566"/>
        <v>122.48995879958052</v>
      </c>
      <c r="Q633" s="189">
        <f t="shared" si="560"/>
        <v>2236.0688999535746</v>
      </c>
    </row>
    <row r="634" spans="3:17" ht="19.5" thickBot="1" x14ac:dyDescent="0.3">
      <c r="C634" s="143">
        <f t="shared" si="557"/>
        <v>1</v>
      </c>
      <c r="D634" s="148" t="s">
        <v>124</v>
      </c>
      <c r="E634" s="147" t="s">
        <v>49</v>
      </c>
      <c r="F634" s="169">
        <f t="shared" ref="F634:Q634" si="567">SUBTOTAL(9,F625:F633)</f>
        <v>17.241676198635176</v>
      </c>
      <c r="G634" s="170">
        <f t="shared" si="567"/>
        <v>34320.771431921981</v>
      </c>
      <c r="H634" s="170">
        <f t="shared" si="567"/>
        <v>525.96405031921245</v>
      </c>
      <c r="I634" s="170">
        <f t="shared" si="567"/>
        <v>0</v>
      </c>
      <c r="J634" s="170">
        <f t="shared" si="567"/>
        <v>622.08514852125165</v>
      </c>
      <c r="K634" s="170">
        <f t="shared" ref="K634:P634" si="568">SUBTOTAL(9,K625:K633)</f>
        <v>242.55147131542384</v>
      </c>
      <c r="L634" s="170">
        <f t="shared" si="568"/>
        <v>28.751717268036849</v>
      </c>
      <c r="M634" s="170">
        <f t="shared" si="568"/>
        <v>7.2715015674336983E-2</v>
      </c>
      <c r="N634" s="170">
        <f t="shared" si="568"/>
        <v>0</v>
      </c>
      <c r="O634" s="170">
        <f t="shared" si="568"/>
        <v>0</v>
      </c>
      <c r="P634" s="170">
        <f t="shared" si="568"/>
        <v>122.48995879958052</v>
      </c>
      <c r="Q634" s="170">
        <f t="shared" si="567"/>
        <v>35862.686493161164</v>
      </c>
    </row>
    <row r="635" spans="3:17" ht="15.75" hidden="1" thickBot="1" x14ac:dyDescent="0.3"/>
    <row r="636" spans="3:17" ht="45" x14ac:dyDescent="0.25">
      <c r="C636" s="143">
        <f>IF(E636&gt;0,1,0)</f>
        <v>1</v>
      </c>
      <c r="D636" s="163" t="str">
        <f>A48</f>
        <v>Saint Lawrence</v>
      </c>
      <c r="E636" s="166">
        <f>SUMIF(A:A,D636,B:B)</f>
        <v>2.5221917468452523E-3</v>
      </c>
      <c r="F636" s="509" t="s">
        <v>97</v>
      </c>
      <c r="G636" s="509" t="s">
        <v>126</v>
      </c>
      <c r="H636" s="509" t="s">
        <v>127</v>
      </c>
      <c r="I636" s="508" t="s">
        <v>128</v>
      </c>
      <c r="J636" s="508" t="s">
        <v>487</v>
      </c>
      <c r="K636" s="508" t="s">
        <v>474</v>
      </c>
      <c r="L636" s="508" t="s">
        <v>475</v>
      </c>
      <c r="M636" s="508" t="s">
        <v>476</v>
      </c>
      <c r="N636" s="508" t="s">
        <v>477</v>
      </c>
      <c r="O636" s="508" t="s">
        <v>478</v>
      </c>
      <c r="P636" s="508" t="s">
        <v>479</v>
      </c>
      <c r="Q636" s="508" t="s">
        <v>129</v>
      </c>
    </row>
    <row r="637" spans="3:17" ht="18.75" x14ac:dyDescent="0.25">
      <c r="C637" s="143">
        <f>C636</f>
        <v>1</v>
      </c>
      <c r="D637" s="160"/>
      <c r="E637" s="159"/>
      <c r="F637" s="49" t="s">
        <v>57</v>
      </c>
      <c r="G637" s="49" t="s">
        <v>56</v>
      </c>
      <c r="H637" s="49" t="s">
        <v>55</v>
      </c>
      <c r="I637" s="49" t="s">
        <v>54</v>
      </c>
      <c r="J637" s="58" t="s">
        <v>53</v>
      </c>
      <c r="K637" s="49" t="s">
        <v>52</v>
      </c>
      <c r="L637" s="49" t="s">
        <v>51</v>
      </c>
      <c r="M637" s="49" t="s">
        <v>50</v>
      </c>
      <c r="N637" s="49" t="s">
        <v>49</v>
      </c>
      <c r="O637" s="49" t="s">
        <v>47</v>
      </c>
      <c r="P637" s="49" t="s">
        <v>77</v>
      </c>
      <c r="Q637" s="573" t="s">
        <v>78</v>
      </c>
    </row>
    <row r="638" spans="3:17" ht="18.75" x14ac:dyDescent="0.25">
      <c r="C638" s="143">
        <f>C637</f>
        <v>1</v>
      </c>
      <c r="D638" s="158" t="s">
        <v>26</v>
      </c>
      <c r="E638" s="157"/>
      <c r="F638" s="156"/>
      <c r="G638" s="156"/>
      <c r="H638" s="156"/>
      <c r="I638" s="155"/>
      <c r="J638" s="154"/>
      <c r="K638" s="154"/>
      <c r="L638" s="154"/>
      <c r="M638" s="154"/>
      <c r="N638" s="154"/>
      <c r="O638" s="154"/>
      <c r="P638" s="154"/>
      <c r="Q638" s="153"/>
    </row>
    <row r="639" spans="3:17" ht="18.75" x14ac:dyDescent="0.25">
      <c r="C639" s="143">
        <f t="shared" ref="C639:C648" si="569">C638</f>
        <v>1</v>
      </c>
      <c r="D639" s="152" t="s">
        <v>105</v>
      </c>
      <c r="E639" s="38" t="s">
        <v>57</v>
      </c>
      <c r="F639" s="168">
        <f t="shared" ref="F639:P639" si="570">F$6*$E636</f>
        <v>4.7165425958228955</v>
      </c>
      <c r="G639" s="186">
        <f t="shared" si="570"/>
        <v>9446.8736773102028</v>
      </c>
      <c r="H639" s="186">
        <f t="shared" si="570"/>
        <v>142.41770084860198</v>
      </c>
      <c r="I639" s="186">
        <f t="shared" si="570"/>
        <v>0</v>
      </c>
      <c r="J639" s="186">
        <f t="shared" si="570"/>
        <v>181.49043607019496</v>
      </c>
      <c r="K639" s="186">
        <f t="shared" si="570"/>
        <v>31.238605880551873</v>
      </c>
      <c r="L639" s="186">
        <f t="shared" si="570"/>
        <v>8.3881792020705976</v>
      </c>
      <c r="M639" s="186">
        <f t="shared" si="570"/>
        <v>0</v>
      </c>
      <c r="N639" s="186">
        <f t="shared" si="570"/>
        <v>0</v>
      </c>
      <c r="O639" s="186">
        <f t="shared" si="570"/>
        <v>0</v>
      </c>
      <c r="P639" s="186">
        <f t="shared" si="570"/>
        <v>0</v>
      </c>
      <c r="Q639" s="189">
        <f>SUM(G639:P639)</f>
        <v>9810.4085993116223</v>
      </c>
    </row>
    <row r="640" spans="3:17" ht="18.75" x14ac:dyDescent="0.25">
      <c r="C640" s="143">
        <f t="shared" si="569"/>
        <v>1</v>
      </c>
      <c r="D640" s="150" t="s">
        <v>31</v>
      </c>
      <c r="E640" s="38"/>
      <c r="F640" s="167"/>
      <c r="G640" s="185"/>
      <c r="H640" s="185"/>
      <c r="I640" s="187"/>
      <c r="J640" s="188"/>
      <c r="K640" s="188"/>
      <c r="L640" s="188"/>
      <c r="M640" s="188"/>
      <c r="N640" s="188"/>
      <c r="O640" s="188"/>
      <c r="P640" s="188"/>
      <c r="Q640" s="171"/>
    </row>
    <row r="641" spans="3:17" ht="18.75" x14ac:dyDescent="0.3">
      <c r="C641" s="143">
        <f t="shared" si="569"/>
        <v>1</v>
      </c>
      <c r="D641" s="149" t="s">
        <v>118</v>
      </c>
      <c r="E641" s="38" t="s">
        <v>56</v>
      </c>
      <c r="F641" s="168">
        <f t="shared" ref="F641:P641" si="571">F$8*$E636</f>
        <v>0</v>
      </c>
      <c r="G641" s="186">
        <f t="shared" si="571"/>
        <v>0</v>
      </c>
      <c r="H641" s="186">
        <f t="shared" si="571"/>
        <v>0</v>
      </c>
      <c r="I641" s="186">
        <f t="shared" si="571"/>
        <v>0</v>
      </c>
      <c r="J641" s="186">
        <f t="shared" si="571"/>
        <v>0</v>
      </c>
      <c r="K641" s="186">
        <f t="shared" si="571"/>
        <v>0</v>
      </c>
      <c r="L641" s="186">
        <f t="shared" si="571"/>
        <v>0</v>
      </c>
      <c r="M641" s="186">
        <f t="shared" si="571"/>
        <v>0</v>
      </c>
      <c r="N641" s="186">
        <f t="shared" si="571"/>
        <v>0</v>
      </c>
      <c r="O641" s="186">
        <f t="shared" si="571"/>
        <v>0</v>
      </c>
      <c r="P641" s="186">
        <f t="shared" si="571"/>
        <v>0</v>
      </c>
      <c r="Q641" s="189">
        <f t="shared" ref="Q641:Q647" si="572">SUM(G641:P641)</f>
        <v>0</v>
      </c>
    </row>
    <row r="642" spans="3:17" ht="18.75" x14ac:dyDescent="0.3">
      <c r="C642" s="143">
        <f t="shared" si="569"/>
        <v>1</v>
      </c>
      <c r="D642" s="149" t="s">
        <v>119</v>
      </c>
      <c r="E642" s="38" t="s">
        <v>55</v>
      </c>
      <c r="F642" s="168">
        <f t="shared" ref="F642:P642" si="573">F$9*$E636</f>
        <v>0</v>
      </c>
      <c r="G642" s="186">
        <f t="shared" si="573"/>
        <v>0</v>
      </c>
      <c r="H642" s="186">
        <f t="shared" si="573"/>
        <v>0</v>
      </c>
      <c r="I642" s="186">
        <f t="shared" si="573"/>
        <v>0</v>
      </c>
      <c r="J642" s="186">
        <f t="shared" si="573"/>
        <v>0</v>
      </c>
      <c r="K642" s="186">
        <f t="shared" si="573"/>
        <v>0</v>
      </c>
      <c r="L642" s="186">
        <f t="shared" si="573"/>
        <v>0</v>
      </c>
      <c r="M642" s="186">
        <f t="shared" si="573"/>
        <v>0</v>
      </c>
      <c r="N642" s="186">
        <f t="shared" si="573"/>
        <v>0</v>
      </c>
      <c r="O642" s="186">
        <f t="shared" si="573"/>
        <v>0</v>
      </c>
      <c r="P642" s="186">
        <f t="shared" si="573"/>
        <v>0</v>
      </c>
      <c r="Q642" s="189">
        <f t="shared" si="572"/>
        <v>0</v>
      </c>
    </row>
    <row r="643" spans="3:17" ht="18.75" x14ac:dyDescent="0.3">
      <c r="C643" s="143">
        <f t="shared" si="569"/>
        <v>1</v>
      </c>
      <c r="D643" s="149" t="s">
        <v>120</v>
      </c>
      <c r="E643" s="38" t="s">
        <v>54</v>
      </c>
      <c r="F643" s="168">
        <f t="shared" ref="F643:P643" si="574">F$10*$E636</f>
        <v>0</v>
      </c>
      <c r="G643" s="186">
        <f t="shared" si="574"/>
        <v>0</v>
      </c>
      <c r="H643" s="186">
        <f t="shared" si="574"/>
        <v>0</v>
      </c>
      <c r="I643" s="186">
        <f t="shared" si="574"/>
        <v>0</v>
      </c>
      <c r="J643" s="186">
        <f t="shared" si="574"/>
        <v>0</v>
      </c>
      <c r="K643" s="186">
        <f t="shared" si="574"/>
        <v>0</v>
      </c>
      <c r="L643" s="186">
        <f t="shared" si="574"/>
        <v>0</v>
      </c>
      <c r="M643" s="186">
        <f t="shared" si="574"/>
        <v>0</v>
      </c>
      <c r="N643" s="186">
        <f t="shared" si="574"/>
        <v>0</v>
      </c>
      <c r="O643" s="186">
        <f t="shared" si="574"/>
        <v>0</v>
      </c>
      <c r="P643" s="186">
        <f t="shared" si="574"/>
        <v>0</v>
      </c>
      <c r="Q643" s="189">
        <f t="shared" si="572"/>
        <v>0</v>
      </c>
    </row>
    <row r="644" spans="3:17" ht="18.75" x14ac:dyDescent="0.3">
      <c r="C644" s="143">
        <f t="shared" si="569"/>
        <v>1</v>
      </c>
      <c r="D644" s="149" t="s">
        <v>121</v>
      </c>
      <c r="E644" s="38" t="s">
        <v>53</v>
      </c>
      <c r="F644" s="168">
        <f t="shared" ref="F644:P644" si="575">F$11*$E636</f>
        <v>0</v>
      </c>
      <c r="G644" s="186">
        <f t="shared" si="575"/>
        <v>0</v>
      </c>
      <c r="H644" s="186">
        <f t="shared" si="575"/>
        <v>0</v>
      </c>
      <c r="I644" s="186">
        <f t="shared" si="575"/>
        <v>0</v>
      </c>
      <c r="J644" s="186">
        <f t="shared" si="575"/>
        <v>0</v>
      </c>
      <c r="K644" s="186">
        <f t="shared" si="575"/>
        <v>0</v>
      </c>
      <c r="L644" s="186">
        <f t="shared" si="575"/>
        <v>0</v>
      </c>
      <c r="M644" s="186">
        <f t="shared" si="575"/>
        <v>0</v>
      </c>
      <c r="N644" s="186">
        <f t="shared" si="575"/>
        <v>0</v>
      </c>
      <c r="O644" s="186">
        <f t="shared" si="575"/>
        <v>0</v>
      </c>
      <c r="P644" s="186">
        <f t="shared" si="575"/>
        <v>0</v>
      </c>
      <c r="Q644" s="189">
        <f t="shared" si="572"/>
        <v>0</v>
      </c>
    </row>
    <row r="645" spans="3:17" ht="18.75" x14ac:dyDescent="0.3">
      <c r="C645" s="143">
        <f t="shared" si="569"/>
        <v>1</v>
      </c>
      <c r="D645" s="149" t="s">
        <v>122</v>
      </c>
      <c r="E645" s="38" t="s">
        <v>52</v>
      </c>
      <c r="F645" s="168">
        <f t="shared" ref="F645:P645" si="576">F$12*$E636</f>
        <v>0</v>
      </c>
      <c r="G645" s="186">
        <f t="shared" si="576"/>
        <v>0</v>
      </c>
      <c r="H645" s="186">
        <f t="shared" si="576"/>
        <v>0</v>
      </c>
      <c r="I645" s="186">
        <f t="shared" si="576"/>
        <v>0</v>
      </c>
      <c r="J645" s="186">
        <f t="shared" si="576"/>
        <v>0</v>
      </c>
      <c r="K645" s="186">
        <f t="shared" si="576"/>
        <v>0</v>
      </c>
      <c r="L645" s="186">
        <f t="shared" si="576"/>
        <v>0</v>
      </c>
      <c r="M645" s="186">
        <f t="shared" si="576"/>
        <v>0</v>
      </c>
      <c r="N645" s="186">
        <f t="shared" si="576"/>
        <v>0</v>
      </c>
      <c r="O645" s="186">
        <f t="shared" si="576"/>
        <v>0</v>
      </c>
      <c r="P645" s="186">
        <f t="shared" si="576"/>
        <v>0</v>
      </c>
      <c r="Q645" s="189">
        <f t="shared" si="572"/>
        <v>0</v>
      </c>
    </row>
    <row r="646" spans="3:17" ht="18.75" x14ac:dyDescent="0.3">
      <c r="C646" s="143">
        <f t="shared" si="569"/>
        <v>1</v>
      </c>
      <c r="D646" s="149" t="s">
        <v>123</v>
      </c>
      <c r="E646" s="38" t="s">
        <v>51</v>
      </c>
      <c r="F646" s="168">
        <f t="shared" ref="F646:P646" si="577">F$13*$E636</f>
        <v>0</v>
      </c>
      <c r="G646" s="186">
        <f t="shared" si="577"/>
        <v>0</v>
      </c>
      <c r="H646" s="186">
        <f t="shared" si="577"/>
        <v>0</v>
      </c>
      <c r="I646" s="186">
        <f t="shared" si="577"/>
        <v>0</v>
      </c>
      <c r="J646" s="186">
        <f t="shared" si="577"/>
        <v>0</v>
      </c>
      <c r="K646" s="186">
        <f t="shared" si="577"/>
        <v>0</v>
      </c>
      <c r="L646" s="186">
        <f t="shared" si="577"/>
        <v>0</v>
      </c>
      <c r="M646" s="186">
        <f t="shared" si="577"/>
        <v>0</v>
      </c>
      <c r="N646" s="186">
        <f t="shared" si="577"/>
        <v>0</v>
      </c>
      <c r="O646" s="186">
        <f t="shared" si="577"/>
        <v>0</v>
      </c>
      <c r="P646" s="186">
        <f t="shared" si="577"/>
        <v>0</v>
      </c>
      <c r="Q646" s="189">
        <f t="shared" si="572"/>
        <v>0</v>
      </c>
    </row>
    <row r="647" spans="3:17" ht="19.5" thickBot="1" x14ac:dyDescent="0.35">
      <c r="C647" s="143">
        <f t="shared" si="569"/>
        <v>1</v>
      </c>
      <c r="D647" s="149" t="s">
        <v>16</v>
      </c>
      <c r="E647" s="37" t="s">
        <v>50</v>
      </c>
      <c r="F647" s="168">
        <f t="shared" ref="F647:P647" si="578">F$14*$E636</f>
        <v>0.31363589229849337</v>
      </c>
      <c r="G647" s="186">
        <f t="shared" si="578"/>
        <v>566.05106177351604</v>
      </c>
      <c r="H647" s="186">
        <f t="shared" si="578"/>
        <v>11.029853841604256</v>
      </c>
      <c r="I647" s="186">
        <f t="shared" si="578"/>
        <v>0</v>
      </c>
      <c r="J647" s="186">
        <f t="shared" si="578"/>
        <v>0</v>
      </c>
      <c r="K647" s="186">
        <f t="shared" si="578"/>
        <v>39.524652819876373</v>
      </c>
      <c r="L647" s="186">
        <f t="shared" si="578"/>
        <v>0</v>
      </c>
      <c r="M647" s="186">
        <f t="shared" si="578"/>
        <v>2.1214266141792715E-2</v>
      </c>
      <c r="N647" s="186">
        <f t="shared" si="578"/>
        <v>0</v>
      </c>
      <c r="O647" s="186">
        <f t="shared" si="578"/>
        <v>0</v>
      </c>
      <c r="P647" s="186">
        <f t="shared" si="578"/>
        <v>35.735873279727777</v>
      </c>
      <c r="Q647" s="189">
        <f t="shared" si="572"/>
        <v>652.36265598086618</v>
      </c>
    </row>
    <row r="648" spans="3:17" ht="19.5" thickBot="1" x14ac:dyDescent="0.3">
      <c r="C648" s="143">
        <f t="shared" si="569"/>
        <v>1</v>
      </c>
      <c r="D648" s="148" t="s">
        <v>124</v>
      </c>
      <c r="E648" s="147" t="s">
        <v>49</v>
      </c>
      <c r="F648" s="169">
        <f t="shared" ref="F648:Q648" si="579">SUBTOTAL(9,F639:F647)</f>
        <v>5.0301784881213889</v>
      </c>
      <c r="G648" s="170">
        <f t="shared" si="579"/>
        <v>10012.924739083719</v>
      </c>
      <c r="H648" s="170">
        <f t="shared" si="579"/>
        <v>153.44755469020623</v>
      </c>
      <c r="I648" s="170">
        <f t="shared" si="579"/>
        <v>0</v>
      </c>
      <c r="J648" s="170">
        <f t="shared" si="579"/>
        <v>181.49043607019496</v>
      </c>
      <c r="K648" s="170">
        <f t="shared" ref="K648:P648" si="580">SUBTOTAL(9,K639:K647)</f>
        <v>70.763258700428253</v>
      </c>
      <c r="L648" s="170">
        <f t="shared" si="580"/>
        <v>8.3881792020705976</v>
      </c>
      <c r="M648" s="170">
        <f t="shared" si="580"/>
        <v>2.1214266141792715E-2</v>
      </c>
      <c r="N648" s="170">
        <f t="shared" si="580"/>
        <v>0</v>
      </c>
      <c r="O648" s="170">
        <f t="shared" si="580"/>
        <v>0</v>
      </c>
      <c r="P648" s="170">
        <f t="shared" si="580"/>
        <v>35.735873279727777</v>
      </c>
      <c r="Q648" s="170">
        <f t="shared" si="579"/>
        <v>10462.771255292488</v>
      </c>
    </row>
    <row r="649" spans="3:17" ht="15.75" hidden="1" thickBot="1" x14ac:dyDescent="0.3"/>
    <row r="650" spans="3:17" ht="45" x14ac:dyDescent="0.25">
      <c r="C650" s="143">
        <f>IF(E650&gt;0,1,0)</f>
        <v>1</v>
      </c>
      <c r="D650" s="163" t="str">
        <f>A49</f>
        <v>Saratoga</v>
      </c>
      <c r="E650" s="166">
        <f>SUMIF(A:A,D650,B:B)</f>
        <v>6.3457038660819764E-3</v>
      </c>
      <c r="F650" s="509" t="s">
        <v>97</v>
      </c>
      <c r="G650" s="509" t="s">
        <v>126</v>
      </c>
      <c r="H650" s="509" t="s">
        <v>127</v>
      </c>
      <c r="I650" s="508" t="s">
        <v>128</v>
      </c>
      <c r="J650" s="508" t="s">
        <v>487</v>
      </c>
      <c r="K650" s="508" t="s">
        <v>474</v>
      </c>
      <c r="L650" s="508" t="s">
        <v>475</v>
      </c>
      <c r="M650" s="508" t="s">
        <v>476</v>
      </c>
      <c r="N650" s="508" t="s">
        <v>477</v>
      </c>
      <c r="O650" s="508" t="s">
        <v>478</v>
      </c>
      <c r="P650" s="508" t="s">
        <v>479</v>
      </c>
      <c r="Q650" s="508" t="s">
        <v>129</v>
      </c>
    </row>
    <row r="651" spans="3:17" ht="18.75" x14ac:dyDescent="0.25">
      <c r="C651" s="143">
        <f>C650</f>
        <v>1</v>
      </c>
      <c r="D651" s="160"/>
      <c r="E651" s="159"/>
      <c r="F651" s="49" t="s">
        <v>57</v>
      </c>
      <c r="G651" s="49" t="s">
        <v>56</v>
      </c>
      <c r="H651" s="49" t="s">
        <v>55</v>
      </c>
      <c r="I651" s="49" t="s">
        <v>54</v>
      </c>
      <c r="J651" s="58" t="s">
        <v>53</v>
      </c>
      <c r="K651" s="49" t="s">
        <v>52</v>
      </c>
      <c r="L651" s="49" t="s">
        <v>51</v>
      </c>
      <c r="M651" s="49" t="s">
        <v>50</v>
      </c>
      <c r="N651" s="49" t="s">
        <v>49</v>
      </c>
      <c r="O651" s="49" t="s">
        <v>47</v>
      </c>
      <c r="P651" s="49" t="s">
        <v>77</v>
      </c>
      <c r="Q651" s="573" t="s">
        <v>78</v>
      </c>
    </row>
    <row r="652" spans="3:17" ht="18.75" x14ac:dyDescent="0.25">
      <c r="C652" s="143">
        <f>C651</f>
        <v>1</v>
      </c>
      <c r="D652" s="158" t="s">
        <v>26</v>
      </c>
      <c r="E652" s="157"/>
      <c r="F652" s="156"/>
      <c r="G652" s="156"/>
      <c r="H652" s="156"/>
      <c r="I652" s="155"/>
      <c r="J652" s="154"/>
      <c r="K652" s="154"/>
      <c r="L652" s="154"/>
      <c r="M652" s="154"/>
      <c r="N652" s="154"/>
      <c r="O652" s="154"/>
      <c r="P652" s="154"/>
      <c r="Q652" s="153"/>
    </row>
    <row r="653" spans="3:17" ht="18.75" x14ac:dyDescent="0.25">
      <c r="C653" s="143">
        <f t="shared" ref="C653:C662" si="581">C652</f>
        <v>1</v>
      </c>
      <c r="D653" s="152" t="s">
        <v>105</v>
      </c>
      <c r="E653" s="38" t="s">
        <v>57</v>
      </c>
      <c r="F653" s="168">
        <f t="shared" ref="F653:P653" si="582">F$6*$E650</f>
        <v>11.866577004817229</v>
      </c>
      <c r="G653" s="186">
        <f t="shared" si="582"/>
        <v>23767.845125762928</v>
      </c>
      <c r="H653" s="186">
        <f t="shared" si="582"/>
        <v>358.31556264660497</v>
      </c>
      <c r="I653" s="186">
        <f t="shared" si="582"/>
        <v>0</v>
      </c>
      <c r="J653" s="186">
        <f t="shared" si="582"/>
        <v>456.62054174432313</v>
      </c>
      <c r="K653" s="186">
        <f t="shared" si="582"/>
        <v>78.594715233358315</v>
      </c>
      <c r="L653" s="186">
        <f t="shared" si="582"/>
        <v>21.104224632622135</v>
      </c>
      <c r="M653" s="186">
        <f t="shared" si="582"/>
        <v>0</v>
      </c>
      <c r="N653" s="186">
        <f t="shared" si="582"/>
        <v>0</v>
      </c>
      <c r="O653" s="186">
        <f t="shared" si="582"/>
        <v>0</v>
      </c>
      <c r="P653" s="186">
        <f t="shared" si="582"/>
        <v>0</v>
      </c>
      <c r="Q653" s="189">
        <f>SUM(G653:P653)</f>
        <v>24682.480170019833</v>
      </c>
    </row>
    <row r="654" spans="3:17" ht="18.75" x14ac:dyDescent="0.25">
      <c r="C654" s="143">
        <f t="shared" si="581"/>
        <v>1</v>
      </c>
      <c r="D654" s="150" t="s">
        <v>31</v>
      </c>
      <c r="E654" s="38"/>
      <c r="F654" s="167"/>
      <c r="G654" s="185"/>
      <c r="H654" s="185"/>
      <c r="I654" s="187"/>
      <c r="J654" s="188"/>
      <c r="K654" s="188"/>
      <c r="L654" s="188"/>
      <c r="M654" s="188"/>
      <c r="N654" s="188"/>
      <c r="O654" s="188"/>
      <c r="P654" s="188"/>
      <c r="Q654" s="171"/>
    </row>
    <row r="655" spans="3:17" ht="18.75" x14ac:dyDescent="0.3">
      <c r="C655" s="143">
        <f t="shared" si="581"/>
        <v>1</v>
      </c>
      <c r="D655" s="149" t="s">
        <v>118</v>
      </c>
      <c r="E655" s="38" t="s">
        <v>56</v>
      </c>
      <c r="F655" s="168">
        <f t="shared" ref="F655:P655" si="583">F$8*$E650</f>
        <v>0</v>
      </c>
      <c r="G655" s="186">
        <f t="shared" si="583"/>
        <v>0</v>
      </c>
      <c r="H655" s="186">
        <f t="shared" si="583"/>
        <v>0</v>
      </c>
      <c r="I655" s="186">
        <f t="shared" si="583"/>
        <v>0</v>
      </c>
      <c r="J655" s="186">
        <f t="shared" si="583"/>
        <v>0</v>
      </c>
      <c r="K655" s="186">
        <f t="shared" si="583"/>
        <v>0</v>
      </c>
      <c r="L655" s="186">
        <f t="shared" si="583"/>
        <v>0</v>
      </c>
      <c r="M655" s="186">
        <f t="shared" si="583"/>
        <v>0</v>
      </c>
      <c r="N655" s="186">
        <f t="shared" si="583"/>
        <v>0</v>
      </c>
      <c r="O655" s="186">
        <f t="shared" si="583"/>
        <v>0</v>
      </c>
      <c r="P655" s="186">
        <f t="shared" si="583"/>
        <v>0</v>
      </c>
      <c r="Q655" s="189">
        <f t="shared" ref="Q655:Q661" si="584">SUM(G655:P655)</f>
        <v>0</v>
      </c>
    </row>
    <row r="656" spans="3:17" ht="18.75" x14ac:dyDescent="0.3">
      <c r="C656" s="143">
        <f t="shared" si="581"/>
        <v>1</v>
      </c>
      <c r="D656" s="149" t="s">
        <v>119</v>
      </c>
      <c r="E656" s="38" t="s">
        <v>55</v>
      </c>
      <c r="F656" s="168">
        <f t="shared" ref="F656:P656" si="585">F$9*$E650</f>
        <v>0</v>
      </c>
      <c r="G656" s="186">
        <f t="shared" si="585"/>
        <v>0</v>
      </c>
      <c r="H656" s="186">
        <f t="shared" si="585"/>
        <v>0</v>
      </c>
      <c r="I656" s="186">
        <f t="shared" si="585"/>
        <v>0</v>
      </c>
      <c r="J656" s="186">
        <f t="shared" si="585"/>
        <v>0</v>
      </c>
      <c r="K656" s="186">
        <f t="shared" si="585"/>
        <v>0</v>
      </c>
      <c r="L656" s="186">
        <f t="shared" si="585"/>
        <v>0</v>
      </c>
      <c r="M656" s="186">
        <f t="shared" si="585"/>
        <v>0</v>
      </c>
      <c r="N656" s="186">
        <f t="shared" si="585"/>
        <v>0</v>
      </c>
      <c r="O656" s="186">
        <f t="shared" si="585"/>
        <v>0</v>
      </c>
      <c r="P656" s="186">
        <f t="shared" si="585"/>
        <v>0</v>
      </c>
      <c r="Q656" s="189">
        <f t="shared" si="584"/>
        <v>0</v>
      </c>
    </row>
    <row r="657" spans="3:17" ht="18.75" x14ac:dyDescent="0.3">
      <c r="C657" s="143">
        <f t="shared" si="581"/>
        <v>1</v>
      </c>
      <c r="D657" s="149" t="s">
        <v>120</v>
      </c>
      <c r="E657" s="38" t="s">
        <v>54</v>
      </c>
      <c r="F657" s="168">
        <f t="shared" ref="F657:P657" si="586">F$10*$E650</f>
        <v>0</v>
      </c>
      <c r="G657" s="186">
        <f t="shared" si="586"/>
        <v>0</v>
      </c>
      <c r="H657" s="186">
        <f t="shared" si="586"/>
        <v>0</v>
      </c>
      <c r="I657" s="186">
        <f t="shared" si="586"/>
        <v>0</v>
      </c>
      <c r="J657" s="186">
        <f t="shared" si="586"/>
        <v>0</v>
      </c>
      <c r="K657" s="186">
        <f t="shared" si="586"/>
        <v>0</v>
      </c>
      <c r="L657" s="186">
        <f t="shared" si="586"/>
        <v>0</v>
      </c>
      <c r="M657" s="186">
        <f t="shared" si="586"/>
        <v>0</v>
      </c>
      <c r="N657" s="186">
        <f t="shared" si="586"/>
        <v>0</v>
      </c>
      <c r="O657" s="186">
        <f t="shared" si="586"/>
        <v>0</v>
      </c>
      <c r="P657" s="186">
        <f t="shared" si="586"/>
        <v>0</v>
      </c>
      <c r="Q657" s="189">
        <f t="shared" si="584"/>
        <v>0</v>
      </c>
    </row>
    <row r="658" spans="3:17" ht="18.75" x14ac:dyDescent="0.3">
      <c r="C658" s="143">
        <f t="shared" si="581"/>
        <v>1</v>
      </c>
      <c r="D658" s="149" t="s">
        <v>121</v>
      </c>
      <c r="E658" s="38" t="s">
        <v>53</v>
      </c>
      <c r="F658" s="168">
        <f t="shared" ref="F658:P658" si="587">F$11*$E650</f>
        <v>0</v>
      </c>
      <c r="G658" s="186">
        <f t="shared" si="587"/>
        <v>0</v>
      </c>
      <c r="H658" s="186">
        <f t="shared" si="587"/>
        <v>0</v>
      </c>
      <c r="I658" s="186">
        <f t="shared" si="587"/>
        <v>0</v>
      </c>
      <c r="J658" s="186">
        <f t="shared" si="587"/>
        <v>0</v>
      </c>
      <c r="K658" s="186">
        <f t="shared" si="587"/>
        <v>0</v>
      </c>
      <c r="L658" s="186">
        <f t="shared" si="587"/>
        <v>0</v>
      </c>
      <c r="M658" s="186">
        <f t="shared" si="587"/>
        <v>0</v>
      </c>
      <c r="N658" s="186">
        <f t="shared" si="587"/>
        <v>0</v>
      </c>
      <c r="O658" s="186">
        <f t="shared" si="587"/>
        <v>0</v>
      </c>
      <c r="P658" s="186">
        <f t="shared" si="587"/>
        <v>0</v>
      </c>
      <c r="Q658" s="189">
        <f t="shared" si="584"/>
        <v>0</v>
      </c>
    </row>
    <row r="659" spans="3:17" ht="18.75" x14ac:dyDescent="0.3">
      <c r="C659" s="143">
        <f t="shared" si="581"/>
        <v>1</v>
      </c>
      <c r="D659" s="149" t="s">
        <v>122</v>
      </c>
      <c r="E659" s="38" t="s">
        <v>52</v>
      </c>
      <c r="F659" s="168">
        <f t="shared" ref="F659:P659" si="588">F$12*$E650</f>
        <v>0</v>
      </c>
      <c r="G659" s="186">
        <f t="shared" si="588"/>
        <v>0</v>
      </c>
      <c r="H659" s="186">
        <f t="shared" si="588"/>
        <v>0</v>
      </c>
      <c r="I659" s="186">
        <f t="shared" si="588"/>
        <v>0</v>
      </c>
      <c r="J659" s="186">
        <f t="shared" si="588"/>
        <v>0</v>
      </c>
      <c r="K659" s="186">
        <f t="shared" si="588"/>
        <v>0</v>
      </c>
      <c r="L659" s="186">
        <f t="shared" si="588"/>
        <v>0</v>
      </c>
      <c r="M659" s="186">
        <f t="shared" si="588"/>
        <v>0</v>
      </c>
      <c r="N659" s="186">
        <f t="shared" si="588"/>
        <v>0</v>
      </c>
      <c r="O659" s="186">
        <f t="shared" si="588"/>
        <v>0</v>
      </c>
      <c r="P659" s="186">
        <f t="shared" si="588"/>
        <v>0</v>
      </c>
      <c r="Q659" s="189">
        <f t="shared" si="584"/>
        <v>0</v>
      </c>
    </row>
    <row r="660" spans="3:17" ht="18.75" x14ac:dyDescent="0.3">
      <c r="C660" s="143">
        <f t="shared" si="581"/>
        <v>1</v>
      </c>
      <c r="D660" s="149" t="s">
        <v>123</v>
      </c>
      <c r="E660" s="38" t="s">
        <v>51</v>
      </c>
      <c r="F660" s="168">
        <f t="shared" ref="F660:P660" si="589">F$13*$E650</f>
        <v>0</v>
      </c>
      <c r="G660" s="186">
        <f t="shared" si="589"/>
        <v>0</v>
      </c>
      <c r="H660" s="186">
        <f t="shared" si="589"/>
        <v>0</v>
      </c>
      <c r="I660" s="186">
        <f t="shared" si="589"/>
        <v>0</v>
      </c>
      <c r="J660" s="186">
        <f t="shared" si="589"/>
        <v>0</v>
      </c>
      <c r="K660" s="186">
        <f t="shared" si="589"/>
        <v>0</v>
      </c>
      <c r="L660" s="186">
        <f t="shared" si="589"/>
        <v>0</v>
      </c>
      <c r="M660" s="186">
        <f t="shared" si="589"/>
        <v>0</v>
      </c>
      <c r="N660" s="186">
        <f t="shared" si="589"/>
        <v>0</v>
      </c>
      <c r="O660" s="186">
        <f t="shared" si="589"/>
        <v>0</v>
      </c>
      <c r="P660" s="186">
        <f t="shared" si="589"/>
        <v>0</v>
      </c>
      <c r="Q660" s="189">
        <f t="shared" si="584"/>
        <v>0</v>
      </c>
    </row>
    <row r="661" spans="3:17" ht="19.5" thickBot="1" x14ac:dyDescent="0.35">
      <c r="C661" s="143">
        <f t="shared" si="581"/>
        <v>1</v>
      </c>
      <c r="D661" s="149" t="s">
        <v>16</v>
      </c>
      <c r="E661" s="37" t="s">
        <v>50</v>
      </c>
      <c r="F661" s="168">
        <f t="shared" ref="F661:P661" si="590">F$14*$E650</f>
        <v>0.78909166870044867</v>
      </c>
      <c r="G661" s="186">
        <f t="shared" si="590"/>
        <v>1424.155168055267</v>
      </c>
      <c r="H661" s="186">
        <f t="shared" si="590"/>
        <v>27.750541271310247</v>
      </c>
      <c r="I661" s="186">
        <f t="shared" si="590"/>
        <v>0</v>
      </c>
      <c r="J661" s="186">
        <f t="shared" si="590"/>
        <v>0</v>
      </c>
      <c r="K661" s="186">
        <f t="shared" si="590"/>
        <v>99.441980380100659</v>
      </c>
      <c r="L661" s="186">
        <f t="shared" si="590"/>
        <v>0</v>
      </c>
      <c r="M661" s="186">
        <f t="shared" si="590"/>
        <v>5.337399539128914E-2</v>
      </c>
      <c r="N661" s="186">
        <f t="shared" si="590"/>
        <v>0</v>
      </c>
      <c r="O661" s="186">
        <f t="shared" si="590"/>
        <v>0</v>
      </c>
      <c r="P661" s="186">
        <f t="shared" si="590"/>
        <v>89.909607194863867</v>
      </c>
      <c r="Q661" s="189">
        <f t="shared" si="584"/>
        <v>1641.3106708969331</v>
      </c>
    </row>
    <row r="662" spans="3:17" ht="19.5" thickBot="1" x14ac:dyDescent="0.3">
      <c r="C662" s="143">
        <f t="shared" si="581"/>
        <v>1</v>
      </c>
      <c r="D662" s="148" t="s">
        <v>124</v>
      </c>
      <c r="E662" s="147" t="s">
        <v>49</v>
      </c>
      <c r="F662" s="169">
        <f t="shared" ref="F662:Q662" si="591">SUBTOTAL(9,F653:F661)</f>
        <v>12.655668673517678</v>
      </c>
      <c r="G662" s="170">
        <f t="shared" si="591"/>
        <v>25192.000293818193</v>
      </c>
      <c r="H662" s="170">
        <f t="shared" si="591"/>
        <v>386.0661039179152</v>
      </c>
      <c r="I662" s="170">
        <f t="shared" si="591"/>
        <v>0</v>
      </c>
      <c r="J662" s="170">
        <f t="shared" si="591"/>
        <v>456.62054174432313</v>
      </c>
      <c r="K662" s="170">
        <f t="shared" ref="K662:P662" si="592">SUBTOTAL(9,K653:K661)</f>
        <v>178.03669561345896</v>
      </c>
      <c r="L662" s="170">
        <f t="shared" si="592"/>
        <v>21.104224632622135</v>
      </c>
      <c r="M662" s="170">
        <f t="shared" si="592"/>
        <v>5.337399539128914E-2</v>
      </c>
      <c r="N662" s="170">
        <f t="shared" si="592"/>
        <v>0</v>
      </c>
      <c r="O662" s="170">
        <f t="shared" si="592"/>
        <v>0</v>
      </c>
      <c r="P662" s="170">
        <f t="shared" si="592"/>
        <v>89.909607194863867</v>
      </c>
      <c r="Q662" s="170">
        <f t="shared" si="591"/>
        <v>26323.790840916765</v>
      </c>
    </row>
    <row r="663" spans="3:17" ht="15.75" hidden="1" thickBot="1" x14ac:dyDescent="0.3"/>
    <row r="664" spans="3:17" ht="45" x14ac:dyDescent="0.25">
      <c r="C664" s="143">
        <f>IF(E664&gt;0,1,0)</f>
        <v>1</v>
      </c>
      <c r="D664" s="163" t="str">
        <f>A50</f>
        <v>Schenectady</v>
      </c>
      <c r="E664" s="166">
        <f>SUMIF(A:A,D664,B:B)</f>
        <v>3.6612583135718163E-2</v>
      </c>
      <c r="F664" s="509" t="s">
        <v>97</v>
      </c>
      <c r="G664" s="509" t="s">
        <v>126</v>
      </c>
      <c r="H664" s="509" t="s">
        <v>127</v>
      </c>
      <c r="I664" s="508" t="s">
        <v>128</v>
      </c>
      <c r="J664" s="508" t="s">
        <v>487</v>
      </c>
      <c r="K664" s="508" t="s">
        <v>474</v>
      </c>
      <c r="L664" s="508" t="s">
        <v>475</v>
      </c>
      <c r="M664" s="508" t="s">
        <v>476</v>
      </c>
      <c r="N664" s="508" t="s">
        <v>477</v>
      </c>
      <c r="O664" s="508" t="s">
        <v>478</v>
      </c>
      <c r="P664" s="508" t="s">
        <v>479</v>
      </c>
      <c r="Q664" s="508" t="s">
        <v>129</v>
      </c>
    </row>
    <row r="665" spans="3:17" ht="18.75" x14ac:dyDescent="0.25">
      <c r="C665" s="143">
        <f>C664</f>
        <v>1</v>
      </c>
      <c r="D665" s="160"/>
      <c r="E665" s="159"/>
      <c r="F665" s="49" t="s">
        <v>57</v>
      </c>
      <c r="G665" s="49" t="s">
        <v>56</v>
      </c>
      <c r="H665" s="49" t="s">
        <v>55</v>
      </c>
      <c r="I665" s="49" t="s">
        <v>54</v>
      </c>
      <c r="J665" s="58" t="s">
        <v>53</v>
      </c>
      <c r="K665" s="49" t="s">
        <v>52</v>
      </c>
      <c r="L665" s="49" t="s">
        <v>51</v>
      </c>
      <c r="M665" s="49" t="s">
        <v>50</v>
      </c>
      <c r="N665" s="49" t="s">
        <v>49</v>
      </c>
      <c r="O665" s="49" t="s">
        <v>47</v>
      </c>
      <c r="P665" s="49" t="s">
        <v>77</v>
      </c>
      <c r="Q665" s="573" t="s">
        <v>78</v>
      </c>
    </row>
    <row r="666" spans="3:17" ht="18.75" x14ac:dyDescent="0.25">
      <c r="C666" s="143">
        <f>C665</f>
        <v>1</v>
      </c>
      <c r="D666" s="158" t="s">
        <v>26</v>
      </c>
      <c r="E666" s="157"/>
      <c r="F666" s="156"/>
      <c r="G666" s="156"/>
      <c r="H666" s="156"/>
      <c r="I666" s="155"/>
      <c r="J666" s="154"/>
      <c r="K666" s="154"/>
      <c r="L666" s="154"/>
      <c r="M666" s="154"/>
      <c r="N666" s="154"/>
      <c r="O666" s="154"/>
      <c r="P666" s="154"/>
      <c r="Q666" s="153"/>
    </row>
    <row r="667" spans="3:17" ht="18.75" x14ac:dyDescent="0.25">
      <c r="C667" s="143">
        <f t="shared" ref="C667:C676" si="593">C666</f>
        <v>1</v>
      </c>
      <c r="D667" s="152" t="s">
        <v>105</v>
      </c>
      <c r="E667" s="38" t="s">
        <v>57</v>
      </c>
      <c r="F667" s="168">
        <f t="shared" ref="F667:P667" si="594">F$6*$E664</f>
        <v>68.466169599799542</v>
      </c>
      <c r="G667" s="186">
        <f t="shared" si="594"/>
        <v>137132.49530523038</v>
      </c>
      <c r="H667" s="186">
        <f t="shared" si="594"/>
        <v>2067.3606274539916</v>
      </c>
      <c r="I667" s="186">
        <f t="shared" si="594"/>
        <v>0</v>
      </c>
      <c r="J667" s="186">
        <f t="shared" si="594"/>
        <v>2634.54738810762</v>
      </c>
      <c r="K667" s="186">
        <f t="shared" si="594"/>
        <v>453.46514842743733</v>
      </c>
      <c r="L667" s="186">
        <f t="shared" si="594"/>
        <v>121.76429836361469</v>
      </c>
      <c r="M667" s="186">
        <f t="shared" si="594"/>
        <v>0</v>
      </c>
      <c r="N667" s="186">
        <f t="shared" si="594"/>
        <v>0</v>
      </c>
      <c r="O667" s="186">
        <f t="shared" si="594"/>
        <v>0</v>
      </c>
      <c r="P667" s="186">
        <f t="shared" si="594"/>
        <v>0</v>
      </c>
      <c r="Q667" s="189">
        <f>SUM(G667:P667)</f>
        <v>142409.63276758304</v>
      </c>
    </row>
    <row r="668" spans="3:17" ht="18.75" x14ac:dyDescent="0.25">
      <c r="C668" s="143">
        <f t="shared" si="593"/>
        <v>1</v>
      </c>
      <c r="D668" s="150" t="s">
        <v>31</v>
      </c>
      <c r="E668" s="38"/>
      <c r="F668" s="167"/>
      <c r="G668" s="185"/>
      <c r="H668" s="185"/>
      <c r="I668" s="187"/>
      <c r="J668" s="188"/>
      <c r="K668" s="188"/>
      <c r="L668" s="188"/>
      <c r="M668" s="188"/>
      <c r="N668" s="188"/>
      <c r="O668" s="188"/>
      <c r="P668" s="188"/>
      <c r="Q668" s="171"/>
    </row>
    <row r="669" spans="3:17" ht="18.75" x14ac:dyDescent="0.3">
      <c r="C669" s="143">
        <f t="shared" si="593"/>
        <v>1</v>
      </c>
      <c r="D669" s="149" t="s">
        <v>118</v>
      </c>
      <c r="E669" s="38" t="s">
        <v>56</v>
      </c>
      <c r="F669" s="168">
        <f t="shared" ref="F669:P669" si="595">F$8*$E664</f>
        <v>0</v>
      </c>
      <c r="G669" s="186">
        <f t="shared" si="595"/>
        <v>0</v>
      </c>
      <c r="H669" s="186">
        <f t="shared" si="595"/>
        <v>0</v>
      </c>
      <c r="I669" s="186">
        <f t="shared" si="595"/>
        <v>0</v>
      </c>
      <c r="J669" s="186">
        <f t="shared" si="595"/>
        <v>0</v>
      </c>
      <c r="K669" s="186">
        <f t="shared" si="595"/>
        <v>0</v>
      </c>
      <c r="L669" s="186">
        <f t="shared" si="595"/>
        <v>0</v>
      </c>
      <c r="M669" s="186">
        <f t="shared" si="595"/>
        <v>0</v>
      </c>
      <c r="N669" s="186">
        <f t="shared" si="595"/>
        <v>0</v>
      </c>
      <c r="O669" s="186">
        <f t="shared" si="595"/>
        <v>0</v>
      </c>
      <c r="P669" s="186">
        <f t="shared" si="595"/>
        <v>0</v>
      </c>
      <c r="Q669" s="189">
        <f t="shared" ref="Q669:Q675" si="596">SUM(G669:P669)</f>
        <v>0</v>
      </c>
    </row>
    <row r="670" spans="3:17" ht="18.75" x14ac:dyDescent="0.3">
      <c r="C670" s="143">
        <f t="shared" si="593"/>
        <v>1</v>
      </c>
      <c r="D670" s="149" t="s">
        <v>119</v>
      </c>
      <c r="E670" s="38" t="s">
        <v>55</v>
      </c>
      <c r="F670" s="168">
        <f t="shared" ref="F670:P670" si="597">F$9*$E664</f>
        <v>0</v>
      </c>
      <c r="G670" s="186">
        <f t="shared" si="597"/>
        <v>0</v>
      </c>
      <c r="H670" s="186">
        <f t="shared" si="597"/>
        <v>0</v>
      </c>
      <c r="I670" s="186">
        <f t="shared" si="597"/>
        <v>0</v>
      </c>
      <c r="J670" s="186">
        <f t="shared" si="597"/>
        <v>0</v>
      </c>
      <c r="K670" s="186">
        <f t="shared" si="597"/>
        <v>0</v>
      </c>
      <c r="L670" s="186">
        <f t="shared" si="597"/>
        <v>0</v>
      </c>
      <c r="M670" s="186">
        <f t="shared" si="597"/>
        <v>0</v>
      </c>
      <c r="N670" s="186">
        <f t="shared" si="597"/>
        <v>0</v>
      </c>
      <c r="O670" s="186">
        <f t="shared" si="597"/>
        <v>0</v>
      </c>
      <c r="P670" s="186">
        <f t="shared" si="597"/>
        <v>0</v>
      </c>
      <c r="Q670" s="189">
        <f t="shared" si="596"/>
        <v>0</v>
      </c>
    </row>
    <row r="671" spans="3:17" ht="18.75" x14ac:dyDescent="0.3">
      <c r="C671" s="143">
        <f t="shared" si="593"/>
        <v>1</v>
      </c>
      <c r="D671" s="149" t="s">
        <v>120</v>
      </c>
      <c r="E671" s="38" t="s">
        <v>54</v>
      </c>
      <c r="F671" s="168">
        <f t="shared" ref="F671:P671" si="598">F$10*$E664</f>
        <v>0</v>
      </c>
      <c r="G671" s="186">
        <f t="shared" si="598"/>
        <v>0</v>
      </c>
      <c r="H671" s="186">
        <f t="shared" si="598"/>
        <v>0</v>
      </c>
      <c r="I671" s="186">
        <f t="shared" si="598"/>
        <v>0</v>
      </c>
      <c r="J671" s="186">
        <f t="shared" si="598"/>
        <v>0</v>
      </c>
      <c r="K671" s="186">
        <f t="shared" si="598"/>
        <v>0</v>
      </c>
      <c r="L671" s="186">
        <f t="shared" si="598"/>
        <v>0</v>
      </c>
      <c r="M671" s="186">
        <f t="shared" si="598"/>
        <v>0</v>
      </c>
      <c r="N671" s="186">
        <f t="shared" si="598"/>
        <v>0</v>
      </c>
      <c r="O671" s="186">
        <f t="shared" si="598"/>
        <v>0</v>
      </c>
      <c r="P671" s="186">
        <f t="shared" si="598"/>
        <v>0</v>
      </c>
      <c r="Q671" s="189">
        <f t="shared" si="596"/>
        <v>0</v>
      </c>
    </row>
    <row r="672" spans="3:17" ht="18.75" x14ac:dyDescent="0.3">
      <c r="C672" s="143">
        <f t="shared" si="593"/>
        <v>1</v>
      </c>
      <c r="D672" s="149" t="s">
        <v>121</v>
      </c>
      <c r="E672" s="38" t="s">
        <v>53</v>
      </c>
      <c r="F672" s="168">
        <f t="shared" ref="F672:P672" si="599">F$11*$E664</f>
        <v>0</v>
      </c>
      <c r="G672" s="186">
        <f t="shared" si="599"/>
        <v>0</v>
      </c>
      <c r="H672" s="186">
        <f t="shared" si="599"/>
        <v>0</v>
      </c>
      <c r="I672" s="186">
        <f t="shared" si="599"/>
        <v>0</v>
      </c>
      <c r="J672" s="186">
        <f t="shared" si="599"/>
        <v>0</v>
      </c>
      <c r="K672" s="186">
        <f t="shared" si="599"/>
        <v>0</v>
      </c>
      <c r="L672" s="186">
        <f t="shared" si="599"/>
        <v>0</v>
      </c>
      <c r="M672" s="186">
        <f t="shared" si="599"/>
        <v>0</v>
      </c>
      <c r="N672" s="186">
        <f t="shared" si="599"/>
        <v>0</v>
      </c>
      <c r="O672" s="186">
        <f t="shared" si="599"/>
        <v>0</v>
      </c>
      <c r="P672" s="186">
        <f t="shared" si="599"/>
        <v>0</v>
      </c>
      <c r="Q672" s="189">
        <f t="shared" si="596"/>
        <v>0</v>
      </c>
    </row>
    <row r="673" spans="3:17" ht="18.75" x14ac:dyDescent="0.3">
      <c r="C673" s="143">
        <f t="shared" si="593"/>
        <v>1</v>
      </c>
      <c r="D673" s="149" t="s">
        <v>122</v>
      </c>
      <c r="E673" s="38" t="s">
        <v>52</v>
      </c>
      <c r="F673" s="168">
        <f t="shared" ref="F673:P673" si="600">F$12*$E664</f>
        <v>0</v>
      </c>
      <c r="G673" s="186">
        <f t="shared" si="600"/>
        <v>0</v>
      </c>
      <c r="H673" s="186">
        <f t="shared" si="600"/>
        <v>0</v>
      </c>
      <c r="I673" s="186">
        <f t="shared" si="600"/>
        <v>0</v>
      </c>
      <c r="J673" s="186">
        <f t="shared" si="600"/>
        <v>0</v>
      </c>
      <c r="K673" s="186">
        <f t="shared" si="600"/>
        <v>0</v>
      </c>
      <c r="L673" s="186">
        <f t="shared" si="600"/>
        <v>0</v>
      </c>
      <c r="M673" s="186">
        <f t="shared" si="600"/>
        <v>0</v>
      </c>
      <c r="N673" s="186">
        <f t="shared" si="600"/>
        <v>0</v>
      </c>
      <c r="O673" s="186">
        <f t="shared" si="600"/>
        <v>0</v>
      </c>
      <c r="P673" s="186">
        <f t="shared" si="600"/>
        <v>0</v>
      </c>
      <c r="Q673" s="189">
        <f t="shared" si="596"/>
        <v>0</v>
      </c>
    </row>
    <row r="674" spans="3:17" ht="18.75" x14ac:dyDescent="0.3">
      <c r="C674" s="143">
        <f t="shared" si="593"/>
        <v>1</v>
      </c>
      <c r="D674" s="149" t="s">
        <v>123</v>
      </c>
      <c r="E674" s="38" t="s">
        <v>51</v>
      </c>
      <c r="F674" s="168">
        <f t="shared" ref="F674:P674" si="601">F$13*$E664</f>
        <v>0</v>
      </c>
      <c r="G674" s="186">
        <f t="shared" si="601"/>
        <v>0</v>
      </c>
      <c r="H674" s="186">
        <f t="shared" si="601"/>
        <v>0</v>
      </c>
      <c r="I674" s="186">
        <f t="shared" si="601"/>
        <v>0</v>
      </c>
      <c r="J674" s="186">
        <f t="shared" si="601"/>
        <v>0</v>
      </c>
      <c r="K674" s="186">
        <f t="shared" si="601"/>
        <v>0</v>
      </c>
      <c r="L674" s="186">
        <f t="shared" si="601"/>
        <v>0</v>
      </c>
      <c r="M674" s="186">
        <f t="shared" si="601"/>
        <v>0</v>
      </c>
      <c r="N674" s="186">
        <f t="shared" si="601"/>
        <v>0</v>
      </c>
      <c r="O674" s="186">
        <f t="shared" si="601"/>
        <v>0</v>
      </c>
      <c r="P674" s="186">
        <f t="shared" si="601"/>
        <v>0</v>
      </c>
      <c r="Q674" s="189">
        <f t="shared" si="596"/>
        <v>0</v>
      </c>
    </row>
    <row r="675" spans="3:17" ht="19.5" thickBot="1" x14ac:dyDescent="0.35">
      <c r="C675" s="143">
        <f t="shared" si="593"/>
        <v>1</v>
      </c>
      <c r="D675" s="149" t="s">
        <v>16</v>
      </c>
      <c r="E675" s="37" t="s">
        <v>50</v>
      </c>
      <c r="F675" s="168">
        <f t="shared" ref="F675:P675" si="602">F$14*$E664</f>
        <v>4.5527942891283555</v>
      </c>
      <c r="G675" s="186">
        <f t="shared" si="602"/>
        <v>8216.8976978719529</v>
      </c>
      <c r="H675" s="186">
        <f t="shared" si="602"/>
        <v>160.11131638015505</v>
      </c>
      <c r="I675" s="186">
        <f t="shared" si="602"/>
        <v>0</v>
      </c>
      <c r="J675" s="186">
        <f t="shared" si="602"/>
        <v>0</v>
      </c>
      <c r="K675" s="186">
        <f t="shared" si="602"/>
        <v>573.74687673454946</v>
      </c>
      <c r="L675" s="186">
        <f t="shared" si="602"/>
        <v>0</v>
      </c>
      <c r="M675" s="186">
        <f t="shared" si="602"/>
        <v>0.30795005326265995</v>
      </c>
      <c r="N675" s="186">
        <f t="shared" si="602"/>
        <v>0</v>
      </c>
      <c r="O675" s="186">
        <f t="shared" si="602"/>
        <v>0</v>
      </c>
      <c r="P675" s="186">
        <f t="shared" si="602"/>
        <v>518.74828034706024</v>
      </c>
      <c r="Q675" s="189">
        <f t="shared" si="596"/>
        <v>9469.8121213869781</v>
      </c>
    </row>
    <row r="676" spans="3:17" ht="19.5" thickBot="1" x14ac:dyDescent="0.3">
      <c r="C676" s="143">
        <f t="shared" si="593"/>
        <v>1</v>
      </c>
      <c r="D676" s="148" t="s">
        <v>124</v>
      </c>
      <c r="E676" s="147" t="s">
        <v>49</v>
      </c>
      <c r="F676" s="169">
        <f t="shared" ref="F676:Q676" si="603">SUBTOTAL(9,F667:F675)</f>
        <v>73.0189638889279</v>
      </c>
      <c r="G676" s="170">
        <f t="shared" si="603"/>
        <v>145349.39300310233</v>
      </c>
      <c r="H676" s="170">
        <f t="shared" si="603"/>
        <v>2227.4719438341467</v>
      </c>
      <c r="I676" s="170">
        <f t="shared" si="603"/>
        <v>0</v>
      </c>
      <c r="J676" s="170">
        <f t="shared" si="603"/>
        <v>2634.54738810762</v>
      </c>
      <c r="K676" s="170">
        <f t="shared" ref="K676:P676" si="604">SUBTOTAL(9,K667:K675)</f>
        <v>1027.2120251619867</v>
      </c>
      <c r="L676" s="170">
        <f t="shared" si="604"/>
        <v>121.76429836361469</v>
      </c>
      <c r="M676" s="170">
        <f t="shared" si="604"/>
        <v>0.30795005326265995</v>
      </c>
      <c r="N676" s="170">
        <f t="shared" si="604"/>
        <v>0</v>
      </c>
      <c r="O676" s="170">
        <f t="shared" si="604"/>
        <v>0</v>
      </c>
      <c r="P676" s="170">
        <f t="shared" si="604"/>
        <v>518.74828034706024</v>
      </c>
      <c r="Q676" s="170">
        <f t="shared" si="603"/>
        <v>151879.44488897003</v>
      </c>
    </row>
    <row r="677" spans="3:17" ht="15.75" hidden="1" thickBot="1" x14ac:dyDescent="0.3"/>
    <row r="678" spans="3:17" ht="45" x14ac:dyDescent="0.25">
      <c r="C678" s="143">
        <f>IF(E678&gt;0,1,0)</f>
        <v>1</v>
      </c>
      <c r="D678" s="163" t="str">
        <f>A51</f>
        <v>Schoharie</v>
      </c>
      <c r="E678" s="166">
        <f>SUMIF(A:A,D678,B:B)</f>
        <v>2.3823698462762297E-3</v>
      </c>
      <c r="F678" s="509" t="s">
        <v>97</v>
      </c>
      <c r="G678" s="509" t="s">
        <v>126</v>
      </c>
      <c r="H678" s="509" t="s">
        <v>127</v>
      </c>
      <c r="I678" s="508" t="s">
        <v>128</v>
      </c>
      <c r="J678" s="508" t="s">
        <v>487</v>
      </c>
      <c r="K678" s="508" t="s">
        <v>474</v>
      </c>
      <c r="L678" s="508" t="s">
        <v>475</v>
      </c>
      <c r="M678" s="508" t="s">
        <v>476</v>
      </c>
      <c r="N678" s="508" t="s">
        <v>477</v>
      </c>
      <c r="O678" s="508" t="s">
        <v>478</v>
      </c>
      <c r="P678" s="508" t="s">
        <v>479</v>
      </c>
      <c r="Q678" s="508" t="s">
        <v>129</v>
      </c>
    </row>
    <row r="679" spans="3:17" ht="18.75" x14ac:dyDescent="0.25">
      <c r="C679" s="143">
        <f>C678</f>
        <v>1</v>
      </c>
      <c r="D679" s="160"/>
      <c r="E679" s="159"/>
      <c r="F679" s="49" t="s">
        <v>57</v>
      </c>
      <c r="G679" s="49" t="s">
        <v>56</v>
      </c>
      <c r="H679" s="49" t="s">
        <v>55</v>
      </c>
      <c r="I679" s="49" t="s">
        <v>54</v>
      </c>
      <c r="J679" s="58" t="s">
        <v>53</v>
      </c>
      <c r="K679" s="49" t="s">
        <v>52</v>
      </c>
      <c r="L679" s="49" t="s">
        <v>51</v>
      </c>
      <c r="M679" s="49" t="s">
        <v>50</v>
      </c>
      <c r="N679" s="49" t="s">
        <v>49</v>
      </c>
      <c r="O679" s="49" t="s">
        <v>47</v>
      </c>
      <c r="P679" s="49" t="s">
        <v>77</v>
      </c>
      <c r="Q679" s="573" t="s">
        <v>78</v>
      </c>
    </row>
    <row r="680" spans="3:17" ht="18.75" x14ac:dyDescent="0.25">
      <c r="C680" s="143">
        <f>C679</f>
        <v>1</v>
      </c>
      <c r="D680" s="158" t="s">
        <v>26</v>
      </c>
      <c r="E680" s="157"/>
      <c r="F680" s="156"/>
      <c r="G680" s="156"/>
      <c r="H680" s="156"/>
      <c r="I680" s="155"/>
      <c r="J680" s="154"/>
      <c r="K680" s="154"/>
      <c r="L680" s="154"/>
      <c r="M680" s="154"/>
      <c r="N680" s="154"/>
      <c r="O680" s="154"/>
      <c r="P680" s="154"/>
      <c r="Q680" s="153"/>
    </row>
    <row r="681" spans="3:17" ht="18.75" x14ac:dyDescent="0.25">
      <c r="C681" s="143">
        <f t="shared" ref="C681:C690" si="605">C680</f>
        <v>1</v>
      </c>
      <c r="D681" s="152" t="s">
        <v>105</v>
      </c>
      <c r="E681" s="38" t="s">
        <v>57</v>
      </c>
      <c r="F681" s="168">
        <f t="shared" ref="F681:P681" si="606">F$6*$E678</f>
        <v>4.4550732009255496</v>
      </c>
      <c r="G681" s="186">
        <f t="shared" si="606"/>
        <v>8923.1704998459445</v>
      </c>
      <c r="H681" s="186">
        <f t="shared" si="606"/>
        <v>134.52253838435664</v>
      </c>
      <c r="I681" s="186">
        <f t="shared" si="606"/>
        <v>0</v>
      </c>
      <c r="J681" s="186">
        <f t="shared" si="606"/>
        <v>171.42921144753254</v>
      </c>
      <c r="K681" s="186">
        <f t="shared" si="606"/>
        <v>29.506841731054244</v>
      </c>
      <c r="L681" s="186">
        <f t="shared" si="606"/>
        <v>7.923166516253171</v>
      </c>
      <c r="M681" s="186">
        <f t="shared" si="606"/>
        <v>0</v>
      </c>
      <c r="N681" s="186">
        <f t="shared" si="606"/>
        <v>0</v>
      </c>
      <c r="O681" s="186">
        <f t="shared" si="606"/>
        <v>0</v>
      </c>
      <c r="P681" s="186">
        <f t="shared" si="606"/>
        <v>0</v>
      </c>
      <c r="Q681" s="189">
        <f>SUM(G681:P681)</f>
        <v>9266.552257925141</v>
      </c>
    </row>
    <row r="682" spans="3:17" ht="18.75" x14ac:dyDescent="0.25">
      <c r="C682" s="143">
        <f t="shared" si="605"/>
        <v>1</v>
      </c>
      <c r="D682" s="150" t="s">
        <v>31</v>
      </c>
      <c r="E682" s="38"/>
      <c r="F682" s="167"/>
      <c r="G682" s="185"/>
      <c r="H682" s="185"/>
      <c r="I682" s="187"/>
      <c r="J682" s="188"/>
      <c r="K682" s="188"/>
      <c r="L682" s="188"/>
      <c r="M682" s="188"/>
      <c r="N682" s="188"/>
      <c r="O682" s="188"/>
      <c r="P682" s="188"/>
      <c r="Q682" s="171"/>
    </row>
    <row r="683" spans="3:17" ht="18.75" x14ac:dyDescent="0.3">
      <c r="C683" s="143">
        <f t="shared" si="605"/>
        <v>1</v>
      </c>
      <c r="D683" s="149" t="s">
        <v>118</v>
      </c>
      <c r="E683" s="38" t="s">
        <v>56</v>
      </c>
      <c r="F683" s="168">
        <f t="shared" ref="F683:P683" si="607">F$8*$E678</f>
        <v>0</v>
      </c>
      <c r="G683" s="186">
        <f t="shared" si="607"/>
        <v>0</v>
      </c>
      <c r="H683" s="186">
        <f t="shared" si="607"/>
        <v>0</v>
      </c>
      <c r="I683" s="186">
        <f t="shared" si="607"/>
        <v>0</v>
      </c>
      <c r="J683" s="186">
        <f t="shared" si="607"/>
        <v>0</v>
      </c>
      <c r="K683" s="186">
        <f t="shared" si="607"/>
        <v>0</v>
      </c>
      <c r="L683" s="186">
        <f t="shared" si="607"/>
        <v>0</v>
      </c>
      <c r="M683" s="186">
        <f t="shared" si="607"/>
        <v>0</v>
      </c>
      <c r="N683" s="186">
        <f t="shared" si="607"/>
        <v>0</v>
      </c>
      <c r="O683" s="186">
        <f t="shared" si="607"/>
        <v>0</v>
      </c>
      <c r="P683" s="186">
        <f t="shared" si="607"/>
        <v>0</v>
      </c>
      <c r="Q683" s="189">
        <f t="shared" ref="Q683:Q689" si="608">SUM(G683:P683)</f>
        <v>0</v>
      </c>
    </row>
    <row r="684" spans="3:17" ht="18.75" x14ac:dyDescent="0.3">
      <c r="C684" s="143">
        <f t="shared" si="605"/>
        <v>1</v>
      </c>
      <c r="D684" s="149" t="s">
        <v>119</v>
      </c>
      <c r="E684" s="38" t="s">
        <v>55</v>
      </c>
      <c r="F684" s="168">
        <f t="shared" ref="F684:P684" si="609">F$9*$E678</f>
        <v>0</v>
      </c>
      <c r="G684" s="186">
        <f t="shared" si="609"/>
        <v>0</v>
      </c>
      <c r="H684" s="186">
        <f t="shared" si="609"/>
        <v>0</v>
      </c>
      <c r="I684" s="186">
        <f t="shared" si="609"/>
        <v>0</v>
      </c>
      <c r="J684" s="186">
        <f t="shared" si="609"/>
        <v>0</v>
      </c>
      <c r="K684" s="186">
        <f t="shared" si="609"/>
        <v>0</v>
      </c>
      <c r="L684" s="186">
        <f t="shared" si="609"/>
        <v>0</v>
      </c>
      <c r="M684" s="186">
        <f t="shared" si="609"/>
        <v>0</v>
      </c>
      <c r="N684" s="186">
        <f t="shared" si="609"/>
        <v>0</v>
      </c>
      <c r="O684" s="186">
        <f t="shared" si="609"/>
        <v>0</v>
      </c>
      <c r="P684" s="186">
        <f t="shared" si="609"/>
        <v>0</v>
      </c>
      <c r="Q684" s="189">
        <f t="shared" si="608"/>
        <v>0</v>
      </c>
    </row>
    <row r="685" spans="3:17" ht="18.75" x14ac:dyDescent="0.3">
      <c r="C685" s="143">
        <f t="shared" si="605"/>
        <v>1</v>
      </c>
      <c r="D685" s="149" t="s">
        <v>120</v>
      </c>
      <c r="E685" s="38" t="s">
        <v>54</v>
      </c>
      <c r="F685" s="168">
        <f t="shared" ref="F685:P685" si="610">F$10*$E678</f>
        <v>0</v>
      </c>
      <c r="G685" s="186">
        <f t="shared" si="610"/>
        <v>0</v>
      </c>
      <c r="H685" s="186">
        <f t="shared" si="610"/>
        <v>0</v>
      </c>
      <c r="I685" s="186">
        <f t="shared" si="610"/>
        <v>0</v>
      </c>
      <c r="J685" s="186">
        <f t="shared" si="610"/>
        <v>0</v>
      </c>
      <c r="K685" s="186">
        <f t="shared" si="610"/>
        <v>0</v>
      </c>
      <c r="L685" s="186">
        <f t="shared" si="610"/>
        <v>0</v>
      </c>
      <c r="M685" s="186">
        <f t="shared" si="610"/>
        <v>0</v>
      </c>
      <c r="N685" s="186">
        <f t="shared" si="610"/>
        <v>0</v>
      </c>
      <c r="O685" s="186">
        <f t="shared" si="610"/>
        <v>0</v>
      </c>
      <c r="P685" s="186">
        <f t="shared" si="610"/>
        <v>0</v>
      </c>
      <c r="Q685" s="189">
        <f t="shared" si="608"/>
        <v>0</v>
      </c>
    </row>
    <row r="686" spans="3:17" ht="18.75" x14ac:dyDescent="0.3">
      <c r="C686" s="143">
        <f t="shared" si="605"/>
        <v>1</v>
      </c>
      <c r="D686" s="149" t="s">
        <v>121</v>
      </c>
      <c r="E686" s="38" t="s">
        <v>53</v>
      </c>
      <c r="F686" s="168">
        <f t="shared" ref="F686:P686" si="611">F$11*$E678</f>
        <v>0</v>
      </c>
      <c r="G686" s="186">
        <f t="shared" si="611"/>
        <v>0</v>
      </c>
      <c r="H686" s="186">
        <f t="shared" si="611"/>
        <v>0</v>
      </c>
      <c r="I686" s="186">
        <f t="shared" si="611"/>
        <v>0</v>
      </c>
      <c r="J686" s="186">
        <f t="shared" si="611"/>
        <v>0</v>
      </c>
      <c r="K686" s="186">
        <f t="shared" si="611"/>
        <v>0</v>
      </c>
      <c r="L686" s="186">
        <f t="shared" si="611"/>
        <v>0</v>
      </c>
      <c r="M686" s="186">
        <f t="shared" si="611"/>
        <v>0</v>
      </c>
      <c r="N686" s="186">
        <f t="shared" si="611"/>
        <v>0</v>
      </c>
      <c r="O686" s="186">
        <f t="shared" si="611"/>
        <v>0</v>
      </c>
      <c r="P686" s="186">
        <f t="shared" si="611"/>
        <v>0</v>
      </c>
      <c r="Q686" s="189">
        <f t="shared" si="608"/>
        <v>0</v>
      </c>
    </row>
    <row r="687" spans="3:17" ht="18.75" x14ac:dyDescent="0.3">
      <c r="C687" s="143">
        <f t="shared" si="605"/>
        <v>1</v>
      </c>
      <c r="D687" s="149" t="s">
        <v>122</v>
      </c>
      <c r="E687" s="38" t="s">
        <v>52</v>
      </c>
      <c r="F687" s="168">
        <f t="shared" ref="F687:P687" si="612">F$12*$E678</f>
        <v>0</v>
      </c>
      <c r="G687" s="186">
        <f t="shared" si="612"/>
        <v>0</v>
      </c>
      <c r="H687" s="186">
        <f t="shared" si="612"/>
        <v>0</v>
      </c>
      <c r="I687" s="186">
        <f t="shared" si="612"/>
        <v>0</v>
      </c>
      <c r="J687" s="186">
        <f t="shared" si="612"/>
        <v>0</v>
      </c>
      <c r="K687" s="186">
        <f t="shared" si="612"/>
        <v>0</v>
      </c>
      <c r="L687" s="186">
        <f t="shared" si="612"/>
        <v>0</v>
      </c>
      <c r="M687" s="186">
        <f t="shared" si="612"/>
        <v>0</v>
      </c>
      <c r="N687" s="186">
        <f t="shared" si="612"/>
        <v>0</v>
      </c>
      <c r="O687" s="186">
        <f t="shared" si="612"/>
        <v>0</v>
      </c>
      <c r="P687" s="186">
        <f t="shared" si="612"/>
        <v>0</v>
      </c>
      <c r="Q687" s="189">
        <f t="shared" si="608"/>
        <v>0</v>
      </c>
    </row>
    <row r="688" spans="3:17" ht="18.75" x14ac:dyDescent="0.3">
      <c r="C688" s="143">
        <f t="shared" si="605"/>
        <v>1</v>
      </c>
      <c r="D688" s="149" t="s">
        <v>123</v>
      </c>
      <c r="E688" s="38" t="s">
        <v>51</v>
      </c>
      <c r="F688" s="168">
        <f t="shared" ref="F688:P688" si="613">F$13*$E678</f>
        <v>0</v>
      </c>
      <c r="G688" s="186">
        <f t="shared" si="613"/>
        <v>0</v>
      </c>
      <c r="H688" s="186">
        <f t="shared" si="613"/>
        <v>0</v>
      </c>
      <c r="I688" s="186">
        <f t="shared" si="613"/>
        <v>0</v>
      </c>
      <c r="J688" s="186">
        <f t="shared" si="613"/>
        <v>0</v>
      </c>
      <c r="K688" s="186">
        <f t="shared" si="613"/>
        <v>0</v>
      </c>
      <c r="L688" s="186">
        <f t="shared" si="613"/>
        <v>0</v>
      </c>
      <c r="M688" s="186">
        <f t="shared" si="613"/>
        <v>0</v>
      </c>
      <c r="N688" s="186">
        <f t="shared" si="613"/>
        <v>0</v>
      </c>
      <c r="O688" s="186">
        <f t="shared" si="613"/>
        <v>0</v>
      </c>
      <c r="P688" s="186">
        <f t="shared" si="613"/>
        <v>0</v>
      </c>
      <c r="Q688" s="189">
        <f t="shared" si="608"/>
        <v>0</v>
      </c>
    </row>
    <row r="689" spans="3:17" ht="19.5" thickBot="1" x14ac:dyDescent="0.35">
      <c r="C689" s="143">
        <f t="shared" si="605"/>
        <v>1</v>
      </c>
      <c r="D689" s="149" t="s">
        <v>16</v>
      </c>
      <c r="E689" s="37" t="s">
        <v>50</v>
      </c>
      <c r="F689" s="168">
        <f t="shared" ref="F689:P689" si="614">F$14*$E678</f>
        <v>0.29624896420205188</v>
      </c>
      <c r="G689" s="186">
        <f t="shared" si="614"/>
        <v>534.67107832250269</v>
      </c>
      <c r="H689" s="186">
        <f t="shared" si="614"/>
        <v>10.418395522045229</v>
      </c>
      <c r="I689" s="186">
        <f t="shared" si="614"/>
        <v>0</v>
      </c>
      <c r="J689" s="186">
        <f t="shared" si="614"/>
        <v>0</v>
      </c>
      <c r="K689" s="186">
        <f t="shared" si="614"/>
        <v>37.333537856663007</v>
      </c>
      <c r="L689" s="186">
        <f t="shared" si="614"/>
        <v>0</v>
      </c>
      <c r="M689" s="186">
        <f t="shared" si="614"/>
        <v>2.0038217962730732E-2</v>
      </c>
      <c r="N689" s="186">
        <f t="shared" si="614"/>
        <v>0</v>
      </c>
      <c r="O689" s="186">
        <f t="shared" si="614"/>
        <v>0</v>
      </c>
      <c r="P689" s="186">
        <f t="shared" si="614"/>
        <v>33.754795621094139</v>
      </c>
      <c r="Q689" s="189">
        <f t="shared" si="608"/>
        <v>616.19784554026774</v>
      </c>
    </row>
    <row r="690" spans="3:17" ht="19.5" thickBot="1" x14ac:dyDescent="0.3">
      <c r="C690" s="143">
        <f t="shared" si="605"/>
        <v>1</v>
      </c>
      <c r="D690" s="148" t="s">
        <v>124</v>
      </c>
      <c r="E690" s="147" t="s">
        <v>49</v>
      </c>
      <c r="F690" s="169">
        <f t="shared" ref="F690:Q690" si="615">SUBTOTAL(9,F681:F689)</f>
        <v>4.7513221651276014</v>
      </c>
      <c r="G690" s="170">
        <f t="shared" si="615"/>
        <v>9457.8415781684471</v>
      </c>
      <c r="H690" s="170">
        <f t="shared" si="615"/>
        <v>144.94093390640185</v>
      </c>
      <c r="I690" s="170">
        <f t="shared" si="615"/>
        <v>0</v>
      </c>
      <c r="J690" s="170">
        <f t="shared" si="615"/>
        <v>171.42921144753254</v>
      </c>
      <c r="K690" s="170">
        <f t="shared" ref="K690:P690" si="616">SUBTOTAL(9,K681:K689)</f>
        <v>66.840379587717251</v>
      </c>
      <c r="L690" s="170">
        <f t="shared" si="616"/>
        <v>7.923166516253171</v>
      </c>
      <c r="M690" s="170">
        <f t="shared" si="616"/>
        <v>2.0038217962730732E-2</v>
      </c>
      <c r="N690" s="170">
        <f t="shared" si="616"/>
        <v>0</v>
      </c>
      <c r="O690" s="170">
        <f t="shared" si="616"/>
        <v>0</v>
      </c>
      <c r="P690" s="170">
        <f t="shared" si="616"/>
        <v>33.754795621094139</v>
      </c>
      <c r="Q690" s="170">
        <f t="shared" si="615"/>
        <v>9882.7501034654088</v>
      </c>
    </row>
    <row r="691" spans="3:17" ht="15.75" hidden="1" thickBot="1" x14ac:dyDescent="0.3"/>
    <row r="692" spans="3:17" ht="45" x14ac:dyDescent="0.25">
      <c r="C692" s="143">
        <f>IF(E692&gt;0,1,0)</f>
        <v>1</v>
      </c>
      <c r="D692" s="163" t="str">
        <f>A52</f>
        <v>Schuyler</v>
      </c>
      <c r="E692" s="166">
        <f>SUMIF(A:A,D692,B:B)</f>
        <v>6.2373675956962351E-4</v>
      </c>
      <c r="F692" s="509" t="s">
        <v>97</v>
      </c>
      <c r="G692" s="509" t="s">
        <v>126</v>
      </c>
      <c r="H692" s="509" t="s">
        <v>127</v>
      </c>
      <c r="I692" s="508" t="s">
        <v>128</v>
      </c>
      <c r="J692" s="508" t="s">
        <v>487</v>
      </c>
      <c r="K692" s="508" t="s">
        <v>474</v>
      </c>
      <c r="L692" s="508" t="s">
        <v>475</v>
      </c>
      <c r="M692" s="508" t="s">
        <v>476</v>
      </c>
      <c r="N692" s="508" t="s">
        <v>477</v>
      </c>
      <c r="O692" s="508" t="s">
        <v>478</v>
      </c>
      <c r="P692" s="508" t="s">
        <v>479</v>
      </c>
      <c r="Q692" s="508" t="s">
        <v>129</v>
      </c>
    </row>
    <row r="693" spans="3:17" ht="18.75" x14ac:dyDescent="0.25">
      <c r="C693" s="143">
        <f>C692</f>
        <v>1</v>
      </c>
      <c r="D693" s="160"/>
      <c r="E693" s="159"/>
      <c r="F693" s="49" t="s">
        <v>57</v>
      </c>
      <c r="G693" s="49" t="s">
        <v>56</v>
      </c>
      <c r="H693" s="49" t="s">
        <v>55</v>
      </c>
      <c r="I693" s="49" t="s">
        <v>54</v>
      </c>
      <c r="J693" s="58" t="s">
        <v>53</v>
      </c>
      <c r="K693" s="49" t="s">
        <v>52</v>
      </c>
      <c r="L693" s="49" t="s">
        <v>51</v>
      </c>
      <c r="M693" s="49" t="s">
        <v>50</v>
      </c>
      <c r="N693" s="49" t="s">
        <v>49</v>
      </c>
      <c r="O693" s="49" t="s">
        <v>47</v>
      </c>
      <c r="P693" s="49" t="s">
        <v>77</v>
      </c>
      <c r="Q693" s="573" t="s">
        <v>78</v>
      </c>
    </row>
    <row r="694" spans="3:17" ht="18.75" x14ac:dyDescent="0.25">
      <c r="C694" s="143">
        <f>C693</f>
        <v>1</v>
      </c>
      <c r="D694" s="158" t="s">
        <v>26</v>
      </c>
      <c r="E694" s="157"/>
      <c r="F694" s="156"/>
      <c r="G694" s="156"/>
      <c r="H694" s="156"/>
      <c r="I694" s="155"/>
      <c r="J694" s="154"/>
      <c r="K694" s="154"/>
      <c r="L694" s="154"/>
      <c r="M694" s="154"/>
      <c r="N694" s="154"/>
      <c r="O694" s="154"/>
      <c r="P694" s="154"/>
      <c r="Q694" s="153"/>
    </row>
    <row r="695" spans="3:17" ht="18.75" x14ac:dyDescent="0.25">
      <c r="C695" s="143">
        <f t="shared" ref="C695:C704" si="617">C694</f>
        <v>1</v>
      </c>
      <c r="D695" s="152" t="s">
        <v>105</v>
      </c>
      <c r="E695" s="38" t="s">
        <v>57</v>
      </c>
      <c r="F695" s="168">
        <f t="shared" ref="F695:P695" si="618">F$6*$E692</f>
        <v>1.1663986287998789</v>
      </c>
      <c r="G695" s="186">
        <f t="shared" si="618"/>
        <v>2336.2071432194571</v>
      </c>
      <c r="H695" s="186">
        <f t="shared" si="618"/>
        <v>35.219826305344426</v>
      </c>
      <c r="I695" s="186">
        <f t="shared" si="618"/>
        <v>0</v>
      </c>
      <c r="J695" s="186">
        <f t="shared" si="618"/>
        <v>44.882494215158012</v>
      </c>
      <c r="K695" s="186">
        <f t="shared" si="618"/>
        <v>7.7252916356495724</v>
      </c>
      <c r="L695" s="186">
        <f t="shared" si="618"/>
        <v>2.0743925281386755</v>
      </c>
      <c r="M695" s="186">
        <f t="shared" si="618"/>
        <v>0</v>
      </c>
      <c r="N695" s="186">
        <f t="shared" si="618"/>
        <v>0</v>
      </c>
      <c r="O695" s="186">
        <f t="shared" si="618"/>
        <v>0</v>
      </c>
      <c r="P695" s="186">
        <f t="shared" si="618"/>
        <v>0</v>
      </c>
      <c r="Q695" s="189">
        <f>SUM(G695:P695)</f>
        <v>2426.1091479037477</v>
      </c>
    </row>
    <row r="696" spans="3:17" ht="18.75" x14ac:dyDescent="0.25">
      <c r="C696" s="143">
        <f t="shared" si="617"/>
        <v>1</v>
      </c>
      <c r="D696" s="150" t="s">
        <v>31</v>
      </c>
      <c r="E696" s="38"/>
      <c r="F696" s="167"/>
      <c r="G696" s="185"/>
      <c r="H696" s="185"/>
      <c r="I696" s="187"/>
      <c r="J696" s="188"/>
      <c r="K696" s="188"/>
      <c r="L696" s="188"/>
      <c r="M696" s="188"/>
      <c r="N696" s="188"/>
      <c r="O696" s="188"/>
      <c r="P696" s="188"/>
      <c r="Q696" s="171"/>
    </row>
    <row r="697" spans="3:17" ht="18.75" x14ac:dyDescent="0.3">
      <c r="C697" s="143">
        <f t="shared" si="617"/>
        <v>1</v>
      </c>
      <c r="D697" s="149" t="s">
        <v>118</v>
      </c>
      <c r="E697" s="38" t="s">
        <v>56</v>
      </c>
      <c r="F697" s="168">
        <f t="shared" ref="F697:P697" si="619">F$8*$E692</f>
        <v>0</v>
      </c>
      <c r="G697" s="186">
        <f t="shared" si="619"/>
        <v>0</v>
      </c>
      <c r="H697" s="186">
        <f t="shared" si="619"/>
        <v>0</v>
      </c>
      <c r="I697" s="186">
        <f t="shared" si="619"/>
        <v>0</v>
      </c>
      <c r="J697" s="186">
        <f t="shared" si="619"/>
        <v>0</v>
      </c>
      <c r="K697" s="186">
        <f t="shared" si="619"/>
        <v>0</v>
      </c>
      <c r="L697" s="186">
        <f t="shared" si="619"/>
        <v>0</v>
      </c>
      <c r="M697" s="186">
        <f t="shared" si="619"/>
        <v>0</v>
      </c>
      <c r="N697" s="186">
        <f t="shared" si="619"/>
        <v>0</v>
      </c>
      <c r="O697" s="186">
        <f t="shared" si="619"/>
        <v>0</v>
      </c>
      <c r="P697" s="186">
        <f t="shared" si="619"/>
        <v>0</v>
      </c>
      <c r="Q697" s="189">
        <f t="shared" ref="Q697:Q703" si="620">SUM(G697:P697)</f>
        <v>0</v>
      </c>
    </row>
    <row r="698" spans="3:17" ht="18.75" x14ac:dyDescent="0.3">
      <c r="C698" s="143">
        <f t="shared" si="617"/>
        <v>1</v>
      </c>
      <c r="D698" s="149" t="s">
        <v>119</v>
      </c>
      <c r="E698" s="38" t="s">
        <v>55</v>
      </c>
      <c r="F698" s="168">
        <f t="shared" ref="F698:P698" si="621">F$9*$E692</f>
        <v>0</v>
      </c>
      <c r="G698" s="186">
        <f t="shared" si="621"/>
        <v>0</v>
      </c>
      <c r="H698" s="186">
        <f t="shared" si="621"/>
        <v>0</v>
      </c>
      <c r="I698" s="186">
        <f t="shared" si="621"/>
        <v>0</v>
      </c>
      <c r="J698" s="186">
        <f t="shared" si="621"/>
        <v>0</v>
      </c>
      <c r="K698" s="186">
        <f t="shared" si="621"/>
        <v>0</v>
      </c>
      <c r="L698" s="186">
        <f t="shared" si="621"/>
        <v>0</v>
      </c>
      <c r="M698" s="186">
        <f t="shared" si="621"/>
        <v>0</v>
      </c>
      <c r="N698" s="186">
        <f t="shared" si="621"/>
        <v>0</v>
      </c>
      <c r="O698" s="186">
        <f t="shared" si="621"/>
        <v>0</v>
      </c>
      <c r="P698" s="186">
        <f t="shared" si="621"/>
        <v>0</v>
      </c>
      <c r="Q698" s="189">
        <f t="shared" si="620"/>
        <v>0</v>
      </c>
    </row>
    <row r="699" spans="3:17" ht="18.75" x14ac:dyDescent="0.3">
      <c r="C699" s="143">
        <f t="shared" si="617"/>
        <v>1</v>
      </c>
      <c r="D699" s="149" t="s">
        <v>120</v>
      </c>
      <c r="E699" s="38" t="s">
        <v>54</v>
      </c>
      <c r="F699" s="168">
        <f t="shared" ref="F699:P699" si="622">F$10*$E692</f>
        <v>0</v>
      </c>
      <c r="G699" s="186">
        <f t="shared" si="622"/>
        <v>0</v>
      </c>
      <c r="H699" s="186">
        <f t="shared" si="622"/>
        <v>0</v>
      </c>
      <c r="I699" s="186">
        <f t="shared" si="622"/>
        <v>0</v>
      </c>
      <c r="J699" s="186">
        <f t="shared" si="622"/>
        <v>0</v>
      </c>
      <c r="K699" s="186">
        <f t="shared" si="622"/>
        <v>0</v>
      </c>
      <c r="L699" s="186">
        <f t="shared" si="622"/>
        <v>0</v>
      </c>
      <c r="M699" s="186">
        <f t="shared" si="622"/>
        <v>0</v>
      </c>
      <c r="N699" s="186">
        <f t="shared" si="622"/>
        <v>0</v>
      </c>
      <c r="O699" s="186">
        <f t="shared" si="622"/>
        <v>0</v>
      </c>
      <c r="P699" s="186">
        <f t="shared" si="622"/>
        <v>0</v>
      </c>
      <c r="Q699" s="189">
        <f t="shared" si="620"/>
        <v>0</v>
      </c>
    </row>
    <row r="700" spans="3:17" ht="18.75" x14ac:dyDescent="0.3">
      <c r="C700" s="143">
        <f t="shared" si="617"/>
        <v>1</v>
      </c>
      <c r="D700" s="149" t="s">
        <v>121</v>
      </c>
      <c r="E700" s="38" t="s">
        <v>53</v>
      </c>
      <c r="F700" s="168">
        <f t="shared" ref="F700:P700" si="623">F$11*$E692</f>
        <v>0</v>
      </c>
      <c r="G700" s="186">
        <f t="shared" si="623"/>
        <v>0</v>
      </c>
      <c r="H700" s="186">
        <f t="shared" si="623"/>
        <v>0</v>
      </c>
      <c r="I700" s="186">
        <f t="shared" si="623"/>
        <v>0</v>
      </c>
      <c r="J700" s="186">
        <f t="shared" si="623"/>
        <v>0</v>
      </c>
      <c r="K700" s="186">
        <f t="shared" si="623"/>
        <v>0</v>
      </c>
      <c r="L700" s="186">
        <f t="shared" si="623"/>
        <v>0</v>
      </c>
      <c r="M700" s="186">
        <f t="shared" si="623"/>
        <v>0</v>
      </c>
      <c r="N700" s="186">
        <f t="shared" si="623"/>
        <v>0</v>
      </c>
      <c r="O700" s="186">
        <f t="shared" si="623"/>
        <v>0</v>
      </c>
      <c r="P700" s="186">
        <f t="shared" si="623"/>
        <v>0</v>
      </c>
      <c r="Q700" s="189">
        <f t="shared" si="620"/>
        <v>0</v>
      </c>
    </row>
    <row r="701" spans="3:17" ht="18.75" x14ac:dyDescent="0.3">
      <c r="C701" s="143">
        <f t="shared" si="617"/>
        <v>1</v>
      </c>
      <c r="D701" s="149" t="s">
        <v>122</v>
      </c>
      <c r="E701" s="38" t="s">
        <v>52</v>
      </c>
      <c r="F701" s="168">
        <f t="shared" ref="F701:P701" si="624">F$12*$E692</f>
        <v>0</v>
      </c>
      <c r="G701" s="186">
        <f t="shared" si="624"/>
        <v>0</v>
      </c>
      <c r="H701" s="186">
        <f t="shared" si="624"/>
        <v>0</v>
      </c>
      <c r="I701" s="186">
        <f t="shared" si="624"/>
        <v>0</v>
      </c>
      <c r="J701" s="186">
        <f t="shared" si="624"/>
        <v>0</v>
      </c>
      <c r="K701" s="186">
        <f t="shared" si="624"/>
        <v>0</v>
      </c>
      <c r="L701" s="186">
        <f t="shared" si="624"/>
        <v>0</v>
      </c>
      <c r="M701" s="186">
        <f t="shared" si="624"/>
        <v>0</v>
      </c>
      <c r="N701" s="186">
        <f t="shared" si="624"/>
        <v>0</v>
      </c>
      <c r="O701" s="186">
        <f t="shared" si="624"/>
        <v>0</v>
      </c>
      <c r="P701" s="186">
        <f t="shared" si="624"/>
        <v>0</v>
      </c>
      <c r="Q701" s="189">
        <f t="shared" si="620"/>
        <v>0</v>
      </c>
    </row>
    <row r="702" spans="3:17" ht="18.75" x14ac:dyDescent="0.3">
      <c r="C702" s="143">
        <f t="shared" si="617"/>
        <v>1</v>
      </c>
      <c r="D702" s="149" t="s">
        <v>123</v>
      </c>
      <c r="E702" s="38" t="s">
        <v>51</v>
      </c>
      <c r="F702" s="168">
        <f t="shared" ref="F702:P702" si="625">F$13*$E692</f>
        <v>0</v>
      </c>
      <c r="G702" s="186">
        <f t="shared" si="625"/>
        <v>0</v>
      </c>
      <c r="H702" s="186">
        <f t="shared" si="625"/>
        <v>0</v>
      </c>
      <c r="I702" s="186">
        <f t="shared" si="625"/>
        <v>0</v>
      </c>
      <c r="J702" s="186">
        <f t="shared" si="625"/>
        <v>0</v>
      </c>
      <c r="K702" s="186">
        <f t="shared" si="625"/>
        <v>0</v>
      </c>
      <c r="L702" s="186">
        <f t="shared" si="625"/>
        <v>0</v>
      </c>
      <c r="M702" s="186">
        <f t="shared" si="625"/>
        <v>0</v>
      </c>
      <c r="N702" s="186">
        <f t="shared" si="625"/>
        <v>0</v>
      </c>
      <c r="O702" s="186">
        <f t="shared" si="625"/>
        <v>0</v>
      </c>
      <c r="P702" s="186">
        <f t="shared" si="625"/>
        <v>0</v>
      </c>
      <c r="Q702" s="189">
        <f t="shared" si="620"/>
        <v>0</v>
      </c>
    </row>
    <row r="703" spans="3:17" ht="19.5" thickBot="1" x14ac:dyDescent="0.35">
      <c r="C703" s="143">
        <f t="shared" si="617"/>
        <v>1</v>
      </c>
      <c r="D703" s="149" t="s">
        <v>16</v>
      </c>
      <c r="E703" s="37" t="s">
        <v>50</v>
      </c>
      <c r="F703" s="168">
        <f t="shared" ref="F703:P703" si="626">F$14*$E692</f>
        <v>7.7561999555219474E-2</v>
      </c>
      <c r="G703" s="186">
        <f t="shared" si="626"/>
        <v>139.98414492600426</v>
      </c>
      <c r="H703" s="186">
        <f t="shared" si="626"/>
        <v>2.7276773474078388</v>
      </c>
      <c r="I703" s="186">
        <f t="shared" si="626"/>
        <v>0</v>
      </c>
      <c r="J703" s="186">
        <f t="shared" si="626"/>
        <v>0</v>
      </c>
      <c r="K703" s="186">
        <f t="shared" si="626"/>
        <v>9.7744269062096176</v>
      </c>
      <c r="L703" s="186">
        <f t="shared" si="626"/>
        <v>0</v>
      </c>
      <c r="M703" s="186">
        <f t="shared" si="626"/>
        <v>5.2462774237843129E-3</v>
      </c>
      <c r="N703" s="186">
        <f t="shared" si="626"/>
        <v>0</v>
      </c>
      <c r="O703" s="186">
        <f t="shared" si="626"/>
        <v>0</v>
      </c>
      <c r="P703" s="186">
        <f t="shared" si="626"/>
        <v>8.8374636178110038</v>
      </c>
      <c r="Q703" s="189">
        <f t="shared" si="620"/>
        <v>161.32895907485653</v>
      </c>
    </row>
    <row r="704" spans="3:17" ht="19.5" thickBot="1" x14ac:dyDescent="0.3">
      <c r="C704" s="143">
        <f t="shared" si="617"/>
        <v>1</v>
      </c>
      <c r="D704" s="148" t="s">
        <v>124</v>
      </c>
      <c r="E704" s="147" t="s">
        <v>49</v>
      </c>
      <c r="F704" s="169">
        <f t="shared" ref="F704:Q704" si="627">SUBTOTAL(9,F695:F703)</f>
        <v>1.2439606283550984</v>
      </c>
      <c r="G704" s="170">
        <f t="shared" si="627"/>
        <v>2476.1912881454614</v>
      </c>
      <c r="H704" s="170">
        <f t="shared" si="627"/>
        <v>37.947503652752268</v>
      </c>
      <c r="I704" s="170">
        <f t="shared" si="627"/>
        <v>0</v>
      </c>
      <c r="J704" s="170">
        <f t="shared" si="627"/>
        <v>44.882494215158012</v>
      </c>
      <c r="K704" s="170">
        <f t="shared" ref="K704:P704" si="628">SUBTOTAL(9,K695:K703)</f>
        <v>17.499718541859188</v>
      </c>
      <c r="L704" s="170">
        <f t="shared" si="628"/>
        <v>2.0743925281386755</v>
      </c>
      <c r="M704" s="170">
        <f t="shared" si="628"/>
        <v>5.2462774237843129E-3</v>
      </c>
      <c r="N704" s="170">
        <f t="shared" si="628"/>
        <v>0</v>
      </c>
      <c r="O704" s="170">
        <f t="shared" si="628"/>
        <v>0</v>
      </c>
      <c r="P704" s="170">
        <f t="shared" si="628"/>
        <v>8.8374636178110038</v>
      </c>
      <c r="Q704" s="170">
        <f t="shared" si="627"/>
        <v>2587.4381069786041</v>
      </c>
    </row>
    <row r="705" spans="3:17" ht="15.75" hidden="1" thickBot="1" x14ac:dyDescent="0.3"/>
    <row r="706" spans="3:17" ht="45" x14ac:dyDescent="0.25">
      <c r="C706" s="143">
        <f>IF(E706&gt;0,1,0)</f>
        <v>1</v>
      </c>
      <c r="D706" s="163" t="str">
        <f>A53</f>
        <v>Seneca</v>
      </c>
      <c r="E706" s="166">
        <f>SUMIF(A:A,D706,B:B)</f>
        <v>5.0916761953535567E-4</v>
      </c>
      <c r="F706" s="509" t="s">
        <v>97</v>
      </c>
      <c r="G706" s="509" t="s">
        <v>126</v>
      </c>
      <c r="H706" s="509" t="s">
        <v>127</v>
      </c>
      <c r="I706" s="508" t="s">
        <v>128</v>
      </c>
      <c r="J706" s="508" t="s">
        <v>487</v>
      </c>
      <c r="K706" s="508" t="s">
        <v>474</v>
      </c>
      <c r="L706" s="508" t="s">
        <v>475</v>
      </c>
      <c r="M706" s="508" t="s">
        <v>476</v>
      </c>
      <c r="N706" s="508" t="s">
        <v>477</v>
      </c>
      <c r="O706" s="508" t="s">
        <v>478</v>
      </c>
      <c r="P706" s="508" t="s">
        <v>479</v>
      </c>
      <c r="Q706" s="508" t="s">
        <v>129</v>
      </c>
    </row>
    <row r="707" spans="3:17" ht="18.75" x14ac:dyDescent="0.25">
      <c r="C707" s="143">
        <f>C706</f>
        <v>1</v>
      </c>
      <c r="D707" s="160"/>
      <c r="E707" s="159"/>
      <c r="F707" s="49" t="s">
        <v>57</v>
      </c>
      <c r="G707" s="49" t="s">
        <v>56</v>
      </c>
      <c r="H707" s="49" t="s">
        <v>55</v>
      </c>
      <c r="I707" s="49" t="s">
        <v>54</v>
      </c>
      <c r="J707" s="58" t="s">
        <v>53</v>
      </c>
      <c r="K707" s="49" t="s">
        <v>52</v>
      </c>
      <c r="L707" s="49" t="s">
        <v>51</v>
      </c>
      <c r="M707" s="49" t="s">
        <v>50</v>
      </c>
      <c r="N707" s="49" t="s">
        <v>49</v>
      </c>
      <c r="O707" s="49" t="s">
        <v>47</v>
      </c>
      <c r="P707" s="49" t="s">
        <v>77</v>
      </c>
      <c r="Q707" s="573" t="s">
        <v>78</v>
      </c>
    </row>
    <row r="708" spans="3:17" ht="18.75" x14ac:dyDescent="0.25">
      <c r="C708" s="143">
        <f>C707</f>
        <v>1</v>
      </c>
      <c r="D708" s="158" t="s">
        <v>26</v>
      </c>
      <c r="E708" s="157"/>
      <c r="F708" s="156"/>
      <c r="G708" s="156"/>
      <c r="H708" s="156"/>
      <c r="I708" s="155"/>
      <c r="J708" s="154"/>
      <c r="K708" s="154"/>
      <c r="L708" s="154"/>
      <c r="M708" s="154"/>
      <c r="N708" s="154"/>
      <c r="O708" s="154"/>
      <c r="P708" s="154"/>
      <c r="Q708" s="153"/>
    </row>
    <row r="709" spans="3:17" ht="18.75" x14ac:dyDescent="0.25">
      <c r="C709" s="143">
        <f t="shared" ref="C709:C718" si="629">C708</f>
        <v>1</v>
      </c>
      <c r="D709" s="152" t="s">
        <v>105</v>
      </c>
      <c r="E709" s="38" t="s">
        <v>57</v>
      </c>
      <c r="F709" s="168">
        <f t="shared" ref="F709:P709" si="630">F$6*$E706</f>
        <v>0.95215233693316592</v>
      </c>
      <c r="G709" s="186">
        <f t="shared" si="630"/>
        <v>1907.0882252880376</v>
      </c>
      <c r="H709" s="186">
        <f t="shared" si="630"/>
        <v>28.750582429540462</v>
      </c>
      <c r="I709" s="186">
        <f t="shared" si="630"/>
        <v>0</v>
      </c>
      <c r="J709" s="186">
        <f t="shared" si="630"/>
        <v>36.638393340981985</v>
      </c>
      <c r="K709" s="186">
        <f t="shared" si="630"/>
        <v>6.3062955517551478</v>
      </c>
      <c r="L709" s="186">
        <f t="shared" si="630"/>
        <v>1.6933642106697091</v>
      </c>
      <c r="M709" s="186">
        <f t="shared" si="630"/>
        <v>0</v>
      </c>
      <c r="N709" s="186">
        <f t="shared" si="630"/>
        <v>0</v>
      </c>
      <c r="O709" s="186">
        <f t="shared" si="630"/>
        <v>0</v>
      </c>
      <c r="P709" s="186">
        <f t="shared" si="630"/>
        <v>0</v>
      </c>
      <c r="Q709" s="189">
        <f>SUM(G709:P709)</f>
        <v>1980.4768608209847</v>
      </c>
    </row>
    <row r="710" spans="3:17" ht="18.75" x14ac:dyDescent="0.25">
      <c r="C710" s="143">
        <f t="shared" si="629"/>
        <v>1</v>
      </c>
      <c r="D710" s="150" t="s">
        <v>31</v>
      </c>
      <c r="E710" s="38"/>
      <c r="F710" s="167"/>
      <c r="G710" s="185"/>
      <c r="H710" s="185"/>
      <c r="I710" s="187"/>
      <c r="J710" s="188"/>
      <c r="K710" s="188"/>
      <c r="L710" s="188"/>
      <c r="M710" s="188"/>
      <c r="N710" s="188"/>
      <c r="O710" s="188"/>
      <c r="P710" s="188"/>
      <c r="Q710" s="171"/>
    </row>
    <row r="711" spans="3:17" ht="18.75" x14ac:dyDescent="0.3">
      <c r="C711" s="143">
        <f t="shared" si="629"/>
        <v>1</v>
      </c>
      <c r="D711" s="149" t="s">
        <v>118</v>
      </c>
      <c r="E711" s="38" t="s">
        <v>56</v>
      </c>
      <c r="F711" s="168">
        <f t="shared" ref="F711:P711" si="631">F$8*$E706</f>
        <v>0</v>
      </c>
      <c r="G711" s="186">
        <f t="shared" si="631"/>
        <v>0</v>
      </c>
      <c r="H711" s="186">
        <f t="shared" si="631"/>
        <v>0</v>
      </c>
      <c r="I711" s="186">
        <f t="shared" si="631"/>
        <v>0</v>
      </c>
      <c r="J711" s="186">
        <f t="shared" si="631"/>
        <v>0</v>
      </c>
      <c r="K711" s="186">
        <f t="shared" si="631"/>
        <v>0</v>
      </c>
      <c r="L711" s="186">
        <f t="shared" si="631"/>
        <v>0</v>
      </c>
      <c r="M711" s="186">
        <f t="shared" si="631"/>
        <v>0</v>
      </c>
      <c r="N711" s="186">
        <f t="shared" si="631"/>
        <v>0</v>
      </c>
      <c r="O711" s="186">
        <f t="shared" si="631"/>
        <v>0</v>
      </c>
      <c r="P711" s="186">
        <f t="shared" si="631"/>
        <v>0</v>
      </c>
      <c r="Q711" s="189">
        <f t="shared" ref="Q711:Q717" si="632">SUM(G711:P711)</f>
        <v>0</v>
      </c>
    </row>
    <row r="712" spans="3:17" ht="18.75" x14ac:dyDescent="0.3">
      <c r="C712" s="143">
        <f t="shared" si="629"/>
        <v>1</v>
      </c>
      <c r="D712" s="149" t="s">
        <v>119</v>
      </c>
      <c r="E712" s="38" t="s">
        <v>55</v>
      </c>
      <c r="F712" s="168">
        <f t="shared" ref="F712:P712" si="633">F$9*$E706</f>
        <v>0</v>
      </c>
      <c r="G712" s="186">
        <f t="shared" si="633"/>
        <v>0</v>
      </c>
      <c r="H712" s="186">
        <f t="shared" si="633"/>
        <v>0</v>
      </c>
      <c r="I712" s="186">
        <f t="shared" si="633"/>
        <v>0</v>
      </c>
      <c r="J712" s="186">
        <f t="shared" si="633"/>
        <v>0</v>
      </c>
      <c r="K712" s="186">
        <f t="shared" si="633"/>
        <v>0</v>
      </c>
      <c r="L712" s="186">
        <f t="shared" si="633"/>
        <v>0</v>
      </c>
      <c r="M712" s="186">
        <f t="shared" si="633"/>
        <v>0</v>
      </c>
      <c r="N712" s="186">
        <f t="shared" si="633"/>
        <v>0</v>
      </c>
      <c r="O712" s="186">
        <f t="shared" si="633"/>
        <v>0</v>
      </c>
      <c r="P712" s="186">
        <f t="shared" si="633"/>
        <v>0</v>
      </c>
      <c r="Q712" s="189">
        <f t="shared" si="632"/>
        <v>0</v>
      </c>
    </row>
    <row r="713" spans="3:17" ht="18.75" x14ac:dyDescent="0.3">
      <c r="C713" s="143">
        <f t="shared" si="629"/>
        <v>1</v>
      </c>
      <c r="D713" s="149" t="s">
        <v>120</v>
      </c>
      <c r="E713" s="38" t="s">
        <v>54</v>
      </c>
      <c r="F713" s="168">
        <f t="shared" ref="F713:P713" si="634">F$10*$E706</f>
        <v>0</v>
      </c>
      <c r="G713" s="186">
        <f t="shared" si="634"/>
        <v>0</v>
      </c>
      <c r="H713" s="186">
        <f t="shared" si="634"/>
        <v>0</v>
      </c>
      <c r="I713" s="186">
        <f t="shared" si="634"/>
        <v>0</v>
      </c>
      <c r="J713" s="186">
        <f t="shared" si="634"/>
        <v>0</v>
      </c>
      <c r="K713" s="186">
        <f t="shared" si="634"/>
        <v>0</v>
      </c>
      <c r="L713" s="186">
        <f t="shared" si="634"/>
        <v>0</v>
      </c>
      <c r="M713" s="186">
        <f t="shared" si="634"/>
        <v>0</v>
      </c>
      <c r="N713" s="186">
        <f t="shared" si="634"/>
        <v>0</v>
      </c>
      <c r="O713" s="186">
        <f t="shared" si="634"/>
        <v>0</v>
      </c>
      <c r="P713" s="186">
        <f t="shared" si="634"/>
        <v>0</v>
      </c>
      <c r="Q713" s="189">
        <f t="shared" si="632"/>
        <v>0</v>
      </c>
    </row>
    <row r="714" spans="3:17" ht="18.75" x14ac:dyDescent="0.3">
      <c r="C714" s="143">
        <f t="shared" si="629"/>
        <v>1</v>
      </c>
      <c r="D714" s="149" t="s">
        <v>121</v>
      </c>
      <c r="E714" s="38" t="s">
        <v>53</v>
      </c>
      <c r="F714" s="168">
        <f t="shared" ref="F714:P714" si="635">F$11*$E706</f>
        <v>0</v>
      </c>
      <c r="G714" s="186">
        <f t="shared" si="635"/>
        <v>0</v>
      </c>
      <c r="H714" s="186">
        <f t="shared" si="635"/>
        <v>0</v>
      </c>
      <c r="I714" s="186">
        <f t="shared" si="635"/>
        <v>0</v>
      </c>
      <c r="J714" s="186">
        <f t="shared" si="635"/>
        <v>0</v>
      </c>
      <c r="K714" s="186">
        <f t="shared" si="635"/>
        <v>0</v>
      </c>
      <c r="L714" s="186">
        <f t="shared" si="635"/>
        <v>0</v>
      </c>
      <c r="M714" s="186">
        <f t="shared" si="635"/>
        <v>0</v>
      </c>
      <c r="N714" s="186">
        <f t="shared" si="635"/>
        <v>0</v>
      </c>
      <c r="O714" s="186">
        <f t="shared" si="635"/>
        <v>0</v>
      </c>
      <c r="P714" s="186">
        <f t="shared" si="635"/>
        <v>0</v>
      </c>
      <c r="Q714" s="189">
        <f t="shared" si="632"/>
        <v>0</v>
      </c>
    </row>
    <row r="715" spans="3:17" ht="18.75" x14ac:dyDescent="0.3">
      <c r="C715" s="143">
        <f t="shared" si="629"/>
        <v>1</v>
      </c>
      <c r="D715" s="149" t="s">
        <v>122</v>
      </c>
      <c r="E715" s="38" t="s">
        <v>52</v>
      </c>
      <c r="F715" s="168">
        <f t="shared" ref="F715:P715" si="636">F$12*$E706</f>
        <v>0</v>
      </c>
      <c r="G715" s="186">
        <f t="shared" si="636"/>
        <v>0</v>
      </c>
      <c r="H715" s="186">
        <f t="shared" si="636"/>
        <v>0</v>
      </c>
      <c r="I715" s="186">
        <f t="shared" si="636"/>
        <v>0</v>
      </c>
      <c r="J715" s="186">
        <f t="shared" si="636"/>
        <v>0</v>
      </c>
      <c r="K715" s="186">
        <f t="shared" si="636"/>
        <v>0</v>
      </c>
      <c r="L715" s="186">
        <f t="shared" si="636"/>
        <v>0</v>
      </c>
      <c r="M715" s="186">
        <f t="shared" si="636"/>
        <v>0</v>
      </c>
      <c r="N715" s="186">
        <f t="shared" si="636"/>
        <v>0</v>
      </c>
      <c r="O715" s="186">
        <f t="shared" si="636"/>
        <v>0</v>
      </c>
      <c r="P715" s="186">
        <f t="shared" si="636"/>
        <v>0</v>
      </c>
      <c r="Q715" s="189">
        <f t="shared" si="632"/>
        <v>0</v>
      </c>
    </row>
    <row r="716" spans="3:17" ht="18.75" x14ac:dyDescent="0.3">
      <c r="C716" s="143">
        <f t="shared" si="629"/>
        <v>1</v>
      </c>
      <c r="D716" s="149" t="s">
        <v>123</v>
      </c>
      <c r="E716" s="38" t="s">
        <v>51</v>
      </c>
      <c r="F716" s="168">
        <f t="shared" ref="F716:P716" si="637">F$13*$E706</f>
        <v>0</v>
      </c>
      <c r="G716" s="186">
        <f t="shared" si="637"/>
        <v>0</v>
      </c>
      <c r="H716" s="186">
        <f t="shared" si="637"/>
        <v>0</v>
      </c>
      <c r="I716" s="186">
        <f t="shared" si="637"/>
        <v>0</v>
      </c>
      <c r="J716" s="186">
        <f t="shared" si="637"/>
        <v>0</v>
      </c>
      <c r="K716" s="186">
        <f t="shared" si="637"/>
        <v>0</v>
      </c>
      <c r="L716" s="186">
        <f t="shared" si="637"/>
        <v>0</v>
      </c>
      <c r="M716" s="186">
        <f t="shared" si="637"/>
        <v>0</v>
      </c>
      <c r="N716" s="186">
        <f t="shared" si="637"/>
        <v>0</v>
      </c>
      <c r="O716" s="186">
        <f t="shared" si="637"/>
        <v>0</v>
      </c>
      <c r="P716" s="186">
        <f t="shared" si="637"/>
        <v>0</v>
      </c>
      <c r="Q716" s="189">
        <f t="shared" si="632"/>
        <v>0</v>
      </c>
    </row>
    <row r="717" spans="3:17" ht="19.5" thickBot="1" x14ac:dyDescent="0.35">
      <c r="C717" s="143">
        <f t="shared" si="629"/>
        <v>1</v>
      </c>
      <c r="D717" s="149" t="s">
        <v>16</v>
      </c>
      <c r="E717" s="37" t="s">
        <v>50</v>
      </c>
      <c r="F717" s="168">
        <f t="shared" ref="F717:P717" si="638">F$14*$E706</f>
        <v>6.3315265733548912E-2</v>
      </c>
      <c r="G717" s="186">
        <f t="shared" si="638"/>
        <v>114.27159414789924</v>
      </c>
      <c r="H717" s="186">
        <f t="shared" si="638"/>
        <v>2.2266524467765243</v>
      </c>
      <c r="I717" s="186">
        <f t="shared" si="638"/>
        <v>0</v>
      </c>
      <c r="J717" s="186">
        <f t="shared" si="638"/>
        <v>0</v>
      </c>
      <c r="K717" s="186">
        <f t="shared" si="638"/>
        <v>7.9790418053780803</v>
      </c>
      <c r="L717" s="186">
        <f t="shared" si="638"/>
        <v>0</v>
      </c>
      <c r="M717" s="186">
        <f t="shared" si="638"/>
        <v>4.2826313285326987E-3</v>
      </c>
      <c r="N717" s="186">
        <f t="shared" si="638"/>
        <v>0</v>
      </c>
      <c r="O717" s="186">
        <f t="shared" si="638"/>
        <v>0</v>
      </c>
      <c r="P717" s="186">
        <f t="shared" si="638"/>
        <v>7.2141816943993415</v>
      </c>
      <c r="Q717" s="189">
        <f t="shared" si="632"/>
        <v>131.69575272578172</v>
      </c>
    </row>
    <row r="718" spans="3:17" ht="19.5" thickBot="1" x14ac:dyDescent="0.3">
      <c r="C718" s="143">
        <f t="shared" si="629"/>
        <v>1</v>
      </c>
      <c r="D718" s="148" t="s">
        <v>124</v>
      </c>
      <c r="E718" s="147" t="s">
        <v>49</v>
      </c>
      <c r="F718" s="169">
        <f t="shared" ref="F718:Q718" si="639">SUBTOTAL(9,F709:F717)</f>
        <v>1.0154676026667149</v>
      </c>
      <c r="G718" s="170">
        <f t="shared" si="639"/>
        <v>2021.359819435937</v>
      </c>
      <c r="H718" s="170">
        <f t="shared" si="639"/>
        <v>30.977234876316984</v>
      </c>
      <c r="I718" s="170">
        <f t="shared" si="639"/>
        <v>0</v>
      </c>
      <c r="J718" s="170">
        <f t="shared" si="639"/>
        <v>36.638393340981985</v>
      </c>
      <c r="K718" s="170">
        <f t="shared" ref="K718:P718" si="640">SUBTOTAL(9,K709:K717)</f>
        <v>14.285337357133228</v>
      </c>
      <c r="L718" s="170">
        <f t="shared" si="640"/>
        <v>1.6933642106697091</v>
      </c>
      <c r="M718" s="170">
        <f t="shared" si="640"/>
        <v>4.2826313285326987E-3</v>
      </c>
      <c r="N718" s="170">
        <f t="shared" si="640"/>
        <v>0</v>
      </c>
      <c r="O718" s="170">
        <f t="shared" si="640"/>
        <v>0</v>
      </c>
      <c r="P718" s="170">
        <f t="shared" si="640"/>
        <v>7.2141816943993415</v>
      </c>
      <c r="Q718" s="170">
        <f t="shared" si="639"/>
        <v>2112.1726135467666</v>
      </c>
    </row>
    <row r="719" spans="3:17" ht="15.75" hidden="1" thickBot="1" x14ac:dyDescent="0.3"/>
    <row r="720" spans="3:17" ht="45" x14ac:dyDescent="0.25">
      <c r="C720" s="143">
        <f>IF(E720&gt;0,1,0)</f>
        <v>1</v>
      </c>
      <c r="D720" s="163" t="str">
        <f>A54</f>
        <v>Steuben</v>
      </c>
      <c r="E720" s="166">
        <f>SUMIF(A:A,D720,B:B)</f>
        <v>2.7722133530557608E-3</v>
      </c>
      <c r="F720" s="509" t="s">
        <v>97</v>
      </c>
      <c r="G720" s="509" t="s">
        <v>126</v>
      </c>
      <c r="H720" s="509" t="s">
        <v>127</v>
      </c>
      <c r="I720" s="508" t="s">
        <v>128</v>
      </c>
      <c r="J720" s="508" t="s">
        <v>487</v>
      </c>
      <c r="K720" s="508" t="s">
        <v>474</v>
      </c>
      <c r="L720" s="508" t="s">
        <v>475</v>
      </c>
      <c r="M720" s="508" t="s">
        <v>476</v>
      </c>
      <c r="N720" s="508" t="s">
        <v>477</v>
      </c>
      <c r="O720" s="508" t="s">
        <v>478</v>
      </c>
      <c r="P720" s="508" t="s">
        <v>479</v>
      </c>
      <c r="Q720" s="508" t="s">
        <v>129</v>
      </c>
    </row>
    <row r="721" spans="3:17" ht="18.75" x14ac:dyDescent="0.25">
      <c r="C721" s="143">
        <f>C720</f>
        <v>1</v>
      </c>
      <c r="D721" s="160"/>
      <c r="E721" s="159"/>
      <c r="F721" s="49" t="s">
        <v>57</v>
      </c>
      <c r="G721" s="49" t="s">
        <v>56</v>
      </c>
      <c r="H721" s="49" t="s">
        <v>55</v>
      </c>
      <c r="I721" s="49" t="s">
        <v>54</v>
      </c>
      <c r="J721" s="58" t="s">
        <v>53</v>
      </c>
      <c r="K721" s="49" t="s">
        <v>52</v>
      </c>
      <c r="L721" s="49" t="s">
        <v>51</v>
      </c>
      <c r="M721" s="49" t="s">
        <v>50</v>
      </c>
      <c r="N721" s="49" t="s">
        <v>49</v>
      </c>
      <c r="O721" s="49" t="s">
        <v>47</v>
      </c>
      <c r="P721" s="49" t="s">
        <v>77</v>
      </c>
      <c r="Q721" s="573" t="s">
        <v>78</v>
      </c>
    </row>
    <row r="722" spans="3:17" ht="18.75" x14ac:dyDescent="0.25">
      <c r="C722" s="143">
        <f>C721</f>
        <v>1</v>
      </c>
      <c r="D722" s="158" t="s">
        <v>26</v>
      </c>
      <c r="E722" s="157"/>
      <c r="F722" s="156"/>
      <c r="G722" s="156"/>
      <c r="H722" s="156"/>
      <c r="I722" s="155"/>
      <c r="J722" s="154"/>
      <c r="K722" s="154"/>
      <c r="L722" s="154"/>
      <c r="M722" s="154"/>
      <c r="N722" s="154"/>
      <c r="O722" s="154"/>
      <c r="P722" s="154"/>
      <c r="Q722" s="153"/>
    </row>
    <row r="723" spans="3:17" ht="18.75" x14ac:dyDescent="0.25">
      <c r="C723" s="143">
        <f t="shared" ref="C723:C732" si="641">C722</f>
        <v>1</v>
      </c>
      <c r="D723" s="152" t="s">
        <v>105</v>
      </c>
      <c r="E723" s="38" t="s">
        <v>57</v>
      </c>
      <c r="F723" s="168">
        <f t="shared" ref="F723:P723" si="642">F$6*$E720</f>
        <v>5.1840873639964125</v>
      </c>
      <c r="G723" s="186">
        <f t="shared" si="642"/>
        <v>10383.330048410122</v>
      </c>
      <c r="H723" s="186">
        <f t="shared" si="642"/>
        <v>156.53538336164362</v>
      </c>
      <c r="I723" s="186">
        <f t="shared" si="642"/>
        <v>0</v>
      </c>
      <c r="J723" s="186">
        <f t="shared" si="642"/>
        <v>199.48134829757518</v>
      </c>
      <c r="K723" s="186">
        <f t="shared" si="642"/>
        <v>34.335248484272128</v>
      </c>
      <c r="L723" s="186">
        <f t="shared" si="642"/>
        <v>9.2196885589251956</v>
      </c>
      <c r="M723" s="186">
        <f t="shared" si="642"/>
        <v>0</v>
      </c>
      <c r="N723" s="186">
        <f t="shared" si="642"/>
        <v>0</v>
      </c>
      <c r="O723" s="186">
        <f t="shared" si="642"/>
        <v>0</v>
      </c>
      <c r="P723" s="186">
        <f t="shared" si="642"/>
        <v>0</v>
      </c>
      <c r="Q723" s="189">
        <f>SUM(G723:P723)</f>
        <v>10782.901717112538</v>
      </c>
    </row>
    <row r="724" spans="3:17" ht="18.75" x14ac:dyDescent="0.25">
      <c r="C724" s="143">
        <f t="shared" si="641"/>
        <v>1</v>
      </c>
      <c r="D724" s="150" t="s">
        <v>31</v>
      </c>
      <c r="E724" s="38"/>
      <c r="F724" s="167"/>
      <c r="G724" s="185"/>
      <c r="H724" s="185"/>
      <c r="I724" s="187"/>
      <c r="J724" s="188"/>
      <c r="K724" s="188"/>
      <c r="L724" s="188"/>
      <c r="M724" s="188"/>
      <c r="N724" s="188"/>
      <c r="O724" s="188"/>
      <c r="P724" s="188"/>
      <c r="Q724" s="171"/>
    </row>
    <row r="725" spans="3:17" ht="18.75" x14ac:dyDescent="0.3">
      <c r="C725" s="143">
        <f t="shared" si="641"/>
        <v>1</v>
      </c>
      <c r="D725" s="149" t="s">
        <v>118</v>
      </c>
      <c r="E725" s="38" t="s">
        <v>56</v>
      </c>
      <c r="F725" s="168">
        <f t="shared" ref="F725:P725" si="643">F$8*$E720</f>
        <v>0</v>
      </c>
      <c r="G725" s="186">
        <f t="shared" si="643"/>
        <v>0</v>
      </c>
      <c r="H725" s="186">
        <f t="shared" si="643"/>
        <v>0</v>
      </c>
      <c r="I725" s="186">
        <f t="shared" si="643"/>
        <v>0</v>
      </c>
      <c r="J725" s="186">
        <f t="shared" si="643"/>
        <v>0</v>
      </c>
      <c r="K725" s="186">
        <f t="shared" si="643"/>
        <v>0</v>
      </c>
      <c r="L725" s="186">
        <f t="shared" si="643"/>
        <v>0</v>
      </c>
      <c r="M725" s="186">
        <f t="shared" si="643"/>
        <v>0</v>
      </c>
      <c r="N725" s="186">
        <f t="shared" si="643"/>
        <v>0</v>
      </c>
      <c r="O725" s="186">
        <f t="shared" si="643"/>
        <v>0</v>
      </c>
      <c r="P725" s="186">
        <f t="shared" si="643"/>
        <v>0</v>
      </c>
      <c r="Q725" s="189">
        <f t="shared" ref="Q725:Q731" si="644">SUM(G725:P725)</f>
        <v>0</v>
      </c>
    </row>
    <row r="726" spans="3:17" ht="18.75" x14ac:dyDescent="0.3">
      <c r="C726" s="143">
        <f t="shared" si="641"/>
        <v>1</v>
      </c>
      <c r="D726" s="149" t="s">
        <v>119</v>
      </c>
      <c r="E726" s="38" t="s">
        <v>55</v>
      </c>
      <c r="F726" s="168">
        <f t="shared" ref="F726:P726" si="645">F$9*$E720</f>
        <v>0</v>
      </c>
      <c r="G726" s="186">
        <f t="shared" si="645"/>
        <v>0</v>
      </c>
      <c r="H726" s="186">
        <f t="shared" si="645"/>
        <v>0</v>
      </c>
      <c r="I726" s="186">
        <f t="shared" si="645"/>
        <v>0</v>
      </c>
      <c r="J726" s="186">
        <f t="shared" si="645"/>
        <v>0</v>
      </c>
      <c r="K726" s="186">
        <f t="shared" si="645"/>
        <v>0</v>
      </c>
      <c r="L726" s="186">
        <f t="shared" si="645"/>
        <v>0</v>
      </c>
      <c r="M726" s="186">
        <f t="shared" si="645"/>
        <v>0</v>
      </c>
      <c r="N726" s="186">
        <f t="shared" si="645"/>
        <v>0</v>
      </c>
      <c r="O726" s="186">
        <f t="shared" si="645"/>
        <v>0</v>
      </c>
      <c r="P726" s="186">
        <f t="shared" si="645"/>
        <v>0</v>
      </c>
      <c r="Q726" s="189">
        <f t="shared" si="644"/>
        <v>0</v>
      </c>
    </row>
    <row r="727" spans="3:17" ht="18.75" x14ac:dyDescent="0.3">
      <c r="C727" s="143">
        <f t="shared" si="641"/>
        <v>1</v>
      </c>
      <c r="D727" s="149" t="s">
        <v>120</v>
      </c>
      <c r="E727" s="38" t="s">
        <v>54</v>
      </c>
      <c r="F727" s="168">
        <f t="shared" ref="F727:P727" si="646">F$10*$E720</f>
        <v>0</v>
      </c>
      <c r="G727" s="186">
        <f t="shared" si="646"/>
        <v>0</v>
      </c>
      <c r="H727" s="186">
        <f t="shared" si="646"/>
        <v>0</v>
      </c>
      <c r="I727" s="186">
        <f t="shared" si="646"/>
        <v>0</v>
      </c>
      <c r="J727" s="186">
        <f t="shared" si="646"/>
        <v>0</v>
      </c>
      <c r="K727" s="186">
        <f t="shared" si="646"/>
        <v>0</v>
      </c>
      <c r="L727" s="186">
        <f t="shared" si="646"/>
        <v>0</v>
      </c>
      <c r="M727" s="186">
        <f t="shared" si="646"/>
        <v>0</v>
      </c>
      <c r="N727" s="186">
        <f t="shared" si="646"/>
        <v>0</v>
      </c>
      <c r="O727" s="186">
        <f t="shared" si="646"/>
        <v>0</v>
      </c>
      <c r="P727" s="186">
        <f t="shared" si="646"/>
        <v>0</v>
      </c>
      <c r="Q727" s="189">
        <f t="shared" si="644"/>
        <v>0</v>
      </c>
    </row>
    <row r="728" spans="3:17" ht="18.75" x14ac:dyDescent="0.3">
      <c r="C728" s="143">
        <f t="shared" si="641"/>
        <v>1</v>
      </c>
      <c r="D728" s="149" t="s">
        <v>121</v>
      </c>
      <c r="E728" s="38" t="s">
        <v>53</v>
      </c>
      <c r="F728" s="168">
        <f t="shared" ref="F728:P728" si="647">F$11*$E720</f>
        <v>0</v>
      </c>
      <c r="G728" s="186">
        <f t="shared" si="647"/>
        <v>0</v>
      </c>
      <c r="H728" s="186">
        <f t="shared" si="647"/>
        <v>0</v>
      </c>
      <c r="I728" s="186">
        <f t="shared" si="647"/>
        <v>0</v>
      </c>
      <c r="J728" s="186">
        <f t="shared" si="647"/>
        <v>0</v>
      </c>
      <c r="K728" s="186">
        <f t="shared" si="647"/>
        <v>0</v>
      </c>
      <c r="L728" s="186">
        <f t="shared" si="647"/>
        <v>0</v>
      </c>
      <c r="M728" s="186">
        <f t="shared" si="647"/>
        <v>0</v>
      </c>
      <c r="N728" s="186">
        <f t="shared" si="647"/>
        <v>0</v>
      </c>
      <c r="O728" s="186">
        <f t="shared" si="647"/>
        <v>0</v>
      </c>
      <c r="P728" s="186">
        <f t="shared" si="647"/>
        <v>0</v>
      </c>
      <c r="Q728" s="189">
        <f t="shared" si="644"/>
        <v>0</v>
      </c>
    </row>
    <row r="729" spans="3:17" ht="18.75" x14ac:dyDescent="0.3">
      <c r="C729" s="143">
        <f t="shared" si="641"/>
        <v>1</v>
      </c>
      <c r="D729" s="149" t="s">
        <v>122</v>
      </c>
      <c r="E729" s="38" t="s">
        <v>52</v>
      </c>
      <c r="F729" s="168">
        <f t="shared" ref="F729:P729" si="648">F$12*$E720</f>
        <v>0</v>
      </c>
      <c r="G729" s="186">
        <f t="shared" si="648"/>
        <v>0</v>
      </c>
      <c r="H729" s="186">
        <f t="shared" si="648"/>
        <v>0</v>
      </c>
      <c r="I729" s="186">
        <f t="shared" si="648"/>
        <v>0</v>
      </c>
      <c r="J729" s="186">
        <f t="shared" si="648"/>
        <v>0</v>
      </c>
      <c r="K729" s="186">
        <f t="shared" si="648"/>
        <v>0</v>
      </c>
      <c r="L729" s="186">
        <f t="shared" si="648"/>
        <v>0</v>
      </c>
      <c r="M729" s="186">
        <f t="shared" si="648"/>
        <v>0</v>
      </c>
      <c r="N729" s="186">
        <f t="shared" si="648"/>
        <v>0</v>
      </c>
      <c r="O729" s="186">
        <f t="shared" si="648"/>
        <v>0</v>
      </c>
      <c r="P729" s="186">
        <f t="shared" si="648"/>
        <v>0</v>
      </c>
      <c r="Q729" s="189">
        <f t="shared" si="644"/>
        <v>0</v>
      </c>
    </row>
    <row r="730" spans="3:17" ht="18.75" x14ac:dyDescent="0.3">
      <c r="C730" s="143">
        <f t="shared" si="641"/>
        <v>1</v>
      </c>
      <c r="D730" s="149" t="s">
        <v>123</v>
      </c>
      <c r="E730" s="38" t="s">
        <v>51</v>
      </c>
      <c r="F730" s="168">
        <f t="shared" ref="F730:P730" si="649">F$13*$E720</f>
        <v>0</v>
      </c>
      <c r="G730" s="186">
        <f t="shared" si="649"/>
        <v>0</v>
      </c>
      <c r="H730" s="186">
        <f t="shared" si="649"/>
        <v>0</v>
      </c>
      <c r="I730" s="186">
        <f t="shared" si="649"/>
        <v>0</v>
      </c>
      <c r="J730" s="186">
        <f t="shared" si="649"/>
        <v>0</v>
      </c>
      <c r="K730" s="186">
        <f t="shared" si="649"/>
        <v>0</v>
      </c>
      <c r="L730" s="186">
        <f t="shared" si="649"/>
        <v>0</v>
      </c>
      <c r="M730" s="186">
        <f t="shared" si="649"/>
        <v>0</v>
      </c>
      <c r="N730" s="186">
        <f t="shared" si="649"/>
        <v>0</v>
      </c>
      <c r="O730" s="186">
        <f t="shared" si="649"/>
        <v>0</v>
      </c>
      <c r="P730" s="186">
        <f t="shared" si="649"/>
        <v>0</v>
      </c>
      <c r="Q730" s="189">
        <f t="shared" si="644"/>
        <v>0</v>
      </c>
    </row>
    <row r="731" spans="3:17" ht="19.5" thickBot="1" x14ac:dyDescent="0.35">
      <c r="C731" s="143">
        <f t="shared" si="641"/>
        <v>1</v>
      </c>
      <c r="D731" s="149" t="s">
        <v>16</v>
      </c>
      <c r="E731" s="37" t="s">
        <v>50</v>
      </c>
      <c r="F731" s="168">
        <f t="shared" ref="F731:P731" si="650">F$14*$E720</f>
        <v>0.34472621271359166</v>
      </c>
      <c r="G731" s="186">
        <f t="shared" si="650"/>
        <v>622.16297151979006</v>
      </c>
      <c r="H731" s="186">
        <f t="shared" si="650"/>
        <v>12.123228989308377</v>
      </c>
      <c r="I731" s="186">
        <f t="shared" si="650"/>
        <v>0</v>
      </c>
      <c r="J731" s="186">
        <f t="shared" si="650"/>
        <v>0</v>
      </c>
      <c r="K731" s="186">
        <f t="shared" si="650"/>
        <v>43.442680541320861</v>
      </c>
      <c r="L731" s="186">
        <f t="shared" si="650"/>
        <v>0</v>
      </c>
      <c r="M731" s="186">
        <f t="shared" si="650"/>
        <v>2.3317208910510628E-2</v>
      </c>
      <c r="N731" s="186">
        <f t="shared" si="650"/>
        <v>0</v>
      </c>
      <c r="O731" s="186">
        <f t="shared" si="650"/>
        <v>0</v>
      </c>
      <c r="P731" s="186">
        <f t="shared" si="650"/>
        <v>39.278324184940786</v>
      </c>
      <c r="Q731" s="189">
        <f t="shared" si="644"/>
        <v>717.03052244427056</v>
      </c>
    </row>
    <row r="732" spans="3:17" ht="19.5" thickBot="1" x14ac:dyDescent="0.3">
      <c r="C732" s="143">
        <f t="shared" si="641"/>
        <v>1</v>
      </c>
      <c r="D732" s="148" t="s">
        <v>124</v>
      </c>
      <c r="E732" s="147" t="s">
        <v>49</v>
      </c>
      <c r="F732" s="169">
        <f t="shared" ref="F732:Q732" si="651">SUBTOTAL(9,F723:F731)</f>
        <v>5.5288135767100037</v>
      </c>
      <c r="G732" s="170">
        <f t="shared" si="651"/>
        <v>11005.493019929912</v>
      </c>
      <c r="H732" s="170">
        <f t="shared" si="651"/>
        <v>168.65861235095201</v>
      </c>
      <c r="I732" s="170">
        <f t="shared" si="651"/>
        <v>0</v>
      </c>
      <c r="J732" s="170">
        <f t="shared" si="651"/>
        <v>199.48134829757518</v>
      </c>
      <c r="K732" s="170">
        <f t="shared" ref="K732:P732" si="652">SUBTOTAL(9,K723:K731)</f>
        <v>77.777929025592982</v>
      </c>
      <c r="L732" s="170">
        <f t="shared" si="652"/>
        <v>9.2196885589251956</v>
      </c>
      <c r="M732" s="170">
        <f t="shared" si="652"/>
        <v>2.3317208910510628E-2</v>
      </c>
      <c r="N732" s="170">
        <f t="shared" si="652"/>
        <v>0</v>
      </c>
      <c r="O732" s="170">
        <f t="shared" si="652"/>
        <v>0</v>
      </c>
      <c r="P732" s="170">
        <f t="shared" si="652"/>
        <v>39.278324184940786</v>
      </c>
      <c r="Q732" s="170">
        <f t="shared" si="651"/>
        <v>11499.932239556809</v>
      </c>
    </row>
    <row r="733" spans="3:17" ht="15.75" hidden="1" thickBot="1" x14ac:dyDescent="0.3"/>
    <row r="734" spans="3:17" ht="45" x14ac:dyDescent="0.25">
      <c r="C734" s="143">
        <f>IF(E734&gt;0,1,0)</f>
        <v>1</v>
      </c>
      <c r="D734" s="163" t="str">
        <f>A55</f>
        <v>Suffolk</v>
      </c>
      <c r="E734" s="166">
        <f>SUMIF(A:A,D734,B:B)</f>
        <v>4.7178453804958088E-2</v>
      </c>
      <c r="F734" s="509" t="s">
        <v>97</v>
      </c>
      <c r="G734" s="509" t="s">
        <v>126</v>
      </c>
      <c r="H734" s="509" t="s">
        <v>127</v>
      </c>
      <c r="I734" s="508" t="s">
        <v>128</v>
      </c>
      <c r="J734" s="508" t="s">
        <v>487</v>
      </c>
      <c r="K734" s="508" t="s">
        <v>474</v>
      </c>
      <c r="L734" s="508" t="s">
        <v>475</v>
      </c>
      <c r="M734" s="508" t="s">
        <v>476</v>
      </c>
      <c r="N734" s="508" t="s">
        <v>477</v>
      </c>
      <c r="O734" s="508" t="s">
        <v>478</v>
      </c>
      <c r="P734" s="508" t="s">
        <v>479</v>
      </c>
      <c r="Q734" s="508" t="s">
        <v>129</v>
      </c>
    </row>
    <row r="735" spans="3:17" ht="18.75" x14ac:dyDescent="0.25">
      <c r="C735" s="143">
        <f>C734</f>
        <v>1</v>
      </c>
      <c r="D735" s="160"/>
      <c r="E735" s="159"/>
      <c r="F735" s="49" t="s">
        <v>57</v>
      </c>
      <c r="G735" s="49" t="s">
        <v>56</v>
      </c>
      <c r="H735" s="49" t="s">
        <v>55</v>
      </c>
      <c r="I735" s="49" t="s">
        <v>54</v>
      </c>
      <c r="J735" s="58" t="s">
        <v>53</v>
      </c>
      <c r="K735" s="49" t="s">
        <v>52</v>
      </c>
      <c r="L735" s="49" t="s">
        <v>51</v>
      </c>
      <c r="M735" s="49" t="s">
        <v>50</v>
      </c>
      <c r="N735" s="49" t="s">
        <v>49</v>
      </c>
      <c r="O735" s="49" t="s">
        <v>47</v>
      </c>
      <c r="P735" s="49" t="s">
        <v>77</v>
      </c>
      <c r="Q735" s="573" t="s">
        <v>78</v>
      </c>
    </row>
    <row r="736" spans="3:17" ht="18.75" x14ac:dyDescent="0.25">
      <c r="C736" s="143">
        <f>C735</f>
        <v>1</v>
      </c>
      <c r="D736" s="158" t="s">
        <v>26</v>
      </c>
      <c r="E736" s="157"/>
      <c r="F736" s="156"/>
      <c r="G736" s="156"/>
      <c r="H736" s="156"/>
      <c r="I736" s="155"/>
      <c r="J736" s="154"/>
      <c r="K736" s="154"/>
      <c r="L736" s="154"/>
      <c r="M736" s="154"/>
      <c r="N736" s="154"/>
      <c r="O736" s="154"/>
      <c r="P736" s="154"/>
      <c r="Q736" s="153"/>
    </row>
    <row r="737" spans="3:17" ht="18.75" x14ac:dyDescent="0.25">
      <c r="C737" s="143">
        <f t="shared" ref="C737:C746" si="653">C736</f>
        <v>1</v>
      </c>
      <c r="D737" s="152" t="s">
        <v>105</v>
      </c>
      <c r="E737" s="38" t="s">
        <v>57</v>
      </c>
      <c r="F737" s="168">
        <f t="shared" ref="F737:P737" si="654">F$6*$E734</f>
        <v>88.224532196837814</v>
      </c>
      <c r="G737" s="186">
        <f t="shared" si="654"/>
        <v>176706.9827041183</v>
      </c>
      <c r="H737" s="186">
        <f t="shared" si="654"/>
        <v>2663.9714957826927</v>
      </c>
      <c r="I737" s="186">
        <f t="shared" si="654"/>
        <v>0</v>
      </c>
      <c r="J737" s="186">
        <f t="shared" si="654"/>
        <v>3394.8402871785052</v>
      </c>
      <c r="K737" s="186">
        <f t="shared" si="654"/>
        <v>584.32873960130837</v>
      </c>
      <c r="L737" s="186">
        <f t="shared" si="654"/>
        <v>156.90374274183935</v>
      </c>
      <c r="M737" s="186">
        <f t="shared" si="654"/>
        <v>0</v>
      </c>
      <c r="N737" s="186">
        <f t="shared" si="654"/>
        <v>0</v>
      </c>
      <c r="O737" s="186">
        <f t="shared" si="654"/>
        <v>0</v>
      </c>
      <c r="P737" s="186">
        <f t="shared" si="654"/>
        <v>0</v>
      </c>
      <c r="Q737" s="189">
        <f>SUM(G737:P737)</f>
        <v>183507.02696942264</v>
      </c>
    </row>
    <row r="738" spans="3:17" ht="18.75" x14ac:dyDescent="0.25">
      <c r="C738" s="143">
        <f t="shared" si="653"/>
        <v>1</v>
      </c>
      <c r="D738" s="150" t="s">
        <v>31</v>
      </c>
      <c r="E738" s="38"/>
      <c r="F738" s="167"/>
      <c r="G738" s="185"/>
      <c r="H738" s="185"/>
      <c r="I738" s="187"/>
      <c r="J738" s="188"/>
      <c r="K738" s="188"/>
      <c r="L738" s="188"/>
      <c r="M738" s="188"/>
      <c r="N738" s="188"/>
      <c r="O738" s="188"/>
      <c r="P738" s="188"/>
      <c r="Q738" s="171"/>
    </row>
    <row r="739" spans="3:17" ht="18.75" x14ac:dyDescent="0.3">
      <c r="C739" s="143">
        <f t="shared" si="653"/>
        <v>1</v>
      </c>
      <c r="D739" s="149" t="s">
        <v>118</v>
      </c>
      <c r="E739" s="38" t="s">
        <v>56</v>
      </c>
      <c r="F739" s="168">
        <f t="shared" ref="F739:P739" si="655">F$8*$E734</f>
        <v>0</v>
      </c>
      <c r="G739" s="186">
        <f t="shared" si="655"/>
        <v>0</v>
      </c>
      <c r="H739" s="186">
        <f t="shared" si="655"/>
        <v>0</v>
      </c>
      <c r="I739" s="186">
        <f t="shared" si="655"/>
        <v>0</v>
      </c>
      <c r="J739" s="186">
        <f t="shared" si="655"/>
        <v>0</v>
      </c>
      <c r="K739" s="186">
        <f t="shared" si="655"/>
        <v>0</v>
      </c>
      <c r="L739" s="186">
        <f t="shared" si="655"/>
        <v>0</v>
      </c>
      <c r="M739" s="186">
        <f t="shared" si="655"/>
        <v>0</v>
      </c>
      <c r="N739" s="186">
        <f t="shared" si="655"/>
        <v>0</v>
      </c>
      <c r="O739" s="186">
        <f t="shared" si="655"/>
        <v>0</v>
      </c>
      <c r="P739" s="186">
        <f t="shared" si="655"/>
        <v>0</v>
      </c>
      <c r="Q739" s="189">
        <f t="shared" ref="Q739:Q745" si="656">SUM(G739:P739)</f>
        <v>0</v>
      </c>
    </row>
    <row r="740" spans="3:17" ht="18.75" x14ac:dyDescent="0.3">
      <c r="C740" s="143">
        <f t="shared" si="653"/>
        <v>1</v>
      </c>
      <c r="D740" s="149" t="s">
        <v>119</v>
      </c>
      <c r="E740" s="38" t="s">
        <v>55</v>
      </c>
      <c r="F740" s="168">
        <f t="shared" ref="F740:P740" si="657">F$9*$E734</f>
        <v>0</v>
      </c>
      <c r="G740" s="186">
        <f t="shared" si="657"/>
        <v>0</v>
      </c>
      <c r="H740" s="186">
        <f t="shared" si="657"/>
        <v>0</v>
      </c>
      <c r="I740" s="186">
        <f t="shared" si="657"/>
        <v>0</v>
      </c>
      <c r="J740" s="186">
        <f t="shared" si="657"/>
        <v>0</v>
      </c>
      <c r="K740" s="186">
        <f t="shared" si="657"/>
        <v>0</v>
      </c>
      <c r="L740" s="186">
        <f t="shared" si="657"/>
        <v>0</v>
      </c>
      <c r="M740" s="186">
        <f t="shared" si="657"/>
        <v>0</v>
      </c>
      <c r="N740" s="186">
        <f t="shared" si="657"/>
        <v>0</v>
      </c>
      <c r="O740" s="186">
        <f t="shared" si="657"/>
        <v>0</v>
      </c>
      <c r="P740" s="186">
        <f t="shared" si="657"/>
        <v>0</v>
      </c>
      <c r="Q740" s="189">
        <f t="shared" si="656"/>
        <v>0</v>
      </c>
    </row>
    <row r="741" spans="3:17" ht="18.75" x14ac:dyDescent="0.3">
      <c r="C741" s="143">
        <f t="shared" si="653"/>
        <v>1</v>
      </c>
      <c r="D741" s="149" t="s">
        <v>120</v>
      </c>
      <c r="E741" s="38" t="s">
        <v>54</v>
      </c>
      <c r="F741" s="168">
        <f t="shared" ref="F741:P741" si="658">F$10*$E734</f>
        <v>0</v>
      </c>
      <c r="G741" s="186">
        <f t="shared" si="658"/>
        <v>0</v>
      </c>
      <c r="H741" s="186">
        <f t="shared" si="658"/>
        <v>0</v>
      </c>
      <c r="I741" s="186">
        <f t="shared" si="658"/>
        <v>0</v>
      </c>
      <c r="J741" s="186">
        <f t="shared" si="658"/>
        <v>0</v>
      </c>
      <c r="K741" s="186">
        <f t="shared" si="658"/>
        <v>0</v>
      </c>
      <c r="L741" s="186">
        <f t="shared" si="658"/>
        <v>0</v>
      </c>
      <c r="M741" s="186">
        <f t="shared" si="658"/>
        <v>0</v>
      </c>
      <c r="N741" s="186">
        <f t="shared" si="658"/>
        <v>0</v>
      </c>
      <c r="O741" s="186">
        <f t="shared" si="658"/>
        <v>0</v>
      </c>
      <c r="P741" s="186">
        <f t="shared" si="658"/>
        <v>0</v>
      </c>
      <c r="Q741" s="189">
        <f t="shared" si="656"/>
        <v>0</v>
      </c>
    </row>
    <row r="742" spans="3:17" ht="18.75" x14ac:dyDescent="0.3">
      <c r="C742" s="143">
        <f t="shared" si="653"/>
        <v>1</v>
      </c>
      <c r="D742" s="149" t="s">
        <v>121</v>
      </c>
      <c r="E742" s="38" t="s">
        <v>53</v>
      </c>
      <c r="F742" s="168">
        <f t="shared" ref="F742:P742" si="659">F$11*$E734</f>
        <v>0</v>
      </c>
      <c r="G742" s="186">
        <f t="shared" si="659"/>
        <v>0</v>
      </c>
      <c r="H742" s="186">
        <f t="shared" si="659"/>
        <v>0</v>
      </c>
      <c r="I742" s="186">
        <f t="shared" si="659"/>
        <v>0</v>
      </c>
      <c r="J742" s="186">
        <f t="shared" si="659"/>
        <v>0</v>
      </c>
      <c r="K742" s="186">
        <f t="shared" si="659"/>
        <v>0</v>
      </c>
      <c r="L742" s="186">
        <f t="shared" si="659"/>
        <v>0</v>
      </c>
      <c r="M742" s="186">
        <f t="shared" si="659"/>
        <v>0</v>
      </c>
      <c r="N742" s="186">
        <f t="shared" si="659"/>
        <v>0</v>
      </c>
      <c r="O742" s="186">
        <f t="shared" si="659"/>
        <v>0</v>
      </c>
      <c r="P742" s="186">
        <f t="shared" si="659"/>
        <v>0</v>
      </c>
      <c r="Q742" s="189">
        <f t="shared" si="656"/>
        <v>0</v>
      </c>
    </row>
    <row r="743" spans="3:17" ht="18.75" x14ac:dyDescent="0.3">
      <c r="C743" s="143">
        <f t="shared" si="653"/>
        <v>1</v>
      </c>
      <c r="D743" s="149" t="s">
        <v>122</v>
      </c>
      <c r="E743" s="38" t="s">
        <v>52</v>
      </c>
      <c r="F743" s="168">
        <f t="shared" ref="F743:P743" si="660">F$12*$E734</f>
        <v>0</v>
      </c>
      <c r="G743" s="186">
        <f t="shared" si="660"/>
        <v>0</v>
      </c>
      <c r="H743" s="186">
        <f t="shared" si="660"/>
        <v>0</v>
      </c>
      <c r="I743" s="186">
        <f t="shared" si="660"/>
        <v>0</v>
      </c>
      <c r="J743" s="186">
        <f t="shared" si="660"/>
        <v>0</v>
      </c>
      <c r="K743" s="186">
        <f t="shared" si="660"/>
        <v>0</v>
      </c>
      <c r="L743" s="186">
        <f t="shared" si="660"/>
        <v>0</v>
      </c>
      <c r="M743" s="186">
        <f t="shared" si="660"/>
        <v>0</v>
      </c>
      <c r="N743" s="186">
        <f t="shared" si="660"/>
        <v>0</v>
      </c>
      <c r="O743" s="186">
        <f t="shared" si="660"/>
        <v>0</v>
      </c>
      <c r="P743" s="186">
        <f t="shared" si="660"/>
        <v>0</v>
      </c>
      <c r="Q743" s="189">
        <f t="shared" si="656"/>
        <v>0</v>
      </c>
    </row>
    <row r="744" spans="3:17" ht="18.75" x14ac:dyDescent="0.3">
      <c r="C744" s="143">
        <f t="shared" si="653"/>
        <v>1</v>
      </c>
      <c r="D744" s="149" t="s">
        <v>123</v>
      </c>
      <c r="E744" s="38" t="s">
        <v>51</v>
      </c>
      <c r="F744" s="168">
        <f t="shared" ref="F744:P744" si="661">F$13*$E734</f>
        <v>0</v>
      </c>
      <c r="G744" s="186">
        <f t="shared" si="661"/>
        <v>0</v>
      </c>
      <c r="H744" s="186">
        <f t="shared" si="661"/>
        <v>0</v>
      </c>
      <c r="I744" s="186">
        <f t="shared" si="661"/>
        <v>0</v>
      </c>
      <c r="J744" s="186">
        <f t="shared" si="661"/>
        <v>0</v>
      </c>
      <c r="K744" s="186">
        <f t="shared" si="661"/>
        <v>0</v>
      </c>
      <c r="L744" s="186">
        <f t="shared" si="661"/>
        <v>0</v>
      </c>
      <c r="M744" s="186">
        <f t="shared" si="661"/>
        <v>0</v>
      </c>
      <c r="N744" s="186">
        <f t="shared" si="661"/>
        <v>0</v>
      </c>
      <c r="O744" s="186">
        <f t="shared" si="661"/>
        <v>0</v>
      </c>
      <c r="P744" s="186">
        <f t="shared" si="661"/>
        <v>0</v>
      </c>
      <c r="Q744" s="189">
        <f t="shared" si="656"/>
        <v>0</v>
      </c>
    </row>
    <row r="745" spans="3:17" ht="19.5" thickBot="1" x14ac:dyDescent="0.35">
      <c r="C745" s="143">
        <f t="shared" si="653"/>
        <v>1</v>
      </c>
      <c r="D745" s="149" t="s">
        <v>16</v>
      </c>
      <c r="E745" s="37" t="s">
        <v>50</v>
      </c>
      <c r="F745" s="168">
        <f t="shared" ref="F745:P745" si="662">F$14*$E734</f>
        <v>5.8666659562617038</v>
      </c>
      <c r="G745" s="186">
        <f t="shared" si="662"/>
        <v>10588.177485923634</v>
      </c>
      <c r="H745" s="186">
        <f t="shared" si="662"/>
        <v>206.31716466142768</v>
      </c>
      <c r="I745" s="186">
        <f t="shared" si="662"/>
        <v>0</v>
      </c>
      <c r="J745" s="186">
        <f t="shared" si="662"/>
        <v>0</v>
      </c>
      <c r="K745" s="186">
        <f t="shared" si="662"/>
        <v>739.32206365829177</v>
      </c>
      <c r="L745" s="186">
        <f t="shared" si="662"/>
        <v>0</v>
      </c>
      <c r="M745" s="186">
        <f t="shared" si="662"/>
        <v>0.39682005796288933</v>
      </c>
      <c r="N745" s="186">
        <f t="shared" si="662"/>
        <v>0</v>
      </c>
      <c r="O745" s="186">
        <f t="shared" si="662"/>
        <v>0</v>
      </c>
      <c r="P745" s="186">
        <f t="shared" si="662"/>
        <v>668.4516547230279</v>
      </c>
      <c r="Q745" s="189">
        <f t="shared" si="656"/>
        <v>12202.665189024345</v>
      </c>
    </row>
    <row r="746" spans="3:17" ht="19.5" thickBot="1" x14ac:dyDescent="0.3">
      <c r="C746" s="143">
        <f t="shared" si="653"/>
        <v>1</v>
      </c>
      <c r="D746" s="148" t="s">
        <v>124</v>
      </c>
      <c r="E746" s="147" t="s">
        <v>49</v>
      </c>
      <c r="F746" s="169">
        <f t="shared" ref="F746:Q746" si="663">SUBTOTAL(9,F737:F745)</f>
        <v>94.091198153099512</v>
      </c>
      <c r="G746" s="170">
        <f t="shared" si="663"/>
        <v>187295.16019004193</v>
      </c>
      <c r="H746" s="170">
        <f t="shared" si="663"/>
        <v>2870.2886604441205</v>
      </c>
      <c r="I746" s="170">
        <f t="shared" si="663"/>
        <v>0</v>
      </c>
      <c r="J746" s="170">
        <f t="shared" si="663"/>
        <v>3394.8402871785052</v>
      </c>
      <c r="K746" s="170">
        <f t="shared" ref="K746:P746" si="664">SUBTOTAL(9,K737:K745)</f>
        <v>1323.6508032596003</v>
      </c>
      <c r="L746" s="170">
        <f t="shared" si="664"/>
        <v>156.90374274183935</v>
      </c>
      <c r="M746" s="170">
        <f t="shared" si="664"/>
        <v>0.39682005796288933</v>
      </c>
      <c r="N746" s="170">
        <f t="shared" si="664"/>
        <v>0</v>
      </c>
      <c r="O746" s="170">
        <f t="shared" si="664"/>
        <v>0</v>
      </c>
      <c r="P746" s="170">
        <f t="shared" si="664"/>
        <v>668.4516547230279</v>
      </c>
      <c r="Q746" s="170">
        <f t="shared" si="663"/>
        <v>195709.692158447</v>
      </c>
    </row>
    <row r="747" spans="3:17" ht="15.75" hidden="1" thickBot="1" x14ac:dyDescent="0.3"/>
    <row r="748" spans="3:17" ht="45" x14ac:dyDescent="0.25">
      <c r="C748" s="143">
        <f>IF(E748&gt;0,1,0)</f>
        <v>1</v>
      </c>
      <c r="D748" s="163" t="str">
        <f>A56</f>
        <v>Sullivan</v>
      </c>
      <c r="E748" s="166">
        <f>SUMIF(A:A,D748,B:B)</f>
        <v>2.5908175693671806E-3</v>
      </c>
      <c r="F748" s="509" t="s">
        <v>97</v>
      </c>
      <c r="G748" s="509" t="s">
        <v>126</v>
      </c>
      <c r="H748" s="509" t="s">
        <v>127</v>
      </c>
      <c r="I748" s="508" t="s">
        <v>128</v>
      </c>
      <c r="J748" s="508" t="s">
        <v>487</v>
      </c>
      <c r="K748" s="508" t="s">
        <v>474</v>
      </c>
      <c r="L748" s="508" t="s">
        <v>475</v>
      </c>
      <c r="M748" s="508" t="s">
        <v>476</v>
      </c>
      <c r="N748" s="508" t="s">
        <v>477</v>
      </c>
      <c r="O748" s="508" t="s">
        <v>478</v>
      </c>
      <c r="P748" s="508" t="s">
        <v>479</v>
      </c>
      <c r="Q748" s="508" t="s">
        <v>129</v>
      </c>
    </row>
    <row r="749" spans="3:17" ht="18.75" x14ac:dyDescent="0.25">
      <c r="C749" s="143">
        <f>C748</f>
        <v>1</v>
      </c>
      <c r="D749" s="160"/>
      <c r="E749" s="159"/>
      <c r="F749" s="49" t="s">
        <v>57</v>
      </c>
      <c r="G749" s="49" t="s">
        <v>56</v>
      </c>
      <c r="H749" s="49" t="s">
        <v>55</v>
      </c>
      <c r="I749" s="49" t="s">
        <v>54</v>
      </c>
      <c r="J749" s="58" t="s">
        <v>53</v>
      </c>
      <c r="K749" s="49" t="s">
        <v>52</v>
      </c>
      <c r="L749" s="49" t="s">
        <v>51</v>
      </c>
      <c r="M749" s="49" t="s">
        <v>50</v>
      </c>
      <c r="N749" s="49" t="s">
        <v>49</v>
      </c>
      <c r="O749" s="49" t="s">
        <v>47</v>
      </c>
      <c r="P749" s="49" t="s">
        <v>77</v>
      </c>
      <c r="Q749" s="573" t="s">
        <v>78</v>
      </c>
    </row>
    <row r="750" spans="3:17" ht="18.75" x14ac:dyDescent="0.25">
      <c r="C750" s="143">
        <f>C749</f>
        <v>1</v>
      </c>
      <c r="D750" s="158" t="s">
        <v>26</v>
      </c>
      <c r="E750" s="157"/>
      <c r="F750" s="156"/>
      <c r="G750" s="156"/>
      <c r="H750" s="156"/>
      <c r="I750" s="155"/>
      <c r="J750" s="154"/>
      <c r="K750" s="154"/>
      <c r="L750" s="154"/>
      <c r="M750" s="154"/>
      <c r="N750" s="154"/>
      <c r="O750" s="154"/>
      <c r="P750" s="154"/>
      <c r="Q750" s="153"/>
    </row>
    <row r="751" spans="3:17" ht="18.75" x14ac:dyDescent="0.25">
      <c r="C751" s="143">
        <f t="shared" ref="C751:C760" si="665">C750</f>
        <v>1</v>
      </c>
      <c r="D751" s="152" t="s">
        <v>105</v>
      </c>
      <c r="E751" s="38" t="s">
        <v>57</v>
      </c>
      <c r="F751" s="168">
        <f t="shared" ref="F751:P751" si="666">F$6*$E748</f>
        <v>4.8448740819214091</v>
      </c>
      <c r="G751" s="186">
        <f t="shared" si="666"/>
        <v>9703.9118177200489</v>
      </c>
      <c r="H751" s="186">
        <f t="shared" si="666"/>
        <v>146.29271624925181</v>
      </c>
      <c r="I751" s="186">
        <f t="shared" si="666"/>
        <v>0</v>
      </c>
      <c r="J751" s="186">
        <f t="shared" si="666"/>
        <v>186.42857389050903</v>
      </c>
      <c r="K751" s="186">
        <f t="shared" si="666"/>
        <v>32.088571005397213</v>
      </c>
      <c r="L751" s="186">
        <f t="shared" si="666"/>
        <v>8.6164115313229015</v>
      </c>
      <c r="M751" s="186">
        <f t="shared" si="666"/>
        <v>0</v>
      </c>
      <c r="N751" s="186">
        <f t="shared" si="666"/>
        <v>0</v>
      </c>
      <c r="O751" s="186">
        <f t="shared" si="666"/>
        <v>0</v>
      </c>
      <c r="P751" s="186">
        <f t="shared" si="666"/>
        <v>0</v>
      </c>
      <c r="Q751" s="189">
        <f>SUM(G751:P751)</f>
        <v>10077.33809039653</v>
      </c>
    </row>
    <row r="752" spans="3:17" ht="18.75" x14ac:dyDescent="0.25">
      <c r="C752" s="143">
        <f t="shared" si="665"/>
        <v>1</v>
      </c>
      <c r="D752" s="150" t="s">
        <v>31</v>
      </c>
      <c r="E752" s="38"/>
      <c r="F752" s="167"/>
      <c r="G752" s="185"/>
      <c r="H752" s="185"/>
      <c r="I752" s="187"/>
      <c r="J752" s="188"/>
      <c r="K752" s="188"/>
      <c r="L752" s="188"/>
      <c r="M752" s="188"/>
      <c r="N752" s="188"/>
      <c r="O752" s="188"/>
      <c r="P752" s="188"/>
      <c r="Q752" s="171"/>
    </row>
    <row r="753" spans="3:17" ht="18.75" x14ac:dyDescent="0.3">
      <c r="C753" s="143">
        <f t="shared" si="665"/>
        <v>1</v>
      </c>
      <c r="D753" s="149" t="s">
        <v>118</v>
      </c>
      <c r="E753" s="38" t="s">
        <v>56</v>
      </c>
      <c r="F753" s="168">
        <f t="shared" ref="F753:P753" si="667">F$8*$E748</f>
        <v>0</v>
      </c>
      <c r="G753" s="186">
        <f t="shared" si="667"/>
        <v>0</v>
      </c>
      <c r="H753" s="186">
        <f t="shared" si="667"/>
        <v>0</v>
      </c>
      <c r="I753" s="186">
        <f t="shared" si="667"/>
        <v>0</v>
      </c>
      <c r="J753" s="186">
        <f t="shared" si="667"/>
        <v>0</v>
      </c>
      <c r="K753" s="186">
        <f t="shared" si="667"/>
        <v>0</v>
      </c>
      <c r="L753" s="186">
        <f t="shared" si="667"/>
        <v>0</v>
      </c>
      <c r="M753" s="186">
        <f t="shared" si="667"/>
        <v>0</v>
      </c>
      <c r="N753" s="186">
        <f t="shared" si="667"/>
        <v>0</v>
      </c>
      <c r="O753" s="186">
        <f t="shared" si="667"/>
        <v>0</v>
      </c>
      <c r="P753" s="186">
        <f t="shared" si="667"/>
        <v>0</v>
      </c>
      <c r="Q753" s="189">
        <f t="shared" ref="Q753:Q759" si="668">SUM(G753:P753)</f>
        <v>0</v>
      </c>
    </row>
    <row r="754" spans="3:17" ht="18.75" x14ac:dyDescent="0.3">
      <c r="C754" s="143">
        <f t="shared" si="665"/>
        <v>1</v>
      </c>
      <c r="D754" s="149" t="s">
        <v>119</v>
      </c>
      <c r="E754" s="38" t="s">
        <v>55</v>
      </c>
      <c r="F754" s="168">
        <f t="shared" ref="F754:P754" si="669">F$9*$E748</f>
        <v>0</v>
      </c>
      <c r="G754" s="186">
        <f t="shared" si="669"/>
        <v>0</v>
      </c>
      <c r="H754" s="186">
        <f t="shared" si="669"/>
        <v>0</v>
      </c>
      <c r="I754" s="186">
        <f t="shared" si="669"/>
        <v>0</v>
      </c>
      <c r="J754" s="186">
        <f t="shared" si="669"/>
        <v>0</v>
      </c>
      <c r="K754" s="186">
        <f t="shared" si="669"/>
        <v>0</v>
      </c>
      <c r="L754" s="186">
        <f t="shared" si="669"/>
        <v>0</v>
      </c>
      <c r="M754" s="186">
        <f t="shared" si="669"/>
        <v>0</v>
      </c>
      <c r="N754" s="186">
        <f t="shared" si="669"/>
        <v>0</v>
      </c>
      <c r="O754" s="186">
        <f t="shared" si="669"/>
        <v>0</v>
      </c>
      <c r="P754" s="186">
        <f t="shared" si="669"/>
        <v>0</v>
      </c>
      <c r="Q754" s="189">
        <f t="shared" si="668"/>
        <v>0</v>
      </c>
    </row>
    <row r="755" spans="3:17" ht="18.75" x14ac:dyDescent="0.3">
      <c r="C755" s="143">
        <f t="shared" si="665"/>
        <v>1</v>
      </c>
      <c r="D755" s="149" t="s">
        <v>120</v>
      </c>
      <c r="E755" s="38" t="s">
        <v>54</v>
      </c>
      <c r="F755" s="168">
        <f t="shared" ref="F755:P755" si="670">F$10*$E748</f>
        <v>0</v>
      </c>
      <c r="G755" s="186">
        <f t="shared" si="670"/>
        <v>0</v>
      </c>
      <c r="H755" s="186">
        <f t="shared" si="670"/>
        <v>0</v>
      </c>
      <c r="I755" s="186">
        <f t="shared" si="670"/>
        <v>0</v>
      </c>
      <c r="J755" s="186">
        <f t="shared" si="670"/>
        <v>0</v>
      </c>
      <c r="K755" s="186">
        <f t="shared" si="670"/>
        <v>0</v>
      </c>
      <c r="L755" s="186">
        <f t="shared" si="670"/>
        <v>0</v>
      </c>
      <c r="M755" s="186">
        <f t="shared" si="670"/>
        <v>0</v>
      </c>
      <c r="N755" s="186">
        <f t="shared" si="670"/>
        <v>0</v>
      </c>
      <c r="O755" s="186">
        <f t="shared" si="670"/>
        <v>0</v>
      </c>
      <c r="P755" s="186">
        <f t="shared" si="670"/>
        <v>0</v>
      </c>
      <c r="Q755" s="189">
        <f t="shared" si="668"/>
        <v>0</v>
      </c>
    </row>
    <row r="756" spans="3:17" ht="18.75" x14ac:dyDescent="0.3">
      <c r="C756" s="143">
        <f t="shared" si="665"/>
        <v>1</v>
      </c>
      <c r="D756" s="149" t="s">
        <v>121</v>
      </c>
      <c r="E756" s="38" t="s">
        <v>53</v>
      </c>
      <c r="F756" s="168">
        <f t="shared" ref="F756:P756" si="671">F$11*$E748</f>
        <v>0</v>
      </c>
      <c r="G756" s="186">
        <f t="shared" si="671"/>
        <v>0</v>
      </c>
      <c r="H756" s="186">
        <f t="shared" si="671"/>
        <v>0</v>
      </c>
      <c r="I756" s="186">
        <f t="shared" si="671"/>
        <v>0</v>
      </c>
      <c r="J756" s="186">
        <f t="shared" si="671"/>
        <v>0</v>
      </c>
      <c r="K756" s="186">
        <f t="shared" si="671"/>
        <v>0</v>
      </c>
      <c r="L756" s="186">
        <f t="shared" si="671"/>
        <v>0</v>
      </c>
      <c r="M756" s="186">
        <f t="shared" si="671"/>
        <v>0</v>
      </c>
      <c r="N756" s="186">
        <f t="shared" si="671"/>
        <v>0</v>
      </c>
      <c r="O756" s="186">
        <f t="shared" si="671"/>
        <v>0</v>
      </c>
      <c r="P756" s="186">
        <f t="shared" si="671"/>
        <v>0</v>
      </c>
      <c r="Q756" s="189">
        <f t="shared" si="668"/>
        <v>0</v>
      </c>
    </row>
    <row r="757" spans="3:17" ht="18.75" x14ac:dyDescent="0.3">
      <c r="C757" s="143">
        <f t="shared" si="665"/>
        <v>1</v>
      </c>
      <c r="D757" s="149" t="s">
        <v>122</v>
      </c>
      <c r="E757" s="38" t="s">
        <v>52</v>
      </c>
      <c r="F757" s="168">
        <f t="shared" ref="F757:P757" si="672">F$12*$E748</f>
        <v>0</v>
      </c>
      <c r="G757" s="186">
        <f t="shared" si="672"/>
        <v>0</v>
      </c>
      <c r="H757" s="186">
        <f t="shared" si="672"/>
        <v>0</v>
      </c>
      <c r="I757" s="186">
        <f t="shared" si="672"/>
        <v>0</v>
      </c>
      <c r="J757" s="186">
        <f t="shared" si="672"/>
        <v>0</v>
      </c>
      <c r="K757" s="186">
        <f t="shared" si="672"/>
        <v>0</v>
      </c>
      <c r="L757" s="186">
        <f t="shared" si="672"/>
        <v>0</v>
      </c>
      <c r="M757" s="186">
        <f t="shared" si="672"/>
        <v>0</v>
      </c>
      <c r="N757" s="186">
        <f t="shared" si="672"/>
        <v>0</v>
      </c>
      <c r="O757" s="186">
        <f t="shared" si="672"/>
        <v>0</v>
      </c>
      <c r="P757" s="186">
        <f t="shared" si="672"/>
        <v>0</v>
      </c>
      <c r="Q757" s="189">
        <f t="shared" si="668"/>
        <v>0</v>
      </c>
    </row>
    <row r="758" spans="3:17" ht="18.75" x14ac:dyDescent="0.3">
      <c r="C758" s="143">
        <f t="shared" si="665"/>
        <v>1</v>
      </c>
      <c r="D758" s="149" t="s">
        <v>123</v>
      </c>
      <c r="E758" s="38" t="s">
        <v>51</v>
      </c>
      <c r="F758" s="168">
        <f t="shared" ref="F758:P758" si="673">F$13*$E748</f>
        <v>0</v>
      </c>
      <c r="G758" s="186">
        <f t="shared" si="673"/>
        <v>0</v>
      </c>
      <c r="H758" s="186">
        <f t="shared" si="673"/>
        <v>0</v>
      </c>
      <c r="I758" s="186">
        <f t="shared" si="673"/>
        <v>0</v>
      </c>
      <c r="J758" s="186">
        <f t="shared" si="673"/>
        <v>0</v>
      </c>
      <c r="K758" s="186">
        <f t="shared" si="673"/>
        <v>0</v>
      </c>
      <c r="L758" s="186">
        <f t="shared" si="673"/>
        <v>0</v>
      </c>
      <c r="M758" s="186">
        <f t="shared" si="673"/>
        <v>0</v>
      </c>
      <c r="N758" s="186">
        <f t="shared" si="673"/>
        <v>0</v>
      </c>
      <c r="O758" s="186">
        <f t="shared" si="673"/>
        <v>0</v>
      </c>
      <c r="P758" s="186">
        <f t="shared" si="673"/>
        <v>0</v>
      </c>
      <c r="Q758" s="189">
        <f t="shared" si="668"/>
        <v>0</v>
      </c>
    </row>
    <row r="759" spans="3:17" ht="19.5" thickBot="1" x14ac:dyDescent="0.35">
      <c r="C759" s="143">
        <f t="shared" si="665"/>
        <v>1</v>
      </c>
      <c r="D759" s="149" t="s">
        <v>16</v>
      </c>
      <c r="E759" s="37" t="s">
        <v>50</v>
      </c>
      <c r="F759" s="168">
        <f t="shared" ref="F759:P759" si="674">F$14*$E748</f>
        <v>0.3221695500222983</v>
      </c>
      <c r="G759" s="186">
        <f t="shared" si="674"/>
        <v>581.45263453348014</v>
      </c>
      <c r="H759" s="186">
        <f t="shared" si="674"/>
        <v>11.329962980064291</v>
      </c>
      <c r="I759" s="186">
        <f t="shared" si="674"/>
        <v>0</v>
      </c>
      <c r="J759" s="186">
        <f t="shared" si="674"/>
        <v>0</v>
      </c>
      <c r="K759" s="186">
        <f t="shared" si="674"/>
        <v>40.600071377188812</v>
      </c>
      <c r="L759" s="186">
        <f t="shared" si="674"/>
        <v>0</v>
      </c>
      <c r="M759" s="186">
        <f t="shared" si="674"/>
        <v>2.1791480964972035E-2</v>
      </c>
      <c r="N759" s="186">
        <f t="shared" si="674"/>
        <v>0</v>
      </c>
      <c r="O759" s="186">
        <f t="shared" si="674"/>
        <v>0</v>
      </c>
      <c r="P759" s="186">
        <f t="shared" si="674"/>
        <v>36.70820367468216</v>
      </c>
      <c r="Q759" s="189">
        <f t="shared" si="668"/>
        <v>670.11266404638036</v>
      </c>
    </row>
    <row r="760" spans="3:17" ht="19.5" thickBot="1" x14ac:dyDescent="0.3">
      <c r="C760" s="143">
        <f t="shared" si="665"/>
        <v>1</v>
      </c>
      <c r="D760" s="148" t="s">
        <v>124</v>
      </c>
      <c r="E760" s="147" t="s">
        <v>49</v>
      </c>
      <c r="F760" s="169">
        <f t="shared" ref="F760:Q760" si="675">SUBTOTAL(9,F751:F759)</f>
        <v>5.1670436319437076</v>
      </c>
      <c r="G760" s="170">
        <f t="shared" si="675"/>
        <v>10285.364452253529</v>
      </c>
      <c r="H760" s="170">
        <f t="shared" si="675"/>
        <v>157.62267922931611</v>
      </c>
      <c r="I760" s="170">
        <f t="shared" si="675"/>
        <v>0</v>
      </c>
      <c r="J760" s="170">
        <f t="shared" si="675"/>
        <v>186.42857389050903</v>
      </c>
      <c r="K760" s="170">
        <f t="shared" ref="K760:P760" si="676">SUBTOTAL(9,K751:K759)</f>
        <v>72.688642382586025</v>
      </c>
      <c r="L760" s="170">
        <f t="shared" si="676"/>
        <v>8.6164115313229015</v>
      </c>
      <c r="M760" s="170">
        <f t="shared" si="676"/>
        <v>2.1791480964972035E-2</v>
      </c>
      <c r="N760" s="170">
        <f t="shared" si="676"/>
        <v>0</v>
      </c>
      <c r="O760" s="170">
        <f t="shared" si="676"/>
        <v>0</v>
      </c>
      <c r="P760" s="170">
        <f t="shared" si="676"/>
        <v>36.70820367468216</v>
      </c>
      <c r="Q760" s="170">
        <f t="shared" si="675"/>
        <v>10747.450754442911</v>
      </c>
    </row>
    <row r="761" spans="3:17" ht="15.75" hidden="1" thickBot="1" x14ac:dyDescent="0.3"/>
    <row r="762" spans="3:17" ht="45" x14ac:dyDescent="0.25">
      <c r="C762" s="143">
        <f>IF(E762&gt;0,1,0)</f>
        <v>1</v>
      </c>
      <c r="D762" s="163" t="str">
        <f>A57</f>
        <v>Tioga</v>
      </c>
      <c r="E762" s="166">
        <f>SUMIF(A:A,D762,B:B)</f>
        <v>1.4345881213713213E-3</v>
      </c>
      <c r="F762" s="509" t="s">
        <v>97</v>
      </c>
      <c r="G762" s="509" t="s">
        <v>126</v>
      </c>
      <c r="H762" s="509" t="s">
        <v>127</v>
      </c>
      <c r="I762" s="508" t="s">
        <v>128</v>
      </c>
      <c r="J762" s="508" t="s">
        <v>487</v>
      </c>
      <c r="K762" s="508" t="s">
        <v>474</v>
      </c>
      <c r="L762" s="508" t="s">
        <v>475</v>
      </c>
      <c r="M762" s="508" t="s">
        <v>476</v>
      </c>
      <c r="N762" s="508" t="s">
        <v>477</v>
      </c>
      <c r="O762" s="508" t="s">
        <v>478</v>
      </c>
      <c r="P762" s="508" t="s">
        <v>479</v>
      </c>
      <c r="Q762" s="508" t="s">
        <v>129</v>
      </c>
    </row>
    <row r="763" spans="3:17" ht="18.75" x14ac:dyDescent="0.25">
      <c r="C763" s="143">
        <f>C762</f>
        <v>1</v>
      </c>
      <c r="D763" s="160"/>
      <c r="E763" s="159"/>
      <c r="F763" s="49" t="s">
        <v>57</v>
      </c>
      <c r="G763" s="49" t="s">
        <v>56</v>
      </c>
      <c r="H763" s="49" t="s">
        <v>55</v>
      </c>
      <c r="I763" s="49" t="s">
        <v>54</v>
      </c>
      <c r="J763" s="58" t="s">
        <v>53</v>
      </c>
      <c r="K763" s="49" t="s">
        <v>52</v>
      </c>
      <c r="L763" s="49" t="s">
        <v>51</v>
      </c>
      <c r="M763" s="49" t="s">
        <v>50</v>
      </c>
      <c r="N763" s="49" t="s">
        <v>49</v>
      </c>
      <c r="O763" s="49" t="s">
        <v>47</v>
      </c>
      <c r="P763" s="49" t="s">
        <v>77</v>
      </c>
      <c r="Q763" s="573" t="s">
        <v>78</v>
      </c>
    </row>
    <row r="764" spans="3:17" ht="18.75" x14ac:dyDescent="0.25">
      <c r="C764" s="143">
        <f>C763</f>
        <v>1</v>
      </c>
      <c r="D764" s="158" t="s">
        <v>26</v>
      </c>
      <c r="E764" s="157"/>
      <c r="F764" s="156"/>
      <c r="G764" s="156"/>
      <c r="H764" s="156"/>
      <c r="I764" s="155"/>
      <c r="J764" s="154"/>
      <c r="K764" s="154"/>
      <c r="L764" s="154"/>
      <c r="M764" s="154"/>
      <c r="N764" s="154"/>
      <c r="O764" s="154"/>
      <c r="P764" s="154"/>
      <c r="Q764" s="153"/>
    </row>
    <row r="765" spans="3:17" ht="18.75" x14ac:dyDescent="0.25">
      <c r="C765" s="143">
        <f t="shared" ref="C765:C774" si="677">C764</f>
        <v>1</v>
      </c>
      <c r="D765" s="152" t="s">
        <v>105</v>
      </c>
      <c r="E765" s="38" t="s">
        <v>57</v>
      </c>
      <c r="F765" s="168">
        <f t="shared" ref="F765:P765" si="678">F$6*$E762</f>
        <v>2.6827048301829706</v>
      </c>
      <c r="G765" s="186">
        <f t="shared" si="678"/>
        <v>5373.2523621631399</v>
      </c>
      <c r="H765" s="186">
        <f t="shared" si="678"/>
        <v>81.005237673134815</v>
      </c>
      <c r="I765" s="186">
        <f t="shared" si="678"/>
        <v>0</v>
      </c>
      <c r="J765" s="186">
        <f t="shared" si="678"/>
        <v>103.22927432240834</v>
      </c>
      <c r="K765" s="186">
        <f t="shared" si="678"/>
        <v>17.7680911772445</v>
      </c>
      <c r="L765" s="186">
        <f t="shared" si="678"/>
        <v>4.7710814446506715</v>
      </c>
      <c r="M765" s="186">
        <f t="shared" si="678"/>
        <v>0</v>
      </c>
      <c r="N765" s="186">
        <f t="shared" si="678"/>
        <v>0</v>
      </c>
      <c r="O765" s="186">
        <f t="shared" si="678"/>
        <v>0</v>
      </c>
      <c r="P765" s="186">
        <f t="shared" si="678"/>
        <v>0</v>
      </c>
      <c r="Q765" s="189">
        <f>SUM(G765:P765)</f>
        <v>5580.0260467805774</v>
      </c>
    </row>
    <row r="766" spans="3:17" ht="18.75" x14ac:dyDescent="0.25">
      <c r="C766" s="143">
        <f t="shared" si="677"/>
        <v>1</v>
      </c>
      <c r="D766" s="150" t="s">
        <v>31</v>
      </c>
      <c r="E766" s="38"/>
      <c r="F766" s="167"/>
      <c r="G766" s="185"/>
      <c r="H766" s="185"/>
      <c r="I766" s="187"/>
      <c r="J766" s="188"/>
      <c r="K766" s="188"/>
      <c r="L766" s="188"/>
      <c r="M766" s="188"/>
      <c r="N766" s="188"/>
      <c r="O766" s="188"/>
      <c r="P766" s="188"/>
      <c r="Q766" s="171"/>
    </row>
    <row r="767" spans="3:17" ht="18.75" x14ac:dyDescent="0.3">
      <c r="C767" s="143">
        <f t="shared" si="677"/>
        <v>1</v>
      </c>
      <c r="D767" s="149" t="s">
        <v>118</v>
      </c>
      <c r="E767" s="38" t="s">
        <v>56</v>
      </c>
      <c r="F767" s="168">
        <f t="shared" ref="F767:P767" si="679">F$8*$E762</f>
        <v>0</v>
      </c>
      <c r="G767" s="186">
        <f t="shared" si="679"/>
        <v>0</v>
      </c>
      <c r="H767" s="186">
        <f t="shared" si="679"/>
        <v>0</v>
      </c>
      <c r="I767" s="186">
        <f t="shared" si="679"/>
        <v>0</v>
      </c>
      <c r="J767" s="186">
        <f t="shared" si="679"/>
        <v>0</v>
      </c>
      <c r="K767" s="186">
        <f t="shared" si="679"/>
        <v>0</v>
      </c>
      <c r="L767" s="186">
        <f t="shared" si="679"/>
        <v>0</v>
      </c>
      <c r="M767" s="186">
        <f t="shared" si="679"/>
        <v>0</v>
      </c>
      <c r="N767" s="186">
        <f t="shared" si="679"/>
        <v>0</v>
      </c>
      <c r="O767" s="186">
        <f t="shared" si="679"/>
        <v>0</v>
      </c>
      <c r="P767" s="186">
        <f t="shared" si="679"/>
        <v>0</v>
      </c>
      <c r="Q767" s="189">
        <f t="shared" ref="Q767:Q773" si="680">SUM(G767:P767)</f>
        <v>0</v>
      </c>
    </row>
    <row r="768" spans="3:17" ht="18.75" x14ac:dyDescent="0.3">
      <c r="C768" s="143">
        <f t="shared" si="677"/>
        <v>1</v>
      </c>
      <c r="D768" s="149" t="s">
        <v>119</v>
      </c>
      <c r="E768" s="38" t="s">
        <v>55</v>
      </c>
      <c r="F768" s="168">
        <f t="shared" ref="F768:P768" si="681">F$9*$E762</f>
        <v>0</v>
      </c>
      <c r="G768" s="186">
        <f t="shared" si="681"/>
        <v>0</v>
      </c>
      <c r="H768" s="186">
        <f t="shared" si="681"/>
        <v>0</v>
      </c>
      <c r="I768" s="186">
        <f t="shared" si="681"/>
        <v>0</v>
      </c>
      <c r="J768" s="186">
        <f t="shared" si="681"/>
        <v>0</v>
      </c>
      <c r="K768" s="186">
        <f t="shared" si="681"/>
        <v>0</v>
      </c>
      <c r="L768" s="186">
        <f t="shared" si="681"/>
        <v>0</v>
      </c>
      <c r="M768" s="186">
        <f t="shared" si="681"/>
        <v>0</v>
      </c>
      <c r="N768" s="186">
        <f t="shared" si="681"/>
        <v>0</v>
      </c>
      <c r="O768" s="186">
        <f t="shared" si="681"/>
        <v>0</v>
      </c>
      <c r="P768" s="186">
        <f t="shared" si="681"/>
        <v>0</v>
      </c>
      <c r="Q768" s="189">
        <f t="shared" si="680"/>
        <v>0</v>
      </c>
    </row>
    <row r="769" spans="3:17" ht="18.75" x14ac:dyDescent="0.3">
      <c r="C769" s="143">
        <f t="shared" si="677"/>
        <v>1</v>
      </c>
      <c r="D769" s="149" t="s">
        <v>120</v>
      </c>
      <c r="E769" s="38" t="s">
        <v>54</v>
      </c>
      <c r="F769" s="168">
        <f t="shared" ref="F769:P769" si="682">F$10*$E762</f>
        <v>0</v>
      </c>
      <c r="G769" s="186">
        <f t="shared" si="682"/>
        <v>0</v>
      </c>
      <c r="H769" s="186">
        <f t="shared" si="682"/>
        <v>0</v>
      </c>
      <c r="I769" s="186">
        <f t="shared" si="682"/>
        <v>0</v>
      </c>
      <c r="J769" s="186">
        <f t="shared" si="682"/>
        <v>0</v>
      </c>
      <c r="K769" s="186">
        <f t="shared" si="682"/>
        <v>0</v>
      </c>
      <c r="L769" s="186">
        <f t="shared" si="682"/>
        <v>0</v>
      </c>
      <c r="M769" s="186">
        <f t="shared" si="682"/>
        <v>0</v>
      </c>
      <c r="N769" s="186">
        <f t="shared" si="682"/>
        <v>0</v>
      </c>
      <c r="O769" s="186">
        <f t="shared" si="682"/>
        <v>0</v>
      </c>
      <c r="P769" s="186">
        <f t="shared" si="682"/>
        <v>0</v>
      </c>
      <c r="Q769" s="189">
        <f t="shared" si="680"/>
        <v>0</v>
      </c>
    </row>
    <row r="770" spans="3:17" ht="18.75" x14ac:dyDescent="0.3">
      <c r="C770" s="143">
        <f t="shared" si="677"/>
        <v>1</v>
      </c>
      <c r="D770" s="149" t="s">
        <v>121</v>
      </c>
      <c r="E770" s="38" t="s">
        <v>53</v>
      </c>
      <c r="F770" s="168">
        <f t="shared" ref="F770:P770" si="683">F$11*$E762</f>
        <v>0</v>
      </c>
      <c r="G770" s="186">
        <f t="shared" si="683"/>
        <v>0</v>
      </c>
      <c r="H770" s="186">
        <f t="shared" si="683"/>
        <v>0</v>
      </c>
      <c r="I770" s="186">
        <f t="shared" si="683"/>
        <v>0</v>
      </c>
      <c r="J770" s="186">
        <f t="shared" si="683"/>
        <v>0</v>
      </c>
      <c r="K770" s="186">
        <f t="shared" si="683"/>
        <v>0</v>
      </c>
      <c r="L770" s="186">
        <f t="shared" si="683"/>
        <v>0</v>
      </c>
      <c r="M770" s="186">
        <f t="shared" si="683"/>
        <v>0</v>
      </c>
      <c r="N770" s="186">
        <f t="shared" si="683"/>
        <v>0</v>
      </c>
      <c r="O770" s="186">
        <f t="shared" si="683"/>
        <v>0</v>
      </c>
      <c r="P770" s="186">
        <f t="shared" si="683"/>
        <v>0</v>
      </c>
      <c r="Q770" s="189">
        <f t="shared" si="680"/>
        <v>0</v>
      </c>
    </row>
    <row r="771" spans="3:17" ht="18.75" x14ac:dyDescent="0.3">
      <c r="C771" s="143">
        <f t="shared" si="677"/>
        <v>1</v>
      </c>
      <c r="D771" s="149" t="s">
        <v>122</v>
      </c>
      <c r="E771" s="38" t="s">
        <v>52</v>
      </c>
      <c r="F771" s="168">
        <f t="shared" ref="F771:P771" si="684">F$12*$E762</f>
        <v>0</v>
      </c>
      <c r="G771" s="186">
        <f t="shared" si="684"/>
        <v>0</v>
      </c>
      <c r="H771" s="186">
        <f t="shared" si="684"/>
        <v>0</v>
      </c>
      <c r="I771" s="186">
        <f t="shared" si="684"/>
        <v>0</v>
      </c>
      <c r="J771" s="186">
        <f t="shared" si="684"/>
        <v>0</v>
      </c>
      <c r="K771" s="186">
        <f t="shared" si="684"/>
        <v>0</v>
      </c>
      <c r="L771" s="186">
        <f t="shared" si="684"/>
        <v>0</v>
      </c>
      <c r="M771" s="186">
        <f t="shared" si="684"/>
        <v>0</v>
      </c>
      <c r="N771" s="186">
        <f t="shared" si="684"/>
        <v>0</v>
      </c>
      <c r="O771" s="186">
        <f t="shared" si="684"/>
        <v>0</v>
      </c>
      <c r="P771" s="186">
        <f t="shared" si="684"/>
        <v>0</v>
      </c>
      <c r="Q771" s="189">
        <f t="shared" si="680"/>
        <v>0</v>
      </c>
    </row>
    <row r="772" spans="3:17" ht="18.75" x14ac:dyDescent="0.3">
      <c r="C772" s="143">
        <f t="shared" si="677"/>
        <v>1</v>
      </c>
      <c r="D772" s="149" t="s">
        <v>123</v>
      </c>
      <c r="E772" s="38" t="s">
        <v>51</v>
      </c>
      <c r="F772" s="168">
        <f t="shared" ref="F772:P772" si="685">F$13*$E762</f>
        <v>0</v>
      </c>
      <c r="G772" s="186">
        <f t="shared" si="685"/>
        <v>0</v>
      </c>
      <c r="H772" s="186">
        <f t="shared" si="685"/>
        <v>0</v>
      </c>
      <c r="I772" s="186">
        <f t="shared" si="685"/>
        <v>0</v>
      </c>
      <c r="J772" s="186">
        <f t="shared" si="685"/>
        <v>0</v>
      </c>
      <c r="K772" s="186">
        <f t="shared" si="685"/>
        <v>0</v>
      </c>
      <c r="L772" s="186">
        <f t="shared" si="685"/>
        <v>0</v>
      </c>
      <c r="M772" s="186">
        <f t="shared" si="685"/>
        <v>0</v>
      </c>
      <c r="N772" s="186">
        <f t="shared" si="685"/>
        <v>0</v>
      </c>
      <c r="O772" s="186">
        <f t="shared" si="685"/>
        <v>0</v>
      </c>
      <c r="P772" s="186">
        <f t="shared" si="685"/>
        <v>0</v>
      </c>
      <c r="Q772" s="189">
        <f t="shared" si="680"/>
        <v>0</v>
      </c>
    </row>
    <row r="773" spans="3:17" ht="19.5" thickBot="1" x14ac:dyDescent="0.35">
      <c r="C773" s="143">
        <f t="shared" si="677"/>
        <v>1</v>
      </c>
      <c r="D773" s="149" t="s">
        <v>16</v>
      </c>
      <c r="E773" s="37" t="s">
        <v>50</v>
      </c>
      <c r="F773" s="168">
        <f t="shared" ref="F773:P773" si="686">F$14*$E762</f>
        <v>0.17839179994538273</v>
      </c>
      <c r="G773" s="186">
        <f t="shared" si="686"/>
        <v>321.9620912349821</v>
      </c>
      <c r="H773" s="186">
        <f t="shared" si="686"/>
        <v>6.2736297989314327</v>
      </c>
      <c r="I773" s="186">
        <f t="shared" si="686"/>
        <v>0</v>
      </c>
      <c r="J773" s="186">
        <f t="shared" si="686"/>
        <v>0</v>
      </c>
      <c r="K773" s="186">
        <f t="shared" si="686"/>
        <v>22.481081189660649</v>
      </c>
      <c r="L773" s="186">
        <f t="shared" si="686"/>
        <v>0</v>
      </c>
      <c r="M773" s="186">
        <f t="shared" si="686"/>
        <v>1.2066384028372163E-2</v>
      </c>
      <c r="N773" s="186">
        <f t="shared" si="686"/>
        <v>0</v>
      </c>
      <c r="O773" s="186">
        <f t="shared" si="686"/>
        <v>0</v>
      </c>
      <c r="P773" s="186">
        <f t="shared" si="686"/>
        <v>20.3260752787935</v>
      </c>
      <c r="Q773" s="189">
        <f t="shared" si="680"/>
        <v>371.05494388639602</v>
      </c>
    </row>
    <row r="774" spans="3:17" ht="19.5" thickBot="1" x14ac:dyDescent="0.3">
      <c r="C774" s="143">
        <f t="shared" si="677"/>
        <v>1</v>
      </c>
      <c r="D774" s="148" t="s">
        <v>124</v>
      </c>
      <c r="E774" s="147" t="s">
        <v>49</v>
      </c>
      <c r="F774" s="169">
        <f t="shared" ref="F774:Q774" si="687">SUBTOTAL(9,F765:F773)</f>
        <v>2.8610966301283534</v>
      </c>
      <c r="G774" s="170">
        <f t="shared" si="687"/>
        <v>5695.2144533981218</v>
      </c>
      <c r="H774" s="170">
        <f t="shared" si="687"/>
        <v>87.278867472066253</v>
      </c>
      <c r="I774" s="170">
        <f t="shared" si="687"/>
        <v>0</v>
      </c>
      <c r="J774" s="170">
        <f t="shared" si="687"/>
        <v>103.22927432240834</v>
      </c>
      <c r="K774" s="170">
        <f t="shared" ref="K774:P774" si="688">SUBTOTAL(9,K765:K773)</f>
        <v>40.24917236690515</v>
      </c>
      <c r="L774" s="170">
        <f t="shared" si="688"/>
        <v>4.7710814446506715</v>
      </c>
      <c r="M774" s="170">
        <f t="shared" si="688"/>
        <v>1.2066384028372163E-2</v>
      </c>
      <c r="N774" s="170">
        <f t="shared" si="688"/>
        <v>0</v>
      </c>
      <c r="O774" s="170">
        <f t="shared" si="688"/>
        <v>0</v>
      </c>
      <c r="P774" s="170">
        <f t="shared" si="688"/>
        <v>20.3260752787935</v>
      </c>
      <c r="Q774" s="170">
        <f t="shared" si="687"/>
        <v>5951.0809906669738</v>
      </c>
    </row>
    <row r="775" spans="3:17" ht="15.75" hidden="1" thickBot="1" x14ac:dyDescent="0.3"/>
    <row r="776" spans="3:17" ht="45" x14ac:dyDescent="0.25">
      <c r="C776" s="143">
        <f>IF(E776&gt;0,1,0)</f>
        <v>1</v>
      </c>
      <c r="D776" s="163" t="str">
        <f>A58</f>
        <v>Tompkins</v>
      </c>
      <c r="E776" s="166">
        <f>SUMIF(A:A,D776,B:B)</f>
        <v>1.0364555405231305E-3</v>
      </c>
      <c r="F776" s="509" t="s">
        <v>97</v>
      </c>
      <c r="G776" s="509" t="s">
        <v>126</v>
      </c>
      <c r="H776" s="509" t="s">
        <v>127</v>
      </c>
      <c r="I776" s="508" t="s">
        <v>128</v>
      </c>
      <c r="J776" s="508" t="s">
        <v>487</v>
      </c>
      <c r="K776" s="508" t="s">
        <v>474</v>
      </c>
      <c r="L776" s="508" t="s">
        <v>475</v>
      </c>
      <c r="M776" s="508" t="s">
        <v>476</v>
      </c>
      <c r="N776" s="508" t="s">
        <v>477</v>
      </c>
      <c r="O776" s="508" t="s">
        <v>478</v>
      </c>
      <c r="P776" s="508" t="s">
        <v>479</v>
      </c>
      <c r="Q776" s="508" t="s">
        <v>129</v>
      </c>
    </row>
    <row r="777" spans="3:17" ht="18.75" x14ac:dyDescent="0.25">
      <c r="C777" s="143">
        <f>C776</f>
        <v>1</v>
      </c>
      <c r="D777" s="160"/>
      <c r="E777" s="159"/>
      <c r="F777" s="49" t="s">
        <v>57</v>
      </c>
      <c r="G777" s="49" t="s">
        <v>56</v>
      </c>
      <c r="H777" s="49" t="s">
        <v>55</v>
      </c>
      <c r="I777" s="49" t="s">
        <v>54</v>
      </c>
      <c r="J777" s="58" t="s">
        <v>53</v>
      </c>
      <c r="K777" s="49" t="s">
        <v>52</v>
      </c>
      <c r="L777" s="49" t="s">
        <v>51</v>
      </c>
      <c r="M777" s="49" t="s">
        <v>50</v>
      </c>
      <c r="N777" s="49" t="s">
        <v>49</v>
      </c>
      <c r="O777" s="49" t="s">
        <v>47</v>
      </c>
      <c r="P777" s="49" t="s">
        <v>77</v>
      </c>
      <c r="Q777" s="573" t="s">
        <v>78</v>
      </c>
    </row>
    <row r="778" spans="3:17" ht="18.75" x14ac:dyDescent="0.25">
      <c r="C778" s="143">
        <f>C777</f>
        <v>1</v>
      </c>
      <c r="D778" s="158" t="s">
        <v>26</v>
      </c>
      <c r="E778" s="157"/>
      <c r="F778" s="156"/>
      <c r="G778" s="156"/>
      <c r="H778" s="156"/>
      <c r="I778" s="155"/>
      <c r="J778" s="154"/>
      <c r="K778" s="154"/>
      <c r="L778" s="154"/>
      <c r="M778" s="154"/>
      <c r="N778" s="154"/>
      <c r="O778" s="154"/>
      <c r="P778" s="154"/>
      <c r="Q778" s="153"/>
    </row>
    <row r="779" spans="3:17" ht="18.75" x14ac:dyDescent="0.25">
      <c r="C779" s="143">
        <f t="shared" ref="C779:C788" si="689">C778</f>
        <v>1</v>
      </c>
      <c r="D779" s="152" t="s">
        <v>105</v>
      </c>
      <c r="E779" s="38" t="s">
        <v>57</v>
      </c>
      <c r="F779" s="168">
        <f t="shared" ref="F779:P779" si="690">F$6*$E776</f>
        <v>1.9381899539035796</v>
      </c>
      <c r="G779" s="186">
        <f t="shared" si="690"/>
        <v>3882.0460719202479</v>
      </c>
      <c r="H779" s="186">
        <f t="shared" si="690"/>
        <v>58.524343082848006</v>
      </c>
      <c r="I779" s="186">
        <f t="shared" si="690"/>
        <v>0</v>
      </c>
      <c r="J779" s="186">
        <f t="shared" si="690"/>
        <v>74.580677005305319</v>
      </c>
      <c r="K779" s="186">
        <f t="shared" si="690"/>
        <v>12.837020097149233</v>
      </c>
      <c r="L779" s="186">
        <f t="shared" si="690"/>
        <v>3.4469920138948011</v>
      </c>
      <c r="M779" s="186">
        <f t="shared" si="690"/>
        <v>0</v>
      </c>
      <c r="N779" s="186">
        <f t="shared" si="690"/>
        <v>0</v>
      </c>
      <c r="O779" s="186">
        <f t="shared" si="690"/>
        <v>0</v>
      </c>
      <c r="P779" s="186">
        <f t="shared" si="690"/>
        <v>0</v>
      </c>
      <c r="Q779" s="189">
        <f>SUM(G779:P779)</f>
        <v>4031.4351041194459</v>
      </c>
    </row>
    <row r="780" spans="3:17" ht="18.75" x14ac:dyDescent="0.25">
      <c r="C780" s="143">
        <f t="shared" si="689"/>
        <v>1</v>
      </c>
      <c r="D780" s="150" t="s">
        <v>31</v>
      </c>
      <c r="E780" s="38"/>
      <c r="F780" s="167"/>
      <c r="G780" s="185"/>
      <c r="H780" s="185"/>
      <c r="I780" s="187"/>
      <c r="J780" s="188"/>
      <c r="K780" s="188"/>
      <c r="L780" s="188"/>
      <c r="M780" s="188"/>
      <c r="N780" s="188"/>
      <c r="O780" s="188"/>
      <c r="P780" s="188"/>
      <c r="Q780" s="171"/>
    </row>
    <row r="781" spans="3:17" ht="18.75" x14ac:dyDescent="0.3">
      <c r="C781" s="143">
        <f t="shared" si="689"/>
        <v>1</v>
      </c>
      <c r="D781" s="149" t="s">
        <v>118</v>
      </c>
      <c r="E781" s="38" t="s">
        <v>56</v>
      </c>
      <c r="F781" s="168">
        <f t="shared" ref="F781:P781" si="691">F$8*$E776</f>
        <v>0</v>
      </c>
      <c r="G781" s="186">
        <f t="shared" si="691"/>
        <v>0</v>
      </c>
      <c r="H781" s="186">
        <f t="shared" si="691"/>
        <v>0</v>
      </c>
      <c r="I781" s="186">
        <f t="shared" si="691"/>
        <v>0</v>
      </c>
      <c r="J781" s="186">
        <f t="shared" si="691"/>
        <v>0</v>
      </c>
      <c r="K781" s="186">
        <f t="shared" si="691"/>
        <v>0</v>
      </c>
      <c r="L781" s="186">
        <f t="shared" si="691"/>
        <v>0</v>
      </c>
      <c r="M781" s="186">
        <f t="shared" si="691"/>
        <v>0</v>
      </c>
      <c r="N781" s="186">
        <f t="shared" si="691"/>
        <v>0</v>
      </c>
      <c r="O781" s="186">
        <f t="shared" si="691"/>
        <v>0</v>
      </c>
      <c r="P781" s="186">
        <f t="shared" si="691"/>
        <v>0</v>
      </c>
      <c r="Q781" s="189">
        <f t="shared" ref="Q781:Q787" si="692">SUM(G781:P781)</f>
        <v>0</v>
      </c>
    </row>
    <row r="782" spans="3:17" ht="18.75" x14ac:dyDescent="0.3">
      <c r="C782" s="143">
        <f t="shared" si="689"/>
        <v>1</v>
      </c>
      <c r="D782" s="149" t="s">
        <v>119</v>
      </c>
      <c r="E782" s="38" t="s">
        <v>55</v>
      </c>
      <c r="F782" s="168">
        <f t="shared" ref="F782:P782" si="693">F$9*$E776</f>
        <v>0</v>
      </c>
      <c r="G782" s="186">
        <f t="shared" si="693"/>
        <v>0</v>
      </c>
      <c r="H782" s="186">
        <f t="shared" si="693"/>
        <v>0</v>
      </c>
      <c r="I782" s="186">
        <f t="shared" si="693"/>
        <v>0</v>
      </c>
      <c r="J782" s="186">
        <f t="shared" si="693"/>
        <v>0</v>
      </c>
      <c r="K782" s="186">
        <f t="shared" si="693"/>
        <v>0</v>
      </c>
      <c r="L782" s="186">
        <f t="shared" si="693"/>
        <v>0</v>
      </c>
      <c r="M782" s="186">
        <f t="shared" si="693"/>
        <v>0</v>
      </c>
      <c r="N782" s="186">
        <f t="shared" si="693"/>
        <v>0</v>
      </c>
      <c r="O782" s="186">
        <f t="shared" si="693"/>
        <v>0</v>
      </c>
      <c r="P782" s="186">
        <f t="shared" si="693"/>
        <v>0</v>
      </c>
      <c r="Q782" s="189">
        <f t="shared" si="692"/>
        <v>0</v>
      </c>
    </row>
    <row r="783" spans="3:17" ht="18.75" x14ac:dyDescent="0.3">
      <c r="C783" s="143">
        <f t="shared" si="689"/>
        <v>1</v>
      </c>
      <c r="D783" s="149" t="s">
        <v>120</v>
      </c>
      <c r="E783" s="38" t="s">
        <v>54</v>
      </c>
      <c r="F783" s="168">
        <f t="shared" ref="F783:P783" si="694">F$10*$E776</f>
        <v>0</v>
      </c>
      <c r="G783" s="186">
        <f t="shared" si="694"/>
        <v>0</v>
      </c>
      <c r="H783" s="186">
        <f t="shared" si="694"/>
        <v>0</v>
      </c>
      <c r="I783" s="186">
        <f t="shared" si="694"/>
        <v>0</v>
      </c>
      <c r="J783" s="186">
        <f t="shared" si="694"/>
        <v>0</v>
      </c>
      <c r="K783" s="186">
        <f t="shared" si="694"/>
        <v>0</v>
      </c>
      <c r="L783" s="186">
        <f t="shared" si="694"/>
        <v>0</v>
      </c>
      <c r="M783" s="186">
        <f t="shared" si="694"/>
        <v>0</v>
      </c>
      <c r="N783" s="186">
        <f t="shared" si="694"/>
        <v>0</v>
      </c>
      <c r="O783" s="186">
        <f t="shared" si="694"/>
        <v>0</v>
      </c>
      <c r="P783" s="186">
        <f t="shared" si="694"/>
        <v>0</v>
      </c>
      <c r="Q783" s="189">
        <f t="shared" si="692"/>
        <v>0</v>
      </c>
    </row>
    <row r="784" spans="3:17" ht="18.75" x14ac:dyDescent="0.3">
      <c r="C784" s="143">
        <f t="shared" si="689"/>
        <v>1</v>
      </c>
      <c r="D784" s="149" t="s">
        <v>121</v>
      </c>
      <c r="E784" s="38" t="s">
        <v>53</v>
      </c>
      <c r="F784" s="168">
        <f t="shared" ref="F784:P784" si="695">F$11*$E776</f>
        <v>0</v>
      </c>
      <c r="G784" s="186">
        <f t="shared" si="695"/>
        <v>0</v>
      </c>
      <c r="H784" s="186">
        <f t="shared" si="695"/>
        <v>0</v>
      </c>
      <c r="I784" s="186">
        <f t="shared" si="695"/>
        <v>0</v>
      </c>
      <c r="J784" s="186">
        <f t="shared" si="695"/>
        <v>0</v>
      </c>
      <c r="K784" s="186">
        <f t="shared" si="695"/>
        <v>0</v>
      </c>
      <c r="L784" s="186">
        <f t="shared" si="695"/>
        <v>0</v>
      </c>
      <c r="M784" s="186">
        <f t="shared" si="695"/>
        <v>0</v>
      </c>
      <c r="N784" s="186">
        <f t="shared" si="695"/>
        <v>0</v>
      </c>
      <c r="O784" s="186">
        <f t="shared" si="695"/>
        <v>0</v>
      </c>
      <c r="P784" s="186">
        <f t="shared" si="695"/>
        <v>0</v>
      </c>
      <c r="Q784" s="189">
        <f t="shared" si="692"/>
        <v>0</v>
      </c>
    </row>
    <row r="785" spans="3:17" ht="18.75" x14ac:dyDescent="0.3">
      <c r="C785" s="143">
        <f t="shared" si="689"/>
        <v>1</v>
      </c>
      <c r="D785" s="149" t="s">
        <v>122</v>
      </c>
      <c r="E785" s="38" t="s">
        <v>52</v>
      </c>
      <c r="F785" s="168">
        <f t="shared" ref="F785:P785" si="696">F$12*$E776</f>
        <v>0</v>
      </c>
      <c r="G785" s="186">
        <f t="shared" si="696"/>
        <v>0</v>
      </c>
      <c r="H785" s="186">
        <f t="shared" si="696"/>
        <v>0</v>
      </c>
      <c r="I785" s="186">
        <f t="shared" si="696"/>
        <v>0</v>
      </c>
      <c r="J785" s="186">
        <f t="shared" si="696"/>
        <v>0</v>
      </c>
      <c r="K785" s="186">
        <f t="shared" si="696"/>
        <v>0</v>
      </c>
      <c r="L785" s="186">
        <f t="shared" si="696"/>
        <v>0</v>
      </c>
      <c r="M785" s="186">
        <f t="shared" si="696"/>
        <v>0</v>
      </c>
      <c r="N785" s="186">
        <f t="shared" si="696"/>
        <v>0</v>
      </c>
      <c r="O785" s="186">
        <f t="shared" si="696"/>
        <v>0</v>
      </c>
      <c r="P785" s="186">
        <f t="shared" si="696"/>
        <v>0</v>
      </c>
      <c r="Q785" s="189">
        <f t="shared" si="692"/>
        <v>0</v>
      </c>
    </row>
    <row r="786" spans="3:17" ht="18.75" x14ac:dyDescent="0.3">
      <c r="C786" s="143">
        <f t="shared" si="689"/>
        <v>1</v>
      </c>
      <c r="D786" s="149" t="s">
        <v>123</v>
      </c>
      <c r="E786" s="38" t="s">
        <v>51</v>
      </c>
      <c r="F786" s="168">
        <f t="shared" ref="F786:P786" si="697">F$13*$E776</f>
        <v>0</v>
      </c>
      <c r="G786" s="186">
        <f t="shared" si="697"/>
        <v>0</v>
      </c>
      <c r="H786" s="186">
        <f t="shared" si="697"/>
        <v>0</v>
      </c>
      <c r="I786" s="186">
        <f t="shared" si="697"/>
        <v>0</v>
      </c>
      <c r="J786" s="186">
        <f t="shared" si="697"/>
        <v>0</v>
      </c>
      <c r="K786" s="186">
        <f t="shared" si="697"/>
        <v>0</v>
      </c>
      <c r="L786" s="186">
        <f t="shared" si="697"/>
        <v>0</v>
      </c>
      <c r="M786" s="186">
        <f t="shared" si="697"/>
        <v>0</v>
      </c>
      <c r="N786" s="186">
        <f t="shared" si="697"/>
        <v>0</v>
      </c>
      <c r="O786" s="186">
        <f t="shared" si="697"/>
        <v>0</v>
      </c>
      <c r="P786" s="186">
        <f t="shared" si="697"/>
        <v>0</v>
      </c>
      <c r="Q786" s="189">
        <f t="shared" si="692"/>
        <v>0</v>
      </c>
    </row>
    <row r="787" spans="3:17" ht="19.5" thickBot="1" x14ac:dyDescent="0.35">
      <c r="C787" s="143">
        <f t="shared" si="689"/>
        <v>1</v>
      </c>
      <c r="D787" s="149" t="s">
        <v>16</v>
      </c>
      <c r="E787" s="37" t="s">
        <v>50</v>
      </c>
      <c r="F787" s="168">
        <f t="shared" ref="F787:P787" si="698">F$14*$E776</f>
        <v>0.1288838006413609</v>
      </c>
      <c r="G787" s="186">
        <f t="shared" si="698"/>
        <v>232.6098957099463</v>
      </c>
      <c r="H787" s="186">
        <f t="shared" si="698"/>
        <v>4.5325471941576643</v>
      </c>
      <c r="I787" s="186">
        <f t="shared" si="698"/>
        <v>0</v>
      </c>
      <c r="J787" s="186">
        <f t="shared" si="698"/>
        <v>0</v>
      </c>
      <c r="K787" s="186">
        <f t="shared" si="698"/>
        <v>16.24204244330495</v>
      </c>
      <c r="L787" s="186">
        <f t="shared" si="698"/>
        <v>0</v>
      </c>
      <c r="M787" s="186">
        <f t="shared" si="698"/>
        <v>8.717673312623981E-3</v>
      </c>
      <c r="N787" s="186">
        <f t="shared" si="698"/>
        <v>0</v>
      </c>
      <c r="O787" s="186">
        <f t="shared" si="698"/>
        <v>0</v>
      </c>
      <c r="P787" s="186">
        <f t="shared" si="698"/>
        <v>14.685102313309107</v>
      </c>
      <c r="Q787" s="189">
        <f t="shared" si="692"/>
        <v>268.07830533403063</v>
      </c>
    </row>
    <row r="788" spans="3:17" ht="19.5" thickBot="1" x14ac:dyDescent="0.3">
      <c r="C788" s="143">
        <f t="shared" si="689"/>
        <v>1</v>
      </c>
      <c r="D788" s="148" t="s">
        <v>124</v>
      </c>
      <c r="E788" s="147" t="s">
        <v>49</v>
      </c>
      <c r="F788" s="169">
        <f t="shared" ref="F788:Q788" si="699">SUBTOTAL(9,F779:F787)</f>
        <v>2.0670737545449405</v>
      </c>
      <c r="G788" s="170">
        <f t="shared" si="699"/>
        <v>4114.655967630194</v>
      </c>
      <c r="H788" s="170">
        <f t="shared" si="699"/>
        <v>63.056890277005671</v>
      </c>
      <c r="I788" s="170">
        <f t="shared" si="699"/>
        <v>0</v>
      </c>
      <c r="J788" s="170">
        <f t="shared" si="699"/>
        <v>74.580677005305319</v>
      </c>
      <c r="K788" s="170">
        <f t="shared" ref="K788:P788" si="700">SUBTOTAL(9,K779:K787)</f>
        <v>29.079062540454181</v>
      </c>
      <c r="L788" s="170">
        <f t="shared" si="700"/>
        <v>3.4469920138948011</v>
      </c>
      <c r="M788" s="170">
        <f t="shared" si="700"/>
        <v>8.717673312623981E-3</v>
      </c>
      <c r="N788" s="170">
        <f t="shared" si="700"/>
        <v>0</v>
      </c>
      <c r="O788" s="170">
        <f t="shared" si="700"/>
        <v>0</v>
      </c>
      <c r="P788" s="170">
        <f t="shared" si="700"/>
        <v>14.685102313309107</v>
      </c>
      <c r="Q788" s="170">
        <f t="shared" si="699"/>
        <v>4299.5134094534769</v>
      </c>
    </row>
    <row r="789" spans="3:17" ht="15.75" hidden="1" thickBot="1" x14ac:dyDescent="0.3"/>
    <row r="790" spans="3:17" ht="45" x14ac:dyDescent="0.25">
      <c r="C790" s="143">
        <f>IF(E790&gt;0,1,0)</f>
        <v>1</v>
      </c>
      <c r="D790" s="163" t="str">
        <f>A59</f>
        <v>Ulster</v>
      </c>
      <c r="E790" s="166">
        <f>SUMIF(A:A,D790,B:B)</f>
        <v>8.5279793197240439E-3</v>
      </c>
      <c r="F790" s="509" t="s">
        <v>97</v>
      </c>
      <c r="G790" s="509" t="s">
        <v>126</v>
      </c>
      <c r="H790" s="509" t="s">
        <v>127</v>
      </c>
      <c r="I790" s="508" t="s">
        <v>128</v>
      </c>
      <c r="J790" s="508" t="s">
        <v>487</v>
      </c>
      <c r="K790" s="508" t="s">
        <v>474</v>
      </c>
      <c r="L790" s="508" t="s">
        <v>475</v>
      </c>
      <c r="M790" s="508" t="s">
        <v>476</v>
      </c>
      <c r="N790" s="508" t="s">
        <v>477</v>
      </c>
      <c r="O790" s="508" t="s">
        <v>478</v>
      </c>
      <c r="P790" s="508" t="s">
        <v>479</v>
      </c>
      <c r="Q790" s="508" t="s">
        <v>129</v>
      </c>
    </row>
    <row r="791" spans="3:17" ht="18.75" x14ac:dyDescent="0.25">
      <c r="C791" s="143">
        <f>C790</f>
        <v>1</v>
      </c>
      <c r="D791" s="160"/>
      <c r="E791" s="159"/>
      <c r="F791" s="49" t="s">
        <v>57</v>
      </c>
      <c r="G791" s="49" t="s">
        <v>56</v>
      </c>
      <c r="H791" s="49" t="s">
        <v>55</v>
      </c>
      <c r="I791" s="49" t="s">
        <v>54</v>
      </c>
      <c r="J791" s="58" t="s">
        <v>53</v>
      </c>
      <c r="K791" s="49" t="s">
        <v>52</v>
      </c>
      <c r="L791" s="49" t="s">
        <v>51</v>
      </c>
      <c r="M791" s="49" t="s">
        <v>50</v>
      </c>
      <c r="N791" s="49" t="s">
        <v>49</v>
      </c>
      <c r="O791" s="49" t="s">
        <v>47</v>
      </c>
      <c r="P791" s="49" t="s">
        <v>77</v>
      </c>
      <c r="Q791" s="573" t="s">
        <v>78</v>
      </c>
    </row>
    <row r="792" spans="3:17" ht="18.75" x14ac:dyDescent="0.25">
      <c r="C792" s="143">
        <f>C791</f>
        <v>1</v>
      </c>
      <c r="D792" s="158" t="s">
        <v>26</v>
      </c>
      <c r="E792" s="157"/>
      <c r="F792" s="156"/>
      <c r="G792" s="156"/>
      <c r="H792" s="156"/>
      <c r="I792" s="155"/>
      <c r="J792" s="154"/>
      <c r="K792" s="154"/>
      <c r="L792" s="154"/>
      <c r="M792" s="154"/>
      <c r="N792" s="154"/>
      <c r="O792" s="154"/>
      <c r="P792" s="154"/>
      <c r="Q792" s="153"/>
    </row>
    <row r="793" spans="3:17" ht="18.75" x14ac:dyDescent="0.25">
      <c r="C793" s="143">
        <f t="shared" ref="C793:C802" si="701">C792</f>
        <v>1</v>
      </c>
      <c r="D793" s="152" t="s">
        <v>105</v>
      </c>
      <c r="E793" s="38" t="s">
        <v>57</v>
      </c>
      <c r="F793" s="168">
        <f t="shared" ref="F793:P793" si="702">F$6*$E790</f>
        <v>15.947470198522954</v>
      </c>
      <c r="G793" s="186">
        <f t="shared" si="702"/>
        <v>31941.561721829599</v>
      </c>
      <c r="H793" s="186">
        <f t="shared" si="702"/>
        <v>481.53960107063989</v>
      </c>
      <c r="I793" s="186">
        <f t="shared" si="702"/>
        <v>0</v>
      </c>
      <c r="J793" s="186">
        <f t="shared" si="702"/>
        <v>613.6514749404904</v>
      </c>
      <c r="K793" s="186">
        <f t="shared" si="702"/>
        <v>105.62328786444215</v>
      </c>
      <c r="L793" s="186">
        <f t="shared" si="702"/>
        <v>28.361927222572238</v>
      </c>
      <c r="M793" s="186">
        <f t="shared" si="702"/>
        <v>0</v>
      </c>
      <c r="N793" s="186">
        <f t="shared" si="702"/>
        <v>0</v>
      </c>
      <c r="O793" s="186">
        <f t="shared" si="702"/>
        <v>0</v>
      </c>
      <c r="P793" s="186">
        <f t="shared" si="702"/>
        <v>0</v>
      </c>
      <c r="Q793" s="189">
        <f>SUM(G793:P793)</f>
        <v>33170.738012927744</v>
      </c>
    </row>
    <row r="794" spans="3:17" ht="18.75" x14ac:dyDescent="0.25">
      <c r="C794" s="143">
        <f t="shared" si="701"/>
        <v>1</v>
      </c>
      <c r="D794" s="150" t="s">
        <v>31</v>
      </c>
      <c r="E794" s="38"/>
      <c r="F794" s="167"/>
      <c r="G794" s="185"/>
      <c r="H794" s="185"/>
      <c r="I794" s="187"/>
      <c r="J794" s="188"/>
      <c r="K794" s="188"/>
      <c r="L794" s="188"/>
      <c r="M794" s="188"/>
      <c r="N794" s="188"/>
      <c r="O794" s="188"/>
      <c r="P794" s="188"/>
      <c r="Q794" s="171"/>
    </row>
    <row r="795" spans="3:17" ht="18.75" x14ac:dyDescent="0.3">
      <c r="C795" s="143">
        <f t="shared" si="701"/>
        <v>1</v>
      </c>
      <c r="D795" s="149" t="s">
        <v>118</v>
      </c>
      <c r="E795" s="38" t="s">
        <v>56</v>
      </c>
      <c r="F795" s="168">
        <f t="shared" ref="F795:P795" si="703">F$8*$E790</f>
        <v>0</v>
      </c>
      <c r="G795" s="186">
        <f t="shared" si="703"/>
        <v>0</v>
      </c>
      <c r="H795" s="186">
        <f t="shared" si="703"/>
        <v>0</v>
      </c>
      <c r="I795" s="186">
        <f t="shared" si="703"/>
        <v>0</v>
      </c>
      <c r="J795" s="186">
        <f t="shared" si="703"/>
        <v>0</v>
      </c>
      <c r="K795" s="186">
        <f t="shared" si="703"/>
        <v>0</v>
      </c>
      <c r="L795" s="186">
        <f t="shared" si="703"/>
        <v>0</v>
      </c>
      <c r="M795" s="186">
        <f t="shared" si="703"/>
        <v>0</v>
      </c>
      <c r="N795" s="186">
        <f t="shared" si="703"/>
        <v>0</v>
      </c>
      <c r="O795" s="186">
        <f t="shared" si="703"/>
        <v>0</v>
      </c>
      <c r="P795" s="186">
        <f t="shared" si="703"/>
        <v>0</v>
      </c>
      <c r="Q795" s="189">
        <f t="shared" ref="Q795:Q801" si="704">SUM(G795:P795)</f>
        <v>0</v>
      </c>
    </row>
    <row r="796" spans="3:17" ht="18.75" x14ac:dyDescent="0.3">
      <c r="C796" s="143">
        <f t="shared" si="701"/>
        <v>1</v>
      </c>
      <c r="D796" s="149" t="s">
        <v>119</v>
      </c>
      <c r="E796" s="38" t="s">
        <v>55</v>
      </c>
      <c r="F796" s="168">
        <f t="shared" ref="F796:P796" si="705">F$9*$E790</f>
        <v>0</v>
      </c>
      <c r="G796" s="186">
        <f t="shared" si="705"/>
        <v>0</v>
      </c>
      <c r="H796" s="186">
        <f t="shared" si="705"/>
        <v>0</v>
      </c>
      <c r="I796" s="186">
        <f t="shared" si="705"/>
        <v>0</v>
      </c>
      <c r="J796" s="186">
        <f t="shared" si="705"/>
        <v>0</v>
      </c>
      <c r="K796" s="186">
        <f t="shared" si="705"/>
        <v>0</v>
      </c>
      <c r="L796" s="186">
        <f t="shared" si="705"/>
        <v>0</v>
      </c>
      <c r="M796" s="186">
        <f t="shared" si="705"/>
        <v>0</v>
      </c>
      <c r="N796" s="186">
        <f t="shared" si="705"/>
        <v>0</v>
      </c>
      <c r="O796" s="186">
        <f t="shared" si="705"/>
        <v>0</v>
      </c>
      <c r="P796" s="186">
        <f t="shared" si="705"/>
        <v>0</v>
      </c>
      <c r="Q796" s="189">
        <f t="shared" si="704"/>
        <v>0</v>
      </c>
    </row>
    <row r="797" spans="3:17" ht="18.75" x14ac:dyDescent="0.3">
      <c r="C797" s="143">
        <f t="shared" si="701"/>
        <v>1</v>
      </c>
      <c r="D797" s="149" t="s">
        <v>120</v>
      </c>
      <c r="E797" s="38" t="s">
        <v>54</v>
      </c>
      <c r="F797" s="168">
        <f t="shared" ref="F797:P797" si="706">F$10*$E790</f>
        <v>0</v>
      </c>
      <c r="G797" s="186">
        <f t="shared" si="706"/>
        <v>0</v>
      </c>
      <c r="H797" s="186">
        <f t="shared" si="706"/>
        <v>0</v>
      </c>
      <c r="I797" s="186">
        <f t="shared" si="706"/>
        <v>0</v>
      </c>
      <c r="J797" s="186">
        <f t="shared" si="706"/>
        <v>0</v>
      </c>
      <c r="K797" s="186">
        <f t="shared" si="706"/>
        <v>0</v>
      </c>
      <c r="L797" s="186">
        <f t="shared" si="706"/>
        <v>0</v>
      </c>
      <c r="M797" s="186">
        <f t="shared" si="706"/>
        <v>0</v>
      </c>
      <c r="N797" s="186">
        <f t="shared" si="706"/>
        <v>0</v>
      </c>
      <c r="O797" s="186">
        <f t="shared" si="706"/>
        <v>0</v>
      </c>
      <c r="P797" s="186">
        <f t="shared" si="706"/>
        <v>0</v>
      </c>
      <c r="Q797" s="189">
        <f t="shared" si="704"/>
        <v>0</v>
      </c>
    </row>
    <row r="798" spans="3:17" ht="18.75" x14ac:dyDescent="0.3">
      <c r="C798" s="143">
        <f t="shared" si="701"/>
        <v>1</v>
      </c>
      <c r="D798" s="149" t="s">
        <v>121</v>
      </c>
      <c r="E798" s="38" t="s">
        <v>53</v>
      </c>
      <c r="F798" s="168">
        <f t="shared" ref="F798:P798" si="707">F$11*$E790</f>
        <v>0</v>
      </c>
      <c r="G798" s="186">
        <f t="shared" si="707"/>
        <v>0</v>
      </c>
      <c r="H798" s="186">
        <f t="shared" si="707"/>
        <v>0</v>
      </c>
      <c r="I798" s="186">
        <f t="shared" si="707"/>
        <v>0</v>
      </c>
      <c r="J798" s="186">
        <f t="shared" si="707"/>
        <v>0</v>
      </c>
      <c r="K798" s="186">
        <f t="shared" si="707"/>
        <v>0</v>
      </c>
      <c r="L798" s="186">
        <f t="shared" si="707"/>
        <v>0</v>
      </c>
      <c r="M798" s="186">
        <f t="shared" si="707"/>
        <v>0</v>
      </c>
      <c r="N798" s="186">
        <f t="shared" si="707"/>
        <v>0</v>
      </c>
      <c r="O798" s="186">
        <f t="shared" si="707"/>
        <v>0</v>
      </c>
      <c r="P798" s="186">
        <f t="shared" si="707"/>
        <v>0</v>
      </c>
      <c r="Q798" s="189">
        <f t="shared" si="704"/>
        <v>0</v>
      </c>
    </row>
    <row r="799" spans="3:17" ht="18.75" x14ac:dyDescent="0.3">
      <c r="C799" s="143">
        <f t="shared" si="701"/>
        <v>1</v>
      </c>
      <c r="D799" s="149" t="s">
        <v>122</v>
      </c>
      <c r="E799" s="38" t="s">
        <v>52</v>
      </c>
      <c r="F799" s="168">
        <f t="shared" ref="F799:P799" si="708">F$12*$E790</f>
        <v>0</v>
      </c>
      <c r="G799" s="186">
        <f t="shared" si="708"/>
        <v>0</v>
      </c>
      <c r="H799" s="186">
        <f t="shared" si="708"/>
        <v>0</v>
      </c>
      <c r="I799" s="186">
        <f t="shared" si="708"/>
        <v>0</v>
      </c>
      <c r="J799" s="186">
        <f t="shared" si="708"/>
        <v>0</v>
      </c>
      <c r="K799" s="186">
        <f t="shared" si="708"/>
        <v>0</v>
      </c>
      <c r="L799" s="186">
        <f t="shared" si="708"/>
        <v>0</v>
      </c>
      <c r="M799" s="186">
        <f t="shared" si="708"/>
        <v>0</v>
      </c>
      <c r="N799" s="186">
        <f t="shared" si="708"/>
        <v>0</v>
      </c>
      <c r="O799" s="186">
        <f t="shared" si="708"/>
        <v>0</v>
      </c>
      <c r="P799" s="186">
        <f t="shared" si="708"/>
        <v>0</v>
      </c>
      <c r="Q799" s="189">
        <f t="shared" si="704"/>
        <v>0</v>
      </c>
    </row>
    <row r="800" spans="3:17" ht="18.75" x14ac:dyDescent="0.3">
      <c r="C800" s="143">
        <f t="shared" si="701"/>
        <v>1</v>
      </c>
      <c r="D800" s="149" t="s">
        <v>123</v>
      </c>
      <c r="E800" s="38" t="s">
        <v>51</v>
      </c>
      <c r="F800" s="168">
        <f t="shared" ref="F800:P800" si="709">F$13*$E790</f>
        <v>0</v>
      </c>
      <c r="G800" s="186">
        <f t="shared" si="709"/>
        <v>0</v>
      </c>
      <c r="H800" s="186">
        <f t="shared" si="709"/>
        <v>0</v>
      </c>
      <c r="I800" s="186">
        <f t="shared" si="709"/>
        <v>0</v>
      </c>
      <c r="J800" s="186">
        <f t="shared" si="709"/>
        <v>0</v>
      </c>
      <c r="K800" s="186">
        <f t="shared" si="709"/>
        <v>0</v>
      </c>
      <c r="L800" s="186">
        <f t="shared" si="709"/>
        <v>0</v>
      </c>
      <c r="M800" s="186">
        <f t="shared" si="709"/>
        <v>0</v>
      </c>
      <c r="N800" s="186">
        <f t="shared" si="709"/>
        <v>0</v>
      </c>
      <c r="O800" s="186">
        <f t="shared" si="709"/>
        <v>0</v>
      </c>
      <c r="P800" s="186">
        <f t="shared" si="709"/>
        <v>0</v>
      </c>
      <c r="Q800" s="189">
        <f t="shared" si="704"/>
        <v>0</v>
      </c>
    </row>
    <row r="801" spans="3:17" ht="19.5" thickBot="1" x14ac:dyDescent="0.35">
      <c r="C801" s="143">
        <f t="shared" si="701"/>
        <v>1</v>
      </c>
      <c r="D801" s="149" t="s">
        <v>16</v>
      </c>
      <c r="E801" s="37" t="s">
        <v>50</v>
      </c>
      <c r="F801" s="168">
        <f t="shared" ref="F801:P801" si="710">F$14*$E790</f>
        <v>1.0604587881909568</v>
      </c>
      <c r="G801" s="186">
        <f t="shared" si="710"/>
        <v>1913.9194134428178</v>
      </c>
      <c r="H801" s="186">
        <f t="shared" si="710"/>
        <v>37.293899473913008</v>
      </c>
      <c r="I801" s="186">
        <f t="shared" si="710"/>
        <v>0</v>
      </c>
      <c r="J801" s="186">
        <f t="shared" si="710"/>
        <v>0</v>
      </c>
      <c r="K801" s="186">
        <f t="shared" si="710"/>
        <v>133.63988772415041</v>
      </c>
      <c r="L801" s="186">
        <f t="shared" si="710"/>
        <v>0</v>
      </c>
      <c r="M801" s="186">
        <f t="shared" si="710"/>
        <v>7.1729210583064432E-2</v>
      </c>
      <c r="N801" s="186">
        <f t="shared" si="710"/>
        <v>0</v>
      </c>
      <c r="O801" s="186">
        <f t="shared" si="710"/>
        <v>0</v>
      </c>
      <c r="P801" s="186">
        <f t="shared" si="710"/>
        <v>120.82934958572585</v>
      </c>
      <c r="Q801" s="189">
        <f t="shared" si="704"/>
        <v>2205.7542794371907</v>
      </c>
    </row>
    <row r="802" spans="3:17" ht="19.5" thickBot="1" x14ac:dyDescent="0.3">
      <c r="C802" s="143">
        <f t="shared" si="701"/>
        <v>1</v>
      </c>
      <c r="D802" s="148" t="s">
        <v>124</v>
      </c>
      <c r="E802" s="147" t="s">
        <v>49</v>
      </c>
      <c r="F802" s="169">
        <f t="shared" ref="F802:Q802" si="711">SUBTOTAL(9,F793:F801)</f>
        <v>17.00792898671391</v>
      </c>
      <c r="G802" s="170">
        <f t="shared" si="711"/>
        <v>33855.481135272414</v>
      </c>
      <c r="H802" s="170">
        <f t="shared" si="711"/>
        <v>518.83350054455286</v>
      </c>
      <c r="I802" s="170">
        <f t="shared" si="711"/>
        <v>0</v>
      </c>
      <c r="J802" s="170">
        <f t="shared" si="711"/>
        <v>613.6514749404904</v>
      </c>
      <c r="K802" s="170">
        <f t="shared" ref="K802:P802" si="712">SUBTOTAL(9,K793:K801)</f>
        <v>239.26317558859256</v>
      </c>
      <c r="L802" s="170">
        <f t="shared" si="712"/>
        <v>28.361927222572238</v>
      </c>
      <c r="M802" s="170">
        <f t="shared" si="712"/>
        <v>7.1729210583064432E-2</v>
      </c>
      <c r="N802" s="170">
        <f t="shared" si="712"/>
        <v>0</v>
      </c>
      <c r="O802" s="170">
        <f t="shared" si="712"/>
        <v>0</v>
      </c>
      <c r="P802" s="170">
        <f t="shared" si="712"/>
        <v>120.82934958572585</v>
      </c>
      <c r="Q802" s="170">
        <f t="shared" si="711"/>
        <v>35376.492292364936</v>
      </c>
    </row>
    <row r="803" spans="3:17" ht="15.75" hidden="1" thickBot="1" x14ac:dyDescent="0.3"/>
    <row r="804" spans="3:17" ht="45" x14ac:dyDescent="0.25">
      <c r="C804" s="143">
        <f>IF(E804&gt;0,1,0)</f>
        <v>1</v>
      </c>
      <c r="D804" s="163" t="str">
        <f>A60</f>
        <v>Warren</v>
      </c>
      <c r="E804" s="166">
        <f>SUMIF(A:A,D804,B:B)</f>
        <v>1.4283552517227942E-3</v>
      </c>
      <c r="F804" s="509" t="s">
        <v>97</v>
      </c>
      <c r="G804" s="509" t="s">
        <v>126</v>
      </c>
      <c r="H804" s="509" t="s">
        <v>127</v>
      </c>
      <c r="I804" s="508" t="s">
        <v>128</v>
      </c>
      <c r="J804" s="508" t="s">
        <v>487</v>
      </c>
      <c r="K804" s="508" t="s">
        <v>474</v>
      </c>
      <c r="L804" s="508" t="s">
        <v>475</v>
      </c>
      <c r="M804" s="508" t="s">
        <v>476</v>
      </c>
      <c r="N804" s="508" t="s">
        <v>477</v>
      </c>
      <c r="O804" s="508" t="s">
        <v>478</v>
      </c>
      <c r="P804" s="508" t="s">
        <v>479</v>
      </c>
      <c r="Q804" s="508" t="s">
        <v>129</v>
      </c>
    </row>
    <row r="805" spans="3:17" ht="18.75" x14ac:dyDescent="0.25">
      <c r="C805" s="143">
        <f>C804</f>
        <v>1</v>
      </c>
      <c r="D805" s="160"/>
      <c r="E805" s="159"/>
      <c r="F805" s="49" t="s">
        <v>57</v>
      </c>
      <c r="G805" s="49" t="s">
        <v>56</v>
      </c>
      <c r="H805" s="49" t="s">
        <v>55</v>
      </c>
      <c r="I805" s="49" t="s">
        <v>54</v>
      </c>
      <c r="J805" s="58" t="s">
        <v>53</v>
      </c>
      <c r="K805" s="49" t="s">
        <v>52</v>
      </c>
      <c r="L805" s="49" t="s">
        <v>51</v>
      </c>
      <c r="M805" s="49" t="s">
        <v>50</v>
      </c>
      <c r="N805" s="49" t="s">
        <v>49</v>
      </c>
      <c r="O805" s="49" t="s">
        <v>47</v>
      </c>
      <c r="P805" s="49" t="s">
        <v>77</v>
      </c>
      <c r="Q805" s="573" t="s">
        <v>78</v>
      </c>
    </row>
    <row r="806" spans="3:17" ht="18.75" x14ac:dyDescent="0.25">
      <c r="C806" s="143">
        <f>C805</f>
        <v>1</v>
      </c>
      <c r="D806" s="158" t="s">
        <v>26</v>
      </c>
      <c r="E806" s="157"/>
      <c r="F806" s="156"/>
      <c r="G806" s="156"/>
      <c r="H806" s="156"/>
      <c r="I806" s="155"/>
      <c r="J806" s="154"/>
      <c r="K806" s="154"/>
      <c r="L806" s="154"/>
      <c r="M806" s="154"/>
      <c r="N806" s="154"/>
      <c r="O806" s="154"/>
      <c r="P806" s="154"/>
      <c r="Q806" s="153"/>
    </row>
    <row r="807" spans="3:17" ht="18.75" x14ac:dyDescent="0.25">
      <c r="C807" s="143">
        <f t="shared" ref="C807:C816" si="713">C806</f>
        <v>1</v>
      </c>
      <c r="D807" s="152" t="s">
        <v>105</v>
      </c>
      <c r="E807" s="38" t="s">
        <v>57</v>
      </c>
      <c r="F807" s="168">
        <f t="shared" ref="F807:P807" si="714">F$6*$E804</f>
        <v>2.6710492551346974</v>
      </c>
      <c r="G807" s="186">
        <f t="shared" si="714"/>
        <v>5349.9071378000735</v>
      </c>
      <c r="H807" s="186">
        <f t="shared" si="714"/>
        <v>80.653293390491541</v>
      </c>
      <c r="I807" s="186">
        <f t="shared" si="714"/>
        <v>0</v>
      </c>
      <c r="J807" s="186">
        <f t="shared" si="714"/>
        <v>102.78077304097533</v>
      </c>
      <c r="K807" s="186">
        <f t="shared" si="714"/>
        <v>17.690893970212667</v>
      </c>
      <c r="L807" s="186">
        <f t="shared" si="714"/>
        <v>4.7503524784170823</v>
      </c>
      <c r="M807" s="186">
        <f t="shared" si="714"/>
        <v>0</v>
      </c>
      <c r="N807" s="186">
        <f t="shared" si="714"/>
        <v>0</v>
      </c>
      <c r="O807" s="186">
        <f t="shared" si="714"/>
        <v>0</v>
      </c>
      <c r="P807" s="186">
        <f t="shared" si="714"/>
        <v>0</v>
      </c>
      <c r="Q807" s="189">
        <f>SUM(G807:P807)</f>
        <v>5555.7824506801699</v>
      </c>
    </row>
    <row r="808" spans="3:17" ht="18.75" x14ac:dyDescent="0.25">
      <c r="C808" s="143">
        <f t="shared" si="713"/>
        <v>1</v>
      </c>
      <c r="D808" s="150" t="s">
        <v>31</v>
      </c>
      <c r="E808" s="38"/>
      <c r="F808" s="167"/>
      <c r="G808" s="185"/>
      <c r="H808" s="185"/>
      <c r="I808" s="187"/>
      <c r="J808" s="188"/>
      <c r="K808" s="188"/>
      <c r="L808" s="188"/>
      <c r="M808" s="188"/>
      <c r="N808" s="188"/>
      <c r="O808" s="188"/>
      <c r="P808" s="188"/>
      <c r="Q808" s="171"/>
    </row>
    <row r="809" spans="3:17" ht="18.75" x14ac:dyDescent="0.3">
      <c r="C809" s="143">
        <f t="shared" si="713"/>
        <v>1</v>
      </c>
      <c r="D809" s="149" t="s">
        <v>118</v>
      </c>
      <c r="E809" s="38" t="s">
        <v>56</v>
      </c>
      <c r="F809" s="168">
        <f t="shared" ref="F809:P809" si="715">F$8*$E804</f>
        <v>0</v>
      </c>
      <c r="G809" s="186">
        <f t="shared" si="715"/>
        <v>0</v>
      </c>
      <c r="H809" s="186">
        <f t="shared" si="715"/>
        <v>0</v>
      </c>
      <c r="I809" s="186">
        <f t="shared" si="715"/>
        <v>0</v>
      </c>
      <c r="J809" s="186">
        <f t="shared" si="715"/>
        <v>0</v>
      </c>
      <c r="K809" s="186">
        <f t="shared" si="715"/>
        <v>0</v>
      </c>
      <c r="L809" s="186">
        <f t="shared" si="715"/>
        <v>0</v>
      </c>
      <c r="M809" s="186">
        <f t="shared" si="715"/>
        <v>0</v>
      </c>
      <c r="N809" s="186">
        <f t="shared" si="715"/>
        <v>0</v>
      </c>
      <c r="O809" s="186">
        <f t="shared" si="715"/>
        <v>0</v>
      </c>
      <c r="P809" s="186">
        <f t="shared" si="715"/>
        <v>0</v>
      </c>
      <c r="Q809" s="189">
        <f t="shared" ref="Q809:Q815" si="716">SUM(G809:P809)</f>
        <v>0</v>
      </c>
    </row>
    <row r="810" spans="3:17" ht="18.75" x14ac:dyDescent="0.3">
      <c r="C810" s="143">
        <f t="shared" si="713"/>
        <v>1</v>
      </c>
      <c r="D810" s="149" t="s">
        <v>119</v>
      </c>
      <c r="E810" s="38" t="s">
        <v>55</v>
      </c>
      <c r="F810" s="168">
        <f t="shared" ref="F810:P810" si="717">F$9*$E804</f>
        <v>0</v>
      </c>
      <c r="G810" s="186">
        <f t="shared" si="717"/>
        <v>0</v>
      </c>
      <c r="H810" s="186">
        <f t="shared" si="717"/>
        <v>0</v>
      </c>
      <c r="I810" s="186">
        <f t="shared" si="717"/>
        <v>0</v>
      </c>
      <c r="J810" s="186">
        <f t="shared" si="717"/>
        <v>0</v>
      </c>
      <c r="K810" s="186">
        <f t="shared" si="717"/>
        <v>0</v>
      </c>
      <c r="L810" s="186">
        <f t="shared" si="717"/>
        <v>0</v>
      </c>
      <c r="M810" s="186">
        <f t="shared" si="717"/>
        <v>0</v>
      </c>
      <c r="N810" s="186">
        <f t="shared" si="717"/>
        <v>0</v>
      </c>
      <c r="O810" s="186">
        <f t="shared" si="717"/>
        <v>0</v>
      </c>
      <c r="P810" s="186">
        <f t="shared" si="717"/>
        <v>0</v>
      </c>
      <c r="Q810" s="189">
        <f t="shared" si="716"/>
        <v>0</v>
      </c>
    </row>
    <row r="811" spans="3:17" ht="18.75" x14ac:dyDescent="0.3">
      <c r="C811" s="143">
        <f t="shared" si="713"/>
        <v>1</v>
      </c>
      <c r="D811" s="149" t="s">
        <v>120</v>
      </c>
      <c r="E811" s="38" t="s">
        <v>54</v>
      </c>
      <c r="F811" s="168">
        <f t="shared" ref="F811:P811" si="718">F$10*$E804</f>
        <v>0</v>
      </c>
      <c r="G811" s="186">
        <f t="shared" si="718"/>
        <v>0</v>
      </c>
      <c r="H811" s="186">
        <f t="shared" si="718"/>
        <v>0</v>
      </c>
      <c r="I811" s="186">
        <f t="shared" si="718"/>
        <v>0</v>
      </c>
      <c r="J811" s="186">
        <f t="shared" si="718"/>
        <v>0</v>
      </c>
      <c r="K811" s="186">
        <f t="shared" si="718"/>
        <v>0</v>
      </c>
      <c r="L811" s="186">
        <f t="shared" si="718"/>
        <v>0</v>
      </c>
      <c r="M811" s="186">
        <f t="shared" si="718"/>
        <v>0</v>
      </c>
      <c r="N811" s="186">
        <f t="shared" si="718"/>
        <v>0</v>
      </c>
      <c r="O811" s="186">
        <f t="shared" si="718"/>
        <v>0</v>
      </c>
      <c r="P811" s="186">
        <f t="shared" si="718"/>
        <v>0</v>
      </c>
      <c r="Q811" s="189">
        <f t="shared" si="716"/>
        <v>0</v>
      </c>
    </row>
    <row r="812" spans="3:17" ht="18.75" x14ac:dyDescent="0.3">
      <c r="C812" s="143">
        <f t="shared" si="713"/>
        <v>1</v>
      </c>
      <c r="D812" s="149" t="s">
        <v>121</v>
      </c>
      <c r="E812" s="38" t="s">
        <v>53</v>
      </c>
      <c r="F812" s="168">
        <f t="shared" ref="F812:P812" si="719">F$11*$E804</f>
        <v>0</v>
      </c>
      <c r="G812" s="186">
        <f t="shared" si="719"/>
        <v>0</v>
      </c>
      <c r="H812" s="186">
        <f t="shared" si="719"/>
        <v>0</v>
      </c>
      <c r="I812" s="186">
        <f t="shared" si="719"/>
        <v>0</v>
      </c>
      <c r="J812" s="186">
        <f t="shared" si="719"/>
        <v>0</v>
      </c>
      <c r="K812" s="186">
        <f t="shared" si="719"/>
        <v>0</v>
      </c>
      <c r="L812" s="186">
        <f t="shared" si="719"/>
        <v>0</v>
      </c>
      <c r="M812" s="186">
        <f t="shared" si="719"/>
        <v>0</v>
      </c>
      <c r="N812" s="186">
        <f t="shared" si="719"/>
        <v>0</v>
      </c>
      <c r="O812" s="186">
        <f t="shared" si="719"/>
        <v>0</v>
      </c>
      <c r="P812" s="186">
        <f t="shared" si="719"/>
        <v>0</v>
      </c>
      <c r="Q812" s="189">
        <f t="shared" si="716"/>
        <v>0</v>
      </c>
    </row>
    <row r="813" spans="3:17" ht="18.75" x14ac:dyDescent="0.3">
      <c r="C813" s="143">
        <f t="shared" si="713"/>
        <v>1</v>
      </c>
      <c r="D813" s="149" t="s">
        <v>122</v>
      </c>
      <c r="E813" s="38" t="s">
        <v>52</v>
      </c>
      <c r="F813" s="168">
        <f t="shared" ref="F813:P813" si="720">F$12*$E804</f>
        <v>0</v>
      </c>
      <c r="G813" s="186">
        <f t="shared" si="720"/>
        <v>0</v>
      </c>
      <c r="H813" s="186">
        <f t="shared" si="720"/>
        <v>0</v>
      </c>
      <c r="I813" s="186">
        <f t="shared" si="720"/>
        <v>0</v>
      </c>
      <c r="J813" s="186">
        <f t="shared" si="720"/>
        <v>0</v>
      </c>
      <c r="K813" s="186">
        <f t="shared" si="720"/>
        <v>0</v>
      </c>
      <c r="L813" s="186">
        <f t="shared" si="720"/>
        <v>0</v>
      </c>
      <c r="M813" s="186">
        <f t="shared" si="720"/>
        <v>0</v>
      </c>
      <c r="N813" s="186">
        <f t="shared" si="720"/>
        <v>0</v>
      </c>
      <c r="O813" s="186">
        <f t="shared" si="720"/>
        <v>0</v>
      </c>
      <c r="P813" s="186">
        <f t="shared" si="720"/>
        <v>0</v>
      </c>
      <c r="Q813" s="189">
        <f t="shared" si="716"/>
        <v>0</v>
      </c>
    </row>
    <row r="814" spans="3:17" ht="18.75" x14ac:dyDescent="0.3">
      <c r="C814" s="143">
        <f t="shared" si="713"/>
        <v>1</v>
      </c>
      <c r="D814" s="149" t="s">
        <v>123</v>
      </c>
      <c r="E814" s="38" t="s">
        <v>51</v>
      </c>
      <c r="F814" s="168">
        <f t="shared" ref="F814:P814" si="721">F$13*$E804</f>
        <v>0</v>
      </c>
      <c r="G814" s="186">
        <f t="shared" si="721"/>
        <v>0</v>
      </c>
      <c r="H814" s="186">
        <f t="shared" si="721"/>
        <v>0</v>
      </c>
      <c r="I814" s="186">
        <f t="shared" si="721"/>
        <v>0</v>
      </c>
      <c r="J814" s="186">
        <f t="shared" si="721"/>
        <v>0</v>
      </c>
      <c r="K814" s="186">
        <f t="shared" si="721"/>
        <v>0</v>
      </c>
      <c r="L814" s="186">
        <f t="shared" si="721"/>
        <v>0</v>
      </c>
      <c r="M814" s="186">
        <f t="shared" si="721"/>
        <v>0</v>
      </c>
      <c r="N814" s="186">
        <f t="shared" si="721"/>
        <v>0</v>
      </c>
      <c r="O814" s="186">
        <f t="shared" si="721"/>
        <v>0</v>
      </c>
      <c r="P814" s="186">
        <f t="shared" si="721"/>
        <v>0</v>
      </c>
      <c r="Q814" s="189">
        <f t="shared" si="716"/>
        <v>0</v>
      </c>
    </row>
    <row r="815" spans="3:17" ht="19.5" thickBot="1" x14ac:dyDescent="0.35">
      <c r="C815" s="143">
        <f t="shared" si="713"/>
        <v>1</v>
      </c>
      <c r="D815" s="149" t="s">
        <v>16</v>
      </c>
      <c r="E815" s="37" t="s">
        <v>50</v>
      </c>
      <c r="F815" s="168">
        <f t="shared" ref="F815:P815" si="722">F$14*$E804</f>
        <v>0.177616739271966</v>
      </c>
      <c r="G815" s="186">
        <f t="shared" si="722"/>
        <v>320.56325925210149</v>
      </c>
      <c r="H815" s="186">
        <f t="shared" si="722"/>
        <v>6.2463726955319725</v>
      </c>
      <c r="I815" s="186">
        <f t="shared" si="722"/>
        <v>0</v>
      </c>
      <c r="J815" s="186">
        <f t="shared" si="722"/>
        <v>0</v>
      </c>
      <c r="K815" s="186">
        <f t="shared" si="722"/>
        <v>22.383407406833587</v>
      </c>
      <c r="L815" s="186">
        <f t="shared" si="722"/>
        <v>0</v>
      </c>
      <c r="M815" s="186">
        <f t="shared" si="722"/>
        <v>1.2013959086566552E-2</v>
      </c>
      <c r="N815" s="186">
        <f t="shared" si="722"/>
        <v>0</v>
      </c>
      <c r="O815" s="186">
        <f t="shared" si="722"/>
        <v>0</v>
      </c>
      <c r="P815" s="186">
        <f t="shared" si="722"/>
        <v>20.237764372135658</v>
      </c>
      <c r="Q815" s="189">
        <f t="shared" si="716"/>
        <v>369.44281768568931</v>
      </c>
    </row>
    <row r="816" spans="3:17" ht="19.5" thickBot="1" x14ac:dyDescent="0.3">
      <c r="C816" s="143">
        <f t="shared" si="713"/>
        <v>1</v>
      </c>
      <c r="D816" s="148" t="s">
        <v>124</v>
      </c>
      <c r="E816" s="147" t="s">
        <v>49</v>
      </c>
      <c r="F816" s="169">
        <f t="shared" ref="F816:Q816" si="723">SUBTOTAL(9,F807:F815)</f>
        <v>2.8486659944066632</v>
      </c>
      <c r="G816" s="170">
        <f t="shared" si="723"/>
        <v>5670.470397052175</v>
      </c>
      <c r="H816" s="170">
        <f t="shared" si="723"/>
        <v>86.899666086023515</v>
      </c>
      <c r="I816" s="170">
        <f t="shared" si="723"/>
        <v>0</v>
      </c>
      <c r="J816" s="170">
        <f t="shared" si="723"/>
        <v>102.78077304097533</v>
      </c>
      <c r="K816" s="170">
        <f t="shared" ref="K816:P816" si="724">SUBTOTAL(9,K807:K815)</f>
        <v>40.074301377046254</v>
      </c>
      <c r="L816" s="170">
        <f t="shared" si="724"/>
        <v>4.7503524784170823</v>
      </c>
      <c r="M816" s="170">
        <f t="shared" si="724"/>
        <v>1.2013959086566552E-2</v>
      </c>
      <c r="N816" s="170">
        <f t="shared" si="724"/>
        <v>0</v>
      </c>
      <c r="O816" s="170">
        <f t="shared" si="724"/>
        <v>0</v>
      </c>
      <c r="P816" s="170">
        <f t="shared" si="724"/>
        <v>20.237764372135658</v>
      </c>
      <c r="Q816" s="170">
        <f t="shared" si="723"/>
        <v>5925.2252683658589</v>
      </c>
    </row>
    <row r="817" spans="3:17" ht="15.75" hidden="1" thickBot="1" x14ac:dyDescent="0.3"/>
    <row r="818" spans="3:17" ht="45" x14ac:dyDescent="0.25">
      <c r="C818" s="143">
        <f>IF(E818&gt;0,1,0)</f>
        <v>1</v>
      </c>
      <c r="D818" s="163" t="str">
        <f>A61</f>
        <v>Washington</v>
      </c>
      <c r="E818" s="166">
        <f>SUMIF(A:A,D818,B:B)</f>
        <v>2.2537928136298082E-3</v>
      </c>
      <c r="F818" s="509" t="s">
        <v>97</v>
      </c>
      <c r="G818" s="509" t="s">
        <v>126</v>
      </c>
      <c r="H818" s="509" t="s">
        <v>127</v>
      </c>
      <c r="I818" s="508" t="s">
        <v>128</v>
      </c>
      <c r="J818" s="508" t="s">
        <v>487</v>
      </c>
      <c r="K818" s="508" t="s">
        <v>474</v>
      </c>
      <c r="L818" s="508" t="s">
        <v>475</v>
      </c>
      <c r="M818" s="508" t="s">
        <v>476</v>
      </c>
      <c r="N818" s="508" t="s">
        <v>477</v>
      </c>
      <c r="O818" s="508" t="s">
        <v>478</v>
      </c>
      <c r="P818" s="508" t="s">
        <v>479</v>
      </c>
      <c r="Q818" s="508" t="s">
        <v>129</v>
      </c>
    </row>
    <row r="819" spans="3:17" ht="18.75" x14ac:dyDescent="0.25">
      <c r="C819" s="143">
        <f>C818</f>
        <v>1</v>
      </c>
      <c r="D819" s="160"/>
      <c r="E819" s="159"/>
      <c r="F819" s="49" t="s">
        <v>57</v>
      </c>
      <c r="G819" s="49" t="s">
        <v>56</v>
      </c>
      <c r="H819" s="49" t="s">
        <v>55</v>
      </c>
      <c r="I819" s="49" t="s">
        <v>54</v>
      </c>
      <c r="J819" s="58" t="s">
        <v>53</v>
      </c>
      <c r="K819" s="49" t="s">
        <v>52</v>
      </c>
      <c r="L819" s="49" t="s">
        <v>51</v>
      </c>
      <c r="M819" s="49" t="s">
        <v>50</v>
      </c>
      <c r="N819" s="49" t="s">
        <v>49</v>
      </c>
      <c r="O819" s="49" t="s">
        <v>47</v>
      </c>
      <c r="P819" s="49" t="s">
        <v>77</v>
      </c>
      <c r="Q819" s="573" t="s">
        <v>78</v>
      </c>
    </row>
    <row r="820" spans="3:17" ht="18.75" x14ac:dyDescent="0.25">
      <c r="C820" s="143">
        <f>C819</f>
        <v>1</v>
      </c>
      <c r="D820" s="158" t="s">
        <v>26</v>
      </c>
      <c r="E820" s="157"/>
      <c r="F820" s="156"/>
      <c r="G820" s="156"/>
      <c r="H820" s="156"/>
      <c r="I820" s="155"/>
      <c r="J820" s="154"/>
      <c r="K820" s="154"/>
      <c r="L820" s="154"/>
      <c r="M820" s="154"/>
      <c r="N820" s="154"/>
      <c r="O820" s="154"/>
      <c r="P820" s="154"/>
      <c r="Q820" s="153"/>
    </row>
    <row r="821" spans="3:17" ht="18.75" x14ac:dyDescent="0.25">
      <c r="C821" s="143">
        <f t="shared" ref="C821:C830" si="725">C820</f>
        <v>1</v>
      </c>
      <c r="D821" s="152" t="s">
        <v>105</v>
      </c>
      <c r="E821" s="38" t="s">
        <v>57</v>
      </c>
      <c r="F821" s="168">
        <f t="shared" ref="F821:P821" si="726">F$6*$E818</f>
        <v>4.2146319053420989</v>
      </c>
      <c r="G821" s="186">
        <f t="shared" si="726"/>
        <v>8441.5849952016561</v>
      </c>
      <c r="H821" s="186">
        <f t="shared" si="726"/>
        <v>127.2623269454987</v>
      </c>
      <c r="I821" s="186">
        <f t="shared" si="726"/>
        <v>0</v>
      </c>
      <c r="J821" s="186">
        <f t="shared" si="726"/>
        <v>162.17713862126996</v>
      </c>
      <c r="K821" s="186">
        <f t="shared" si="726"/>
        <v>27.914350893211989</v>
      </c>
      <c r="L821" s="186">
        <f t="shared" si="726"/>
        <v>7.4955514499293345</v>
      </c>
      <c r="M821" s="186">
        <f t="shared" si="726"/>
        <v>0</v>
      </c>
      <c r="N821" s="186">
        <f t="shared" si="726"/>
        <v>0</v>
      </c>
      <c r="O821" s="186">
        <f t="shared" si="726"/>
        <v>0</v>
      </c>
      <c r="P821" s="186">
        <f t="shared" si="726"/>
        <v>0</v>
      </c>
      <c r="Q821" s="189">
        <f>SUM(G821:P821)</f>
        <v>8766.4343631115644</v>
      </c>
    </row>
    <row r="822" spans="3:17" ht="18.75" x14ac:dyDescent="0.25">
      <c r="C822" s="143">
        <f t="shared" si="725"/>
        <v>1</v>
      </c>
      <c r="D822" s="150" t="s">
        <v>31</v>
      </c>
      <c r="E822" s="38"/>
      <c r="F822" s="167"/>
      <c r="G822" s="185"/>
      <c r="H822" s="185"/>
      <c r="I822" s="187"/>
      <c r="J822" s="188"/>
      <c r="K822" s="188"/>
      <c r="L822" s="188"/>
      <c r="M822" s="188"/>
      <c r="N822" s="188"/>
      <c r="O822" s="188"/>
      <c r="P822" s="188"/>
      <c r="Q822" s="171"/>
    </row>
    <row r="823" spans="3:17" ht="18.75" x14ac:dyDescent="0.3">
      <c r="C823" s="143">
        <f t="shared" si="725"/>
        <v>1</v>
      </c>
      <c r="D823" s="149" t="s">
        <v>118</v>
      </c>
      <c r="E823" s="38" t="s">
        <v>56</v>
      </c>
      <c r="F823" s="168">
        <f t="shared" ref="F823:P823" si="727">F$8*$E818</f>
        <v>0</v>
      </c>
      <c r="G823" s="186">
        <f t="shared" si="727"/>
        <v>0</v>
      </c>
      <c r="H823" s="186">
        <f t="shared" si="727"/>
        <v>0</v>
      </c>
      <c r="I823" s="186">
        <f t="shared" si="727"/>
        <v>0</v>
      </c>
      <c r="J823" s="186">
        <f t="shared" si="727"/>
        <v>0</v>
      </c>
      <c r="K823" s="186">
        <f t="shared" si="727"/>
        <v>0</v>
      </c>
      <c r="L823" s="186">
        <f t="shared" si="727"/>
        <v>0</v>
      </c>
      <c r="M823" s="186">
        <f t="shared" si="727"/>
        <v>0</v>
      </c>
      <c r="N823" s="186">
        <f t="shared" si="727"/>
        <v>0</v>
      </c>
      <c r="O823" s="186">
        <f t="shared" si="727"/>
        <v>0</v>
      </c>
      <c r="P823" s="186">
        <f t="shared" si="727"/>
        <v>0</v>
      </c>
      <c r="Q823" s="189">
        <f t="shared" ref="Q823:Q829" si="728">SUM(G823:P823)</f>
        <v>0</v>
      </c>
    </row>
    <row r="824" spans="3:17" ht="18.75" x14ac:dyDescent="0.3">
      <c r="C824" s="143">
        <f t="shared" si="725"/>
        <v>1</v>
      </c>
      <c r="D824" s="149" t="s">
        <v>119</v>
      </c>
      <c r="E824" s="38" t="s">
        <v>55</v>
      </c>
      <c r="F824" s="168">
        <f t="shared" ref="F824:P824" si="729">F$9*$E818</f>
        <v>0</v>
      </c>
      <c r="G824" s="186">
        <f t="shared" si="729"/>
        <v>0</v>
      </c>
      <c r="H824" s="186">
        <f t="shared" si="729"/>
        <v>0</v>
      </c>
      <c r="I824" s="186">
        <f t="shared" si="729"/>
        <v>0</v>
      </c>
      <c r="J824" s="186">
        <f t="shared" si="729"/>
        <v>0</v>
      </c>
      <c r="K824" s="186">
        <f t="shared" si="729"/>
        <v>0</v>
      </c>
      <c r="L824" s="186">
        <f t="shared" si="729"/>
        <v>0</v>
      </c>
      <c r="M824" s="186">
        <f t="shared" si="729"/>
        <v>0</v>
      </c>
      <c r="N824" s="186">
        <f t="shared" si="729"/>
        <v>0</v>
      </c>
      <c r="O824" s="186">
        <f t="shared" si="729"/>
        <v>0</v>
      </c>
      <c r="P824" s="186">
        <f t="shared" si="729"/>
        <v>0</v>
      </c>
      <c r="Q824" s="189">
        <f t="shared" si="728"/>
        <v>0</v>
      </c>
    </row>
    <row r="825" spans="3:17" ht="18.75" x14ac:dyDescent="0.3">
      <c r="C825" s="143">
        <f t="shared" si="725"/>
        <v>1</v>
      </c>
      <c r="D825" s="149" t="s">
        <v>120</v>
      </c>
      <c r="E825" s="38" t="s">
        <v>54</v>
      </c>
      <c r="F825" s="168">
        <f t="shared" ref="F825:P825" si="730">F$10*$E818</f>
        <v>0</v>
      </c>
      <c r="G825" s="186">
        <f t="shared" si="730"/>
        <v>0</v>
      </c>
      <c r="H825" s="186">
        <f t="shared" si="730"/>
        <v>0</v>
      </c>
      <c r="I825" s="186">
        <f t="shared" si="730"/>
        <v>0</v>
      </c>
      <c r="J825" s="186">
        <f t="shared" si="730"/>
        <v>0</v>
      </c>
      <c r="K825" s="186">
        <f t="shared" si="730"/>
        <v>0</v>
      </c>
      <c r="L825" s="186">
        <f t="shared" si="730"/>
        <v>0</v>
      </c>
      <c r="M825" s="186">
        <f t="shared" si="730"/>
        <v>0</v>
      </c>
      <c r="N825" s="186">
        <f t="shared" si="730"/>
        <v>0</v>
      </c>
      <c r="O825" s="186">
        <f t="shared" si="730"/>
        <v>0</v>
      </c>
      <c r="P825" s="186">
        <f t="shared" si="730"/>
        <v>0</v>
      </c>
      <c r="Q825" s="189">
        <f t="shared" si="728"/>
        <v>0</v>
      </c>
    </row>
    <row r="826" spans="3:17" ht="18.75" x14ac:dyDescent="0.3">
      <c r="C826" s="143">
        <f t="shared" si="725"/>
        <v>1</v>
      </c>
      <c r="D826" s="149" t="s">
        <v>121</v>
      </c>
      <c r="E826" s="38" t="s">
        <v>53</v>
      </c>
      <c r="F826" s="168">
        <f t="shared" ref="F826:P826" si="731">F$11*$E818</f>
        <v>0</v>
      </c>
      <c r="G826" s="186">
        <f t="shared" si="731"/>
        <v>0</v>
      </c>
      <c r="H826" s="186">
        <f t="shared" si="731"/>
        <v>0</v>
      </c>
      <c r="I826" s="186">
        <f t="shared" si="731"/>
        <v>0</v>
      </c>
      <c r="J826" s="186">
        <f t="shared" si="731"/>
        <v>0</v>
      </c>
      <c r="K826" s="186">
        <f t="shared" si="731"/>
        <v>0</v>
      </c>
      <c r="L826" s="186">
        <f t="shared" si="731"/>
        <v>0</v>
      </c>
      <c r="M826" s="186">
        <f t="shared" si="731"/>
        <v>0</v>
      </c>
      <c r="N826" s="186">
        <f t="shared" si="731"/>
        <v>0</v>
      </c>
      <c r="O826" s="186">
        <f t="shared" si="731"/>
        <v>0</v>
      </c>
      <c r="P826" s="186">
        <f t="shared" si="731"/>
        <v>0</v>
      </c>
      <c r="Q826" s="189">
        <f t="shared" si="728"/>
        <v>0</v>
      </c>
    </row>
    <row r="827" spans="3:17" ht="18.75" x14ac:dyDescent="0.3">
      <c r="C827" s="143">
        <f t="shared" si="725"/>
        <v>1</v>
      </c>
      <c r="D827" s="149" t="s">
        <v>122</v>
      </c>
      <c r="E827" s="38" t="s">
        <v>52</v>
      </c>
      <c r="F827" s="168">
        <f t="shared" ref="F827:P827" si="732">F$12*$E818</f>
        <v>0</v>
      </c>
      <c r="G827" s="186">
        <f t="shared" si="732"/>
        <v>0</v>
      </c>
      <c r="H827" s="186">
        <f t="shared" si="732"/>
        <v>0</v>
      </c>
      <c r="I827" s="186">
        <f t="shared" si="732"/>
        <v>0</v>
      </c>
      <c r="J827" s="186">
        <f t="shared" si="732"/>
        <v>0</v>
      </c>
      <c r="K827" s="186">
        <f t="shared" si="732"/>
        <v>0</v>
      </c>
      <c r="L827" s="186">
        <f t="shared" si="732"/>
        <v>0</v>
      </c>
      <c r="M827" s="186">
        <f t="shared" si="732"/>
        <v>0</v>
      </c>
      <c r="N827" s="186">
        <f t="shared" si="732"/>
        <v>0</v>
      </c>
      <c r="O827" s="186">
        <f t="shared" si="732"/>
        <v>0</v>
      </c>
      <c r="P827" s="186">
        <f t="shared" si="732"/>
        <v>0</v>
      </c>
      <c r="Q827" s="189">
        <f t="shared" si="728"/>
        <v>0</v>
      </c>
    </row>
    <row r="828" spans="3:17" ht="18.75" x14ac:dyDescent="0.3">
      <c r="C828" s="143">
        <f t="shared" si="725"/>
        <v>1</v>
      </c>
      <c r="D828" s="149" t="s">
        <v>123</v>
      </c>
      <c r="E828" s="38" t="s">
        <v>51</v>
      </c>
      <c r="F828" s="168">
        <f t="shared" ref="F828:P828" si="733">F$13*$E818</f>
        <v>0</v>
      </c>
      <c r="G828" s="186">
        <f t="shared" si="733"/>
        <v>0</v>
      </c>
      <c r="H828" s="186">
        <f t="shared" si="733"/>
        <v>0</v>
      </c>
      <c r="I828" s="186">
        <f t="shared" si="733"/>
        <v>0</v>
      </c>
      <c r="J828" s="186">
        <f t="shared" si="733"/>
        <v>0</v>
      </c>
      <c r="K828" s="186">
        <f t="shared" si="733"/>
        <v>0</v>
      </c>
      <c r="L828" s="186">
        <f t="shared" si="733"/>
        <v>0</v>
      </c>
      <c r="M828" s="186">
        <f t="shared" si="733"/>
        <v>0</v>
      </c>
      <c r="N828" s="186">
        <f t="shared" si="733"/>
        <v>0</v>
      </c>
      <c r="O828" s="186">
        <f t="shared" si="733"/>
        <v>0</v>
      </c>
      <c r="P828" s="186">
        <f t="shared" si="733"/>
        <v>0</v>
      </c>
      <c r="Q828" s="189">
        <f t="shared" si="728"/>
        <v>0</v>
      </c>
    </row>
    <row r="829" spans="3:17" ht="19.5" thickBot="1" x14ac:dyDescent="0.35">
      <c r="C829" s="143">
        <f t="shared" si="725"/>
        <v>1</v>
      </c>
      <c r="D829" s="149" t="s">
        <v>16</v>
      </c>
      <c r="E829" s="37" t="s">
        <v>50</v>
      </c>
      <c r="F829" s="168">
        <f t="shared" ref="F829:P829" si="734">F$14*$E818</f>
        <v>0.28026034144424883</v>
      </c>
      <c r="G829" s="186">
        <f t="shared" si="734"/>
        <v>505.81476081998557</v>
      </c>
      <c r="H829" s="186">
        <f t="shared" si="734"/>
        <v>9.8561123890316225</v>
      </c>
      <c r="I829" s="186">
        <f t="shared" si="734"/>
        <v>0</v>
      </c>
      <c r="J829" s="186">
        <f t="shared" si="734"/>
        <v>0</v>
      </c>
      <c r="K829" s="186">
        <f t="shared" si="734"/>
        <v>35.318638481024252</v>
      </c>
      <c r="L829" s="186">
        <f t="shared" si="734"/>
        <v>0</v>
      </c>
      <c r="M829" s="186">
        <f t="shared" si="734"/>
        <v>1.8956750864245885E-2</v>
      </c>
      <c r="N829" s="186">
        <f t="shared" si="734"/>
        <v>0</v>
      </c>
      <c r="O829" s="186">
        <f t="shared" si="734"/>
        <v>0</v>
      </c>
      <c r="P829" s="186">
        <f t="shared" si="734"/>
        <v>31.933041763131865</v>
      </c>
      <c r="Q829" s="189">
        <f t="shared" si="728"/>
        <v>582.94151020403751</v>
      </c>
    </row>
    <row r="830" spans="3:17" ht="19.5" thickBot="1" x14ac:dyDescent="0.3">
      <c r="C830" s="143">
        <f t="shared" si="725"/>
        <v>1</v>
      </c>
      <c r="D830" s="148" t="s">
        <v>124</v>
      </c>
      <c r="E830" s="147" t="s">
        <v>49</v>
      </c>
      <c r="F830" s="169">
        <f t="shared" ref="F830:Q830" si="735">SUBTOTAL(9,F821:F829)</f>
        <v>4.4948922467863479</v>
      </c>
      <c r="G830" s="170">
        <f t="shared" si="735"/>
        <v>8947.3997560216412</v>
      </c>
      <c r="H830" s="170">
        <f t="shared" si="735"/>
        <v>137.11843933453031</v>
      </c>
      <c r="I830" s="170">
        <f t="shared" si="735"/>
        <v>0</v>
      </c>
      <c r="J830" s="170">
        <f t="shared" si="735"/>
        <v>162.17713862126996</v>
      </c>
      <c r="K830" s="170">
        <f t="shared" ref="K830:P830" si="736">SUBTOTAL(9,K821:K829)</f>
        <v>63.23298937423624</v>
      </c>
      <c r="L830" s="170">
        <f t="shared" si="736"/>
        <v>7.4955514499293345</v>
      </c>
      <c r="M830" s="170">
        <f t="shared" si="736"/>
        <v>1.8956750864245885E-2</v>
      </c>
      <c r="N830" s="170">
        <f t="shared" si="736"/>
        <v>0</v>
      </c>
      <c r="O830" s="170">
        <f t="shared" si="736"/>
        <v>0</v>
      </c>
      <c r="P830" s="170">
        <f t="shared" si="736"/>
        <v>31.933041763131865</v>
      </c>
      <c r="Q830" s="170">
        <f t="shared" si="735"/>
        <v>9349.3758733156028</v>
      </c>
    </row>
    <row r="831" spans="3:17" ht="15.75" hidden="1" thickBot="1" x14ac:dyDescent="0.3"/>
    <row r="832" spans="3:17" ht="45" x14ac:dyDescent="0.25">
      <c r="C832" s="143">
        <f>IF(E832&gt;0,1,0)</f>
        <v>1</v>
      </c>
      <c r="D832" s="163" t="str">
        <f>A62</f>
        <v>Wayne</v>
      </c>
      <c r="E832" s="166">
        <f>SUMIF(A:A,D832,B:B)</f>
        <v>8.7420816049703603E-4</v>
      </c>
      <c r="F832" s="509" t="s">
        <v>97</v>
      </c>
      <c r="G832" s="509" t="s">
        <v>126</v>
      </c>
      <c r="H832" s="509" t="s">
        <v>127</v>
      </c>
      <c r="I832" s="508" t="s">
        <v>128</v>
      </c>
      <c r="J832" s="508" t="s">
        <v>487</v>
      </c>
      <c r="K832" s="508" t="s">
        <v>474</v>
      </c>
      <c r="L832" s="508" t="s">
        <v>475</v>
      </c>
      <c r="M832" s="508" t="s">
        <v>476</v>
      </c>
      <c r="N832" s="508" t="s">
        <v>477</v>
      </c>
      <c r="O832" s="508" t="s">
        <v>478</v>
      </c>
      <c r="P832" s="508" t="s">
        <v>479</v>
      </c>
      <c r="Q832" s="508" t="s">
        <v>129</v>
      </c>
    </row>
    <row r="833" spans="3:17" ht="18.75" x14ac:dyDescent="0.25">
      <c r="C833" s="143">
        <f>C832</f>
        <v>1</v>
      </c>
      <c r="D833" s="160"/>
      <c r="E833" s="159"/>
      <c r="F833" s="49" t="s">
        <v>57</v>
      </c>
      <c r="G833" s="49" t="s">
        <v>56</v>
      </c>
      <c r="H833" s="49" t="s">
        <v>55</v>
      </c>
      <c r="I833" s="49" t="s">
        <v>54</v>
      </c>
      <c r="J833" s="58" t="s">
        <v>53</v>
      </c>
      <c r="K833" s="49" t="s">
        <v>52</v>
      </c>
      <c r="L833" s="49" t="s">
        <v>51</v>
      </c>
      <c r="M833" s="49" t="s">
        <v>50</v>
      </c>
      <c r="N833" s="49" t="s">
        <v>49</v>
      </c>
      <c r="O833" s="49" t="s">
        <v>47</v>
      </c>
      <c r="P833" s="49" t="s">
        <v>77</v>
      </c>
      <c r="Q833" s="573" t="s">
        <v>78</v>
      </c>
    </row>
    <row r="834" spans="3:17" ht="18.75" x14ac:dyDescent="0.25">
      <c r="C834" s="143">
        <f>C833</f>
        <v>1</v>
      </c>
      <c r="D834" s="158" t="s">
        <v>26</v>
      </c>
      <c r="E834" s="157"/>
      <c r="F834" s="156"/>
      <c r="G834" s="156"/>
      <c r="H834" s="156"/>
      <c r="I834" s="155"/>
      <c r="J834" s="154"/>
      <c r="K834" s="154"/>
      <c r="L834" s="154"/>
      <c r="M834" s="154"/>
      <c r="N834" s="154"/>
      <c r="O834" s="154"/>
      <c r="P834" s="154"/>
      <c r="Q834" s="153"/>
    </row>
    <row r="835" spans="3:17" ht="18.75" x14ac:dyDescent="0.25">
      <c r="C835" s="143">
        <f t="shared" ref="C835:C844" si="737">C834</f>
        <v>1</v>
      </c>
      <c r="D835" s="152" t="s">
        <v>105</v>
      </c>
      <c r="E835" s="38" t="s">
        <v>57</v>
      </c>
      <c r="F835" s="168">
        <f t="shared" ref="F835:P835" si="738">F$6*$E832</f>
        <v>1.6347845209459517</v>
      </c>
      <c r="G835" s="186">
        <f t="shared" si="738"/>
        <v>3274.3482212321742</v>
      </c>
      <c r="H835" s="186">
        <f t="shared" si="738"/>
        <v>49.362906859401562</v>
      </c>
      <c r="I835" s="186">
        <f t="shared" si="738"/>
        <v>0</v>
      </c>
      <c r="J835" s="186">
        <f t="shared" si="738"/>
        <v>62.905772514394229</v>
      </c>
      <c r="K835" s="186">
        <f t="shared" si="738"/>
        <v>10.827505171836039</v>
      </c>
      <c r="L835" s="186">
        <f t="shared" si="738"/>
        <v>2.9073977897730177</v>
      </c>
      <c r="M835" s="186">
        <f t="shared" si="738"/>
        <v>0</v>
      </c>
      <c r="N835" s="186">
        <f t="shared" si="738"/>
        <v>0</v>
      </c>
      <c r="O835" s="186">
        <f t="shared" si="738"/>
        <v>0</v>
      </c>
      <c r="P835" s="186">
        <f t="shared" si="738"/>
        <v>0</v>
      </c>
      <c r="Q835" s="189">
        <f>SUM(G835:P835)</f>
        <v>3400.3518035675788</v>
      </c>
    </row>
    <row r="836" spans="3:17" ht="18.75" x14ac:dyDescent="0.25">
      <c r="C836" s="143">
        <f t="shared" si="737"/>
        <v>1</v>
      </c>
      <c r="D836" s="150" t="s">
        <v>31</v>
      </c>
      <c r="E836" s="38"/>
      <c r="F836" s="167"/>
      <c r="G836" s="185"/>
      <c r="H836" s="185"/>
      <c r="I836" s="187"/>
      <c r="J836" s="188"/>
      <c r="K836" s="188"/>
      <c r="L836" s="188"/>
      <c r="M836" s="188"/>
      <c r="N836" s="188"/>
      <c r="O836" s="188"/>
      <c r="P836" s="188"/>
      <c r="Q836" s="171"/>
    </row>
    <row r="837" spans="3:17" ht="18.75" x14ac:dyDescent="0.3">
      <c r="C837" s="143">
        <f t="shared" si="737"/>
        <v>1</v>
      </c>
      <c r="D837" s="149" t="s">
        <v>118</v>
      </c>
      <c r="E837" s="38" t="s">
        <v>56</v>
      </c>
      <c r="F837" s="168">
        <f t="shared" ref="F837:P837" si="739">F$8*$E832</f>
        <v>0</v>
      </c>
      <c r="G837" s="186">
        <f t="shared" si="739"/>
        <v>0</v>
      </c>
      <c r="H837" s="186">
        <f t="shared" si="739"/>
        <v>0</v>
      </c>
      <c r="I837" s="186">
        <f t="shared" si="739"/>
        <v>0</v>
      </c>
      <c r="J837" s="186">
        <f t="shared" si="739"/>
        <v>0</v>
      </c>
      <c r="K837" s="186">
        <f t="shared" si="739"/>
        <v>0</v>
      </c>
      <c r="L837" s="186">
        <f t="shared" si="739"/>
        <v>0</v>
      </c>
      <c r="M837" s="186">
        <f t="shared" si="739"/>
        <v>0</v>
      </c>
      <c r="N837" s="186">
        <f t="shared" si="739"/>
        <v>0</v>
      </c>
      <c r="O837" s="186">
        <f t="shared" si="739"/>
        <v>0</v>
      </c>
      <c r="P837" s="186">
        <f t="shared" si="739"/>
        <v>0</v>
      </c>
      <c r="Q837" s="189">
        <f t="shared" ref="Q837:Q843" si="740">SUM(G837:P837)</f>
        <v>0</v>
      </c>
    </row>
    <row r="838" spans="3:17" ht="18.75" x14ac:dyDescent="0.3">
      <c r="C838" s="143">
        <f t="shared" si="737"/>
        <v>1</v>
      </c>
      <c r="D838" s="149" t="s">
        <v>119</v>
      </c>
      <c r="E838" s="38" t="s">
        <v>55</v>
      </c>
      <c r="F838" s="168">
        <f t="shared" ref="F838:P838" si="741">F$9*$E832</f>
        <v>0</v>
      </c>
      <c r="G838" s="186">
        <f t="shared" si="741"/>
        <v>0</v>
      </c>
      <c r="H838" s="186">
        <f t="shared" si="741"/>
        <v>0</v>
      </c>
      <c r="I838" s="186">
        <f t="shared" si="741"/>
        <v>0</v>
      </c>
      <c r="J838" s="186">
        <f t="shared" si="741"/>
        <v>0</v>
      </c>
      <c r="K838" s="186">
        <f t="shared" si="741"/>
        <v>0</v>
      </c>
      <c r="L838" s="186">
        <f t="shared" si="741"/>
        <v>0</v>
      </c>
      <c r="M838" s="186">
        <f t="shared" si="741"/>
        <v>0</v>
      </c>
      <c r="N838" s="186">
        <f t="shared" si="741"/>
        <v>0</v>
      </c>
      <c r="O838" s="186">
        <f t="shared" si="741"/>
        <v>0</v>
      </c>
      <c r="P838" s="186">
        <f t="shared" si="741"/>
        <v>0</v>
      </c>
      <c r="Q838" s="189">
        <f t="shared" si="740"/>
        <v>0</v>
      </c>
    </row>
    <row r="839" spans="3:17" ht="18.75" x14ac:dyDescent="0.3">
      <c r="C839" s="143">
        <f t="shared" si="737"/>
        <v>1</v>
      </c>
      <c r="D839" s="149" t="s">
        <v>120</v>
      </c>
      <c r="E839" s="38" t="s">
        <v>54</v>
      </c>
      <c r="F839" s="168">
        <f t="shared" ref="F839:P839" si="742">F$10*$E832</f>
        <v>0</v>
      </c>
      <c r="G839" s="186">
        <f t="shared" si="742"/>
        <v>0</v>
      </c>
      <c r="H839" s="186">
        <f t="shared" si="742"/>
        <v>0</v>
      </c>
      <c r="I839" s="186">
        <f t="shared" si="742"/>
        <v>0</v>
      </c>
      <c r="J839" s="186">
        <f t="shared" si="742"/>
        <v>0</v>
      </c>
      <c r="K839" s="186">
        <f t="shared" si="742"/>
        <v>0</v>
      </c>
      <c r="L839" s="186">
        <f t="shared" si="742"/>
        <v>0</v>
      </c>
      <c r="M839" s="186">
        <f t="shared" si="742"/>
        <v>0</v>
      </c>
      <c r="N839" s="186">
        <f t="shared" si="742"/>
        <v>0</v>
      </c>
      <c r="O839" s="186">
        <f t="shared" si="742"/>
        <v>0</v>
      </c>
      <c r="P839" s="186">
        <f t="shared" si="742"/>
        <v>0</v>
      </c>
      <c r="Q839" s="189">
        <f t="shared" si="740"/>
        <v>0</v>
      </c>
    </row>
    <row r="840" spans="3:17" ht="18.75" x14ac:dyDescent="0.3">
      <c r="C840" s="143">
        <f t="shared" si="737"/>
        <v>1</v>
      </c>
      <c r="D840" s="149" t="s">
        <v>121</v>
      </c>
      <c r="E840" s="38" t="s">
        <v>53</v>
      </c>
      <c r="F840" s="168">
        <f t="shared" ref="F840:P840" si="743">F$11*$E832</f>
        <v>0</v>
      </c>
      <c r="G840" s="186">
        <f t="shared" si="743"/>
        <v>0</v>
      </c>
      <c r="H840" s="186">
        <f t="shared" si="743"/>
        <v>0</v>
      </c>
      <c r="I840" s="186">
        <f t="shared" si="743"/>
        <v>0</v>
      </c>
      <c r="J840" s="186">
        <f t="shared" si="743"/>
        <v>0</v>
      </c>
      <c r="K840" s="186">
        <f t="shared" si="743"/>
        <v>0</v>
      </c>
      <c r="L840" s="186">
        <f t="shared" si="743"/>
        <v>0</v>
      </c>
      <c r="M840" s="186">
        <f t="shared" si="743"/>
        <v>0</v>
      </c>
      <c r="N840" s="186">
        <f t="shared" si="743"/>
        <v>0</v>
      </c>
      <c r="O840" s="186">
        <f t="shared" si="743"/>
        <v>0</v>
      </c>
      <c r="P840" s="186">
        <f t="shared" si="743"/>
        <v>0</v>
      </c>
      <c r="Q840" s="189">
        <f t="shared" si="740"/>
        <v>0</v>
      </c>
    </row>
    <row r="841" spans="3:17" ht="18.75" x14ac:dyDescent="0.3">
      <c r="C841" s="143">
        <f t="shared" si="737"/>
        <v>1</v>
      </c>
      <c r="D841" s="149" t="s">
        <v>122</v>
      </c>
      <c r="E841" s="38" t="s">
        <v>52</v>
      </c>
      <c r="F841" s="168">
        <f t="shared" ref="F841:P841" si="744">F$12*$E832</f>
        <v>0</v>
      </c>
      <c r="G841" s="186">
        <f t="shared" si="744"/>
        <v>0</v>
      </c>
      <c r="H841" s="186">
        <f t="shared" si="744"/>
        <v>0</v>
      </c>
      <c r="I841" s="186">
        <f t="shared" si="744"/>
        <v>0</v>
      </c>
      <c r="J841" s="186">
        <f t="shared" si="744"/>
        <v>0</v>
      </c>
      <c r="K841" s="186">
        <f t="shared" si="744"/>
        <v>0</v>
      </c>
      <c r="L841" s="186">
        <f t="shared" si="744"/>
        <v>0</v>
      </c>
      <c r="M841" s="186">
        <f t="shared" si="744"/>
        <v>0</v>
      </c>
      <c r="N841" s="186">
        <f t="shared" si="744"/>
        <v>0</v>
      </c>
      <c r="O841" s="186">
        <f t="shared" si="744"/>
        <v>0</v>
      </c>
      <c r="P841" s="186">
        <f t="shared" si="744"/>
        <v>0</v>
      </c>
      <c r="Q841" s="189">
        <f t="shared" si="740"/>
        <v>0</v>
      </c>
    </row>
    <row r="842" spans="3:17" ht="18.75" x14ac:dyDescent="0.3">
      <c r="C842" s="143">
        <f t="shared" si="737"/>
        <v>1</v>
      </c>
      <c r="D842" s="149" t="s">
        <v>123</v>
      </c>
      <c r="E842" s="38" t="s">
        <v>51</v>
      </c>
      <c r="F842" s="168">
        <f t="shared" ref="F842:P842" si="745">F$13*$E832</f>
        <v>0</v>
      </c>
      <c r="G842" s="186">
        <f t="shared" si="745"/>
        <v>0</v>
      </c>
      <c r="H842" s="186">
        <f t="shared" si="745"/>
        <v>0</v>
      </c>
      <c r="I842" s="186">
        <f t="shared" si="745"/>
        <v>0</v>
      </c>
      <c r="J842" s="186">
        <f t="shared" si="745"/>
        <v>0</v>
      </c>
      <c r="K842" s="186">
        <f t="shared" si="745"/>
        <v>0</v>
      </c>
      <c r="L842" s="186">
        <f t="shared" si="745"/>
        <v>0</v>
      </c>
      <c r="M842" s="186">
        <f t="shared" si="745"/>
        <v>0</v>
      </c>
      <c r="N842" s="186">
        <f t="shared" si="745"/>
        <v>0</v>
      </c>
      <c r="O842" s="186">
        <f t="shared" si="745"/>
        <v>0</v>
      </c>
      <c r="P842" s="186">
        <f t="shared" si="745"/>
        <v>0</v>
      </c>
      <c r="Q842" s="189">
        <f t="shared" si="740"/>
        <v>0</v>
      </c>
    </row>
    <row r="843" spans="3:17" ht="19.5" thickBot="1" x14ac:dyDescent="0.35">
      <c r="C843" s="143">
        <f t="shared" si="737"/>
        <v>1</v>
      </c>
      <c r="D843" s="149" t="s">
        <v>16</v>
      </c>
      <c r="E843" s="37" t="s">
        <v>50</v>
      </c>
      <c r="F843" s="168">
        <f t="shared" ref="F843:P843" si="746">F$14*$E832</f>
        <v>0.1087082521838633</v>
      </c>
      <c r="G843" s="186">
        <f t="shared" si="746"/>
        <v>196.19700131021821</v>
      </c>
      <c r="H843" s="186">
        <f t="shared" si="746"/>
        <v>3.8230195025737768</v>
      </c>
      <c r="I843" s="186">
        <f t="shared" si="746"/>
        <v>0</v>
      </c>
      <c r="J843" s="186">
        <f t="shared" si="746"/>
        <v>0</v>
      </c>
      <c r="K843" s="186">
        <f t="shared" si="746"/>
        <v>13.699503251157088</v>
      </c>
      <c r="L843" s="186">
        <f t="shared" si="746"/>
        <v>0</v>
      </c>
      <c r="M843" s="186">
        <f t="shared" si="746"/>
        <v>7.3530034357253103E-3</v>
      </c>
      <c r="N843" s="186">
        <f t="shared" si="746"/>
        <v>0</v>
      </c>
      <c r="O843" s="186">
        <f t="shared" si="746"/>
        <v>0</v>
      </c>
      <c r="P843" s="186">
        <f t="shared" si="746"/>
        <v>12.386287475050862</v>
      </c>
      <c r="Q843" s="189">
        <f t="shared" si="740"/>
        <v>226.11316454243567</v>
      </c>
    </row>
    <row r="844" spans="3:17" ht="19.5" thickBot="1" x14ac:dyDescent="0.3">
      <c r="C844" s="143">
        <f t="shared" si="737"/>
        <v>1</v>
      </c>
      <c r="D844" s="148" t="s">
        <v>124</v>
      </c>
      <c r="E844" s="147" t="s">
        <v>49</v>
      </c>
      <c r="F844" s="169">
        <f t="shared" ref="F844:Q844" si="747">SUBTOTAL(9,F835:F843)</f>
        <v>1.7434927731298151</v>
      </c>
      <c r="G844" s="170">
        <f t="shared" si="747"/>
        <v>3470.5452225423924</v>
      </c>
      <c r="H844" s="170">
        <f t="shared" si="747"/>
        <v>53.185926361975341</v>
      </c>
      <c r="I844" s="170">
        <f t="shared" si="747"/>
        <v>0</v>
      </c>
      <c r="J844" s="170">
        <f t="shared" si="747"/>
        <v>62.905772514394229</v>
      </c>
      <c r="K844" s="170">
        <f t="shared" ref="K844:P844" si="748">SUBTOTAL(9,K835:K843)</f>
        <v>24.527008422993127</v>
      </c>
      <c r="L844" s="170">
        <f t="shared" si="748"/>
        <v>2.9073977897730177</v>
      </c>
      <c r="M844" s="170">
        <f t="shared" si="748"/>
        <v>7.3530034357253103E-3</v>
      </c>
      <c r="N844" s="170">
        <f t="shared" si="748"/>
        <v>0</v>
      </c>
      <c r="O844" s="170">
        <f t="shared" si="748"/>
        <v>0</v>
      </c>
      <c r="P844" s="170">
        <f t="shared" si="748"/>
        <v>12.386287475050862</v>
      </c>
      <c r="Q844" s="170">
        <f t="shared" si="747"/>
        <v>3626.4649681100145</v>
      </c>
    </row>
    <row r="845" spans="3:17" ht="15.75" hidden="1" thickBot="1" x14ac:dyDescent="0.3"/>
    <row r="846" spans="3:17" ht="45" x14ac:dyDescent="0.25">
      <c r="C846" s="143">
        <f>IF(E846&gt;0,1,0)</f>
        <v>1</v>
      </c>
      <c r="D846" s="163" t="str">
        <f>A63</f>
        <v>Westchester</v>
      </c>
      <c r="E846" s="166">
        <f>SUMIF(A:A,D846,B:B)</f>
        <v>2.408470791134289E-2</v>
      </c>
      <c r="F846" s="509" t="s">
        <v>97</v>
      </c>
      <c r="G846" s="509" t="s">
        <v>126</v>
      </c>
      <c r="H846" s="509" t="s">
        <v>127</v>
      </c>
      <c r="I846" s="508" t="s">
        <v>128</v>
      </c>
      <c r="J846" s="508" t="s">
        <v>487</v>
      </c>
      <c r="K846" s="508" t="s">
        <v>474</v>
      </c>
      <c r="L846" s="508" t="s">
        <v>475</v>
      </c>
      <c r="M846" s="508" t="s">
        <v>476</v>
      </c>
      <c r="N846" s="508" t="s">
        <v>477</v>
      </c>
      <c r="O846" s="508" t="s">
        <v>478</v>
      </c>
      <c r="P846" s="508" t="s">
        <v>479</v>
      </c>
      <c r="Q846" s="508" t="s">
        <v>129</v>
      </c>
    </row>
    <row r="847" spans="3:17" ht="18.75" x14ac:dyDescent="0.25">
      <c r="C847" s="143">
        <f>C846</f>
        <v>1</v>
      </c>
      <c r="D847" s="160"/>
      <c r="E847" s="159"/>
      <c r="F847" s="49" t="s">
        <v>57</v>
      </c>
      <c r="G847" s="49" t="s">
        <v>56</v>
      </c>
      <c r="H847" s="49" t="s">
        <v>55</v>
      </c>
      <c r="I847" s="49" t="s">
        <v>54</v>
      </c>
      <c r="J847" s="58" t="s">
        <v>53</v>
      </c>
      <c r="K847" s="49" t="s">
        <v>52</v>
      </c>
      <c r="L847" s="49" t="s">
        <v>51</v>
      </c>
      <c r="M847" s="49" t="s">
        <v>50</v>
      </c>
      <c r="N847" s="49" t="s">
        <v>49</v>
      </c>
      <c r="O847" s="49" t="s">
        <v>47</v>
      </c>
      <c r="P847" s="49" t="s">
        <v>77</v>
      </c>
      <c r="Q847" s="573" t="s">
        <v>78</v>
      </c>
    </row>
    <row r="848" spans="3:17" ht="18.75" x14ac:dyDescent="0.25">
      <c r="C848" s="143">
        <f>C847</f>
        <v>1</v>
      </c>
      <c r="D848" s="158" t="s">
        <v>26</v>
      </c>
      <c r="E848" s="157"/>
      <c r="F848" s="156"/>
      <c r="G848" s="156"/>
      <c r="H848" s="156"/>
      <c r="I848" s="155"/>
      <c r="J848" s="154"/>
      <c r="K848" s="154"/>
      <c r="L848" s="154"/>
      <c r="M848" s="154"/>
      <c r="N848" s="154"/>
      <c r="O848" s="154"/>
      <c r="P848" s="154"/>
      <c r="Q848" s="153"/>
    </row>
    <row r="849" spans="3:17" ht="18.75" x14ac:dyDescent="0.25">
      <c r="C849" s="143">
        <f t="shared" ref="C849:C858" si="749">C848</f>
        <v>1</v>
      </c>
      <c r="D849" s="152" t="s">
        <v>105</v>
      </c>
      <c r="E849" s="38" t="s">
        <v>57</v>
      </c>
      <c r="F849" s="168">
        <f t="shared" ref="F849:P849" si="750">F$6*$E846</f>
        <v>45.038824234472877</v>
      </c>
      <c r="G849" s="186">
        <f t="shared" si="750"/>
        <v>90209.316352714886</v>
      </c>
      <c r="H849" s="186">
        <f t="shared" si="750"/>
        <v>1359.9635042157008</v>
      </c>
      <c r="I849" s="186">
        <f t="shared" si="750"/>
        <v>0</v>
      </c>
      <c r="J849" s="186">
        <f t="shared" si="750"/>
        <v>1733.0736836009021</v>
      </c>
      <c r="K849" s="186">
        <f t="shared" si="750"/>
        <v>298.30114983593739</v>
      </c>
      <c r="L849" s="186">
        <f t="shared" si="750"/>
        <v>80.099717336148615</v>
      </c>
      <c r="M849" s="186">
        <f t="shared" si="750"/>
        <v>0</v>
      </c>
      <c r="N849" s="186">
        <f t="shared" si="750"/>
        <v>0</v>
      </c>
      <c r="O849" s="186">
        <f t="shared" si="750"/>
        <v>0</v>
      </c>
      <c r="P849" s="186">
        <f t="shared" si="750"/>
        <v>0</v>
      </c>
      <c r="Q849" s="189">
        <f>SUM(G849:P849)</f>
        <v>93680.754407703585</v>
      </c>
    </row>
    <row r="850" spans="3:17" ht="18.75" x14ac:dyDescent="0.25">
      <c r="C850" s="143">
        <f t="shared" si="749"/>
        <v>1</v>
      </c>
      <c r="D850" s="150" t="s">
        <v>31</v>
      </c>
      <c r="E850" s="38"/>
      <c r="F850" s="167"/>
      <c r="G850" s="185"/>
      <c r="H850" s="185"/>
      <c r="I850" s="187"/>
      <c r="J850" s="188"/>
      <c r="K850" s="188"/>
      <c r="L850" s="188"/>
      <c r="M850" s="188"/>
      <c r="N850" s="188"/>
      <c r="O850" s="188"/>
      <c r="P850" s="188"/>
      <c r="Q850" s="171"/>
    </row>
    <row r="851" spans="3:17" ht="18.75" x14ac:dyDescent="0.3">
      <c r="C851" s="143">
        <f t="shared" si="749"/>
        <v>1</v>
      </c>
      <c r="D851" s="149" t="s">
        <v>118</v>
      </c>
      <c r="E851" s="38" t="s">
        <v>56</v>
      </c>
      <c r="F851" s="168">
        <f t="shared" ref="F851:P851" si="751">F$8*$E846</f>
        <v>0</v>
      </c>
      <c r="G851" s="186">
        <f t="shared" si="751"/>
        <v>0</v>
      </c>
      <c r="H851" s="186">
        <f t="shared" si="751"/>
        <v>0</v>
      </c>
      <c r="I851" s="186">
        <f t="shared" si="751"/>
        <v>0</v>
      </c>
      <c r="J851" s="186">
        <f t="shared" si="751"/>
        <v>0</v>
      </c>
      <c r="K851" s="186">
        <f t="shared" si="751"/>
        <v>0</v>
      </c>
      <c r="L851" s="186">
        <f t="shared" si="751"/>
        <v>0</v>
      </c>
      <c r="M851" s="186">
        <f t="shared" si="751"/>
        <v>0</v>
      </c>
      <c r="N851" s="186">
        <f t="shared" si="751"/>
        <v>0</v>
      </c>
      <c r="O851" s="186">
        <f t="shared" si="751"/>
        <v>0</v>
      </c>
      <c r="P851" s="186">
        <f t="shared" si="751"/>
        <v>0</v>
      </c>
      <c r="Q851" s="189">
        <f t="shared" ref="Q851:Q857" si="752">SUM(G851:P851)</f>
        <v>0</v>
      </c>
    </row>
    <row r="852" spans="3:17" ht="18.75" x14ac:dyDescent="0.3">
      <c r="C852" s="143">
        <f t="shared" si="749"/>
        <v>1</v>
      </c>
      <c r="D852" s="149" t="s">
        <v>119</v>
      </c>
      <c r="E852" s="38" t="s">
        <v>55</v>
      </c>
      <c r="F852" s="168">
        <f t="shared" ref="F852:P852" si="753">F$9*$E846</f>
        <v>0</v>
      </c>
      <c r="G852" s="186">
        <f t="shared" si="753"/>
        <v>0</v>
      </c>
      <c r="H852" s="186">
        <f t="shared" si="753"/>
        <v>0</v>
      </c>
      <c r="I852" s="186">
        <f t="shared" si="753"/>
        <v>0</v>
      </c>
      <c r="J852" s="186">
        <f t="shared" si="753"/>
        <v>0</v>
      </c>
      <c r="K852" s="186">
        <f t="shared" si="753"/>
        <v>0</v>
      </c>
      <c r="L852" s="186">
        <f t="shared" si="753"/>
        <v>0</v>
      </c>
      <c r="M852" s="186">
        <f t="shared" si="753"/>
        <v>0</v>
      </c>
      <c r="N852" s="186">
        <f t="shared" si="753"/>
        <v>0</v>
      </c>
      <c r="O852" s="186">
        <f t="shared" si="753"/>
        <v>0</v>
      </c>
      <c r="P852" s="186">
        <f t="shared" si="753"/>
        <v>0</v>
      </c>
      <c r="Q852" s="189">
        <f t="shared" si="752"/>
        <v>0</v>
      </c>
    </row>
    <row r="853" spans="3:17" ht="18.75" x14ac:dyDescent="0.3">
      <c r="C853" s="143">
        <f t="shared" si="749"/>
        <v>1</v>
      </c>
      <c r="D853" s="149" t="s">
        <v>120</v>
      </c>
      <c r="E853" s="38" t="s">
        <v>54</v>
      </c>
      <c r="F853" s="168">
        <f t="shared" ref="F853:P853" si="754">F$10*$E846</f>
        <v>0</v>
      </c>
      <c r="G853" s="186">
        <f t="shared" si="754"/>
        <v>0</v>
      </c>
      <c r="H853" s="186">
        <f t="shared" si="754"/>
        <v>0</v>
      </c>
      <c r="I853" s="186">
        <f t="shared" si="754"/>
        <v>0</v>
      </c>
      <c r="J853" s="186">
        <f t="shared" si="754"/>
        <v>0</v>
      </c>
      <c r="K853" s="186">
        <f t="shared" si="754"/>
        <v>0</v>
      </c>
      <c r="L853" s="186">
        <f t="shared" si="754"/>
        <v>0</v>
      </c>
      <c r="M853" s="186">
        <f t="shared" si="754"/>
        <v>0</v>
      </c>
      <c r="N853" s="186">
        <f t="shared" si="754"/>
        <v>0</v>
      </c>
      <c r="O853" s="186">
        <f t="shared" si="754"/>
        <v>0</v>
      </c>
      <c r="P853" s="186">
        <f t="shared" si="754"/>
        <v>0</v>
      </c>
      <c r="Q853" s="189">
        <f t="shared" si="752"/>
        <v>0</v>
      </c>
    </row>
    <row r="854" spans="3:17" ht="18.75" x14ac:dyDescent="0.3">
      <c r="C854" s="143">
        <f t="shared" si="749"/>
        <v>1</v>
      </c>
      <c r="D854" s="149" t="s">
        <v>121</v>
      </c>
      <c r="E854" s="38" t="s">
        <v>53</v>
      </c>
      <c r="F854" s="168">
        <f t="shared" ref="F854:P854" si="755">F$11*$E846</f>
        <v>0</v>
      </c>
      <c r="G854" s="186">
        <f t="shared" si="755"/>
        <v>0</v>
      </c>
      <c r="H854" s="186">
        <f t="shared" si="755"/>
        <v>0</v>
      </c>
      <c r="I854" s="186">
        <f t="shared" si="755"/>
        <v>0</v>
      </c>
      <c r="J854" s="186">
        <f t="shared" si="755"/>
        <v>0</v>
      </c>
      <c r="K854" s="186">
        <f t="shared" si="755"/>
        <v>0</v>
      </c>
      <c r="L854" s="186">
        <f t="shared" si="755"/>
        <v>0</v>
      </c>
      <c r="M854" s="186">
        <f t="shared" si="755"/>
        <v>0</v>
      </c>
      <c r="N854" s="186">
        <f t="shared" si="755"/>
        <v>0</v>
      </c>
      <c r="O854" s="186">
        <f t="shared" si="755"/>
        <v>0</v>
      </c>
      <c r="P854" s="186">
        <f t="shared" si="755"/>
        <v>0</v>
      </c>
      <c r="Q854" s="189">
        <f t="shared" si="752"/>
        <v>0</v>
      </c>
    </row>
    <row r="855" spans="3:17" ht="18.75" x14ac:dyDescent="0.3">
      <c r="C855" s="143">
        <f t="shared" si="749"/>
        <v>1</v>
      </c>
      <c r="D855" s="149" t="s">
        <v>122</v>
      </c>
      <c r="E855" s="38" t="s">
        <v>52</v>
      </c>
      <c r="F855" s="168">
        <f t="shared" ref="F855:P855" si="756">F$12*$E846</f>
        <v>0</v>
      </c>
      <c r="G855" s="186">
        <f t="shared" si="756"/>
        <v>0</v>
      </c>
      <c r="H855" s="186">
        <f t="shared" si="756"/>
        <v>0</v>
      </c>
      <c r="I855" s="186">
        <f t="shared" si="756"/>
        <v>0</v>
      </c>
      <c r="J855" s="186">
        <f t="shared" si="756"/>
        <v>0</v>
      </c>
      <c r="K855" s="186">
        <f t="shared" si="756"/>
        <v>0</v>
      </c>
      <c r="L855" s="186">
        <f t="shared" si="756"/>
        <v>0</v>
      </c>
      <c r="M855" s="186">
        <f t="shared" si="756"/>
        <v>0</v>
      </c>
      <c r="N855" s="186">
        <f t="shared" si="756"/>
        <v>0</v>
      </c>
      <c r="O855" s="186">
        <f t="shared" si="756"/>
        <v>0</v>
      </c>
      <c r="P855" s="186">
        <f t="shared" si="756"/>
        <v>0</v>
      </c>
      <c r="Q855" s="189">
        <f t="shared" si="752"/>
        <v>0</v>
      </c>
    </row>
    <row r="856" spans="3:17" ht="18.75" x14ac:dyDescent="0.3">
      <c r="C856" s="143">
        <f t="shared" si="749"/>
        <v>1</v>
      </c>
      <c r="D856" s="149" t="s">
        <v>123</v>
      </c>
      <c r="E856" s="38" t="s">
        <v>51</v>
      </c>
      <c r="F856" s="168">
        <f t="shared" ref="F856:P856" si="757">F$13*$E846</f>
        <v>0</v>
      </c>
      <c r="G856" s="186">
        <f t="shared" si="757"/>
        <v>0</v>
      </c>
      <c r="H856" s="186">
        <f t="shared" si="757"/>
        <v>0</v>
      </c>
      <c r="I856" s="186">
        <f t="shared" si="757"/>
        <v>0</v>
      </c>
      <c r="J856" s="186">
        <f t="shared" si="757"/>
        <v>0</v>
      </c>
      <c r="K856" s="186">
        <f t="shared" si="757"/>
        <v>0</v>
      </c>
      <c r="L856" s="186">
        <f t="shared" si="757"/>
        <v>0</v>
      </c>
      <c r="M856" s="186">
        <f t="shared" si="757"/>
        <v>0</v>
      </c>
      <c r="N856" s="186">
        <f t="shared" si="757"/>
        <v>0</v>
      </c>
      <c r="O856" s="186">
        <f t="shared" si="757"/>
        <v>0</v>
      </c>
      <c r="P856" s="186">
        <f t="shared" si="757"/>
        <v>0</v>
      </c>
      <c r="Q856" s="189">
        <f t="shared" si="752"/>
        <v>0</v>
      </c>
    </row>
    <row r="857" spans="3:17" ht="19.5" thickBot="1" x14ac:dyDescent="0.35">
      <c r="C857" s="143">
        <f t="shared" si="749"/>
        <v>1</v>
      </c>
      <c r="D857" s="149" t="s">
        <v>16</v>
      </c>
      <c r="E857" s="37" t="s">
        <v>50</v>
      </c>
      <c r="F857" s="168">
        <f t="shared" ref="F857:P857" si="758">F$14*$E846</f>
        <v>2.9949463065093722</v>
      </c>
      <c r="G857" s="186">
        <f t="shared" si="758"/>
        <v>5405.2886751266888</v>
      </c>
      <c r="H857" s="186">
        <f t="shared" si="758"/>
        <v>105.32538155043794</v>
      </c>
      <c r="I857" s="186">
        <f t="shared" si="758"/>
        <v>0</v>
      </c>
      <c r="J857" s="186">
        <f t="shared" si="758"/>
        <v>0</v>
      </c>
      <c r="K857" s="186">
        <f t="shared" si="758"/>
        <v>377.4255940907903</v>
      </c>
      <c r="L857" s="186">
        <f t="shared" si="758"/>
        <v>0</v>
      </c>
      <c r="M857" s="186">
        <f t="shared" si="758"/>
        <v>0.20257754162333202</v>
      </c>
      <c r="N857" s="186">
        <f t="shared" si="758"/>
        <v>0</v>
      </c>
      <c r="O857" s="186">
        <f t="shared" si="758"/>
        <v>0</v>
      </c>
      <c r="P857" s="186">
        <f t="shared" si="758"/>
        <v>341.24608922995327</v>
      </c>
      <c r="Q857" s="189">
        <f t="shared" si="752"/>
        <v>6229.4883175394934</v>
      </c>
    </row>
    <row r="858" spans="3:17" ht="19.5" thickBot="1" x14ac:dyDescent="0.3">
      <c r="C858" s="143">
        <f t="shared" si="749"/>
        <v>1</v>
      </c>
      <c r="D858" s="148" t="s">
        <v>124</v>
      </c>
      <c r="E858" s="147" t="s">
        <v>49</v>
      </c>
      <c r="F858" s="169">
        <f t="shared" ref="F858:Q858" si="759">SUBTOTAL(9,F849:F857)</f>
        <v>48.033770540982246</v>
      </c>
      <c r="G858" s="170">
        <f t="shared" si="759"/>
        <v>95614.605027841579</v>
      </c>
      <c r="H858" s="170">
        <f t="shared" si="759"/>
        <v>1465.2888857661387</v>
      </c>
      <c r="I858" s="170">
        <f t="shared" si="759"/>
        <v>0</v>
      </c>
      <c r="J858" s="170">
        <f t="shared" si="759"/>
        <v>1733.0736836009021</v>
      </c>
      <c r="K858" s="170">
        <f t="shared" ref="K858:P858" si="760">SUBTOTAL(9,K849:K857)</f>
        <v>675.72674392672775</v>
      </c>
      <c r="L858" s="170">
        <f t="shared" si="760"/>
        <v>80.099717336148615</v>
      </c>
      <c r="M858" s="170">
        <f t="shared" si="760"/>
        <v>0.20257754162333202</v>
      </c>
      <c r="N858" s="170">
        <f t="shared" si="760"/>
        <v>0</v>
      </c>
      <c r="O858" s="170">
        <f t="shared" si="760"/>
        <v>0</v>
      </c>
      <c r="P858" s="170">
        <f t="shared" si="760"/>
        <v>341.24608922995327</v>
      </c>
      <c r="Q858" s="170">
        <f t="shared" si="759"/>
        <v>99910.242725243079</v>
      </c>
    </row>
    <row r="859" spans="3:17" ht="15.75" hidden="1" thickBot="1" x14ac:dyDescent="0.3"/>
    <row r="860" spans="3:17" ht="45" x14ac:dyDescent="0.25">
      <c r="C860" s="143">
        <f>IF(E860&gt;0,1,0)</f>
        <v>1</v>
      </c>
      <c r="D860" s="163" t="str">
        <f>A64</f>
        <v>Wyoming</v>
      </c>
      <c r="E860" s="166">
        <f>SUMIF(A:A,D860,B:B)</f>
        <v>6.0201810038197211E-4</v>
      </c>
      <c r="F860" s="509" t="s">
        <v>97</v>
      </c>
      <c r="G860" s="509" t="s">
        <v>126</v>
      </c>
      <c r="H860" s="509" t="s">
        <v>127</v>
      </c>
      <c r="I860" s="508" t="s">
        <v>128</v>
      </c>
      <c r="J860" s="508" t="s">
        <v>487</v>
      </c>
      <c r="K860" s="508" t="s">
        <v>474</v>
      </c>
      <c r="L860" s="508" t="s">
        <v>475</v>
      </c>
      <c r="M860" s="508" t="s">
        <v>476</v>
      </c>
      <c r="N860" s="508" t="s">
        <v>477</v>
      </c>
      <c r="O860" s="508" t="s">
        <v>478</v>
      </c>
      <c r="P860" s="508" t="s">
        <v>479</v>
      </c>
      <c r="Q860" s="508" t="s">
        <v>129</v>
      </c>
    </row>
    <row r="861" spans="3:17" ht="18.75" x14ac:dyDescent="0.25">
      <c r="C861" s="143">
        <f>C860</f>
        <v>1</v>
      </c>
      <c r="D861" s="160"/>
      <c r="E861" s="159"/>
      <c r="F861" s="49" t="s">
        <v>57</v>
      </c>
      <c r="G861" s="49" t="s">
        <v>56</v>
      </c>
      <c r="H861" s="49" t="s">
        <v>55</v>
      </c>
      <c r="I861" s="49" t="s">
        <v>54</v>
      </c>
      <c r="J861" s="58" t="s">
        <v>53</v>
      </c>
      <c r="K861" s="49" t="s">
        <v>52</v>
      </c>
      <c r="L861" s="49" t="s">
        <v>51</v>
      </c>
      <c r="M861" s="49" t="s">
        <v>50</v>
      </c>
      <c r="N861" s="49" t="s">
        <v>49</v>
      </c>
      <c r="O861" s="49" t="s">
        <v>47</v>
      </c>
      <c r="P861" s="49" t="s">
        <v>77</v>
      </c>
      <c r="Q861" s="573" t="s">
        <v>78</v>
      </c>
    </row>
    <row r="862" spans="3:17" ht="18.75" x14ac:dyDescent="0.25">
      <c r="C862" s="143">
        <f>C861</f>
        <v>1</v>
      </c>
      <c r="D862" s="158" t="s">
        <v>26</v>
      </c>
      <c r="E862" s="157"/>
      <c r="F862" s="156"/>
      <c r="G862" s="156"/>
      <c r="H862" s="156"/>
      <c r="I862" s="155"/>
      <c r="J862" s="154"/>
      <c r="K862" s="154"/>
      <c r="L862" s="154"/>
      <c r="M862" s="154"/>
      <c r="N862" s="154"/>
      <c r="O862" s="154"/>
      <c r="P862" s="154"/>
      <c r="Q862" s="153"/>
    </row>
    <row r="863" spans="3:17" ht="18.75" x14ac:dyDescent="0.25">
      <c r="C863" s="143">
        <f t="shared" ref="C863:C872" si="761">C862</f>
        <v>1</v>
      </c>
      <c r="D863" s="152" t="s">
        <v>105</v>
      </c>
      <c r="E863" s="38" t="s">
        <v>57</v>
      </c>
      <c r="F863" s="168">
        <f t="shared" ref="F863:P863" si="762">F$6*$E860</f>
        <v>1.1257843569821846</v>
      </c>
      <c r="G863" s="186">
        <f t="shared" si="762"/>
        <v>2254.8598665728955</v>
      </c>
      <c r="H863" s="186">
        <f t="shared" si="762"/>
        <v>33.993463753453376</v>
      </c>
      <c r="I863" s="186">
        <f t="shared" si="762"/>
        <v>0</v>
      </c>
      <c r="J863" s="186">
        <f t="shared" si="762"/>
        <v>43.319675316968727</v>
      </c>
      <c r="K863" s="186">
        <f t="shared" si="762"/>
        <v>7.4562951822809156</v>
      </c>
      <c r="L863" s="186">
        <f t="shared" si="762"/>
        <v>2.0021616973453438</v>
      </c>
      <c r="M863" s="186">
        <f t="shared" si="762"/>
        <v>0</v>
      </c>
      <c r="N863" s="186">
        <f t="shared" si="762"/>
        <v>0</v>
      </c>
      <c r="O863" s="186">
        <f t="shared" si="762"/>
        <v>0</v>
      </c>
      <c r="P863" s="186">
        <f t="shared" si="762"/>
        <v>0</v>
      </c>
      <c r="Q863" s="189">
        <f>SUM(G863:P863)</f>
        <v>2341.6314625229438</v>
      </c>
    </row>
    <row r="864" spans="3:17" ht="18.75" x14ac:dyDescent="0.25">
      <c r="C864" s="143">
        <f t="shared" si="761"/>
        <v>1</v>
      </c>
      <c r="D864" s="150" t="s">
        <v>31</v>
      </c>
      <c r="E864" s="38"/>
      <c r="F864" s="167"/>
      <c r="G864" s="185"/>
      <c r="H864" s="185"/>
      <c r="I864" s="187"/>
      <c r="J864" s="188"/>
      <c r="K864" s="188"/>
      <c r="L864" s="188"/>
      <c r="M864" s="188"/>
      <c r="N864" s="188"/>
      <c r="O864" s="188"/>
      <c r="P864" s="188"/>
      <c r="Q864" s="171"/>
    </row>
    <row r="865" spans="3:17" ht="18.75" x14ac:dyDescent="0.3">
      <c r="C865" s="143">
        <f t="shared" si="761"/>
        <v>1</v>
      </c>
      <c r="D865" s="149" t="s">
        <v>118</v>
      </c>
      <c r="E865" s="38" t="s">
        <v>56</v>
      </c>
      <c r="F865" s="168">
        <f t="shared" ref="F865:P865" si="763">F$8*$E860</f>
        <v>0</v>
      </c>
      <c r="G865" s="186">
        <f t="shared" si="763"/>
        <v>0</v>
      </c>
      <c r="H865" s="186">
        <f t="shared" si="763"/>
        <v>0</v>
      </c>
      <c r="I865" s="186">
        <f t="shared" si="763"/>
        <v>0</v>
      </c>
      <c r="J865" s="186">
        <f t="shared" si="763"/>
        <v>0</v>
      </c>
      <c r="K865" s="186">
        <f t="shared" si="763"/>
        <v>0</v>
      </c>
      <c r="L865" s="186">
        <f t="shared" si="763"/>
        <v>0</v>
      </c>
      <c r="M865" s="186">
        <f t="shared" si="763"/>
        <v>0</v>
      </c>
      <c r="N865" s="186">
        <f t="shared" si="763"/>
        <v>0</v>
      </c>
      <c r="O865" s="186">
        <f t="shared" si="763"/>
        <v>0</v>
      </c>
      <c r="P865" s="186">
        <f t="shared" si="763"/>
        <v>0</v>
      </c>
      <c r="Q865" s="189">
        <f t="shared" ref="Q865:Q871" si="764">SUM(G865:P865)</f>
        <v>0</v>
      </c>
    </row>
    <row r="866" spans="3:17" ht="18.75" x14ac:dyDescent="0.3">
      <c r="C866" s="143">
        <f t="shared" si="761"/>
        <v>1</v>
      </c>
      <c r="D866" s="149" t="s">
        <v>119</v>
      </c>
      <c r="E866" s="38" t="s">
        <v>55</v>
      </c>
      <c r="F866" s="168">
        <f t="shared" ref="F866:P866" si="765">F$9*$E860</f>
        <v>0</v>
      </c>
      <c r="G866" s="186">
        <f t="shared" si="765"/>
        <v>0</v>
      </c>
      <c r="H866" s="186">
        <f t="shared" si="765"/>
        <v>0</v>
      </c>
      <c r="I866" s="186">
        <f t="shared" si="765"/>
        <v>0</v>
      </c>
      <c r="J866" s="186">
        <f t="shared" si="765"/>
        <v>0</v>
      </c>
      <c r="K866" s="186">
        <f t="shared" si="765"/>
        <v>0</v>
      </c>
      <c r="L866" s="186">
        <f t="shared" si="765"/>
        <v>0</v>
      </c>
      <c r="M866" s="186">
        <f t="shared" si="765"/>
        <v>0</v>
      </c>
      <c r="N866" s="186">
        <f t="shared" si="765"/>
        <v>0</v>
      </c>
      <c r="O866" s="186">
        <f t="shared" si="765"/>
        <v>0</v>
      </c>
      <c r="P866" s="186">
        <f t="shared" si="765"/>
        <v>0</v>
      </c>
      <c r="Q866" s="189">
        <f t="shared" si="764"/>
        <v>0</v>
      </c>
    </row>
    <row r="867" spans="3:17" ht="18.75" x14ac:dyDescent="0.3">
      <c r="C867" s="143">
        <f t="shared" si="761"/>
        <v>1</v>
      </c>
      <c r="D867" s="149" t="s">
        <v>120</v>
      </c>
      <c r="E867" s="38" t="s">
        <v>54</v>
      </c>
      <c r="F867" s="168">
        <f t="shared" ref="F867:P867" si="766">F$10*$E860</f>
        <v>0</v>
      </c>
      <c r="G867" s="186">
        <f t="shared" si="766"/>
        <v>0</v>
      </c>
      <c r="H867" s="186">
        <f t="shared" si="766"/>
        <v>0</v>
      </c>
      <c r="I867" s="186">
        <f t="shared" si="766"/>
        <v>0</v>
      </c>
      <c r="J867" s="186">
        <f t="shared" si="766"/>
        <v>0</v>
      </c>
      <c r="K867" s="186">
        <f t="shared" si="766"/>
        <v>0</v>
      </c>
      <c r="L867" s="186">
        <f t="shared" si="766"/>
        <v>0</v>
      </c>
      <c r="M867" s="186">
        <f t="shared" si="766"/>
        <v>0</v>
      </c>
      <c r="N867" s="186">
        <f t="shared" si="766"/>
        <v>0</v>
      </c>
      <c r="O867" s="186">
        <f t="shared" si="766"/>
        <v>0</v>
      </c>
      <c r="P867" s="186">
        <f t="shared" si="766"/>
        <v>0</v>
      </c>
      <c r="Q867" s="189">
        <f t="shared" si="764"/>
        <v>0</v>
      </c>
    </row>
    <row r="868" spans="3:17" ht="18.75" x14ac:dyDescent="0.3">
      <c r="C868" s="143">
        <f t="shared" si="761"/>
        <v>1</v>
      </c>
      <c r="D868" s="149" t="s">
        <v>121</v>
      </c>
      <c r="E868" s="38" t="s">
        <v>53</v>
      </c>
      <c r="F868" s="168">
        <f t="shared" ref="F868:P868" si="767">F$11*$E860</f>
        <v>0</v>
      </c>
      <c r="G868" s="186">
        <f t="shared" si="767"/>
        <v>0</v>
      </c>
      <c r="H868" s="186">
        <f t="shared" si="767"/>
        <v>0</v>
      </c>
      <c r="I868" s="186">
        <f t="shared" si="767"/>
        <v>0</v>
      </c>
      <c r="J868" s="186">
        <f t="shared" si="767"/>
        <v>0</v>
      </c>
      <c r="K868" s="186">
        <f t="shared" si="767"/>
        <v>0</v>
      </c>
      <c r="L868" s="186">
        <f t="shared" si="767"/>
        <v>0</v>
      </c>
      <c r="M868" s="186">
        <f t="shared" si="767"/>
        <v>0</v>
      </c>
      <c r="N868" s="186">
        <f t="shared" si="767"/>
        <v>0</v>
      </c>
      <c r="O868" s="186">
        <f t="shared" si="767"/>
        <v>0</v>
      </c>
      <c r="P868" s="186">
        <f t="shared" si="767"/>
        <v>0</v>
      </c>
      <c r="Q868" s="189">
        <f t="shared" si="764"/>
        <v>0</v>
      </c>
    </row>
    <row r="869" spans="3:17" ht="18.75" x14ac:dyDescent="0.3">
      <c r="C869" s="143">
        <f t="shared" si="761"/>
        <v>1</v>
      </c>
      <c r="D869" s="149" t="s">
        <v>122</v>
      </c>
      <c r="E869" s="38" t="s">
        <v>52</v>
      </c>
      <c r="F869" s="168">
        <f t="shared" ref="F869:P869" si="768">F$12*$E860</f>
        <v>0</v>
      </c>
      <c r="G869" s="186">
        <f t="shared" si="768"/>
        <v>0</v>
      </c>
      <c r="H869" s="186">
        <f t="shared" si="768"/>
        <v>0</v>
      </c>
      <c r="I869" s="186">
        <f t="shared" si="768"/>
        <v>0</v>
      </c>
      <c r="J869" s="186">
        <f t="shared" si="768"/>
        <v>0</v>
      </c>
      <c r="K869" s="186">
        <f t="shared" si="768"/>
        <v>0</v>
      </c>
      <c r="L869" s="186">
        <f t="shared" si="768"/>
        <v>0</v>
      </c>
      <c r="M869" s="186">
        <f t="shared" si="768"/>
        <v>0</v>
      </c>
      <c r="N869" s="186">
        <f t="shared" si="768"/>
        <v>0</v>
      </c>
      <c r="O869" s="186">
        <f t="shared" si="768"/>
        <v>0</v>
      </c>
      <c r="P869" s="186">
        <f t="shared" si="768"/>
        <v>0</v>
      </c>
      <c r="Q869" s="189">
        <f t="shared" si="764"/>
        <v>0</v>
      </c>
    </row>
    <row r="870" spans="3:17" ht="18.75" x14ac:dyDescent="0.3">
      <c r="C870" s="143">
        <f t="shared" si="761"/>
        <v>1</v>
      </c>
      <c r="D870" s="149" t="s">
        <v>123</v>
      </c>
      <c r="E870" s="38" t="s">
        <v>51</v>
      </c>
      <c r="F870" s="168">
        <f t="shared" ref="F870:P870" si="769">F$13*$E860</f>
        <v>0</v>
      </c>
      <c r="G870" s="186">
        <f t="shared" si="769"/>
        <v>0</v>
      </c>
      <c r="H870" s="186">
        <f t="shared" si="769"/>
        <v>0</v>
      </c>
      <c r="I870" s="186">
        <f t="shared" si="769"/>
        <v>0</v>
      </c>
      <c r="J870" s="186">
        <f t="shared" si="769"/>
        <v>0</v>
      </c>
      <c r="K870" s="186">
        <f t="shared" si="769"/>
        <v>0</v>
      </c>
      <c r="L870" s="186">
        <f t="shared" si="769"/>
        <v>0</v>
      </c>
      <c r="M870" s="186">
        <f t="shared" si="769"/>
        <v>0</v>
      </c>
      <c r="N870" s="186">
        <f t="shared" si="769"/>
        <v>0</v>
      </c>
      <c r="O870" s="186">
        <f t="shared" si="769"/>
        <v>0</v>
      </c>
      <c r="P870" s="186">
        <f t="shared" si="769"/>
        <v>0</v>
      </c>
      <c r="Q870" s="189">
        <f t="shared" si="764"/>
        <v>0</v>
      </c>
    </row>
    <row r="871" spans="3:17" ht="19.5" thickBot="1" x14ac:dyDescent="0.35">
      <c r="C871" s="143">
        <f t="shared" si="761"/>
        <v>1</v>
      </c>
      <c r="D871" s="149" t="s">
        <v>16</v>
      </c>
      <c r="E871" s="37" t="s">
        <v>50</v>
      </c>
      <c r="F871" s="168">
        <f t="shared" ref="F871:P871" si="770">F$14*$E860</f>
        <v>7.4861272672592086E-2</v>
      </c>
      <c r="G871" s="186">
        <f t="shared" si="770"/>
        <v>135.1098644083377</v>
      </c>
      <c r="H871" s="186">
        <f t="shared" si="770"/>
        <v>2.632698987108689</v>
      </c>
      <c r="I871" s="186">
        <f t="shared" si="770"/>
        <v>0</v>
      </c>
      <c r="J871" s="186">
        <f t="shared" si="770"/>
        <v>0</v>
      </c>
      <c r="K871" s="186">
        <f t="shared" si="770"/>
        <v>9.4340790856369541</v>
      </c>
      <c r="L871" s="186">
        <f t="shared" si="770"/>
        <v>0</v>
      </c>
      <c r="M871" s="186">
        <f t="shared" si="770"/>
        <v>5.0636008224410464E-3</v>
      </c>
      <c r="N871" s="186">
        <f t="shared" si="770"/>
        <v>0</v>
      </c>
      <c r="O871" s="186">
        <f t="shared" si="770"/>
        <v>0</v>
      </c>
      <c r="P871" s="186">
        <f t="shared" si="770"/>
        <v>8.5297410770857436</v>
      </c>
      <c r="Q871" s="189">
        <f t="shared" si="764"/>
        <v>155.71144715899152</v>
      </c>
    </row>
    <row r="872" spans="3:17" ht="19.5" thickBot="1" x14ac:dyDescent="0.3">
      <c r="C872" s="143">
        <f t="shared" si="761"/>
        <v>1</v>
      </c>
      <c r="D872" s="148" t="s">
        <v>124</v>
      </c>
      <c r="E872" s="147" t="s">
        <v>49</v>
      </c>
      <c r="F872" s="169">
        <f t="shared" ref="F872:Q872" si="771">SUBTOTAL(9,F863:F871)</f>
        <v>1.2006456296547767</v>
      </c>
      <c r="G872" s="170">
        <f t="shared" si="771"/>
        <v>2389.9697309812332</v>
      </c>
      <c r="H872" s="170">
        <f t="shared" si="771"/>
        <v>36.626162740562066</v>
      </c>
      <c r="I872" s="170">
        <f t="shared" si="771"/>
        <v>0</v>
      </c>
      <c r="J872" s="170">
        <f t="shared" si="771"/>
        <v>43.319675316968727</v>
      </c>
      <c r="K872" s="170">
        <f t="shared" ref="K872:P872" si="772">SUBTOTAL(9,K863:K871)</f>
        <v>16.890374267917871</v>
      </c>
      <c r="L872" s="170">
        <f t="shared" si="772"/>
        <v>2.0021616973453438</v>
      </c>
      <c r="M872" s="170">
        <f t="shared" si="772"/>
        <v>5.0636008224410464E-3</v>
      </c>
      <c r="N872" s="170">
        <f t="shared" si="772"/>
        <v>0</v>
      </c>
      <c r="O872" s="170">
        <f t="shared" si="772"/>
        <v>0</v>
      </c>
      <c r="P872" s="170">
        <f t="shared" si="772"/>
        <v>8.5297410770857436</v>
      </c>
      <c r="Q872" s="170">
        <f t="shared" si="771"/>
        <v>2497.3429096819355</v>
      </c>
    </row>
    <row r="873" spans="3:17" ht="15.75" hidden="1" thickBot="1" x14ac:dyDescent="0.3"/>
    <row r="874" spans="3:17" ht="45" x14ac:dyDescent="0.25">
      <c r="C874" s="143">
        <f>IF(E874&gt;0,1,0)</f>
        <v>1</v>
      </c>
      <c r="D874" s="163" t="str">
        <f>A65</f>
        <v>Yates</v>
      </c>
      <c r="E874" s="166">
        <f>SUMIF(A:A,D874,B:B)</f>
        <v>8.2460222886133507E-4</v>
      </c>
      <c r="F874" s="509" t="s">
        <v>97</v>
      </c>
      <c r="G874" s="509" t="s">
        <v>126</v>
      </c>
      <c r="H874" s="509" t="s">
        <v>127</v>
      </c>
      <c r="I874" s="508" t="s">
        <v>128</v>
      </c>
      <c r="J874" s="508" t="s">
        <v>487</v>
      </c>
      <c r="K874" s="508" t="s">
        <v>474</v>
      </c>
      <c r="L874" s="508" t="s">
        <v>475</v>
      </c>
      <c r="M874" s="508" t="s">
        <v>476</v>
      </c>
      <c r="N874" s="508" t="s">
        <v>477</v>
      </c>
      <c r="O874" s="508" t="s">
        <v>478</v>
      </c>
      <c r="P874" s="508" t="s">
        <v>479</v>
      </c>
      <c r="Q874" s="508" t="s">
        <v>129</v>
      </c>
    </row>
    <row r="875" spans="3:17" ht="18.75" x14ac:dyDescent="0.25">
      <c r="C875" s="143">
        <f>C874</f>
        <v>1</v>
      </c>
      <c r="D875" s="160"/>
      <c r="E875" s="159"/>
      <c r="F875" s="49" t="s">
        <v>57</v>
      </c>
      <c r="G875" s="49" t="s">
        <v>56</v>
      </c>
      <c r="H875" s="49" t="s">
        <v>55</v>
      </c>
      <c r="I875" s="49" t="s">
        <v>54</v>
      </c>
      <c r="J875" s="58" t="s">
        <v>53</v>
      </c>
      <c r="K875" s="49" t="s">
        <v>52</v>
      </c>
      <c r="L875" s="49" t="s">
        <v>51</v>
      </c>
      <c r="M875" s="49" t="s">
        <v>50</v>
      </c>
      <c r="N875" s="49" t="s">
        <v>49</v>
      </c>
      <c r="O875" s="49" t="s">
        <v>47</v>
      </c>
      <c r="P875" s="49" t="s">
        <v>77</v>
      </c>
      <c r="Q875" s="573" t="s">
        <v>78</v>
      </c>
    </row>
    <row r="876" spans="3:17" ht="18.75" x14ac:dyDescent="0.25">
      <c r="C876" s="143">
        <f>C875</f>
        <v>1</v>
      </c>
      <c r="D876" s="158" t="s">
        <v>26</v>
      </c>
      <c r="E876" s="157"/>
      <c r="F876" s="156"/>
      <c r="G876" s="156"/>
      <c r="H876" s="156"/>
      <c r="I876" s="155"/>
      <c r="J876" s="154"/>
      <c r="K876" s="154"/>
      <c r="L876" s="154"/>
      <c r="M876" s="154"/>
      <c r="N876" s="154"/>
      <c r="O876" s="154"/>
      <c r="P876" s="154"/>
      <c r="Q876" s="153"/>
    </row>
    <row r="877" spans="3:17" ht="18.75" x14ac:dyDescent="0.25">
      <c r="C877" s="143">
        <f t="shared" ref="C877:C886" si="773">C876</f>
        <v>1</v>
      </c>
      <c r="D877" s="152" t="s">
        <v>105</v>
      </c>
      <c r="E877" s="38" t="s">
        <v>57</v>
      </c>
      <c r="F877" s="168">
        <f t="shared" ref="F877:P877" si="774">F$6*$E874</f>
        <v>1.5420205628297978</v>
      </c>
      <c r="G877" s="186">
        <f t="shared" si="774"/>
        <v>3088.549115992098</v>
      </c>
      <c r="H877" s="186">
        <f t="shared" si="774"/>
        <v>46.561865764549815</v>
      </c>
      <c r="I877" s="186">
        <f t="shared" si="774"/>
        <v>0</v>
      </c>
      <c r="J877" s="186">
        <f t="shared" si="774"/>
        <v>59.336257161133489</v>
      </c>
      <c r="K877" s="186">
        <f t="shared" si="774"/>
        <v>10.213110905562065</v>
      </c>
      <c r="L877" s="186">
        <f t="shared" si="774"/>
        <v>2.7424208626355853</v>
      </c>
      <c r="M877" s="186">
        <f t="shared" si="774"/>
        <v>0</v>
      </c>
      <c r="N877" s="186">
        <f t="shared" si="774"/>
        <v>0</v>
      </c>
      <c r="O877" s="186">
        <f t="shared" si="774"/>
        <v>0</v>
      </c>
      <c r="P877" s="186">
        <f t="shared" si="774"/>
        <v>0</v>
      </c>
      <c r="Q877" s="189">
        <f>SUM(G877:P877)</f>
        <v>3207.4027706859792</v>
      </c>
    </row>
    <row r="878" spans="3:17" ht="18.75" x14ac:dyDescent="0.25">
      <c r="C878" s="143">
        <f t="shared" si="773"/>
        <v>1</v>
      </c>
      <c r="D878" s="150" t="s">
        <v>31</v>
      </c>
      <c r="E878" s="38"/>
      <c r="F878" s="167"/>
      <c r="G878" s="185"/>
      <c r="H878" s="185"/>
      <c r="I878" s="187"/>
      <c r="J878" s="188"/>
      <c r="K878" s="188"/>
      <c r="L878" s="188"/>
      <c r="M878" s="188"/>
      <c r="N878" s="188"/>
      <c r="O878" s="188"/>
      <c r="P878" s="188"/>
      <c r="Q878" s="171"/>
    </row>
    <row r="879" spans="3:17" ht="18.75" x14ac:dyDescent="0.3">
      <c r="C879" s="143">
        <f t="shared" si="773"/>
        <v>1</v>
      </c>
      <c r="D879" s="149" t="s">
        <v>118</v>
      </c>
      <c r="E879" s="38" t="s">
        <v>56</v>
      </c>
      <c r="F879" s="168">
        <f t="shared" ref="F879:P879" si="775">F$8*$E874</f>
        <v>0</v>
      </c>
      <c r="G879" s="186">
        <f t="shared" si="775"/>
        <v>0</v>
      </c>
      <c r="H879" s="186">
        <f t="shared" si="775"/>
        <v>0</v>
      </c>
      <c r="I879" s="186">
        <f t="shared" si="775"/>
        <v>0</v>
      </c>
      <c r="J879" s="186">
        <f t="shared" si="775"/>
        <v>0</v>
      </c>
      <c r="K879" s="186">
        <f t="shared" si="775"/>
        <v>0</v>
      </c>
      <c r="L879" s="186">
        <f t="shared" si="775"/>
        <v>0</v>
      </c>
      <c r="M879" s="186">
        <f t="shared" si="775"/>
        <v>0</v>
      </c>
      <c r="N879" s="186">
        <f t="shared" si="775"/>
        <v>0</v>
      </c>
      <c r="O879" s="186">
        <f t="shared" si="775"/>
        <v>0</v>
      </c>
      <c r="P879" s="186">
        <f t="shared" si="775"/>
        <v>0</v>
      </c>
      <c r="Q879" s="189">
        <f t="shared" ref="Q879:Q885" si="776">SUM(G879:P879)</f>
        <v>0</v>
      </c>
    </row>
    <row r="880" spans="3:17" ht="18.75" x14ac:dyDescent="0.3">
      <c r="C880" s="143">
        <f t="shared" si="773"/>
        <v>1</v>
      </c>
      <c r="D880" s="149" t="s">
        <v>119</v>
      </c>
      <c r="E880" s="38" t="s">
        <v>55</v>
      </c>
      <c r="F880" s="168">
        <f t="shared" ref="F880:P880" si="777">F$9*$E874</f>
        <v>0</v>
      </c>
      <c r="G880" s="186">
        <f t="shared" si="777"/>
        <v>0</v>
      </c>
      <c r="H880" s="186">
        <f t="shared" si="777"/>
        <v>0</v>
      </c>
      <c r="I880" s="186">
        <f t="shared" si="777"/>
        <v>0</v>
      </c>
      <c r="J880" s="186">
        <f t="shared" si="777"/>
        <v>0</v>
      </c>
      <c r="K880" s="186">
        <f t="shared" si="777"/>
        <v>0</v>
      </c>
      <c r="L880" s="186">
        <f t="shared" si="777"/>
        <v>0</v>
      </c>
      <c r="M880" s="186">
        <f t="shared" si="777"/>
        <v>0</v>
      </c>
      <c r="N880" s="186">
        <f t="shared" si="777"/>
        <v>0</v>
      </c>
      <c r="O880" s="186">
        <f t="shared" si="777"/>
        <v>0</v>
      </c>
      <c r="P880" s="186">
        <f t="shared" si="777"/>
        <v>0</v>
      </c>
      <c r="Q880" s="189">
        <f t="shared" si="776"/>
        <v>0</v>
      </c>
    </row>
    <row r="881" spans="3:17" ht="18.75" x14ac:dyDescent="0.3">
      <c r="C881" s="143">
        <f t="shared" si="773"/>
        <v>1</v>
      </c>
      <c r="D881" s="149" t="s">
        <v>120</v>
      </c>
      <c r="E881" s="38" t="s">
        <v>54</v>
      </c>
      <c r="F881" s="168">
        <f t="shared" ref="F881:P881" si="778">F$10*$E874</f>
        <v>0</v>
      </c>
      <c r="G881" s="186">
        <f t="shared" si="778"/>
        <v>0</v>
      </c>
      <c r="H881" s="186">
        <f t="shared" si="778"/>
        <v>0</v>
      </c>
      <c r="I881" s="186">
        <f t="shared" si="778"/>
        <v>0</v>
      </c>
      <c r="J881" s="186">
        <f t="shared" si="778"/>
        <v>0</v>
      </c>
      <c r="K881" s="186">
        <f t="shared" si="778"/>
        <v>0</v>
      </c>
      <c r="L881" s="186">
        <f t="shared" si="778"/>
        <v>0</v>
      </c>
      <c r="M881" s="186">
        <f t="shared" si="778"/>
        <v>0</v>
      </c>
      <c r="N881" s="186">
        <f t="shared" si="778"/>
        <v>0</v>
      </c>
      <c r="O881" s="186">
        <f t="shared" si="778"/>
        <v>0</v>
      </c>
      <c r="P881" s="186">
        <f t="shared" si="778"/>
        <v>0</v>
      </c>
      <c r="Q881" s="189">
        <f t="shared" si="776"/>
        <v>0</v>
      </c>
    </row>
    <row r="882" spans="3:17" ht="18.75" x14ac:dyDescent="0.3">
      <c r="C882" s="143">
        <f t="shared" si="773"/>
        <v>1</v>
      </c>
      <c r="D882" s="149" t="s">
        <v>121</v>
      </c>
      <c r="E882" s="38" t="s">
        <v>53</v>
      </c>
      <c r="F882" s="168">
        <f t="shared" ref="F882:P882" si="779">F$11*$E874</f>
        <v>0</v>
      </c>
      <c r="G882" s="186">
        <f t="shared" si="779"/>
        <v>0</v>
      </c>
      <c r="H882" s="186">
        <f t="shared" si="779"/>
        <v>0</v>
      </c>
      <c r="I882" s="186">
        <f t="shared" si="779"/>
        <v>0</v>
      </c>
      <c r="J882" s="186">
        <f t="shared" si="779"/>
        <v>0</v>
      </c>
      <c r="K882" s="186">
        <f t="shared" si="779"/>
        <v>0</v>
      </c>
      <c r="L882" s="186">
        <f t="shared" si="779"/>
        <v>0</v>
      </c>
      <c r="M882" s="186">
        <f t="shared" si="779"/>
        <v>0</v>
      </c>
      <c r="N882" s="186">
        <f t="shared" si="779"/>
        <v>0</v>
      </c>
      <c r="O882" s="186">
        <f t="shared" si="779"/>
        <v>0</v>
      </c>
      <c r="P882" s="186">
        <f t="shared" si="779"/>
        <v>0</v>
      </c>
      <c r="Q882" s="189">
        <f t="shared" si="776"/>
        <v>0</v>
      </c>
    </row>
    <row r="883" spans="3:17" ht="18.75" x14ac:dyDescent="0.3">
      <c r="C883" s="143">
        <f t="shared" si="773"/>
        <v>1</v>
      </c>
      <c r="D883" s="149" t="s">
        <v>122</v>
      </c>
      <c r="E883" s="38" t="s">
        <v>52</v>
      </c>
      <c r="F883" s="168">
        <f t="shared" ref="F883:P883" si="780">F$12*$E874</f>
        <v>0</v>
      </c>
      <c r="G883" s="186">
        <f t="shared" si="780"/>
        <v>0</v>
      </c>
      <c r="H883" s="186">
        <f t="shared" si="780"/>
        <v>0</v>
      </c>
      <c r="I883" s="186">
        <f t="shared" si="780"/>
        <v>0</v>
      </c>
      <c r="J883" s="186">
        <f t="shared" si="780"/>
        <v>0</v>
      </c>
      <c r="K883" s="186">
        <f t="shared" si="780"/>
        <v>0</v>
      </c>
      <c r="L883" s="186">
        <f t="shared" si="780"/>
        <v>0</v>
      </c>
      <c r="M883" s="186">
        <f t="shared" si="780"/>
        <v>0</v>
      </c>
      <c r="N883" s="186">
        <f t="shared" si="780"/>
        <v>0</v>
      </c>
      <c r="O883" s="186">
        <f t="shared" si="780"/>
        <v>0</v>
      </c>
      <c r="P883" s="186">
        <f t="shared" si="780"/>
        <v>0</v>
      </c>
      <c r="Q883" s="189">
        <f t="shared" si="776"/>
        <v>0</v>
      </c>
    </row>
    <row r="884" spans="3:17" ht="18.75" x14ac:dyDescent="0.3">
      <c r="C884" s="143">
        <f t="shared" si="773"/>
        <v>1</v>
      </c>
      <c r="D884" s="149" t="s">
        <v>123</v>
      </c>
      <c r="E884" s="38" t="s">
        <v>51</v>
      </c>
      <c r="F884" s="168">
        <f t="shared" ref="F884:P884" si="781">F$13*$E874</f>
        <v>0</v>
      </c>
      <c r="G884" s="186">
        <f t="shared" si="781"/>
        <v>0</v>
      </c>
      <c r="H884" s="186">
        <f t="shared" si="781"/>
        <v>0</v>
      </c>
      <c r="I884" s="186">
        <f t="shared" si="781"/>
        <v>0</v>
      </c>
      <c r="J884" s="186">
        <f t="shared" si="781"/>
        <v>0</v>
      </c>
      <c r="K884" s="186">
        <f t="shared" si="781"/>
        <v>0</v>
      </c>
      <c r="L884" s="186">
        <f t="shared" si="781"/>
        <v>0</v>
      </c>
      <c r="M884" s="186">
        <f t="shared" si="781"/>
        <v>0</v>
      </c>
      <c r="N884" s="186">
        <f t="shared" si="781"/>
        <v>0</v>
      </c>
      <c r="O884" s="186">
        <f t="shared" si="781"/>
        <v>0</v>
      </c>
      <c r="P884" s="186">
        <f t="shared" si="781"/>
        <v>0</v>
      </c>
      <c r="Q884" s="189">
        <f t="shared" si="776"/>
        <v>0</v>
      </c>
    </row>
    <row r="885" spans="3:17" ht="19.5" thickBot="1" x14ac:dyDescent="0.35">
      <c r="C885" s="143">
        <f t="shared" si="773"/>
        <v>1</v>
      </c>
      <c r="D885" s="149" t="s">
        <v>16</v>
      </c>
      <c r="E885" s="37" t="s">
        <v>50</v>
      </c>
      <c r="F885" s="168">
        <f t="shared" ref="F885:P885" si="782">F$14*$E874</f>
        <v>0.10253972806141255</v>
      </c>
      <c r="G885" s="186">
        <f t="shared" si="782"/>
        <v>185.06402924028154</v>
      </c>
      <c r="H885" s="186">
        <f t="shared" si="782"/>
        <v>3.6060866796419906</v>
      </c>
      <c r="I885" s="186">
        <f t="shared" si="782"/>
        <v>0</v>
      </c>
      <c r="J885" s="186">
        <f t="shared" si="782"/>
        <v>0</v>
      </c>
      <c r="K885" s="186">
        <f t="shared" si="782"/>
        <v>12.922140773399406</v>
      </c>
      <c r="L885" s="186">
        <f t="shared" si="782"/>
        <v>0</v>
      </c>
      <c r="M885" s="186">
        <f t="shared" si="782"/>
        <v>6.9357657545507474E-3</v>
      </c>
      <c r="N885" s="186">
        <f t="shared" si="782"/>
        <v>0</v>
      </c>
      <c r="O885" s="186">
        <f t="shared" si="782"/>
        <v>0</v>
      </c>
      <c r="P885" s="186">
        <f t="shared" si="782"/>
        <v>11.683441908660619</v>
      </c>
      <c r="Q885" s="189">
        <f t="shared" si="776"/>
        <v>213.28263436773813</v>
      </c>
    </row>
    <row r="886" spans="3:17" ht="19.5" thickBot="1" x14ac:dyDescent="0.3">
      <c r="C886" s="143">
        <f t="shared" si="773"/>
        <v>1</v>
      </c>
      <c r="D886" s="148" t="s">
        <v>124</v>
      </c>
      <c r="E886" s="147" t="s">
        <v>49</v>
      </c>
      <c r="F886" s="169">
        <f t="shared" ref="F886:Q886" si="783">SUBTOTAL(9,F877:F885)</f>
        <v>1.6445602908912105</v>
      </c>
      <c r="G886" s="170">
        <f t="shared" si="783"/>
        <v>3273.6131452323793</v>
      </c>
      <c r="H886" s="170">
        <f t="shared" si="783"/>
        <v>50.167952444191805</v>
      </c>
      <c r="I886" s="170">
        <f t="shared" si="783"/>
        <v>0</v>
      </c>
      <c r="J886" s="170">
        <f t="shared" si="783"/>
        <v>59.336257161133489</v>
      </c>
      <c r="K886" s="170">
        <f t="shared" ref="K886:P886" si="784">SUBTOTAL(9,K877:K885)</f>
        <v>23.13525167896147</v>
      </c>
      <c r="L886" s="170">
        <f t="shared" si="784"/>
        <v>2.7424208626355853</v>
      </c>
      <c r="M886" s="170">
        <f t="shared" si="784"/>
        <v>6.9357657545507474E-3</v>
      </c>
      <c r="N886" s="170">
        <f t="shared" si="784"/>
        <v>0</v>
      </c>
      <c r="O886" s="170">
        <f t="shared" si="784"/>
        <v>0</v>
      </c>
      <c r="P886" s="170">
        <f t="shared" si="784"/>
        <v>11.683441908660619</v>
      </c>
      <c r="Q886" s="170">
        <f t="shared" si="783"/>
        <v>3420.6854050537172</v>
      </c>
    </row>
    <row r="887" spans="3:17" ht="15.75" thickBot="1" x14ac:dyDescent="0.3">
      <c r="C887" s="143">
        <v>1</v>
      </c>
    </row>
    <row r="888" spans="3:17" ht="15.75" thickBot="1" x14ac:dyDescent="0.3">
      <c r="C888" s="143">
        <v>1</v>
      </c>
      <c r="D888" s="335" t="s">
        <v>379</v>
      </c>
      <c r="E888" s="336">
        <f>SUM(E20:E886)</f>
        <v>0.99999999999999978</v>
      </c>
    </row>
    <row r="889" spans="3:17" x14ac:dyDescent="0.25">
      <c r="C889" s="143">
        <v>1</v>
      </c>
    </row>
    <row r="890" spans="3:17" x14ac:dyDescent="0.25">
      <c r="C890" s="143">
        <v>1</v>
      </c>
      <c r="E890" s="67" t="s">
        <v>68</v>
      </c>
      <c r="F890" s="66">
        <f>SUBTOTAL(9,F20:F886)</f>
        <v>1994.3679914158452</v>
      </c>
      <c r="G890" s="66">
        <f t="shared" ref="G890:Q890" si="785">SUBTOTAL(9,G20:G886)</f>
        <v>3969930.0228096633</v>
      </c>
      <c r="H890" s="66">
        <f t="shared" si="785"/>
        <v>60838.972644382746</v>
      </c>
      <c r="I890" s="66">
        <f t="shared" si="785"/>
        <v>0</v>
      </c>
      <c r="J890" s="66">
        <f t="shared" si="785"/>
        <v>71957.429999999964</v>
      </c>
      <c r="K890" s="66">
        <f t="shared" ref="K890:P890" si="786">SUBTOTAL(9,K20:K886)</f>
        <v>28056.256543119158</v>
      </c>
      <c r="L890" s="66">
        <f t="shared" si="786"/>
        <v>3325.7499999999995</v>
      </c>
      <c r="M890" s="66">
        <f t="shared" si="786"/>
        <v>8.4110441517094952</v>
      </c>
      <c r="N890" s="66">
        <f t="shared" si="786"/>
        <v>0</v>
      </c>
      <c r="O890" s="66">
        <f t="shared" si="786"/>
        <v>0</v>
      </c>
      <c r="P890" s="66">
        <f t="shared" si="786"/>
        <v>14168.579103641132</v>
      </c>
      <c r="Q890" s="66">
        <f t="shared" si="785"/>
        <v>4148285.4221449583</v>
      </c>
    </row>
    <row r="891" spans="3:17" x14ac:dyDescent="0.25">
      <c r="C891" s="143">
        <v>1</v>
      </c>
      <c r="E891" s="65" t="s">
        <v>69</v>
      </c>
      <c r="F891" s="64">
        <f t="shared" ref="F891:Q891" si="787">+F890-F15</f>
        <v>0</v>
      </c>
      <c r="G891" s="64">
        <f t="shared" si="787"/>
        <v>0</v>
      </c>
      <c r="H891" s="64">
        <f t="shared" si="787"/>
        <v>0</v>
      </c>
      <c r="I891" s="64">
        <f t="shared" si="787"/>
        <v>0</v>
      </c>
      <c r="J891" s="64">
        <f t="shared" si="787"/>
        <v>0</v>
      </c>
      <c r="K891" s="64">
        <f t="shared" ref="K891:P891" si="788">+K890-K15</f>
        <v>0</v>
      </c>
      <c r="L891" s="64">
        <f t="shared" si="788"/>
        <v>0</v>
      </c>
      <c r="M891" s="64">
        <f t="shared" si="788"/>
        <v>0</v>
      </c>
      <c r="N891" s="64">
        <f t="shared" si="788"/>
        <v>0</v>
      </c>
      <c r="O891" s="64">
        <f t="shared" si="788"/>
        <v>0</v>
      </c>
      <c r="P891" s="64">
        <f t="shared" si="788"/>
        <v>0</v>
      </c>
      <c r="Q891" s="64">
        <f t="shared" si="787"/>
        <v>0</v>
      </c>
    </row>
  </sheetData>
  <autoFilter ref="A1:T891" xr:uid="{00000000-0009-0000-0000-000018000000}">
    <filterColumn colId="2">
      <customFilters>
        <customFilter operator="notEqual" val=" "/>
      </customFilters>
    </filterColumn>
    <filterColumn colId="4" showButton="0"/>
    <filterColumn colId="5" showButton="0"/>
    <filterColumn colId="6" showButton="0"/>
  </autoFilter>
  <customSheetViews>
    <customSheetView guid="{DE5AAEC6-B417-4CB5-A2E1-8776196B56AA}" scale="50" fitToPage="1" printArea="1">
      <pageMargins left="0.7" right="0.7" top="0.75" bottom="0.75" header="0.3" footer="0.3"/>
      <pageSetup paperSize="17" scale="98" orientation="landscape" r:id="rId1"/>
    </customSheetView>
    <customSheetView guid="{3ACE1F12-3844-4D90-9B24-992DA32A7B7A}" scale="50" fitToPage="1">
      <pageMargins left="0.7" right="0.7" top="0.75" bottom="0.75" header="0.3" footer="0.3"/>
      <pageSetup paperSize="17" scale="98" orientation="landscape" r:id="rId2"/>
    </customSheetView>
  </customSheetViews>
  <mergeCells count="2">
    <mergeCell ref="E1:H1"/>
    <mergeCell ref="E2:H2"/>
  </mergeCells>
  <conditionalFormatting sqref="E888">
    <cfRule type="cellIs" dxfId="451" priority="4" operator="lessThan">
      <formula>1</formula>
    </cfRule>
    <cfRule type="cellIs" dxfId="450" priority="5" operator="greaterThan">
      <formula>1</formula>
    </cfRule>
    <cfRule type="cellIs" dxfId="449" priority="6" operator="equal">
      <formula>1</formula>
    </cfRule>
  </conditionalFormatting>
  <conditionalFormatting sqref="F891:Q891">
    <cfRule type="cellIs" dxfId="448" priority="1" operator="lessThan">
      <formula>0</formula>
    </cfRule>
    <cfRule type="cellIs" dxfId="447" priority="2" operator="greaterThan">
      <formula>0</formula>
    </cfRule>
    <cfRule type="cellIs" dxfId="446" priority="3" operator="equal">
      <formula>0</formula>
    </cfRule>
  </conditionalFormatting>
  <pageMargins left="0.7" right="0.7" top="0.75" bottom="0.75" header="0.3" footer="0.3"/>
  <pageSetup paperSize="17" scale="39" orientation="landscape"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>
    <tabColor rgb="FF92D050"/>
    <pageSetUpPr fitToPage="1"/>
  </sheetPr>
  <dimension ref="A1:C42"/>
  <sheetViews>
    <sheetView workbookViewId="0">
      <selection activeCell="C5" sqref="C5"/>
    </sheetView>
  </sheetViews>
  <sheetFormatPr defaultColWidth="9.28515625" defaultRowHeight="15.75" x14ac:dyDescent="0.25"/>
  <cols>
    <col min="1" max="1" width="71.7109375" style="424" bestFit="1" customWidth="1"/>
    <col min="2" max="2" width="5.7109375" style="424" bestFit="1" customWidth="1"/>
    <col min="3" max="3" width="18.28515625" style="424" bestFit="1" customWidth="1"/>
    <col min="4" max="16384" width="9.28515625" style="424"/>
  </cols>
  <sheetData>
    <row r="1" spans="1:3" x14ac:dyDescent="0.25">
      <c r="A1" s="969" t="s">
        <v>171</v>
      </c>
      <c r="B1" s="970"/>
      <c r="C1" s="971"/>
    </row>
    <row r="2" spans="1:3" x14ac:dyDescent="0.25">
      <c r="A2" s="452" t="s">
        <v>172</v>
      </c>
      <c r="B2" s="427" t="s">
        <v>172</v>
      </c>
      <c r="C2" s="243" t="s">
        <v>57</v>
      </c>
    </row>
    <row r="3" spans="1:3" x14ac:dyDescent="0.25">
      <c r="A3" s="453" t="s">
        <v>173</v>
      </c>
      <c r="B3" s="427" t="s">
        <v>172</v>
      </c>
      <c r="C3" s="454"/>
    </row>
    <row r="4" spans="1:3" x14ac:dyDescent="0.25">
      <c r="A4" s="455" t="s">
        <v>174</v>
      </c>
      <c r="B4" s="427"/>
      <c r="C4" s="244"/>
    </row>
    <row r="5" spans="1:3" x14ac:dyDescent="0.25">
      <c r="A5" s="456" t="s">
        <v>175</v>
      </c>
      <c r="B5" s="429" t="s">
        <v>57</v>
      </c>
      <c r="C5" s="245">
        <f>SUM(TB!D6:D10,TB!D3)</f>
        <v>3679291.8400000003</v>
      </c>
    </row>
    <row r="6" spans="1:3" x14ac:dyDescent="0.25">
      <c r="A6" s="457" t="s">
        <v>176</v>
      </c>
      <c r="B6" s="429" t="s">
        <v>56</v>
      </c>
      <c r="C6" s="245"/>
    </row>
    <row r="7" spans="1:3" x14ac:dyDescent="0.25">
      <c r="A7" s="457" t="s">
        <v>177</v>
      </c>
      <c r="B7" s="429" t="s">
        <v>55</v>
      </c>
      <c r="C7" s="245">
        <f>TB!D15</f>
        <v>41906087.939999998</v>
      </c>
    </row>
    <row r="8" spans="1:3" x14ac:dyDescent="0.25">
      <c r="A8" s="458" t="s">
        <v>178</v>
      </c>
      <c r="B8" s="429" t="s">
        <v>54</v>
      </c>
      <c r="C8" s="245">
        <f>TB!E35</f>
        <v>0</v>
      </c>
    </row>
    <row r="9" spans="1:3" x14ac:dyDescent="0.25">
      <c r="A9" s="457" t="s">
        <v>179</v>
      </c>
      <c r="B9" s="429" t="s">
        <v>53</v>
      </c>
      <c r="C9" s="245">
        <f>TB!E42</f>
        <v>0</v>
      </c>
    </row>
    <row r="10" spans="1:3" x14ac:dyDescent="0.25">
      <c r="A10" s="458" t="s">
        <v>180</v>
      </c>
      <c r="B10" s="429" t="s">
        <v>52</v>
      </c>
      <c r="C10" s="245"/>
    </row>
    <row r="11" spans="1:3" x14ac:dyDescent="0.25">
      <c r="A11" s="456" t="s">
        <v>181</v>
      </c>
      <c r="B11" s="429" t="s">
        <v>51</v>
      </c>
      <c r="C11" s="245"/>
    </row>
    <row r="12" spans="1:3" x14ac:dyDescent="0.25">
      <c r="A12" s="458" t="s">
        <v>182</v>
      </c>
      <c r="B12" s="429" t="s">
        <v>50</v>
      </c>
      <c r="C12" s="245"/>
    </row>
    <row r="13" spans="1:3" x14ac:dyDescent="0.25">
      <c r="A13" s="458" t="s">
        <v>183</v>
      </c>
      <c r="B13" s="429" t="s">
        <v>49</v>
      </c>
      <c r="C13" s="245"/>
    </row>
    <row r="14" spans="1:3" x14ac:dyDescent="0.25">
      <c r="A14" s="458" t="s">
        <v>184</v>
      </c>
      <c r="B14" s="429" t="s">
        <v>47</v>
      </c>
      <c r="C14" s="245">
        <f>SUM(TB!D17:D109)</f>
        <v>23020911.399999999</v>
      </c>
    </row>
    <row r="15" spans="1:3" x14ac:dyDescent="0.25">
      <c r="A15" s="453" t="s">
        <v>185</v>
      </c>
      <c r="B15" s="429" t="s">
        <v>77</v>
      </c>
      <c r="C15" s="246">
        <f>SUM(C5:C14)</f>
        <v>68606291.180000007</v>
      </c>
    </row>
    <row r="16" spans="1:3" x14ac:dyDescent="0.25">
      <c r="A16" s="456"/>
      <c r="B16" s="427"/>
      <c r="C16" s="245"/>
    </row>
    <row r="17" spans="1:3" x14ac:dyDescent="0.25">
      <c r="A17" s="455" t="s">
        <v>186</v>
      </c>
      <c r="B17" s="427"/>
      <c r="C17" s="247"/>
    </row>
    <row r="18" spans="1:3" x14ac:dyDescent="0.25">
      <c r="A18" s="456" t="s">
        <v>187</v>
      </c>
      <c r="B18" s="429" t="s">
        <v>78</v>
      </c>
      <c r="C18" s="245"/>
    </row>
    <row r="19" spans="1:3" x14ac:dyDescent="0.25">
      <c r="A19" s="456" t="s">
        <v>188</v>
      </c>
      <c r="B19" s="429" t="s">
        <v>79</v>
      </c>
      <c r="C19" s="245"/>
    </row>
    <row r="20" spans="1:3" x14ac:dyDescent="0.25">
      <c r="A20" s="456" t="s">
        <v>189</v>
      </c>
      <c r="B20" s="429" t="s">
        <v>81</v>
      </c>
      <c r="C20" s="245"/>
    </row>
    <row r="21" spans="1:3" x14ac:dyDescent="0.25">
      <c r="A21" s="458" t="s">
        <v>190</v>
      </c>
      <c r="B21" s="429" t="s">
        <v>83</v>
      </c>
      <c r="C21" s="245"/>
    </row>
    <row r="22" spans="1:3" x14ac:dyDescent="0.25">
      <c r="A22" s="456" t="s">
        <v>191</v>
      </c>
      <c r="B22" s="429" t="s">
        <v>85</v>
      </c>
      <c r="C22" s="245"/>
    </row>
    <row r="23" spans="1:3" x14ac:dyDescent="0.25">
      <c r="A23" s="458" t="s">
        <v>192</v>
      </c>
      <c r="B23" s="429" t="s">
        <v>87</v>
      </c>
      <c r="C23" s="245"/>
    </row>
    <row r="24" spans="1:3" x14ac:dyDescent="0.25">
      <c r="A24" s="457" t="s">
        <v>193</v>
      </c>
      <c r="B24" s="429" t="s">
        <v>88</v>
      </c>
      <c r="C24" s="245"/>
    </row>
    <row r="25" spans="1:3" x14ac:dyDescent="0.25">
      <c r="A25" s="457" t="s">
        <v>192</v>
      </c>
      <c r="B25" s="429" t="s">
        <v>89</v>
      </c>
      <c r="C25" s="245"/>
    </row>
    <row r="26" spans="1:3" x14ac:dyDescent="0.25">
      <c r="A26" s="456" t="s">
        <v>194</v>
      </c>
      <c r="B26" s="429" t="s">
        <v>154</v>
      </c>
      <c r="C26" s="245">
        <f>SUM(TB!J38:J39)</f>
        <v>0</v>
      </c>
    </row>
    <row r="27" spans="1:3" x14ac:dyDescent="0.25">
      <c r="A27" s="458" t="s">
        <v>192</v>
      </c>
      <c r="B27" s="429" t="s">
        <v>155</v>
      </c>
      <c r="C27" s="245">
        <f>TB!E92+TB!E96</f>
        <v>0</v>
      </c>
    </row>
    <row r="28" spans="1:3" x14ac:dyDescent="0.25">
      <c r="A28" s="456" t="s">
        <v>195</v>
      </c>
      <c r="B28" s="429" t="s">
        <v>156</v>
      </c>
      <c r="C28" s="245">
        <f>TB!G82</f>
        <v>0</v>
      </c>
    </row>
    <row r="29" spans="1:3" x14ac:dyDescent="0.25">
      <c r="A29" s="458" t="s">
        <v>196</v>
      </c>
      <c r="B29" s="429" t="s">
        <v>157</v>
      </c>
      <c r="C29" s="245">
        <f>+TB!G11</f>
        <v>0</v>
      </c>
    </row>
    <row r="30" spans="1:3" x14ac:dyDescent="0.25">
      <c r="A30" s="456" t="s">
        <v>197</v>
      </c>
      <c r="B30" s="429" t="s">
        <v>158</v>
      </c>
      <c r="C30" s="245"/>
    </row>
    <row r="31" spans="1:3" x14ac:dyDescent="0.25">
      <c r="A31" s="453" t="s">
        <v>198</v>
      </c>
      <c r="B31" s="429" t="s">
        <v>159</v>
      </c>
      <c r="C31" s="246">
        <f>SUM(C18:C30)</f>
        <v>0</v>
      </c>
    </row>
    <row r="32" spans="1:3" x14ac:dyDescent="0.25">
      <c r="A32" s="456"/>
      <c r="B32" s="427"/>
      <c r="C32" s="245"/>
    </row>
    <row r="33" spans="1:3" x14ac:dyDescent="0.25">
      <c r="A33" s="459" t="s">
        <v>199</v>
      </c>
      <c r="B33" s="427"/>
      <c r="C33" s="247"/>
    </row>
    <row r="34" spans="1:3" x14ac:dyDescent="0.25">
      <c r="A34" s="457" t="s">
        <v>200</v>
      </c>
      <c r="B34" s="429" t="s">
        <v>160</v>
      </c>
      <c r="C34" s="245"/>
    </row>
    <row r="35" spans="1:3" x14ac:dyDescent="0.25">
      <c r="A35" s="457" t="s">
        <v>201</v>
      </c>
      <c r="B35" s="429" t="s">
        <v>161</v>
      </c>
      <c r="C35" s="245"/>
    </row>
    <row r="36" spans="1:3" x14ac:dyDescent="0.25">
      <c r="A36" s="457" t="s">
        <v>202</v>
      </c>
      <c r="B36" s="429" t="s">
        <v>162</v>
      </c>
      <c r="C36" s="245"/>
    </row>
    <row r="37" spans="1:3" x14ac:dyDescent="0.25">
      <c r="A37" s="457" t="s">
        <v>203</v>
      </c>
      <c r="B37" s="429" t="s">
        <v>204</v>
      </c>
      <c r="C37" s="245"/>
    </row>
    <row r="38" spans="1:3" x14ac:dyDescent="0.25">
      <c r="A38" s="457" t="s">
        <v>202</v>
      </c>
      <c r="B38" s="429" t="s">
        <v>205</v>
      </c>
      <c r="C38" s="245">
        <f>TB!E84</f>
        <v>0</v>
      </c>
    </row>
    <row r="39" spans="1:3" x14ac:dyDescent="0.25">
      <c r="A39" s="456" t="s">
        <v>206</v>
      </c>
      <c r="B39" s="429" t="s">
        <v>207</v>
      </c>
      <c r="C39" s="245">
        <f>TB!D110</f>
        <v>266497.34000000003</v>
      </c>
    </row>
    <row r="40" spans="1:3" x14ac:dyDescent="0.25">
      <c r="A40" s="453" t="s">
        <v>208</v>
      </c>
      <c r="B40" s="429" t="s">
        <v>209</v>
      </c>
      <c r="C40" s="246">
        <f>SUM(C34:C39)</f>
        <v>266497.34000000003</v>
      </c>
    </row>
    <row r="41" spans="1:3" x14ac:dyDescent="0.25">
      <c r="A41" s="456"/>
      <c r="B41" s="427" t="s">
        <v>172</v>
      </c>
      <c r="C41" s="245"/>
    </row>
    <row r="42" spans="1:3" ht="16.5" thickBot="1" x14ac:dyDescent="0.3">
      <c r="A42" s="460" t="s">
        <v>210</v>
      </c>
      <c r="B42" s="436" t="s">
        <v>211</v>
      </c>
      <c r="C42" s="248">
        <f>+C40+C31+C15</f>
        <v>68872788.520000011</v>
      </c>
    </row>
  </sheetData>
  <mergeCells count="1">
    <mergeCell ref="A1:C1"/>
  </mergeCells>
  <pageMargins left="0.7" right="0.7" top="0.75" bottom="0.75" header="0.3" footer="0.3"/>
  <pageSetup paperSize="17" scale="32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>
    <tabColor rgb="FF92D050"/>
    <pageSetUpPr fitToPage="1"/>
  </sheetPr>
  <dimension ref="A1:C38"/>
  <sheetViews>
    <sheetView workbookViewId="0">
      <selection sqref="A1:C1"/>
    </sheetView>
  </sheetViews>
  <sheetFormatPr defaultColWidth="7.42578125" defaultRowHeight="18.75" x14ac:dyDescent="0.25"/>
  <cols>
    <col min="1" max="1" width="54.7109375" style="439" bestFit="1" customWidth="1"/>
    <col min="2" max="2" width="5.7109375" style="439" bestFit="1" customWidth="1"/>
    <col min="3" max="3" width="17.7109375" style="439" bestFit="1" customWidth="1"/>
    <col min="4" max="16384" width="7.42578125" style="439"/>
  </cols>
  <sheetData>
    <row r="1" spans="1:3" x14ac:dyDescent="0.25">
      <c r="A1" s="972" t="s">
        <v>212</v>
      </c>
      <c r="B1" s="973"/>
      <c r="C1" s="974"/>
    </row>
    <row r="2" spans="1:3" x14ac:dyDescent="0.3">
      <c r="A2" s="440" t="s">
        <v>172</v>
      </c>
      <c r="B2" s="441" t="s">
        <v>172</v>
      </c>
      <c r="C2" s="249" t="s">
        <v>57</v>
      </c>
    </row>
    <row r="3" spans="1:3" x14ac:dyDescent="0.3">
      <c r="A3" s="442" t="s">
        <v>213</v>
      </c>
      <c r="B3" s="441"/>
      <c r="C3" s="250"/>
    </row>
    <row r="4" spans="1:3" x14ac:dyDescent="0.3">
      <c r="A4" s="443" t="s">
        <v>214</v>
      </c>
      <c r="B4" s="441"/>
      <c r="C4" s="250"/>
    </row>
    <row r="5" spans="1:3" x14ac:dyDescent="0.3">
      <c r="A5" s="444" t="s">
        <v>215</v>
      </c>
      <c r="B5" s="445" t="s">
        <v>57</v>
      </c>
      <c r="C5" s="251"/>
    </row>
    <row r="6" spans="1:3" x14ac:dyDescent="0.3">
      <c r="A6" s="444" t="s">
        <v>216</v>
      </c>
      <c r="B6" s="445" t="s">
        <v>56</v>
      </c>
      <c r="C6" s="251">
        <f>-SUM(TB!D111:D118,TB!D4,TB!D5,TB!D11)</f>
        <v>10589612.560000001</v>
      </c>
    </row>
    <row r="7" spans="1:3" x14ac:dyDescent="0.3">
      <c r="A7" s="444" t="s">
        <v>217</v>
      </c>
      <c r="B7" s="445" t="s">
        <v>55</v>
      </c>
      <c r="C7" s="251"/>
    </row>
    <row r="8" spans="1:3" x14ac:dyDescent="0.3">
      <c r="A8" s="444" t="s">
        <v>218</v>
      </c>
      <c r="B8" s="445" t="s">
        <v>54</v>
      </c>
      <c r="C8" s="251">
        <f>-SUM(TB!D119:D137)</f>
        <v>11449464.059999999</v>
      </c>
    </row>
    <row r="9" spans="1:3" x14ac:dyDescent="0.3">
      <c r="A9" s="444" t="s">
        <v>219</v>
      </c>
      <c r="B9" s="445" t="s">
        <v>53</v>
      </c>
      <c r="C9" s="251"/>
    </row>
    <row r="10" spans="1:3" x14ac:dyDescent="0.3">
      <c r="A10" s="444" t="s">
        <v>220</v>
      </c>
      <c r="B10" s="445" t="s">
        <v>52</v>
      </c>
      <c r="C10" s="251"/>
    </row>
    <row r="11" spans="1:3" x14ac:dyDescent="0.3">
      <c r="A11" s="444" t="s">
        <v>221</v>
      </c>
      <c r="B11" s="445" t="s">
        <v>51</v>
      </c>
      <c r="C11" s="251">
        <f>-SUM(TB!J97:J98)-TB!J82-TB!J84</f>
        <v>0</v>
      </c>
    </row>
    <row r="12" spans="1:3" x14ac:dyDescent="0.3">
      <c r="A12" s="442" t="s">
        <v>222</v>
      </c>
      <c r="B12" s="445" t="s">
        <v>50</v>
      </c>
      <c r="C12" s="252">
        <f>SUM(C5:C11)</f>
        <v>22039076.619999997</v>
      </c>
    </row>
    <row r="13" spans="1:3" x14ac:dyDescent="0.3">
      <c r="A13" s="446" t="s">
        <v>153</v>
      </c>
      <c r="B13" s="441"/>
      <c r="C13" s="251"/>
    </row>
    <row r="14" spans="1:3" x14ac:dyDescent="0.3">
      <c r="A14" s="443" t="s">
        <v>223</v>
      </c>
      <c r="B14" s="441"/>
      <c r="C14" s="253"/>
    </row>
    <row r="15" spans="1:3" x14ac:dyDescent="0.3">
      <c r="A15" s="447" t="s">
        <v>224</v>
      </c>
      <c r="B15" s="445" t="s">
        <v>49</v>
      </c>
      <c r="C15" s="251"/>
    </row>
    <row r="16" spans="1:3" x14ac:dyDescent="0.3">
      <c r="A16" s="447" t="s">
        <v>225</v>
      </c>
      <c r="B16" s="445" t="s">
        <v>47</v>
      </c>
      <c r="C16" s="251">
        <f>-TB!D138-TB!D139</f>
        <v>3433300</v>
      </c>
    </row>
    <row r="17" spans="1:3" x14ac:dyDescent="0.3">
      <c r="A17" s="446" t="s">
        <v>226</v>
      </c>
      <c r="B17" s="445" t="s">
        <v>77</v>
      </c>
      <c r="C17" s="251"/>
    </row>
    <row r="18" spans="1:3" x14ac:dyDescent="0.3">
      <c r="A18" s="444" t="s">
        <v>227</v>
      </c>
      <c r="B18" s="445" t="s">
        <v>78</v>
      </c>
      <c r="C18" s="251"/>
    </row>
    <row r="19" spans="1:3" x14ac:dyDescent="0.3">
      <c r="A19" s="446" t="s">
        <v>228</v>
      </c>
      <c r="B19" s="445" t="s">
        <v>79</v>
      </c>
      <c r="C19" s="251">
        <f>-TB!E179</f>
        <v>0</v>
      </c>
    </row>
    <row r="20" spans="1:3" x14ac:dyDescent="0.3">
      <c r="A20" s="442" t="s">
        <v>229</v>
      </c>
      <c r="B20" s="445" t="s">
        <v>81</v>
      </c>
      <c r="C20" s="252">
        <f>SUM(C15:C19)</f>
        <v>3433300</v>
      </c>
    </row>
    <row r="21" spans="1:3" x14ac:dyDescent="0.3">
      <c r="A21" s="442" t="s">
        <v>230</v>
      </c>
      <c r="B21" s="445" t="s">
        <v>83</v>
      </c>
      <c r="C21" s="252">
        <f>+C20+C12</f>
        <v>25472376.619999997</v>
      </c>
    </row>
    <row r="22" spans="1:3" x14ac:dyDescent="0.3">
      <c r="A22" s="446" t="s">
        <v>153</v>
      </c>
      <c r="B22" s="441"/>
      <c r="C22" s="251"/>
    </row>
    <row r="23" spans="1:3" x14ac:dyDescent="0.3">
      <c r="A23" s="443" t="s">
        <v>231</v>
      </c>
      <c r="B23" s="441"/>
      <c r="C23" s="253"/>
    </row>
    <row r="24" spans="1:3" x14ac:dyDescent="0.3">
      <c r="A24" s="446" t="s">
        <v>232</v>
      </c>
      <c r="B24" s="445" t="s">
        <v>85</v>
      </c>
      <c r="C24" s="251"/>
    </row>
    <row r="25" spans="1:3" x14ac:dyDescent="0.3">
      <c r="A25" s="444" t="s">
        <v>233</v>
      </c>
      <c r="B25" s="445" t="s">
        <v>87</v>
      </c>
      <c r="C25" s="251"/>
    </row>
    <row r="26" spans="1:3" x14ac:dyDescent="0.3">
      <c r="A26" s="444" t="s">
        <v>234</v>
      </c>
      <c r="B26" s="445" t="s">
        <v>88</v>
      </c>
      <c r="C26" s="251"/>
    </row>
    <row r="27" spans="1:3" x14ac:dyDescent="0.3">
      <c r="A27" s="446" t="s">
        <v>235</v>
      </c>
      <c r="B27" s="445" t="s">
        <v>89</v>
      </c>
      <c r="C27" s="251"/>
    </row>
    <row r="28" spans="1:3" x14ac:dyDescent="0.3">
      <c r="A28" s="446" t="s">
        <v>236</v>
      </c>
      <c r="B28" s="445" t="s">
        <v>154</v>
      </c>
      <c r="C28" s="252">
        <f>SUM(C24:C27)</f>
        <v>0</v>
      </c>
    </row>
    <row r="29" spans="1:3" x14ac:dyDescent="0.3">
      <c r="A29" s="446"/>
      <c r="B29" s="441"/>
      <c r="C29" s="254"/>
    </row>
    <row r="30" spans="1:3" x14ac:dyDescent="0.3">
      <c r="A30" s="443" t="s">
        <v>237</v>
      </c>
      <c r="B30" s="441"/>
      <c r="C30" s="250"/>
    </row>
    <row r="31" spans="1:3" x14ac:dyDescent="0.3">
      <c r="A31" s="444" t="s">
        <v>238</v>
      </c>
      <c r="B31" s="445" t="s">
        <v>155</v>
      </c>
      <c r="C31" s="251">
        <f>-SUM(TB!J126,TB!J132,TB!J137)-TB!J280</f>
        <v>0</v>
      </c>
    </row>
    <row r="32" spans="1:3" x14ac:dyDescent="0.3">
      <c r="A32" s="444" t="s">
        <v>239</v>
      </c>
      <c r="B32" s="445" t="s">
        <v>156</v>
      </c>
      <c r="C32" s="470">
        <f>-TB!D140+'Schedule 19'!C43</f>
        <v>43400411.900000051</v>
      </c>
    </row>
    <row r="33" spans="1:3" x14ac:dyDescent="0.3">
      <c r="A33" s="442" t="s">
        <v>240</v>
      </c>
      <c r="B33" s="445" t="s">
        <v>157</v>
      </c>
      <c r="C33" s="252">
        <f>SUM(C31:C32)</f>
        <v>43400411.900000051</v>
      </c>
    </row>
    <row r="34" spans="1:3" x14ac:dyDescent="0.3">
      <c r="A34" s="446" t="s">
        <v>153</v>
      </c>
      <c r="B34" s="441"/>
      <c r="C34" s="251"/>
    </row>
    <row r="35" spans="1:3" ht="19.5" thickBot="1" x14ac:dyDescent="0.35">
      <c r="A35" s="448" t="s">
        <v>241</v>
      </c>
      <c r="B35" s="449" t="s">
        <v>158</v>
      </c>
      <c r="C35" s="255">
        <f>+C33+C28+C21</f>
        <v>68872788.520000041</v>
      </c>
    </row>
    <row r="36" spans="1:3" x14ac:dyDescent="0.25">
      <c r="C36" s="450"/>
    </row>
    <row r="37" spans="1:3" x14ac:dyDescent="0.25">
      <c r="C37" s="451">
        <f>+C35-'Schedule 17'!C42</f>
        <v>0</v>
      </c>
    </row>
    <row r="38" spans="1:3" x14ac:dyDescent="0.25">
      <c r="C38" s="451"/>
    </row>
  </sheetData>
  <mergeCells count="1">
    <mergeCell ref="A1:C1"/>
  </mergeCells>
  <pageMargins left="0.7" right="0.7" top="0.75" bottom="0.75" header="0.3" footer="0.3"/>
  <pageSetup paperSize="17" scale="40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>
    <tabColor rgb="FF92D050"/>
    <pageSetUpPr fitToPage="1"/>
  </sheetPr>
  <dimension ref="A1:V45"/>
  <sheetViews>
    <sheetView workbookViewId="0">
      <selection sqref="A1:C1"/>
    </sheetView>
  </sheetViews>
  <sheetFormatPr defaultColWidth="7.42578125" defaultRowHeight="15.75" x14ac:dyDescent="0.25"/>
  <cols>
    <col min="1" max="1" width="61.42578125" style="438" customWidth="1"/>
    <col min="2" max="2" width="5.140625" style="468" bestFit="1" customWidth="1"/>
    <col min="3" max="3" width="16.85546875" style="424" bestFit="1" customWidth="1"/>
    <col min="4" max="4" width="15.7109375" style="424" bestFit="1" customWidth="1"/>
    <col min="5" max="5" width="16.85546875" style="424" bestFit="1" customWidth="1"/>
    <col min="6" max="6" width="29.28515625" style="424" bestFit="1" customWidth="1"/>
    <col min="7" max="7" width="15.7109375" style="424" bestFit="1" customWidth="1"/>
    <col min="8" max="8" width="16.42578125" style="424" bestFit="1" customWidth="1"/>
    <col min="9" max="9" width="12.42578125" style="424" bestFit="1" customWidth="1"/>
    <col min="10" max="21" width="7.42578125" style="424"/>
    <col min="22" max="22" width="10.42578125" style="424" bestFit="1" customWidth="1"/>
    <col min="23" max="16384" width="7.42578125" style="424"/>
  </cols>
  <sheetData>
    <row r="1" spans="1:22" x14ac:dyDescent="0.25">
      <c r="A1" s="975" t="s">
        <v>242</v>
      </c>
      <c r="B1" s="976"/>
      <c r="C1" s="977"/>
    </row>
    <row r="2" spans="1:22" x14ac:dyDescent="0.25">
      <c r="A2" s="425"/>
      <c r="B2" s="466"/>
      <c r="C2" s="243" t="s">
        <v>57</v>
      </c>
    </row>
    <row r="3" spans="1:22" x14ac:dyDescent="0.25">
      <c r="A3" s="426" t="s">
        <v>243</v>
      </c>
      <c r="B3" s="467"/>
      <c r="C3" s="256"/>
    </row>
    <row r="4" spans="1:22" x14ac:dyDescent="0.25">
      <c r="A4" s="428" t="s">
        <v>244</v>
      </c>
      <c r="B4" s="48" t="s">
        <v>57</v>
      </c>
      <c r="C4" s="245"/>
      <c r="F4" s="430" t="s">
        <v>245</v>
      </c>
      <c r="G4" s="462">
        <f>+TB!F1-Check!A24</f>
        <v>323555835.68000001</v>
      </c>
      <c r="V4" s="424">
        <v>25000000</v>
      </c>
    </row>
    <row r="5" spans="1:22" x14ac:dyDescent="0.25">
      <c r="A5" s="431" t="s">
        <v>246</v>
      </c>
      <c r="B5" s="48" t="s">
        <v>56</v>
      </c>
      <c r="C5" s="461">
        <f>G5</f>
        <v>0</v>
      </c>
      <c r="F5" s="424" t="s">
        <v>447</v>
      </c>
      <c r="G5" s="463">
        <f>IFERROR(+G4*GETPIVOTDATA("Unique Billed Hours",'Private Pay Pivot'!$A$3,"Payor Source","FFS"),0)</f>
        <v>0</v>
      </c>
    </row>
    <row r="6" spans="1:22" x14ac:dyDescent="0.25">
      <c r="A6" s="431" t="s">
        <v>247</v>
      </c>
      <c r="B6" s="48" t="s">
        <v>55</v>
      </c>
      <c r="C6" s="461">
        <f>+G6</f>
        <v>195222509.08073783</v>
      </c>
      <c r="E6" s="585">
        <f>G6/(1+0.0456)</f>
        <v>186708597.05502853</v>
      </c>
      <c r="F6" s="430" t="s">
        <v>247</v>
      </c>
      <c r="G6" s="463">
        <f>+G4-G8-I9-G5</f>
        <v>195222509.08073783</v>
      </c>
    </row>
    <row r="7" spans="1:22" x14ac:dyDescent="0.25">
      <c r="A7" s="428" t="s">
        <v>249</v>
      </c>
      <c r="B7" s="48" t="s">
        <v>54</v>
      </c>
      <c r="C7" s="461">
        <f>G7</f>
        <v>47766041.155322298</v>
      </c>
      <c r="D7" s="627">
        <f>SUMIF('TB Tagging'!C:C,'TB Tagging'!$V$5,'TB Tagging'!B:B)</f>
        <v>8513912.0257093012</v>
      </c>
      <c r="E7" s="433">
        <f>G6-E6</f>
        <v>8513912.0257093012</v>
      </c>
      <c r="F7" s="424" t="s">
        <v>13</v>
      </c>
      <c r="G7" s="463">
        <f>IFERROR(I9*GETPIVOTDATA("Unique Billed Hours",'Private Pay Pivot'!$D$3,"Level of Service","SubContractor services","CHHA","CHHA"),0)</f>
        <v>47766041.155322298</v>
      </c>
    </row>
    <row r="8" spans="1:22" x14ac:dyDescent="0.25">
      <c r="A8" s="428" t="s">
        <v>248</v>
      </c>
      <c r="B8" s="48" t="s">
        <v>53</v>
      </c>
      <c r="C8" s="461">
        <f>+G8</f>
        <v>2016652.5400139224</v>
      </c>
      <c r="E8" s="433">
        <f>+'Schedule 3c'!H14+'Schedule 3b'!H18</f>
        <v>8513912.0257093031</v>
      </c>
      <c r="F8" s="430" t="s">
        <v>248</v>
      </c>
      <c r="G8" s="463">
        <f>IFERROR(+G4*GETPIVOTDATA("Unique Billed Hours",'Private Pay Pivot'!$A$3,"Payor Source","Private pay"),0)</f>
        <v>2016652.5400139224</v>
      </c>
    </row>
    <row r="9" spans="1:22" x14ac:dyDescent="0.25">
      <c r="A9" s="428" t="s">
        <v>250</v>
      </c>
      <c r="B9" s="48" t="s">
        <v>52</v>
      </c>
      <c r="C9" s="461">
        <f>G9</f>
        <v>0</v>
      </c>
      <c r="E9" s="433">
        <f>E8-E7</f>
        <v>0</v>
      </c>
      <c r="F9" s="428" t="s">
        <v>250</v>
      </c>
      <c r="G9" s="257">
        <f>IFERROR(I9*GETPIVOTDATA("Unique Billed Hours",'Private Pay Pivot'!$D$3,"Level of Service","Subcontractor Services","CHHA",),0)</f>
        <v>0</v>
      </c>
      <c r="H9" s="430" t="s">
        <v>16</v>
      </c>
      <c r="I9" s="463">
        <f>+IFERROR(G4*GETPIVOTDATA("Unique Billed Hours",'Private Pay Pivot'!$A$3,"Payor Source","Other"),0)</f>
        <v>126316674.05924827</v>
      </c>
    </row>
    <row r="10" spans="1:22" x14ac:dyDescent="0.25">
      <c r="A10" s="465" t="s">
        <v>448</v>
      </c>
      <c r="B10" s="48" t="s">
        <v>51</v>
      </c>
      <c r="C10" s="461">
        <f>G10</f>
        <v>78550632.90392597</v>
      </c>
      <c r="F10" s="469" t="s">
        <v>448</v>
      </c>
      <c r="G10" s="433">
        <f>IFERROR(I9*GETPIVOTDATA("Unique Billed Hours",'Private Pay Pivot'!$D$3,"Level of Service","Other Non-Reimbursable Services","CHHA",),0)</f>
        <v>78550632.90392597</v>
      </c>
    </row>
    <row r="11" spans="1:22" x14ac:dyDescent="0.25">
      <c r="A11" s="465" t="s">
        <v>99</v>
      </c>
      <c r="B11" s="48" t="s">
        <v>50</v>
      </c>
      <c r="C11" s="258"/>
    </row>
    <row r="12" spans="1:22" x14ac:dyDescent="0.25">
      <c r="A12" s="432" t="s">
        <v>251</v>
      </c>
      <c r="B12" s="48" t="s">
        <v>49</v>
      </c>
      <c r="C12" s="464">
        <f>SUM(C4:C10)</f>
        <v>323555835.68000001</v>
      </c>
      <c r="G12" s="433"/>
    </row>
    <row r="13" spans="1:22" x14ac:dyDescent="0.25">
      <c r="A13" s="434" t="s">
        <v>153</v>
      </c>
      <c r="B13" s="467"/>
      <c r="C13" s="258"/>
      <c r="E13" s="433">
        <f>C12-G4</f>
        <v>0</v>
      </c>
      <c r="G13" s="433"/>
    </row>
    <row r="14" spans="1:22" x14ac:dyDescent="0.25">
      <c r="A14" s="432" t="s">
        <v>252</v>
      </c>
      <c r="B14" s="48" t="s">
        <v>47</v>
      </c>
      <c r="C14" s="258">
        <f>TB!C142</f>
        <v>7092745.6600000001</v>
      </c>
      <c r="G14" s="433"/>
    </row>
    <row r="15" spans="1:22" x14ac:dyDescent="0.25">
      <c r="A15" s="434"/>
      <c r="B15" s="467"/>
      <c r="C15" s="258"/>
      <c r="G15" s="433"/>
      <c r="H15" s="424" t="s">
        <v>153</v>
      </c>
    </row>
    <row r="16" spans="1:22" x14ac:dyDescent="0.25">
      <c r="A16" s="432" t="s">
        <v>253</v>
      </c>
      <c r="B16" s="48" t="s">
        <v>77</v>
      </c>
      <c r="C16" s="464">
        <f>+C14+C12</f>
        <v>330648581.34000003</v>
      </c>
      <c r="G16" s="433"/>
    </row>
    <row r="17" spans="1:7" x14ac:dyDescent="0.25">
      <c r="A17" s="434" t="s">
        <v>153</v>
      </c>
      <c r="B17" s="467"/>
      <c r="C17" s="258"/>
      <c r="G17" s="433"/>
    </row>
    <row r="18" spans="1:7" x14ac:dyDescent="0.25">
      <c r="A18" s="426" t="s">
        <v>254</v>
      </c>
      <c r="B18" s="467"/>
      <c r="C18" s="259"/>
      <c r="G18" s="433"/>
    </row>
    <row r="19" spans="1:7" x14ac:dyDescent="0.25">
      <c r="A19" s="428" t="s">
        <v>255</v>
      </c>
      <c r="B19" s="48" t="s">
        <v>78</v>
      </c>
      <c r="C19" s="258"/>
      <c r="G19" s="433"/>
    </row>
    <row r="20" spans="1:7" x14ac:dyDescent="0.25">
      <c r="A20" s="428" t="s">
        <v>256</v>
      </c>
      <c r="B20" s="48" t="s">
        <v>79</v>
      </c>
      <c r="C20" s="258"/>
      <c r="G20" s="433"/>
    </row>
    <row r="21" spans="1:7" x14ac:dyDescent="0.25">
      <c r="A21" s="428" t="s">
        <v>257</v>
      </c>
      <c r="B21" s="48" t="s">
        <v>81</v>
      </c>
      <c r="C21" s="258">
        <f>SUM(TB!D146:D176,TB!D178:D249,,TB!D253:D260,TB!D263)</f>
        <v>307241778.07999998</v>
      </c>
      <c r="G21" s="433"/>
    </row>
    <row r="22" spans="1:7" x14ac:dyDescent="0.25">
      <c r="A22" s="432" t="s">
        <v>258</v>
      </c>
      <c r="B22" s="48" t="s">
        <v>83</v>
      </c>
      <c r="C22" s="464">
        <f>SUM(C19:C21)</f>
        <v>307241778.07999998</v>
      </c>
      <c r="G22" s="433"/>
    </row>
    <row r="23" spans="1:7" x14ac:dyDescent="0.25">
      <c r="A23" s="434"/>
      <c r="B23" s="467"/>
      <c r="C23" s="258"/>
      <c r="G23" s="433"/>
    </row>
    <row r="24" spans="1:7" x14ac:dyDescent="0.25">
      <c r="A24" s="434" t="s">
        <v>259</v>
      </c>
      <c r="B24" s="48" t="s">
        <v>85</v>
      </c>
      <c r="C24" s="464">
        <f>+C16-C22</f>
        <v>23406803.26000005</v>
      </c>
      <c r="G24" s="433"/>
    </row>
    <row r="25" spans="1:7" x14ac:dyDescent="0.25">
      <c r="A25" s="434" t="s">
        <v>153</v>
      </c>
      <c r="B25" s="467"/>
      <c r="C25" s="258"/>
      <c r="G25" s="433"/>
    </row>
    <row r="26" spans="1:7" x14ac:dyDescent="0.25">
      <c r="A26" s="426" t="s">
        <v>260</v>
      </c>
      <c r="B26" s="467"/>
      <c r="C26" s="259"/>
    </row>
    <row r="27" spans="1:7" x14ac:dyDescent="0.25">
      <c r="A27" s="435" t="s">
        <v>261</v>
      </c>
      <c r="B27" s="48" t="s">
        <v>87</v>
      </c>
      <c r="C27" s="258"/>
    </row>
    <row r="28" spans="1:7" x14ac:dyDescent="0.25">
      <c r="A28" s="435" t="s">
        <v>262</v>
      </c>
      <c r="B28" s="48" t="s">
        <v>88</v>
      </c>
      <c r="C28" s="258">
        <f>-TB!D261</f>
        <v>3311.64</v>
      </c>
    </row>
    <row r="29" spans="1:7" x14ac:dyDescent="0.25">
      <c r="A29" s="435" t="s">
        <v>263</v>
      </c>
      <c r="B29" s="48" t="s">
        <v>89</v>
      </c>
      <c r="C29" s="258"/>
    </row>
    <row r="30" spans="1:7" x14ac:dyDescent="0.25">
      <c r="A30" s="428" t="s">
        <v>264</v>
      </c>
      <c r="B30" s="48" t="s">
        <v>154</v>
      </c>
      <c r="C30" s="258">
        <f>-TB!D145-TB!D251</f>
        <v>277764</v>
      </c>
    </row>
    <row r="31" spans="1:7" x14ac:dyDescent="0.25">
      <c r="A31" s="432" t="s">
        <v>265</v>
      </c>
      <c r="B31" s="48" t="s">
        <v>155</v>
      </c>
      <c r="C31" s="464">
        <f>SUM(C27:C30)</f>
        <v>281075.64</v>
      </c>
    </row>
    <row r="32" spans="1:7" x14ac:dyDescent="0.25">
      <c r="A32" s="434" t="s">
        <v>153</v>
      </c>
      <c r="B32" s="467"/>
      <c r="C32" s="258"/>
    </row>
    <row r="33" spans="1:6" x14ac:dyDescent="0.25">
      <c r="A33" s="426" t="s">
        <v>266</v>
      </c>
      <c r="B33" s="467"/>
      <c r="C33" s="259"/>
    </row>
    <row r="34" spans="1:6" x14ac:dyDescent="0.25">
      <c r="A34" s="428" t="s">
        <v>267</v>
      </c>
      <c r="B34" s="48" t="s">
        <v>156</v>
      </c>
      <c r="C34" s="258">
        <f>SUM(TB!D250,TB!D252)</f>
        <v>263709</v>
      </c>
    </row>
    <row r="35" spans="1:6" x14ac:dyDescent="0.25">
      <c r="A35" s="428" t="s">
        <v>268</v>
      </c>
      <c r="B35" s="48" t="s">
        <v>157</v>
      </c>
      <c r="C35" s="258">
        <f>TB!D264+TB!D262</f>
        <v>4483435.54</v>
      </c>
    </row>
    <row r="36" spans="1:6" x14ac:dyDescent="0.25">
      <c r="A36" s="432" t="s">
        <v>269</v>
      </c>
      <c r="B36" s="48" t="s">
        <v>158</v>
      </c>
      <c r="C36" s="464">
        <f>SUM(C34:C35)</f>
        <v>4747144.54</v>
      </c>
    </row>
    <row r="37" spans="1:6" x14ac:dyDescent="0.25">
      <c r="A37" s="434"/>
      <c r="B37" s="467"/>
      <c r="C37" s="258"/>
    </row>
    <row r="38" spans="1:6" x14ac:dyDescent="0.25">
      <c r="A38" s="456" t="s">
        <v>270</v>
      </c>
      <c r="B38" s="48" t="s">
        <v>159</v>
      </c>
      <c r="C38" s="719">
        <f>+C31-C36</f>
        <v>-4466068.9000000004</v>
      </c>
    </row>
    <row r="39" spans="1:6" x14ac:dyDescent="0.25">
      <c r="A39" s="456" t="s">
        <v>271</v>
      </c>
      <c r="B39" s="48" t="s">
        <v>160</v>
      </c>
      <c r="C39" s="719">
        <f>+C24+C38</f>
        <v>18940734.360000052</v>
      </c>
      <c r="F39" s="260"/>
    </row>
    <row r="40" spans="1:6" x14ac:dyDescent="0.25">
      <c r="A40" s="456"/>
      <c r="B40" s="467"/>
      <c r="C40" s="258"/>
      <c r="F40" s="260"/>
    </row>
    <row r="41" spans="1:6" x14ac:dyDescent="0.25">
      <c r="A41" s="458" t="s">
        <v>272</v>
      </c>
      <c r="B41" s="48" t="s">
        <v>161</v>
      </c>
      <c r="C41" s="258"/>
    </row>
    <row r="42" spans="1:6" x14ac:dyDescent="0.25">
      <c r="A42" s="456"/>
      <c r="B42" s="467"/>
      <c r="C42" s="258"/>
    </row>
    <row r="43" spans="1:6" ht="16.5" thickBot="1" x14ac:dyDescent="0.3">
      <c r="A43" s="721" t="s">
        <v>273</v>
      </c>
      <c r="B43" s="53" t="s">
        <v>162</v>
      </c>
      <c r="C43" s="722">
        <f>+C39+C41</f>
        <v>18940734.360000052</v>
      </c>
      <c r="D43" s="433"/>
    </row>
    <row r="45" spans="1:6" x14ac:dyDescent="0.25">
      <c r="A45" s="437"/>
    </row>
  </sheetData>
  <mergeCells count="1">
    <mergeCell ref="A1:C1"/>
  </mergeCells>
  <pageMargins left="0.7" right="0.7" top="0.75" bottom="0.75" header="0.3" footer="0.3"/>
  <pageSetup paperSize="17" scale="11"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3E88E-CB4E-40FA-9751-200682B5E56F}">
  <sheetPr>
    <tabColor rgb="FF92D050"/>
  </sheetPr>
  <dimension ref="A1:E42"/>
  <sheetViews>
    <sheetView workbookViewId="0">
      <selection sqref="A1:C1"/>
    </sheetView>
  </sheetViews>
  <sheetFormatPr defaultColWidth="9.28515625" defaultRowHeight="15.75" x14ac:dyDescent="0.25"/>
  <cols>
    <col min="1" max="1" width="71.7109375" style="424" bestFit="1" customWidth="1"/>
    <col min="2" max="2" width="5.7109375" style="424" bestFit="1" customWidth="1"/>
    <col min="3" max="3" width="18.28515625" style="424" bestFit="1" customWidth="1"/>
    <col min="4" max="4" width="9.28515625" style="424"/>
    <col min="5" max="5" width="12.7109375" style="424" bestFit="1" customWidth="1"/>
    <col min="6" max="16384" width="9.28515625" style="424"/>
  </cols>
  <sheetData>
    <row r="1" spans="1:3" x14ac:dyDescent="0.25">
      <c r="A1" s="969" t="s">
        <v>171</v>
      </c>
      <c r="B1" s="970"/>
      <c r="C1" s="971"/>
    </row>
    <row r="2" spans="1:3" x14ac:dyDescent="0.25">
      <c r="A2" s="452" t="s">
        <v>172</v>
      </c>
      <c r="B2" s="427" t="s">
        <v>172</v>
      </c>
      <c r="C2" s="243" t="s">
        <v>57</v>
      </c>
    </row>
    <row r="3" spans="1:3" x14ac:dyDescent="0.25">
      <c r="A3" s="453" t="s">
        <v>173</v>
      </c>
      <c r="B3" s="427" t="s">
        <v>172</v>
      </c>
      <c r="C3" s="454"/>
    </row>
    <row r="4" spans="1:3" x14ac:dyDescent="0.25">
      <c r="A4" s="455" t="s">
        <v>174</v>
      </c>
      <c r="B4" s="427"/>
      <c r="C4" s="244"/>
    </row>
    <row r="5" spans="1:3" x14ac:dyDescent="0.25">
      <c r="A5" s="456" t="s">
        <v>175</v>
      </c>
      <c r="B5" s="429" t="s">
        <v>57</v>
      </c>
      <c r="C5" s="245">
        <f>SUM(TB!D6:D10,TB!D3)*GETPIVOTDATA("Unique Billed Hours",'HHA-CDPAP'!$A$3,"HHA/CDPAP","HHA")</f>
        <v>2389846.5852806475</v>
      </c>
    </row>
    <row r="6" spans="1:3" x14ac:dyDescent="0.25">
      <c r="A6" s="457" t="s">
        <v>176</v>
      </c>
      <c r="B6" s="429" t="s">
        <v>56</v>
      </c>
      <c r="C6" s="245"/>
    </row>
    <row r="7" spans="1:3" x14ac:dyDescent="0.25">
      <c r="A7" s="457" t="s">
        <v>177</v>
      </c>
      <c r="B7" s="429" t="s">
        <v>55</v>
      </c>
      <c r="C7" s="245">
        <f>TB!D15*GETPIVOTDATA("Unique Billed Hours",'HHA-CDPAP'!$A$3,"HHA/CDPAP","HHA")</f>
        <v>27219673.111301634</v>
      </c>
    </row>
    <row r="8" spans="1:3" x14ac:dyDescent="0.25">
      <c r="A8" s="458" t="s">
        <v>178</v>
      </c>
      <c r="B8" s="429" t="s">
        <v>54</v>
      </c>
      <c r="C8" s="245">
        <f>TB!E35</f>
        <v>0</v>
      </c>
    </row>
    <row r="9" spans="1:3" x14ac:dyDescent="0.25">
      <c r="A9" s="457" t="s">
        <v>179</v>
      </c>
      <c r="B9" s="429" t="s">
        <v>53</v>
      </c>
      <c r="C9" s="245">
        <f>TB!E42</f>
        <v>0</v>
      </c>
    </row>
    <row r="10" spans="1:3" x14ac:dyDescent="0.25">
      <c r="A10" s="458" t="s">
        <v>180</v>
      </c>
      <c r="B10" s="429" t="s">
        <v>52</v>
      </c>
      <c r="C10" s="245"/>
    </row>
    <row r="11" spans="1:3" x14ac:dyDescent="0.25">
      <c r="A11" s="456" t="s">
        <v>181</v>
      </c>
      <c r="B11" s="429" t="s">
        <v>51</v>
      </c>
      <c r="C11" s="245"/>
    </row>
    <row r="12" spans="1:3" x14ac:dyDescent="0.25">
      <c r="A12" s="458" t="s">
        <v>182</v>
      </c>
      <c r="B12" s="429" t="s">
        <v>50</v>
      </c>
      <c r="C12" s="245"/>
    </row>
    <row r="13" spans="1:3" x14ac:dyDescent="0.25">
      <c r="A13" s="458" t="s">
        <v>183</v>
      </c>
      <c r="B13" s="429" t="s">
        <v>49</v>
      </c>
      <c r="C13" s="245"/>
    </row>
    <row r="14" spans="1:3" x14ac:dyDescent="0.25">
      <c r="A14" s="458" t="s">
        <v>184</v>
      </c>
      <c r="B14" s="429" t="s">
        <v>47</v>
      </c>
      <c r="C14" s="245">
        <f>SUM(TB!D17:D109)*GETPIVOTDATA("Unique Billed Hours",'HHA-CDPAP'!$A$3,"HHA/CDPAP","HHA")</f>
        <v>14952998.808416981</v>
      </c>
    </row>
    <row r="15" spans="1:3" x14ac:dyDescent="0.25">
      <c r="A15" s="453" t="s">
        <v>185</v>
      </c>
      <c r="B15" s="429" t="s">
        <v>77</v>
      </c>
      <c r="C15" s="246">
        <f>SUM(C5:C14)</f>
        <v>44562518.504999265</v>
      </c>
    </row>
    <row r="16" spans="1:3" x14ac:dyDescent="0.25">
      <c r="A16" s="456"/>
      <c r="B16" s="427"/>
      <c r="C16" s="245"/>
    </row>
    <row r="17" spans="1:3" x14ac:dyDescent="0.25">
      <c r="A17" s="455" t="s">
        <v>186</v>
      </c>
      <c r="B17" s="427"/>
      <c r="C17" s="247"/>
    </row>
    <row r="18" spans="1:3" x14ac:dyDescent="0.25">
      <c r="A18" s="456" t="s">
        <v>187</v>
      </c>
      <c r="B18" s="429" t="s">
        <v>78</v>
      </c>
      <c r="C18" s="245"/>
    </row>
    <row r="19" spans="1:3" x14ac:dyDescent="0.25">
      <c r="A19" s="456" t="s">
        <v>188</v>
      </c>
      <c r="B19" s="429" t="s">
        <v>79</v>
      </c>
      <c r="C19" s="245"/>
    </row>
    <row r="20" spans="1:3" x14ac:dyDescent="0.25">
      <c r="A20" s="456" t="s">
        <v>189</v>
      </c>
      <c r="B20" s="429" t="s">
        <v>81</v>
      </c>
      <c r="C20" s="245"/>
    </row>
    <row r="21" spans="1:3" x14ac:dyDescent="0.25">
      <c r="A21" s="458" t="s">
        <v>190</v>
      </c>
      <c r="B21" s="429" t="s">
        <v>83</v>
      </c>
      <c r="C21" s="245"/>
    </row>
    <row r="22" spans="1:3" x14ac:dyDescent="0.25">
      <c r="A22" s="456" t="s">
        <v>191</v>
      </c>
      <c r="B22" s="429" t="s">
        <v>85</v>
      </c>
      <c r="C22" s="245"/>
    </row>
    <row r="23" spans="1:3" x14ac:dyDescent="0.25">
      <c r="A23" s="458" t="s">
        <v>192</v>
      </c>
      <c r="B23" s="429" t="s">
        <v>87</v>
      </c>
      <c r="C23" s="245"/>
    </row>
    <row r="24" spans="1:3" x14ac:dyDescent="0.25">
      <c r="A24" s="457" t="s">
        <v>193</v>
      </c>
      <c r="B24" s="429" t="s">
        <v>88</v>
      </c>
      <c r="C24" s="245"/>
    </row>
    <row r="25" spans="1:3" x14ac:dyDescent="0.25">
      <c r="A25" s="457" t="s">
        <v>192</v>
      </c>
      <c r="B25" s="429" t="s">
        <v>89</v>
      </c>
      <c r="C25" s="245"/>
    </row>
    <row r="26" spans="1:3" x14ac:dyDescent="0.25">
      <c r="A26" s="456" t="s">
        <v>194</v>
      </c>
      <c r="B26" s="429" t="s">
        <v>154</v>
      </c>
      <c r="C26" s="245">
        <f>SUM(TB!J38:J39)*GETPIVOTDATA("Unique Billed Hours",'HHA-CDPAP'!$A$3,"HHA/CDPAP","HHA")</f>
        <v>0</v>
      </c>
    </row>
    <row r="27" spans="1:3" x14ac:dyDescent="0.25">
      <c r="A27" s="458" t="s">
        <v>192</v>
      </c>
      <c r="B27" s="429" t="s">
        <v>155</v>
      </c>
      <c r="C27" s="245">
        <f>(TB!E92+TB!E96)*GETPIVOTDATA("Unique Billed Hours",'HHA-CDPAP'!$A$3,"HHA/CDPAP","HHA")</f>
        <v>0</v>
      </c>
    </row>
    <row r="28" spans="1:3" x14ac:dyDescent="0.25">
      <c r="A28" s="456" t="s">
        <v>195</v>
      </c>
      <c r="B28" s="429" t="s">
        <v>156</v>
      </c>
      <c r="C28" s="245">
        <f>TB!G82</f>
        <v>0</v>
      </c>
    </row>
    <row r="29" spans="1:3" x14ac:dyDescent="0.25">
      <c r="A29" s="458" t="s">
        <v>196</v>
      </c>
      <c r="B29" s="429" t="s">
        <v>157</v>
      </c>
      <c r="C29" s="245">
        <f>+TB!G11</f>
        <v>0</v>
      </c>
    </row>
    <row r="30" spans="1:3" x14ac:dyDescent="0.25">
      <c r="A30" s="456" t="s">
        <v>197</v>
      </c>
      <c r="B30" s="429" t="s">
        <v>158</v>
      </c>
      <c r="C30" s="245"/>
    </row>
    <row r="31" spans="1:3" x14ac:dyDescent="0.25">
      <c r="A31" s="453" t="s">
        <v>198</v>
      </c>
      <c r="B31" s="429" t="s">
        <v>159</v>
      </c>
      <c r="C31" s="246">
        <f>SUM(C18:C30)</f>
        <v>0</v>
      </c>
    </row>
    <row r="32" spans="1:3" x14ac:dyDescent="0.25">
      <c r="A32" s="456"/>
      <c r="B32" s="427"/>
      <c r="C32" s="245"/>
    </row>
    <row r="33" spans="1:5" x14ac:dyDescent="0.25">
      <c r="A33" s="459" t="s">
        <v>199</v>
      </c>
      <c r="B33" s="427"/>
      <c r="C33" s="247"/>
    </row>
    <row r="34" spans="1:5" x14ac:dyDescent="0.25">
      <c r="A34" s="457" t="s">
        <v>200</v>
      </c>
      <c r="B34" s="429" t="s">
        <v>160</v>
      </c>
      <c r="C34" s="245"/>
    </row>
    <row r="35" spans="1:5" x14ac:dyDescent="0.25">
      <c r="A35" s="457" t="s">
        <v>201</v>
      </c>
      <c r="B35" s="429" t="s">
        <v>161</v>
      </c>
      <c r="C35" s="245"/>
    </row>
    <row r="36" spans="1:5" x14ac:dyDescent="0.25">
      <c r="A36" s="457" t="s">
        <v>202</v>
      </c>
      <c r="B36" s="429" t="s">
        <v>162</v>
      </c>
      <c r="C36" s="245"/>
    </row>
    <row r="37" spans="1:5" x14ac:dyDescent="0.25">
      <c r="A37" s="457" t="s">
        <v>203</v>
      </c>
      <c r="B37" s="429" t="s">
        <v>204</v>
      </c>
      <c r="C37" s="245"/>
    </row>
    <row r="38" spans="1:5" x14ac:dyDescent="0.25">
      <c r="A38" s="457" t="s">
        <v>202</v>
      </c>
      <c r="B38" s="429" t="s">
        <v>205</v>
      </c>
      <c r="C38" s="245">
        <f>TB!E84</f>
        <v>0</v>
      </c>
    </row>
    <row r="39" spans="1:5" x14ac:dyDescent="0.25">
      <c r="A39" s="456" t="s">
        <v>206</v>
      </c>
      <c r="B39" s="429" t="s">
        <v>207</v>
      </c>
      <c r="C39" s="245">
        <f>TB!D110*GETPIVOTDATA("Unique Billed Hours",'HHA-CDPAP'!$A$3,"HHA/CDPAP","HHA")</f>
        <v>173100.636122786</v>
      </c>
    </row>
    <row r="40" spans="1:5" x14ac:dyDescent="0.25">
      <c r="A40" s="453" t="s">
        <v>208</v>
      </c>
      <c r="B40" s="429" t="s">
        <v>209</v>
      </c>
      <c r="C40" s="246">
        <f>SUM(C34:C39)</f>
        <v>173100.636122786</v>
      </c>
    </row>
    <row r="41" spans="1:5" x14ac:dyDescent="0.25">
      <c r="A41" s="456"/>
      <c r="B41" s="427" t="s">
        <v>172</v>
      </c>
      <c r="C41" s="245"/>
    </row>
    <row r="42" spans="1:5" ht="16.5" thickBot="1" x14ac:dyDescent="0.3">
      <c r="A42" s="460" t="s">
        <v>210</v>
      </c>
      <c r="B42" s="436" t="s">
        <v>211</v>
      </c>
      <c r="C42" s="248">
        <f>+C40+C31+C15</f>
        <v>44735619.141122051</v>
      </c>
      <c r="E42" s="714"/>
    </row>
  </sheetData>
  <mergeCells count="1">
    <mergeCell ref="A1:C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D26A3-E44C-4C3F-9904-27886BB96FE7}">
  <sheetPr>
    <tabColor rgb="FF92D050"/>
  </sheetPr>
  <dimension ref="A1:C42"/>
  <sheetViews>
    <sheetView workbookViewId="0">
      <selection sqref="A1:C1"/>
    </sheetView>
  </sheetViews>
  <sheetFormatPr defaultColWidth="9.28515625" defaultRowHeight="15.75" x14ac:dyDescent="0.25"/>
  <cols>
    <col min="1" max="1" width="71.7109375" style="424" bestFit="1" customWidth="1"/>
    <col min="2" max="2" width="5.7109375" style="424" bestFit="1" customWidth="1"/>
    <col min="3" max="3" width="18.28515625" style="424" bestFit="1" customWidth="1"/>
    <col min="4" max="16384" width="9.28515625" style="424"/>
  </cols>
  <sheetData>
    <row r="1" spans="1:3" x14ac:dyDescent="0.25">
      <c r="A1" s="969" t="s">
        <v>171</v>
      </c>
      <c r="B1" s="970"/>
      <c r="C1" s="971"/>
    </row>
    <row r="2" spans="1:3" x14ac:dyDescent="0.25">
      <c r="A2" s="452" t="s">
        <v>172</v>
      </c>
      <c r="B2" s="427" t="s">
        <v>172</v>
      </c>
      <c r="C2" s="243" t="s">
        <v>57</v>
      </c>
    </row>
    <row r="3" spans="1:3" x14ac:dyDescent="0.25">
      <c r="A3" s="453" t="s">
        <v>173</v>
      </c>
      <c r="B3" s="427" t="s">
        <v>172</v>
      </c>
      <c r="C3" s="454"/>
    </row>
    <row r="4" spans="1:3" x14ac:dyDescent="0.25">
      <c r="A4" s="455" t="s">
        <v>174</v>
      </c>
      <c r="B4" s="427"/>
      <c r="C4" s="244"/>
    </row>
    <row r="5" spans="1:3" x14ac:dyDescent="0.25">
      <c r="A5" s="456" t="s">
        <v>175</v>
      </c>
      <c r="B5" s="429" t="s">
        <v>57</v>
      </c>
      <c r="C5" s="245">
        <f>SUM(TB!D6:D10,TB!D3)*GETPIVOTDATA("Unique Billed Hours",'HHA-CDPAP'!$A$3,"HHA/CDPAP","CDPAP")</f>
        <v>1289445.2547193528</v>
      </c>
    </row>
    <row r="6" spans="1:3" x14ac:dyDescent="0.25">
      <c r="A6" s="457" t="s">
        <v>176</v>
      </c>
      <c r="B6" s="429" t="s">
        <v>56</v>
      </c>
      <c r="C6" s="245"/>
    </row>
    <row r="7" spans="1:3" x14ac:dyDescent="0.25">
      <c r="A7" s="457" t="s">
        <v>177</v>
      </c>
      <c r="B7" s="429" t="s">
        <v>55</v>
      </c>
      <c r="C7" s="245">
        <f>TB!D15*GETPIVOTDATA("Unique Billed Hours",'HHA-CDPAP'!$A$3,"HHA/CDPAP","CDPAP")</f>
        <v>14686414.828698365</v>
      </c>
    </row>
    <row r="8" spans="1:3" x14ac:dyDescent="0.25">
      <c r="A8" s="458" t="s">
        <v>178</v>
      </c>
      <c r="B8" s="429" t="s">
        <v>54</v>
      </c>
      <c r="C8" s="245">
        <f>TB!E35</f>
        <v>0</v>
      </c>
    </row>
    <row r="9" spans="1:3" x14ac:dyDescent="0.25">
      <c r="A9" s="457" t="s">
        <v>179</v>
      </c>
      <c r="B9" s="429" t="s">
        <v>53</v>
      </c>
      <c r="C9" s="245">
        <f>TB!E42</f>
        <v>0</v>
      </c>
    </row>
    <row r="10" spans="1:3" x14ac:dyDescent="0.25">
      <c r="A10" s="458" t="s">
        <v>180</v>
      </c>
      <c r="B10" s="429" t="s">
        <v>52</v>
      </c>
      <c r="C10" s="245"/>
    </row>
    <row r="11" spans="1:3" x14ac:dyDescent="0.25">
      <c r="A11" s="456" t="s">
        <v>181</v>
      </c>
      <c r="B11" s="429" t="s">
        <v>51</v>
      </c>
      <c r="C11" s="245"/>
    </row>
    <row r="12" spans="1:3" x14ac:dyDescent="0.25">
      <c r="A12" s="458" t="s">
        <v>182</v>
      </c>
      <c r="B12" s="429" t="s">
        <v>50</v>
      </c>
      <c r="C12" s="245"/>
    </row>
    <row r="13" spans="1:3" x14ac:dyDescent="0.25">
      <c r="A13" s="458" t="s">
        <v>183</v>
      </c>
      <c r="B13" s="429" t="s">
        <v>49</v>
      </c>
      <c r="C13" s="245"/>
    </row>
    <row r="14" spans="1:3" x14ac:dyDescent="0.25">
      <c r="A14" s="458" t="s">
        <v>184</v>
      </c>
      <c r="B14" s="429" t="s">
        <v>47</v>
      </c>
      <c r="C14" s="245">
        <f>SUM(TB!D17:D109)*GETPIVOTDATA("Unique Billed Hours",'HHA-CDPAP'!$A$3,"HHA/CDPAP","CDPAP")</f>
        <v>8067912.5915830173</v>
      </c>
    </row>
    <row r="15" spans="1:3" x14ac:dyDescent="0.25">
      <c r="A15" s="453" t="s">
        <v>185</v>
      </c>
      <c r="B15" s="429" t="s">
        <v>77</v>
      </c>
      <c r="C15" s="246">
        <f>SUM(C5:C14)</f>
        <v>24043772.675000735</v>
      </c>
    </row>
    <row r="16" spans="1:3" x14ac:dyDescent="0.25">
      <c r="A16" s="456"/>
      <c r="B16" s="427"/>
      <c r="C16" s="245"/>
    </row>
    <row r="17" spans="1:3" x14ac:dyDescent="0.25">
      <c r="A17" s="455" t="s">
        <v>186</v>
      </c>
      <c r="B17" s="427"/>
      <c r="C17" s="247"/>
    </row>
    <row r="18" spans="1:3" x14ac:dyDescent="0.25">
      <c r="A18" s="456" t="s">
        <v>187</v>
      </c>
      <c r="B18" s="429" t="s">
        <v>78</v>
      </c>
      <c r="C18" s="245"/>
    </row>
    <row r="19" spans="1:3" x14ac:dyDescent="0.25">
      <c r="A19" s="456" t="s">
        <v>188</v>
      </c>
      <c r="B19" s="429" t="s">
        <v>79</v>
      </c>
      <c r="C19" s="245"/>
    </row>
    <row r="20" spans="1:3" x14ac:dyDescent="0.25">
      <c r="A20" s="456" t="s">
        <v>189</v>
      </c>
      <c r="B20" s="429" t="s">
        <v>81</v>
      </c>
      <c r="C20" s="245"/>
    </row>
    <row r="21" spans="1:3" x14ac:dyDescent="0.25">
      <c r="A21" s="458" t="s">
        <v>190</v>
      </c>
      <c r="B21" s="429" t="s">
        <v>83</v>
      </c>
      <c r="C21" s="245"/>
    </row>
    <row r="22" spans="1:3" x14ac:dyDescent="0.25">
      <c r="A22" s="456" t="s">
        <v>191</v>
      </c>
      <c r="B22" s="429" t="s">
        <v>85</v>
      </c>
      <c r="C22" s="245"/>
    </row>
    <row r="23" spans="1:3" x14ac:dyDescent="0.25">
      <c r="A23" s="458" t="s">
        <v>192</v>
      </c>
      <c r="B23" s="429" t="s">
        <v>87</v>
      </c>
      <c r="C23" s="245"/>
    </row>
    <row r="24" spans="1:3" x14ac:dyDescent="0.25">
      <c r="A24" s="457" t="s">
        <v>193</v>
      </c>
      <c r="B24" s="429" t="s">
        <v>88</v>
      </c>
      <c r="C24" s="245"/>
    </row>
    <row r="25" spans="1:3" x14ac:dyDescent="0.25">
      <c r="A25" s="457" t="s">
        <v>192</v>
      </c>
      <c r="B25" s="429" t="s">
        <v>89</v>
      </c>
      <c r="C25" s="245"/>
    </row>
    <row r="26" spans="1:3" x14ac:dyDescent="0.25">
      <c r="A26" s="456" t="s">
        <v>194</v>
      </c>
      <c r="B26" s="429" t="s">
        <v>154</v>
      </c>
      <c r="C26" s="245">
        <f>SUM(TB!J38:J39)</f>
        <v>0</v>
      </c>
    </row>
    <row r="27" spans="1:3" x14ac:dyDescent="0.25">
      <c r="A27" s="458" t="s">
        <v>192</v>
      </c>
      <c r="B27" s="429" t="s">
        <v>155</v>
      </c>
      <c r="C27" s="245">
        <f>TB!E92+TB!E96</f>
        <v>0</v>
      </c>
    </row>
    <row r="28" spans="1:3" x14ac:dyDescent="0.25">
      <c r="A28" s="456" t="s">
        <v>195</v>
      </c>
      <c r="B28" s="429" t="s">
        <v>156</v>
      </c>
      <c r="C28" s="245">
        <f>TB!G82</f>
        <v>0</v>
      </c>
    </row>
    <row r="29" spans="1:3" x14ac:dyDescent="0.25">
      <c r="A29" s="458" t="s">
        <v>196</v>
      </c>
      <c r="B29" s="429" t="s">
        <v>157</v>
      </c>
      <c r="C29" s="245">
        <f>+TB!G11</f>
        <v>0</v>
      </c>
    </row>
    <row r="30" spans="1:3" x14ac:dyDescent="0.25">
      <c r="A30" s="456" t="s">
        <v>197</v>
      </c>
      <c r="B30" s="429" t="s">
        <v>158</v>
      </c>
      <c r="C30" s="245"/>
    </row>
    <row r="31" spans="1:3" x14ac:dyDescent="0.25">
      <c r="A31" s="453" t="s">
        <v>198</v>
      </c>
      <c r="B31" s="429" t="s">
        <v>159</v>
      </c>
      <c r="C31" s="246">
        <f>SUM(C18:C30)</f>
        <v>0</v>
      </c>
    </row>
    <row r="32" spans="1:3" x14ac:dyDescent="0.25">
      <c r="A32" s="456"/>
      <c r="B32" s="427"/>
      <c r="C32" s="245"/>
    </row>
    <row r="33" spans="1:3" x14ac:dyDescent="0.25">
      <c r="A33" s="459" t="s">
        <v>199</v>
      </c>
      <c r="B33" s="427"/>
      <c r="C33" s="247"/>
    </row>
    <row r="34" spans="1:3" x14ac:dyDescent="0.25">
      <c r="A34" s="457" t="s">
        <v>200</v>
      </c>
      <c r="B34" s="429" t="s">
        <v>160</v>
      </c>
      <c r="C34" s="245"/>
    </row>
    <row r="35" spans="1:3" x14ac:dyDescent="0.25">
      <c r="A35" s="457" t="s">
        <v>201</v>
      </c>
      <c r="B35" s="429" t="s">
        <v>161</v>
      </c>
      <c r="C35" s="245"/>
    </row>
    <row r="36" spans="1:3" x14ac:dyDescent="0.25">
      <c r="A36" s="457" t="s">
        <v>202</v>
      </c>
      <c r="B36" s="429" t="s">
        <v>162</v>
      </c>
      <c r="C36" s="245"/>
    </row>
    <row r="37" spans="1:3" x14ac:dyDescent="0.25">
      <c r="A37" s="457" t="s">
        <v>203</v>
      </c>
      <c r="B37" s="429" t="s">
        <v>204</v>
      </c>
      <c r="C37" s="245"/>
    </row>
    <row r="38" spans="1:3" x14ac:dyDescent="0.25">
      <c r="A38" s="457" t="s">
        <v>202</v>
      </c>
      <c r="B38" s="429" t="s">
        <v>205</v>
      </c>
      <c r="C38" s="245">
        <f>TB!E84*GETPIVOTDATA("Unique Billed Hours",'HHA-CDPAP'!$A$3,"HHA/CDPAP","CDPAP")</f>
        <v>0</v>
      </c>
    </row>
    <row r="39" spans="1:3" x14ac:dyDescent="0.25">
      <c r="A39" s="456" t="s">
        <v>206</v>
      </c>
      <c r="B39" s="429" t="s">
        <v>207</v>
      </c>
      <c r="C39" s="245">
        <f>TB!D110*GETPIVOTDATA("Unique Billed Hours",'HHA-CDPAP'!$A$3,"HHA/CDPAP","CDPAP")</f>
        <v>93396.703877214037</v>
      </c>
    </row>
    <row r="40" spans="1:3" x14ac:dyDescent="0.25">
      <c r="A40" s="453" t="s">
        <v>208</v>
      </c>
      <c r="B40" s="429" t="s">
        <v>209</v>
      </c>
      <c r="C40" s="246">
        <f>SUM(C34:C39)</f>
        <v>93396.703877214037</v>
      </c>
    </row>
    <row r="41" spans="1:3" x14ac:dyDescent="0.25">
      <c r="A41" s="456"/>
      <c r="B41" s="427" t="s">
        <v>172</v>
      </c>
      <c r="C41" s="245"/>
    </row>
    <row r="42" spans="1:3" ht="16.5" thickBot="1" x14ac:dyDescent="0.3">
      <c r="A42" s="460" t="s">
        <v>210</v>
      </c>
      <c r="B42" s="436" t="s">
        <v>211</v>
      </c>
      <c r="C42" s="248">
        <f>+C40+C31+C15</f>
        <v>24137169.378877949</v>
      </c>
    </row>
  </sheetData>
  <mergeCells count="1">
    <mergeCell ref="A1:C1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790BF-4E65-4C9A-AF3C-B7DD1BA7164F}">
  <sheetPr>
    <tabColor rgb="FF92D050"/>
  </sheetPr>
  <dimension ref="A1:C38"/>
  <sheetViews>
    <sheetView workbookViewId="0">
      <selection sqref="A1:C1"/>
    </sheetView>
  </sheetViews>
  <sheetFormatPr defaultColWidth="7.42578125" defaultRowHeight="18.75" x14ac:dyDescent="0.25"/>
  <cols>
    <col min="1" max="1" width="54.7109375" style="439" bestFit="1" customWidth="1"/>
    <col min="2" max="2" width="5.7109375" style="439" bestFit="1" customWidth="1"/>
    <col min="3" max="3" width="17.7109375" style="439" bestFit="1" customWidth="1"/>
    <col min="4" max="16384" width="7.42578125" style="439"/>
  </cols>
  <sheetData>
    <row r="1" spans="1:3" x14ac:dyDescent="0.25">
      <c r="A1" s="972" t="s">
        <v>212</v>
      </c>
      <c r="B1" s="973"/>
      <c r="C1" s="974"/>
    </row>
    <row r="2" spans="1:3" x14ac:dyDescent="0.3">
      <c r="A2" s="440" t="s">
        <v>172</v>
      </c>
      <c r="B2" s="441" t="s">
        <v>172</v>
      </c>
      <c r="C2" s="249" t="s">
        <v>57</v>
      </c>
    </row>
    <row r="3" spans="1:3" x14ac:dyDescent="0.3">
      <c r="A3" s="442" t="s">
        <v>213</v>
      </c>
      <c r="B3" s="441"/>
      <c r="C3" s="250"/>
    </row>
    <row r="4" spans="1:3" x14ac:dyDescent="0.3">
      <c r="A4" s="443" t="s">
        <v>214</v>
      </c>
      <c r="B4" s="441"/>
      <c r="C4" s="250"/>
    </row>
    <row r="5" spans="1:3" x14ac:dyDescent="0.3">
      <c r="A5" s="444" t="s">
        <v>215</v>
      </c>
      <c r="B5" s="445" t="s">
        <v>57</v>
      </c>
      <c r="C5" s="251"/>
    </row>
    <row r="6" spans="1:3" x14ac:dyDescent="0.3">
      <c r="A6" s="444" t="s">
        <v>216</v>
      </c>
      <c r="B6" s="445" t="s">
        <v>56</v>
      </c>
      <c r="C6" s="251">
        <f>-SUM(TB!D111:D118,TB!D4,TB!D5,TB!D11)*GETPIVOTDATA("Unique Billed Hours",'HHA-CDPAP'!$A$3,"HHA/CDPAP","HHA")</f>
        <v>6878375.110347609</v>
      </c>
    </row>
    <row r="7" spans="1:3" x14ac:dyDescent="0.3">
      <c r="A7" s="444" t="s">
        <v>217</v>
      </c>
      <c r="B7" s="445" t="s">
        <v>55</v>
      </c>
      <c r="C7" s="251"/>
    </row>
    <row r="8" spans="1:3" x14ac:dyDescent="0.3">
      <c r="A8" s="444" t="s">
        <v>218</v>
      </c>
      <c r="B8" s="445" t="s">
        <v>54</v>
      </c>
      <c r="C8" s="251">
        <f>-SUM(TB!D119:D137)*GETPIVOTDATA("Unique Billed Hours",'HHA-CDPAP'!$A$3,"HHA/CDPAP","HHA")</f>
        <v>7436882.9049137058</v>
      </c>
    </row>
    <row r="9" spans="1:3" x14ac:dyDescent="0.3">
      <c r="A9" s="444" t="s">
        <v>219</v>
      </c>
      <c r="B9" s="445" t="s">
        <v>53</v>
      </c>
      <c r="C9" s="251"/>
    </row>
    <row r="10" spans="1:3" x14ac:dyDescent="0.3">
      <c r="A10" s="444" t="s">
        <v>220</v>
      </c>
      <c r="B10" s="445" t="s">
        <v>52</v>
      </c>
      <c r="C10" s="251"/>
    </row>
    <row r="11" spans="1:3" x14ac:dyDescent="0.3">
      <c r="A11" s="444" t="s">
        <v>221</v>
      </c>
      <c r="B11" s="445" t="s">
        <v>51</v>
      </c>
      <c r="C11" s="251">
        <f>-SUM(TB!J97:J98)-TB!J82-TB!J84</f>
        <v>0</v>
      </c>
    </row>
    <row r="12" spans="1:3" x14ac:dyDescent="0.3">
      <c r="A12" s="442" t="s">
        <v>222</v>
      </c>
      <c r="B12" s="445" t="s">
        <v>50</v>
      </c>
      <c r="C12" s="252">
        <f>SUM(C5:C11)</f>
        <v>14315258.015261315</v>
      </c>
    </row>
    <row r="13" spans="1:3" x14ac:dyDescent="0.3">
      <c r="A13" s="446" t="s">
        <v>153</v>
      </c>
      <c r="B13" s="441"/>
      <c r="C13" s="251"/>
    </row>
    <row r="14" spans="1:3" x14ac:dyDescent="0.3">
      <c r="A14" s="443" t="s">
        <v>223</v>
      </c>
      <c r="B14" s="441"/>
      <c r="C14" s="253"/>
    </row>
    <row r="15" spans="1:3" x14ac:dyDescent="0.3">
      <c r="A15" s="447" t="s">
        <v>224</v>
      </c>
      <c r="B15" s="445" t="s">
        <v>49</v>
      </c>
      <c r="C15" s="251"/>
    </row>
    <row r="16" spans="1:3" x14ac:dyDescent="0.3">
      <c r="A16" s="447" t="s">
        <v>225</v>
      </c>
      <c r="B16" s="445" t="s">
        <v>47</v>
      </c>
      <c r="C16" s="251">
        <f>(-TB!D138-TB!D139)*GETPIVOTDATA("Unique Billed Hours",'HHA-CDPAP'!$A$3,"HHA/CDPAP","HHA")</f>
        <v>2230065.0880806581</v>
      </c>
    </row>
    <row r="17" spans="1:3" x14ac:dyDescent="0.3">
      <c r="A17" s="446" t="s">
        <v>226</v>
      </c>
      <c r="B17" s="445" t="s">
        <v>77</v>
      </c>
      <c r="C17" s="251"/>
    </row>
    <row r="18" spans="1:3" x14ac:dyDescent="0.3">
      <c r="A18" s="444" t="s">
        <v>227</v>
      </c>
      <c r="B18" s="445" t="s">
        <v>78</v>
      </c>
      <c r="C18" s="251"/>
    </row>
    <row r="19" spans="1:3" x14ac:dyDescent="0.3">
      <c r="A19" s="446" t="s">
        <v>228</v>
      </c>
      <c r="B19" s="445" t="s">
        <v>79</v>
      </c>
      <c r="C19" s="251">
        <f>-TB!E179</f>
        <v>0</v>
      </c>
    </row>
    <row r="20" spans="1:3" x14ac:dyDescent="0.3">
      <c r="A20" s="442" t="s">
        <v>229</v>
      </c>
      <c r="B20" s="445" t="s">
        <v>81</v>
      </c>
      <c r="C20" s="252">
        <f>SUM(C15:C19)</f>
        <v>2230065.0880806581</v>
      </c>
    </row>
    <row r="21" spans="1:3" x14ac:dyDescent="0.3">
      <c r="A21" s="442" t="s">
        <v>230</v>
      </c>
      <c r="B21" s="445" t="s">
        <v>83</v>
      </c>
      <c r="C21" s="252">
        <f>+C20+C12</f>
        <v>16545323.103341972</v>
      </c>
    </row>
    <row r="22" spans="1:3" x14ac:dyDescent="0.3">
      <c r="A22" s="446" t="s">
        <v>153</v>
      </c>
      <c r="B22" s="441"/>
      <c r="C22" s="251"/>
    </row>
    <row r="23" spans="1:3" x14ac:dyDescent="0.3">
      <c r="A23" s="443" t="s">
        <v>231</v>
      </c>
      <c r="B23" s="441"/>
      <c r="C23" s="253"/>
    </row>
    <row r="24" spans="1:3" x14ac:dyDescent="0.3">
      <c r="A24" s="446" t="s">
        <v>232</v>
      </c>
      <c r="B24" s="445" t="s">
        <v>85</v>
      </c>
      <c r="C24" s="251"/>
    </row>
    <row r="25" spans="1:3" x14ac:dyDescent="0.3">
      <c r="A25" s="444" t="s">
        <v>233</v>
      </c>
      <c r="B25" s="445" t="s">
        <v>87</v>
      </c>
      <c r="C25" s="251"/>
    </row>
    <row r="26" spans="1:3" x14ac:dyDescent="0.3">
      <c r="A26" s="444" t="s">
        <v>234</v>
      </c>
      <c r="B26" s="445" t="s">
        <v>88</v>
      </c>
      <c r="C26" s="251"/>
    </row>
    <row r="27" spans="1:3" x14ac:dyDescent="0.3">
      <c r="A27" s="446" t="s">
        <v>235</v>
      </c>
      <c r="B27" s="445" t="s">
        <v>89</v>
      </c>
      <c r="C27" s="251"/>
    </row>
    <row r="28" spans="1:3" x14ac:dyDescent="0.3">
      <c r="A28" s="446" t="s">
        <v>236</v>
      </c>
      <c r="B28" s="445" t="s">
        <v>154</v>
      </c>
      <c r="C28" s="252">
        <f>SUM(C24:C27)</f>
        <v>0</v>
      </c>
    </row>
    <row r="29" spans="1:3" x14ac:dyDescent="0.3">
      <c r="A29" s="446"/>
      <c r="B29" s="441"/>
      <c r="C29" s="254"/>
    </row>
    <row r="30" spans="1:3" x14ac:dyDescent="0.3">
      <c r="A30" s="443" t="s">
        <v>237</v>
      </c>
      <c r="B30" s="441"/>
      <c r="C30" s="250"/>
    </row>
    <row r="31" spans="1:3" x14ac:dyDescent="0.3">
      <c r="A31" s="444" t="s">
        <v>238</v>
      </c>
      <c r="B31" s="445" t="s">
        <v>155</v>
      </c>
      <c r="C31" s="251">
        <f>-SUM(TB!J126,TB!J132,TB!J137)-TB!J280</f>
        <v>0</v>
      </c>
    </row>
    <row r="32" spans="1:3" x14ac:dyDescent="0.3">
      <c r="A32" s="444" t="s">
        <v>239</v>
      </c>
      <c r="B32" s="445" t="s">
        <v>156</v>
      </c>
      <c r="C32" s="470">
        <f>(-TB!D140+'Schedule 19'!C43)*GETPIVOTDATA("Unique Billed Hours",'HHA-CDPAP'!$A$3,"HHA/CDPAP","HHA")</f>
        <v>28190296.037780114</v>
      </c>
    </row>
    <row r="33" spans="1:3" x14ac:dyDescent="0.3">
      <c r="A33" s="442" t="s">
        <v>240</v>
      </c>
      <c r="B33" s="445" t="s">
        <v>157</v>
      </c>
      <c r="C33" s="252">
        <f>SUM(C31:C32)</f>
        <v>28190296.037780114</v>
      </c>
    </row>
    <row r="34" spans="1:3" x14ac:dyDescent="0.3">
      <c r="A34" s="446" t="s">
        <v>153</v>
      </c>
      <c r="B34" s="441"/>
      <c r="C34" s="251"/>
    </row>
    <row r="35" spans="1:3" ht="19.5" thickBot="1" x14ac:dyDescent="0.35">
      <c r="A35" s="448" t="s">
        <v>241</v>
      </c>
      <c r="B35" s="449" t="s">
        <v>158</v>
      </c>
      <c r="C35" s="255">
        <f>+C33+C28+C21</f>
        <v>44735619.141122088</v>
      </c>
    </row>
    <row r="36" spans="1:3" x14ac:dyDescent="0.25">
      <c r="C36" s="450"/>
    </row>
    <row r="37" spans="1:3" x14ac:dyDescent="0.25">
      <c r="C37" s="451">
        <f>'Schedule 17 b'!C42-'Schedule 18 b'!C35</f>
        <v>0</v>
      </c>
    </row>
    <row r="38" spans="1:3" x14ac:dyDescent="0.25">
      <c r="C38" s="451"/>
    </row>
  </sheetData>
  <mergeCells count="1">
    <mergeCell ref="A1:C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94925-A170-4180-97D8-9CB0A42A37E8}">
  <sheetPr>
    <tabColor rgb="FF92D050"/>
  </sheetPr>
  <dimension ref="A1:E38"/>
  <sheetViews>
    <sheetView workbookViewId="0">
      <selection sqref="A1:C1"/>
    </sheetView>
  </sheetViews>
  <sheetFormatPr defaultColWidth="7.42578125" defaultRowHeight="18.75" x14ac:dyDescent="0.25"/>
  <cols>
    <col min="1" max="1" width="54.7109375" style="439" bestFit="1" customWidth="1"/>
    <col min="2" max="2" width="5.7109375" style="439" bestFit="1" customWidth="1"/>
    <col min="3" max="3" width="17.7109375" style="439" bestFit="1" customWidth="1"/>
    <col min="4" max="16384" width="7.42578125" style="439"/>
  </cols>
  <sheetData>
    <row r="1" spans="1:3" x14ac:dyDescent="0.25">
      <c r="A1" s="972" t="s">
        <v>212</v>
      </c>
      <c r="B1" s="973"/>
      <c r="C1" s="974"/>
    </row>
    <row r="2" spans="1:3" x14ac:dyDescent="0.3">
      <c r="A2" s="440" t="s">
        <v>172</v>
      </c>
      <c r="B2" s="441" t="s">
        <v>172</v>
      </c>
      <c r="C2" s="249" t="s">
        <v>57</v>
      </c>
    </row>
    <row r="3" spans="1:3" x14ac:dyDescent="0.3">
      <c r="A3" s="442" t="s">
        <v>213</v>
      </c>
      <c r="B3" s="441"/>
      <c r="C3" s="250"/>
    </row>
    <row r="4" spans="1:3" x14ac:dyDescent="0.3">
      <c r="A4" s="443" t="s">
        <v>214</v>
      </c>
      <c r="B4" s="441"/>
      <c r="C4" s="250"/>
    </row>
    <row r="5" spans="1:3" x14ac:dyDescent="0.3">
      <c r="A5" s="444" t="s">
        <v>215</v>
      </c>
      <c r="B5" s="445" t="s">
        <v>57</v>
      </c>
      <c r="C5" s="251"/>
    </row>
    <row r="6" spans="1:3" x14ac:dyDescent="0.3">
      <c r="A6" s="444" t="s">
        <v>216</v>
      </c>
      <c r="B6" s="445" t="s">
        <v>56</v>
      </c>
      <c r="C6" s="251">
        <f>-SUM(TB!D111:D118,TB!D4,TB!D5,TB!D11)*GETPIVOTDATA("Unique Billed Hours",'HHA-CDPAP'!$A$3,"HHA/CDPAP","CDPAP")</f>
        <v>3711237.4496523924</v>
      </c>
    </row>
    <row r="7" spans="1:3" x14ac:dyDescent="0.3">
      <c r="A7" s="444" t="s">
        <v>217</v>
      </c>
      <c r="B7" s="445" t="s">
        <v>55</v>
      </c>
      <c r="C7" s="251"/>
    </row>
    <row r="8" spans="1:3" x14ac:dyDescent="0.3">
      <c r="A8" s="444" t="s">
        <v>218</v>
      </c>
      <c r="B8" s="445" t="s">
        <v>54</v>
      </c>
      <c r="C8" s="251">
        <f>-SUM(TB!D119:D137)*GETPIVOTDATA("Unique Billed Hours",'HHA-CDPAP'!$A$3,"HHA/CDPAP","CDPAP")</f>
        <v>4012581.1550862934</v>
      </c>
    </row>
    <row r="9" spans="1:3" x14ac:dyDescent="0.3">
      <c r="A9" s="444" t="s">
        <v>219</v>
      </c>
      <c r="B9" s="445" t="s">
        <v>53</v>
      </c>
      <c r="C9" s="251"/>
    </row>
    <row r="10" spans="1:3" x14ac:dyDescent="0.3">
      <c r="A10" s="444" t="s">
        <v>220</v>
      </c>
      <c r="B10" s="445" t="s">
        <v>52</v>
      </c>
      <c r="C10" s="251"/>
    </row>
    <row r="11" spans="1:3" x14ac:dyDescent="0.3">
      <c r="A11" s="444" t="s">
        <v>221</v>
      </c>
      <c r="B11" s="445" t="s">
        <v>51</v>
      </c>
      <c r="C11" s="251">
        <f>-SUM(TB!J97:J98)-TB!J82-TB!J84</f>
        <v>0</v>
      </c>
    </row>
    <row r="12" spans="1:3" x14ac:dyDescent="0.3">
      <c r="A12" s="442" t="s">
        <v>222</v>
      </c>
      <c r="B12" s="445" t="s">
        <v>50</v>
      </c>
      <c r="C12" s="252">
        <f>SUM(C5:C11)</f>
        <v>7723818.6047386862</v>
      </c>
    </row>
    <row r="13" spans="1:3" x14ac:dyDescent="0.3">
      <c r="A13" s="446" t="s">
        <v>153</v>
      </c>
      <c r="B13" s="441"/>
      <c r="C13" s="251"/>
    </row>
    <row r="14" spans="1:3" x14ac:dyDescent="0.3">
      <c r="A14" s="443" t="s">
        <v>223</v>
      </c>
      <c r="B14" s="441"/>
      <c r="C14" s="253"/>
    </row>
    <row r="15" spans="1:3" x14ac:dyDescent="0.3">
      <c r="A15" s="447" t="s">
        <v>224</v>
      </c>
      <c r="B15" s="445" t="s">
        <v>49</v>
      </c>
      <c r="C15" s="251"/>
    </row>
    <row r="16" spans="1:3" x14ac:dyDescent="0.3">
      <c r="A16" s="447" t="s">
        <v>225</v>
      </c>
      <c r="B16" s="445" t="s">
        <v>47</v>
      </c>
      <c r="C16" s="251">
        <f>(-TB!D138-TB!D139)*GETPIVOTDATA("Unique Billed Hours",'HHA-CDPAP'!$A$3,"HHA/CDPAP","CDPAP")</f>
        <v>1203234.9119193421</v>
      </c>
    </row>
    <row r="17" spans="1:5" x14ac:dyDescent="0.3">
      <c r="A17" s="446" t="s">
        <v>226</v>
      </c>
      <c r="B17" s="445" t="s">
        <v>77</v>
      </c>
      <c r="C17" s="251"/>
    </row>
    <row r="18" spans="1:5" x14ac:dyDescent="0.3">
      <c r="A18" s="444" t="s">
        <v>227</v>
      </c>
      <c r="B18" s="445" t="s">
        <v>78</v>
      </c>
      <c r="C18" s="251"/>
    </row>
    <row r="19" spans="1:5" x14ac:dyDescent="0.3">
      <c r="A19" s="446" t="s">
        <v>228</v>
      </c>
      <c r="B19" s="445" t="s">
        <v>79</v>
      </c>
      <c r="C19" s="251">
        <f>-TB!E179</f>
        <v>0</v>
      </c>
    </row>
    <row r="20" spans="1:5" x14ac:dyDescent="0.3">
      <c r="A20" s="442" t="s">
        <v>229</v>
      </c>
      <c r="B20" s="445" t="s">
        <v>81</v>
      </c>
      <c r="C20" s="252">
        <f>SUM(C15:C19)</f>
        <v>1203234.9119193421</v>
      </c>
    </row>
    <row r="21" spans="1:5" x14ac:dyDescent="0.3">
      <c r="A21" s="442" t="s">
        <v>230</v>
      </c>
      <c r="B21" s="445" t="s">
        <v>83</v>
      </c>
      <c r="C21" s="252">
        <f>+C20+C12</f>
        <v>8927053.5166580286</v>
      </c>
    </row>
    <row r="22" spans="1:5" x14ac:dyDescent="0.3">
      <c r="A22" s="446" t="s">
        <v>153</v>
      </c>
      <c r="B22" s="441"/>
      <c r="C22" s="251"/>
    </row>
    <row r="23" spans="1:5" x14ac:dyDescent="0.3">
      <c r="A23" s="443" t="s">
        <v>231</v>
      </c>
      <c r="B23" s="441"/>
      <c r="C23" s="253"/>
    </row>
    <row r="24" spans="1:5" x14ac:dyDescent="0.3">
      <c r="A24" s="446" t="s">
        <v>232</v>
      </c>
      <c r="B24" s="445" t="s">
        <v>85</v>
      </c>
      <c r="C24" s="251"/>
    </row>
    <row r="25" spans="1:5" x14ac:dyDescent="0.3">
      <c r="A25" s="444" t="s">
        <v>233</v>
      </c>
      <c r="B25" s="445" t="s">
        <v>87</v>
      </c>
      <c r="C25" s="251"/>
    </row>
    <row r="26" spans="1:5" x14ac:dyDescent="0.3">
      <c r="A26" s="444" t="s">
        <v>234</v>
      </c>
      <c r="B26" s="445" t="s">
        <v>88</v>
      </c>
      <c r="C26" s="251"/>
    </row>
    <row r="27" spans="1:5" x14ac:dyDescent="0.3">
      <c r="A27" s="446" t="s">
        <v>235</v>
      </c>
      <c r="B27" s="445" t="s">
        <v>89</v>
      </c>
      <c r="C27" s="251"/>
    </row>
    <row r="28" spans="1:5" x14ac:dyDescent="0.3">
      <c r="A28" s="446" t="s">
        <v>236</v>
      </c>
      <c r="B28" s="445" t="s">
        <v>154</v>
      </c>
      <c r="C28" s="252">
        <f>SUM(C24:C27)</f>
        <v>0</v>
      </c>
    </row>
    <row r="29" spans="1:5" x14ac:dyDescent="0.3">
      <c r="A29" s="446"/>
      <c r="B29" s="441"/>
      <c r="C29" s="254"/>
    </row>
    <row r="30" spans="1:5" x14ac:dyDescent="0.3">
      <c r="A30" s="443" t="s">
        <v>237</v>
      </c>
      <c r="B30" s="441"/>
      <c r="C30" s="250"/>
    </row>
    <row r="31" spans="1:5" x14ac:dyDescent="0.3">
      <c r="A31" s="444" t="s">
        <v>238</v>
      </c>
      <c r="B31" s="445" t="s">
        <v>155</v>
      </c>
      <c r="C31" s="251">
        <f>-SUM(TB!J126,TB!J132,TB!J137)-TB!J280</f>
        <v>0</v>
      </c>
    </row>
    <row r="32" spans="1:5" x14ac:dyDescent="0.3">
      <c r="A32" s="444" t="s">
        <v>239</v>
      </c>
      <c r="B32" s="445" t="s">
        <v>156</v>
      </c>
      <c r="C32" s="470">
        <f>(-TB!D140+'Schedule 19'!C43)*GETPIVOTDATA("Unique Billed Hours",'HHA-CDPAP'!$A$3,"HHA/CDPAP","CDPAP")</f>
        <v>15210115.862219941</v>
      </c>
      <c r="E32" s="450"/>
    </row>
    <row r="33" spans="1:3" x14ac:dyDescent="0.3">
      <c r="A33" s="442" t="s">
        <v>240</v>
      </c>
      <c r="B33" s="445" t="s">
        <v>157</v>
      </c>
      <c r="C33" s="252">
        <f>SUM(C31:C32)</f>
        <v>15210115.862219941</v>
      </c>
    </row>
    <row r="34" spans="1:3" x14ac:dyDescent="0.3">
      <c r="A34" s="446" t="s">
        <v>153</v>
      </c>
      <c r="B34" s="441"/>
      <c r="C34" s="251"/>
    </row>
    <row r="35" spans="1:3" ht="19.5" thickBot="1" x14ac:dyDescent="0.35">
      <c r="A35" s="448" t="s">
        <v>241</v>
      </c>
      <c r="B35" s="449" t="s">
        <v>158</v>
      </c>
      <c r="C35" s="255">
        <f>+C33+C28+C21</f>
        <v>24137169.378877968</v>
      </c>
    </row>
    <row r="36" spans="1:3" x14ac:dyDescent="0.25">
      <c r="C36" s="450"/>
    </row>
    <row r="37" spans="1:3" x14ac:dyDescent="0.25">
      <c r="C37" s="451">
        <f>'schedule 17 c'!C42-'Schedule 18 c'!C35</f>
        <v>0</v>
      </c>
    </row>
    <row r="38" spans="1:3" x14ac:dyDescent="0.25">
      <c r="C38" s="451"/>
    </row>
  </sheetData>
  <mergeCells count="1">
    <mergeCell ref="A1:C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7579F-5FF4-444C-AA8E-D3A9E3B1A06D}">
  <sheetPr>
    <tabColor rgb="FF92D050"/>
  </sheetPr>
  <dimension ref="A1:V45"/>
  <sheetViews>
    <sheetView workbookViewId="0">
      <selection sqref="A1:C1"/>
    </sheetView>
  </sheetViews>
  <sheetFormatPr defaultColWidth="7.42578125" defaultRowHeight="15.75" x14ac:dyDescent="0.25"/>
  <cols>
    <col min="1" max="1" width="61.42578125" style="424" customWidth="1"/>
    <col min="2" max="2" width="5.140625" style="468" bestFit="1" customWidth="1"/>
    <col min="3" max="3" width="16.85546875" style="424" bestFit="1" customWidth="1"/>
    <col min="4" max="4" width="15.7109375" style="424" bestFit="1" customWidth="1"/>
    <col min="5" max="5" width="16.85546875" style="424" bestFit="1" customWidth="1"/>
    <col min="6" max="6" width="29.28515625" style="424" bestFit="1" customWidth="1"/>
    <col min="7" max="7" width="15.7109375" style="424" bestFit="1" customWidth="1"/>
    <col min="8" max="8" width="16.42578125" style="424" bestFit="1" customWidth="1"/>
    <col min="9" max="9" width="14" style="424" bestFit="1" customWidth="1"/>
    <col min="10" max="21" width="7.42578125" style="424"/>
    <col min="22" max="22" width="10.42578125" style="424" bestFit="1" customWidth="1"/>
    <col min="23" max="16384" width="7.42578125" style="424"/>
  </cols>
  <sheetData>
    <row r="1" spans="1:22" x14ac:dyDescent="0.25">
      <c r="A1" s="978" t="s">
        <v>242</v>
      </c>
      <c r="B1" s="979"/>
      <c r="C1" s="980"/>
    </row>
    <row r="2" spans="1:22" x14ac:dyDescent="0.25">
      <c r="A2" s="715"/>
      <c r="B2" s="466"/>
      <c r="C2" s="243" t="s">
        <v>57</v>
      </c>
    </row>
    <row r="3" spans="1:22" x14ac:dyDescent="0.25">
      <c r="A3" s="455" t="s">
        <v>243</v>
      </c>
      <c r="B3" s="467"/>
      <c r="C3" s="244"/>
    </row>
    <row r="4" spans="1:22" x14ac:dyDescent="0.25">
      <c r="A4" s="458" t="s">
        <v>244</v>
      </c>
      <c r="B4" s="48" t="s">
        <v>57</v>
      </c>
      <c r="C4" s="245"/>
      <c r="F4" s="430" t="s">
        <v>245</v>
      </c>
      <c r="G4" s="462">
        <f>(+TB!F1-Check!A24)*GETPIVOTDATA("Unique Billed Hours",'HHA-CDPAP'!$A$3,"HHA/CDPAP","HHA")</f>
        <v>210162401.53634408</v>
      </c>
      <c r="V4" s="424">
        <v>25000000</v>
      </c>
    </row>
    <row r="5" spans="1:22" x14ac:dyDescent="0.25">
      <c r="A5" s="716" t="s">
        <v>246</v>
      </c>
      <c r="B5" s="48" t="s">
        <v>56</v>
      </c>
      <c r="C5" s="461">
        <f>G5</f>
        <v>0</v>
      </c>
      <c r="F5" s="424" t="s">
        <v>447</v>
      </c>
      <c r="G5" s="463">
        <f>IFERROR(+G4*GETPIVOTDATA("Unique Billed Hours",'Private Pay Pivot'!$A$3,"Payor Source","FFS"),0)</f>
        <v>0</v>
      </c>
    </row>
    <row r="6" spans="1:22" x14ac:dyDescent="0.25">
      <c r="A6" s="716" t="s">
        <v>247</v>
      </c>
      <c r="B6" s="48" t="s">
        <v>55</v>
      </c>
      <c r="C6" s="461">
        <f>+G6</f>
        <v>81829074.937081903</v>
      </c>
      <c r="E6" s="585">
        <f>G6/(1+0.0456)</f>
        <v>78260400.66668123</v>
      </c>
      <c r="F6" s="430" t="s">
        <v>247</v>
      </c>
      <c r="G6" s="463">
        <f>'Schedule 19'!G6-'Schedule 19 c'!G6</f>
        <v>81829074.937081903</v>
      </c>
      <c r="K6" s="798">
        <f>G6/'Schedule 19'!$G$4</f>
        <v>0.25290557583393947</v>
      </c>
    </row>
    <row r="7" spans="1:22" x14ac:dyDescent="0.25">
      <c r="A7" s="458" t="s">
        <v>249</v>
      </c>
      <c r="B7" s="48" t="s">
        <v>54</v>
      </c>
      <c r="C7" s="461">
        <f>G7</f>
        <v>47766041.155322298</v>
      </c>
      <c r="D7" s="627">
        <f>SUMIF('TB Tagging'!C:C,'TB Tagging'!$V$5,'TB Tagging'!B:B)</f>
        <v>8513912.0257093012</v>
      </c>
      <c r="E7" s="433">
        <f>G6-E6</f>
        <v>3568674.2704006732</v>
      </c>
      <c r="F7" s="424" t="s">
        <v>13</v>
      </c>
      <c r="G7" s="463">
        <f>'Schedule 19'!G7</f>
        <v>47766041.155322298</v>
      </c>
      <c r="K7" s="798">
        <f>G7/'Schedule 19'!$G$4</f>
        <v>0.14762843345086007</v>
      </c>
    </row>
    <row r="8" spans="1:22" x14ac:dyDescent="0.25">
      <c r="A8" s="458" t="s">
        <v>248</v>
      </c>
      <c r="B8" s="48" t="s">
        <v>53</v>
      </c>
      <c r="C8" s="461">
        <f>+G8</f>
        <v>2016652.5400139224</v>
      </c>
      <c r="E8" s="433">
        <f>+'Schedule 3c'!H14+'Schedule 3b'!H18</f>
        <v>8513912.0257093031</v>
      </c>
      <c r="F8" s="430" t="s">
        <v>248</v>
      </c>
      <c r="G8" s="463">
        <f>'Schedule 19'!G8</f>
        <v>2016652.5400139224</v>
      </c>
      <c r="K8" s="798">
        <f>G8/'Schedule 19'!$G$4</f>
        <v>6.2327806135087363E-3</v>
      </c>
    </row>
    <row r="9" spans="1:22" x14ac:dyDescent="0.25">
      <c r="A9" s="458" t="s">
        <v>250</v>
      </c>
      <c r="B9" s="48" t="s">
        <v>52</v>
      </c>
      <c r="C9" s="461">
        <f>G9</f>
        <v>0</v>
      </c>
      <c r="E9" s="433">
        <f>E8-E7</f>
        <v>4945237.7553086299</v>
      </c>
      <c r="F9" s="458" t="s">
        <v>250</v>
      </c>
      <c r="G9" s="257">
        <f>IFERROR(I9*GETPIVOTDATA("Unique Billed Hours",'Private Pay Pivot'!$D$3,"Level of Service","Subcontractor Services","CHHA",),0)</f>
        <v>0</v>
      </c>
      <c r="H9" s="430" t="s">
        <v>16</v>
      </c>
      <c r="I9" s="463">
        <f>'Schedule 19'!I9</f>
        <v>126316674.05924827</v>
      </c>
      <c r="K9" s="798">
        <f>G9/'Schedule 19'!$G$4</f>
        <v>0</v>
      </c>
    </row>
    <row r="10" spans="1:22" x14ac:dyDescent="0.25">
      <c r="A10" s="717" t="s">
        <v>448</v>
      </c>
      <c r="B10" s="48" t="s">
        <v>51</v>
      </c>
      <c r="C10" s="461">
        <f>G10</f>
        <v>78550632.90392597</v>
      </c>
      <c r="F10" s="718" t="s">
        <v>448</v>
      </c>
      <c r="G10" s="433">
        <f>'Schedule 19'!G10</f>
        <v>78550632.90392597</v>
      </c>
      <c r="K10" s="798">
        <f>G10/'Schedule 19'!$G$4</f>
        <v>0.24277303711379614</v>
      </c>
    </row>
    <row r="11" spans="1:22" x14ac:dyDescent="0.25">
      <c r="A11" s="717" t="s">
        <v>99</v>
      </c>
      <c r="B11" s="48" t="s">
        <v>50</v>
      </c>
      <c r="C11" s="258"/>
    </row>
    <row r="12" spans="1:22" x14ac:dyDescent="0.25">
      <c r="A12" s="453" t="s">
        <v>251</v>
      </c>
      <c r="B12" s="48" t="s">
        <v>49</v>
      </c>
      <c r="C12" s="719">
        <f>SUM(C4:C10)</f>
        <v>210162401.53634411</v>
      </c>
      <c r="G12" s="433"/>
    </row>
    <row r="13" spans="1:22" x14ac:dyDescent="0.25">
      <c r="A13" s="456" t="s">
        <v>153</v>
      </c>
      <c r="B13" s="467"/>
      <c r="C13" s="258"/>
      <c r="E13" s="433">
        <f>C12-G4</f>
        <v>0</v>
      </c>
      <c r="G13" s="433"/>
    </row>
    <row r="14" spans="1:22" x14ac:dyDescent="0.25">
      <c r="A14" s="453" t="s">
        <v>252</v>
      </c>
      <c r="B14" s="48" t="s">
        <v>47</v>
      </c>
      <c r="C14" s="258">
        <f>'Schedule 19'!C14</f>
        <v>7092745.6600000001</v>
      </c>
      <c r="G14" s="433"/>
    </row>
    <row r="15" spans="1:22" x14ac:dyDescent="0.25">
      <c r="A15" s="456"/>
      <c r="B15" s="467"/>
      <c r="C15" s="258"/>
      <c r="G15" s="433"/>
      <c r="H15" s="424" t="s">
        <v>153</v>
      </c>
    </row>
    <row r="16" spans="1:22" x14ac:dyDescent="0.25">
      <c r="A16" s="453" t="s">
        <v>253</v>
      </c>
      <c r="B16" s="48" t="s">
        <v>77</v>
      </c>
      <c r="C16" s="719">
        <f>+C14+C12</f>
        <v>217255147.19634411</v>
      </c>
      <c r="G16" s="433"/>
    </row>
    <row r="17" spans="1:7" x14ac:dyDescent="0.25">
      <c r="A17" s="456" t="s">
        <v>153</v>
      </c>
      <c r="B17" s="467"/>
      <c r="C17" s="258"/>
      <c r="G17" s="433"/>
    </row>
    <row r="18" spans="1:7" x14ac:dyDescent="0.25">
      <c r="A18" s="455" t="s">
        <v>254</v>
      </c>
      <c r="B18" s="467"/>
      <c r="C18" s="720"/>
      <c r="G18" s="433"/>
    </row>
    <row r="19" spans="1:7" x14ac:dyDescent="0.25">
      <c r="A19" s="458" t="s">
        <v>255</v>
      </c>
      <c r="B19" s="48" t="s">
        <v>78</v>
      </c>
      <c r="C19" s="258"/>
      <c r="G19" s="433"/>
    </row>
    <row r="20" spans="1:7" x14ac:dyDescent="0.25">
      <c r="A20" s="458" t="s">
        <v>256</v>
      </c>
      <c r="B20" s="48" t="s">
        <v>79</v>
      </c>
      <c r="C20" s="258"/>
      <c r="G20" s="433"/>
    </row>
    <row r="21" spans="1:7" x14ac:dyDescent="0.25">
      <c r="A21" s="458" t="s">
        <v>257</v>
      </c>
      <c r="B21" s="48" t="s">
        <v>81</v>
      </c>
      <c r="C21" s="258">
        <f>SUM(TB!D145:D161,TB!D175:D176,TB!D178:D249,,TB!D253:D260,TB!D263)*GETPIVOTDATA("Unique Billed Hours",'HHA-CDPAP'!$A$3,"HHA/CDPAP","HHA")</f>
        <v>194870009.30859002</v>
      </c>
      <c r="G21" s="433"/>
    </row>
    <row r="22" spans="1:7" x14ac:dyDescent="0.25">
      <c r="A22" s="453" t="s">
        <v>258</v>
      </c>
      <c r="B22" s="48" t="s">
        <v>83</v>
      </c>
      <c r="C22" s="719">
        <f>SUM(C19:C21)</f>
        <v>194870009.30859002</v>
      </c>
      <c r="G22" s="433"/>
    </row>
    <row r="23" spans="1:7" x14ac:dyDescent="0.25">
      <c r="A23" s="456"/>
      <c r="B23" s="467"/>
      <c r="C23" s="258"/>
      <c r="G23" s="433"/>
    </row>
    <row r="24" spans="1:7" x14ac:dyDescent="0.25">
      <c r="A24" s="456" t="s">
        <v>259</v>
      </c>
      <c r="B24" s="48" t="s">
        <v>85</v>
      </c>
      <c r="C24" s="719">
        <f>+C16-C22</f>
        <v>22385137.887754083</v>
      </c>
      <c r="G24" s="433"/>
    </row>
    <row r="25" spans="1:7" x14ac:dyDescent="0.25">
      <c r="A25" s="456" t="s">
        <v>153</v>
      </c>
      <c r="B25" s="467"/>
      <c r="C25" s="258"/>
      <c r="G25" s="433"/>
    </row>
    <row r="26" spans="1:7" x14ac:dyDescent="0.25">
      <c r="A26" s="455" t="s">
        <v>260</v>
      </c>
      <c r="B26" s="467"/>
      <c r="C26" s="720"/>
    </row>
    <row r="27" spans="1:7" x14ac:dyDescent="0.25">
      <c r="A27" s="457" t="s">
        <v>261</v>
      </c>
      <c r="B27" s="48" t="s">
        <v>87</v>
      </c>
      <c r="C27" s="258"/>
    </row>
    <row r="28" spans="1:7" x14ac:dyDescent="0.25">
      <c r="A28" s="457" t="s">
        <v>262</v>
      </c>
      <c r="B28" s="48" t="s">
        <v>88</v>
      </c>
      <c r="C28" s="258">
        <f>-TB!D261*GETPIVOTDATA("Unique Billed Hours",'HHA-CDPAP'!$A$3,"HHA/CDPAP","HHA")</f>
        <v>2151.0420727263654</v>
      </c>
    </row>
    <row r="29" spans="1:7" x14ac:dyDescent="0.25">
      <c r="A29" s="457" t="s">
        <v>263</v>
      </c>
      <c r="B29" s="48" t="s">
        <v>89</v>
      </c>
      <c r="C29" s="258"/>
    </row>
    <row r="30" spans="1:7" x14ac:dyDescent="0.25">
      <c r="A30" s="458" t="s">
        <v>264</v>
      </c>
      <c r="B30" s="48" t="s">
        <v>154</v>
      </c>
      <c r="C30" s="258">
        <f>(-TB!D145-TB!D251)*GETPIVOTDATA("Unique Billed Hours",'HHA-CDPAP'!$A$3,"HHA/CDPAP","HHA")+TB!C142</f>
        <v>7273164.4405101901</v>
      </c>
    </row>
    <row r="31" spans="1:7" x14ac:dyDescent="0.25">
      <c r="A31" s="453" t="s">
        <v>265</v>
      </c>
      <c r="B31" s="48" t="s">
        <v>155</v>
      </c>
      <c r="C31" s="719">
        <f>SUM(C27:C30)</f>
        <v>7275315.4825829165</v>
      </c>
    </row>
    <row r="32" spans="1:7" x14ac:dyDescent="0.25">
      <c r="A32" s="456" t="s">
        <v>153</v>
      </c>
      <c r="B32" s="467"/>
      <c r="C32" s="258"/>
    </row>
    <row r="33" spans="1:6" x14ac:dyDescent="0.25">
      <c r="A33" s="455" t="s">
        <v>266</v>
      </c>
      <c r="B33" s="467"/>
      <c r="C33" s="720"/>
    </row>
    <row r="34" spans="1:6" x14ac:dyDescent="0.25">
      <c r="A34" s="458" t="s">
        <v>267</v>
      </c>
      <c r="B34" s="48" t="s">
        <v>156</v>
      </c>
      <c r="C34" s="258">
        <f>SUM(TB!D250,TB!D252)*GETPIVOTDATA("Unique Billed Hours",'HHA-CDPAP'!$A$3,"HHA/CDPAP","HHA")</f>
        <v>171289.49824153504</v>
      </c>
    </row>
    <row r="35" spans="1:6" x14ac:dyDescent="0.25">
      <c r="A35" s="458" t="s">
        <v>268</v>
      </c>
      <c r="B35" s="48" t="s">
        <v>157</v>
      </c>
      <c r="C35" s="258">
        <f>(TB!D264+TB!D262)*GETPIVOTDATA("Unique Billed Hours",'HHA-CDPAP'!$A$3,"HHA/CDPAP","HHA")+TB!E165</f>
        <v>10139207.735071521</v>
      </c>
    </row>
    <row r="36" spans="1:6" x14ac:dyDescent="0.25">
      <c r="A36" s="453" t="s">
        <v>269</v>
      </c>
      <c r="B36" s="48" t="s">
        <v>158</v>
      </c>
      <c r="C36" s="719">
        <f>SUM(C34:C35)</f>
        <v>10310497.233313056</v>
      </c>
    </row>
    <row r="37" spans="1:6" x14ac:dyDescent="0.25">
      <c r="A37" s="456"/>
      <c r="B37" s="467"/>
      <c r="C37" s="258"/>
    </row>
    <row r="38" spans="1:6" x14ac:dyDescent="0.25">
      <c r="A38" s="456" t="s">
        <v>270</v>
      </c>
      <c r="B38" s="48" t="s">
        <v>159</v>
      </c>
      <c r="C38" s="719">
        <f>+C31-C36</f>
        <v>-3035181.7507301392</v>
      </c>
    </row>
    <row r="39" spans="1:6" x14ac:dyDescent="0.25">
      <c r="A39" s="456" t="s">
        <v>271</v>
      </c>
      <c r="B39" s="48" t="s">
        <v>160</v>
      </c>
      <c r="C39" s="719">
        <f>+C24+C38</f>
        <v>19349956.137023944</v>
      </c>
      <c r="F39" s="260"/>
    </row>
    <row r="40" spans="1:6" x14ac:dyDescent="0.25">
      <c r="A40" s="456"/>
      <c r="B40" s="467"/>
      <c r="C40" s="258"/>
      <c r="F40" s="260"/>
    </row>
    <row r="41" spans="1:6" x14ac:dyDescent="0.25">
      <c r="A41" s="458" t="s">
        <v>272</v>
      </c>
      <c r="B41" s="48" t="s">
        <v>161</v>
      </c>
      <c r="C41" s="258"/>
    </row>
    <row r="42" spans="1:6" x14ac:dyDescent="0.25">
      <c r="A42" s="456"/>
      <c r="B42" s="467"/>
      <c r="C42" s="258"/>
    </row>
    <row r="43" spans="1:6" ht="16.5" thickBot="1" x14ac:dyDescent="0.3">
      <c r="A43" s="721" t="s">
        <v>273</v>
      </c>
      <c r="B43" s="53" t="s">
        <v>162</v>
      </c>
      <c r="C43" s="722">
        <f>+C39+C41</f>
        <v>19349956.137023944</v>
      </c>
    </row>
    <row r="45" spans="1:6" x14ac:dyDescent="0.25">
      <c r="A45" s="723"/>
    </row>
  </sheetData>
  <mergeCells count="1">
    <mergeCell ref="A1:C1"/>
  </mergeCells>
  <pageMargins left="0.7" right="0.7" top="0.75" bottom="0.75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F2945-F9D8-4B97-993F-C2AE9EF47BA2}">
  <sheetPr>
    <tabColor rgb="FF92D050"/>
  </sheetPr>
  <dimension ref="A1:V45"/>
  <sheetViews>
    <sheetView workbookViewId="0">
      <selection sqref="A1:C1"/>
    </sheetView>
  </sheetViews>
  <sheetFormatPr defaultColWidth="7.42578125" defaultRowHeight="15.75" x14ac:dyDescent="0.25"/>
  <cols>
    <col min="1" max="1" width="61.42578125" style="424" customWidth="1"/>
    <col min="2" max="2" width="5.140625" style="468" bestFit="1" customWidth="1"/>
    <col min="3" max="3" width="16.85546875" style="424" bestFit="1" customWidth="1"/>
    <col min="4" max="4" width="15.7109375" style="424" bestFit="1" customWidth="1"/>
    <col min="5" max="5" width="16.85546875" style="424" bestFit="1" customWidth="1"/>
    <col min="6" max="6" width="29.28515625" style="424" bestFit="1" customWidth="1"/>
    <col min="7" max="7" width="15.7109375" style="424" bestFit="1" customWidth="1"/>
    <col min="8" max="8" width="16.42578125" style="424" bestFit="1" customWidth="1"/>
    <col min="9" max="9" width="12.42578125" style="424" bestFit="1" customWidth="1"/>
    <col min="10" max="21" width="7.42578125" style="424"/>
    <col min="22" max="22" width="10.42578125" style="424" bestFit="1" customWidth="1"/>
    <col min="23" max="16384" width="7.42578125" style="424"/>
  </cols>
  <sheetData>
    <row r="1" spans="1:22" x14ac:dyDescent="0.25">
      <c r="A1" s="978" t="s">
        <v>242</v>
      </c>
      <c r="B1" s="979"/>
      <c r="C1" s="980"/>
    </row>
    <row r="2" spans="1:22" x14ac:dyDescent="0.25">
      <c r="A2" s="715"/>
      <c r="B2" s="466"/>
      <c r="C2" s="243" t="s">
        <v>57</v>
      </c>
    </row>
    <row r="3" spans="1:22" x14ac:dyDescent="0.25">
      <c r="A3" s="455" t="s">
        <v>243</v>
      </c>
      <c r="B3" s="467"/>
      <c r="C3" s="244"/>
    </row>
    <row r="4" spans="1:22" x14ac:dyDescent="0.25">
      <c r="A4" s="458" t="s">
        <v>244</v>
      </c>
      <c r="B4" s="48" t="s">
        <v>57</v>
      </c>
      <c r="C4" s="245"/>
      <c r="F4" s="430" t="s">
        <v>245</v>
      </c>
      <c r="G4" s="462">
        <f>(+TB!F1-Check!A24)*GETPIVOTDATA("Unique Billed Hours",'HHA-CDPAP'!$A$3,"HHA/CDPAP","CDPAP")</f>
        <v>113393434.14365593</v>
      </c>
      <c r="H4" s="433"/>
      <c r="V4" s="424">
        <v>25000000</v>
      </c>
    </row>
    <row r="5" spans="1:22" x14ac:dyDescent="0.25">
      <c r="A5" s="716" t="s">
        <v>246</v>
      </c>
      <c r="B5" s="48" t="s">
        <v>56</v>
      </c>
      <c r="C5" s="461">
        <f>G5</f>
        <v>0</v>
      </c>
      <c r="F5" s="424" t="s">
        <v>447</v>
      </c>
      <c r="G5" s="463">
        <f>IFERROR(+G4*GETPIVOTDATA("Unique Billed Hours",'Private Pay Pivot'!$A$3,"Payor Source","FFS"),0)</f>
        <v>0</v>
      </c>
    </row>
    <row r="6" spans="1:22" x14ac:dyDescent="0.25">
      <c r="A6" s="716" t="s">
        <v>247</v>
      </c>
      <c r="B6" s="48" t="s">
        <v>55</v>
      </c>
      <c r="C6" s="461">
        <f>+G6</f>
        <v>113393434.14365593</v>
      </c>
      <c r="E6" s="585">
        <f>G6/(1+0.0456)</f>
        <v>108448196.38834728</v>
      </c>
      <c r="F6" s="430" t="s">
        <v>247</v>
      </c>
      <c r="G6" s="463">
        <f>+G4-G8-I9-G5</f>
        <v>113393434.14365593</v>
      </c>
      <c r="J6" s="798">
        <f>G6/'Schedule 19'!$G$4</f>
        <v>0.35046017298789561</v>
      </c>
    </row>
    <row r="7" spans="1:22" x14ac:dyDescent="0.25">
      <c r="A7" s="458" t="s">
        <v>249</v>
      </c>
      <c r="B7" s="48" t="s">
        <v>54</v>
      </c>
      <c r="C7" s="461">
        <f>G7</f>
        <v>0</v>
      </c>
      <c r="D7" s="627">
        <f>SUMIF('TB Tagging'!C:C,'TB Tagging'!$V$5,'TB Tagging'!B:B)</f>
        <v>8513912.0257093012</v>
      </c>
      <c r="E7" s="433">
        <f>G6-E6</f>
        <v>4945237.755308643</v>
      </c>
      <c r="F7" s="424" t="s">
        <v>13</v>
      </c>
      <c r="G7" s="463"/>
    </row>
    <row r="8" spans="1:22" x14ac:dyDescent="0.25">
      <c r="A8" s="458" t="s">
        <v>248</v>
      </c>
      <c r="B8" s="48" t="s">
        <v>53</v>
      </c>
      <c r="C8" s="461">
        <f>+G8</f>
        <v>0</v>
      </c>
      <c r="E8" s="433">
        <f>+'Schedule 3c'!H14+'Schedule 3b'!H18</f>
        <v>8513912.0257093031</v>
      </c>
      <c r="F8" s="430" t="s">
        <v>248</v>
      </c>
      <c r="G8" s="463"/>
    </row>
    <row r="9" spans="1:22" x14ac:dyDescent="0.25">
      <c r="A9" s="458" t="s">
        <v>250</v>
      </c>
      <c r="B9" s="48" t="s">
        <v>52</v>
      </c>
      <c r="C9" s="461">
        <f>G9</f>
        <v>0</v>
      </c>
      <c r="E9" s="433">
        <f>E8-E7</f>
        <v>3568674.2704006601</v>
      </c>
      <c r="F9" s="458" t="s">
        <v>250</v>
      </c>
      <c r="G9" s="257">
        <f>IFERROR(I9*GETPIVOTDATA("Unique Billed Hours",'Private Pay Pivot'!$D$3,"Level of Service","Subcontractor Services","CHHA",),0)</f>
        <v>0</v>
      </c>
      <c r="H9" s="430" t="s">
        <v>16</v>
      </c>
      <c r="I9" s="463"/>
    </row>
    <row r="10" spans="1:22" x14ac:dyDescent="0.25">
      <c r="A10" s="717" t="s">
        <v>448</v>
      </c>
      <c r="B10" s="48" t="s">
        <v>51</v>
      </c>
      <c r="C10" s="461">
        <f>G10</f>
        <v>0</v>
      </c>
      <c r="F10" s="718" t="s">
        <v>448</v>
      </c>
      <c r="G10" s="433"/>
    </row>
    <row r="11" spans="1:22" x14ac:dyDescent="0.25">
      <c r="A11" s="717" t="s">
        <v>99</v>
      </c>
      <c r="B11" s="48" t="s">
        <v>50</v>
      </c>
      <c r="C11" s="258"/>
    </row>
    <row r="12" spans="1:22" x14ac:dyDescent="0.25">
      <c r="A12" s="453" t="s">
        <v>251</v>
      </c>
      <c r="B12" s="48" t="s">
        <v>49</v>
      </c>
      <c r="C12" s="719">
        <f>SUM(C4:C10)</f>
        <v>113393434.14365593</v>
      </c>
      <c r="G12" s="433"/>
    </row>
    <row r="13" spans="1:22" x14ac:dyDescent="0.25">
      <c r="A13" s="456" t="s">
        <v>153</v>
      </c>
      <c r="B13" s="467"/>
      <c r="C13" s="258"/>
      <c r="E13" s="433">
        <f>C12-G4</f>
        <v>0</v>
      </c>
      <c r="G13" s="433"/>
    </row>
    <row r="14" spans="1:22" x14ac:dyDescent="0.25">
      <c r="A14" s="453" t="s">
        <v>252</v>
      </c>
      <c r="B14" s="48" t="s">
        <v>47</v>
      </c>
      <c r="C14" s="258">
        <f>-TB!E204</f>
        <v>0</v>
      </c>
      <c r="G14" s="433"/>
    </row>
    <row r="15" spans="1:22" x14ac:dyDescent="0.25">
      <c r="A15" s="456"/>
      <c r="B15" s="467"/>
      <c r="C15" s="258"/>
      <c r="G15" s="433"/>
      <c r="H15" s="424" t="s">
        <v>153</v>
      </c>
    </row>
    <row r="16" spans="1:22" x14ac:dyDescent="0.25">
      <c r="A16" s="453" t="s">
        <v>253</v>
      </c>
      <c r="B16" s="48" t="s">
        <v>77</v>
      </c>
      <c r="C16" s="719">
        <f>+C14+C12</f>
        <v>113393434.14365593</v>
      </c>
      <c r="G16" s="433"/>
    </row>
    <row r="17" spans="1:7" x14ac:dyDescent="0.25">
      <c r="A17" s="456" t="s">
        <v>153</v>
      </c>
      <c r="B17" s="467"/>
      <c r="C17" s="258"/>
      <c r="G17" s="433"/>
    </row>
    <row r="18" spans="1:7" x14ac:dyDescent="0.25">
      <c r="A18" s="455" t="s">
        <v>254</v>
      </c>
      <c r="B18" s="467"/>
      <c r="C18" s="720"/>
      <c r="G18" s="433"/>
    </row>
    <row r="19" spans="1:7" x14ac:dyDescent="0.25">
      <c r="A19" s="458" t="s">
        <v>255</v>
      </c>
      <c r="B19" s="48" t="s">
        <v>78</v>
      </c>
      <c r="C19" s="258"/>
      <c r="G19" s="433"/>
    </row>
    <row r="20" spans="1:7" x14ac:dyDescent="0.25">
      <c r="A20" s="458" t="s">
        <v>256</v>
      </c>
      <c r="B20" s="48" t="s">
        <v>79</v>
      </c>
      <c r="C20" s="258"/>
      <c r="G20" s="433"/>
    </row>
    <row r="21" spans="1:7" x14ac:dyDescent="0.25">
      <c r="A21" s="458" t="s">
        <v>257</v>
      </c>
      <c r="B21" s="48" t="s">
        <v>81</v>
      </c>
      <c r="C21" s="258">
        <f>SUM(TB!D145:D161,TB!D175:D176,TB!D178:D249,,TB!D253:D260,TB!D263)*GETPIVOTDATA("Unique Billed Hours",'HHA-CDPAP'!$A$3,"HHA/CDPAP","CDPAP")</f>
        <v>105142401.33140998</v>
      </c>
      <c r="D21" s="433"/>
      <c r="G21" s="433"/>
    </row>
    <row r="22" spans="1:7" x14ac:dyDescent="0.25">
      <c r="A22" s="453" t="s">
        <v>258</v>
      </c>
      <c r="B22" s="48" t="s">
        <v>83</v>
      </c>
      <c r="C22" s="719">
        <f>SUM(C19:C21)</f>
        <v>105142401.33140998</v>
      </c>
      <c r="G22" s="433"/>
    </row>
    <row r="23" spans="1:7" x14ac:dyDescent="0.25">
      <c r="A23" s="456"/>
      <c r="B23" s="467"/>
      <c r="C23" s="258"/>
      <c r="G23" s="433"/>
    </row>
    <row r="24" spans="1:7" x14ac:dyDescent="0.25">
      <c r="A24" s="456" t="s">
        <v>259</v>
      </c>
      <c r="B24" s="48" t="s">
        <v>85</v>
      </c>
      <c r="C24" s="719">
        <f>+C16-C22</f>
        <v>8251032.8122459501</v>
      </c>
      <c r="D24" s="433"/>
      <c r="G24" s="433"/>
    </row>
    <row r="25" spans="1:7" x14ac:dyDescent="0.25">
      <c r="A25" s="456" t="s">
        <v>153</v>
      </c>
      <c r="B25" s="467"/>
      <c r="C25" s="258"/>
      <c r="G25" s="433"/>
    </row>
    <row r="26" spans="1:7" x14ac:dyDescent="0.25">
      <c r="A26" s="455" t="s">
        <v>260</v>
      </c>
      <c r="B26" s="467"/>
      <c r="C26" s="720"/>
    </row>
    <row r="27" spans="1:7" x14ac:dyDescent="0.25">
      <c r="A27" s="457" t="s">
        <v>261</v>
      </c>
      <c r="B27" s="48" t="s">
        <v>87</v>
      </c>
      <c r="C27" s="258"/>
    </row>
    <row r="28" spans="1:7" x14ac:dyDescent="0.25">
      <c r="A28" s="457" t="s">
        <v>262</v>
      </c>
      <c r="B28" s="48" t="s">
        <v>88</v>
      </c>
      <c r="C28" s="258">
        <f>-TB!D261*GETPIVOTDATA("Unique Billed Hours",'HHA-CDPAP'!$A$3,"HHA/CDPAP","CDPAP")</f>
        <v>1160.5979272736347</v>
      </c>
    </row>
    <row r="29" spans="1:7" x14ac:dyDescent="0.25">
      <c r="A29" s="457" t="s">
        <v>263</v>
      </c>
      <c r="B29" s="48" t="s">
        <v>89</v>
      </c>
      <c r="C29" s="258"/>
    </row>
    <row r="30" spans="1:7" x14ac:dyDescent="0.25">
      <c r="A30" s="458" t="s">
        <v>264</v>
      </c>
      <c r="B30" s="48" t="s">
        <v>154</v>
      </c>
      <c r="C30" s="258">
        <f>(-TB!D145-TB!D251)*GETPIVOTDATA("Unique Billed Hours",'HHA-CDPAP'!$A$3,"HHA/CDPAP","CDPAP")</f>
        <v>97345.219489809839</v>
      </c>
    </row>
    <row r="31" spans="1:7" x14ac:dyDescent="0.25">
      <c r="A31" s="453" t="s">
        <v>265</v>
      </c>
      <c r="B31" s="48" t="s">
        <v>155</v>
      </c>
      <c r="C31" s="719">
        <f>SUM(C27:C30)</f>
        <v>98505.817417083468</v>
      </c>
    </row>
    <row r="32" spans="1:7" x14ac:dyDescent="0.25">
      <c r="A32" s="456" t="s">
        <v>153</v>
      </c>
      <c r="B32" s="467"/>
      <c r="C32" s="258"/>
    </row>
    <row r="33" spans="1:6" x14ac:dyDescent="0.25">
      <c r="A33" s="455" t="s">
        <v>266</v>
      </c>
      <c r="B33" s="467"/>
      <c r="C33" s="720"/>
    </row>
    <row r="34" spans="1:6" x14ac:dyDescent="0.25">
      <c r="A34" s="458" t="s">
        <v>267</v>
      </c>
      <c r="B34" s="48" t="s">
        <v>156</v>
      </c>
      <c r="C34" s="258">
        <f>SUM(TB!D250,TB!D252)*GETPIVOTDATA("Unique Billed Hours",'HHA-CDPAP'!$A$3,"HHA/CDPAP","CDPAP")</f>
        <v>92419.501758464961</v>
      </c>
    </row>
    <row r="35" spans="1:6" x14ac:dyDescent="0.25">
      <c r="A35" s="458" t="s">
        <v>268</v>
      </c>
      <c r="B35" s="48" t="s">
        <v>157</v>
      </c>
      <c r="C35" s="258">
        <f>(TB!D264+TB!D262)*GETPIVOTDATA("Unique Billed Hours",'HHA-CDPAP'!$A$3,"HHA/CDPAP","CDPAP")</f>
        <v>1571265.5949284793</v>
      </c>
    </row>
    <row r="36" spans="1:6" x14ac:dyDescent="0.25">
      <c r="A36" s="453" t="s">
        <v>269</v>
      </c>
      <c r="B36" s="48" t="s">
        <v>158</v>
      </c>
      <c r="C36" s="719">
        <f>SUM(C34:C35)</f>
        <v>1663685.0966869444</v>
      </c>
    </row>
    <row r="37" spans="1:6" x14ac:dyDescent="0.25">
      <c r="A37" s="456"/>
      <c r="B37" s="467"/>
      <c r="C37" s="258"/>
    </row>
    <row r="38" spans="1:6" x14ac:dyDescent="0.25">
      <c r="A38" s="456" t="s">
        <v>270</v>
      </c>
      <c r="B38" s="48" t="s">
        <v>159</v>
      </c>
      <c r="C38" s="719">
        <f>+C31-C36</f>
        <v>-1565179.2792698608</v>
      </c>
    </row>
    <row r="39" spans="1:6" x14ac:dyDescent="0.25">
      <c r="A39" s="456" t="s">
        <v>271</v>
      </c>
      <c r="B39" s="48" t="s">
        <v>160</v>
      </c>
      <c r="C39" s="719">
        <f>+C24+C38</f>
        <v>6685853.532976089</v>
      </c>
      <c r="F39" s="260"/>
    </row>
    <row r="40" spans="1:6" x14ac:dyDescent="0.25">
      <c r="A40" s="456"/>
      <c r="B40" s="467"/>
      <c r="C40" s="258"/>
      <c r="F40" s="260"/>
    </row>
    <row r="41" spans="1:6" x14ac:dyDescent="0.25">
      <c r="A41" s="458" t="s">
        <v>272</v>
      </c>
      <c r="B41" s="48" t="s">
        <v>161</v>
      </c>
      <c r="C41" s="258"/>
    </row>
    <row r="42" spans="1:6" x14ac:dyDescent="0.25">
      <c r="A42" s="456"/>
      <c r="B42" s="467"/>
      <c r="C42" s="258"/>
    </row>
    <row r="43" spans="1:6" ht="16.5" thickBot="1" x14ac:dyDescent="0.3">
      <c r="A43" s="721" t="s">
        <v>273</v>
      </c>
      <c r="B43" s="53" t="s">
        <v>162</v>
      </c>
      <c r="C43" s="722">
        <f>+C39+C41</f>
        <v>6685853.532976089</v>
      </c>
      <c r="D43" s="433"/>
    </row>
    <row r="45" spans="1:6" x14ac:dyDescent="0.25">
      <c r="A45" s="723"/>
    </row>
  </sheetData>
  <mergeCells count="1">
    <mergeCell ref="A1:C1"/>
  </mergeCells>
  <pageMargins left="0.7" right="0.7" top="0.75" bottom="0.75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1">
    <tabColor rgb="FF92D050"/>
  </sheetPr>
  <dimension ref="A1:H37"/>
  <sheetViews>
    <sheetView workbookViewId="0"/>
  </sheetViews>
  <sheetFormatPr defaultColWidth="8.85546875" defaultRowHeight="15" x14ac:dyDescent="0.25"/>
  <cols>
    <col min="1" max="1" width="38.85546875" bestFit="1" customWidth="1"/>
    <col min="2" max="2" width="25.85546875" bestFit="1" customWidth="1"/>
    <col min="3" max="3" width="1.7109375" customWidth="1"/>
    <col min="4" max="5" width="14.28515625" bestFit="1" customWidth="1"/>
    <col min="6" max="6" width="13.140625" bestFit="1" customWidth="1"/>
    <col min="7" max="7" width="25.85546875" bestFit="1" customWidth="1"/>
    <col min="8" max="8" width="14.28515625" bestFit="1" customWidth="1"/>
  </cols>
  <sheetData>
    <row r="1" spans="1:8" x14ac:dyDescent="0.25">
      <c r="A1" s="1" t="s">
        <v>13</v>
      </c>
      <c r="B1" t="s">
        <v>13</v>
      </c>
      <c r="D1" s="277">
        <f ca="1">SUM(D4:D15)</f>
        <v>19400709.350429315</v>
      </c>
      <c r="H1" t="s">
        <v>294</v>
      </c>
    </row>
    <row r="2" spans="1:8" x14ac:dyDescent="0.25">
      <c r="H2" s="277">
        <f ca="1">'Schedule 3b'!I18</f>
        <v>131415804.50954981</v>
      </c>
    </row>
    <row r="3" spans="1:8" x14ac:dyDescent="0.25">
      <c r="A3" s="1" t="s">
        <v>21</v>
      </c>
      <c r="B3" t="s">
        <v>23</v>
      </c>
      <c r="F3" s="1" t="s">
        <v>21</v>
      </c>
      <c r="G3" t="s">
        <v>23</v>
      </c>
    </row>
    <row r="4" spans="1:8" x14ac:dyDescent="0.25">
      <c r="A4" s="2" t="s">
        <v>464</v>
      </c>
      <c r="B4" s="3">
        <v>1.3472218345152928E-2</v>
      </c>
      <c r="D4" s="4">
        <f ca="1">IFERROR(+$H$4*GETPIVOTDATA("Unique Billed Hours",$A$3,"Contract ",+A4),0)</f>
        <v>261370.59241983373</v>
      </c>
      <c r="F4" s="2" t="s">
        <v>13</v>
      </c>
      <c r="G4" s="3">
        <v>0.14762843345086007</v>
      </c>
      <c r="H4" s="4">
        <f ca="1">+H2*GETPIVOTDATA("Unique Billed Hours",$G$4,"CHHA","CHHA")</f>
        <v>19400709.350429311</v>
      </c>
    </row>
    <row r="5" spans="1:8" x14ac:dyDescent="0.25">
      <c r="A5" s="2" t="s">
        <v>465</v>
      </c>
      <c r="B5" s="3">
        <v>0.10311336545529734</v>
      </c>
      <c r="D5" s="4">
        <f t="shared" ref="D5:D37" ca="1" si="0">IFERROR(+$H$4*GETPIVOTDATA("Unique Billed Hours",$A$3,"Contract ",+A5),0)</f>
        <v>2000472.4333428219</v>
      </c>
      <c r="F5" s="2" t="s">
        <v>293</v>
      </c>
      <c r="G5" s="3">
        <v>0.85237156654913993</v>
      </c>
    </row>
    <row r="6" spans="1:8" x14ac:dyDescent="0.25">
      <c r="A6" s="2" t="s">
        <v>459</v>
      </c>
      <c r="B6" s="3">
        <v>6.6934741220497345E-3</v>
      </c>
      <c r="D6" s="4">
        <f t="shared" ca="1" si="0"/>
        <v>129858.1459865069</v>
      </c>
      <c r="F6" s="2" t="s">
        <v>22</v>
      </c>
      <c r="G6" s="3">
        <v>1</v>
      </c>
    </row>
    <row r="7" spans="1:8" x14ac:dyDescent="0.25">
      <c r="A7" s="2" t="s">
        <v>458</v>
      </c>
      <c r="B7" s="3">
        <v>0.49691708161477471</v>
      </c>
      <c r="D7" s="4">
        <f t="shared" ca="1" si="0"/>
        <v>9640543.8716718052</v>
      </c>
    </row>
    <row r="8" spans="1:8" x14ac:dyDescent="0.25">
      <c r="A8" s="2" t="s">
        <v>870</v>
      </c>
      <c r="B8" s="3">
        <v>0.11731838803204386</v>
      </c>
      <c r="D8" s="4">
        <f t="shared" ca="1" si="0"/>
        <v>2276059.9476705678</v>
      </c>
    </row>
    <row r="9" spans="1:8" x14ac:dyDescent="0.25">
      <c r="A9" s="2" t="s">
        <v>491</v>
      </c>
      <c r="B9" s="3">
        <v>7.033639283676237E-4</v>
      </c>
      <c r="D9" s="4">
        <f t="shared" ca="1" si="0"/>
        <v>13645.75914183645</v>
      </c>
    </row>
    <row r="10" spans="1:8" x14ac:dyDescent="0.25">
      <c r="A10" s="2" t="s">
        <v>921</v>
      </c>
      <c r="B10" s="3">
        <v>8.7863288384244459E-5</v>
      </c>
      <c r="D10" s="4">
        <f t="shared" ca="1" si="0"/>
        <v>1704.6101205156785</v>
      </c>
    </row>
    <row r="11" spans="1:8" x14ac:dyDescent="0.25">
      <c r="A11" s="2" t="s">
        <v>950</v>
      </c>
      <c r="B11" s="3">
        <v>2.9135222363525509E-5</v>
      </c>
      <c r="D11" s="4">
        <f t="shared" ca="1" si="0"/>
        <v>565.24398093488651</v>
      </c>
    </row>
    <row r="12" spans="1:8" x14ac:dyDescent="0.25">
      <c r="A12" s="2" t="s">
        <v>494</v>
      </c>
      <c r="B12" s="3">
        <v>1.4829980723465707E-3</v>
      </c>
      <c r="D12" s="4">
        <f t="shared" ca="1" si="0"/>
        <v>28771.214568842759</v>
      </c>
    </row>
    <row r="13" spans="1:8" x14ac:dyDescent="0.25">
      <c r="A13" s="2" t="s">
        <v>1051</v>
      </c>
      <c r="B13" s="3">
        <v>0.23540908826736798</v>
      </c>
      <c r="D13" s="4">
        <f t="shared" ca="1" si="0"/>
        <v>4567103.2999247648</v>
      </c>
    </row>
    <row r="14" spans="1:8" x14ac:dyDescent="0.25">
      <c r="A14" s="2" t="s">
        <v>1071</v>
      </c>
      <c r="B14" s="3">
        <v>2.4751362910617865E-2</v>
      </c>
      <c r="D14" s="4">
        <f t="shared" ca="1" si="0"/>
        <v>480193.99785589328</v>
      </c>
    </row>
    <row r="15" spans="1:8" x14ac:dyDescent="0.25">
      <c r="A15" s="2" t="s">
        <v>1143</v>
      </c>
      <c r="B15" s="3">
        <v>2.1660741233615823E-5</v>
      </c>
      <c r="D15" s="4">
        <f t="shared" ca="1" si="0"/>
        <v>420.23374498824023</v>
      </c>
    </row>
    <row r="16" spans="1:8" x14ac:dyDescent="0.25">
      <c r="A16" s="2" t="s">
        <v>22</v>
      </c>
      <c r="B16" s="3">
        <v>1</v>
      </c>
      <c r="D16" s="4">
        <f t="shared" ca="1" si="0"/>
        <v>0</v>
      </c>
    </row>
    <row r="17" spans="4:4" x14ac:dyDescent="0.25">
      <c r="D17" s="4">
        <f t="shared" ca="1" si="0"/>
        <v>0</v>
      </c>
    </row>
    <row r="18" spans="4:4" x14ac:dyDescent="0.25">
      <c r="D18" s="4">
        <f t="shared" ca="1" si="0"/>
        <v>0</v>
      </c>
    </row>
    <row r="19" spans="4:4" x14ac:dyDescent="0.25">
      <c r="D19" s="4">
        <f t="shared" ca="1" si="0"/>
        <v>0</v>
      </c>
    </row>
    <row r="20" spans="4:4" x14ac:dyDescent="0.25">
      <c r="D20" s="4">
        <f t="shared" ca="1" si="0"/>
        <v>0</v>
      </c>
    </row>
    <row r="21" spans="4:4" x14ac:dyDescent="0.25">
      <c r="D21" s="4">
        <f t="shared" ca="1" si="0"/>
        <v>0</v>
      </c>
    </row>
    <row r="22" spans="4:4" x14ac:dyDescent="0.25">
      <c r="D22" s="4">
        <f t="shared" ca="1" si="0"/>
        <v>0</v>
      </c>
    </row>
    <row r="23" spans="4:4" x14ac:dyDescent="0.25">
      <c r="D23" s="4">
        <f t="shared" ca="1" si="0"/>
        <v>0</v>
      </c>
    </row>
    <row r="24" spans="4:4" x14ac:dyDescent="0.25">
      <c r="D24" s="4">
        <f t="shared" ca="1" si="0"/>
        <v>0</v>
      </c>
    </row>
    <row r="25" spans="4:4" x14ac:dyDescent="0.25">
      <c r="D25" s="4">
        <f t="shared" ca="1" si="0"/>
        <v>0</v>
      </c>
    </row>
    <row r="26" spans="4:4" x14ac:dyDescent="0.25">
      <c r="D26" s="4">
        <f t="shared" ca="1" si="0"/>
        <v>0</v>
      </c>
    </row>
    <row r="27" spans="4:4" x14ac:dyDescent="0.25">
      <c r="D27" s="4">
        <f t="shared" ca="1" si="0"/>
        <v>0</v>
      </c>
    </row>
    <row r="28" spans="4:4" x14ac:dyDescent="0.25">
      <c r="D28" s="4">
        <f t="shared" ca="1" si="0"/>
        <v>0</v>
      </c>
    </row>
    <row r="29" spans="4:4" x14ac:dyDescent="0.25">
      <c r="D29" s="4">
        <f t="shared" ca="1" si="0"/>
        <v>0</v>
      </c>
    </row>
    <row r="30" spans="4:4" x14ac:dyDescent="0.25">
      <c r="D30" s="4">
        <f t="shared" ca="1" si="0"/>
        <v>0</v>
      </c>
    </row>
    <row r="31" spans="4:4" x14ac:dyDescent="0.25">
      <c r="D31" s="4">
        <f t="shared" ca="1" si="0"/>
        <v>0</v>
      </c>
    </row>
    <row r="32" spans="4:4" x14ac:dyDescent="0.25">
      <c r="D32" s="4">
        <f t="shared" ca="1" si="0"/>
        <v>0</v>
      </c>
    </row>
    <row r="33" spans="4:4" x14ac:dyDescent="0.25">
      <c r="D33" s="4">
        <f t="shared" ca="1" si="0"/>
        <v>0</v>
      </c>
    </row>
    <row r="34" spans="4:4" x14ac:dyDescent="0.25">
      <c r="D34" s="4">
        <f t="shared" ca="1" si="0"/>
        <v>0</v>
      </c>
    </row>
    <row r="35" spans="4:4" x14ac:dyDescent="0.25">
      <c r="D35" s="4">
        <f t="shared" ca="1" si="0"/>
        <v>0</v>
      </c>
    </row>
    <row r="36" spans="4:4" x14ac:dyDescent="0.25">
      <c r="D36" s="4">
        <f t="shared" ca="1" si="0"/>
        <v>0</v>
      </c>
    </row>
    <row r="37" spans="4:4" x14ac:dyDescent="0.25">
      <c r="D37" s="4">
        <f t="shared" ca="1" si="0"/>
        <v>0</v>
      </c>
    </row>
  </sheetData>
  <pageMargins left="0.7" right="0.7" top="0.75" bottom="0.75" header="0.3" footer="0.3"/>
  <pageSetup orientation="portrait" r:id="rId3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2">
    <tabColor rgb="FF92D050"/>
  </sheetPr>
  <dimension ref="A1:G9"/>
  <sheetViews>
    <sheetView workbookViewId="0"/>
  </sheetViews>
  <sheetFormatPr defaultColWidth="8.85546875" defaultRowHeight="15" x14ac:dyDescent="0.25"/>
  <cols>
    <col min="1" max="1" width="19.140625" bestFit="1" customWidth="1"/>
    <col min="2" max="2" width="25.85546875" bestFit="1" customWidth="1"/>
    <col min="4" max="4" width="31.7109375" bestFit="1" customWidth="1"/>
    <col min="5" max="5" width="16.28515625" bestFit="1" customWidth="1"/>
    <col min="6" max="6" width="7.28515625" bestFit="1" customWidth="1"/>
    <col min="7" max="7" width="11.28515625" bestFit="1" customWidth="1"/>
  </cols>
  <sheetData>
    <row r="1" spans="1:7" x14ac:dyDescent="0.25">
      <c r="D1" s="1" t="s">
        <v>284</v>
      </c>
      <c r="E1" t="s">
        <v>16</v>
      </c>
    </row>
    <row r="3" spans="1:7" x14ac:dyDescent="0.25">
      <c r="A3" s="1" t="s">
        <v>21</v>
      </c>
      <c r="B3" t="s">
        <v>23</v>
      </c>
      <c r="D3" s="1" t="s">
        <v>23</v>
      </c>
      <c r="E3" s="1" t="s">
        <v>24</v>
      </c>
    </row>
    <row r="4" spans="1:7" x14ac:dyDescent="0.25">
      <c r="A4" s="2" t="s">
        <v>248</v>
      </c>
      <c r="B4" s="3">
        <v>6.2327806135087363E-3</v>
      </c>
      <c r="D4" s="1" t="s">
        <v>21</v>
      </c>
      <c r="E4" t="s">
        <v>13</v>
      </c>
      <c r="F4" t="s">
        <v>293</v>
      </c>
      <c r="G4" t="s">
        <v>22</v>
      </c>
    </row>
    <row r="5" spans="1:7" x14ac:dyDescent="0.25">
      <c r="A5" s="2" t="s">
        <v>293</v>
      </c>
      <c r="B5" s="3">
        <v>0</v>
      </c>
      <c r="D5" s="2" t="s">
        <v>391</v>
      </c>
      <c r="E5" s="3">
        <v>0.37814517767399297</v>
      </c>
      <c r="F5" s="3">
        <v>0</v>
      </c>
      <c r="G5" s="3">
        <v>0.37814517767399297</v>
      </c>
    </row>
    <row r="6" spans="1:7" x14ac:dyDescent="0.25">
      <c r="A6" s="2" t="s">
        <v>16</v>
      </c>
      <c r="B6" s="3">
        <v>0.39040147056465624</v>
      </c>
      <c r="D6" s="2" t="s">
        <v>390</v>
      </c>
      <c r="E6" s="3">
        <v>0</v>
      </c>
      <c r="F6" s="3">
        <v>0.62185482232600697</v>
      </c>
      <c r="G6" s="3">
        <v>0.62185482232600697</v>
      </c>
    </row>
    <row r="7" spans="1:7" x14ac:dyDescent="0.25">
      <c r="A7" s="2" t="s">
        <v>428</v>
      </c>
      <c r="B7" s="3">
        <v>0.25290557583393941</v>
      </c>
      <c r="D7" s="2" t="s">
        <v>22</v>
      </c>
      <c r="E7" s="3">
        <v>0.37814517767399297</v>
      </c>
      <c r="F7" s="3">
        <v>0.62185482232600697</v>
      </c>
      <c r="G7" s="3">
        <v>1</v>
      </c>
    </row>
    <row r="8" spans="1:7" x14ac:dyDescent="0.25">
      <c r="A8" s="2" t="s">
        <v>421</v>
      </c>
      <c r="B8" s="3">
        <v>0.35046017298789561</v>
      </c>
    </row>
    <row r="9" spans="1:7" x14ac:dyDescent="0.25">
      <c r="A9" s="2" t="s">
        <v>22</v>
      </c>
      <c r="B9" s="3">
        <v>1</v>
      </c>
    </row>
  </sheetData>
  <pageMargins left="0.7" right="0.7" top="0.75" bottom="0.75" header="0.3" footer="0.3"/>
  <pageSetup orientation="portrait" r:id="rId3"/>
  <legacyDrawing r:id="rId4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>
    <tabColor rgb="FF92D050"/>
  </sheetPr>
  <dimension ref="A1:J48"/>
  <sheetViews>
    <sheetView workbookViewId="0"/>
  </sheetViews>
  <sheetFormatPr defaultColWidth="9.28515625" defaultRowHeight="15" x14ac:dyDescent="0.25"/>
  <cols>
    <col min="1" max="1" width="35.28515625" bestFit="1" customWidth="1"/>
    <col min="2" max="2" width="15.42578125" bestFit="1" customWidth="1"/>
    <col min="3" max="3" width="18.42578125" style="375" bestFit="1" customWidth="1"/>
    <col min="4" max="4" width="15.28515625" style="375" bestFit="1" customWidth="1"/>
    <col min="7" max="8" width="31.7109375" bestFit="1" customWidth="1"/>
    <col min="9" max="9" width="25.85546875" bestFit="1" customWidth="1"/>
    <col min="10" max="10" width="15.28515625" style="561" bestFit="1" customWidth="1"/>
  </cols>
  <sheetData>
    <row r="1" spans="1:10" x14ac:dyDescent="0.25">
      <c r="A1" s="261" t="s">
        <v>68</v>
      </c>
    </row>
    <row r="2" spans="1:10" x14ac:dyDescent="0.25">
      <c r="C2" s="375" t="s">
        <v>489</v>
      </c>
      <c r="D2" s="375" t="s">
        <v>490</v>
      </c>
      <c r="I2" s="471" t="s">
        <v>449</v>
      </c>
      <c r="J2" s="561">
        <f>SUMIF('TB Tagging'!$C$41:$C$1048576,I2,'TB Tagging'!$B$41:$B$1048576)</f>
        <v>96002.5</v>
      </c>
    </row>
    <row r="3" spans="1:10" x14ac:dyDescent="0.25">
      <c r="A3" t="s">
        <v>274</v>
      </c>
      <c r="B3" s="388">
        <f ca="1">+'Schedule 3b'!F5+'Schedule 3c'!F5+'Schedule 3b'!G2+'Schedule 3b'!L2</f>
        <v>304483893.17999989</v>
      </c>
      <c r="I3" t="s">
        <v>388</v>
      </c>
      <c r="J3" s="561">
        <f>SUMIF('TB Tagging'!$C$41:$C$1048576,I3,'TB Tagging'!$B$41:$B$1048576)</f>
        <v>1884205.66</v>
      </c>
    </row>
    <row r="4" spans="1:10" x14ac:dyDescent="0.25">
      <c r="A4" t="s">
        <v>275</v>
      </c>
      <c r="B4" s="388">
        <f ca="1">'TB Tagging'!B40</f>
        <v>304483893.18000013</v>
      </c>
      <c r="I4" s="5" t="s">
        <v>387</v>
      </c>
      <c r="J4" s="561">
        <f>SUMIF('TB Tagging'!$C$41:$C$1048576,I4,'TB Tagging'!$B$41:$B$1048576)</f>
        <v>9888611.6099999994</v>
      </c>
    </row>
    <row r="5" spans="1:10" x14ac:dyDescent="0.25">
      <c r="A5" s="263" t="s">
        <v>68</v>
      </c>
      <c r="B5" s="264">
        <f ca="1">+B4-B3</f>
        <v>0</v>
      </c>
      <c r="C5" s="264"/>
      <c r="D5" s="264"/>
      <c r="I5" s="5" t="s">
        <v>31</v>
      </c>
      <c r="J5" s="561">
        <f>SUMIF('TB Tagging'!$C$41:$C$1048576,I5,'TB Tagging'!$B$41:$B$1048576)</f>
        <v>15382326.65</v>
      </c>
    </row>
    <row r="6" spans="1:10" x14ac:dyDescent="0.25">
      <c r="B6" s="262"/>
      <c r="I6" s="399" t="s">
        <v>430</v>
      </c>
      <c r="J6" s="561">
        <f>SUMIF('TB Tagging'!$C$41:$C$1048576,I6,'TB Tagging'!$B$41:$B$1048576)</f>
        <v>0</v>
      </c>
    </row>
    <row r="7" spans="1:10" x14ac:dyDescent="0.25">
      <c r="A7" t="s">
        <v>276</v>
      </c>
      <c r="B7" s="388">
        <f ca="1">+'Schedule 3b'!J5+'Schedule 3c'!J5</f>
        <v>45417277.376099363</v>
      </c>
      <c r="C7" s="262">
        <f ca="1">+'Schedule 3b'!J5</f>
        <v>29638150.596918046</v>
      </c>
      <c r="D7" s="375">
        <f ca="1">+'Schedule 3c'!J5</f>
        <v>15779126.779181318</v>
      </c>
      <c r="I7" s="399" t="s">
        <v>431</v>
      </c>
      <c r="J7" s="561">
        <f>SUMIF('TB Tagging'!$C$41:$C$1048576,I7,'TB Tagging'!$B$41:$B$1048576)</f>
        <v>0</v>
      </c>
    </row>
    <row r="8" spans="1:10" x14ac:dyDescent="0.25">
      <c r="A8" t="s">
        <v>277</v>
      </c>
      <c r="B8" s="388">
        <f ca="1">+'Schedule 4b'!H20+'Schedule 4c'!H20</f>
        <v>45417277.376099378</v>
      </c>
      <c r="C8" s="262">
        <f ca="1">+'Schedule 4b'!H20</f>
        <v>29638150.596918054</v>
      </c>
      <c r="D8" s="375">
        <f ca="1">+'Schedule 4c'!H20</f>
        <v>15779126.779181322</v>
      </c>
      <c r="I8" s="399" t="s">
        <v>432</v>
      </c>
      <c r="J8" s="561">
        <f>SUMIF('TB Tagging'!$C$41:$C$1048576,I8,'TB Tagging'!$B$41:$B$1048576)</f>
        <v>0</v>
      </c>
    </row>
    <row r="9" spans="1:10" x14ac:dyDescent="0.25">
      <c r="A9" s="263" t="s">
        <v>68</v>
      </c>
      <c r="B9" s="264">
        <f ca="1">+B8-B7</f>
        <v>0</v>
      </c>
      <c r="C9" s="264">
        <f t="shared" ref="C9:D9" ca="1" si="0">+C8-C7</f>
        <v>0</v>
      </c>
      <c r="D9" s="264">
        <f t="shared" ca="1" si="0"/>
        <v>0</v>
      </c>
      <c r="I9" t="s">
        <v>287</v>
      </c>
      <c r="J9" s="561">
        <f>SUMIF('TB Tagging'!$C$41:$C$1048576,I9,'TB Tagging'!$B$41:$B$1048576)</f>
        <v>0</v>
      </c>
    </row>
    <row r="10" spans="1:10" x14ac:dyDescent="0.25">
      <c r="B10" s="262"/>
      <c r="I10" s="399" t="s">
        <v>441</v>
      </c>
      <c r="J10" s="561">
        <f>SUMIF('TB Tagging'!$C$41:$C$1048576,I10,'TB Tagging'!$B$41:$B$1048576)</f>
        <v>1251409.6100000001</v>
      </c>
    </row>
    <row r="11" spans="1:10" x14ac:dyDescent="0.25">
      <c r="A11" t="s">
        <v>278</v>
      </c>
      <c r="B11" s="262">
        <f ca="1">+'Schedule 3b'!J5+'Schedule 3c'!J5</f>
        <v>45417277.376099363</v>
      </c>
      <c r="C11" s="375">
        <f ca="1">+'Schedule 3b'!J5</f>
        <v>29638150.596918046</v>
      </c>
      <c r="D11" s="375">
        <f ca="1">+'Schedule 3c'!J5</f>
        <v>15779126.779181318</v>
      </c>
      <c r="I11" s="399" t="s">
        <v>438</v>
      </c>
      <c r="J11" s="561">
        <f>SUMIF('TB Tagging'!$C$41:$C$1048576,I11,'TB Tagging'!$B$41:$B$1048576)</f>
        <v>281208.65000000002</v>
      </c>
    </row>
    <row r="12" spans="1:10" x14ac:dyDescent="0.25">
      <c r="A12" t="s">
        <v>279</v>
      </c>
      <c r="B12" s="262">
        <f ca="1">+'Schedule 4b'!H20+'Schedule 4c'!H20</f>
        <v>45417277.376099378</v>
      </c>
      <c r="C12" s="375">
        <f ca="1">+'Schedule 4b'!H20</f>
        <v>29638150.596918054</v>
      </c>
      <c r="D12" s="375">
        <f ca="1">+'Schedule 4c'!H20</f>
        <v>15779126.779181322</v>
      </c>
      <c r="I12" s="399" t="s">
        <v>439</v>
      </c>
      <c r="J12" s="561">
        <f>SUMIF('TB Tagging'!$C$41:$C$1048576,I12,'TB Tagging'!$B$41:$B$1048576)</f>
        <v>25283569.300000001</v>
      </c>
    </row>
    <row r="13" spans="1:10" x14ac:dyDescent="0.25">
      <c r="A13" s="263" t="s">
        <v>68</v>
      </c>
      <c r="B13" s="264">
        <f ca="1">+B12-B11</f>
        <v>0</v>
      </c>
      <c r="C13" s="264">
        <f t="shared" ref="C13:D13" ca="1" si="1">+C12-C11</f>
        <v>0</v>
      </c>
      <c r="D13" s="264">
        <f t="shared" ca="1" si="1"/>
        <v>0</v>
      </c>
      <c r="I13" s="399" t="s">
        <v>440</v>
      </c>
      <c r="J13" s="561">
        <f>SUMIF('TB Tagging'!$C$41:$C$1048576,I13,'TB Tagging'!$B$41:$B$1048576)</f>
        <v>244627921.69</v>
      </c>
    </row>
    <row r="14" spans="1:10" x14ac:dyDescent="0.25">
      <c r="B14" s="262"/>
      <c r="I14" s="5" t="s">
        <v>32</v>
      </c>
      <c r="J14" s="561">
        <f>SUMIF('TB Tagging'!$C$41:$C$1048576,I14,'TB Tagging'!$B$41:$B$1048576)</f>
        <v>4879619.2</v>
      </c>
    </row>
    <row r="15" spans="1:10" x14ac:dyDescent="0.25">
      <c r="A15" t="str">
        <f>+A4</f>
        <v>Total expenses after bad debt</v>
      </c>
      <c r="B15" s="262">
        <f ca="1">+B4</f>
        <v>304483893.18000013</v>
      </c>
      <c r="I15" s="5" t="s">
        <v>33</v>
      </c>
      <c r="J15" s="561">
        <f>SUMIF('TB Tagging'!$C$41:$C$1048576,I15,'TB Tagging'!$B$41:$B$1048576)</f>
        <v>0</v>
      </c>
    </row>
    <row r="16" spans="1:10" x14ac:dyDescent="0.25">
      <c r="A16" t="s">
        <v>280</v>
      </c>
      <c r="B16" s="265">
        <f>+'Schedule 19 b'!C22++'Schedule 19 c'!C22</f>
        <v>300012410.63999999</v>
      </c>
      <c r="I16" s="5" t="s">
        <v>60</v>
      </c>
      <c r="J16" s="561">
        <f>SUMIF('TB Tagging'!$C$41:$C$1048576,I16,'TB Tagging'!$B$41:$B$1048576)</f>
        <v>838767.31</v>
      </c>
    </row>
    <row r="17" spans="1:10" x14ac:dyDescent="0.25">
      <c r="A17" t="s">
        <v>281</v>
      </c>
      <c r="B17" s="262">
        <f>+'Schedule 19 b'!C36+'Schedule 19 c'!C36</f>
        <v>11974182.33</v>
      </c>
      <c r="I17" s="5" t="s">
        <v>59</v>
      </c>
      <c r="J17" s="561">
        <f>SUMIF('TB Tagging'!$C$41:$C$1048576,I17,'TB Tagging'!$B$41:$B$1048576)</f>
        <v>70251</v>
      </c>
    </row>
    <row r="18" spans="1:10" x14ac:dyDescent="0.25">
      <c r="A18" s="263" t="s">
        <v>68</v>
      </c>
      <c r="B18" s="264">
        <f ca="1">+B15-B16-B17</f>
        <v>-7502699.7899998594</v>
      </c>
      <c r="C18" s="699" t="s">
        <v>1150</v>
      </c>
      <c r="D18" s="375">
        <f>'TB Tagging'!B136</f>
        <v>-275662</v>
      </c>
      <c r="I18" s="5" t="s">
        <v>58</v>
      </c>
      <c r="J18" s="561">
        <f>SUMIF('TB Tagging'!$C$41:$C$1048576,I18,'TB Tagging'!$B$41:$B$1048576)</f>
        <v>0</v>
      </c>
    </row>
    <row r="19" spans="1:10" x14ac:dyDescent="0.25">
      <c r="C19" s="699" t="s">
        <v>1214</v>
      </c>
      <c r="D19" s="375">
        <f>-TB!E165</f>
        <v>-7227037.79</v>
      </c>
      <c r="I19" s="5" t="s">
        <v>446</v>
      </c>
      <c r="J19" s="561">
        <f>SUMIF('TB Tagging'!$C$41:$C$1048576,I19,'TB Tagging'!$B$41:$B$1048576)</f>
        <v>565770.84</v>
      </c>
    </row>
    <row r="20" spans="1:10" x14ac:dyDescent="0.25">
      <c r="A20" t="s">
        <v>282</v>
      </c>
      <c r="B20" s="4">
        <f ca="1">SUM('Schedule 11c'!Q15:U15,'Schedule 11b'!Q18:U18)</f>
        <v>275627114.07456744</v>
      </c>
      <c r="D20" s="375">
        <f ca="1">+D19+D18-B18</f>
        <v>-1.4062970876693726E-7</v>
      </c>
      <c r="I20" s="5" t="s">
        <v>16</v>
      </c>
      <c r="J20" s="561">
        <f>SUMIF('TB Tagging'!$C$41:$C$1048576,I20,'TB Tagging'!$B$41:$B$1048576)</f>
        <v>0</v>
      </c>
    </row>
    <row r="21" spans="1:10" x14ac:dyDescent="0.25">
      <c r="B21" s="276">
        <f ca="1">+B20-'Payroll Reports Input'!AI23</f>
        <v>0</v>
      </c>
      <c r="J21" s="561">
        <f>SUM(J2:J20)</f>
        <v>305049664.01999998</v>
      </c>
    </row>
    <row r="22" spans="1:10" x14ac:dyDescent="0.25">
      <c r="J22" s="561">
        <f>J21-J19</f>
        <v>304483893.18000001</v>
      </c>
    </row>
    <row r="23" spans="1:10" x14ac:dyDescent="0.25">
      <c r="A23" s="915" t="s">
        <v>446</v>
      </c>
      <c r="B23" s="915"/>
      <c r="C23" s="915"/>
    </row>
    <row r="24" spans="1:10" x14ac:dyDescent="0.25">
      <c r="A24" s="981">
        <f>SUMIF('TB Tagging'!C:C,'hide this'!V18,'TB Tagging'!B:B)</f>
        <v>565770.84</v>
      </c>
      <c r="B24" s="981"/>
      <c r="C24" s="981"/>
    </row>
    <row r="25" spans="1:10" x14ac:dyDescent="0.25">
      <c r="A25" s="981"/>
      <c r="B25" s="981"/>
      <c r="C25" s="981"/>
    </row>
    <row r="26" spans="1:10" x14ac:dyDescent="0.25">
      <c r="A26" s="981"/>
      <c r="B26" s="981"/>
      <c r="C26" s="981"/>
    </row>
    <row r="30" spans="1:10" x14ac:dyDescent="0.25">
      <c r="A30" s="527"/>
      <c r="B30" s="527" t="s">
        <v>520</v>
      </c>
      <c r="C30" s="632" t="s">
        <v>521</v>
      </c>
      <c r="D30" s="632" t="s">
        <v>522</v>
      </c>
      <c r="E30" s="694" t="s">
        <v>531</v>
      </c>
      <c r="F30" s="527" t="s">
        <v>541</v>
      </c>
      <c r="H30" s="1" t="s">
        <v>21</v>
      </c>
      <c r="I30" t="s">
        <v>23</v>
      </c>
    </row>
    <row r="31" spans="1:10" x14ac:dyDescent="0.25">
      <c r="A31" s="527" t="s">
        <v>34</v>
      </c>
      <c r="B31" s="633">
        <f ca="1">SUM('Schedule 3b'!I6)</f>
        <v>89846.458621289596</v>
      </c>
      <c r="C31" s="632">
        <f>IFERROR(VLOOKUP(A31,$H$30:$I$53,2,0),0)</f>
        <v>2873</v>
      </c>
      <c r="D31" s="632">
        <f ca="1">IFERROR(B31/C31,0)</f>
        <v>31.272697048830349</v>
      </c>
      <c r="E31" s="694"/>
      <c r="F31" s="695">
        <f ca="1">D31-E31</f>
        <v>31.272697048830349</v>
      </c>
      <c r="H31" s="2" t="s">
        <v>18</v>
      </c>
      <c r="I31">
        <v>3771112.75</v>
      </c>
    </row>
    <row r="32" spans="1:10" x14ac:dyDescent="0.25">
      <c r="A32" s="527" t="s">
        <v>35</v>
      </c>
      <c r="B32" s="633">
        <f ca="1">SUM('Schedule 3b'!I7)</f>
        <v>77268751.868083835</v>
      </c>
      <c r="C32" s="632">
        <f t="shared" ref="C32:C46" si="2">IFERROR(VLOOKUP(A32,$H$30:$I$53,2,0),0)</f>
        <v>2470805.5</v>
      </c>
      <c r="D32" s="632">
        <f t="shared" ref="D32:D38" ca="1" si="3">IFERROR(B32/C32,0)</f>
        <v>31.272697048830366</v>
      </c>
      <c r="E32" s="694"/>
      <c r="F32" s="695">
        <f t="shared" ref="F32:F46" ca="1" si="4">D32-E32</f>
        <v>31.272697048830366</v>
      </c>
      <c r="H32" s="2" t="s">
        <v>42</v>
      </c>
      <c r="I32">
        <v>5184.75</v>
      </c>
    </row>
    <row r="33" spans="1:9" x14ac:dyDescent="0.25">
      <c r="A33" s="527" t="s">
        <v>36</v>
      </c>
      <c r="B33" s="633">
        <f ca="1">SUM('Schedule 3b'!I8)</f>
        <v>55383.946473478558</v>
      </c>
      <c r="C33" s="632">
        <f t="shared" si="2"/>
        <v>1771</v>
      </c>
      <c r="D33" s="632">
        <f t="shared" ca="1" si="3"/>
        <v>31.272697048830356</v>
      </c>
      <c r="E33" s="694"/>
      <c r="F33" s="695">
        <f t="shared" ca="1" si="4"/>
        <v>31.272697048830356</v>
      </c>
      <c r="H33" s="2" t="s">
        <v>43</v>
      </c>
      <c r="I33">
        <v>49127</v>
      </c>
    </row>
    <row r="34" spans="1:9" x14ac:dyDescent="0.25">
      <c r="A34" s="527" t="s">
        <v>37</v>
      </c>
      <c r="B34" s="633">
        <f ca="1">SUM('Schedule 3b'!I9)</f>
        <v>8293112.7122881766</v>
      </c>
      <c r="C34" s="632">
        <f t="shared" si="2"/>
        <v>265187</v>
      </c>
      <c r="D34" s="632">
        <f t="shared" ca="1" si="3"/>
        <v>31.272697048830359</v>
      </c>
      <c r="E34" s="694"/>
      <c r="F34" s="695">
        <f t="shared" ca="1" si="4"/>
        <v>31.272697048830359</v>
      </c>
      <c r="H34" s="2" t="s">
        <v>44</v>
      </c>
      <c r="I34">
        <v>62094.5</v>
      </c>
    </row>
    <row r="35" spans="1:9" x14ac:dyDescent="0.25">
      <c r="A35" s="527" t="s">
        <v>38</v>
      </c>
      <c r="B35" s="633">
        <f ca="1">SUM('Schedule 3b'!I10)</f>
        <v>129558.65561327609</v>
      </c>
      <c r="C35" s="632">
        <f t="shared" si="2"/>
        <v>1209</v>
      </c>
      <c r="D35" s="632">
        <f t="shared" ca="1" si="3"/>
        <v>107.16183259989751</v>
      </c>
      <c r="E35" s="694"/>
      <c r="F35" s="695">
        <f t="shared" ca="1" si="4"/>
        <v>107.16183259989751</v>
      </c>
      <c r="H35" s="2" t="s">
        <v>45</v>
      </c>
      <c r="I35">
        <v>3131.75</v>
      </c>
    </row>
    <row r="36" spans="1:9" x14ac:dyDescent="0.25">
      <c r="A36" s="527" t="s">
        <v>39</v>
      </c>
      <c r="B36" s="633">
        <f ca="1">SUM('Schedule 3b'!I11)</f>
        <v>134013.73039735889</v>
      </c>
      <c r="C36" s="632">
        <f t="shared" si="2"/>
        <v>5108</v>
      </c>
      <c r="D36" s="632">
        <f t="shared" ca="1" si="3"/>
        <v>26.236047454455537</v>
      </c>
      <c r="E36" s="694"/>
      <c r="F36" s="695">
        <f t="shared" ca="1" si="4"/>
        <v>26.236047454455537</v>
      </c>
      <c r="H36" s="2" t="s">
        <v>46</v>
      </c>
      <c r="I36">
        <v>13</v>
      </c>
    </row>
    <row r="37" spans="1:9" x14ac:dyDescent="0.25">
      <c r="A37" s="527" t="s">
        <v>40</v>
      </c>
      <c r="B37" s="633">
        <f ca="1">SUM('Schedule 3b'!I12)</f>
        <v>0</v>
      </c>
      <c r="C37" s="632">
        <f t="shared" si="2"/>
        <v>0</v>
      </c>
      <c r="D37" s="632">
        <f t="shared" ca="1" si="3"/>
        <v>0</v>
      </c>
      <c r="E37" s="694"/>
      <c r="F37" s="695">
        <f t="shared" ca="1" si="4"/>
        <v>0</v>
      </c>
      <c r="H37" s="2" t="s">
        <v>374</v>
      </c>
      <c r="I37">
        <v>69193.75</v>
      </c>
    </row>
    <row r="38" spans="1:9" x14ac:dyDescent="0.25">
      <c r="A38" s="527" t="s">
        <v>41</v>
      </c>
      <c r="B38" s="633">
        <f ca="1">SUM('Schedule 3b'!I13)</f>
        <v>1898237.0745154785</v>
      </c>
      <c r="C38" s="632">
        <f t="shared" si="2"/>
        <v>60699.5</v>
      </c>
      <c r="D38" s="632">
        <f t="shared" ca="1" si="3"/>
        <v>31.272697048830359</v>
      </c>
      <c r="E38" s="694"/>
      <c r="F38" s="695">
        <f t="shared" ca="1" si="4"/>
        <v>31.272697048830359</v>
      </c>
      <c r="H38" s="2" t="s">
        <v>37</v>
      </c>
      <c r="I38">
        <v>265187</v>
      </c>
    </row>
    <row r="39" spans="1:9" x14ac:dyDescent="0.25">
      <c r="C39" s="632"/>
      <c r="F39" s="695"/>
      <c r="H39" s="2" t="s">
        <v>39</v>
      </c>
      <c r="I39">
        <v>5108</v>
      </c>
    </row>
    <row r="40" spans="1:9" x14ac:dyDescent="0.25">
      <c r="A40" s="527"/>
      <c r="B40" s="527" t="s">
        <v>530</v>
      </c>
      <c r="C40" s="632" t="s">
        <v>521</v>
      </c>
      <c r="D40" s="632" t="s">
        <v>522</v>
      </c>
      <c r="E40" s="694" t="s">
        <v>531</v>
      </c>
      <c r="F40" s="527" t="s">
        <v>541</v>
      </c>
      <c r="H40" s="2" t="s">
        <v>38</v>
      </c>
      <c r="I40">
        <v>1209</v>
      </c>
    </row>
    <row r="41" spans="1:9" x14ac:dyDescent="0.25">
      <c r="A41" s="634" t="s">
        <v>18</v>
      </c>
      <c r="B41" s="633">
        <f ca="1">SUM('Schedule 3c'!I6)</f>
        <v>77303447.93968603</v>
      </c>
      <c r="C41" s="632">
        <f t="shared" si="2"/>
        <v>3771112.75</v>
      </c>
      <c r="D41" s="632">
        <f t="shared" ref="D41:D45" ca="1" si="5">IFERROR(B41/C41,0)</f>
        <v>20.498842931621716</v>
      </c>
      <c r="E41" s="694"/>
      <c r="F41" s="695">
        <f t="shared" ca="1" si="4"/>
        <v>20.498842931621716</v>
      </c>
      <c r="H41" s="2" t="s">
        <v>390</v>
      </c>
      <c r="I41">
        <v>2695165.75</v>
      </c>
    </row>
    <row r="42" spans="1:9" x14ac:dyDescent="0.25">
      <c r="A42" s="635" t="s">
        <v>42</v>
      </c>
      <c r="B42" s="633">
        <f ca="1">SUM('Schedule 3c'!I7)</f>
        <v>106281.37588972569</v>
      </c>
      <c r="C42" s="632">
        <f t="shared" si="2"/>
        <v>5184.75</v>
      </c>
      <c r="D42" s="632">
        <f t="shared" ca="1" si="5"/>
        <v>20.498842931621716</v>
      </c>
      <c r="E42" s="694"/>
      <c r="F42" s="695">
        <f t="shared" ca="1" si="4"/>
        <v>20.498842931621716</v>
      </c>
      <c r="H42" s="2" t="s">
        <v>34</v>
      </c>
      <c r="I42">
        <v>2873</v>
      </c>
    </row>
    <row r="43" spans="1:9" x14ac:dyDescent="0.25">
      <c r="A43" s="634" t="s">
        <v>43</v>
      </c>
      <c r="B43" s="633">
        <f ca="1">SUM('Schedule 3c'!I8)</f>
        <v>1007046.65670178</v>
      </c>
      <c r="C43" s="632">
        <f t="shared" si="2"/>
        <v>49127</v>
      </c>
      <c r="D43" s="632">
        <f t="shared" ca="1" si="5"/>
        <v>20.498842931621716</v>
      </c>
      <c r="E43" s="694"/>
      <c r="F43" s="695">
        <f t="shared" ca="1" si="4"/>
        <v>20.498842931621716</v>
      </c>
      <c r="H43" s="2" t="s">
        <v>35</v>
      </c>
      <c r="I43">
        <v>2470805.5</v>
      </c>
    </row>
    <row r="44" spans="1:9" x14ac:dyDescent="0.25">
      <c r="A44" s="634" t="s">
        <v>44</v>
      </c>
      <c r="B44" s="633">
        <f ca="1">SUM('Schedule 3c'!I9)</f>
        <v>1272865.4024175846</v>
      </c>
      <c r="C44" s="632">
        <f t="shared" si="2"/>
        <v>62094.5</v>
      </c>
      <c r="D44" s="632">
        <f t="shared" ca="1" si="5"/>
        <v>20.498842931621713</v>
      </c>
      <c r="E44" s="694"/>
      <c r="F44" s="695">
        <f t="shared" ca="1" si="4"/>
        <v>20.498842931621713</v>
      </c>
      <c r="H44" s="2" t="s">
        <v>36</v>
      </c>
      <c r="I44">
        <v>1771</v>
      </c>
    </row>
    <row r="45" spans="1:9" x14ac:dyDescent="0.25">
      <c r="A45" s="635" t="s">
        <v>45</v>
      </c>
      <c r="B45" s="633">
        <f ca="1">SUM('Schedule 3c'!I10)</f>
        <v>64197.251351106301</v>
      </c>
      <c r="C45" s="632">
        <f t="shared" si="2"/>
        <v>3131.75</v>
      </c>
      <c r="D45" s="632">
        <f t="shared" ca="1" si="5"/>
        <v>20.498842931621713</v>
      </c>
      <c r="E45" s="694"/>
      <c r="F45" s="695">
        <f t="shared" ca="1" si="4"/>
        <v>20.498842931621713</v>
      </c>
      <c r="H45" s="2" t="s">
        <v>41</v>
      </c>
      <c r="I45">
        <v>60699.5</v>
      </c>
    </row>
    <row r="46" spans="1:9" x14ac:dyDescent="0.25">
      <c r="A46" s="635" t="s">
        <v>46</v>
      </c>
      <c r="B46" s="633">
        <f ca="1">SUM('Schedule 3c'!I11)</f>
        <v>266.48495811108228</v>
      </c>
      <c r="C46" s="632">
        <f t="shared" si="2"/>
        <v>13</v>
      </c>
      <c r="D46" s="632">
        <f ca="1">B46/C46*13</f>
        <v>266.48495811108228</v>
      </c>
      <c r="E46" s="694"/>
      <c r="F46" s="695">
        <f t="shared" ca="1" si="4"/>
        <v>266.48495811108228</v>
      </c>
      <c r="H46" s="2" t="s">
        <v>391</v>
      </c>
      <c r="I46">
        <v>1638909.75</v>
      </c>
    </row>
    <row r="47" spans="1:9" x14ac:dyDescent="0.25">
      <c r="H47" s="2" t="s">
        <v>293</v>
      </c>
    </row>
    <row r="48" spans="1:9" x14ac:dyDescent="0.25">
      <c r="H48" s="2" t="s">
        <v>22</v>
      </c>
      <c r="I48">
        <v>11101586</v>
      </c>
    </row>
  </sheetData>
  <mergeCells count="2">
    <mergeCell ref="A23:C23"/>
    <mergeCell ref="A24:C26"/>
  </mergeCells>
  <conditionalFormatting sqref="A24:C26">
    <cfRule type="cellIs" dxfId="445" priority="1" operator="greaterThan">
      <formula>0</formula>
    </cfRule>
  </conditionalFormatting>
  <dataValidations disablePrompts="1" count="1">
    <dataValidation type="list" allowBlank="1" showInputMessage="1" showErrorMessage="1" sqref="I9 I3" xr:uid="{7E19767E-2532-4942-997E-C8CA81409995}">
      <formula1>#REF!</formula1>
    </dataValidation>
  </dataValidation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Pages>0</Pages>
  <Words>0</Words>
  <Characters>0</Characters>
  <Application>Microsoft Excel</Application>
  <DocSecurity>0</DocSecurity>
  <Lines>0</Lines>
  <Paragraphs>0</Paragraphs>
  <Slides>0</Slides>
  <Notes>0</Notes>
  <HiddenSlides>0</HiddenSlides>
  <MMClips>0</MMClips>
  <ScaleCrop>false</ScaleCrop>
  <HeadingPairs>
    <vt:vector size="4" baseType="variant">
      <vt:variant>
        <vt:lpstr>Worksheets</vt:lpstr>
      </vt:variant>
      <vt:variant>
        <vt:i4>34</vt:i4>
      </vt:variant>
      <vt:variant>
        <vt:lpstr>Named Ranges</vt:lpstr>
      </vt:variant>
      <vt:variant>
        <vt:i4>10</vt:i4>
      </vt:variant>
    </vt:vector>
  </HeadingPairs>
  <TitlesOfParts>
    <vt:vector size="44" baseType="lpstr">
      <vt:lpstr>Detail Data 5 Tagging</vt:lpstr>
      <vt:lpstr>County allocation</vt:lpstr>
      <vt:lpstr>HHA-CDPAP</vt:lpstr>
      <vt:lpstr>TB</vt:lpstr>
      <vt:lpstr>TB Tagging</vt:lpstr>
      <vt:lpstr>Payroll Reports Input</vt:lpstr>
      <vt:lpstr>hide this</vt:lpstr>
      <vt:lpstr>Schedule 3b</vt:lpstr>
      <vt:lpstr>Schedule 3c</vt:lpstr>
      <vt:lpstr>Schedule 4b</vt:lpstr>
      <vt:lpstr>Schedule 4c</vt:lpstr>
      <vt:lpstr>schedule 5b</vt:lpstr>
      <vt:lpstr>schedule 5c</vt:lpstr>
      <vt:lpstr>Schedule 8b</vt:lpstr>
      <vt:lpstr>Schedule 8c</vt:lpstr>
      <vt:lpstr>Detail Data 10</vt:lpstr>
      <vt:lpstr>Sch 10B</vt:lpstr>
      <vt:lpstr>Sch 10C</vt:lpstr>
      <vt:lpstr>Schedule 11b</vt:lpstr>
      <vt:lpstr>Schedule 11c</vt:lpstr>
      <vt:lpstr>Schedule 12b</vt:lpstr>
      <vt:lpstr>Schedule 12c</vt:lpstr>
      <vt:lpstr>Schedule 17</vt:lpstr>
      <vt:lpstr>Schedule 18</vt:lpstr>
      <vt:lpstr>Schedule 19</vt:lpstr>
      <vt:lpstr>Schedule 17 b</vt:lpstr>
      <vt:lpstr>schedule 17 c</vt:lpstr>
      <vt:lpstr>Schedule 18 b</vt:lpstr>
      <vt:lpstr>Schedule 18 c</vt:lpstr>
      <vt:lpstr>Schedule 19 b</vt:lpstr>
      <vt:lpstr>Schedule 19 c</vt:lpstr>
      <vt:lpstr>G.10</vt:lpstr>
      <vt:lpstr>Private Pay Pivot</vt:lpstr>
      <vt:lpstr>Check</vt:lpstr>
      <vt:lpstr>'Schedule 11b'!Print_Area</vt:lpstr>
      <vt:lpstr>'Schedule 11c'!Print_Area</vt:lpstr>
      <vt:lpstr>'Schedule 12b'!Print_Area</vt:lpstr>
      <vt:lpstr>'Schedule 12c'!Print_Area</vt:lpstr>
      <vt:lpstr>'Schedule 3b'!Print_Area</vt:lpstr>
      <vt:lpstr>'Schedule 3c'!Print_Area</vt:lpstr>
      <vt:lpstr>'Schedule 4b'!Print_Area</vt:lpstr>
      <vt:lpstr>'Schedule 4c'!Print_Area</vt:lpstr>
      <vt:lpstr>'Schedule 8b'!Print_Area</vt:lpstr>
      <vt:lpstr>'Schedule 8c'!Print_Area</vt:lpstr>
    </vt:vector>
  </TitlesOfParts>
  <LinksUpToDate>false</LinksUpToDate>
  <CharactersWithSpaces>0</CharactersWithSpaces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Rivkah Rothschild</dc:creator>
  <cp:lastModifiedBy>Sol Stein</cp:lastModifiedBy>
  <cp:lastPrinted>2024-07-11T18:37:02Z</cp:lastPrinted>
  <dcterms:created xsi:type="dcterms:W3CDTF">2021-10-06T20:11:24Z</dcterms:created>
  <dcterms:modified xsi:type="dcterms:W3CDTF">2025-11-14T15:17:24Z</dcterms:modified>
  <cp:contentStatus/>
</cp:coreProperties>
</file>

<file path=docProps/core0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/>
</file>